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etup" sheetId="2" state="visible" r:id="rId4"/>
    <sheet name="GL_Data" sheetId="3" state="visible" r:id="rId5"/>
    <sheet name="COA_Mapping" sheetId="4" state="visible" r:id="rId6"/>
    <sheet name="Summary" sheetId="5" state="visible" r:id="rId7"/>
    <sheet name="MoM_Analysis" sheetId="6" state="visible" r:id="rId8"/>
    <sheet name="YoY_Analysis" sheetId="7" state="visible" r:id="rId9"/>
    <sheet name="Exceptions" sheetId="8" state="visible" r:id="rId10"/>
    <sheet name="Controls" sheetId="9" state="visible" r:id="rId11"/>
    <sheet name="Data_Engine" sheetId="10" state="visible" r:id="rId12"/>
    <sheet name="Lists" sheetId="11" state="visible" r:id="rId13"/>
  </sheets>
  <definedNames>
    <definedName function="false" hidden="false" localSheetId="8" name="_xlnm.Print_Titles" vbProcedure="false">Controls!$1:$5</definedName>
    <definedName function="false" hidden="false" localSheetId="7" name="_xlnm.Print_Titles" vbProcedure="false">Exceptions!$1:$5</definedName>
    <definedName function="false" hidden="false" localSheetId="5" name="_xlnm.Print_Titles" vbProcedure="false">MoM_Analysis!$1:$5</definedName>
    <definedName function="false" hidden="false" localSheetId="4" name="_xlnm.Print_Titles" vbProcedure="false">Summary!$1:$5</definedName>
    <definedName function="false" hidden="false" localSheetId="6" name="_xlnm.Print_Titles" vbProcedure="false">YoY_Analysis!$1:$5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Australian standard is 7 (July). Change this if your FY starts elsewhere.</t>
        </r>
      </text>
    </comment>
    <comment ref="B7" authorId="0">
      <text>
        <r>
          <rPr>
            <sz val="10"/>
            <rFont val="Arial"/>
            <family val="2"/>
          </rPr>
          <t xml:space="preserve">FY27 = 1 Jul 2026 to 30 Jun 2027. Enter 2027, not 27.</t>
        </r>
      </text>
    </comment>
    <comment ref="B8" authorId="0">
      <text>
        <r>
          <rPr>
            <sz val="10"/>
            <rFont val="Arial"/>
            <family val="2"/>
          </rPr>
          <t xml:space="preserve">Period 1 = the FY start month. For a July FY start, period 3 = September.</t>
        </r>
      </text>
    </comment>
    <comment ref="B14" authorId="0">
      <text>
        <r>
          <rPr>
            <sz val="10"/>
            <rFont val="Arial"/>
            <family val="2"/>
          </rPr>
          <t xml:space="preserve">Stops a 400% swing on a $80 account being flagged High. Set it to roughly your audit performance materiality, or 0.5% of revenue.</t>
        </r>
      </text>
    </comment>
    <comment ref="B17" authorId="0">
      <text>
        <r>
          <rPr>
            <sz val="10"/>
            <rFont val="Arial"/>
            <family val="2"/>
          </rPr>
          <t xml:space="preserve">Any variance this large is High regardless of percentage.</t>
        </r>
      </text>
    </comment>
  </commentList>
</comments>
</file>

<file path=xl/sharedStrings.xml><?xml version="1.0" encoding="utf-8"?>
<sst xmlns="http://schemas.openxmlformats.org/spreadsheetml/2006/main" count="1026" uniqueCount="526">
  <si>
    <t xml:space="preserve">GL Month-on-Month &amp; Year-on-Year Analysis</t>
  </si>
  <si>
    <t xml:space="preserve">Financial controller pack. Paste the GL, set two cells, read the flags.</t>
  </si>
  <si>
    <t xml:space="preserve">HOW TO USE IT  -  four steps, in this order</t>
  </si>
  <si>
    <t xml:space="preserve">Step 1</t>
  </si>
  <si>
    <t xml:space="preserve">Open Setup. Set the financial year (cell B7, the year the FY ENDS) and the reporting period (cell B8, where 1 = the first month of the FY). For a July year start, period 3 = September. Check the risk thresholds in B14:B17 suit your business.</t>
  </si>
  <si>
    <t xml:space="preserve">Step 2</t>
  </si>
  <si>
    <t xml:space="preserve">Open COA_Mapping. Every account in your GL must appear in column A, spelled exactly as it appears in the export. It is pre-loaded with your 190 accounts from Xero. Set the Group and Division. Overwrite rows in place - never insert or delete rows here.</t>
  </si>
  <si>
    <t xml:space="preserve">Step 3</t>
  </si>
  <si>
    <t xml:space="preserve">Open GL_Data. Paste your ledger into columns A to H starting at row 8. Everything from column I across is formula - do not type in it. Two years of data gives you a real year-on-year comparison.</t>
  </si>
  <si>
    <t xml:space="preserve">Step 4</t>
  </si>
  <si>
    <t xml:space="preserve">Open Controls. Clear every FAIL before you read anything else. Then Summary, then Exceptions, then the two detail sheets.</t>
  </si>
  <si>
    <t xml:space="preserve">WHAT EACH SHEET IS FOR</t>
  </si>
  <si>
    <t xml:space="preserve">Setup</t>
  </si>
  <si>
    <t xml:space="preserve">Control panel. Financial year, reporting period and the risk thresholds. Yellow cells only.</t>
  </si>
  <si>
    <t xml:space="preserve">GL_Data</t>
  </si>
  <si>
    <t xml:space="preserve">Where the ledger goes. Columns A-H are yours, I-V are calculated.</t>
  </si>
  <si>
    <t xml:space="preserve">COA_Mapping</t>
  </si>
  <si>
    <t xml:space="preserve">Maps each GL account to a reporting group and a division. This is what makes the summary work.</t>
  </si>
  <si>
    <t xml:space="preserve">Lists</t>
  </si>
  <si>
    <t xml:space="preserve">The group master. Sets the sign convention (income shows positive, expenses show positive) and report order.</t>
  </si>
  <si>
    <t xml:space="preserve">Data_Engine</t>
  </si>
  <si>
    <t xml:space="preserve">Calculated. Aggregates the GL once by account and period so the reports are fast. Never type here.</t>
  </si>
  <si>
    <t xml:space="preserve">MoM_Analysis</t>
  </si>
  <si>
    <t xml:space="preserve">Account level. Twelve months across, then this month vs last month and vs the rolling 3-month average.</t>
  </si>
  <si>
    <t xml:space="preserve">YoY_Analysis</t>
  </si>
  <si>
    <t xml:space="preserve">Account level. This month vs the same month last year, year to date vs last year to date, and a run-rate.</t>
  </si>
  <si>
    <t xml:space="preserve">Summary</t>
  </si>
  <si>
    <t xml:space="preserve">The one page. Group P&amp;L, revenue and gross profit by division, and the review status block.</t>
  </si>
  <si>
    <t xml:space="preserve">Exceptions</t>
  </si>
  <si>
    <t xml:space="preserve">The 25 biggest month-on-month movers and the 25 biggest year-on-year variances, ranked automatically.</t>
  </si>
  <si>
    <t xml:space="preserve">Controls</t>
  </si>
  <si>
    <t xml:space="preserve">Nineteen data integrity checks. FAIL means the numbers are wrong, not just untidy.</t>
  </si>
  <si>
    <t xml:space="preserve">THE COLOUR CODE</t>
  </si>
  <si>
    <t xml:space="preserve">High risk</t>
  </si>
  <si>
    <t xml:space="preserve">Variance at or above the High % threshold, or above the High $ threshold, or a new/ceased account with a material movement. Explain every one of these before the pack goes out.</t>
  </si>
  <si>
    <t xml:space="preserve">Medium risk</t>
  </si>
  <si>
    <t xml:space="preserve">Variance at or above the Medium % threshold and above the materiality floor. Worth a look.</t>
  </si>
  <si>
    <t xml:space="preserve">Low risk</t>
  </si>
  <si>
    <t xml:space="preserve">Either immaterial in dollars or within the Medium threshold. No action.</t>
  </si>
  <si>
    <t xml:space="preserve">No Activity</t>
  </si>
  <si>
    <t xml:space="preserve">Nil in both periods. Greyed out so it stops competing for your attention.</t>
  </si>
  <si>
    <t xml:space="preserve">Blue text on yellow</t>
  </si>
  <si>
    <t xml:space="preserve">You type here.</t>
  </si>
  <si>
    <t xml:space="preserve">Black text</t>
  </si>
  <si>
    <t xml:space="preserve">A formula that works on that sheet.</t>
  </si>
  <si>
    <t xml:space="preserve">Green text</t>
  </si>
  <si>
    <t xml:space="preserve">A formula pulling from another sheet.</t>
  </si>
  <si>
    <t xml:space="preserve">HOW THE RISK FLAG IS CALCULATED  (so you can defend it)</t>
  </si>
  <si>
    <t xml:space="preserve">Test order</t>
  </si>
  <si>
    <t xml:space="preserve">1. Both periods nil  -&gt;  No Activity.   2. Dollar variance below the materiality floor  -&gt;  Low.   3. Comparative was nil and the movement is material  -&gt;  High (new or ceased account).   4. Percentage at or above the High threshold, OR dollar variance above the High dollar threshold  -&gt;  High.   5. Percentage at or above the Medium threshold  -&gt;  Medium.   6. Otherwise  -&gt;  Low.</t>
  </si>
  <si>
    <t xml:space="preserve">Why dollars first</t>
  </si>
  <si>
    <t xml:space="preserve">A 400% swing on an $80 account is noise. The materiality floor stops the report crying wolf. Set it on Setup B14 - roughly 0.5% of revenue is a sensible starting point.</t>
  </si>
  <si>
    <t xml:space="preserve">Percentage base</t>
  </si>
  <si>
    <t xml:space="preserve">Variance divided by the absolute value of the comparative, so the sign shows direction, not the quirk of a credit balance. Where the comparative is nil the percentage shows n/a and the dollar test decides the flag.</t>
  </si>
  <si>
    <t xml:space="preserve">THINGS THAT WILL CATCH YOU OUT</t>
  </si>
  <si>
    <t xml:space="preserve">Account names</t>
  </si>
  <si>
    <t xml:space="preserve">The match between GL_Data column B and COA_Mapping column A is exact. A trailing space or a changed account name silently drops the account out of every report. Control C3 catches it.</t>
  </si>
  <si>
    <t xml:space="preserve">Row inserts</t>
  </si>
  <si>
    <t xml:space="preserve">Do not insert or delete rows on COA_Mapping - Data_Engine is aligned to it row for row. Control C5 catches it if you do.</t>
  </si>
  <si>
    <t xml:space="preserve">Sign convention</t>
  </si>
  <si>
    <t xml:space="preserve">Income and liabilities are stored as credits in the GL and flipped on the reports, so income reads positive and expenses read positive. Gross Profit = Income less Cost of Sales.</t>
  </si>
  <si>
    <t xml:space="preserve">EBITDA</t>
  </si>
  <si>
    <t xml:space="preserve">Your accounts currently carry depreciation and interest inside the Expenses group, so the EBITDA line equals Net Profit Before Tax. Re-map those accounts on COA_Mapping to split them out.</t>
  </si>
  <si>
    <t xml:space="preserve">Balance sheet</t>
  </si>
  <si>
    <t xml:space="preserve">The balance sheet block shows the movement posted in the period, not the closing position. Include your opening balance journal in the export if you want positions.</t>
  </si>
  <si>
    <t xml:space="preserve">Capacity</t>
  </si>
  <si>
    <t xml:space="preserve">5000 GL rows and 250 accounts. If you need more, copy the last formula row down. Control C9 warns you when the rows run out.</t>
  </si>
  <si>
    <t xml:space="preserve">Built</t>
  </si>
  <si>
    <t xml:space="preserve">Chart of accounts pre-loaded from reporting/data/accounts.json (190 accounts, sourced from Xero P&amp;L, accrual basis, pulled 2026-09-03 per reporting/data/validation.json). Group and division per account come from that same file. No transaction data is included - GL_Data ships empty.</t>
  </si>
  <si>
    <t xml:space="preserve">Setup &amp; Control Panel</t>
  </si>
  <si>
    <t xml:space="preserve">Yellow cells are the only ones you type into on this sheet. Everything else in the workbook keys off them.</t>
  </si>
  <si>
    <t xml:space="preserve">1.  ENTITY &amp; REPORTING PERIOD</t>
  </si>
  <si>
    <t xml:space="preserve">Entity name</t>
  </si>
  <si>
    <t xml:space="preserve">Corporate Technology Services Pty Ltd</t>
  </si>
  <si>
    <t xml:space="preserve">Reporting currency</t>
  </si>
  <si>
    <t xml:space="preserve">AUD</t>
  </si>
  <si>
    <t xml:space="preserve">Financial year start month (1 = Jan ... 7 = Jul)</t>
  </si>
  <si>
    <t xml:space="preserve">Current financial year (year it ENDS)</t>
  </si>
  <si>
    <t xml:space="preserve">Current reporting period (1 = first month of FY)</t>
  </si>
  <si>
    <t xml:space="preserve">Prior financial year (comparative)</t>
  </si>
  <si>
    <t xml:space="preserve">Current period label</t>
  </si>
  <si>
    <t xml:space="preserve">Prior year comparative label</t>
  </si>
  <si>
    <t xml:space="preserve">2.  RISK FLAG THRESHOLDS</t>
  </si>
  <si>
    <t xml:space="preserve">Materiality floor  ($) - below this a variance is always Low</t>
  </si>
  <si>
    <t xml:space="preserve">Medium risk threshold  (% variance)</t>
  </si>
  <si>
    <t xml:space="preserve">High risk threshold  (% variance)</t>
  </si>
  <si>
    <t xml:space="preserve">High risk threshold  ($ variance) - overrides the % test</t>
  </si>
  <si>
    <t xml:space="preserve">Look-back months for the rolling average</t>
  </si>
  <si>
    <t xml:space="preserve">Fixed at 3 in the formulas - shown for reference.</t>
  </si>
  <si>
    <t xml:space="preserve">3.  DATA STATUS  (calculated - do not type here)</t>
  </si>
  <si>
    <t xml:space="preserve">GL lines loaded</t>
  </si>
  <si>
    <t xml:space="preserve">GL capacity (rows available)</t>
  </si>
  <si>
    <t xml:space="preserve">Earliest transaction date</t>
  </si>
  <si>
    <t xml:space="preserve">Latest transaction date</t>
  </si>
  <si>
    <t xml:space="preserve">Accounts in COA_Mapping</t>
  </si>
  <si>
    <t xml:space="preserve">GL lines not mapped to an account</t>
  </si>
  <si>
    <t xml:space="preserve">GL lines dated outside FY range</t>
  </si>
  <si>
    <t xml:space="preserve">Total debits</t>
  </si>
  <si>
    <t xml:space="preserve">Total credits</t>
  </si>
  <si>
    <t xml:space="preserve">Debits less credits (must be nil)</t>
  </si>
  <si>
    <t xml:space="preserve">4.  RISK FLAG LOGIC  (read once, then trust the colours)</t>
  </si>
  <si>
    <t xml:space="preserve">Nil in both the current and comparative period.</t>
  </si>
  <si>
    <t xml:space="preserve">Low</t>
  </si>
  <si>
    <t xml:space="preserve">Variance is under the materiality floor, or under the Medium % threshold.</t>
  </si>
  <si>
    <t xml:space="preserve">Medium</t>
  </si>
  <si>
    <t xml:space="preserve">Variance is at or over the Medium % threshold and over the materiality floor.</t>
  </si>
  <si>
    <t xml:space="preserve">High</t>
  </si>
  <si>
    <t xml:space="preserve">Variance is at or over the High % threshold, OR over the High $ threshold, OR the comparative was nil and the movement is material (a new or ceased account).</t>
  </si>
  <si>
    <t xml:space="preserve">GL Data  -  paste your general ledger export here</t>
  </si>
  <si>
    <t xml:space="preserve">Paste into columns A to H starting at row 8. Columns I to V are formulas - never type in them. Works with transaction-level detail or a month-by-account summary export.</t>
  </si>
  <si>
    <t xml:space="preserve">INPUT  -  type or paste here</t>
  </si>
  <si>
    <t xml:space="preserve">CALCULATED  -  do not type</t>
  </si>
  <si>
    <t xml:space="preserve">Required</t>
  </si>
  <si>
    <t xml:space="preserve">Required - must match COA_Mapping column A</t>
  </si>
  <si>
    <t xml:space="preserve">Enter Dr and Cr, or put a signed amount in Debit only</t>
  </si>
  <si>
    <t xml:space="preserve">Date</t>
  </si>
  <si>
    <t xml:space="preserve">Account</t>
  </si>
  <si>
    <t xml:space="preserve">Description</t>
  </si>
  <si>
    <t xml:space="preserve">Journal / Ref</t>
  </si>
  <si>
    <t xml:space="preserve">Contact</t>
  </si>
  <si>
    <t xml:space="preserve">Division (info)</t>
  </si>
  <si>
    <t xml:space="preserve">Debit</t>
  </si>
  <si>
    <t xml:space="preserve">Credit</t>
  </si>
  <si>
    <t xml:space="preserve">Amount</t>
  </si>
  <si>
    <t xml:space="preserve">FY</t>
  </si>
  <si>
    <t xml:space="preserve">Per</t>
  </si>
  <si>
    <t xml:space="preserve">Period</t>
  </si>
  <si>
    <t xml:space="preserve">Group</t>
  </si>
  <si>
    <t xml:space="preserve">Stmt</t>
  </si>
  <si>
    <t xml:space="preserve">Sign</t>
  </si>
  <si>
    <t xml:space="preserve">Reported Amt</t>
  </si>
  <si>
    <t xml:space="preserve">Acct Idx</t>
  </si>
  <si>
    <t xml:space="preserve">FY Off</t>
  </si>
  <si>
    <t xml:space="preserve">Match Key</t>
  </si>
  <si>
    <t xml:space="preserve">Line Status</t>
  </si>
  <si>
    <t xml:space="preserve">Duplicate Key</t>
  </si>
  <si>
    <t xml:space="preserve">Dup #</t>
  </si>
  <si>
    <t xml:space="preserve">Chart of Accounts Mapping</t>
  </si>
  <si>
    <t xml:space="preserve">Column A must match the account name in your GL export EXACTLY. Group and Division drive every report. Overwrite rows in place - do NOT insert or delete rows, it breaks the link to Data_Engine (Controls check C6 catches this).</t>
  </si>
  <si>
    <t xml:space="preserve">Account (must match GL)</t>
  </si>
  <si>
    <t xml:space="preserve">Code (optional)</t>
  </si>
  <si>
    <t xml:space="preserve">Division</t>
  </si>
  <si>
    <t xml:space="preserve">Statement</t>
  </si>
  <si>
    <t xml:space="preserve">Order</t>
  </si>
  <si>
    <t xml:space="preserve">GL Lines</t>
  </si>
  <si>
    <t xml:space="preserve">Status</t>
  </si>
  <si>
    <t xml:space="preserve">Ad Hoc Service Labour</t>
  </si>
  <si>
    <t xml:space="preserve">Income</t>
  </si>
  <si>
    <t xml:space="preserve">Unallocated</t>
  </si>
  <si>
    <t xml:space="preserve">Closing Work in Progress</t>
  </si>
  <si>
    <t xml:space="preserve">Conference Call Charge</t>
  </si>
  <si>
    <t xml:space="preserve">Contract Help Desk</t>
  </si>
  <si>
    <t xml:space="preserve">Contract Maintenance</t>
  </si>
  <si>
    <t xml:space="preserve">Contract Support Staff</t>
  </si>
  <si>
    <t xml:space="preserve">Credit Card Collected - CONS</t>
  </si>
  <si>
    <t xml:space="preserve">Consulting</t>
  </si>
  <si>
    <t xml:space="preserve">Credit Card Collected - ONS</t>
  </si>
  <si>
    <t xml:space="preserve">Onsite</t>
  </si>
  <si>
    <t xml:space="preserve">Credit Card Collected - PRD</t>
  </si>
  <si>
    <t xml:space="preserve">Production</t>
  </si>
  <si>
    <t xml:space="preserve">Credit Card Collected - VID</t>
  </si>
  <si>
    <t xml:space="preserve">Video</t>
  </si>
  <si>
    <t xml:space="preserve">Credit Card Collected-INTEGRATION</t>
  </si>
  <si>
    <t xml:space="preserve">Integration</t>
  </si>
  <si>
    <t xml:space="preserve">Credit Card Fees - ADMIN</t>
  </si>
  <si>
    <t xml:space="preserve">Admin</t>
  </si>
  <si>
    <t xml:space="preserve">Equipment Hires</t>
  </si>
  <si>
    <t xml:space="preserve">Equipment Sales</t>
  </si>
  <si>
    <t xml:space="preserve">Freight &amp; Travel - ADMIN</t>
  </si>
  <si>
    <t xml:space="preserve">Freight &amp; Travel - CONS</t>
  </si>
  <si>
    <t xml:space="preserve">Freight &amp; Travel - INTEGRATION</t>
  </si>
  <si>
    <t xml:space="preserve">Freight &amp; Travel - ONS</t>
  </si>
  <si>
    <t xml:space="preserve">Freight &amp; Travel - PRD</t>
  </si>
  <si>
    <t xml:space="preserve">Freight &amp; Travel - VID</t>
  </si>
  <si>
    <t xml:space="preserve">Installation Labour</t>
  </si>
  <si>
    <t xml:space="preserve">Meal &amp; Travel - ADMIN</t>
  </si>
  <si>
    <t xml:space="preserve">Meal &amp; Travel - CONS</t>
  </si>
  <si>
    <t xml:space="preserve">Meal &amp; Travel - INTEGRATION</t>
  </si>
  <si>
    <t xml:space="preserve">Meal &amp; Travel - ONS</t>
  </si>
  <si>
    <t xml:space="preserve">Meal &amp; Travel - PRD</t>
  </si>
  <si>
    <t xml:space="preserve">Meal &amp; Travel - VID</t>
  </si>
  <si>
    <t xml:space="preserve">Miscellaneous Income</t>
  </si>
  <si>
    <t xml:space="preserve">Mobile Phone Plans</t>
  </si>
  <si>
    <t xml:space="preserve">Opening Work in Progress</t>
  </si>
  <si>
    <t xml:space="preserve">Production Labour</t>
  </si>
  <si>
    <t xml:space="preserve">Subscriptions &amp; Licences - Income</t>
  </si>
  <si>
    <t xml:space="preserve">Tech Consulting/Project Manage</t>
  </si>
  <si>
    <t xml:space="preserve">Tech Event Management</t>
  </si>
  <si>
    <t xml:space="preserve">Video Labour</t>
  </si>
  <si>
    <t xml:space="preserve">Credit Card Paid - ADMIN</t>
  </si>
  <si>
    <t xml:space="preserve">Cost of Sales</t>
  </si>
  <si>
    <t xml:space="preserve">Credit Card Paid - CONS</t>
  </si>
  <si>
    <t xml:space="preserve">Credit Card Paid - INTEGRATION</t>
  </si>
  <si>
    <t xml:space="preserve">Credit Card Paid - ONS</t>
  </si>
  <si>
    <t xml:space="preserve">Credit Card Paid - PRD</t>
  </si>
  <si>
    <t xml:space="preserve">Credit Card Paid - VID</t>
  </si>
  <si>
    <t xml:space="preserve">Damage Waiver</t>
  </si>
  <si>
    <t xml:space="preserve">Direct Freight - ADMIN</t>
  </si>
  <si>
    <t xml:space="preserve">Direct Freight - CONS</t>
  </si>
  <si>
    <t xml:space="preserve">Direct Freight - INTEGRATION</t>
  </si>
  <si>
    <t xml:space="preserve">Direct Freight - ONS</t>
  </si>
  <si>
    <t xml:space="preserve">Direct Freight - PRD</t>
  </si>
  <si>
    <t xml:space="preserve">Direct Freight - VID</t>
  </si>
  <si>
    <t xml:space="preserve">Direct Mobile - CONS</t>
  </si>
  <si>
    <t xml:space="preserve">Direct Mobile - INTEGRATION</t>
  </si>
  <si>
    <t xml:space="preserve">Direct Mobile - ONS</t>
  </si>
  <si>
    <t xml:space="preserve">Direct Mobile - PRD</t>
  </si>
  <si>
    <t xml:space="preserve">Direct Mobile - VID</t>
  </si>
  <si>
    <t xml:space="preserve">Direct Salaries - ADMIN</t>
  </si>
  <si>
    <t xml:space="preserve">Direct Salaries - CONS</t>
  </si>
  <si>
    <t xml:space="preserve">Direct Salaries - INTEGRATION</t>
  </si>
  <si>
    <t xml:space="preserve">Direct Salaries - ONS</t>
  </si>
  <si>
    <t xml:space="preserve">Direct Salaries - PRD</t>
  </si>
  <si>
    <t xml:space="preserve">Direct Salaries - VID</t>
  </si>
  <si>
    <t xml:space="preserve">Direct Superannuation - ADMIN</t>
  </si>
  <si>
    <t xml:space="preserve">Direct Superannuation - CONS</t>
  </si>
  <si>
    <t xml:space="preserve">Direct Superannuation - ONS</t>
  </si>
  <si>
    <t xml:space="preserve">Direct Superannuation - PRD</t>
  </si>
  <si>
    <t xml:space="preserve">Direct Superannuation - VID</t>
  </si>
  <si>
    <t xml:space="preserve">Direct Superannuation-INTEGRATION</t>
  </si>
  <si>
    <t xml:space="preserve">Direct Travel - ADMIN</t>
  </si>
  <si>
    <t xml:space="preserve">Direct Travel - CONS</t>
  </si>
  <si>
    <t xml:space="preserve">Direct Travel - INTEGRATION</t>
  </si>
  <si>
    <t xml:space="preserve">Direct Travel - ONS</t>
  </si>
  <si>
    <t xml:space="preserve">Direct Travel - PRD</t>
  </si>
  <si>
    <t xml:space="preserve">Direct Travel - VID</t>
  </si>
  <si>
    <t xml:space="preserve">Direct Wages - CONS</t>
  </si>
  <si>
    <t xml:space="preserve">Direct Wages - INTEGRATION</t>
  </si>
  <si>
    <t xml:space="preserve">Direct Wages - ONS</t>
  </si>
  <si>
    <t xml:space="preserve">Direct Wages - PRD</t>
  </si>
  <si>
    <t xml:space="preserve">Direct Wages - VID</t>
  </si>
  <si>
    <t xml:space="preserve">Direct Workers Comp - ADMIN</t>
  </si>
  <si>
    <t xml:space="preserve">Direct Workers Comp - CONS</t>
  </si>
  <si>
    <t xml:space="preserve">Direct Workers Comp - INTEGRATION</t>
  </si>
  <si>
    <t xml:space="preserve">Direct Workers Comp - ONS</t>
  </si>
  <si>
    <t xml:space="preserve">Direct Workers Comp - PRD</t>
  </si>
  <si>
    <t xml:space="preserve">Direct Workers Comp - VID</t>
  </si>
  <si>
    <t xml:space="preserve">Discounts Given</t>
  </si>
  <si>
    <t xml:space="preserve">Equipment - Hires</t>
  </si>
  <si>
    <t xml:space="preserve">Equipment - Purchase</t>
  </si>
  <si>
    <t xml:space="preserve">Equipment -Maintenance Support</t>
  </si>
  <si>
    <t xml:space="preserve">Service - hires</t>
  </si>
  <si>
    <t xml:space="preserve">Stamp Duty</t>
  </si>
  <si>
    <t xml:space="preserve">Sub-Contract Labour - ADMIN</t>
  </si>
  <si>
    <t xml:space="preserve">Sub-Contract Labour - CONS</t>
  </si>
  <si>
    <t xml:space="preserve">Sub-Contract Labour - INTEGRATION</t>
  </si>
  <si>
    <t xml:space="preserve">Sub-Contract Labour - ONS</t>
  </si>
  <si>
    <t xml:space="preserve">Sub-Contract Labour - PRD</t>
  </si>
  <si>
    <t xml:space="preserve">Sub-Contract Labour - VID</t>
  </si>
  <si>
    <t xml:space="preserve">Subscriptions &amp; Licences - Expense</t>
  </si>
  <si>
    <t xml:space="preserve">Supplier Per Diems - ADMIN</t>
  </si>
  <si>
    <t xml:space="preserve">Supplier Per Diems - CONS</t>
  </si>
  <si>
    <t xml:space="preserve">Supplier Per Diems - INTEGRATION</t>
  </si>
  <si>
    <t xml:space="preserve">Supplier Per Diems - ONS</t>
  </si>
  <si>
    <t xml:space="preserve">Supplier Per Diems - PRD</t>
  </si>
  <si>
    <t xml:space="preserve">Supplier Per Diems - VID</t>
  </si>
  <si>
    <t xml:space="preserve">Cash Flow Boost</t>
  </si>
  <si>
    <t xml:space="preserve">Other Income</t>
  </si>
  <si>
    <t xml:space="preserve">Employee FBT Contribtution</t>
  </si>
  <si>
    <t xml:space="preserve">Gain on lease termination</t>
  </si>
  <si>
    <t xml:space="preserve">Income Other</t>
  </si>
  <si>
    <t xml:space="preserve">Interest Income</t>
  </si>
  <si>
    <t xml:space="preserve">Interest Received</t>
  </si>
  <si>
    <t xml:space="preserve">JobKeeper Subsidy</t>
  </si>
  <si>
    <t xml:space="preserve">JobSaver Subsidy</t>
  </si>
  <si>
    <t xml:space="preserve">Rental Income</t>
  </si>
  <si>
    <t xml:space="preserve">1300 Number</t>
  </si>
  <si>
    <t xml:space="preserve">Expenses</t>
  </si>
  <si>
    <t xml:space="preserve">Accounting Fees</t>
  </si>
  <si>
    <t xml:space="preserve">Advertising</t>
  </si>
  <si>
    <t xml:space="preserve">Bad Debts</t>
  </si>
  <si>
    <t xml:space="preserve">Bank Charges</t>
  </si>
  <si>
    <t xml:space="preserve">Bank Revaluations</t>
  </si>
  <si>
    <t xml:space="preserve">Business Advisory</t>
  </si>
  <si>
    <t xml:space="preserve">Business Combined</t>
  </si>
  <si>
    <t xml:space="preserve">Client Entertainment</t>
  </si>
  <si>
    <t xml:space="preserve">Credit Card Fees Paid</t>
  </si>
  <si>
    <t xml:space="preserve">Custodian Vaults</t>
  </si>
  <si>
    <t xml:space="preserve">Depreciation</t>
  </si>
  <si>
    <t xml:space="preserve">Depreciation - ROU</t>
  </si>
  <si>
    <t xml:space="preserve">Discounts Taken</t>
  </si>
  <si>
    <t xml:space="preserve">Disposal of fixed assets</t>
  </si>
  <si>
    <t xml:space="preserve">Dividend paid [93000]</t>
  </si>
  <si>
    <t xml:space="preserve">Donations / Charity</t>
  </si>
  <si>
    <t xml:space="preserve">Dues &amp; Subscriptions</t>
  </si>
  <si>
    <t xml:space="preserve">Electricity</t>
  </si>
  <si>
    <t xml:space="preserve">Fax</t>
  </si>
  <si>
    <t xml:space="preserve">Filing Fee</t>
  </si>
  <si>
    <t xml:space="preserve">Foreign Currency Translation*</t>
  </si>
  <si>
    <t xml:space="preserve">Freight Paid</t>
  </si>
  <si>
    <t xml:space="preserve">Fringe Benefits Tax</t>
  </si>
  <si>
    <t xml:space="preserve">IT Network Service &amp; Support</t>
  </si>
  <si>
    <t xml:space="preserve">Income Tax Expense</t>
  </si>
  <si>
    <t xml:space="preserve">Indirect Salaries - ADMIN</t>
  </si>
  <si>
    <t xml:space="preserve">Indirect Salaries - CONS</t>
  </si>
  <si>
    <t xml:space="preserve">Indirect Salaries - INTEGRATION</t>
  </si>
  <si>
    <t xml:space="preserve">Indirect Salaries - ONS</t>
  </si>
  <si>
    <t xml:space="preserve">Indirect Salaries - PRD</t>
  </si>
  <si>
    <t xml:space="preserve">Indirect Salaries - VID</t>
  </si>
  <si>
    <t xml:space="preserve">Indirect Wages - ADMIN</t>
  </si>
  <si>
    <t xml:space="preserve">Indirect Wages - CONS</t>
  </si>
  <si>
    <t xml:space="preserve">Indirect Wages - INTEGRATION</t>
  </si>
  <si>
    <t xml:space="preserve">Indirect Wages - ONS</t>
  </si>
  <si>
    <t xml:space="preserve">Indirect Wages - PRD</t>
  </si>
  <si>
    <t xml:space="preserve">Indirect Wages - VID</t>
  </si>
  <si>
    <t xml:space="preserve">Instant Asset Write Off</t>
  </si>
  <si>
    <t xml:space="preserve">Insurance</t>
  </si>
  <si>
    <t xml:space="preserve">Interest Expense</t>
  </si>
  <si>
    <t xml:space="preserve">Internet</t>
  </si>
  <si>
    <t xml:space="preserve">Leave expense (Annual)</t>
  </si>
  <si>
    <t xml:space="preserve">Leave expense (Long Service)</t>
  </si>
  <si>
    <t xml:space="preserve">Legal Fees</t>
  </si>
  <si>
    <t xml:space="preserve">Mobile Phones</t>
  </si>
  <si>
    <t xml:space="preserve">Office Cleaning</t>
  </si>
  <si>
    <t xml:space="preserve">Office Phones</t>
  </si>
  <si>
    <t xml:space="preserve">Office Rentals</t>
  </si>
  <si>
    <t xml:space="preserve">Office Supplies</t>
  </si>
  <si>
    <t xml:space="preserve">Office Supplies [61500]</t>
  </si>
  <si>
    <t xml:space="preserve">Other Expenses [64900]</t>
  </si>
  <si>
    <t xml:space="preserve">Other Insurance</t>
  </si>
  <si>
    <t xml:space="preserve">Other Telco Expenses</t>
  </si>
  <si>
    <t xml:space="preserve">Pager</t>
  </si>
  <si>
    <t xml:space="preserve">Payroll Processing Fee</t>
  </si>
  <si>
    <t xml:space="preserve">Payroll Tax</t>
  </si>
  <si>
    <t xml:space="preserve">Postage</t>
  </si>
  <si>
    <t xml:space="preserve">Printing</t>
  </si>
  <si>
    <t xml:space="preserve">Professional Indemnity</t>
  </si>
  <si>
    <t xml:space="preserve">Realised Currency Gains</t>
  </si>
  <si>
    <t xml:space="preserve">Recruitment</t>
  </si>
  <si>
    <t xml:space="preserve">Rent</t>
  </si>
  <si>
    <t xml:space="preserve">Rental Outgoings</t>
  </si>
  <si>
    <t xml:space="preserve">Repairs &amp; Maintenance</t>
  </si>
  <si>
    <t xml:space="preserve">Replacements</t>
  </si>
  <si>
    <t xml:space="preserve">SGC Penalties</t>
  </si>
  <si>
    <t xml:space="preserve">Staff Amenities</t>
  </si>
  <si>
    <t xml:space="preserve">Staff Entertainment</t>
  </si>
  <si>
    <t xml:space="preserve">Stamp Duty (Indirect)</t>
  </si>
  <si>
    <t xml:space="preserve">Storage Fees</t>
  </si>
  <si>
    <t xml:space="preserve">Stripe Fees</t>
  </si>
  <si>
    <t xml:space="preserve">Superannuation</t>
  </si>
  <si>
    <t xml:space="preserve">Taxis/Parking</t>
  </si>
  <si>
    <t xml:space="preserve">Training Material &amp; Courses</t>
  </si>
  <si>
    <t xml:space="preserve">Travel &amp; Per Diems</t>
  </si>
  <si>
    <t xml:space="preserve">Travel Insurance</t>
  </si>
  <si>
    <t xml:space="preserve">Under/(Over) provision for tax</t>
  </si>
  <si>
    <t xml:space="preserve">Unrealised Currency Gains</t>
  </si>
  <si>
    <t xml:space="preserve">Workers' Compensation</t>
  </si>
  <si>
    <t xml:space="preserve">Financial Controller Summary</t>
  </si>
  <si>
    <t xml:space="preserve">CURRENT MONTH vs PRIOR YEAR</t>
  </si>
  <si>
    <t xml:space="preserve">CURRENT MONTH vs PRIOR MONTH</t>
  </si>
  <si>
    <t xml:space="preserve">YEAR TO DATE vs PRIOR YEAR TO DATE</t>
  </si>
  <si>
    <t xml:space="preserve">PY FY</t>
  </si>
  <si>
    <t xml:space="preserve">RISK FLAGS &amp; ACTION</t>
  </si>
  <si>
    <t xml:space="preserve">Line Item</t>
  </si>
  <si>
    <t xml:space="preserve">CY Month</t>
  </si>
  <si>
    <t xml:space="preserve">PY Same
Month</t>
  </si>
  <si>
    <t xml:space="preserve">YoY
Var $</t>
  </si>
  <si>
    <t xml:space="preserve">YoY
Var %</t>
  </si>
  <si>
    <t xml:space="preserve">CY Prior
Month</t>
  </si>
  <si>
    <t xml:space="preserve">MoM
Var $</t>
  </si>
  <si>
    <t xml:space="preserve">MoM
Var %</t>
  </si>
  <si>
    <t xml:space="preserve">CY YTD</t>
  </si>
  <si>
    <t xml:space="preserve">PY YTD</t>
  </si>
  <si>
    <t xml:space="preserve">YTD
Var $</t>
  </si>
  <si>
    <t xml:space="preserve">YTD
Var %</t>
  </si>
  <si>
    <t xml:space="preserve">PY Full
Year</t>
  </si>
  <si>
    <t xml:space="preserve">YoY
Flag</t>
  </si>
  <si>
    <t xml:space="preserve">MoM
Flag</t>
  </si>
  <si>
    <t xml:space="preserve">Overall
Risk</t>
  </si>
  <si>
    <t xml:space="preserve">Review Action</t>
  </si>
  <si>
    <t xml:space="preserve">PROFIT &amp; LOSS  -  GROUP SUMMARY</t>
  </si>
  <si>
    <t xml:space="preserve">Gross Profit</t>
  </si>
  <si>
    <t xml:space="preserve">Gross Margin %</t>
  </si>
  <si>
    <t xml:space="preserve">Operating Expenses</t>
  </si>
  <si>
    <t xml:space="preserve">EBITDA Margin %</t>
  </si>
  <si>
    <t xml:space="preserve">Depreciation &amp; Amortisation</t>
  </si>
  <si>
    <t xml:space="preserve">Finance Costs</t>
  </si>
  <si>
    <t xml:space="preserve">Net Profit Before Tax</t>
  </si>
  <si>
    <t xml:space="preserve">Net Profit After Tax</t>
  </si>
  <si>
    <t xml:space="preserve">Net Margin %</t>
  </si>
  <si>
    <t xml:space="preserve">REVENUE BY DIVISION</t>
  </si>
  <si>
    <t xml:space="preserve">Total Revenue</t>
  </si>
  <si>
    <t xml:space="preserve">GROSS PROFIT BY DIVISION</t>
  </si>
  <si>
    <t xml:space="preserve">Total Gross Profit</t>
  </si>
  <si>
    <t xml:space="preserve">BALANCE SHEET  -  MOVEMENT IN THE PERIOD</t>
  </si>
  <si>
    <t xml:space="preserve">Current Assets</t>
  </si>
  <si>
    <t xml:space="preserve">Non-Current Assets</t>
  </si>
  <si>
    <t xml:space="preserve">Total Assets</t>
  </si>
  <si>
    <t xml:space="preserve">Current Liabilities</t>
  </si>
  <si>
    <t xml:space="preserve">Non-Current Liabilities</t>
  </si>
  <si>
    <t xml:space="preserve">Total Liabilities</t>
  </si>
  <si>
    <t xml:space="preserve">Net Assets</t>
  </si>
  <si>
    <t xml:space="preserve">Equity</t>
  </si>
  <si>
    <t xml:space="preserve">CONTROLLER REVIEW STATUS</t>
  </si>
  <si>
    <t xml:space="preserve">High risk accounts - month on month</t>
  </si>
  <si>
    <t xml:space="preserve">Medium risk accounts - month on month</t>
  </si>
  <si>
    <t xml:space="preserve">High risk accounts - year on year</t>
  </si>
  <si>
    <t xml:space="preserve">Medium risk accounts - year on year</t>
  </si>
  <si>
    <t xml:space="preserve">High risk items still without a comment</t>
  </si>
  <si>
    <t xml:space="preserve">GL debits less credits (must be nil)</t>
  </si>
  <si>
    <t xml:space="preserve">Controls failing on the Controls sheet</t>
  </si>
  <si>
    <t xml:space="preserve">Note on EBITDA: your chart of accounts currently maps depreciation, amortisation and interest inside the Expenses group, so the EBITDA line above equals Net Profit Before Tax. Re-map those accounts to the 'Depreciation &amp; Amortisation' and 'Finance Costs' groups on COA_Mapping and the EBITDA line becomes a true EBITDA.</t>
  </si>
  <si>
    <t xml:space="preserve">Note on the balance sheet block: it shows the MOVEMENT posted in each period, not the closing position. It stays nil until you map balance sheet accounts on COA_Mapping. To see closing positions, include your opening balance journal in the GL export.</t>
  </si>
  <si>
    <t xml:space="preserve">Month-on-Month Analysis  -  account level</t>
  </si>
  <si>
    <t xml:space="preserve">ACCOUNT &amp; DIMENSIONS</t>
  </si>
  <si>
    <t xml:space="preserve">MONTHLY ACTUALS  -  CURRENT FINANCIAL YEAR</t>
  </si>
  <si>
    <t xml:space="preserve">MONTH-ON-MONTH TEST</t>
  </si>
  <si>
    <t xml:space="preserve">REVIEW</t>
  </si>
  <si>
    <t xml:space="preserve">helper</t>
  </si>
  <si>
    <t xml:space="preserve">YTD</t>
  </si>
  <si>
    <t xml:space="preserve">Current
Month</t>
  </si>
  <si>
    <t xml:space="preserve">Prior
Month</t>
  </si>
  <si>
    <t xml:space="preserve">Movement
$</t>
  </si>
  <si>
    <t xml:space="preserve">Movement
%</t>
  </si>
  <si>
    <t xml:space="preserve">Avg Prior
3 Months</t>
  </si>
  <si>
    <t xml:space="preserve">Var vs
Avg $</t>
  </si>
  <si>
    <t xml:space="preserve">Var vs
Avg %</t>
  </si>
  <si>
    <t xml:space="preserve">Risk
Flag</t>
  </si>
  <si>
    <t xml:space="preserve">Controller Comment</t>
  </si>
  <si>
    <t xml:space="preserve">Year-on-Year Analysis  -  account level</t>
  </si>
  <si>
    <t xml:space="preserve">CURRENT MONTH vs PRIOR YEAR SAME MONTH</t>
  </si>
  <si>
    <t xml:space="preserve">FULL YEAR RUN-RATE</t>
  </si>
  <si>
    <t xml:space="preserve">Var $</t>
  </si>
  <si>
    <t xml:space="preserve">Var %</t>
  </si>
  <si>
    <t xml:space="preserve">YTD Var $</t>
  </si>
  <si>
    <t xml:space="preserve">YTD Var %</t>
  </si>
  <si>
    <t xml:space="preserve">CY Run-Rate
(annualised)</t>
  </si>
  <si>
    <t xml:space="preserve">Run-Rate vs
PY FY %</t>
  </si>
  <si>
    <t xml:space="preserve">Movement
Type</t>
  </si>
  <si>
    <t xml:space="preserve">Exception Report  -  biggest movers, ranked automatically</t>
  </si>
  <si>
    <t xml:space="preserve">Ranks itself from the analysis sheets. Blank rows simply mean there were fewer movers than slots. Columns K and L are working cells - ignore them.</t>
  </si>
  <si>
    <t xml:space="preserve">working cells</t>
  </si>
  <si>
    <t xml:space="preserve">TOP 25 MONTH-ON-MONTH MOVEMENTS  (by absolute dollar movement)</t>
  </si>
  <si>
    <t xml:space="preserve">Rank</t>
  </si>
  <si>
    <t xml:space="preserve">Movement $</t>
  </si>
  <si>
    <t xml:space="preserve">Movement %</t>
  </si>
  <si>
    <t xml:space="preserve">Risk Flag</t>
  </si>
  <si>
    <t xml:space="preserve">TOP 25 YEAR-ON-YEAR VARIANCES  (year to date, by absolute dollar variance)</t>
  </si>
  <si>
    <t xml:space="preserve">Controls &amp; Data Integrity Checks</t>
  </si>
  <si>
    <t xml:space="preserve">Run these before you trust a single number on the other sheets. Anything marked FAIL means the analysis is wrong, not just untidy. REVIEW means look at it and satisfy yourself.</t>
  </si>
  <si>
    <t xml:space="preserve">Ref</t>
  </si>
  <si>
    <t xml:space="preserve">Control</t>
  </si>
  <si>
    <t xml:space="preserve">Result</t>
  </si>
  <si>
    <t xml:space="preserve">Target</t>
  </si>
  <si>
    <t xml:space="preserve">Severity</t>
  </si>
  <si>
    <t xml:space="preserve">What to do if it is not clean</t>
  </si>
  <si>
    <t xml:space="preserve">C1</t>
  </si>
  <si>
    <t xml:space="preserve">General ledger is in balance (total debits less total credits)</t>
  </si>
  <si>
    <t xml:space="preserve">FAIL</t>
  </si>
  <si>
    <t xml:space="preserve">Your export is incomplete or a column is misaligned. Re-export the full ledger - do not proceed until this is nil.</t>
  </si>
  <si>
    <t xml:space="preserve">C2</t>
  </si>
  <si>
    <t xml:space="preserve">All GL lines net to nil (double entry intact)</t>
  </si>
  <si>
    <t xml:space="preserve">Same cause as C1. If you pasted signed amounts into Debit only, this still needs to be nil overall.</t>
  </si>
  <si>
    <t xml:space="preserve">C3</t>
  </si>
  <si>
    <t xml:space="preserve">Every GL line maps to an account in COA_Mapping</t>
  </si>
  <si>
    <t xml:space="preserve">Filter GL_Data column T for UNMAPPED, copy the account names from column B and add them to COA_Mapping. Unmapped lines are excluded from every report.</t>
  </si>
  <si>
    <t xml:space="preserve">C4</t>
  </si>
  <si>
    <t xml:space="preserve">No GL lines with a date but no account name</t>
  </si>
  <si>
    <t xml:space="preserve">Column B is blank on those rows. Fill it in or delete the rows.</t>
  </si>
  <si>
    <t xml:space="preserve">C5</t>
  </si>
  <si>
    <t xml:space="preserve">Data_Engine is still aligned to COA_Mapping</t>
  </si>
  <si>
    <t xml:space="preserve">Someone inserted or deleted rows on COA_Mapping. Undo it, or rebuild the workbook. Overwrite rows in place instead.</t>
  </si>
  <si>
    <t xml:space="preserve">C6</t>
  </si>
  <si>
    <t xml:space="preserve">Current reporting period actually has data</t>
  </si>
  <si>
    <t xml:space="preserve">&gt; 0</t>
  </si>
  <si>
    <t xml:space="preserve">Either the period on Setup is wrong, or that month has not been posted yet. Check Setup cell B8.</t>
  </si>
  <si>
    <t xml:space="preserve">C7</t>
  </si>
  <si>
    <t xml:space="preserve">Prior year comparative is loaded</t>
  </si>
  <si>
    <t xml:space="preserve">Without prior year data every year-on-year variance reads as a new account. Load both years into GL_Data.</t>
  </si>
  <si>
    <t xml:space="preserve">C8</t>
  </si>
  <si>
    <t xml:space="preserve">No GL lines dated outside the two financial years on Setup</t>
  </si>
  <si>
    <t xml:space="preserve">Those lines are ignored by the analysis. Fine if you deliberately loaded three years; a problem if the dates are wrong.</t>
  </si>
  <si>
    <t xml:space="preserve">C9</t>
  </si>
  <si>
    <t xml:space="preserve">GL row capacity not exceeded</t>
  </si>
  <si>
    <t xml:space="preserve">You have filled all 5000 rows, so data is probably being cut off. Summarise the GL by month before pasting, or extend the formulas by copying the last row down.</t>
  </si>
  <si>
    <t xml:space="preserve">C10</t>
  </si>
  <si>
    <t xml:space="preserve">No possible duplicate journal lines (same account, date and amount)</t>
  </si>
  <si>
    <t xml:space="preserve">Sort GL_Data by column V. Recurring journals of identical value are legitimate; a double-posted invoice is not.</t>
  </si>
  <si>
    <t xml:space="preserve">C11</t>
  </si>
  <si>
    <t xml:space="preserve">No transactions dated in the future</t>
  </si>
  <si>
    <t xml:space="preserve">Usually a typed date error (wrong year). Check them before reporting.</t>
  </si>
  <si>
    <t xml:space="preserve">C12</t>
  </si>
  <si>
    <t xml:space="preserve">No weekend postings</t>
  </si>
  <si>
    <t xml:space="preserve">Not wrong in itself, but weekend manual journals are a standard fraud-risk indicator. Check who posted them.</t>
  </si>
  <si>
    <t xml:space="preserve">C13</t>
  </si>
  <si>
    <t xml:space="preserve">No round-dollar postings of $10,000 or more</t>
  </si>
  <si>
    <t xml:space="preserve">Large round numbers are usually accruals or estimates. Confirm each one is supported.</t>
  </si>
  <si>
    <t xml:space="preserve">C14</t>
  </si>
  <si>
    <t xml:space="preserve">Every GL line has a description</t>
  </si>
  <si>
    <t xml:space="preserve">Unexplained journals are the hardest thing to defend at audit. Get narrations added at source.</t>
  </si>
  <si>
    <t xml:space="preserve">C15</t>
  </si>
  <si>
    <t xml:space="preserve">No nil-value GL lines</t>
  </si>
  <si>
    <t xml:space="preserve">Harmless but they bloat the file and hide reversals. Consider stripping them from the export.</t>
  </si>
  <si>
    <t xml:space="preserve">C16</t>
  </si>
  <si>
    <t xml:space="preserve">Every mapped account has a valid group</t>
  </si>
  <si>
    <t xml:space="preserve">Those accounts fall out of the summary entirely. Set the Group on COA_Mapping using the dropdown.</t>
  </si>
  <si>
    <t xml:space="preserve">C17</t>
  </si>
  <si>
    <t xml:space="preserve">Accounts in COA_Mapping with no GL activity</t>
  </si>
  <si>
    <t xml:space="preserve">Dormant accounts. Harmless, but if an account you expected to see is here the name probably does not match the GL exactly.</t>
  </si>
  <si>
    <t xml:space="preserve">C18</t>
  </si>
  <si>
    <t xml:space="preserve">High risk movements all have a controller comment</t>
  </si>
  <si>
    <t xml:space="preserve">This is your sign-off. Every High flag needs an explanation before the pack goes out.</t>
  </si>
  <si>
    <t xml:space="preserve">C19</t>
  </si>
  <si>
    <t xml:space="preserve">Thresholds on Setup are sensible (High % above Medium %)</t>
  </si>
  <si>
    <t xml:space="preserve">Setup B16 must be greater than B15, otherwise the Medium band never triggers.</t>
  </si>
  <si>
    <t xml:space="preserve">OVERALL</t>
  </si>
  <si>
    <t xml:space="preserve">Controls failing (must be fixed before the pack is used)</t>
  </si>
  <si>
    <t xml:space="preserve">Controls needing review</t>
  </si>
  <si>
    <t xml:space="preserve">Controls passed</t>
  </si>
  <si>
    <t xml:space="preserve">Data Engine  -  account by period aggregation</t>
  </si>
  <si>
    <t xml:space="preserve">Calculated sheet. Every analysis sheet reads from here, so the GL is scanned once instead of once per report. Nothing on this sheet should ever be typed into.</t>
  </si>
  <si>
    <t xml:space="preserve">period no</t>
  </si>
  <si>
    <t xml:space="preserve">match key</t>
  </si>
  <si>
    <t xml:space="preserve">CY Total</t>
  </si>
  <si>
    <t xml:space="preserve">Active</t>
  </si>
  <si>
    <t xml:space="preserve">Reference Lists</t>
  </si>
  <si>
    <t xml:space="preserve">Drives the dropdowns, the sign convention and the report order. Edit the group names only if your chart of accounts uses different ones.</t>
  </si>
  <si>
    <t xml:space="preserve">Block</t>
  </si>
  <si>
    <t xml:space="preserve">P&amp;L</t>
  </si>
  <si>
    <t xml:space="preserve">Trading</t>
  </si>
  <si>
    <t xml:space="preserve">Below EBITDA</t>
  </si>
  <si>
    <t xml:space="preserve">Tax</t>
  </si>
  <si>
    <t xml:space="preserve">BS</t>
  </si>
  <si>
    <t xml:space="preserve">Assets</t>
  </si>
  <si>
    <t xml:space="preserve">Liabilities</t>
  </si>
  <si>
    <t xml:space="preserve">Division / Tracking Category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</si>
</sst>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\$#,##0;&quot;($&quot;#,##0\);\-"/>
    <numFmt numFmtId="167" formatCode="0.0%;\(0.0%\);\-"/>
    <numFmt numFmtId="168" formatCode="#,##0;\(#,##0\);\-"/>
    <numFmt numFmtId="169" formatCode="dd/mm/yyyy"/>
    <numFmt numFmtId="170" formatCode="\$#,##0.00;&quot;($&quot;#,##0.00\);\-"/>
    <numFmt numFmtId="171" formatCode="0.0&quot;pp&quot;;\(0.0&quot;pp)&quot;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8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BFBFB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2E5C8A"/>
        <bgColor rgb="FF2E75B6"/>
      </patternFill>
    </fill>
    <fill>
      <patternFill patternType="solid">
        <fgColor rgb="FFFFC7CE"/>
        <bgColor rgb="FFFDECEA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EDEDED"/>
      </patternFill>
    </fill>
    <fill>
      <patternFill patternType="solid">
        <fgColor rgb="FFF2F2F2"/>
        <bgColor rgb="FFEDEDED"/>
      </patternFill>
    </fill>
    <fill>
      <patternFill patternType="solid">
        <fgColor rgb="FFFFF2CC"/>
        <bgColor rgb="FFFFF7E0"/>
      </patternFill>
    </fill>
    <fill>
      <patternFill patternType="solid">
        <fgColor rgb="FFFFFFFF"/>
        <bgColor rgb="FFF7F7F7"/>
      </patternFill>
    </fill>
    <fill>
      <patternFill patternType="solid">
        <fgColor rgb="FFEDEDED"/>
        <bgColor rgb="FFF2F2F2"/>
      </patternFill>
    </fill>
    <fill>
      <patternFill patternType="solid">
        <fgColor rgb="FF7F6000"/>
        <bgColor rgb="FF9C6500"/>
      </patternFill>
    </fill>
    <fill>
      <patternFill patternType="solid">
        <fgColor rgb="FF404040"/>
        <bgColor rgb="FF1F3864"/>
      </patternFill>
    </fill>
    <fill>
      <patternFill patternType="solid">
        <fgColor rgb="FF1F3864"/>
        <bgColor rgb="FF404040"/>
      </patternFill>
    </fill>
    <fill>
      <patternFill patternType="solid">
        <fgColor rgb="FFF7F7F7"/>
        <bgColor rgb="FFF2F2F2"/>
      </patternFill>
    </fill>
    <fill>
      <patternFill patternType="solid">
        <fgColor rgb="FF548235"/>
        <bgColor rgb="FF595959"/>
      </patternFill>
    </fill>
    <fill>
      <patternFill patternType="solid">
        <fgColor rgb="FF2E75B6"/>
        <bgColor rgb="FF2E5C8A"/>
      </patternFill>
    </fill>
    <fill>
      <patternFill patternType="solid">
        <fgColor rgb="FF808080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3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8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9C0006"/>
      </font>
      <fill>
        <patternFill>
          <bgColor rgb="FFFDECEA"/>
        </patternFill>
      </fill>
    </dxf>
    <dxf>
      <font>
        <color rgb="FF9C6500"/>
      </font>
      <fill>
        <patternFill>
          <bgColor rgb="FFFFF7E0"/>
        </patternFill>
      </fill>
    </dxf>
    <dxf>
      <font>
        <b val="1"/>
        <color rgb="FF808080"/>
      </font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FF7E0"/>
      <rgbColor rgb="FFF2F2F2"/>
      <rgbColor rgb="FF660066"/>
      <rgbColor rgb="FFFF8080"/>
      <rgbColor rgb="FF0066CC"/>
      <rgbColor rgb="FFFDEC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F7F7F7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1F3864"/>
      <rgbColor rgb="FF548235"/>
      <rgbColor rgb="FF006100"/>
      <rgbColor rgb="FF333300"/>
      <rgbColor rgb="FF9C6500"/>
      <rgbColor rgb="FF993366"/>
      <rgbColor rgb="FF2E5C8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9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8" hidden="false" customHeight="true" outlineLevel="0" collapsed="false">
      <c r="A4" s="3" t="s">
        <v>2</v>
      </c>
      <c r="B4" s="4"/>
      <c r="C4" s="4"/>
    </row>
    <row r="5" customFormat="false" ht="39" hidden="false" customHeight="true" outlineLevel="0" collapsed="false">
      <c r="B5" s="5" t="s">
        <v>3</v>
      </c>
      <c r="C5" s="6" t="s">
        <v>4</v>
      </c>
    </row>
    <row r="6" customFormat="false" ht="39" hidden="false" customHeight="true" outlineLevel="0" collapsed="false">
      <c r="B6" s="5" t="s">
        <v>5</v>
      </c>
      <c r="C6" s="6" t="s">
        <v>6</v>
      </c>
    </row>
    <row r="7" customFormat="false" ht="25.5" hidden="false" customHeight="true" outlineLevel="0" collapsed="false">
      <c r="B7" s="5" t="s">
        <v>7</v>
      </c>
      <c r="C7" s="6" t="s">
        <v>8</v>
      </c>
    </row>
    <row r="8" customFormat="false" ht="25.5" hidden="false" customHeight="true" outlineLevel="0" collapsed="false">
      <c r="B8" s="5" t="s">
        <v>9</v>
      </c>
      <c r="C8" s="6" t="s">
        <v>10</v>
      </c>
    </row>
    <row r="10" customFormat="false" ht="18" hidden="false" customHeight="true" outlineLevel="0" collapsed="false">
      <c r="A10" s="3" t="s">
        <v>11</v>
      </c>
      <c r="B10" s="4"/>
      <c r="C10" s="4"/>
    </row>
    <row r="11" customFormat="false" ht="13.5" hidden="false" customHeight="true" outlineLevel="0" collapsed="false">
      <c r="B11" s="5" t="s">
        <v>12</v>
      </c>
      <c r="C11" s="6" t="s">
        <v>13</v>
      </c>
    </row>
    <row r="12" customFormat="false" ht="13.5" hidden="false" customHeight="true" outlineLevel="0" collapsed="false">
      <c r="B12" s="5" t="s">
        <v>14</v>
      </c>
      <c r="C12" s="6" t="s">
        <v>15</v>
      </c>
    </row>
    <row r="13" customFormat="false" ht="13.5" hidden="false" customHeight="true" outlineLevel="0" collapsed="false">
      <c r="B13" s="5" t="s">
        <v>16</v>
      </c>
      <c r="C13" s="6" t="s">
        <v>17</v>
      </c>
    </row>
    <row r="14" customFormat="false" ht="25.5" hidden="false" customHeight="true" outlineLevel="0" collapsed="false">
      <c r="B14" s="5" t="s">
        <v>18</v>
      </c>
      <c r="C14" s="6" t="s">
        <v>19</v>
      </c>
    </row>
    <row r="15" customFormat="false" ht="13.5" hidden="false" customHeight="true" outlineLevel="0" collapsed="false">
      <c r="B15" s="5" t="s">
        <v>20</v>
      </c>
      <c r="C15" s="6" t="s">
        <v>21</v>
      </c>
    </row>
    <row r="16" customFormat="false" ht="13.5" hidden="false" customHeight="true" outlineLevel="0" collapsed="false">
      <c r="B16" s="5" t="s">
        <v>22</v>
      </c>
      <c r="C16" s="6" t="s">
        <v>23</v>
      </c>
    </row>
    <row r="17" customFormat="false" ht="25.5" hidden="false" customHeight="true" outlineLevel="0" collapsed="false">
      <c r="B17" s="5" t="s">
        <v>24</v>
      </c>
      <c r="C17" s="6" t="s">
        <v>25</v>
      </c>
    </row>
    <row r="18" customFormat="false" ht="13.5" hidden="false" customHeight="true" outlineLevel="0" collapsed="false">
      <c r="B18" s="5" t="s">
        <v>26</v>
      </c>
      <c r="C18" s="6" t="s">
        <v>27</v>
      </c>
    </row>
    <row r="19" customFormat="false" ht="13.5" hidden="false" customHeight="true" outlineLevel="0" collapsed="false">
      <c r="B19" s="5" t="s">
        <v>28</v>
      </c>
      <c r="C19" s="6" t="s">
        <v>29</v>
      </c>
    </row>
    <row r="20" customFormat="false" ht="13.5" hidden="false" customHeight="true" outlineLevel="0" collapsed="false">
      <c r="B20" s="5" t="s">
        <v>30</v>
      </c>
      <c r="C20" s="6" t="s">
        <v>31</v>
      </c>
    </row>
    <row r="22" customFormat="false" ht="18" hidden="false" customHeight="true" outlineLevel="0" collapsed="false">
      <c r="A22" s="3" t="s">
        <v>32</v>
      </c>
      <c r="B22" s="4"/>
      <c r="C22" s="4"/>
    </row>
    <row r="23" customFormat="false" ht="25.5" hidden="false" customHeight="true" outlineLevel="0" collapsed="false">
      <c r="B23" s="7" t="s">
        <v>33</v>
      </c>
      <c r="C23" s="6" t="s">
        <v>34</v>
      </c>
    </row>
    <row r="24" customFormat="false" ht="15.75" hidden="false" customHeight="true" outlineLevel="0" collapsed="false">
      <c r="B24" s="8" t="s">
        <v>35</v>
      </c>
      <c r="C24" s="6" t="s">
        <v>36</v>
      </c>
    </row>
    <row r="25" customFormat="false" ht="15.75" hidden="false" customHeight="true" outlineLevel="0" collapsed="false">
      <c r="B25" s="9" t="s">
        <v>37</v>
      </c>
      <c r="C25" s="6" t="s">
        <v>38</v>
      </c>
    </row>
    <row r="26" customFormat="false" ht="15.75" hidden="false" customHeight="true" outlineLevel="0" collapsed="false">
      <c r="B26" s="10" t="s">
        <v>39</v>
      </c>
      <c r="C26" s="6" t="s">
        <v>40</v>
      </c>
    </row>
    <row r="28" customFormat="false" ht="15" hidden="false" customHeight="false" outlineLevel="0" collapsed="false">
      <c r="B28" s="11" t="s">
        <v>41</v>
      </c>
      <c r="C28" s="12" t="s">
        <v>42</v>
      </c>
    </row>
    <row r="29" customFormat="false" ht="15" hidden="false" customHeight="false" outlineLevel="0" collapsed="false">
      <c r="B29" s="13" t="s">
        <v>43</v>
      </c>
      <c r="C29" s="12" t="s">
        <v>44</v>
      </c>
    </row>
    <row r="30" customFormat="false" ht="15" hidden="false" customHeight="false" outlineLevel="0" collapsed="false">
      <c r="B30" s="14" t="s">
        <v>45</v>
      </c>
      <c r="C30" s="12" t="s">
        <v>46</v>
      </c>
    </row>
    <row r="32" customFormat="false" ht="18" hidden="false" customHeight="true" outlineLevel="0" collapsed="false">
      <c r="A32" s="3" t="s">
        <v>47</v>
      </c>
      <c r="B32" s="4"/>
      <c r="C32" s="4"/>
    </row>
    <row r="33" customFormat="false" ht="51.75" hidden="false" customHeight="true" outlineLevel="0" collapsed="false">
      <c r="B33" s="5" t="s">
        <v>48</v>
      </c>
      <c r="C33" s="6" t="s">
        <v>49</v>
      </c>
    </row>
    <row r="34" customFormat="false" ht="25.5" hidden="false" customHeight="true" outlineLevel="0" collapsed="false">
      <c r="B34" s="5" t="s">
        <v>50</v>
      </c>
      <c r="C34" s="6" t="s">
        <v>51</v>
      </c>
    </row>
    <row r="35" customFormat="false" ht="39" hidden="false" customHeight="true" outlineLevel="0" collapsed="false">
      <c r="B35" s="5" t="s">
        <v>52</v>
      </c>
      <c r="C35" s="6" t="s">
        <v>53</v>
      </c>
    </row>
    <row r="37" customFormat="false" ht="18" hidden="false" customHeight="true" outlineLevel="0" collapsed="false">
      <c r="A37" s="3" t="s">
        <v>54</v>
      </c>
      <c r="B37" s="4"/>
      <c r="C37" s="4"/>
    </row>
    <row r="38" customFormat="false" ht="25.5" hidden="false" customHeight="true" outlineLevel="0" collapsed="false">
      <c r="B38" s="5" t="s">
        <v>55</v>
      </c>
      <c r="C38" s="6" t="s">
        <v>56</v>
      </c>
    </row>
    <row r="39" customFormat="false" ht="25.5" hidden="false" customHeight="true" outlineLevel="0" collapsed="false">
      <c r="B39" s="5" t="s">
        <v>57</v>
      </c>
      <c r="C39" s="6" t="s">
        <v>58</v>
      </c>
    </row>
    <row r="40" customFormat="false" ht="25.5" hidden="false" customHeight="true" outlineLevel="0" collapsed="false">
      <c r="B40" s="5" t="s">
        <v>59</v>
      </c>
      <c r="C40" s="6" t="s">
        <v>60</v>
      </c>
    </row>
    <row r="41" customFormat="false" ht="25.5" hidden="false" customHeight="true" outlineLevel="0" collapsed="false">
      <c r="B41" s="5" t="s">
        <v>61</v>
      </c>
      <c r="C41" s="6" t="s">
        <v>62</v>
      </c>
    </row>
    <row r="42" customFormat="false" ht="25.5" hidden="false" customHeight="true" outlineLevel="0" collapsed="false">
      <c r="B42" s="5" t="s">
        <v>63</v>
      </c>
      <c r="C42" s="6" t="s">
        <v>64</v>
      </c>
    </row>
    <row r="43" customFormat="false" ht="25.5" hidden="false" customHeight="true" outlineLevel="0" collapsed="false">
      <c r="B43" s="5" t="s">
        <v>65</v>
      </c>
      <c r="C43" s="6" t="s">
        <v>66</v>
      </c>
    </row>
    <row r="45" customFormat="false" ht="39.75" hidden="false" customHeight="true" outlineLevel="0" collapsed="false">
      <c r="B45" s="5" t="s">
        <v>67</v>
      </c>
      <c r="C45" s="15" t="s">
        <v>68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C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8.55" hidden="false" customHeight="false" outlineLevel="0" collapsed="false">
      <c r="A1" s="1" t="s">
        <v>69</v>
      </c>
    </row>
    <row r="2" customFormat="false" ht="15" hidden="false" customHeight="false" outlineLevel="0" collapsed="false">
      <c r="A2" s="2" t="s">
        <v>70</v>
      </c>
    </row>
    <row r="3" customFormat="false" ht="18" hidden="false" customHeight="true" outlineLevel="0" collapsed="false">
      <c r="A3" s="3" t="s">
        <v>71</v>
      </c>
      <c r="B3" s="4"/>
      <c r="C3" s="4"/>
    </row>
    <row r="4" customFormat="false" ht="15" hidden="false" customHeight="false" outlineLevel="0" collapsed="false">
      <c r="A4" s="16" t="s">
        <v>72</v>
      </c>
      <c r="B4" s="11" t="s">
        <v>73</v>
      </c>
    </row>
    <row r="5" customFormat="false" ht="15" hidden="false" customHeight="false" outlineLevel="0" collapsed="false">
      <c r="A5" s="16" t="s">
        <v>74</v>
      </c>
      <c r="B5" s="11" t="s">
        <v>75</v>
      </c>
    </row>
    <row r="6" customFormat="false" ht="15" hidden="false" customHeight="false" outlineLevel="0" collapsed="false">
      <c r="A6" s="16" t="s">
        <v>76</v>
      </c>
      <c r="B6" s="11" t="n">
        <v>7</v>
      </c>
    </row>
    <row r="7" customFormat="false" ht="15" hidden="false" customHeight="false" outlineLevel="0" collapsed="false">
      <c r="A7" s="16" t="s">
        <v>77</v>
      </c>
      <c r="B7" s="11" t="n">
        <v>2027</v>
      </c>
    </row>
    <row r="8" customFormat="false" ht="15" hidden="false" customHeight="false" outlineLevel="0" collapsed="false">
      <c r="A8" s="16" t="s">
        <v>78</v>
      </c>
      <c r="B8" s="11" t="n">
        <v>3</v>
      </c>
    </row>
    <row r="9" customFormat="false" ht="15" hidden="false" customHeight="false" outlineLevel="0" collapsed="false">
      <c r="A9" s="16" t="s">
        <v>79</v>
      </c>
      <c r="B9" s="17" t="n">
        <f aca="false">$B$7-1</f>
        <v>2026</v>
      </c>
    </row>
    <row r="10" customFormat="false" ht="15" hidden="false" customHeight="false" outlineLevel="0" collapsed="false">
      <c r="A10" s="16" t="s">
        <v>80</v>
      </c>
      <c r="B10" s="17" t="str">
        <f aca="false">TEXT(DATE($B$7-IF(AND($B$6&gt;1,MOD($B$6+$B$8-2,12)+1&gt;=$B$6),1,0),MOD($B$6+$B$8-2,12)+1,1),"MMMM YYYY")</f>
        <v>September 2026</v>
      </c>
    </row>
    <row r="11" customFormat="false" ht="15" hidden="false" customHeight="false" outlineLevel="0" collapsed="false">
      <c r="A11" s="16" t="s">
        <v>81</v>
      </c>
      <c r="B11" s="17" t="str">
        <f aca="false">TEXT(DATE($B$9-IF(AND($B$6&gt;1,MOD($B$6+$B$8-2,12)+1&gt;=$B$6),1,0),MOD($B$6+$B$8-2,12)+1,1),"MMMM YYYY")</f>
        <v>September 2025</v>
      </c>
    </row>
    <row r="13" customFormat="false" ht="18" hidden="false" customHeight="true" outlineLevel="0" collapsed="false">
      <c r="A13" s="3" t="s">
        <v>82</v>
      </c>
      <c r="B13" s="4"/>
      <c r="C13" s="4"/>
    </row>
    <row r="14" customFormat="false" ht="15" hidden="false" customHeight="false" outlineLevel="0" collapsed="false">
      <c r="A14" s="16" t="s">
        <v>83</v>
      </c>
      <c r="B14" s="18" t="n">
        <v>5000</v>
      </c>
    </row>
    <row r="15" customFormat="false" ht="15" hidden="false" customHeight="false" outlineLevel="0" collapsed="false">
      <c r="A15" s="16" t="s">
        <v>84</v>
      </c>
      <c r="B15" s="19" t="n">
        <v>0.1</v>
      </c>
    </row>
    <row r="16" customFormat="false" ht="15" hidden="false" customHeight="false" outlineLevel="0" collapsed="false">
      <c r="A16" s="16" t="s">
        <v>85</v>
      </c>
      <c r="B16" s="19" t="n">
        <v>0.25</v>
      </c>
    </row>
    <row r="17" customFormat="false" ht="15" hidden="false" customHeight="false" outlineLevel="0" collapsed="false">
      <c r="A17" s="16" t="s">
        <v>86</v>
      </c>
      <c r="B17" s="18" t="n">
        <v>50000</v>
      </c>
    </row>
    <row r="18" customFormat="false" ht="15" hidden="false" customHeight="false" outlineLevel="0" collapsed="false">
      <c r="A18" s="16" t="s">
        <v>87</v>
      </c>
      <c r="B18" s="20" t="n">
        <v>3</v>
      </c>
      <c r="C18" s="21" t="s">
        <v>88</v>
      </c>
    </row>
    <row r="20" customFormat="false" ht="18" hidden="false" customHeight="true" outlineLevel="0" collapsed="false">
      <c r="A20" s="3" t="s">
        <v>89</v>
      </c>
      <c r="B20" s="4"/>
      <c r="C20" s="4"/>
    </row>
    <row r="21" customFormat="false" ht="15" hidden="false" customHeight="false" outlineLevel="0" collapsed="false">
      <c r="A21" s="16" t="s">
        <v>90</v>
      </c>
      <c r="B21" s="20" t="n">
        <f aca="false">COUNT(GL_Data!$A$8:$A$5007)</f>
        <v>0</v>
      </c>
    </row>
    <row r="22" customFormat="false" ht="15" hidden="false" customHeight="false" outlineLevel="0" collapsed="false">
      <c r="A22" s="16" t="s">
        <v>91</v>
      </c>
      <c r="B22" s="20" t="n">
        <f aca="false">5000</f>
        <v>5000</v>
      </c>
    </row>
    <row r="23" customFormat="false" ht="15" hidden="false" customHeight="false" outlineLevel="0" collapsed="false">
      <c r="A23" s="16" t="s">
        <v>92</v>
      </c>
      <c r="B23" s="22" t="str">
        <f aca="false">IF($B$21=0,"",MIN(GL_Data!$A$8:$A$5007))</f>
        <v/>
      </c>
    </row>
    <row r="24" customFormat="false" ht="15" hidden="false" customHeight="false" outlineLevel="0" collapsed="false">
      <c r="A24" s="16" t="s">
        <v>93</v>
      </c>
      <c r="B24" s="22" t="str">
        <f aca="false">IF($B$21=0,"",MAX(GL_Data!$A$8:$A$5007))</f>
        <v/>
      </c>
    </row>
    <row r="25" customFormat="false" ht="15" hidden="false" customHeight="false" outlineLevel="0" collapsed="false">
      <c r="A25" s="16" t="s">
        <v>94</v>
      </c>
      <c r="B25" s="20" t="n">
        <f aca="false">COUNTA(COA_Mapping!$A$7:$A$256)</f>
        <v>190</v>
      </c>
    </row>
    <row r="26" customFormat="false" ht="15" hidden="false" customHeight="false" outlineLevel="0" collapsed="false">
      <c r="A26" s="16" t="s">
        <v>95</v>
      </c>
      <c r="B26" s="20" t="n">
        <f aca="false">COUNTIF(GL_Data!$T$8:$T$5007,"UNMAPPED")</f>
        <v>0</v>
      </c>
    </row>
    <row r="27" customFormat="false" ht="15" hidden="false" customHeight="false" outlineLevel="0" collapsed="false">
      <c r="A27" s="16" t="s">
        <v>96</v>
      </c>
      <c r="B27" s="20" t="n">
        <f aca="false">COUNTIF(GL_Data!$T$8:$T$5007,"OUTSIDE FY RANGE")</f>
        <v>0</v>
      </c>
    </row>
    <row r="28" customFormat="false" ht="15" hidden="false" customHeight="false" outlineLevel="0" collapsed="false">
      <c r="A28" s="16" t="s">
        <v>97</v>
      </c>
      <c r="B28" s="23" t="n">
        <f aca="false">SUM(GL_Data!$G$8:$G$5007)</f>
        <v>0</v>
      </c>
    </row>
    <row r="29" customFormat="false" ht="15" hidden="false" customHeight="false" outlineLevel="0" collapsed="false">
      <c r="A29" s="16" t="s">
        <v>98</v>
      </c>
      <c r="B29" s="23" t="n">
        <f aca="false">SUM(GL_Data!$H$8:$H$5007)</f>
        <v>0</v>
      </c>
    </row>
    <row r="30" customFormat="false" ht="15" hidden="false" customHeight="false" outlineLevel="0" collapsed="false">
      <c r="A30" s="16" t="s">
        <v>99</v>
      </c>
      <c r="B30" s="23" t="n">
        <f aca="false">ROUND($B$28-$B$29,2)</f>
        <v>0</v>
      </c>
    </row>
    <row r="32" customFormat="false" ht="18" hidden="false" customHeight="true" outlineLevel="0" collapsed="false">
      <c r="A32" s="3" t="s">
        <v>100</v>
      </c>
      <c r="B32" s="4"/>
      <c r="C32" s="4"/>
    </row>
    <row r="33" customFormat="false" ht="27.75" hidden="false" customHeight="true" outlineLevel="0" collapsed="false">
      <c r="A33" s="10" t="s">
        <v>39</v>
      </c>
      <c r="B33" s="24" t="s">
        <v>101</v>
      </c>
      <c r="C33" s="24"/>
    </row>
    <row r="34" customFormat="false" ht="27.75" hidden="false" customHeight="true" outlineLevel="0" collapsed="false">
      <c r="A34" s="9" t="s">
        <v>102</v>
      </c>
      <c r="B34" s="24" t="s">
        <v>103</v>
      </c>
      <c r="C34" s="24"/>
    </row>
    <row r="35" customFormat="false" ht="27.75" hidden="false" customHeight="true" outlineLevel="0" collapsed="false">
      <c r="A35" s="8" t="s">
        <v>104</v>
      </c>
      <c r="B35" s="24" t="s">
        <v>105</v>
      </c>
      <c r="C35" s="24"/>
    </row>
    <row r="36" customFormat="false" ht="27.75" hidden="false" customHeight="true" outlineLevel="0" collapsed="false">
      <c r="A36" s="7" t="s">
        <v>106</v>
      </c>
      <c r="B36" s="24" t="s">
        <v>107</v>
      </c>
      <c r="C36" s="24"/>
    </row>
  </sheetData>
  <mergeCells count="4">
    <mergeCell ref="B33:C33"/>
    <mergeCell ref="B34:C34"/>
    <mergeCell ref="B35:C35"/>
    <mergeCell ref="B36:C36"/>
  </mergeCells>
  <conditionalFormatting sqref="B30">
    <cfRule type="expression" priority="2" aboveAverage="0" equalAverage="0" bottom="0" percent="0" rank="0" text="" dxfId="0">
      <formula>ROUND($B$30,2)&lt;&gt;0</formula>
    </cfRule>
    <cfRule type="expression" priority="3" aboveAverage="0" equalAverage="0" bottom="0" percent="0" rank="0" text="" dxfId="1">
      <formula>ROUND($B$30,2)=0</formula>
    </cfRule>
  </conditionalFormatting>
  <conditionalFormatting sqref="B26">
    <cfRule type="expression" priority="4" aboveAverage="0" equalAverage="0" bottom="0" percent="0" rank="0" text="" dxfId="0">
      <formula>$B$26&gt;0</formula>
    </cfRule>
  </conditionalFormatting>
  <dataValidations count="1">
    <dataValidation allowBlank="false" error="Enter a whole number from 1 to 12." errorStyle="stop" errorTitle="Out of range" operator="between" showDropDown="false" showErrorMessage="true" showInputMessage="false" sqref="B6 B8" type="whole">
      <formula1>1</formula1>
      <formula2>12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V5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8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9" min="7" style="0" width="13"/>
    <col collapsed="false" customWidth="true" hidden="false" outlineLevel="0" max="11" min="10" style="0" width="7"/>
    <col collapsed="false" customWidth="true" hidden="false" outlineLevel="0" max="12" min="12" style="0" width="10"/>
    <col collapsed="false" customWidth="true" hidden="false" outlineLevel="0" max="13" min="13" style="0" width="20"/>
    <col collapsed="false" customWidth="true" hidden="false" outlineLevel="0" max="14" min="14" style="0" width="9"/>
    <col collapsed="false" customWidth="true" hidden="false" outlineLevel="0" max="15" min="15" style="0" width="6"/>
    <col collapsed="false" customWidth="true" hidden="false" outlineLevel="0" max="16" min="16" style="0" width="13"/>
    <col collapsed="false" customWidth="true" hidden="false" outlineLevel="0" max="18" min="17" style="0" width="7"/>
    <col collapsed="false" customWidth="true" hidden="false" outlineLevel="0" max="19" min="19" style="0" width="11"/>
    <col collapsed="false" customWidth="true" hidden="false" outlineLevel="0" max="20" min="20" style="0" width="17"/>
    <col collapsed="false" customWidth="true" hidden="false" outlineLevel="0" max="21" min="21" style="0" width="30"/>
    <col collapsed="false" customWidth="true" hidden="false" outlineLevel="0" max="22" min="22" style="0" width="7"/>
  </cols>
  <sheetData>
    <row r="1" customFormat="false" ht="18.5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5" customFormat="false" ht="18" hidden="false" customHeight="true" outlineLevel="0" collapsed="false">
      <c r="A5" s="25" t="s">
        <v>110</v>
      </c>
      <c r="B5" s="26"/>
      <c r="C5" s="26"/>
      <c r="D5" s="26"/>
      <c r="E5" s="26"/>
      <c r="F5" s="26"/>
      <c r="G5" s="26"/>
      <c r="H5" s="26"/>
      <c r="I5" s="27" t="s">
        <v>111</v>
      </c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</row>
    <row r="6" customFormat="false" ht="15" hidden="false" customHeight="false" outlineLevel="0" collapsed="false">
      <c r="A6" s="29" t="s">
        <v>112</v>
      </c>
      <c r="B6" s="29" t="s">
        <v>113</v>
      </c>
      <c r="G6" s="29" t="s">
        <v>114</v>
      </c>
    </row>
    <row r="7" customFormat="false" ht="31.5" hidden="false" customHeight="true" outlineLevel="0" collapsed="false">
      <c r="A7" s="30" t="s">
        <v>115</v>
      </c>
      <c r="B7" s="30" t="s">
        <v>116</v>
      </c>
      <c r="C7" s="30" t="s">
        <v>117</v>
      </c>
      <c r="D7" s="30" t="s">
        <v>118</v>
      </c>
      <c r="E7" s="30" t="s">
        <v>119</v>
      </c>
      <c r="F7" s="30" t="s">
        <v>120</v>
      </c>
      <c r="G7" s="30" t="s">
        <v>121</v>
      </c>
      <c r="H7" s="30" t="s">
        <v>122</v>
      </c>
      <c r="I7" s="30" t="s">
        <v>123</v>
      </c>
      <c r="J7" s="30" t="s">
        <v>124</v>
      </c>
      <c r="K7" s="30" t="s">
        <v>125</v>
      </c>
      <c r="L7" s="30" t="s">
        <v>126</v>
      </c>
      <c r="M7" s="30" t="s">
        <v>127</v>
      </c>
      <c r="N7" s="30" t="s">
        <v>128</v>
      </c>
      <c r="O7" s="30" t="s">
        <v>129</v>
      </c>
      <c r="P7" s="30" t="s">
        <v>130</v>
      </c>
      <c r="Q7" s="30" t="s">
        <v>131</v>
      </c>
      <c r="R7" s="30" t="s">
        <v>132</v>
      </c>
      <c r="S7" s="30" t="s">
        <v>133</v>
      </c>
      <c r="T7" s="30" t="s">
        <v>134</v>
      </c>
      <c r="U7" s="30" t="s">
        <v>135</v>
      </c>
      <c r="V7" s="30" t="s">
        <v>136</v>
      </c>
    </row>
    <row r="8" customFormat="false" ht="15" hidden="false" customHeight="false" outlineLevel="0" collapsed="false">
      <c r="A8" s="31"/>
      <c r="B8" s="32"/>
      <c r="C8" s="32"/>
      <c r="D8" s="32"/>
      <c r="E8" s="32"/>
      <c r="F8" s="32"/>
      <c r="G8" s="33"/>
      <c r="H8" s="33"/>
      <c r="I8" s="34" t="str">
        <f aca="false">IF($A8="","",$G8-$H8)</f>
        <v/>
      </c>
      <c r="J8" s="35" t="str">
        <f aca="false">IF($A8="","",IF(Setup!$B$6=1,YEAR($A8),YEAR($A8)+IF(MONTH($A8)&gt;=Setup!$B$6,1,0)))</f>
        <v/>
      </c>
      <c r="K8" s="35" t="str">
        <f aca="false">IF($A8="","",MOD(MONTH($A8)-Setup!$B$6+12,12)+1)</f>
        <v/>
      </c>
      <c r="L8" s="36" t="str">
        <f aca="false">IF($A8="","",TEXT($A8,"MMM-YY"))</f>
        <v/>
      </c>
      <c r="M8" s="37" t="str">
        <f aca="false">IF($A8="","",IF($Q8=0,"UNMAPPED",INDEX(COA_Mapping!$C$7:$C$256,$Q8)))</f>
        <v/>
      </c>
      <c r="N8" s="38" t="str">
        <f aca="false">IF($A8="","",IF($Q8=0,"",INDEX(COA_Mapping!$E$7:$E$256,$Q8)))</f>
        <v/>
      </c>
      <c r="O8" s="38" t="n">
        <f aca="false">IF($A8="",1,IF($Q8=0,1,INDEX(COA_Mapping!$F$7:$F$256,$Q8)))</f>
        <v>1</v>
      </c>
      <c r="P8" s="34" t="str">
        <f aca="false">IF($A8="","",$I8*$O8)</f>
        <v/>
      </c>
      <c r="Q8" s="39" t="n">
        <f aca="false">IF($B8="",0,IFERROR(MATCH($B8,COA_Mapping!$A$7:$A$256,0),0))</f>
        <v>0</v>
      </c>
      <c r="R8" s="39" t="n">
        <f aca="false">IF($A8="",-1,IF($J8=Setup!$B$7,1,IF($J8=Setup!$B$9,0,-1)))</f>
        <v>-1</v>
      </c>
      <c r="S8" s="35" t="n">
        <f aca="false">IF(OR($A8="",$Q8=0,$R8=-1),0,$Q8*1000+$R8*100+$K8)</f>
        <v>0</v>
      </c>
      <c r="T8" s="37" t="str">
        <f aca="false">IF($A8="","",IF($B8="","NO ACCOUNT",IF($Q8=0,"UNMAPPED",IF($R8=-1,"OUTSIDE FY RANGE","OK"))))</f>
        <v/>
      </c>
      <c r="U8" s="40" t="str">
        <f aca="false">IF($A8="","",$B8&amp;"|"&amp;TEXT($A8,"yyyymmdd")&amp;"|"&amp;TEXT($I8,"0.00"))</f>
        <v/>
      </c>
      <c r="V8" s="35" t="str">
        <f aca="false">IF($A8="","",COUNTIF($U$8:$U$5007,$U8))</f>
        <v/>
      </c>
    </row>
    <row r="9" customFormat="false" ht="15" hidden="false" customHeight="false" outlineLevel="0" collapsed="false">
      <c r="A9" s="31"/>
      <c r="B9" s="32"/>
      <c r="C9" s="32"/>
      <c r="D9" s="32"/>
      <c r="E9" s="32"/>
      <c r="F9" s="32"/>
      <c r="G9" s="33"/>
      <c r="H9" s="33"/>
      <c r="I9" s="34" t="str">
        <f aca="false">IF($A9="","",$G9-$H9)</f>
        <v/>
      </c>
      <c r="J9" s="35" t="str">
        <f aca="false">IF($A9="","",IF(Setup!$B$6=1,YEAR($A9),YEAR($A9)+IF(MONTH($A9)&gt;=Setup!$B$6,1,0)))</f>
        <v/>
      </c>
      <c r="K9" s="35" t="str">
        <f aca="false">IF($A9="","",MOD(MONTH($A9)-Setup!$B$6+12,12)+1)</f>
        <v/>
      </c>
      <c r="L9" s="36" t="str">
        <f aca="false">IF($A9="","",TEXT($A9,"MMM-YY"))</f>
        <v/>
      </c>
      <c r="M9" s="37" t="str">
        <f aca="false">IF($A9="","",IF($Q9=0,"UNMAPPED",INDEX(COA_Mapping!$C$7:$C$256,$Q9)))</f>
        <v/>
      </c>
      <c r="N9" s="38" t="str">
        <f aca="false">IF($A9="","",IF($Q9=0,"",INDEX(COA_Mapping!$E$7:$E$256,$Q9)))</f>
        <v/>
      </c>
      <c r="O9" s="38" t="n">
        <f aca="false">IF($A9="",1,IF($Q9=0,1,INDEX(COA_Mapping!$F$7:$F$256,$Q9)))</f>
        <v>1</v>
      </c>
      <c r="P9" s="34" t="str">
        <f aca="false">IF($A9="","",$I9*$O9)</f>
        <v/>
      </c>
      <c r="Q9" s="39" t="n">
        <f aca="false">IF($B9="",0,IFERROR(MATCH($B9,COA_Mapping!$A$7:$A$256,0),0))</f>
        <v>0</v>
      </c>
      <c r="R9" s="39" t="n">
        <f aca="false">IF($A9="",-1,IF($J9=Setup!$B$7,1,IF($J9=Setup!$B$9,0,-1)))</f>
        <v>-1</v>
      </c>
      <c r="S9" s="35" t="n">
        <f aca="false">IF(OR($A9="",$Q9=0,$R9=-1),0,$Q9*1000+$R9*100+$K9)</f>
        <v>0</v>
      </c>
      <c r="T9" s="37" t="str">
        <f aca="false">IF($A9="","",IF($B9="","NO ACCOUNT",IF($Q9=0,"UNMAPPED",IF($R9=-1,"OUTSIDE FY RANGE","OK"))))</f>
        <v/>
      </c>
      <c r="U9" s="40" t="str">
        <f aca="false">IF($A9="","",$B9&amp;"|"&amp;TEXT($A9,"yyyymmdd")&amp;"|"&amp;TEXT($I9,"0.00"))</f>
        <v/>
      </c>
      <c r="V9" s="35" t="str">
        <f aca="false">IF($A9="","",COUNTIF($U$8:$U$5007,$U9))</f>
        <v/>
      </c>
    </row>
    <row r="10" customFormat="false" ht="15" hidden="false" customHeight="false" outlineLevel="0" collapsed="false">
      <c r="A10" s="31"/>
      <c r="B10" s="32"/>
      <c r="C10" s="32"/>
      <c r="D10" s="32"/>
      <c r="E10" s="32"/>
      <c r="F10" s="32"/>
      <c r="G10" s="33"/>
      <c r="H10" s="33"/>
      <c r="I10" s="34" t="str">
        <f aca="false">IF($A10="","",$G10-$H10)</f>
        <v/>
      </c>
      <c r="J10" s="35" t="str">
        <f aca="false">IF($A10="","",IF(Setup!$B$6=1,YEAR($A10),YEAR($A10)+IF(MONTH($A10)&gt;=Setup!$B$6,1,0)))</f>
        <v/>
      </c>
      <c r="K10" s="35" t="str">
        <f aca="false">IF($A10="","",MOD(MONTH($A10)-Setup!$B$6+12,12)+1)</f>
        <v/>
      </c>
      <c r="L10" s="36" t="str">
        <f aca="false">IF($A10="","",TEXT($A10,"MMM-YY"))</f>
        <v/>
      </c>
      <c r="M10" s="37" t="str">
        <f aca="false">IF($A10="","",IF($Q10=0,"UNMAPPED",INDEX(COA_Mapping!$C$7:$C$256,$Q10)))</f>
        <v/>
      </c>
      <c r="N10" s="38" t="str">
        <f aca="false">IF($A10="","",IF($Q10=0,"",INDEX(COA_Mapping!$E$7:$E$256,$Q10)))</f>
        <v/>
      </c>
      <c r="O10" s="38" t="n">
        <f aca="false">IF($A10="",1,IF($Q10=0,1,INDEX(COA_Mapping!$F$7:$F$256,$Q10)))</f>
        <v>1</v>
      </c>
      <c r="P10" s="34" t="str">
        <f aca="false">IF($A10="","",$I10*$O10)</f>
        <v/>
      </c>
      <c r="Q10" s="39" t="n">
        <f aca="false">IF($B10="",0,IFERROR(MATCH($B10,COA_Mapping!$A$7:$A$256,0),0))</f>
        <v>0</v>
      </c>
      <c r="R10" s="39" t="n">
        <f aca="false">IF($A10="",-1,IF($J10=Setup!$B$7,1,IF($J10=Setup!$B$9,0,-1)))</f>
        <v>-1</v>
      </c>
      <c r="S10" s="35" t="n">
        <f aca="false">IF(OR($A10="",$Q10=0,$R10=-1),0,$Q10*1000+$R10*100+$K10)</f>
        <v>0</v>
      </c>
      <c r="T10" s="37" t="str">
        <f aca="false">IF($A10="","",IF($B10="","NO ACCOUNT",IF($Q10=0,"UNMAPPED",IF($R10=-1,"OUTSIDE FY RANGE","OK"))))</f>
        <v/>
      </c>
      <c r="U10" s="40" t="str">
        <f aca="false">IF($A10="","",$B10&amp;"|"&amp;TEXT($A10,"yyyymmdd")&amp;"|"&amp;TEXT($I10,"0.00"))</f>
        <v/>
      </c>
      <c r="V10" s="35" t="str">
        <f aca="false">IF($A10="","",COUNTIF($U$8:$U$5007,$U10))</f>
        <v/>
      </c>
    </row>
    <row r="11" customFormat="false" ht="15" hidden="false" customHeight="false" outlineLevel="0" collapsed="false">
      <c r="A11" s="31"/>
      <c r="B11" s="32"/>
      <c r="C11" s="32"/>
      <c r="D11" s="32"/>
      <c r="E11" s="32"/>
      <c r="F11" s="32"/>
      <c r="G11" s="33"/>
      <c r="H11" s="33"/>
      <c r="I11" s="34" t="str">
        <f aca="false">IF($A11="","",$G11-$H11)</f>
        <v/>
      </c>
      <c r="J11" s="35" t="str">
        <f aca="false">IF($A11="","",IF(Setup!$B$6=1,YEAR($A11),YEAR($A11)+IF(MONTH($A11)&gt;=Setup!$B$6,1,0)))</f>
        <v/>
      </c>
      <c r="K11" s="35" t="str">
        <f aca="false">IF($A11="","",MOD(MONTH($A11)-Setup!$B$6+12,12)+1)</f>
        <v/>
      </c>
      <c r="L11" s="36" t="str">
        <f aca="false">IF($A11="","",TEXT($A11,"MMM-YY"))</f>
        <v/>
      </c>
      <c r="M11" s="37" t="str">
        <f aca="false">IF($A11="","",IF($Q11=0,"UNMAPPED",INDEX(COA_Mapping!$C$7:$C$256,$Q11)))</f>
        <v/>
      </c>
      <c r="N11" s="38" t="str">
        <f aca="false">IF($A11="","",IF($Q11=0,"",INDEX(COA_Mapping!$E$7:$E$256,$Q11)))</f>
        <v/>
      </c>
      <c r="O11" s="38" t="n">
        <f aca="false">IF($A11="",1,IF($Q11=0,1,INDEX(COA_Mapping!$F$7:$F$256,$Q11)))</f>
        <v>1</v>
      </c>
      <c r="P11" s="34" t="str">
        <f aca="false">IF($A11="","",$I11*$O11)</f>
        <v/>
      </c>
      <c r="Q11" s="39" t="n">
        <f aca="false">IF($B11="",0,IFERROR(MATCH($B11,COA_Mapping!$A$7:$A$256,0),0))</f>
        <v>0</v>
      </c>
      <c r="R11" s="39" t="n">
        <f aca="false">IF($A11="",-1,IF($J11=Setup!$B$7,1,IF($J11=Setup!$B$9,0,-1)))</f>
        <v>-1</v>
      </c>
      <c r="S11" s="35" t="n">
        <f aca="false">IF(OR($A11="",$Q11=0,$R11=-1),0,$Q11*1000+$R11*100+$K11)</f>
        <v>0</v>
      </c>
      <c r="T11" s="37" t="str">
        <f aca="false">IF($A11="","",IF($B11="","NO ACCOUNT",IF($Q11=0,"UNMAPPED",IF($R11=-1,"OUTSIDE FY RANGE","OK"))))</f>
        <v/>
      </c>
      <c r="U11" s="40" t="str">
        <f aca="false">IF($A11="","",$B11&amp;"|"&amp;TEXT($A11,"yyyymmdd")&amp;"|"&amp;TEXT($I11,"0.00"))</f>
        <v/>
      </c>
      <c r="V11" s="35" t="str">
        <f aca="false">IF($A11="","",COUNTIF($U$8:$U$5007,$U11))</f>
        <v/>
      </c>
    </row>
    <row r="12" customFormat="false" ht="15" hidden="false" customHeight="false" outlineLevel="0" collapsed="false">
      <c r="A12" s="31"/>
      <c r="B12" s="32"/>
      <c r="C12" s="32"/>
      <c r="D12" s="32"/>
      <c r="E12" s="32"/>
      <c r="F12" s="32"/>
      <c r="G12" s="33"/>
      <c r="H12" s="33"/>
      <c r="I12" s="34" t="str">
        <f aca="false">IF($A12="","",$G12-$H12)</f>
        <v/>
      </c>
      <c r="J12" s="35" t="str">
        <f aca="false">IF($A12="","",IF(Setup!$B$6=1,YEAR($A12),YEAR($A12)+IF(MONTH($A12)&gt;=Setup!$B$6,1,0)))</f>
        <v/>
      </c>
      <c r="K12" s="35" t="str">
        <f aca="false">IF($A12="","",MOD(MONTH($A12)-Setup!$B$6+12,12)+1)</f>
        <v/>
      </c>
      <c r="L12" s="36" t="str">
        <f aca="false">IF($A12="","",TEXT($A12,"MMM-YY"))</f>
        <v/>
      </c>
      <c r="M12" s="37" t="str">
        <f aca="false">IF($A12="","",IF($Q12=0,"UNMAPPED",INDEX(COA_Mapping!$C$7:$C$256,$Q12)))</f>
        <v/>
      </c>
      <c r="N12" s="38" t="str">
        <f aca="false">IF($A12="","",IF($Q12=0,"",INDEX(COA_Mapping!$E$7:$E$256,$Q12)))</f>
        <v/>
      </c>
      <c r="O12" s="38" t="n">
        <f aca="false">IF($A12="",1,IF($Q12=0,1,INDEX(COA_Mapping!$F$7:$F$256,$Q12)))</f>
        <v>1</v>
      </c>
      <c r="P12" s="34" t="str">
        <f aca="false">IF($A12="","",$I12*$O12)</f>
        <v/>
      </c>
      <c r="Q12" s="39" t="n">
        <f aca="false">IF($B12="",0,IFERROR(MATCH($B12,COA_Mapping!$A$7:$A$256,0),0))</f>
        <v>0</v>
      </c>
      <c r="R12" s="39" t="n">
        <f aca="false">IF($A12="",-1,IF($J12=Setup!$B$7,1,IF($J12=Setup!$B$9,0,-1)))</f>
        <v>-1</v>
      </c>
      <c r="S12" s="35" t="n">
        <f aca="false">IF(OR($A12="",$Q12=0,$R12=-1),0,$Q12*1000+$R12*100+$K12)</f>
        <v>0</v>
      </c>
      <c r="T12" s="37" t="str">
        <f aca="false">IF($A12="","",IF($B12="","NO ACCOUNT",IF($Q12=0,"UNMAPPED",IF($R12=-1,"OUTSIDE FY RANGE","OK"))))</f>
        <v/>
      </c>
      <c r="U12" s="40" t="str">
        <f aca="false">IF($A12="","",$B12&amp;"|"&amp;TEXT($A12,"yyyymmdd")&amp;"|"&amp;TEXT($I12,"0.00"))</f>
        <v/>
      </c>
      <c r="V12" s="35" t="str">
        <f aca="false">IF($A12="","",COUNTIF($U$8:$U$5007,$U12))</f>
        <v/>
      </c>
    </row>
    <row r="13" customFormat="false" ht="15" hidden="false" customHeight="false" outlineLevel="0" collapsed="false">
      <c r="A13" s="31"/>
      <c r="B13" s="32"/>
      <c r="C13" s="32"/>
      <c r="D13" s="32"/>
      <c r="E13" s="32"/>
      <c r="F13" s="32"/>
      <c r="G13" s="33"/>
      <c r="H13" s="33"/>
      <c r="I13" s="34" t="str">
        <f aca="false">IF($A13="","",$G13-$H13)</f>
        <v/>
      </c>
      <c r="J13" s="35" t="str">
        <f aca="false">IF($A13="","",IF(Setup!$B$6=1,YEAR($A13),YEAR($A13)+IF(MONTH($A13)&gt;=Setup!$B$6,1,0)))</f>
        <v/>
      </c>
      <c r="K13" s="35" t="str">
        <f aca="false">IF($A13="","",MOD(MONTH($A13)-Setup!$B$6+12,12)+1)</f>
        <v/>
      </c>
      <c r="L13" s="36" t="str">
        <f aca="false">IF($A13="","",TEXT($A13,"MMM-YY"))</f>
        <v/>
      </c>
      <c r="M13" s="37" t="str">
        <f aca="false">IF($A13="","",IF($Q13=0,"UNMAPPED",INDEX(COA_Mapping!$C$7:$C$256,$Q13)))</f>
        <v/>
      </c>
      <c r="N13" s="38" t="str">
        <f aca="false">IF($A13="","",IF($Q13=0,"",INDEX(COA_Mapping!$E$7:$E$256,$Q13)))</f>
        <v/>
      </c>
      <c r="O13" s="38" t="n">
        <f aca="false">IF($A13="",1,IF($Q13=0,1,INDEX(COA_Mapping!$F$7:$F$256,$Q13)))</f>
        <v>1</v>
      </c>
      <c r="P13" s="34" t="str">
        <f aca="false">IF($A13="","",$I13*$O13)</f>
        <v/>
      </c>
      <c r="Q13" s="39" t="n">
        <f aca="false">IF($B13="",0,IFERROR(MATCH($B13,COA_Mapping!$A$7:$A$256,0),0))</f>
        <v>0</v>
      </c>
      <c r="R13" s="39" t="n">
        <f aca="false">IF($A13="",-1,IF($J13=Setup!$B$7,1,IF($J13=Setup!$B$9,0,-1)))</f>
        <v>-1</v>
      </c>
      <c r="S13" s="35" t="n">
        <f aca="false">IF(OR($A13="",$Q13=0,$R13=-1),0,$Q13*1000+$R13*100+$K13)</f>
        <v>0</v>
      </c>
      <c r="T13" s="37" t="str">
        <f aca="false">IF($A13="","",IF($B13="","NO ACCOUNT",IF($Q13=0,"UNMAPPED",IF($R13=-1,"OUTSIDE FY RANGE","OK"))))</f>
        <v/>
      </c>
      <c r="U13" s="40" t="str">
        <f aca="false">IF($A13="","",$B13&amp;"|"&amp;TEXT($A13,"yyyymmdd")&amp;"|"&amp;TEXT($I13,"0.00"))</f>
        <v/>
      </c>
      <c r="V13" s="35" t="str">
        <f aca="false">IF($A13="","",COUNTIF($U$8:$U$5007,$U13))</f>
        <v/>
      </c>
    </row>
    <row r="14" customFormat="false" ht="15" hidden="false" customHeight="false" outlineLevel="0" collapsed="false">
      <c r="A14" s="31"/>
      <c r="B14" s="32"/>
      <c r="C14" s="32"/>
      <c r="D14" s="32"/>
      <c r="E14" s="32"/>
      <c r="F14" s="32"/>
      <c r="G14" s="33"/>
      <c r="H14" s="33"/>
      <c r="I14" s="34" t="str">
        <f aca="false">IF($A14="","",$G14-$H14)</f>
        <v/>
      </c>
      <c r="J14" s="35" t="str">
        <f aca="false">IF($A14="","",IF(Setup!$B$6=1,YEAR($A14),YEAR($A14)+IF(MONTH($A14)&gt;=Setup!$B$6,1,0)))</f>
        <v/>
      </c>
      <c r="K14" s="35" t="str">
        <f aca="false">IF($A14="","",MOD(MONTH($A14)-Setup!$B$6+12,12)+1)</f>
        <v/>
      </c>
      <c r="L14" s="36" t="str">
        <f aca="false">IF($A14="","",TEXT($A14,"MMM-YY"))</f>
        <v/>
      </c>
      <c r="M14" s="37" t="str">
        <f aca="false">IF($A14="","",IF($Q14=0,"UNMAPPED",INDEX(COA_Mapping!$C$7:$C$256,$Q14)))</f>
        <v/>
      </c>
      <c r="N14" s="38" t="str">
        <f aca="false">IF($A14="","",IF($Q14=0,"",INDEX(COA_Mapping!$E$7:$E$256,$Q14)))</f>
        <v/>
      </c>
      <c r="O14" s="38" t="n">
        <f aca="false">IF($A14="",1,IF($Q14=0,1,INDEX(COA_Mapping!$F$7:$F$256,$Q14)))</f>
        <v>1</v>
      </c>
      <c r="P14" s="34" t="str">
        <f aca="false">IF($A14="","",$I14*$O14)</f>
        <v/>
      </c>
      <c r="Q14" s="39" t="n">
        <f aca="false">IF($B14="",0,IFERROR(MATCH($B14,COA_Mapping!$A$7:$A$256,0),0))</f>
        <v>0</v>
      </c>
      <c r="R14" s="39" t="n">
        <f aca="false">IF($A14="",-1,IF($J14=Setup!$B$7,1,IF($J14=Setup!$B$9,0,-1)))</f>
        <v>-1</v>
      </c>
      <c r="S14" s="35" t="n">
        <f aca="false">IF(OR($A14="",$Q14=0,$R14=-1),0,$Q14*1000+$R14*100+$K14)</f>
        <v>0</v>
      </c>
      <c r="T14" s="37" t="str">
        <f aca="false">IF($A14="","",IF($B14="","NO ACCOUNT",IF($Q14=0,"UNMAPPED",IF($R14=-1,"OUTSIDE FY RANGE","OK"))))</f>
        <v/>
      </c>
      <c r="U14" s="40" t="str">
        <f aca="false">IF($A14="","",$B14&amp;"|"&amp;TEXT($A14,"yyyymmdd")&amp;"|"&amp;TEXT($I14,"0.00"))</f>
        <v/>
      </c>
      <c r="V14" s="35" t="str">
        <f aca="false">IF($A14="","",COUNTIF($U$8:$U$5007,$U14))</f>
        <v/>
      </c>
    </row>
    <row r="15" customFormat="false" ht="15" hidden="false" customHeight="false" outlineLevel="0" collapsed="false">
      <c r="A15" s="31"/>
      <c r="B15" s="32"/>
      <c r="C15" s="32"/>
      <c r="D15" s="32"/>
      <c r="E15" s="32"/>
      <c r="F15" s="32"/>
      <c r="G15" s="33"/>
      <c r="H15" s="33"/>
      <c r="I15" s="34" t="str">
        <f aca="false">IF($A15="","",$G15-$H15)</f>
        <v/>
      </c>
      <c r="J15" s="35" t="str">
        <f aca="false">IF($A15="","",IF(Setup!$B$6=1,YEAR($A15),YEAR($A15)+IF(MONTH($A15)&gt;=Setup!$B$6,1,0)))</f>
        <v/>
      </c>
      <c r="K15" s="35" t="str">
        <f aca="false">IF($A15="","",MOD(MONTH($A15)-Setup!$B$6+12,12)+1)</f>
        <v/>
      </c>
      <c r="L15" s="36" t="str">
        <f aca="false">IF($A15="","",TEXT($A15,"MMM-YY"))</f>
        <v/>
      </c>
      <c r="M15" s="37" t="str">
        <f aca="false">IF($A15="","",IF($Q15=0,"UNMAPPED",INDEX(COA_Mapping!$C$7:$C$256,$Q15)))</f>
        <v/>
      </c>
      <c r="N15" s="38" t="str">
        <f aca="false">IF($A15="","",IF($Q15=0,"",INDEX(COA_Mapping!$E$7:$E$256,$Q15)))</f>
        <v/>
      </c>
      <c r="O15" s="38" t="n">
        <f aca="false">IF($A15="",1,IF($Q15=0,1,INDEX(COA_Mapping!$F$7:$F$256,$Q15)))</f>
        <v>1</v>
      </c>
      <c r="P15" s="34" t="str">
        <f aca="false">IF($A15="","",$I15*$O15)</f>
        <v/>
      </c>
      <c r="Q15" s="39" t="n">
        <f aca="false">IF($B15="",0,IFERROR(MATCH($B15,COA_Mapping!$A$7:$A$256,0),0))</f>
        <v>0</v>
      </c>
      <c r="R15" s="39" t="n">
        <f aca="false">IF($A15="",-1,IF($J15=Setup!$B$7,1,IF($J15=Setup!$B$9,0,-1)))</f>
        <v>-1</v>
      </c>
      <c r="S15" s="35" t="n">
        <f aca="false">IF(OR($A15="",$Q15=0,$R15=-1),0,$Q15*1000+$R15*100+$K15)</f>
        <v>0</v>
      </c>
      <c r="T15" s="37" t="str">
        <f aca="false">IF($A15="","",IF($B15="","NO ACCOUNT",IF($Q15=0,"UNMAPPED",IF($R15=-1,"OUTSIDE FY RANGE","OK"))))</f>
        <v/>
      </c>
      <c r="U15" s="40" t="str">
        <f aca="false">IF($A15="","",$B15&amp;"|"&amp;TEXT($A15,"yyyymmdd")&amp;"|"&amp;TEXT($I15,"0.00"))</f>
        <v/>
      </c>
      <c r="V15" s="35" t="str">
        <f aca="false">IF($A15="","",COUNTIF($U$8:$U$5007,$U15))</f>
        <v/>
      </c>
    </row>
    <row r="16" customFormat="false" ht="15" hidden="false" customHeight="false" outlineLevel="0" collapsed="false">
      <c r="A16" s="31"/>
      <c r="B16" s="32"/>
      <c r="C16" s="32"/>
      <c r="D16" s="32"/>
      <c r="E16" s="32"/>
      <c r="F16" s="32"/>
      <c r="G16" s="33"/>
      <c r="H16" s="33"/>
      <c r="I16" s="34" t="str">
        <f aca="false">IF($A16="","",$G16-$H16)</f>
        <v/>
      </c>
      <c r="J16" s="35" t="str">
        <f aca="false">IF($A16="","",IF(Setup!$B$6=1,YEAR($A16),YEAR($A16)+IF(MONTH($A16)&gt;=Setup!$B$6,1,0)))</f>
        <v/>
      </c>
      <c r="K16" s="35" t="str">
        <f aca="false">IF($A16="","",MOD(MONTH($A16)-Setup!$B$6+12,12)+1)</f>
        <v/>
      </c>
      <c r="L16" s="36" t="str">
        <f aca="false">IF($A16="","",TEXT($A16,"MMM-YY"))</f>
        <v/>
      </c>
      <c r="M16" s="37" t="str">
        <f aca="false">IF($A16="","",IF($Q16=0,"UNMAPPED",INDEX(COA_Mapping!$C$7:$C$256,$Q16)))</f>
        <v/>
      </c>
      <c r="N16" s="38" t="str">
        <f aca="false">IF($A16="","",IF($Q16=0,"",INDEX(COA_Mapping!$E$7:$E$256,$Q16)))</f>
        <v/>
      </c>
      <c r="O16" s="38" t="n">
        <f aca="false">IF($A16="",1,IF($Q16=0,1,INDEX(COA_Mapping!$F$7:$F$256,$Q16)))</f>
        <v>1</v>
      </c>
      <c r="P16" s="34" t="str">
        <f aca="false">IF($A16="","",$I16*$O16)</f>
        <v/>
      </c>
      <c r="Q16" s="39" t="n">
        <f aca="false">IF($B16="",0,IFERROR(MATCH($B16,COA_Mapping!$A$7:$A$256,0),0))</f>
        <v>0</v>
      </c>
      <c r="R16" s="39" t="n">
        <f aca="false">IF($A16="",-1,IF($J16=Setup!$B$7,1,IF($J16=Setup!$B$9,0,-1)))</f>
        <v>-1</v>
      </c>
      <c r="S16" s="35" t="n">
        <f aca="false">IF(OR($A16="",$Q16=0,$R16=-1),0,$Q16*1000+$R16*100+$K16)</f>
        <v>0</v>
      </c>
      <c r="T16" s="37" t="str">
        <f aca="false">IF($A16="","",IF($B16="","NO ACCOUNT",IF($Q16=0,"UNMAPPED",IF($R16=-1,"OUTSIDE FY RANGE","OK"))))</f>
        <v/>
      </c>
      <c r="U16" s="40" t="str">
        <f aca="false">IF($A16="","",$B16&amp;"|"&amp;TEXT($A16,"yyyymmdd")&amp;"|"&amp;TEXT($I16,"0.00"))</f>
        <v/>
      </c>
      <c r="V16" s="35" t="str">
        <f aca="false">IF($A16="","",COUNTIF($U$8:$U$5007,$U16))</f>
        <v/>
      </c>
    </row>
    <row r="17" customFormat="false" ht="15" hidden="false" customHeight="false" outlineLevel="0" collapsed="false">
      <c r="A17" s="31"/>
      <c r="B17" s="32"/>
      <c r="C17" s="32"/>
      <c r="D17" s="32"/>
      <c r="E17" s="32"/>
      <c r="F17" s="32"/>
      <c r="G17" s="33"/>
      <c r="H17" s="33"/>
      <c r="I17" s="34" t="str">
        <f aca="false">IF($A17="","",$G17-$H17)</f>
        <v/>
      </c>
      <c r="J17" s="35" t="str">
        <f aca="false">IF($A17="","",IF(Setup!$B$6=1,YEAR($A17),YEAR($A17)+IF(MONTH($A17)&gt;=Setup!$B$6,1,0)))</f>
        <v/>
      </c>
      <c r="K17" s="35" t="str">
        <f aca="false">IF($A17="","",MOD(MONTH($A17)-Setup!$B$6+12,12)+1)</f>
        <v/>
      </c>
      <c r="L17" s="36" t="str">
        <f aca="false">IF($A17="","",TEXT($A17,"MMM-YY"))</f>
        <v/>
      </c>
      <c r="M17" s="37" t="str">
        <f aca="false">IF($A17="","",IF($Q17=0,"UNMAPPED",INDEX(COA_Mapping!$C$7:$C$256,$Q17)))</f>
        <v/>
      </c>
      <c r="N17" s="38" t="str">
        <f aca="false">IF($A17="","",IF($Q17=0,"",INDEX(COA_Mapping!$E$7:$E$256,$Q17)))</f>
        <v/>
      </c>
      <c r="O17" s="38" t="n">
        <f aca="false">IF($A17="",1,IF($Q17=0,1,INDEX(COA_Mapping!$F$7:$F$256,$Q17)))</f>
        <v>1</v>
      </c>
      <c r="P17" s="34" t="str">
        <f aca="false">IF($A17="","",$I17*$O17)</f>
        <v/>
      </c>
      <c r="Q17" s="39" t="n">
        <f aca="false">IF($B17="",0,IFERROR(MATCH($B17,COA_Mapping!$A$7:$A$256,0),0))</f>
        <v>0</v>
      </c>
      <c r="R17" s="39" t="n">
        <f aca="false">IF($A17="",-1,IF($J17=Setup!$B$7,1,IF($J17=Setup!$B$9,0,-1)))</f>
        <v>-1</v>
      </c>
      <c r="S17" s="35" t="n">
        <f aca="false">IF(OR($A17="",$Q17=0,$R17=-1),0,$Q17*1000+$R17*100+$K17)</f>
        <v>0</v>
      </c>
      <c r="T17" s="37" t="str">
        <f aca="false">IF($A17="","",IF($B17="","NO ACCOUNT",IF($Q17=0,"UNMAPPED",IF($R17=-1,"OUTSIDE FY RANGE","OK"))))</f>
        <v/>
      </c>
      <c r="U17" s="40" t="str">
        <f aca="false">IF($A17="","",$B17&amp;"|"&amp;TEXT($A17,"yyyymmdd")&amp;"|"&amp;TEXT($I17,"0.00"))</f>
        <v/>
      </c>
      <c r="V17" s="35" t="str">
        <f aca="false">IF($A17="","",COUNTIF($U$8:$U$5007,$U17))</f>
        <v/>
      </c>
    </row>
    <row r="18" customFormat="false" ht="15" hidden="false" customHeight="false" outlineLevel="0" collapsed="false">
      <c r="A18" s="31"/>
      <c r="B18" s="32"/>
      <c r="C18" s="32"/>
      <c r="D18" s="32"/>
      <c r="E18" s="32"/>
      <c r="F18" s="32"/>
      <c r="G18" s="33"/>
      <c r="H18" s="33"/>
      <c r="I18" s="34" t="str">
        <f aca="false">IF($A18="","",$G18-$H18)</f>
        <v/>
      </c>
      <c r="J18" s="35" t="str">
        <f aca="false">IF($A18="","",IF(Setup!$B$6=1,YEAR($A18),YEAR($A18)+IF(MONTH($A18)&gt;=Setup!$B$6,1,0)))</f>
        <v/>
      </c>
      <c r="K18" s="35" t="str">
        <f aca="false">IF($A18="","",MOD(MONTH($A18)-Setup!$B$6+12,12)+1)</f>
        <v/>
      </c>
      <c r="L18" s="36" t="str">
        <f aca="false">IF($A18="","",TEXT($A18,"MMM-YY"))</f>
        <v/>
      </c>
      <c r="M18" s="37" t="str">
        <f aca="false">IF($A18="","",IF($Q18=0,"UNMAPPED",INDEX(COA_Mapping!$C$7:$C$256,$Q18)))</f>
        <v/>
      </c>
      <c r="N18" s="38" t="str">
        <f aca="false">IF($A18="","",IF($Q18=0,"",INDEX(COA_Mapping!$E$7:$E$256,$Q18)))</f>
        <v/>
      </c>
      <c r="O18" s="38" t="n">
        <f aca="false">IF($A18="",1,IF($Q18=0,1,INDEX(COA_Mapping!$F$7:$F$256,$Q18)))</f>
        <v>1</v>
      </c>
      <c r="P18" s="34" t="str">
        <f aca="false">IF($A18="","",$I18*$O18)</f>
        <v/>
      </c>
      <c r="Q18" s="39" t="n">
        <f aca="false">IF($B18="",0,IFERROR(MATCH($B18,COA_Mapping!$A$7:$A$256,0),0))</f>
        <v>0</v>
      </c>
      <c r="R18" s="39" t="n">
        <f aca="false">IF($A18="",-1,IF($J18=Setup!$B$7,1,IF($J18=Setup!$B$9,0,-1)))</f>
        <v>-1</v>
      </c>
      <c r="S18" s="35" t="n">
        <f aca="false">IF(OR($A18="",$Q18=0,$R18=-1),0,$Q18*1000+$R18*100+$K18)</f>
        <v>0</v>
      </c>
      <c r="T18" s="37" t="str">
        <f aca="false">IF($A18="","",IF($B18="","NO ACCOUNT",IF($Q18=0,"UNMAPPED",IF($R18=-1,"OUTSIDE FY RANGE","OK"))))</f>
        <v/>
      </c>
      <c r="U18" s="40" t="str">
        <f aca="false">IF($A18="","",$B18&amp;"|"&amp;TEXT($A18,"yyyymmdd")&amp;"|"&amp;TEXT($I18,"0.00"))</f>
        <v/>
      </c>
      <c r="V18" s="35" t="str">
        <f aca="false">IF($A18="","",COUNTIF($U$8:$U$5007,$U18))</f>
        <v/>
      </c>
    </row>
    <row r="19" customFormat="false" ht="15" hidden="false" customHeight="false" outlineLevel="0" collapsed="false">
      <c r="A19" s="31"/>
      <c r="B19" s="32"/>
      <c r="C19" s="32"/>
      <c r="D19" s="32"/>
      <c r="E19" s="32"/>
      <c r="F19" s="32"/>
      <c r="G19" s="33"/>
      <c r="H19" s="33"/>
      <c r="I19" s="34" t="str">
        <f aca="false">IF($A19="","",$G19-$H19)</f>
        <v/>
      </c>
      <c r="J19" s="35" t="str">
        <f aca="false">IF($A19="","",IF(Setup!$B$6=1,YEAR($A19),YEAR($A19)+IF(MONTH($A19)&gt;=Setup!$B$6,1,0)))</f>
        <v/>
      </c>
      <c r="K19" s="35" t="str">
        <f aca="false">IF($A19="","",MOD(MONTH($A19)-Setup!$B$6+12,12)+1)</f>
        <v/>
      </c>
      <c r="L19" s="36" t="str">
        <f aca="false">IF($A19="","",TEXT($A19,"MMM-YY"))</f>
        <v/>
      </c>
      <c r="M19" s="37" t="str">
        <f aca="false">IF($A19="","",IF($Q19=0,"UNMAPPED",INDEX(COA_Mapping!$C$7:$C$256,$Q19)))</f>
        <v/>
      </c>
      <c r="N19" s="38" t="str">
        <f aca="false">IF($A19="","",IF($Q19=0,"",INDEX(COA_Mapping!$E$7:$E$256,$Q19)))</f>
        <v/>
      </c>
      <c r="O19" s="38" t="n">
        <f aca="false">IF($A19="",1,IF($Q19=0,1,INDEX(COA_Mapping!$F$7:$F$256,$Q19)))</f>
        <v>1</v>
      </c>
      <c r="P19" s="34" t="str">
        <f aca="false">IF($A19="","",$I19*$O19)</f>
        <v/>
      </c>
      <c r="Q19" s="39" t="n">
        <f aca="false">IF($B19="",0,IFERROR(MATCH($B19,COA_Mapping!$A$7:$A$256,0),0))</f>
        <v>0</v>
      </c>
      <c r="R19" s="39" t="n">
        <f aca="false">IF($A19="",-1,IF($J19=Setup!$B$7,1,IF($J19=Setup!$B$9,0,-1)))</f>
        <v>-1</v>
      </c>
      <c r="S19" s="35" t="n">
        <f aca="false">IF(OR($A19="",$Q19=0,$R19=-1),0,$Q19*1000+$R19*100+$K19)</f>
        <v>0</v>
      </c>
      <c r="T19" s="37" t="str">
        <f aca="false">IF($A19="","",IF($B19="","NO ACCOUNT",IF($Q19=0,"UNMAPPED",IF($R19=-1,"OUTSIDE FY RANGE","OK"))))</f>
        <v/>
      </c>
      <c r="U19" s="40" t="str">
        <f aca="false">IF($A19="","",$B19&amp;"|"&amp;TEXT($A19,"yyyymmdd")&amp;"|"&amp;TEXT($I19,"0.00"))</f>
        <v/>
      </c>
      <c r="V19" s="35" t="str">
        <f aca="false">IF($A19="","",COUNTIF($U$8:$U$5007,$U19))</f>
        <v/>
      </c>
    </row>
    <row r="20" customFormat="false" ht="15" hidden="false" customHeight="false" outlineLevel="0" collapsed="false">
      <c r="A20" s="31"/>
      <c r="B20" s="32"/>
      <c r="C20" s="32"/>
      <c r="D20" s="32"/>
      <c r="E20" s="32"/>
      <c r="F20" s="32"/>
      <c r="G20" s="33"/>
      <c r="H20" s="33"/>
      <c r="I20" s="34" t="str">
        <f aca="false">IF($A20="","",$G20-$H20)</f>
        <v/>
      </c>
      <c r="J20" s="35" t="str">
        <f aca="false">IF($A20="","",IF(Setup!$B$6=1,YEAR($A20),YEAR($A20)+IF(MONTH($A20)&gt;=Setup!$B$6,1,0)))</f>
        <v/>
      </c>
      <c r="K20" s="35" t="str">
        <f aca="false">IF($A20="","",MOD(MONTH($A20)-Setup!$B$6+12,12)+1)</f>
        <v/>
      </c>
      <c r="L20" s="36" t="str">
        <f aca="false">IF($A20="","",TEXT($A20,"MMM-YY"))</f>
        <v/>
      </c>
      <c r="M20" s="37" t="str">
        <f aca="false">IF($A20="","",IF($Q20=0,"UNMAPPED",INDEX(COA_Mapping!$C$7:$C$256,$Q20)))</f>
        <v/>
      </c>
      <c r="N20" s="38" t="str">
        <f aca="false">IF($A20="","",IF($Q20=0,"",INDEX(COA_Mapping!$E$7:$E$256,$Q20)))</f>
        <v/>
      </c>
      <c r="O20" s="38" t="n">
        <f aca="false">IF($A20="",1,IF($Q20=0,1,INDEX(COA_Mapping!$F$7:$F$256,$Q20)))</f>
        <v>1</v>
      </c>
      <c r="P20" s="34" t="str">
        <f aca="false">IF($A20="","",$I20*$O20)</f>
        <v/>
      </c>
      <c r="Q20" s="39" t="n">
        <f aca="false">IF($B20="",0,IFERROR(MATCH($B20,COA_Mapping!$A$7:$A$256,0),0))</f>
        <v>0</v>
      </c>
      <c r="R20" s="39" t="n">
        <f aca="false">IF($A20="",-1,IF($J20=Setup!$B$7,1,IF($J20=Setup!$B$9,0,-1)))</f>
        <v>-1</v>
      </c>
      <c r="S20" s="35" t="n">
        <f aca="false">IF(OR($A20="",$Q20=0,$R20=-1),0,$Q20*1000+$R20*100+$K20)</f>
        <v>0</v>
      </c>
      <c r="T20" s="37" t="str">
        <f aca="false">IF($A20="","",IF($B20="","NO ACCOUNT",IF($Q20=0,"UNMAPPED",IF($R20=-1,"OUTSIDE FY RANGE","OK"))))</f>
        <v/>
      </c>
      <c r="U20" s="40" t="str">
        <f aca="false">IF($A20="","",$B20&amp;"|"&amp;TEXT($A20,"yyyymmdd")&amp;"|"&amp;TEXT($I20,"0.00"))</f>
        <v/>
      </c>
      <c r="V20" s="35" t="str">
        <f aca="false">IF($A20="","",COUNTIF($U$8:$U$5007,$U20))</f>
        <v/>
      </c>
    </row>
    <row r="21" customFormat="false" ht="15" hidden="false" customHeight="false" outlineLevel="0" collapsed="false">
      <c r="A21" s="31"/>
      <c r="B21" s="32"/>
      <c r="C21" s="32"/>
      <c r="D21" s="32"/>
      <c r="E21" s="32"/>
      <c r="F21" s="32"/>
      <c r="G21" s="33"/>
      <c r="H21" s="33"/>
      <c r="I21" s="34" t="str">
        <f aca="false">IF($A21="","",$G21-$H21)</f>
        <v/>
      </c>
      <c r="J21" s="35" t="str">
        <f aca="false">IF($A21="","",IF(Setup!$B$6=1,YEAR($A21),YEAR($A21)+IF(MONTH($A21)&gt;=Setup!$B$6,1,0)))</f>
        <v/>
      </c>
      <c r="K21" s="35" t="str">
        <f aca="false">IF($A21="","",MOD(MONTH($A21)-Setup!$B$6+12,12)+1)</f>
        <v/>
      </c>
      <c r="L21" s="36" t="str">
        <f aca="false">IF($A21="","",TEXT($A21,"MMM-YY"))</f>
        <v/>
      </c>
      <c r="M21" s="37" t="str">
        <f aca="false">IF($A21="","",IF($Q21=0,"UNMAPPED",INDEX(COA_Mapping!$C$7:$C$256,$Q21)))</f>
        <v/>
      </c>
      <c r="N21" s="38" t="str">
        <f aca="false">IF($A21="","",IF($Q21=0,"",INDEX(COA_Mapping!$E$7:$E$256,$Q21)))</f>
        <v/>
      </c>
      <c r="O21" s="38" t="n">
        <f aca="false">IF($A21="",1,IF($Q21=0,1,INDEX(COA_Mapping!$F$7:$F$256,$Q21)))</f>
        <v>1</v>
      </c>
      <c r="P21" s="34" t="str">
        <f aca="false">IF($A21="","",$I21*$O21)</f>
        <v/>
      </c>
      <c r="Q21" s="39" t="n">
        <f aca="false">IF($B21="",0,IFERROR(MATCH($B21,COA_Mapping!$A$7:$A$256,0),0))</f>
        <v>0</v>
      </c>
      <c r="R21" s="39" t="n">
        <f aca="false">IF($A21="",-1,IF($J21=Setup!$B$7,1,IF($J21=Setup!$B$9,0,-1)))</f>
        <v>-1</v>
      </c>
      <c r="S21" s="35" t="n">
        <f aca="false">IF(OR($A21="",$Q21=0,$R21=-1),0,$Q21*1000+$R21*100+$K21)</f>
        <v>0</v>
      </c>
      <c r="T21" s="37" t="str">
        <f aca="false">IF($A21="","",IF($B21="","NO ACCOUNT",IF($Q21=0,"UNMAPPED",IF($R21=-1,"OUTSIDE FY RANGE","OK"))))</f>
        <v/>
      </c>
      <c r="U21" s="40" t="str">
        <f aca="false">IF($A21="","",$B21&amp;"|"&amp;TEXT($A21,"yyyymmdd")&amp;"|"&amp;TEXT($I21,"0.00"))</f>
        <v/>
      </c>
      <c r="V21" s="35" t="str">
        <f aca="false">IF($A21="","",COUNTIF($U$8:$U$5007,$U21))</f>
        <v/>
      </c>
    </row>
    <row r="22" customFormat="false" ht="15" hidden="false" customHeight="false" outlineLevel="0" collapsed="false">
      <c r="A22" s="31"/>
      <c r="B22" s="32"/>
      <c r="C22" s="32"/>
      <c r="D22" s="32"/>
      <c r="E22" s="32"/>
      <c r="F22" s="32"/>
      <c r="G22" s="33"/>
      <c r="H22" s="33"/>
      <c r="I22" s="34" t="str">
        <f aca="false">IF($A22="","",$G22-$H22)</f>
        <v/>
      </c>
      <c r="J22" s="35" t="str">
        <f aca="false">IF($A22="","",IF(Setup!$B$6=1,YEAR($A22),YEAR($A22)+IF(MONTH($A22)&gt;=Setup!$B$6,1,0)))</f>
        <v/>
      </c>
      <c r="K22" s="35" t="str">
        <f aca="false">IF($A22="","",MOD(MONTH($A22)-Setup!$B$6+12,12)+1)</f>
        <v/>
      </c>
      <c r="L22" s="36" t="str">
        <f aca="false">IF($A22="","",TEXT($A22,"MMM-YY"))</f>
        <v/>
      </c>
      <c r="M22" s="37" t="str">
        <f aca="false">IF($A22="","",IF($Q22=0,"UNMAPPED",INDEX(COA_Mapping!$C$7:$C$256,$Q22)))</f>
        <v/>
      </c>
      <c r="N22" s="38" t="str">
        <f aca="false">IF($A22="","",IF($Q22=0,"",INDEX(COA_Mapping!$E$7:$E$256,$Q22)))</f>
        <v/>
      </c>
      <c r="O22" s="38" t="n">
        <f aca="false">IF($A22="",1,IF($Q22=0,1,INDEX(COA_Mapping!$F$7:$F$256,$Q22)))</f>
        <v>1</v>
      </c>
      <c r="P22" s="34" t="str">
        <f aca="false">IF($A22="","",$I22*$O22)</f>
        <v/>
      </c>
      <c r="Q22" s="39" t="n">
        <f aca="false">IF($B22="",0,IFERROR(MATCH($B22,COA_Mapping!$A$7:$A$256,0),0))</f>
        <v>0</v>
      </c>
      <c r="R22" s="39" t="n">
        <f aca="false">IF($A22="",-1,IF($J22=Setup!$B$7,1,IF($J22=Setup!$B$9,0,-1)))</f>
        <v>-1</v>
      </c>
      <c r="S22" s="35" t="n">
        <f aca="false">IF(OR($A22="",$Q22=0,$R22=-1),0,$Q22*1000+$R22*100+$K22)</f>
        <v>0</v>
      </c>
      <c r="T22" s="37" t="str">
        <f aca="false">IF($A22="","",IF($B22="","NO ACCOUNT",IF($Q22=0,"UNMAPPED",IF($R22=-1,"OUTSIDE FY RANGE","OK"))))</f>
        <v/>
      </c>
      <c r="U22" s="40" t="str">
        <f aca="false">IF($A22="","",$B22&amp;"|"&amp;TEXT($A22,"yyyymmdd")&amp;"|"&amp;TEXT($I22,"0.00"))</f>
        <v/>
      </c>
      <c r="V22" s="35" t="str">
        <f aca="false">IF($A22="","",COUNTIF($U$8:$U$5007,$U22))</f>
        <v/>
      </c>
    </row>
    <row r="23" customFormat="false" ht="15" hidden="false" customHeight="false" outlineLevel="0" collapsed="false">
      <c r="A23" s="31"/>
      <c r="B23" s="32"/>
      <c r="C23" s="32"/>
      <c r="D23" s="32"/>
      <c r="E23" s="32"/>
      <c r="F23" s="32"/>
      <c r="G23" s="33"/>
      <c r="H23" s="33"/>
      <c r="I23" s="34" t="str">
        <f aca="false">IF($A23="","",$G23-$H23)</f>
        <v/>
      </c>
      <c r="J23" s="35" t="str">
        <f aca="false">IF($A23="","",IF(Setup!$B$6=1,YEAR($A23),YEAR($A23)+IF(MONTH($A23)&gt;=Setup!$B$6,1,0)))</f>
        <v/>
      </c>
      <c r="K23" s="35" t="str">
        <f aca="false">IF($A23="","",MOD(MONTH($A23)-Setup!$B$6+12,12)+1)</f>
        <v/>
      </c>
      <c r="L23" s="36" t="str">
        <f aca="false">IF($A23="","",TEXT($A23,"MMM-YY"))</f>
        <v/>
      </c>
      <c r="M23" s="37" t="str">
        <f aca="false">IF($A23="","",IF($Q23=0,"UNMAPPED",INDEX(COA_Mapping!$C$7:$C$256,$Q23)))</f>
        <v/>
      </c>
      <c r="N23" s="38" t="str">
        <f aca="false">IF($A23="","",IF($Q23=0,"",INDEX(COA_Mapping!$E$7:$E$256,$Q23)))</f>
        <v/>
      </c>
      <c r="O23" s="38" t="n">
        <f aca="false">IF($A23="",1,IF($Q23=0,1,INDEX(COA_Mapping!$F$7:$F$256,$Q23)))</f>
        <v>1</v>
      </c>
      <c r="P23" s="34" t="str">
        <f aca="false">IF($A23="","",$I23*$O23)</f>
        <v/>
      </c>
      <c r="Q23" s="39" t="n">
        <f aca="false">IF($B23="",0,IFERROR(MATCH($B23,COA_Mapping!$A$7:$A$256,0),0))</f>
        <v>0</v>
      </c>
      <c r="R23" s="39" t="n">
        <f aca="false">IF($A23="",-1,IF($J23=Setup!$B$7,1,IF($J23=Setup!$B$9,0,-1)))</f>
        <v>-1</v>
      </c>
      <c r="S23" s="35" t="n">
        <f aca="false">IF(OR($A23="",$Q23=0,$R23=-1),0,$Q23*1000+$R23*100+$K23)</f>
        <v>0</v>
      </c>
      <c r="T23" s="37" t="str">
        <f aca="false">IF($A23="","",IF($B23="","NO ACCOUNT",IF($Q23=0,"UNMAPPED",IF($R23=-1,"OUTSIDE FY RANGE","OK"))))</f>
        <v/>
      </c>
      <c r="U23" s="40" t="str">
        <f aca="false">IF($A23="","",$B23&amp;"|"&amp;TEXT($A23,"yyyymmdd")&amp;"|"&amp;TEXT($I23,"0.00"))</f>
        <v/>
      </c>
      <c r="V23" s="35" t="str">
        <f aca="false">IF($A23="","",COUNTIF($U$8:$U$5007,$U23))</f>
        <v/>
      </c>
    </row>
    <row r="24" customFormat="false" ht="15" hidden="false" customHeight="false" outlineLevel="0" collapsed="false">
      <c r="A24" s="31"/>
      <c r="B24" s="32"/>
      <c r="C24" s="32"/>
      <c r="D24" s="32"/>
      <c r="E24" s="32"/>
      <c r="F24" s="32"/>
      <c r="G24" s="33"/>
      <c r="H24" s="33"/>
      <c r="I24" s="34" t="str">
        <f aca="false">IF($A24="","",$G24-$H24)</f>
        <v/>
      </c>
      <c r="J24" s="35" t="str">
        <f aca="false">IF($A24="","",IF(Setup!$B$6=1,YEAR($A24),YEAR($A24)+IF(MONTH($A24)&gt;=Setup!$B$6,1,0)))</f>
        <v/>
      </c>
      <c r="K24" s="35" t="str">
        <f aca="false">IF($A24="","",MOD(MONTH($A24)-Setup!$B$6+12,12)+1)</f>
        <v/>
      </c>
      <c r="L24" s="36" t="str">
        <f aca="false">IF($A24="","",TEXT($A24,"MMM-YY"))</f>
        <v/>
      </c>
      <c r="M24" s="37" t="str">
        <f aca="false">IF($A24="","",IF($Q24=0,"UNMAPPED",INDEX(COA_Mapping!$C$7:$C$256,$Q24)))</f>
        <v/>
      </c>
      <c r="N24" s="38" t="str">
        <f aca="false">IF($A24="","",IF($Q24=0,"",INDEX(COA_Mapping!$E$7:$E$256,$Q24)))</f>
        <v/>
      </c>
      <c r="O24" s="38" t="n">
        <f aca="false">IF($A24="",1,IF($Q24=0,1,INDEX(COA_Mapping!$F$7:$F$256,$Q24)))</f>
        <v>1</v>
      </c>
      <c r="P24" s="34" t="str">
        <f aca="false">IF($A24="","",$I24*$O24)</f>
        <v/>
      </c>
      <c r="Q24" s="39" t="n">
        <f aca="false">IF($B24="",0,IFERROR(MATCH($B24,COA_Mapping!$A$7:$A$256,0),0))</f>
        <v>0</v>
      </c>
      <c r="R24" s="39" t="n">
        <f aca="false">IF($A24="",-1,IF($J24=Setup!$B$7,1,IF($J24=Setup!$B$9,0,-1)))</f>
        <v>-1</v>
      </c>
      <c r="S24" s="35" t="n">
        <f aca="false">IF(OR($A24="",$Q24=0,$R24=-1),0,$Q24*1000+$R24*100+$K24)</f>
        <v>0</v>
      </c>
      <c r="T24" s="37" t="str">
        <f aca="false">IF($A24="","",IF($B24="","NO ACCOUNT",IF($Q24=0,"UNMAPPED",IF($R24=-1,"OUTSIDE FY RANGE","OK"))))</f>
        <v/>
      </c>
      <c r="U24" s="40" t="str">
        <f aca="false">IF($A24="","",$B24&amp;"|"&amp;TEXT($A24,"yyyymmdd")&amp;"|"&amp;TEXT($I24,"0.00"))</f>
        <v/>
      </c>
      <c r="V24" s="35" t="str">
        <f aca="false">IF($A24="","",COUNTIF($U$8:$U$5007,$U24))</f>
        <v/>
      </c>
    </row>
    <row r="25" customFormat="false" ht="15" hidden="false" customHeight="false" outlineLevel="0" collapsed="false">
      <c r="A25" s="31"/>
      <c r="B25" s="32"/>
      <c r="C25" s="32"/>
      <c r="D25" s="32"/>
      <c r="E25" s="32"/>
      <c r="F25" s="32"/>
      <c r="G25" s="33"/>
      <c r="H25" s="33"/>
      <c r="I25" s="34" t="str">
        <f aca="false">IF($A25="","",$G25-$H25)</f>
        <v/>
      </c>
      <c r="J25" s="35" t="str">
        <f aca="false">IF($A25="","",IF(Setup!$B$6=1,YEAR($A25),YEAR($A25)+IF(MONTH($A25)&gt;=Setup!$B$6,1,0)))</f>
        <v/>
      </c>
      <c r="K25" s="35" t="str">
        <f aca="false">IF($A25="","",MOD(MONTH($A25)-Setup!$B$6+12,12)+1)</f>
        <v/>
      </c>
      <c r="L25" s="36" t="str">
        <f aca="false">IF($A25="","",TEXT($A25,"MMM-YY"))</f>
        <v/>
      </c>
      <c r="M25" s="37" t="str">
        <f aca="false">IF($A25="","",IF($Q25=0,"UNMAPPED",INDEX(COA_Mapping!$C$7:$C$256,$Q25)))</f>
        <v/>
      </c>
      <c r="N25" s="38" t="str">
        <f aca="false">IF($A25="","",IF($Q25=0,"",INDEX(COA_Mapping!$E$7:$E$256,$Q25)))</f>
        <v/>
      </c>
      <c r="O25" s="38" t="n">
        <f aca="false">IF($A25="",1,IF($Q25=0,1,INDEX(COA_Mapping!$F$7:$F$256,$Q25)))</f>
        <v>1</v>
      </c>
      <c r="P25" s="34" t="str">
        <f aca="false">IF($A25="","",$I25*$O25)</f>
        <v/>
      </c>
      <c r="Q25" s="39" t="n">
        <f aca="false">IF($B25="",0,IFERROR(MATCH($B25,COA_Mapping!$A$7:$A$256,0),0))</f>
        <v>0</v>
      </c>
      <c r="R25" s="39" t="n">
        <f aca="false">IF($A25="",-1,IF($J25=Setup!$B$7,1,IF($J25=Setup!$B$9,0,-1)))</f>
        <v>-1</v>
      </c>
      <c r="S25" s="35" t="n">
        <f aca="false">IF(OR($A25="",$Q25=0,$R25=-1),0,$Q25*1000+$R25*100+$K25)</f>
        <v>0</v>
      </c>
      <c r="T25" s="37" t="str">
        <f aca="false">IF($A25="","",IF($B25="","NO ACCOUNT",IF($Q25=0,"UNMAPPED",IF($R25=-1,"OUTSIDE FY RANGE","OK"))))</f>
        <v/>
      </c>
      <c r="U25" s="40" t="str">
        <f aca="false">IF($A25="","",$B25&amp;"|"&amp;TEXT($A25,"yyyymmdd")&amp;"|"&amp;TEXT($I25,"0.00"))</f>
        <v/>
      </c>
      <c r="V25" s="35" t="str">
        <f aca="false">IF($A25="","",COUNTIF($U$8:$U$5007,$U25))</f>
        <v/>
      </c>
    </row>
    <row r="26" customFormat="false" ht="15" hidden="false" customHeight="false" outlineLevel="0" collapsed="false">
      <c r="A26" s="31"/>
      <c r="B26" s="32"/>
      <c r="C26" s="32"/>
      <c r="D26" s="32"/>
      <c r="E26" s="32"/>
      <c r="F26" s="32"/>
      <c r="G26" s="33"/>
      <c r="H26" s="33"/>
      <c r="I26" s="34" t="str">
        <f aca="false">IF($A26="","",$G26-$H26)</f>
        <v/>
      </c>
      <c r="J26" s="35" t="str">
        <f aca="false">IF($A26="","",IF(Setup!$B$6=1,YEAR($A26),YEAR($A26)+IF(MONTH($A26)&gt;=Setup!$B$6,1,0)))</f>
        <v/>
      </c>
      <c r="K26" s="35" t="str">
        <f aca="false">IF($A26="","",MOD(MONTH($A26)-Setup!$B$6+12,12)+1)</f>
        <v/>
      </c>
      <c r="L26" s="36" t="str">
        <f aca="false">IF($A26="","",TEXT($A26,"MMM-YY"))</f>
        <v/>
      </c>
      <c r="M26" s="37" t="str">
        <f aca="false">IF($A26="","",IF($Q26=0,"UNMAPPED",INDEX(COA_Mapping!$C$7:$C$256,$Q26)))</f>
        <v/>
      </c>
      <c r="N26" s="38" t="str">
        <f aca="false">IF($A26="","",IF($Q26=0,"",INDEX(COA_Mapping!$E$7:$E$256,$Q26)))</f>
        <v/>
      </c>
      <c r="O26" s="38" t="n">
        <f aca="false">IF($A26="",1,IF($Q26=0,1,INDEX(COA_Mapping!$F$7:$F$256,$Q26)))</f>
        <v>1</v>
      </c>
      <c r="P26" s="34" t="str">
        <f aca="false">IF($A26="","",$I26*$O26)</f>
        <v/>
      </c>
      <c r="Q26" s="39" t="n">
        <f aca="false">IF($B26="",0,IFERROR(MATCH($B26,COA_Mapping!$A$7:$A$256,0),0))</f>
        <v>0</v>
      </c>
      <c r="R26" s="39" t="n">
        <f aca="false">IF($A26="",-1,IF($J26=Setup!$B$7,1,IF($J26=Setup!$B$9,0,-1)))</f>
        <v>-1</v>
      </c>
      <c r="S26" s="35" t="n">
        <f aca="false">IF(OR($A26="",$Q26=0,$R26=-1),0,$Q26*1000+$R26*100+$K26)</f>
        <v>0</v>
      </c>
      <c r="T26" s="37" t="str">
        <f aca="false">IF($A26="","",IF($B26="","NO ACCOUNT",IF($Q26=0,"UNMAPPED",IF($R26=-1,"OUTSIDE FY RANGE","OK"))))</f>
        <v/>
      </c>
      <c r="U26" s="40" t="str">
        <f aca="false">IF($A26="","",$B26&amp;"|"&amp;TEXT($A26,"yyyymmdd")&amp;"|"&amp;TEXT($I26,"0.00"))</f>
        <v/>
      </c>
      <c r="V26" s="35" t="str">
        <f aca="false">IF($A26="","",COUNTIF($U$8:$U$5007,$U26))</f>
        <v/>
      </c>
    </row>
    <row r="27" customFormat="false" ht="15" hidden="false" customHeight="false" outlineLevel="0" collapsed="false">
      <c r="A27" s="31"/>
      <c r="B27" s="32"/>
      <c r="C27" s="32"/>
      <c r="D27" s="32"/>
      <c r="E27" s="32"/>
      <c r="F27" s="32"/>
      <c r="G27" s="33"/>
      <c r="H27" s="33"/>
      <c r="I27" s="34" t="str">
        <f aca="false">IF($A27="","",$G27-$H27)</f>
        <v/>
      </c>
      <c r="J27" s="35" t="str">
        <f aca="false">IF($A27="","",IF(Setup!$B$6=1,YEAR($A27),YEAR($A27)+IF(MONTH($A27)&gt;=Setup!$B$6,1,0)))</f>
        <v/>
      </c>
      <c r="K27" s="35" t="str">
        <f aca="false">IF($A27="","",MOD(MONTH($A27)-Setup!$B$6+12,12)+1)</f>
        <v/>
      </c>
      <c r="L27" s="36" t="str">
        <f aca="false">IF($A27="","",TEXT($A27,"MMM-YY"))</f>
        <v/>
      </c>
      <c r="M27" s="37" t="str">
        <f aca="false">IF($A27="","",IF($Q27=0,"UNMAPPED",INDEX(COA_Mapping!$C$7:$C$256,$Q27)))</f>
        <v/>
      </c>
      <c r="N27" s="38" t="str">
        <f aca="false">IF($A27="","",IF($Q27=0,"",INDEX(COA_Mapping!$E$7:$E$256,$Q27)))</f>
        <v/>
      </c>
      <c r="O27" s="38" t="n">
        <f aca="false">IF($A27="",1,IF($Q27=0,1,INDEX(COA_Mapping!$F$7:$F$256,$Q27)))</f>
        <v>1</v>
      </c>
      <c r="P27" s="34" t="str">
        <f aca="false">IF($A27="","",$I27*$O27)</f>
        <v/>
      </c>
      <c r="Q27" s="39" t="n">
        <f aca="false">IF($B27="",0,IFERROR(MATCH($B27,COA_Mapping!$A$7:$A$256,0),0))</f>
        <v>0</v>
      </c>
      <c r="R27" s="39" t="n">
        <f aca="false">IF($A27="",-1,IF($J27=Setup!$B$7,1,IF($J27=Setup!$B$9,0,-1)))</f>
        <v>-1</v>
      </c>
      <c r="S27" s="35" t="n">
        <f aca="false">IF(OR($A27="",$Q27=0,$R27=-1),0,$Q27*1000+$R27*100+$K27)</f>
        <v>0</v>
      </c>
      <c r="T27" s="37" t="str">
        <f aca="false">IF($A27="","",IF($B27="","NO ACCOUNT",IF($Q27=0,"UNMAPPED",IF($R27=-1,"OUTSIDE FY RANGE","OK"))))</f>
        <v/>
      </c>
      <c r="U27" s="40" t="str">
        <f aca="false">IF($A27="","",$B27&amp;"|"&amp;TEXT($A27,"yyyymmdd")&amp;"|"&amp;TEXT($I27,"0.00"))</f>
        <v/>
      </c>
      <c r="V27" s="35" t="str">
        <f aca="false">IF($A27="","",COUNTIF($U$8:$U$5007,$U27))</f>
        <v/>
      </c>
    </row>
    <row r="28" customFormat="false" ht="15" hidden="false" customHeight="false" outlineLevel="0" collapsed="false">
      <c r="A28" s="31"/>
      <c r="B28" s="32"/>
      <c r="C28" s="32"/>
      <c r="D28" s="32"/>
      <c r="E28" s="32"/>
      <c r="F28" s="32"/>
      <c r="G28" s="33"/>
      <c r="H28" s="33"/>
      <c r="I28" s="34" t="str">
        <f aca="false">IF($A28="","",$G28-$H28)</f>
        <v/>
      </c>
      <c r="J28" s="35" t="str">
        <f aca="false">IF($A28="","",IF(Setup!$B$6=1,YEAR($A28),YEAR($A28)+IF(MONTH($A28)&gt;=Setup!$B$6,1,0)))</f>
        <v/>
      </c>
      <c r="K28" s="35" t="str">
        <f aca="false">IF($A28="","",MOD(MONTH($A28)-Setup!$B$6+12,12)+1)</f>
        <v/>
      </c>
      <c r="L28" s="36" t="str">
        <f aca="false">IF($A28="","",TEXT($A28,"MMM-YY"))</f>
        <v/>
      </c>
      <c r="M28" s="37" t="str">
        <f aca="false">IF($A28="","",IF($Q28=0,"UNMAPPED",INDEX(COA_Mapping!$C$7:$C$256,$Q28)))</f>
        <v/>
      </c>
      <c r="N28" s="38" t="str">
        <f aca="false">IF($A28="","",IF($Q28=0,"",INDEX(COA_Mapping!$E$7:$E$256,$Q28)))</f>
        <v/>
      </c>
      <c r="O28" s="38" t="n">
        <f aca="false">IF($A28="",1,IF($Q28=0,1,INDEX(COA_Mapping!$F$7:$F$256,$Q28)))</f>
        <v>1</v>
      </c>
      <c r="P28" s="34" t="str">
        <f aca="false">IF($A28="","",$I28*$O28)</f>
        <v/>
      </c>
      <c r="Q28" s="39" t="n">
        <f aca="false">IF($B28="",0,IFERROR(MATCH($B28,COA_Mapping!$A$7:$A$256,0),0))</f>
        <v>0</v>
      </c>
      <c r="R28" s="39" t="n">
        <f aca="false">IF($A28="",-1,IF($J28=Setup!$B$7,1,IF($J28=Setup!$B$9,0,-1)))</f>
        <v>-1</v>
      </c>
      <c r="S28" s="35" t="n">
        <f aca="false">IF(OR($A28="",$Q28=0,$R28=-1),0,$Q28*1000+$R28*100+$K28)</f>
        <v>0</v>
      </c>
      <c r="T28" s="37" t="str">
        <f aca="false">IF($A28="","",IF($B28="","NO ACCOUNT",IF($Q28=0,"UNMAPPED",IF($R28=-1,"OUTSIDE FY RANGE","OK"))))</f>
        <v/>
      </c>
      <c r="U28" s="40" t="str">
        <f aca="false">IF($A28="","",$B28&amp;"|"&amp;TEXT($A28,"yyyymmdd")&amp;"|"&amp;TEXT($I28,"0.00"))</f>
        <v/>
      </c>
      <c r="V28" s="35" t="str">
        <f aca="false">IF($A28="","",COUNTIF($U$8:$U$5007,$U28))</f>
        <v/>
      </c>
    </row>
    <row r="29" customFormat="false" ht="15" hidden="false" customHeight="false" outlineLevel="0" collapsed="false">
      <c r="A29" s="31"/>
      <c r="B29" s="32"/>
      <c r="C29" s="32"/>
      <c r="D29" s="32"/>
      <c r="E29" s="32"/>
      <c r="F29" s="32"/>
      <c r="G29" s="33"/>
      <c r="H29" s="33"/>
      <c r="I29" s="34" t="str">
        <f aca="false">IF($A29="","",$G29-$H29)</f>
        <v/>
      </c>
      <c r="J29" s="35" t="str">
        <f aca="false">IF($A29="","",IF(Setup!$B$6=1,YEAR($A29),YEAR($A29)+IF(MONTH($A29)&gt;=Setup!$B$6,1,0)))</f>
        <v/>
      </c>
      <c r="K29" s="35" t="str">
        <f aca="false">IF($A29="","",MOD(MONTH($A29)-Setup!$B$6+12,12)+1)</f>
        <v/>
      </c>
      <c r="L29" s="36" t="str">
        <f aca="false">IF($A29="","",TEXT($A29,"MMM-YY"))</f>
        <v/>
      </c>
      <c r="M29" s="37" t="str">
        <f aca="false">IF($A29="","",IF($Q29=0,"UNMAPPED",INDEX(COA_Mapping!$C$7:$C$256,$Q29)))</f>
        <v/>
      </c>
      <c r="N29" s="38" t="str">
        <f aca="false">IF($A29="","",IF($Q29=0,"",INDEX(COA_Mapping!$E$7:$E$256,$Q29)))</f>
        <v/>
      </c>
      <c r="O29" s="38" t="n">
        <f aca="false">IF($A29="",1,IF($Q29=0,1,INDEX(COA_Mapping!$F$7:$F$256,$Q29)))</f>
        <v>1</v>
      </c>
      <c r="P29" s="34" t="str">
        <f aca="false">IF($A29="","",$I29*$O29)</f>
        <v/>
      </c>
      <c r="Q29" s="39" t="n">
        <f aca="false">IF($B29="",0,IFERROR(MATCH($B29,COA_Mapping!$A$7:$A$256,0),0))</f>
        <v>0</v>
      </c>
      <c r="R29" s="39" t="n">
        <f aca="false">IF($A29="",-1,IF($J29=Setup!$B$7,1,IF($J29=Setup!$B$9,0,-1)))</f>
        <v>-1</v>
      </c>
      <c r="S29" s="35" t="n">
        <f aca="false">IF(OR($A29="",$Q29=0,$R29=-1),0,$Q29*1000+$R29*100+$K29)</f>
        <v>0</v>
      </c>
      <c r="T29" s="37" t="str">
        <f aca="false">IF($A29="","",IF($B29="","NO ACCOUNT",IF($Q29=0,"UNMAPPED",IF($R29=-1,"OUTSIDE FY RANGE","OK"))))</f>
        <v/>
      </c>
      <c r="U29" s="40" t="str">
        <f aca="false">IF($A29="","",$B29&amp;"|"&amp;TEXT($A29,"yyyymmdd")&amp;"|"&amp;TEXT($I29,"0.00"))</f>
        <v/>
      </c>
      <c r="V29" s="35" t="str">
        <f aca="false">IF($A29="","",COUNTIF($U$8:$U$5007,$U29))</f>
        <v/>
      </c>
    </row>
    <row r="30" customFormat="false" ht="15" hidden="false" customHeight="false" outlineLevel="0" collapsed="false">
      <c r="A30" s="31"/>
      <c r="B30" s="32"/>
      <c r="C30" s="32"/>
      <c r="D30" s="32"/>
      <c r="E30" s="32"/>
      <c r="F30" s="32"/>
      <c r="G30" s="33"/>
      <c r="H30" s="33"/>
      <c r="I30" s="34" t="str">
        <f aca="false">IF($A30="","",$G30-$H30)</f>
        <v/>
      </c>
      <c r="J30" s="35" t="str">
        <f aca="false">IF($A30="","",IF(Setup!$B$6=1,YEAR($A30),YEAR($A30)+IF(MONTH($A30)&gt;=Setup!$B$6,1,0)))</f>
        <v/>
      </c>
      <c r="K30" s="35" t="str">
        <f aca="false">IF($A30="","",MOD(MONTH($A30)-Setup!$B$6+12,12)+1)</f>
        <v/>
      </c>
      <c r="L30" s="36" t="str">
        <f aca="false">IF($A30="","",TEXT($A30,"MMM-YY"))</f>
        <v/>
      </c>
      <c r="M30" s="37" t="str">
        <f aca="false">IF($A30="","",IF($Q30=0,"UNMAPPED",INDEX(COA_Mapping!$C$7:$C$256,$Q30)))</f>
        <v/>
      </c>
      <c r="N30" s="38" t="str">
        <f aca="false">IF($A30="","",IF($Q30=0,"",INDEX(COA_Mapping!$E$7:$E$256,$Q30)))</f>
        <v/>
      </c>
      <c r="O30" s="38" t="n">
        <f aca="false">IF($A30="",1,IF($Q30=0,1,INDEX(COA_Mapping!$F$7:$F$256,$Q30)))</f>
        <v>1</v>
      </c>
      <c r="P30" s="34" t="str">
        <f aca="false">IF($A30="","",$I30*$O30)</f>
        <v/>
      </c>
      <c r="Q30" s="39" t="n">
        <f aca="false">IF($B30="",0,IFERROR(MATCH($B30,COA_Mapping!$A$7:$A$256,0),0))</f>
        <v>0</v>
      </c>
      <c r="R30" s="39" t="n">
        <f aca="false">IF($A30="",-1,IF($J30=Setup!$B$7,1,IF($J30=Setup!$B$9,0,-1)))</f>
        <v>-1</v>
      </c>
      <c r="S30" s="35" t="n">
        <f aca="false">IF(OR($A30="",$Q30=0,$R30=-1),0,$Q30*1000+$R30*100+$K30)</f>
        <v>0</v>
      </c>
      <c r="T30" s="37" t="str">
        <f aca="false">IF($A30="","",IF($B30="","NO ACCOUNT",IF($Q30=0,"UNMAPPED",IF($R30=-1,"OUTSIDE FY RANGE","OK"))))</f>
        <v/>
      </c>
      <c r="U30" s="40" t="str">
        <f aca="false">IF($A30="","",$B30&amp;"|"&amp;TEXT($A30,"yyyymmdd")&amp;"|"&amp;TEXT($I30,"0.00"))</f>
        <v/>
      </c>
      <c r="V30" s="35" t="str">
        <f aca="false">IF($A30="","",COUNTIF($U$8:$U$5007,$U30))</f>
        <v/>
      </c>
    </row>
    <row r="31" customFormat="false" ht="15" hidden="false" customHeight="false" outlineLevel="0" collapsed="false">
      <c r="A31" s="31"/>
      <c r="B31" s="32"/>
      <c r="C31" s="32"/>
      <c r="D31" s="32"/>
      <c r="E31" s="32"/>
      <c r="F31" s="32"/>
      <c r="G31" s="33"/>
      <c r="H31" s="33"/>
      <c r="I31" s="34" t="str">
        <f aca="false">IF($A31="","",$G31-$H31)</f>
        <v/>
      </c>
      <c r="J31" s="35" t="str">
        <f aca="false">IF($A31="","",IF(Setup!$B$6=1,YEAR($A31),YEAR($A31)+IF(MONTH($A31)&gt;=Setup!$B$6,1,0)))</f>
        <v/>
      </c>
      <c r="K31" s="35" t="str">
        <f aca="false">IF($A31="","",MOD(MONTH($A31)-Setup!$B$6+12,12)+1)</f>
        <v/>
      </c>
      <c r="L31" s="36" t="str">
        <f aca="false">IF($A31="","",TEXT($A31,"MMM-YY"))</f>
        <v/>
      </c>
      <c r="M31" s="37" t="str">
        <f aca="false">IF($A31="","",IF($Q31=0,"UNMAPPED",INDEX(COA_Mapping!$C$7:$C$256,$Q31)))</f>
        <v/>
      </c>
      <c r="N31" s="38" t="str">
        <f aca="false">IF($A31="","",IF($Q31=0,"",INDEX(COA_Mapping!$E$7:$E$256,$Q31)))</f>
        <v/>
      </c>
      <c r="O31" s="38" t="n">
        <f aca="false">IF($A31="",1,IF($Q31=0,1,INDEX(COA_Mapping!$F$7:$F$256,$Q31)))</f>
        <v>1</v>
      </c>
      <c r="P31" s="34" t="str">
        <f aca="false">IF($A31="","",$I31*$O31)</f>
        <v/>
      </c>
      <c r="Q31" s="39" t="n">
        <f aca="false">IF($B31="",0,IFERROR(MATCH($B31,COA_Mapping!$A$7:$A$256,0),0))</f>
        <v>0</v>
      </c>
      <c r="R31" s="39" t="n">
        <f aca="false">IF($A31="",-1,IF($J31=Setup!$B$7,1,IF($J31=Setup!$B$9,0,-1)))</f>
        <v>-1</v>
      </c>
      <c r="S31" s="35" t="n">
        <f aca="false">IF(OR($A31="",$Q31=0,$R31=-1),0,$Q31*1000+$R31*100+$K31)</f>
        <v>0</v>
      </c>
      <c r="T31" s="37" t="str">
        <f aca="false">IF($A31="","",IF($B31="","NO ACCOUNT",IF($Q31=0,"UNMAPPED",IF($R31=-1,"OUTSIDE FY RANGE","OK"))))</f>
        <v/>
      </c>
      <c r="U31" s="40" t="str">
        <f aca="false">IF($A31="","",$B31&amp;"|"&amp;TEXT($A31,"yyyymmdd")&amp;"|"&amp;TEXT($I31,"0.00"))</f>
        <v/>
      </c>
      <c r="V31" s="35" t="str">
        <f aca="false">IF($A31="","",COUNTIF($U$8:$U$5007,$U31))</f>
        <v/>
      </c>
    </row>
    <row r="32" customFormat="false" ht="15" hidden="false" customHeight="false" outlineLevel="0" collapsed="false">
      <c r="A32" s="31"/>
      <c r="B32" s="32"/>
      <c r="C32" s="32"/>
      <c r="D32" s="32"/>
      <c r="E32" s="32"/>
      <c r="F32" s="32"/>
      <c r="G32" s="33"/>
      <c r="H32" s="33"/>
      <c r="I32" s="34" t="str">
        <f aca="false">IF($A32="","",$G32-$H32)</f>
        <v/>
      </c>
      <c r="J32" s="35" t="str">
        <f aca="false">IF($A32="","",IF(Setup!$B$6=1,YEAR($A32),YEAR($A32)+IF(MONTH($A32)&gt;=Setup!$B$6,1,0)))</f>
        <v/>
      </c>
      <c r="K32" s="35" t="str">
        <f aca="false">IF($A32="","",MOD(MONTH($A32)-Setup!$B$6+12,12)+1)</f>
        <v/>
      </c>
      <c r="L32" s="36" t="str">
        <f aca="false">IF($A32="","",TEXT($A32,"MMM-YY"))</f>
        <v/>
      </c>
      <c r="M32" s="37" t="str">
        <f aca="false">IF($A32="","",IF($Q32=0,"UNMAPPED",INDEX(COA_Mapping!$C$7:$C$256,$Q32)))</f>
        <v/>
      </c>
      <c r="N32" s="38" t="str">
        <f aca="false">IF($A32="","",IF($Q32=0,"",INDEX(COA_Mapping!$E$7:$E$256,$Q32)))</f>
        <v/>
      </c>
      <c r="O32" s="38" t="n">
        <f aca="false">IF($A32="",1,IF($Q32=0,1,INDEX(COA_Mapping!$F$7:$F$256,$Q32)))</f>
        <v>1</v>
      </c>
      <c r="P32" s="34" t="str">
        <f aca="false">IF($A32="","",$I32*$O32)</f>
        <v/>
      </c>
      <c r="Q32" s="39" t="n">
        <f aca="false">IF($B32="",0,IFERROR(MATCH($B32,COA_Mapping!$A$7:$A$256,0),0))</f>
        <v>0</v>
      </c>
      <c r="R32" s="39" t="n">
        <f aca="false">IF($A32="",-1,IF($J32=Setup!$B$7,1,IF($J32=Setup!$B$9,0,-1)))</f>
        <v>-1</v>
      </c>
      <c r="S32" s="35" t="n">
        <f aca="false">IF(OR($A32="",$Q32=0,$R32=-1),0,$Q32*1000+$R32*100+$K32)</f>
        <v>0</v>
      </c>
      <c r="T32" s="37" t="str">
        <f aca="false">IF($A32="","",IF($B32="","NO ACCOUNT",IF($Q32=0,"UNMAPPED",IF($R32=-1,"OUTSIDE FY RANGE","OK"))))</f>
        <v/>
      </c>
      <c r="U32" s="40" t="str">
        <f aca="false">IF($A32="","",$B32&amp;"|"&amp;TEXT($A32,"yyyymmdd")&amp;"|"&amp;TEXT($I32,"0.00"))</f>
        <v/>
      </c>
      <c r="V32" s="35" t="str">
        <f aca="false">IF($A32="","",COUNTIF($U$8:$U$5007,$U32))</f>
        <v/>
      </c>
    </row>
    <row r="33" customFormat="false" ht="15" hidden="false" customHeight="false" outlineLevel="0" collapsed="false">
      <c r="A33" s="31"/>
      <c r="B33" s="32"/>
      <c r="C33" s="32"/>
      <c r="D33" s="32"/>
      <c r="E33" s="32"/>
      <c r="F33" s="32"/>
      <c r="G33" s="33"/>
      <c r="H33" s="33"/>
      <c r="I33" s="34" t="str">
        <f aca="false">IF($A33="","",$G33-$H33)</f>
        <v/>
      </c>
      <c r="J33" s="35" t="str">
        <f aca="false">IF($A33="","",IF(Setup!$B$6=1,YEAR($A33),YEAR($A33)+IF(MONTH($A33)&gt;=Setup!$B$6,1,0)))</f>
        <v/>
      </c>
      <c r="K33" s="35" t="str">
        <f aca="false">IF($A33="","",MOD(MONTH($A33)-Setup!$B$6+12,12)+1)</f>
        <v/>
      </c>
      <c r="L33" s="36" t="str">
        <f aca="false">IF($A33="","",TEXT($A33,"MMM-YY"))</f>
        <v/>
      </c>
      <c r="M33" s="37" t="str">
        <f aca="false">IF($A33="","",IF($Q33=0,"UNMAPPED",INDEX(COA_Mapping!$C$7:$C$256,$Q33)))</f>
        <v/>
      </c>
      <c r="N33" s="38" t="str">
        <f aca="false">IF($A33="","",IF($Q33=0,"",INDEX(COA_Mapping!$E$7:$E$256,$Q33)))</f>
        <v/>
      </c>
      <c r="O33" s="38" t="n">
        <f aca="false">IF($A33="",1,IF($Q33=0,1,INDEX(COA_Mapping!$F$7:$F$256,$Q33)))</f>
        <v>1</v>
      </c>
      <c r="P33" s="34" t="str">
        <f aca="false">IF($A33="","",$I33*$O33)</f>
        <v/>
      </c>
      <c r="Q33" s="39" t="n">
        <f aca="false">IF($B33="",0,IFERROR(MATCH($B33,COA_Mapping!$A$7:$A$256,0),0))</f>
        <v>0</v>
      </c>
      <c r="R33" s="39" t="n">
        <f aca="false">IF($A33="",-1,IF($J33=Setup!$B$7,1,IF($J33=Setup!$B$9,0,-1)))</f>
        <v>-1</v>
      </c>
      <c r="S33" s="35" t="n">
        <f aca="false">IF(OR($A33="",$Q33=0,$R33=-1),0,$Q33*1000+$R33*100+$K33)</f>
        <v>0</v>
      </c>
      <c r="T33" s="37" t="str">
        <f aca="false">IF($A33="","",IF($B33="","NO ACCOUNT",IF($Q33=0,"UNMAPPED",IF($R33=-1,"OUTSIDE FY RANGE","OK"))))</f>
        <v/>
      </c>
      <c r="U33" s="40" t="str">
        <f aca="false">IF($A33="","",$B33&amp;"|"&amp;TEXT($A33,"yyyymmdd")&amp;"|"&amp;TEXT($I33,"0.00"))</f>
        <v/>
      </c>
      <c r="V33" s="35" t="str">
        <f aca="false">IF($A33="","",COUNTIF($U$8:$U$5007,$U33))</f>
        <v/>
      </c>
    </row>
    <row r="34" customFormat="false" ht="15" hidden="false" customHeight="false" outlineLevel="0" collapsed="false">
      <c r="A34" s="31"/>
      <c r="B34" s="32"/>
      <c r="C34" s="32"/>
      <c r="D34" s="32"/>
      <c r="E34" s="32"/>
      <c r="F34" s="32"/>
      <c r="G34" s="33"/>
      <c r="H34" s="33"/>
      <c r="I34" s="34" t="str">
        <f aca="false">IF($A34="","",$G34-$H34)</f>
        <v/>
      </c>
      <c r="J34" s="35" t="str">
        <f aca="false">IF($A34="","",IF(Setup!$B$6=1,YEAR($A34),YEAR($A34)+IF(MONTH($A34)&gt;=Setup!$B$6,1,0)))</f>
        <v/>
      </c>
      <c r="K34" s="35" t="str">
        <f aca="false">IF($A34="","",MOD(MONTH($A34)-Setup!$B$6+12,12)+1)</f>
        <v/>
      </c>
      <c r="L34" s="36" t="str">
        <f aca="false">IF($A34="","",TEXT($A34,"MMM-YY"))</f>
        <v/>
      </c>
      <c r="M34" s="37" t="str">
        <f aca="false">IF($A34="","",IF($Q34=0,"UNMAPPED",INDEX(COA_Mapping!$C$7:$C$256,$Q34)))</f>
        <v/>
      </c>
      <c r="N34" s="38" t="str">
        <f aca="false">IF($A34="","",IF($Q34=0,"",INDEX(COA_Mapping!$E$7:$E$256,$Q34)))</f>
        <v/>
      </c>
      <c r="O34" s="38" t="n">
        <f aca="false">IF($A34="",1,IF($Q34=0,1,INDEX(COA_Mapping!$F$7:$F$256,$Q34)))</f>
        <v>1</v>
      </c>
      <c r="P34" s="34" t="str">
        <f aca="false">IF($A34="","",$I34*$O34)</f>
        <v/>
      </c>
      <c r="Q34" s="39" t="n">
        <f aca="false">IF($B34="",0,IFERROR(MATCH($B34,COA_Mapping!$A$7:$A$256,0),0))</f>
        <v>0</v>
      </c>
      <c r="R34" s="39" t="n">
        <f aca="false">IF($A34="",-1,IF($J34=Setup!$B$7,1,IF($J34=Setup!$B$9,0,-1)))</f>
        <v>-1</v>
      </c>
      <c r="S34" s="35" t="n">
        <f aca="false">IF(OR($A34="",$Q34=0,$R34=-1),0,$Q34*1000+$R34*100+$K34)</f>
        <v>0</v>
      </c>
      <c r="T34" s="37" t="str">
        <f aca="false">IF($A34="","",IF($B34="","NO ACCOUNT",IF($Q34=0,"UNMAPPED",IF($R34=-1,"OUTSIDE FY RANGE","OK"))))</f>
        <v/>
      </c>
      <c r="U34" s="40" t="str">
        <f aca="false">IF($A34="","",$B34&amp;"|"&amp;TEXT($A34,"yyyymmdd")&amp;"|"&amp;TEXT($I34,"0.00"))</f>
        <v/>
      </c>
      <c r="V34" s="35" t="str">
        <f aca="false">IF($A34="","",COUNTIF($U$8:$U$5007,$U34))</f>
        <v/>
      </c>
    </row>
    <row r="35" customFormat="false" ht="15" hidden="false" customHeight="false" outlineLevel="0" collapsed="false">
      <c r="A35" s="31"/>
      <c r="B35" s="32"/>
      <c r="C35" s="32"/>
      <c r="D35" s="32"/>
      <c r="E35" s="32"/>
      <c r="F35" s="32"/>
      <c r="G35" s="33"/>
      <c r="H35" s="33"/>
      <c r="I35" s="34" t="str">
        <f aca="false">IF($A35="","",$G35-$H35)</f>
        <v/>
      </c>
      <c r="J35" s="35" t="str">
        <f aca="false">IF($A35="","",IF(Setup!$B$6=1,YEAR($A35),YEAR($A35)+IF(MONTH($A35)&gt;=Setup!$B$6,1,0)))</f>
        <v/>
      </c>
      <c r="K35" s="35" t="str">
        <f aca="false">IF($A35="","",MOD(MONTH($A35)-Setup!$B$6+12,12)+1)</f>
        <v/>
      </c>
      <c r="L35" s="36" t="str">
        <f aca="false">IF($A35="","",TEXT($A35,"MMM-YY"))</f>
        <v/>
      </c>
      <c r="M35" s="37" t="str">
        <f aca="false">IF($A35="","",IF($Q35=0,"UNMAPPED",INDEX(COA_Mapping!$C$7:$C$256,$Q35)))</f>
        <v/>
      </c>
      <c r="N35" s="38" t="str">
        <f aca="false">IF($A35="","",IF($Q35=0,"",INDEX(COA_Mapping!$E$7:$E$256,$Q35)))</f>
        <v/>
      </c>
      <c r="O35" s="38" t="n">
        <f aca="false">IF($A35="",1,IF($Q35=0,1,INDEX(COA_Mapping!$F$7:$F$256,$Q35)))</f>
        <v>1</v>
      </c>
      <c r="P35" s="34" t="str">
        <f aca="false">IF($A35="","",$I35*$O35)</f>
        <v/>
      </c>
      <c r="Q35" s="39" t="n">
        <f aca="false">IF($B35="",0,IFERROR(MATCH($B35,COA_Mapping!$A$7:$A$256,0),0))</f>
        <v>0</v>
      </c>
      <c r="R35" s="39" t="n">
        <f aca="false">IF($A35="",-1,IF($J35=Setup!$B$7,1,IF($J35=Setup!$B$9,0,-1)))</f>
        <v>-1</v>
      </c>
      <c r="S35" s="35" t="n">
        <f aca="false">IF(OR($A35="",$Q35=0,$R35=-1),0,$Q35*1000+$R35*100+$K35)</f>
        <v>0</v>
      </c>
      <c r="T35" s="37" t="str">
        <f aca="false">IF($A35="","",IF($B35="","NO ACCOUNT",IF($Q35=0,"UNMAPPED",IF($R35=-1,"OUTSIDE FY RANGE","OK"))))</f>
        <v/>
      </c>
      <c r="U35" s="40" t="str">
        <f aca="false">IF($A35="","",$B35&amp;"|"&amp;TEXT($A35,"yyyymmdd")&amp;"|"&amp;TEXT($I35,"0.00"))</f>
        <v/>
      </c>
      <c r="V35" s="35" t="str">
        <f aca="false">IF($A35="","",COUNTIF($U$8:$U$5007,$U35))</f>
        <v/>
      </c>
    </row>
    <row r="36" customFormat="false" ht="15" hidden="false" customHeight="false" outlineLevel="0" collapsed="false">
      <c r="A36" s="31"/>
      <c r="B36" s="32"/>
      <c r="C36" s="32"/>
      <c r="D36" s="32"/>
      <c r="E36" s="32"/>
      <c r="F36" s="32"/>
      <c r="G36" s="33"/>
      <c r="H36" s="33"/>
      <c r="I36" s="34" t="str">
        <f aca="false">IF($A36="","",$G36-$H36)</f>
        <v/>
      </c>
      <c r="J36" s="35" t="str">
        <f aca="false">IF($A36="","",IF(Setup!$B$6=1,YEAR($A36),YEAR($A36)+IF(MONTH($A36)&gt;=Setup!$B$6,1,0)))</f>
        <v/>
      </c>
      <c r="K36" s="35" t="str">
        <f aca="false">IF($A36="","",MOD(MONTH($A36)-Setup!$B$6+12,12)+1)</f>
        <v/>
      </c>
      <c r="L36" s="36" t="str">
        <f aca="false">IF($A36="","",TEXT($A36,"MMM-YY"))</f>
        <v/>
      </c>
      <c r="M36" s="37" t="str">
        <f aca="false">IF($A36="","",IF($Q36=0,"UNMAPPED",INDEX(COA_Mapping!$C$7:$C$256,$Q36)))</f>
        <v/>
      </c>
      <c r="N36" s="38" t="str">
        <f aca="false">IF($A36="","",IF($Q36=0,"",INDEX(COA_Mapping!$E$7:$E$256,$Q36)))</f>
        <v/>
      </c>
      <c r="O36" s="38" t="n">
        <f aca="false">IF($A36="",1,IF($Q36=0,1,INDEX(COA_Mapping!$F$7:$F$256,$Q36)))</f>
        <v>1</v>
      </c>
      <c r="P36" s="34" t="str">
        <f aca="false">IF($A36="","",$I36*$O36)</f>
        <v/>
      </c>
      <c r="Q36" s="39" t="n">
        <f aca="false">IF($B36="",0,IFERROR(MATCH($B36,COA_Mapping!$A$7:$A$256,0),0))</f>
        <v>0</v>
      </c>
      <c r="R36" s="39" t="n">
        <f aca="false">IF($A36="",-1,IF($J36=Setup!$B$7,1,IF($J36=Setup!$B$9,0,-1)))</f>
        <v>-1</v>
      </c>
      <c r="S36" s="35" t="n">
        <f aca="false">IF(OR($A36="",$Q36=0,$R36=-1),0,$Q36*1000+$R36*100+$K36)</f>
        <v>0</v>
      </c>
      <c r="T36" s="37" t="str">
        <f aca="false">IF($A36="","",IF($B36="","NO ACCOUNT",IF($Q36=0,"UNMAPPED",IF($R36=-1,"OUTSIDE FY RANGE","OK"))))</f>
        <v/>
      </c>
      <c r="U36" s="40" t="str">
        <f aca="false">IF($A36="","",$B36&amp;"|"&amp;TEXT($A36,"yyyymmdd")&amp;"|"&amp;TEXT($I36,"0.00"))</f>
        <v/>
      </c>
      <c r="V36" s="35" t="str">
        <f aca="false">IF($A36="","",COUNTIF($U$8:$U$5007,$U36))</f>
        <v/>
      </c>
    </row>
    <row r="37" customFormat="false" ht="15" hidden="false" customHeight="false" outlineLevel="0" collapsed="false">
      <c r="A37" s="31"/>
      <c r="B37" s="32"/>
      <c r="C37" s="32"/>
      <c r="D37" s="32"/>
      <c r="E37" s="32"/>
      <c r="F37" s="32"/>
      <c r="G37" s="33"/>
      <c r="H37" s="33"/>
      <c r="I37" s="34" t="str">
        <f aca="false">IF($A37="","",$G37-$H37)</f>
        <v/>
      </c>
      <c r="J37" s="35" t="str">
        <f aca="false">IF($A37="","",IF(Setup!$B$6=1,YEAR($A37),YEAR($A37)+IF(MONTH($A37)&gt;=Setup!$B$6,1,0)))</f>
        <v/>
      </c>
      <c r="K37" s="35" t="str">
        <f aca="false">IF($A37="","",MOD(MONTH($A37)-Setup!$B$6+12,12)+1)</f>
        <v/>
      </c>
      <c r="L37" s="36" t="str">
        <f aca="false">IF($A37="","",TEXT($A37,"MMM-YY"))</f>
        <v/>
      </c>
      <c r="M37" s="37" t="str">
        <f aca="false">IF($A37="","",IF($Q37=0,"UNMAPPED",INDEX(COA_Mapping!$C$7:$C$256,$Q37)))</f>
        <v/>
      </c>
      <c r="N37" s="38" t="str">
        <f aca="false">IF($A37="","",IF($Q37=0,"",INDEX(COA_Mapping!$E$7:$E$256,$Q37)))</f>
        <v/>
      </c>
      <c r="O37" s="38" t="n">
        <f aca="false">IF($A37="",1,IF($Q37=0,1,INDEX(COA_Mapping!$F$7:$F$256,$Q37)))</f>
        <v>1</v>
      </c>
      <c r="P37" s="34" t="str">
        <f aca="false">IF($A37="","",$I37*$O37)</f>
        <v/>
      </c>
      <c r="Q37" s="39" t="n">
        <f aca="false">IF($B37="",0,IFERROR(MATCH($B37,COA_Mapping!$A$7:$A$256,0),0))</f>
        <v>0</v>
      </c>
      <c r="R37" s="39" t="n">
        <f aca="false">IF($A37="",-1,IF($J37=Setup!$B$7,1,IF($J37=Setup!$B$9,0,-1)))</f>
        <v>-1</v>
      </c>
      <c r="S37" s="35" t="n">
        <f aca="false">IF(OR($A37="",$Q37=0,$R37=-1),0,$Q37*1000+$R37*100+$K37)</f>
        <v>0</v>
      </c>
      <c r="T37" s="37" t="str">
        <f aca="false">IF($A37="","",IF($B37="","NO ACCOUNT",IF($Q37=0,"UNMAPPED",IF($R37=-1,"OUTSIDE FY RANGE","OK"))))</f>
        <v/>
      </c>
      <c r="U37" s="40" t="str">
        <f aca="false">IF($A37="","",$B37&amp;"|"&amp;TEXT($A37,"yyyymmdd")&amp;"|"&amp;TEXT($I37,"0.00"))</f>
        <v/>
      </c>
      <c r="V37" s="35" t="str">
        <f aca="false">IF($A37="","",COUNTIF($U$8:$U$5007,$U37))</f>
        <v/>
      </c>
    </row>
    <row r="38" customFormat="false" ht="15" hidden="false" customHeight="false" outlineLevel="0" collapsed="false">
      <c r="A38" s="31"/>
      <c r="B38" s="32"/>
      <c r="C38" s="32"/>
      <c r="D38" s="32"/>
      <c r="E38" s="32"/>
      <c r="F38" s="32"/>
      <c r="G38" s="33"/>
      <c r="H38" s="33"/>
      <c r="I38" s="34" t="str">
        <f aca="false">IF($A38="","",$G38-$H38)</f>
        <v/>
      </c>
      <c r="J38" s="35" t="str">
        <f aca="false">IF($A38="","",IF(Setup!$B$6=1,YEAR($A38),YEAR($A38)+IF(MONTH($A38)&gt;=Setup!$B$6,1,0)))</f>
        <v/>
      </c>
      <c r="K38" s="35" t="str">
        <f aca="false">IF($A38="","",MOD(MONTH($A38)-Setup!$B$6+12,12)+1)</f>
        <v/>
      </c>
      <c r="L38" s="36" t="str">
        <f aca="false">IF($A38="","",TEXT($A38,"MMM-YY"))</f>
        <v/>
      </c>
      <c r="M38" s="37" t="str">
        <f aca="false">IF($A38="","",IF($Q38=0,"UNMAPPED",INDEX(COA_Mapping!$C$7:$C$256,$Q38)))</f>
        <v/>
      </c>
      <c r="N38" s="38" t="str">
        <f aca="false">IF($A38="","",IF($Q38=0,"",INDEX(COA_Mapping!$E$7:$E$256,$Q38)))</f>
        <v/>
      </c>
      <c r="O38" s="38" t="n">
        <f aca="false">IF($A38="",1,IF($Q38=0,1,INDEX(COA_Mapping!$F$7:$F$256,$Q38)))</f>
        <v>1</v>
      </c>
      <c r="P38" s="34" t="str">
        <f aca="false">IF($A38="","",$I38*$O38)</f>
        <v/>
      </c>
      <c r="Q38" s="39" t="n">
        <f aca="false">IF($B38="",0,IFERROR(MATCH($B38,COA_Mapping!$A$7:$A$256,0),0))</f>
        <v>0</v>
      </c>
      <c r="R38" s="39" t="n">
        <f aca="false">IF($A38="",-1,IF($J38=Setup!$B$7,1,IF($J38=Setup!$B$9,0,-1)))</f>
        <v>-1</v>
      </c>
      <c r="S38" s="35" t="n">
        <f aca="false">IF(OR($A38="",$Q38=0,$R38=-1),0,$Q38*1000+$R38*100+$K38)</f>
        <v>0</v>
      </c>
      <c r="T38" s="37" t="str">
        <f aca="false">IF($A38="","",IF($B38="","NO ACCOUNT",IF($Q38=0,"UNMAPPED",IF($R38=-1,"OUTSIDE FY RANGE","OK"))))</f>
        <v/>
      </c>
      <c r="U38" s="40" t="str">
        <f aca="false">IF($A38="","",$B38&amp;"|"&amp;TEXT($A38,"yyyymmdd")&amp;"|"&amp;TEXT($I38,"0.00"))</f>
        <v/>
      </c>
      <c r="V38" s="35" t="str">
        <f aca="false">IF($A38="","",COUNTIF($U$8:$U$5007,$U38))</f>
        <v/>
      </c>
    </row>
    <row r="39" customFormat="false" ht="15" hidden="false" customHeight="false" outlineLevel="0" collapsed="false">
      <c r="A39" s="31"/>
      <c r="B39" s="32"/>
      <c r="C39" s="32"/>
      <c r="D39" s="32"/>
      <c r="E39" s="32"/>
      <c r="F39" s="32"/>
      <c r="G39" s="33"/>
      <c r="H39" s="33"/>
      <c r="I39" s="34" t="str">
        <f aca="false">IF($A39="","",$G39-$H39)</f>
        <v/>
      </c>
      <c r="J39" s="35" t="str">
        <f aca="false">IF($A39="","",IF(Setup!$B$6=1,YEAR($A39),YEAR($A39)+IF(MONTH($A39)&gt;=Setup!$B$6,1,0)))</f>
        <v/>
      </c>
      <c r="K39" s="35" t="str">
        <f aca="false">IF($A39="","",MOD(MONTH($A39)-Setup!$B$6+12,12)+1)</f>
        <v/>
      </c>
      <c r="L39" s="36" t="str">
        <f aca="false">IF($A39="","",TEXT($A39,"MMM-YY"))</f>
        <v/>
      </c>
      <c r="M39" s="37" t="str">
        <f aca="false">IF($A39="","",IF($Q39=0,"UNMAPPED",INDEX(COA_Mapping!$C$7:$C$256,$Q39)))</f>
        <v/>
      </c>
      <c r="N39" s="38" t="str">
        <f aca="false">IF($A39="","",IF($Q39=0,"",INDEX(COA_Mapping!$E$7:$E$256,$Q39)))</f>
        <v/>
      </c>
      <c r="O39" s="38" t="n">
        <f aca="false">IF($A39="",1,IF($Q39=0,1,INDEX(COA_Mapping!$F$7:$F$256,$Q39)))</f>
        <v>1</v>
      </c>
      <c r="P39" s="34" t="str">
        <f aca="false">IF($A39="","",$I39*$O39)</f>
        <v/>
      </c>
      <c r="Q39" s="39" t="n">
        <f aca="false">IF($B39="",0,IFERROR(MATCH($B39,COA_Mapping!$A$7:$A$256,0),0))</f>
        <v>0</v>
      </c>
      <c r="R39" s="39" t="n">
        <f aca="false">IF($A39="",-1,IF($J39=Setup!$B$7,1,IF($J39=Setup!$B$9,0,-1)))</f>
        <v>-1</v>
      </c>
      <c r="S39" s="35" t="n">
        <f aca="false">IF(OR($A39="",$Q39=0,$R39=-1),0,$Q39*1000+$R39*100+$K39)</f>
        <v>0</v>
      </c>
      <c r="T39" s="37" t="str">
        <f aca="false">IF($A39="","",IF($B39="","NO ACCOUNT",IF($Q39=0,"UNMAPPED",IF($R39=-1,"OUTSIDE FY RANGE","OK"))))</f>
        <v/>
      </c>
      <c r="U39" s="40" t="str">
        <f aca="false">IF($A39="","",$B39&amp;"|"&amp;TEXT($A39,"yyyymmdd")&amp;"|"&amp;TEXT($I39,"0.00"))</f>
        <v/>
      </c>
      <c r="V39" s="35" t="str">
        <f aca="false">IF($A39="","",COUNTIF($U$8:$U$5007,$U39))</f>
        <v/>
      </c>
    </row>
    <row r="40" customFormat="false" ht="15" hidden="false" customHeight="false" outlineLevel="0" collapsed="false">
      <c r="A40" s="31"/>
      <c r="B40" s="32"/>
      <c r="C40" s="32"/>
      <c r="D40" s="32"/>
      <c r="E40" s="32"/>
      <c r="F40" s="32"/>
      <c r="G40" s="33"/>
      <c r="H40" s="33"/>
      <c r="I40" s="34" t="str">
        <f aca="false">IF($A40="","",$G40-$H40)</f>
        <v/>
      </c>
      <c r="J40" s="35" t="str">
        <f aca="false">IF($A40="","",IF(Setup!$B$6=1,YEAR($A40),YEAR($A40)+IF(MONTH($A40)&gt;=Setup!$B$6,1,0)))</f>
        <v/>
      </c>
      <c r="K40" s="35" t="str">
        <f aca="false">IF($A40="","",MOD(MONTH($A40)-Setup!$B$6+12,12)+1)</f>
        <v/>
      </c>
      <c r="L40" s="36" t="str">
        <f aca="false">IF($A40="","",TEXT($A40,"MMM-YY"))</f>
        <v/>
      </c>
      <c r="M40" s="37" t="str">
        <f aca="false">IF($A40="","",IF($Q40=0,"UNMAPPED",INDEX(COA_Mapping!$C$7:$C$256,$Q40)))</f>
        <v/>
      </c>
      <c r="N40" s="38" t="str">
        <f aca="false">IF($A40="","",IF($Q40=0,"",INDEX(COA_Mapping!$E$7:$E$256,$Q40)))</f>
        <v/>
      </c>
      <c r="O40" s="38" t="n">
        <f aca="false">IF($A40="",1,IF($Q40=0,1,INDEX(COA_Mapping!$F$7:$F$256,$Q40)))</f>
        <v>1</v>
      </c>
      <c r="P40" s="34" t="str">
        <f aca="false">IF($A40="","",$I40*$O40)</f>
        <v/>
      </c>
      <c r="Q40" s="39" t="n">
        <f aca="false">IF($B40="",0,IFERROR(MATCH($B40,COA_Mapping!$A$7:$A$256,0),0))</f>
        <v>0</v>
      </c>
      <c r="R40" s="39" t="n">
        <f aca="false">IF($A40="",-1,IF($J40=Setup!$B$7,1,IF($J40=Setup!$B$9,0,-1)))</f>
        <v>-1</v>
      </c>
      <c r="S40" s="35" t="n">
        <f aca="false">IF(OR($A40="",$Q40=0,$R40=-1),0,$Q40*1000+$R40*100+$K40)</f>
        <v>0</v>
      </c>
      <c r="T40" s="37" t="str">
        <f aca="false">IF($A40="","",IF($B40="","NO ACCOUNT",IF($Q40=0,"UNMAPPED",IF($R40=-1,"OUTSIDE FY RANGE","OK"))))</f>
        <v/>
      </c>
      <c r="U40" s="40" t="str">
        <f aca="false">IF($A40="","",$B40&amp;"|"&amp;TEXT($A40,"yyyymmdd")&amp;"|"&amp;TEXT($I40,"0.00"))</f>
        <v/>
      </c>
      <c r="V40" s="35" t="str">
        <f aca="false">IF($A40="","",COUNTIF($U$8:$U$5007,$U40))</f>
        <v/>
      </c>
    </row>
    <row r="41" customFormat="false" ht="15" hidden="false" customHeight="false" outlineLevel="0" collapsed="false">
      <c r="A41" s="31"/>
      <c r="B41" s="32"/>
      <c r="C41" s="32"/>
      <c r="D41" s="32"/>
      <c r="E41" s="32"/>
      <c r="F41" s="32"/>
      <c r="G41" s="33"/>
      <c r="H41" s="33"/>
      <c r="I41" s="34" t="str">
        <f aca="false">IF($A41="","",$G41-$H41)</f>
        <v/>
      </c>
      <c r="J41" s="35" t="str">
        <f aca="false">IF($A41="","",IF(Setup!$B$6=1,YEAR($A41),YEAR($A41)+IF(MONTH($A41)&gt;=Setup!$B$6,1,0)))</f>
        <v/>
      </c>
      <c r="K41" s="35" t="str">
        <f aca="false">IF($A41="","",MOD(MONTH($A41)-Setup!$B$6+12,12)+1)</f>
        <v/>
      </c>
      <c r="L41" s="36" t="str">
        <f aca="false">IF($A41="","",TEXT($A41,"MMM-YY"))</f>
        <v/>
      </c>
      <c r="M41" s="37" t="str">
        <f aca="false">IF($A41="","",IF($Q41=0,"UNMAPPED",INDEX(COA_Mapping!$C$7:$C$256,$Q41)))</f>
        <v/>
      </c>
      <c r="N41" s="38" t="str">
        <f aca="false">IF($A41="","",IF($Q41=0,"",INDEX(COA_Mapping!$E$7:$E$256,$Q41)))</f>
        <v/>
      </c>
      <c r="O41" s="38" t="n">
        <f aca="false">IF($A41="",1,IF($Q41=0,1,INDEX(COA_Mapping!$F$7:$F$256,$Q41)))</f>
        <v>1</v>
      </c>
      <c r="P41" s="34" t="str">
        <f aca="false">IF($A41="","",$I41*$O41)</f>
        <v/>
      </c>
      <c r="Q41" s="39" t="n">
        <f aca="false">IF($B41="",0,IFERROR(MATCH($B41,COA_Mapping!$A$7:$A$256,0),0))</f>
        <v>0</v>
      </c>
      <c r="R41" s="39" t="n">
        <f aca="false">IF($A41="",-1,IF($J41=Setup!$B$7,1,IF($J41=Setup!$B$9,0,-1)))</f>
        <v>-1</v>
      </c>
      <c r="S41" s="35" t="n">
        <f aca="false">IF(OR($A41="",$Q41=0,$R41=-1),0,$Q41*1000+$R41*100+$K41)</f>
        <v>0</v>
      </c>
      <c r="T41" s="37" t="str">
        <f aca="false">IF($A41="","",IF($B41="","NO ACCOUNT",IF($Q41=0,"UNMAPPED",IF($R41=-1,"OUTSIDE FY RANGE","OK"))))</f>
        <v/>
      </c>
      <c r="U41" s="40" t="str">
        <f aca="false">IF($A41="","",$B41&amp;"|"&amp;TEXT($A41,"yyyymmdd")&amp;"|"&amp;TEXT($I41,"0.00"))</f>
        <v/>
      </c>
      <c r="V41" s="35" t="str">
        <f aca="false">IF($A41="","",COUNTIF($U$8:$U$5007,$U41))</f>
        <v/>
      </c>
    </row>
    <row r="42" customFormat="false" ht="15" hidden="false" customHeight="false" outlineLevel="0" collapsed="false">
      <c r="A42" s="31"/>
      <c r="B42" s="32"/>
      <c r="C42" s="32"/>
      <c r="D42" s="32"/>
      <c r="E42" s="32"/>
      <c r="F42" s="32"/>
      <c r="G42" s="33"/>
      <c r="H42" s="33"/>
      <c r="I42" s="34" t="str">
        <f aca="false">IF($A42="","",$G42-$H42)</f>
        <v/>
      </c>
      <c r="J42" s="35" t="str">
        <f aca="false">IF($A42="","",IF(Setup!$B$6=1,YEAR($A42),YEAR($A42)+IF(MONTH($A42)&gt;=Setup!$B$6,1,0)))</f>
        <v/>
      </c>
      <c r="K42" s="35" t="str">
        <f aca="false">IF($A42="","",MOD(MONTH($A42)-Setup!$B$6+12,12)+1)</f>
        <v/>
      </c>
      <c r="L42" s="36" t="str">
        <f aca="false">IF($A42="","",TEXT($A42,"MMM-YY"))</f>
        <v/>
      </c>
      <c r="M42" s="37" t="str">
        <f aca="false">IF($A42="","",IF($Q42=0,"UNMAPPED",INDEX(COA_Mapping!$C$7:$C$256,$Q42)))</f>
        <v/>
      </c>
      <c r="N42" s="38" t="str">
        <f aca="false">IF($A42="","",IF($Q42=0,"",INDEX(COA_Mapping!$E$7:$E$256,$Q42)))</f>
        <v/>
      </c>
      <c r="O42" s="38" t="n">
        <f aca="false">IF($A42="",1,IF($Q42=0,1,INDEX(COA_Mapping!$F$7:$F$256,$Q42)))</f>
        <v>1</v>
      </c>
      <c r="P42" s="34" t="str">
        <f aca="false">IF($A42="","",$I42*$O42)</f>
        <v/>
      </c>
      <c r="Q42" s="39" t="n">
        <f aca="false">IF($B42="",0,IFERROR(MATCH($B42,COA_Mapping!$A$7:$A$256,0),0))</f>
        <v>0</v>
      </c>
      <c r="R42" s="39" t="n">
        <f aca="false">IF($A42="",-1,IF($J42=Setup!$B$7,1,IF($J42=Setup!$B$9,0,-1)))</f>
        <v>-1</v>
      </c>
      <c r="S42" s="35" t="n">
        <f aca="false">IF(OR($A42="",$Q42=0,$R42=-1),0,$Q42*1000+$R42*100+$K42)</f>
        <v>0</v>
      </c>
      <c r="T42" s="37" t="str">
        <f aca="false">IF($A42="","",IF($B42="","NO ACCOUNT",IF($Q42=0,"UNMAPPED",IF($R42=-1,"OUTSIDE FY RANGE","OK"))))</f>
        <v/>
      </c>
      <c r="U42" s="40" t="str">
        <f aca="false">IF($A42="","",$B42&amp;"|"&amp;TEXT($A42,"yyyymmdd")&amp;"|"&amp;TEXT($I42,"0.00"))</f>
        <v/>
      </c>
      <c r="V42" s="35" t="str">
        <f aca="false">IF($A42="","",COUNTIF($U$8:$U$5007,$U42))</f>
        <v/>
      </c>
    </row>
    <row r="43" customFormat="false" ht="15" hidden="false" customHeight="false" outlineLevel="0" collapsed="false">
      <c r="A43" s="31"/>
      <c r="B43" s="32"/>
      <c r="C43" s="32"/>
      <c r="D43" s="32"/>
      <c r="E43" s="32"/>
      <c r="F43" s="32"/>
      <c r="G43" s="33"/>
      <c r="H43" s="33"/>
      <c r="I43" s="34" t="str">
        <f aca="false">IF($A43="","",$G43-$H43)</f>
        <v/>
      </c>
      <c r="J43" s="35" t="str">
        <f aca="false">IF($A43="","",IF(Setup!$B$6=1,YEAR($A43),YEAR($A43)+IF(MONTH($A43)&gt;=Setup!$B$6,1,0)))</f>
        <v/>
      </c>
      <c r="K43" s="35" t="str">
        <f aca="false">IF($A43="","",MOD(MONTH($A43)-Setup!$B$6+12,12)+1)</f>
        <v/>
      </c>
      <c r="L43" s="36" t="str">
        <f aca="false">IF($A43="","",TEXT($A43,"MMM-YY"))</f>
        <v/>
      </c>
      <c r="M43" s="37" t="str">
        <f aca="false">IF($A43="","",IF($Q43=0,"UNMAPPED",INDEX(COA_Mapping!$C$7:$C$256,$Q43)))</f>
        <v/>
      </c>
      <c r="N43" s="38" t="str">
        <f aca="false">IF($A43="","",IF($Q43=0,"",INDEX(COA_Mapping!$E$7:$E$256,$Q43)))</f>
        <v/>
      </c>
      <c r="O43" s="38" t="n">
        <f aca="false">IF($A43="",1,IF($Q43=0,1,INDEX(COA_Mapping!$F$7:$F$256,$Q43)))</f>
        <v>1</v>
      </c>
      <c r="P43" s="34" t="str">
        <f aca="false">IF($A43="","",$I43*$O43)</f>
        <v/>
      </c>
      <c r="Q43" s="39" t="n">
        <f aca="false">IF($B43="",0,IFERROR(MATCH($B43,COA_Mapping!$A$7:$A$256,0),0))</f>
        <v>0</v>
      </c>
      <c r="R43" s="39" t="n">
        <f aca="false">IF($A43="",-1,IF($J43=Setup!$B$7,1,IF($J43=Setup!$B$9,0,-1)))</f>
        <v>-1</v>
      </c>
      <c r="S43" s="35" t="n">
        <f aca="false">IF(OR($A43="",$Q43=0,$R43=-1),0,$Q43*1000+$R43*100+$K43)</f>
        <v>0</v>
      </c>
      <c r="T43" s="37" t="str">
        <f aca="false">IF($A43="","",IF($B43="","NO ACCOUNT",IF($Q43=0,"UNMAPPED",IF($R43=-1,"OUTSIDE FY RANGE","OK"))))</f>
        <v/>
      </c>
      <c r="U43" s="40" t="str">
        <f aca="false">IF($A43="","",$B43&amp;"|"&amp;TEXT($A43,"yyyymmdd")&amp;"|"&amp;TEXT($I43,"0.00"))</f>
        <v/>
      </c>
      <c r="V43" s="35" t="str">
        <f aca="false">IF($A43="","",COUNTIF($U$8:$U$5007,$U43))</f>
        <v/>
      </c>
    </row>
    <row r="44" customFormat="false" ht="15" hidden="false" customHeight="false" outlineLevel="0" collapsed="false">
      <c r="A44" s="31"/>
      <c r="B44" s="32"/>
      <c r="C44" s="32"/>
      <c r="D44" s="32"/>
      <c r="E44" s="32"/>
      <c r="F44" s="32"/>
      <c r="G44" s="33"/>
      <c r="H44" s="33"/>
      <c r="I44" s="34" t="str">
        <f aca="false">IF($A44="","",$G44-$H44)</f>
        <v/>
      </c>
      <c r="J44" s="35" t="str">
        <f aca="false">IF($A44="","",IF(Setup!$B$6=1,YEAR($A44),YEAR($A44)+IF(MONTH($A44)&gt;=Setup!$B$6,1,0)))</f>
        <v/>
      </c>
      <c r="K44" s="35" t="str">
        <f aca="false">IF($A44="","",MOD(MONTH($A44)-Setup!$B$6+12,12)+1)</f>
        <v/>
      </c>
      <c r="L44" s="36" t="str">
        <f aca="false">IF($A44="","",TEXT($A44,"MMM-YY"))</f>
        <v/>
      </c>
      <c r="M44" s="37" t="str">
        <f aca="false">IF($A44="","",IF($Q44=0,"UNMAPPED",INDEX(COA_Mapping!$C$7:$C$256,$Q44)))</f>
        <v/>
      </c>
      <c r="N44" s="38" t="str">
        <f aca="false">IF($A44="","",IF($Q44=0,"",INDEX(COA_Mapping!$E$7:$E$256,$Q44)))</f>
        <v/>
      </c>
      <c r="O44" s="38" t="n">
        <f aca="false">IF($A44="",1,IF($Q44=0,1,INDEX(COA_Mapping!$F$7:$F$256,$Q44)))</f>
        <v>1</v>
      </c>
      <c r="P44" s="34" t="str">
        <f aca="false">IF($A44="","",$I44*$O44)</f>
        <v/>
      </c>
      <c r="Q44" s="39" t="n">
        <f aca="false">IF($B44="",0,IFERROR(MATCH($B44,COA_Mapping!$A$7:$A$256,0),0))</f>
        <v>0</v>
      </c>
      <c r="R44" s="39" t="n">
        <f aca="false">IF($A44="",-1,IF($J44=Setup!$B$7,1,IF($J44=Setup!$B$9,0,-1)))</f>
        <v>-1</v>
      </c>
      <c r="S44" s="35" t="n">
        <f aca="false">IF(OR($A44="",$Q44=0,$R44=-1),0,$Q44*1000+$R44*100+$K44)</f>
        <v>0</v>
      </c>
      <c r="T44" s="37" t="str">
        <f aca="false">IF($A44="","",IF($B44="","NO ACCOUNT",IF($Q44=0,"UNMAPPED",IF($R44=-1,"OUTSIDE FY RANGE","OK"))))</f>
        <v/>
      </c>
      <c r="U44" s="40" t="str">
        <f aca="false">IF($A44="","",$B44&amp;"|"&amp;TEXT($A44,"yyyymmdd")&amp;"|"&amp;TEXT($I44,"0.00"))</f>
        <v/>
      </c>
      <c r="V44" s="35" t="str">
        <f aca="false">IF($A44="","",COUNTIF($U$8:$U$5007,$U44))</f>
        <v/>
      </c>
    </row>
    <row r="45" customFormat="false" ht="15" hidden="false" customHeight="false" outlineLevel="0" collapsed="false">
      <c r="A45" s="31"/>
      <c r="B45" s="32"/>
      <c r="C45" s="32"/>
      <c r="D45" s="32"/>
      <c r="E45" s="32"/>
      <c r="F45" s="32"/>
      <c r="G45" s="33"/>
      <c r="H45" s="33"/>
      <c r="I45" s="34" t="str">
        <f aca="false">IF($A45="","",$G45-$H45)</f>
        <v/>
      </c>
      <c r="J45" s="35" t="str">
        <f aca="false">IF($A45="","",IF(Setup!$B$6=1,YEAR($A45),YEAR($A45)+IF(MONTH($A45)&gt;=Setup!$B$6,1,0)))</f>
        <v/>
      </c>
      <c r="K45" s="35" t="str">
        <f aca="false">IF($A45="","",MOD(MONTH($A45)-Setup!$B$6+12,12)+1)</f>
        <v/>
      </c>
      <c r="L45" s="36" t="str">
        <f aca="false">IF($A45="","",TEXT($A45,"MMM-YY"))</f>
        <v/>
      </c>
      <c r="M45" s="37" t="str">
        <f aca="false">IF($A45="","",IF($Q45=0,"UNMAPPED",INDEX(COA_Mapping!$C$7:$C$256,$Q45)))</f>
        <v/>
      </c>
      <c r="N45" s="38" t="str">
        <f aca="false">IF($A45="","",IF($Q45=0,"",INDEX(COA_Mapping!$E$7:$E$256,$Q45)))</f>
        <v/>
      </c>
      <c r="O45" s="38" t="n">
        <f aca="false">IF($A45="",1,IF($Q45=0,1,INDEX(COA_Mapping!$F$7:$F$256,$Q45)))</f>
        <v>1</v>
      </c>
      <c r="P45" s="34" t="str">
        <f aca="false">IF($A45="","",$I45*$O45)</f>
        <v/>
      </c>
      <c r="Q45" s="39" t="n">
        <f aca="false">IF($B45="",0,IFERROR(MATCH($B45,COA_Mapping!$A$7:$A$256,0),0))</f>
        <v>0</v>
      </c>
      <c r="R45" s="39" t="n">
        <f aca="false">IF($A45="",-1,IF($J45=Setup!$B$7,1,IF($J45=Setup!$B$9,0,-1)))</f>
        <v>-1</v>
      </c>
      <c r="S45" s="35" t="n">
        <f aca="false">IF(OR($A45="",$Q45=0,$R45=-1),0,$Q45*1000+$R45*100+$K45)</f>
        <v>0</v>
      </c>
      <c r="T45" s="37" t="str">
        <f aca="false">IF($A45="","",IF($B45="","NO ACCOUNT",IF($Q45=0,"UNMAPPED",IF($R45=-1,"OUTSIDE FY RANGE","OK"))))</f>
        <v/>
      </c>
      <c r="U45" s="40" t="str">
        <f aca="false">IF($A45="","",$B45&amp;"|"&amp;TEXT($A45,"yyyymmdd")&amp;"|"&amp;TEXT($I45,"0.00"))</f>
        <v/>
      </c>
      <c r="V45" s="35" t="str">
        <f aca="false">IF($A45="","",COUNTIF($U$8:$U$5007,$U45))</f>
        <v/>
      </c>
    </row>
    <row r="46" customFormat="false" ht="15" hidden="false" customHeight="false" outlineLevel="0" collapsed="false">
      <c r="A46" s="31"/>
      <c r="B46" s="32"/>
      <c r="C46" s="32"/>
      <c r="D46" s="32"/>
      <c r="E46" s="32"/>
      <c r="F46" s="32"/>
      <c r="G46" s="33"/>
      <c r="H46" s="33"/>
      <c r="I46" s="34" t="str">
        <f aca="false">IF($A46="","",$G46-$H46)</f>
        <v/>
      </c>
      <c r="J46" s="35" t="str">
        <f aca="false">IF($A46="","",IF(Setup!$B$6=1,YEAR($A46),YEAR($A46)+IF(MONTH($A46)&gt;=Setup!$B$6,1,0)))</f>
        <v/>
      </c>
      <c r="K46" s="35" t="str">
        <f aca="false">IF($A46="","",MOD(MONTH($A46)-Setup!$B$6+12,12)+1)</f>
        <v/>
      </c>
      <c r="L46" s="36" t="str">
        <f aca="false">IF($A46="","",TEXT($A46,"MMM-YY"))</f>
        <v/>
      </c>
      <c r="M46" s="37" t="str">
        <f aca="false">IF($A46="","",IF($Q46=0,"UNMAPPED",INDEX(COA_Mapping!$C$7:$C$256,$Q46)))</f>
        <v/>
      </c>
      <c r="N46" s="38" t="str">
        <f aca="false">IF($A46="","",IF($Q46=0,"",INDEX(COA_Mapping!$E$7:$E$256,$Q46)))</f>
        <v/>
      </c>
      <c r="O46" s="38" t="n">
        <f aca="false">IF($A46="",1,IF($Q46=0,1,INDEX(COA_Mapping!$F$7:$F$256,$Q46)))</f>
        <v>1</v>
      </c>
      <c r="P46" s="34" t="str">
        <f aca="false">IF($A46="","",$I46*$O46)</f>
        <v/>
      </c>
      <c r="Q46" s="39" t="n">
        <f aca="false">IF($B46="",0,IFERROR(MATCH($B46,COA_Mapping!$A$7:$A$256,0),0))</f>
        <v>0</v>
      </c>
      <c r="R46" s="39" t="n">
        <f aca="false">IF($A46="",-1,IF($J46=Setup!$B$7,1,IF($J46=Setup!$B$9,0,-1)))</f>
        <v>-1</v>
      </c>
      <c r="S46" s="35" t="n">
        <f aca="false">IF(OR($A46="",$Q46=0,$R46=-1),0,$Q46*1000+$R46*100+$K46)</f>
        <v>0</v>
      </c>
      <c r="T46" s="37" t="str">
        <f aca="false">IF($A46="","",IF($B46="","NO ACCOUNT",IF($Q46=0,"UNMAPPED",IF($R46=-1,"OUTSIDE FY RANGE","OK"))))</f>
        <v/>
      </c>
      <c r="U46" s="40" t="str">
        <f aca="false">IF($A46="","",$B46&amp;"|"&amp;TEXT($A46,"yyyymmdd")&amp;"|"&amp;TEXT($I46,"0.00"))</f>
        <v/>
      </c>
      <c r="V46" s="35" t="str">
        <f aca="false">IF($A46="","",COUNTIF($U$8:$U$5007,$U46))</f>
        <v/>
      </c>
    </row>
    <row r="47" customFormat="false" ht="15" hidden="false" customHeight="false" outlineLevel="0" collapsed="false">
      <c r="A47" s="31"/>
      <c r="B47" s="32"/>
      <c r="C47" s="32"/>
      <c r="D47" s="32"/>
      <c r="E47" s="32"/>
      <c r="F47" s="32"/>
      <c r="G47" s="33"/>
      <c r="H47" s="33"/>
      <c r="I47" s="34" t="str">
        <f aca="false">IF($A47="","",$G47-$H47)</f>
        <v/>
      </c>
      <c r="J47" s="35" t="str">
        <f aca="false">IF($A47="","",IF(Setup!$B$6=1,YEAR($A47),YEAR($A47)+IF(MONTH($A47)&gt;=Setup!$B$6,1,0)))</f>
        <v/>
      </c>
      <c r="K47" s="35" t="str">
        <f aca="false">IF($A47="","",MOD(MONTH($A47)-Setup!$B$6+12,12)+1)</f>
        <v/>
      </c>
      <c r="L47" s="36" t="str">
        <f aca="false">IF($A47="","",TEXT($A47,"MMM-YY"))</f>
        <v/>
      </c>
      <c r="M47" s="37" t="str">
        <f aca="false">IF($A47="","",IF($Q47=0,"UNMAPPED",INDEX(COA_Mapping!$C$7:$C$256,$Q47)))</f>
        <v/>
      </c>
      <c r="N47" s="38" t="str">
        <f aca="false">IF($A47="","",IF($Q47=0,"",INDEX(COA_Mapping!$E$7:$E$256,$Q47)))</f>
        <v/>
      </c>
      <c r="O47" s="38" t="n">
        <f aca="false">IF($A47="",1,IF($Q47=0,1,INDEX(COA_Mapping!$F$7:$F$256,$Q47)))</f>
        <v>1</v>
      </c>
      <c r="P47" s="34" t="str">
        <f aca="false">IF($A47="","",$I47*$O47)</f>
        <v/>
      </c>
      <c r="Q47" s="39" t="n">
        <f aca="false">IF($B47="",0,IFERROR(MATCH($B47,COA_Mapping!$A$7:$A$256,0),0))</f>
        <v>0</v>
      </c>
      <c r="R47" s="39" t="n">
        <f aca="false">IF($A47="",-1,IF($J47=Setup!$B$7,1,IF($J47=Setup!$B$9,0,-1)))</f>
        <v>-1</v>
      </c>
      <c r="S47" s="35" t="n">
        <f aca="false">IF(OR($A47="",$Q47=0,$R47=-1),0,$Q47*1000+$R47*100+$K47)</f>
        <v>0</v>
      </c>
      <c r="T47" s="37" t="str">
        <f aca="false">IF($A47="","",IF($B47="","NO ACCOUNT",IF($Q47=0,"UNMAPPED",IF($R47=-1,"OUTSIDE FY RANGE","OK"))))</f>
        <v/>
      </c>
      <c r="U47" s="40" t="str">
        <f aca="false">IF($A47="","",$B47&amp;"|"&amp;TEXT($A47,"yyyymmdd")&amp;"|"&amp;TEXT($I47,"0.00"))</f>
        <v/>
      </c>
      <c r="V47" s="35" t="str">
        <f aca="false">IF($A47="","",COUNTIF($U$8:$U$5007,$U47))</f>
        <v/>
      </c>
    </row>
    <row r="48" customFormat="false" ht="15" hidden="false" customHeight="false" outlineLevel="0" collapsed="false">
      <c r="A48" s="31"/>
      <c r="B48" s="32"/>
      <c r="C48" s="32"/>
      <c r="D48" s="32"/>
      <c r="E48" s="32"/>
      <c r="F48" s="32"/>
      <c r="G48" s="33"/>
      <c r="H48" s="33"/>
      <c r="I48" s="34" t="str">
        <f aca="false">IF($A48="","",$G48-$H48)</f>
        <v/>
      </c>
      <c r="J48" s="35" t="str">
        <f aca="false">IF($A48="","",IF(Setup!$B$6=1,YEAR($A48),YEAR($A48)+IF(MONTH($A48)&gt;=Setup!$B$6,1,0)))</f>
        <v/>
      </c>
      <c r="K48" s="35" t="str">
        <f aca="false">IF($A48="","",MOD(MONTH($A48)-Setup!$B$6+12,12)+1)</f>
        <v/>
      </c>
      <c r="L48" s="36" t="str">
        <f aca="false">IF($A48="","",TEXT($A48,"MMM-YY"))</f>
        <v/>
      </c>
      <c r="M48" s="37" t="str">
        <f aca="false">IF($A48="","",IF($Q48=0,"UNMAPPED",INDEX(COA_Mapping!$C$7:$C$256,$Q48)))</f>
        <v/>
      </c>
      <c r="N48" s="38" t="str">
        <f aca="false">IF($A48="","",IF($Q48=0,"",INDEX(COA_Mapping!$E$7:$E$256,$Q48)))</f>
        <v/>
      </c>
      <c r="O48" s="38" t="n">
        <f aca="false">IF($A48="",1,IF($Q48=0,1,INDEX(COA_Mapping!$F$7:$F$256,$Q48)))</f>
        <v>1</v>
      </c>
      <c r="P48" s="34" t="str">
        <f aca="false">IF($A48="","",$I48*$O48)</f>
        <v/>
      </c>
      <c r="Q48" s="39" t="n">
        <f aca="false">IF($B48="",0,IFERROR(MATCH($B48,COA_Mapping!$A$7:$A$256,0),0))</f>
        <v>0</v>
      </c>
      <c r="R48" s="39" t="n">
        <f aca="false">IF($A48="",-1,IF($J48=Setup!$B$7,1,IF($J48=Setup!$B$9,0,-1)))</f>
        <v>-1</v>
      </c>
      <c r="S48" s="35" t="n">
        <f aca="false">IF(OR($A48="",$Q48=0,$R48=-1),0,$Q48*1000+$R48*100+$K48)</f>
        <v>0</v>
      </c>
      <c r="T48" s="37" t="str">
        <f aca="false">IF($A48="","",IF($B48="","NO ACCOUNT",IF($Q48=0,"UNMAPPED",IF($R48=-1,"OUTSIDE FY RANGE","OK"))))</f>
        <v/>
      </c>
      <c r="U48" s="40" t="str">
        <f aca="false">IF($A48="","",$B48&amp;"|"&amp;TEXT($A48,"yyyymmdd")&amp;"|"&amp;TEXT($I48,"0.00"))</f>
        <v/>
      </c>
      <c r="V48" s="35" t="str">
        <f aca="false">IF($A48="","",COUNTIF($U$8:$U$5007,$U48))</f>
        <v/>
      </c>
    </row>
    <row r="49" customFormat="false" ht="15" hidden="false" customHeight="false" outlineLevel="0" collapsed="false">
      <c r="A49" s="31"/>
      <c r="B49" s="32"/>
      <c r="C49" s="32"/>
      <c r="D49" s="32"/>
      <c r="E49" s="32"/>
      <c r="F49" s="32"/>
      <c r="G49" s="33"/>
      <c r="H49" s="33"/>
      <c r="I49" s="34" t="str">
        <f aca="false">IF($A49="","",$G49-$H49)</f>
        <v/>
      </c>
      <c r="J49" s="35" t="str">
        <f aca="false">IF($A49="","",IF(Setup!$B$6=1,YEAR($A49),YEAR($A49)+IF(MONTH($A49)&gt;=Setup!$B$6,1,0)))</f>
        <v/>
      </c>
      <c r="K49" s="35" t="str">
        <f aca="false">IF($A49="","",MOD(MONTH($A49)-Setup!$B$6+12,12)+1)</f>
        <v/>
      </c>
      <c r="L49" s="36" t="str">
        <f aca="false">IF($A49="","",TEXT($A49,"MMM-YY"))</f>
        <v/>
      </c>
      <c r="M49" s="37" t="str">
        <f aca="false">IF($A49="","",IF($Q49=0,"UNMAPPED",INDEX(COA_Mapping!$C$7:$C$256,$Q49)))</f>
        <v/>
      </c>
      <c r="N49" s="38" t="str">
        <f aca="false">IF($A49="","",IF($Q49=0,"",INDEX(COA_Mapping!$E$7:$E$256,$Q49)))</f>
        <v/>
      </c>
      <c r="O49" s="38" t="n">
        <f aca="false">IF($A49="",1,IF($Q49=0,1,INDEX(COA_Mapping!$F$7:$F$256,$Q49)))</f>
        <v>1</v>
      </c>
      <c r="P49" s="34" t="str">
        <f aca="false">IF($A49="","",$I49*$O49)</f>
        <v/>
      </c>
      <c r="Q49" s="39" t="n">
        <f aca="false">IF($B49="",0,IFERROR(MATCH($B49,COA_Mapping!$A$7:$A$256,0),0))</f>
        <v>0</v>
      </c>
      <c r="R49" s="39" t="n">
        <f aca="false">IF($A49="",-1,IF($J49=Setup!$B$7,1,IF($J49=Setup!$B$9,0,-1)))</f>
        <v>-1</v>
      </c>
      <c r="S49" s="35" t="n">
        <f aca="false">IF(OR($A49="",$Q49=0,$R49=-1),0,$Q49*1000+$R49*100+$K49)</f>
        <v>0</v>
      </c>
      <c r="T49" s="37" t="str">
        <f aca="false">IF($A49="","",IF($B49="","NO ACCOUNT",IF($Q49=0,"UNMAPPED",IF($R49=-1,"OUTSIDE FY RANGE","OK"))))</f>
        <v/>
      </c>
      <c r="U49" s="40" t="str">
        <f aca="false">IF($A49="","",$B49&amp;"|"&amp;TEXT($A49,"yyyymmdd")&amp;"|"&amp;TEXT($I49,"0.00"))</f>
        <v/>
      </c>
      <c r="V49" s="35" t="str">
        <f aca="false">IF($A49="","",COUNTIF($U$8:$U$5007,$U49))</f>
        <v/>
      </c>
    </row>
    <row r="50" customFormat="false" ht="15" hidden="false" customHeight="false" outlineLevel="0" collapsed="false">
      <c r="A50" s="31"/>
      <c r="B50" s="32"/>
      <c r="C50" s="32"/>
      <c r="D50" s="32"/>
      <c r="E50" s="32"/>
      <c r="F50" s="32"/>
      <c r="G50" s="33"/>
      <c r="H50" s="33"/>
      <c r="I50" s="34" t="str">
        <f aca="false">IF($A50="","",$G50-$H50)</f>
        <v/>
      </c>
      <c r="J50" s="35" t="str">
        <f aca="false">IF($A50="","",IF(Setup!$B$6=1,YEAR($A50),YEAR($A50)+IF(MONTH($A50)&gt;=Setup!$B$6,1,0)))</f>
        <v/>
      </c>
      <c r="K50" s="35" t="str">
        <f aca="false">IF($A50="","",MOD(MONTH($A50)-Setup!$B$6+12,12)+1)</f>
        <v/>
      </c>
      <c r="L50" s="36" t="str">
        <f aca="false">IF($A50="","",TEXT($A50,"MMM-YY"))</f>
        <v/>
      </c>
      <c r="M50" s="37" t="str">
        <f aca="false">IF($A50="","",IF($Q50=0,"UNMAPPED",INDEX(COA_Mapping!$C$7:$C$256,$Q50)))</f>
        <v/>
      </c>
      <c r="N50" s="38" t="str">
        <f aca="false">IF($A50="","",IF($Q50=0,"",INDEX(COA_Mapping!$E$7:$E$256,$Q50)))</f>
        <v/>
      </c>
      <c r="O50" s="38" t="n">
        <f aca="false">IF($A50="",1,IF($Q50=0,1,INDEX(COA_Mapping!$F$7:$F$256,$Q50)))</f>
        <v>1</v>
      </c>
      <c r="P50" s="34" t="str">
        <f aca="false">IF($A50="","",$I50*$O50)</f>
        <v/>
      </c>
      <c r="Q50" s="39" t="n">
        <f aca="false">IF($B50="",0,IFERROR(MATCH($B50,COA_Mapping!$A$7:$A$256,0),0))</f>
        <v>0</v>
      </c>
      <c r="R50" s="39" t="n">
        <f aca="false">IF($A50="",-1,IF($J50=Setup!$B$7,1,IF($J50=Setup!$B$9,0,-1)))</f>
        <v>-1</v>
      </c>
      <c r="S50" s="35" t="n">
        <f aca="false">IF(OR($A50="",$Q50=0,$R50=-1),0,$Q50*1000+$R50*100+$K50)</f>
        <v>0</v>
      </c>
      <c r="T50" s="37" t="str">
        <f aca="false">IF($A50="","",IF($B50="","NO ACCOUNT",IF($Q50=0,"UNMAPPED",IF($R50=-1,"OUTSIDE FY RANGE","OK"))))</f>
        <v/>
      </c>
      <c r="U50" s="40" t="str">
        <f aca="false">IF($A50="","",$B50&amp;"|"&amp;TEXT($A50,"yyyymmdd")&amp;"|"&amp;TEXT($I50,"0.00"))</f>
        <v/>
      </c>
      <c r="V50" s="35" t="str">
        <f aca="false">IF($A50="","",COUNTIF($U$8:$U$5007,$U50))</f>
        <v/>
      </c>
    </row>
    <row r="51" customFormat="false" ht="15" hidden="false" customHeight="false" outlineLevel="0" collapsed="false">
      <c r="A51" s="31"/>
      <c r="B51" s="32"/>
      <c r="C51" s="32"/>
      <c r="D51" s="32"/>
      <c r="E51" s="32"/>
      <c r="F51" s="32"/>
      <c r="G51" s="33"/>
      <c r="H51" s="33"/>
      <c r="I51" s="34" t="str">
        <f aca="false">IF($A51="","",$G51-$H51)</f>
        <v/>
      </c>
      <c r="J51" s="35" t="str">
        <f aca="false">IF($A51="","",IF(Setup!$B$6=1,YEAR($A51),YEAR($A51)+IF(MONTH($A51)&gt;=Setup!$B$6,1,0)))</f>
        <v/>
      </c>
      <c r="K51" s="35" t="str">
        <f aca="false">IF($A51="","",MOD(MONTH($A51)-Setup!$B$6+12,12)+1)</f>
        <v/>
      </c>
      <c r="L51" s="36" t="str">
        <f aca="false">IF($A51="","",TEXT($A51,"MMM-YY"))</f>
        <v/>
      </c>
      <c r="M51" s="37" t="str">
        <f aca="false">IF($A51="","",IF($Q51=0,"UNMAPPED",INDEX(COA_Mapping!$C$7:$C$256,$Q51)))</f>
        <v/>
      </c>
      <c r="N51" s="38" t="str">
        <f aca="false">IF($A51="","",IF($Q51=0,"",INDEX(COA_Mapping!$E$7:$E$256,$Q51)))</f>
        <v/>
      </c>
      <c r="O51" s="38" t="n">
        <f aca="false">IF($A51="",1,IF($Q51=0,1,INDEX(COA_Mapping!$F$7:$F$256,$Q51)))</f>
        <v>1</v>
      </c>
      <c r="P51" s="34" t="str">
        <f aca="false">IF($A51="","",$I51*$O51)</f>
        <v/>
      </c>
      <c r="Q51" s="39" t="n">
        <f aca="false">IF($B51="",0,IFERROR(MATCH($B51,COA_Mapping!$A$7:$A$256,0),0))</f>
        <v>0</v>
      </c>
      <c r="R51" s="39" t="n">
        <f aca="false">IF($A51="",-1,IF($J51=Setup!$B$7,1,IF($J51=Setup!$B$9,0,-1)))</f>
        <v>-1</v>
      </c>
      <c r="S51" s="35" t="n">
        <f aca="false">IF(OR($A51="",$Q51=0,$R51=-1),0,$Q51*1000+$R51*100+$K51)</f>
        <v>0</v>
      </c>
      <c r="T51" s="37" t="str">
        <f aca="false">IF($A51="","",IF($B51="","NO ACCOUNT",IF($Q51=0,"UNMAPPED",IF($R51=-1,"OUTSIDE FY RANGE","OK"))))</f>
        <v/>
      </c>
      <c r="U51" s="40" t="str">
        <f aca="false">IF($A51="","",$B51&amp;"|"&amp;TEXT($A51,"yyyymmdd")&amp;"|"&amp;TEXT($I51,"0.00"))</f>
        <v/>
      </c>
      <c r="V51" s="35" t="str">
        <f aca="false">IF($A51="","",COUNTIF($U$8:$U$5007,$U51))</f>
        <v/>
      </c>
    </row>
    <row r="52" customFormat="false" ht="15" hidden="false" customHeight="false" outlineLevel="0" collapsed="false">
      <c r="A52" s="31"/>
      <c r="B52" s="32"/>
      <c r="C52" s="32"/>
      <c r="D52" s="32"/>
      <c r="E52" s="32"/>
      <c r="F52" s="32"/>
      <c r="G52" s="33"/>
      <c r="H52" s="33"/>
      <c r="I52" s="34" t="str">
        <f aca="false">IF($A52="","",$G52-$H52)</f>
        <v/>
      </c>
      <c r="J52" s="35" t="str">
        <f aca="false">IF($A52="","",IF(Setup!$B$6=1,YEAR($A52),YEAR($A52)+IF(MONTH($A52)&gt;=Setup!$B$6,1,0)))</f>
        <v/>
      </c>
      <c r="K52" s="35" t="str">
        <f aca="false">IF($A52="","",MOD(MONTH($A52)-Setup!$B$6+12,12)+1)</f>
        <v/>
      </c>
      <c r="L52" s="36" t="str">
        <f aca="false">IF($A52="","",TEXT($A52,"MMM-YY"))</f>
        <v/>
      </c>
      <c r="M52" s="37" t="str">
        <f aca="false">IF($A52="","",IF($Q52=0,"UNMAPPED",INDEX(COA_Mapping!$C$7:$C$256,$Q52)))</f>
        <v/>
      </c>
      <c r="N52" s="38" t="str">
        <f aca="false">IF($A52="","",IF($Q52=0,"",INDEX(COA_Mapping!$E$7:$E$256,$Q52)))</f>
        <v/>
      </c>
      <c r="O52" s="38" t="n">
        <f aca="false">IF($A52="",1,IF($Q52=0,1,INDEX(COA_Mapping!$F$7:$F$256,$Q52)))</f>
        <v>1</v>
      </c>
      <c r="P52" s="34" t="str">
        <f aca="false">IF($A52="","",$I52*$O52)</f>
        <v/>
      </c>
      <c r="Q52" s="39" t="n">
        <f aca="false">IF($B52="",0,IFERROR(MATCH($B52,COA_Mapping!$A$7:$A$256,0),0))</f>
        <v>0</v>
      </c>
      <c r="R52" s="39" t="n">
        <f aca="false">IF($A52="",-1,IF($J52=Setup!$B$7,1,IF($J52=Setup!$B$9,0,-1)))</f>
        <v>-1</v>
      </c>
      <c r="S52" s="35" t="n">
        <f aca="false">IF(OR($A52="",$Q52=0,$R52=-1),0,$Q52*1000+$R52*100+$K52)</f>
        <v>0</v>
      </c>
      <c r="T52" s="37" t="str">
        <f aca="false">IF($A52="","",IF($B52="","NO ACCOUNT",IF($Q52=0,"UNMAPPED",IF($R52=-1,"OUTSIDE FY RANGE","OK"))))</f>
        <v/>
      </c>
      <c r="U52" s="40" t="str">
        <f aca="false">IF($A52="","",$B52&amp;"|"&amp;TEXT($A52,"yyyymmdd")&amp;"|"&amp;TEXT($I52,"0.00"))</f>
        <v/>
      </c>
      <c r="V52" s="35" t="str">
        <f aca="false">IF($A52="","",COUNTIF($U$8:$U$5007,$U52))</f>
        <v/>
      </c>
    </row>
    <row r="53" customFormat="false" ht="15" hidden="false" customHeight="false" outlineLevel="0" collapsed="false">
      <c r="A53" s="31"/>
      <c r="B53" s="32"/>
      <c r="C53" s="32"/>
      <c r="D53" s="32"/>
      <c r="E53" s="32"/>
      <c r="F53" s="32"/>
      <c r="G53" s="33"/>
      <c r="H53" s="33"/>
      <c r="I53" s="34" t="str">
        <f aca="false">IF($A53="","",$G53-$H53)</f>
        <v/>
      </c>
      <c r="J53" s="35" t="str">
        <f aca="false">IF($A53="","",IF(Setup!$B$6=1,YEAR($A53),YEAR($A53)+IF(MONTH($A53)&gt;=Setup!$B$6,1,0)))</f>
        <v/>
      </c>
      <c r="K53" s="35" t="str">
        <f aca="false">IF($A53="","",MOD(MONTH($A53)-Setup!$B$6+12,12)+1)</f>
        <v/>
      </c>
      <c r="L53" s="36" t="str">
        <f aca="false">IF($A53="","",TEXT($A53,"MMM-YY"))</f>
        <v/>
      </c>
      <c r="M53" s="37" t="str">
        <f aca="false">IF($A53="","",IF($Q53=0,"UNMAPPED",INDEX(COA_Mapping!$C$7:$C$256,$Q53)))</f>
        <v/>
      </c>
      <c r="N53" s="38" t="str">
        <f aca="false">IF($A53="","",IF($Q53=0,"",INDEX(COA_Mapping!$E$7:$E$256,$Q53)))</f>
        <v/>
      </c>
      <c r="O53" s="38" t="n">
        <f aca="false">IF($A53="",1,IF($Q53=0,1,INDEX(COA_Mapping!$F$7:$F$256,$Q53)))</f>
        <v>1</v>
      </c>
      <c r="P53" s="34" t="str">
        <f aca="false">IF($A53="","",$I53*$O53)</f>
        <v/>
      </c>
      <c r="Q53" s="39" t="n">
        <f aca="false">IF($B53="",0,IFERROR(MATCH($B53,COA_Mapping!$A$7:$A$256,0),0))</f>
        <v>0</v>
      </c>
      <c r="R53" s="39" t="n">
        <f aca="false">IF($A53="",-1,IF($J53=Setup!$B$7,1,IF($J53=Setup!$B$9,0,-1)))</f>
        <v>-1</v>
      </c>
      <c r="S53" s="35" t="n">
        <f aca="false">IF(OR($A53="",$Q53=0,$R53=-1),0,$Q53*1000+$R53*100+$K53)</f>
        <v>0</v>
      </c>
      <c r="T53" s="37" t="str">
        <f aca="false">IF($A53="","",IF($B53="","NO ACCOUNT",IF($Q53=0,"UNMAPPED",IF($R53=-1,"OUTSIDE FY RANGE","OK"))))</f>
        <v/>
      </c>
      <c r="U53" s="40" t="str">
        <f aca="false">IF($A53="","",$B53&amp;"|"&amp;TEXT($A53,"yyyymmdd")&amp;"|"&amp;TEXT($I53,"0.00"))</f>
        <v/>
      </c>
      <c r="V53" s="35" t="str">
        <f aca="false">IF($A53="","",COUNTIF($U$8:$U$5007,$U53))</f>
        <v/>
      </c>
    </row>
    <row r="54" customFormat="false" ht="15" hidden="false" customHeight="false" outlineLevel="0" collapsed="false">
      <c r="A54" s="31"/>
      <c r="B54" s="32"/>
      <c r="C54" s="32"/>
      <c r="D54" s="32"/>
      <c r="E54" s="32"/>
      <c r="F54" s="32"/>
      <c r="G54" s="33"/>
      <c r="H54" s="33"/>
      <c r="I54" s="34" t="str">
        <f aca="false">IF($A54="","",$G54-$H54)</f>
        <v/>
      </c>
      <c r="J54" s="35" t="str">
        <f aca="false">IF($A54="","",IF(Setup!$B$6=1,YEAR($A54),YEAR($A54)+IF(MONTH($A54)&gt;=Setup!$B$6,1,0)))</f>
        <v/>
      </c>
      <c r="K54" s="35" t="str">
        <f aca="false">IF($A54="","",MOD(MONTH($A54)-Setup!$B$6+12,12)+1)</f>
        <v/>
      </c>
      <c r="L54" s="36" t="str">
        <f aca="false">IF($A54="","",TEXT($A54,"MMM-YY"))</f>
        <v/>
      </c>
      <c r="M54" s="37" t="str">
        <f aca="false">IF($A54="","",IF($Q54=0,"UNMAPPED",INDEX(COA_Mapping!$C$7:$C$256,$Q54)))</f>
        <v/>
      </c>
      <c r="N54" s="38" t="str">
        <f aca="false">IF($A54="","",IF($Q54=0,"",INDEX(COA_Mapping!$E$7:$E$256,$Q54)))</f>
        <v/>
      </c>
      <c r="O54" s="38" t="n">
        <f aca="false">IF($A54="",1,IF($Q54=0,1,INDEX(COA_Mapping!$F$7:$F$256,$Q54)))</f>
        <v>1</v>
      </c>
      <c r="P54" s="34" t="str">
        <f aca="false">IF($A54="","",$I54*$O54)</f>
        <v/>
      </c>
      <c r="Q54" s="39" t="n">
        <f aca="false">IF($B54="",0,IFERROR(MATCH($B54,COA_Mapping!$A$7:$A$256,0),0))</f>
        <v>0</v>
      </c>
      <c r="R54" s="39" t="n">
        <f aca="false">IF($A54="",-1,IF($J54=Setup!$B$7,1,IF($J54=Setup!$B$9,0,-1)))</f>
        <v>-1</v>
      </c>
      <c r="S54" s="35" t="n">
        <f aca="false">IF(OR($A54="",$Q54=0,$R54=-1),0,$Q54*1000+$R54*100+$K54)</f>
        <v>0</v>
      </c>
      <c r="T54" s="37" t="str">
        <f aca="false">IF($A54="","",IF($B54="","NO ACCOUNT",IF($Q54=0,"UNMAPPED",IF($R54=-1,"OUTSIDE FY RANGE","OK"))))</f>
        <v/>
      </c>
      <c r="U54" s="40" t="str">
        <f aca="false">IF($A54="","",$B54&amp;"|"&amp;TEXT($A54,"yyyymmdd")&amp;"|"&amp;TEXT($I54,"0.00"))</f>
        <v/>
      </c>
      <c r="V54" s="35" t="str">
        <f aca="false">IF($A54="","",COUNTIF($U$8:$U$5007,$U54))</f>
        <v/>
      </c>
    </row>
    <row r="55" customFormat="false" ht="15" hidden="false" customHeight="false" outlineLevel="0" collapsed="false">
      <c r="A55" s="31"/>
      <c r="B55" s="32"/>
      <c r="C55" s="32"/>
      <c r="D55" s="32"/>
      <c r="E55" s="32"/>
      <c r="F55" s="32"/>
      <c r="G55" s="33"/>
      <c r="H55" s="33"/>
      <c r="I55" s="34" t="str">
        <f aca="false">IF($A55="","",$G55-$H55)</f>
        <v/>
      </c>
      <c r="J55" s="35" t="str">
        <f aca="false">IF($A55="","",IF(Setup!$B$6=1,YEAR($A55),YEAR($A55)+IF(MONTH($A55)&gt;=Setup!$B$6,1,0)))</f>
        <v/>
      </c>
      <c r="K55" s="35" t="str">
        <f aca="false">IF($A55="","",MOD(MONTH($A55)-Setup!$B$6+12,12)+1)</f>
        <v/>
      </c>
      <c r="L55" s="36" t="str">
        <f aca="false">IF($A55="","",TEXT($A55,"MMM-YY"))</f>
        <v/>
      </c>
      <c r="M55" s="37" t="str">
        <f aca="false">IF($A55="","",IF($Q55=0,"UNMAPPED",INDEX(COA_Mapping!$C$7:$C$256,$Q55)))</f>
        <v/>
      </c>
      <c r="N55" s="38" t="str">
        <f aca="false">IF($A55="","",IF($Q55=0,"",INDEX(COA_Mapping!$E$7:$E$256,$Q55)))</f>
        <v/>
      </c>
      <c r="O55" s="38" t="n">
        <f aca="false">IF($A55="",1,IF($Q55=0,1,INDEX(COA_Mapping!$F$7:$F$256,$Q55)))</f>
        <v>1</v>
      </c>
      <c r="P55" s="34" t="str">
        <f aca="false">IF($A55="","",$I55*$O55)</f>
        <v/>
      </c>
      <c r="Q55" s="39" t="n">
        <f aca="false">IF($B55="",0,IFERROR(MATCH($B55,COA_Mapping!$A$7:$A$256,0),0))</f>
        <v>0</v>
      </c>
      <c r="R55" s="39" t="n">
        <f aca="false">IF($A55="",-1,IF($J55=Setup!$B$7,1,IF($J55=Setup!$B$9,0,-1)))</f>
        <v>-1</v>
      </c>
      <c r="S55" s="35" t="n">
        <f aca="false">IF(OR($A55="",$Q55=0,$R55=-1),0,$Q55*1000+$R55*100+$K55)</f>
        <v>0</v>
      </c>
      <c r="T55" s="37" t="str">
        <f aca="false">IF($A55="","",IF($B55="","NO ACCOUNT",IF($Q55=0,"UNMAPPED",IF($R55=-1,"OUTSIDE FY RANGE","OK"))))</f>
        <v/>
      </c>
      <c r="U55" s="40" t="str">
        <f aca="false">IF($A55="","",$B55&amp;"|"&amp;TEXT($A55,"yyyymmdd")&amp;"|"&amp;TEXT($I55,"0.00"))</f>
        <v/>
      </c>
      <c r="V55" s="35" t="str">
        <f aca="false">IF($A55="","",COUNTIF($U$8:$U$5007,$U55))</f>
        <v/>
      </c>
    </row>
    <row r="56" customFormat="false" ht="15" hidden="false" customHeight="false" outlineLevel="0" collapsed="false">
      <c r="A56" s="31"/>
      <c r="B56" s="32"/>
      <c r="C56" s="32"/>
      <c r="D56" s="32"/>
      <c r="E56" s="32"/>
      <c r="F56" s="32"/>
      <c r="G56" s="33"/>
      <c r="H56" s="33"/>
      <c r="I56" s="34" t="str">
        <f aca="false">IF($A56="","",$G56-$H56)</f>
        <v/>
      </c>
      <c r="J56" s="35" t="str">
        <f aca="false">IF($A56="","",IF(Setup!$B$6=1,YEAR($A56),YEAR($A56)+IF(MONTH($A56)&gt;=Setup!$B$6,1,0)))</f>
        <v/>
      </c>
      <c r="K56" s="35" t="str">
        <f aca="false">IF($A56="","",MOD(MONTH($A56)-Setup!$B$6+12,12)+1)</f>
        <v/>
      </c>
      <c r="L56" s="36" t="str">
        <f aca="false">IF($A56="","",TEXT($A56,"MMM-YY"))</f>
        <v/>
      </c>
      <c r="M56" s="37" t="str">
        <f aca="false">IF($A56="","",IF($Q56=0,"UNMAPPED",INDEX(COA_Mapping!$C$7:$C$256,$Q56)))</f>
        <v/>
      </c>
      <c r="N56" s="38" t="str">
        <f aca="false">IF($A56="","",IF($Q56=0,"",INDEX(COA_Mapping!$E$7:$E$256,$Q56)))</f>
        <v/>
      </c>
      <c r="O56" s="38" t="n">
        <f aca="false">IF($A56="",1,IF($Q56=0,1,INDEX(COA_Mapping!$F$7:$F$256,$Q56)))</f>
        <v>1</v>
      </c>
      <c r="P56" s="34" t="str">
        <f aca="false">IF($A56="","",$I56*$O56)</f>
        <v/>
      </c>
      <c r="Q56" s="39" t="n">
        <f aca="false">IF($B56="",0,IFERROR(MATCH($B56,COA_Mapping!$A$7:$A$256,0),0))</f>
        <v>0</v>
      </c>
      <c r="R56" s="39" t="n">
        <f aca="false">IF($A56="",-1,IF($J56=Setup!$B$7,1,IF($J56=Setup!$B$9,0,-1)))</f>
        <v>-1</v>
      </c>
      <c r="S56" s="35" t="n">
        <f aca="false">IF(OR($A56="",$Q56=0,$R56=-1),0,$Q56*1000+$R56*100+$K56)</f>
        <v>0</v>
      </c>
      <c r="T56" s="37" t="str">
        <f aca="false">IF($A56="","",IF($B56="","NO ACCOUNT",IF($Q56=0,"UNMAPPED",IF($R56=-1,"OUTSIDE FY RANGE","OK"))))</f>
        <v/>
      </c>
      <c r="U56" s="40" t="str">
        <f aca="false">IF($A56="","",$B56&amp;"|"&amp;TEXT($A56,"yyyymmdd")&amp;"|"&amp;TEXT($I56,"0.00"))</f>
        <v/>
      </c>
      <c r="V56" s="35" t="str">
        <f aca="false">IF($A56="","",COUNTIF($U$8:$U$5007,$U56))</f>
        <v/>
      </c>
    </row>
    <row r="57" customFormat="false" ht="15" hidden="false" customHeight="false" outlineLevel="0" collapsed="false">
      <c r="A57" s="31"/>
      <c r="B57" s="32"/>
      <c r="C57" s="32"/>
      <c r="D57" s="32"/>
      <c r="E57" s="32"/>
      <c r="F57" s="32"/>
      <c r="G57" s="33"/>
      <c r="H57" s="33"/>
      <c r="I57" s="34" t="str">
        <f aca="false">IF($A57="","",$G57-$H57)</f>
        <v/>
      </c>
      <c r="J57" s="35" t="str">
        <f aca="false">IF($A57="","",IF(Setup!$B$6=1,YEAR($A57),YEAR($A57)+IF(MONTH($A57)&gt;=Setup!$B$6,1,0)))</f>
        <v/>
      </c>
      <c r="K57" s="35" t="str">
        <f aca="false">IF($A57="","",MOD(MONTH($A57)-Setup!$B$6+12,12)+1)</f>
        <v/>
      </c>
      <c r="L57" s="36" t="str">
        <f aca="false">IF($A57="","",TEXT($A57,"MMM-YY"))</f>
        <v/>
      </c>
      <c r="M57" s="37" t="str">
        <f aca="false">IF($A57="","",IF($Q57=0,"UNMAPPED",INDEX(COA_Mapping!$C$7:$C$256,$Q57)))</f>
        <v/>
      </c>
      <c r="N57" s="38" t="str">
        <f aca="false">IF($A57="","",IF($Q57=0,"",INDEX(COA_Mapping!$E$7:$E$256,$Q57)))</f>
        <v/>
      </c>
      <c r="O57" s="38" t="n">
        <f aca="false">IF($A57="",1,IF($Q57=0,1,INDEX(COA_Mapping!$F$7:$F$256,$Q57)))</f>
        <v>1</v>
      </c>
      <c r="P57" s="34" t="str">
        <f aca="false">IF($A57="","",$I57*$O57)</f>
        <v/>
      </c>
      <c r="Q57" s="39" t="n">
        <f aca="false">IF($B57="",0,IFERROR(MATCH($B57,COA_Mapping!$A$7:$A$256,0),0))</f>
        <v>0</v>
      </c>
      <c r="R57" s="39" t="n">
        <f aca="false">IF($A57="",-1,IF($J57=Setup!$B$7,1,IF($J57=Setup!$B$9,0,-1)))</f>
        <v>-1</v>
      </c>
      <c r="S57" s="35" t="n">
        <f aca="false">IF(OR($A57="",$Q57=0,$R57=-1),0,$Q57*1000+$R57*100+$K57)</f>
        <v>0</v>
      </c>
      <c r="T57" s="37" t="str">
        <f aca="false">IF($A57="","",IF($B57="","NO ACCOUNT",IF($Q57=0,"UNMAPPED",IF($R57=-1,"OUTSIDE FY RANGE","OK"))))</f>
        <v/>
      </c>
      <c r="U57" s="40" t="str">
        <f aca="false">IF($A57="","",$B57&amp;"|"&amp;TEXT($A57,"yyyymmdd")&amp;"|"&amp;TEXT($I57,"0.00"))</f>
        <v/>
      </c>
      <c r="V57" s="35" t="str">
        <f aca="false">IF($A57="","",COUNTIF($U$8:$U$5007,$U57))</f>
        <v/>
      </c>
    </row>
    <row r="58" customFormat="false" ht="15" hidden="false" customHeight="false" outlineLevel="0" collapsed="false">
      <c r="A58" s="31"/>
      <c r="B58" s="32"/>
      <c r="C58" s="32"/>
      <c r="D58" s="32"/>
      <c r="E58" s="32"/>
      <c r="F58" s="32"/>
      <c r="G58" s="33"/>
      <c r="H58" s="33"/>
      <c r="I58" s="34" t="str">
        <f aca="false">IF($A58="","",$G58-$H58)</f>
        <v/>
      </c>
      <c r="J58" s="35" t="str">
        <f aca="false">IF($A58="","",IF(Setup!$B$6=1,YEAR($A58),YEAR($A58)+IF(MONTH($A58)&gt;=Setup!$B$6,1,0)))</f>
        <v/>
      </c>
      <c r="K58" s="35" t="str">
        <f aca="false">IF($A58="","",MOD(MONTH($A58)-Setup!$B$6+12,12)+1)</f>
        <v/>
      </c>
      <c r="L58" s="36" t="str">
        <f aca="false">IF($A58="","",TEXT($A58,"MMM-YY"))</f>
        <v/>
      </c>
      <c r="M58" s="37" t="str">
        <f aca="false">IF($A58="","",IF($Q58=0,"UNMAPPED",INDEX(COA_Mapping!$C$7:$C$256,$Q58)))</f>
        <v/>
      </c>
      <c r="N58" s="38" t="str">
        <f aca="false">IF($A58="","",IF($Q58=0,"",INDEX(COA_Mapping!$E$7:$E$256,$Q58)))</f>
        <v/>
      </c>
      <c r="O58" s="38" t="n">
        <f aca="false">IF($A58="",1,IF($Q58=0,1,INDEX(COA_Mapping!$F$7:$F$256,$Q58)))</f>
        <v>1</v>
      </c>
      <c r="P58" s="34" t="str">
        <f aca="false">IF($A58="","",$I58*$O58)</f>
        <v/>
      </c>
      <c r="Q58" s="39" t="n">
        <f aca="false">IF($B58="",0,IFERROR(MATCH($B58,COA_Mapping!$A$7:$A$256,0),0))</f>
        <v>0</v>
      </c>
      <c r="R58" s="39" t="n">
        <f aca="false">IF($A58="",-1,IF($J58=Setup!$B$7,1,IF($J58=Setup!$B$9,0,-1)))</f>
        <v>-1</v>
      </c>
      <c r="S58" s="35" t="n">
        <f aca="false">IF(OR($A58="",$Q58=0,$R58=-1),0,$Q58*1000+$R58*100+$K58)</f>
        <v>0</v>
      </c>
      <c r="T58" s="37" t="str">
        <f aca="false">IF($A58="","",IF($B58="","NO ACCOUNT",IF($Q58=0,"UNMAPPED",IF($R58=-1,"OUTSIDE FY RANGE","OK"))))</f>
        <v/>
      </c>
      <c r="U58" s="40" t="str">
        <f aca="false">IF($A58="","",$B58&amp;"|"&amp;TEXT($A58,"yyyymmdd")&amp;"|"&amp;TEXT($I58,"0.00"))</f>
        <v/>
      </c>
      <c r="V58" s="35" t="str">
        <f aca="false">IF($A58="","",COUNTIF($U$8:$U$5007,$U58))</f>
        <v/>
      </c>
    </row>
    <row r="59" customFormat="false" ht="15" hidden="false" customHeight="false" outlineLevel="0" collapsed="false">
      <c r="A59" s="31"/>
      <c r="B59" s="32"/>
      <c r="C59" s="32"/>
      <c r="D59" s="32"/>
      <c r="E59" s="32"/>
      <c r="F59" s="32"/>
      <c r="G59" s="33"/>
      <c r="H59" s="33"/>
      <c r="I59" s="34" t="str">
        <f aca="false">IF($A59="","",$G59-$H59)</f>
        <v/>
      </c>
      <c r="J59" s="35" t="str">
        <f aca="false">IF($A59="","",IF(Setup!$B$6=1,YEAR($A59),YEAR($A59)+IF(MONTH($A59)&gt;=Setup!$B$6,1,0)))</f>
        <v/>
      </c>
      <c r="K59" s="35" t="str">
        <f aca="false">IF($A59="","",MOD(MONTH($A59)-Setup!$B$6+12,12)+1)</f>
        <v/>
      </c>
      <c r="L59" s="36" t="str">
        <f aca="false">IF($A59="","",TEXT($A59,"MMM-YY"))</f>
        <v/>
      </c>
      <c r="M59" s="37" t="str">
        <f aca="false">IF($A59="","",IF($Q59=0,"UNMAPPED",INDEX(COA_Mapping!$C$7:$C$256,$Q59)))</f>
        <v/>
      </c>
      <c r="N59" s="38" t="str">
        <f aca="false">IF($A59="","",IF($Q59=0,"",INDEX(COA_Mapping!$E$7:$E$256,$Q59)))</f>
        <v/>
      </c>
      <c r="O59" s="38" t="n">
        <f aca="false">IF($A59="",1,IF($Q59=0,1,INDEX(COA_Mapping!$F$7:$F$256,$Q59)))</f>
        <v>1</v>
      </c>
      <c r="P59" s="34" t="str">
        <f aca="false">IF($A59="","",$I59*$O59)</f>
        <v/>
      </c>
      <c r="Q59" s="39" t="n">
        <f aca="false">IF($B59="",0,IFERROR(MATCH($B59,COA_Mapping!$A$7:$A$256,0),0))</f>
        <v>0</v>
      </c>
      <c r="R59" s="39" t="n">
        <f aca="false">IF($A59="",-1,IF($J59=Setup!$B$7,1,IF($J59=Setup!$B$9,0,-1)))</f>
        <v>-1</v>
      </c>
      <c r="S59" s="35" t="n">
        <f aca="false">IF(OR($A59="",$Q59=0,$R59=-1),0,$Q59*1000+$R59*100+$K59)</f>
        <v>0</v>
      </c>
      <c r="T59" s="37" t="str">
        <f aca="false">IF($A59="","",IF($B59="","NO ACCOUNT",IF($Q59=0,"UNMAPPED",IF($R59=-1,"OUTSIDE FY RANGE","OK"))))</f>
        <v/>
      </c>
      <c r="U59" s="40" t="str">
        <f aca="false">IF($A59="","",$B59&amp;"|"&amp;TEXT($A59,"yyyymmdd")&amp;"|"&amp;TEXT($I59,"0.00"))</f>
        <v/>
      </c>
      <c r="V59" s="35" t="str">
        <f aca="false">IF($A59="","",COUNTIF($U$8:$U$5007,$U59))</f>
        <v/>
      </c>
    </row>
    <row r="60" customFormat="false" ht="15" hidden="false" customHeight="false" outlineLevel="0" collapsed="false">
      <c r="A60" s="31"/>
      <c r="B60" s="32"/>
      <c r="C60" s="32"/>
      <c r="D60" s="32"/>
      <c r="E60" s="32"/>
      <c r="F60" s="32"/>
      <c r="G60" s="33"/>
      <c r="H60" s="33"/>
      <c r="I60" s="34" t="str">
        <f aca="false">IF($A60="","",$G60-$H60)</f>
        <v/>
      </c>
      <c r="J60" s="35" t="str">
        <f aca="false">IF($A60="","",IF(Setup!$B$6=1,YEAR($A60),YEAR($A60)+IF(MONTH($A60)&gt;=Setup!$B$6,1,0)))</f>
        <v/>
      </c>
      <c r="K60" s="35" t="str">
        <f aca="false">IF($A60="","",MOD(MONTH($A60)-Setup!$B$6+12,12)+1)</f>
        <v/>
      </c>
      <c r="L60" s="36" t="str">
        <f aca="false">IF($A60="","",TEXT($A60,"MMM-YY"))</f>
        <v/>
      </c>
      <c r="M60" s="37" t="str">
        <f aca="false">IF($A60="","",IF($Q60=0,"UNMAPPED",INDEX(COA_Mapping!$C$7:$C$256,$Q60)))</f>
        <v/>
      </c>
      <c r="N60" s="38" t="str">
        <f aca="false">IF($A60="","",IF($Q60=0,"",INDEX(COA_Mapping!$E$7:$E$256,$Q60)))</f>
        <v/>
      </c>
      <c r="O60" s="38" t="n">
        <f aca="false">IF($A60="",1,IF($Q60=0,1,INDEX(COA_Mapping!$F$7:$F$256,$Q60)))</f>
        <v>1</v>
      </c>
      <c r="P60" s="34" t="str">
        <f aca="false">IF($A60="","",$I60*$O60)</f>
        <v/>
      </c>
      <c r="Q60" s="39" t="n">
        <f aca="false">IF($B60="",0,IFERROR(MATCH($B60,COA_Mapping!$A$7:$A$256,0),0))</f>
        <v>0</v>
      </c>
      <c r="R60" s="39" t="n">
        <f aca="false">IF($A60="",-1,IF($J60=Setup!$B$7,1,IF($J60=Setup!$B$9,0,-1)))</f>
        <v>-1</v>
      </c>
      <c r="S60" s="35" t="n">
        <f aca="false">IF(OR($A60="",$Q60=0,$R60=-1),0,$Q60*1000+$R60*100+$K60)</f>
        <v>0</v>
      </c>
      <c r="T60" s="37" t="str">
        <f aca="false">IF($A60="","",IF($B60="","NO ACCOUNT",IF($Q60=0,"UNMAPPED",IF($R60=-1,"OUTSIDE FY RANGE","OK"))))</f>
        <v/>
      </c>
      <c r="U60" s="40" t="str">
        <f aca="false">IF($A60="","",$B60&amp;"|"&amp;TEXT($A60,"yyyymmdd")&amp;"|"&amp;TEXT($I60,"0.00"))</f>
        <v/>
      </c>
      <c r="V60" s="35" t="str">
        <f aca="false">IF($A60="","",COUNTIF($U$8:$U$5007,$U60))</f>
        <v/>
      </c>
    </row>
    <row r="61" customFormat="false" ht="15" hidden="false" customHeight="false" outlineLevel="0" collapsed="false">
      <c r="A61" s="31"/>
      <c r="B61" s="32"/>
      <c r="C61" s="32"/>
      <c r="D61" s="32"/>
      <c r="E61" s="32"/>
      <c r="F61" s="32"/>
      <c r="G61" s="33"/>
      <c r="H61" s="33"/>
      <c r="I61" s="34" t="str">
        <f aca="false">IF($A61="","",$G61-$H61)</f>
        <v/>
      </c>
      <c r="J61" s="35" t="str">
        <f aca="false">IF($A61="","",IF(Setup!$B$6=1,YEAR($A61),YEAR($A61)+IF(MONTH($A61)&gt;=Setup!$B$6,1,0)))</f>
        <v/>
      </c>
      <c r="K61" s="35" t="str">
        <f aca="false">IF($A61="","",MOD(MONTH($A61)-Setup!$B$6+12,12)+1)</f>
        <v/>
      </c>
      <c r="L61" s="36" t="str">
        <f aca="false">IF($A61="","",TEXT($A61,"MMM-YY"))</f>
        <v/>
      </c>
      <c r="M61" s="37" t="str">
        <f aca="false">IF($A61="","",IF($Q61=0,"UNMAPPED",INDEX(COA_Mapping!$C$7:$C$256,$Q61)))</f>
        <v/>
      </c>
      <c r="N61" s="38" t="str">
        <f aca="false">IF($A61="","",IF($Q61=0,"",INDEX(COA_Mapping!$E$7:$E$256,$Q61)))</f>
        <v/>
      </c>
      <c r="O61" s="38" t="n">
        <f aca="false">IF($A61="",1,IF($Q61=0,1,INDEX(COA_Mapping!$F$7:$F$256,$Q61)))</f>
        <v>1</v>
      </c>
      <c r="P61" s="34" t="str">
        <f aca="false">IF($A61="","",$I61*$O61)</f>
        <v/>
      </c>
      <c r="Q61" s="39" t="n">
        <f aca="false">IF($B61="",0,IFERROR(MATCH($B61,COA_Mapping!$A$7:$A$256,0),0))</f>
        <v>0</v>
      </c>
      <c r="R61" s="39" t="n">
        <f aca="false">IF($A61="",-1,IF($J61=Setup!$B$7,1,IF($J61=Setup!$B$9,0,-1)))</f>
        <v>-1</v>
      </c>
      <c r="S61" s="35" t="n">
        <f aca="false">IF(OR($A61="",$Q61=0,$R61=-1),0,$Q61*1000+$R61*100+$K61)</f>
        <v>0</v>
      </c>
      <c r="T61" s="37" t="str">
        <f aca="false">IF($A61="","",IF($B61="","NO ACCOUNT",IF($Q61=0,"UNMAPPED",IF($R61=-1,"OUTSIDE FY RANGE","OK"))))</f>
        <v/>
      </c>
      <c r="U61" s="40" t="str">
        <f aca="false">IF($A61="","",$B61&amp;"|"&amp;TEXT($A61,"yyyymmdd")&amp;"|"&amp;TEXT($I61,"0.00"))</f>
        <v/>
      </c>
      <c r="V61" s="35" t="str">
        <f aca="false">IF($A61="","",COUNTIF($U$8:$U$5007,$U61))</f>
        <v/>
      </c>
    </row>
    <row r="62" customFormat="false" ht="15" hidden="false" customHeight="false" outlineLevel="0" collapsed="false">
      <c r="A62" s="31"/>
      <c r="B62" s="32"/>
      <c r="C62" s="32"/>
      <c r="D62" s="32"/>
      <c r="E62" s="32"/>
      <c r="F62" s="32"/>
      <c r="G62" s="33"/>
      <c r="H62" s="33"/>
      <c r="I62" s="34" t="str">
        <f aca="false">IF($A62="","",$G62-$H62)</f>
        <v/>
      </c>
      <c r="J62" s="35" t="str">
        <f aca="false">IF($A62="","",IF(Setup!$B$6=1,YEAR($A62),YEAR($A62)+IF(MONTH($A62)&gt;=Setup!$B$6,1,0)))</f>
        <v/>
      </c>
      <c r="K62" s="35" t="str">
        <f aca="false">IF($A62="","",MOD(MONTH($A62)-Setup!$B$6+12,12)+1)</f>
        <v/>
      </c>
      <c r="L62" s="36" t="str">
        <f aca="false">IF($A62="","",TEXT($A62,"MMM-YY"))</f>
        <v/>
      </c>
      <c r="M62" s="37" t="str">
        <f aca="false">IF($A62="","",IF($Q62=0,"UNMAPPED",INDEX(COA_Mapping!$C$7:$C$256,$Q62)))</f>
        <v/>
      </c>
      <c r="N62" s="38" t="str">
        <f aca="false">IF($A62="","",IF($Q62=0,"",INDEX(COA_Mapping!$E$7:$E$256,$Q62)))</f>
        <v/>
      </c>
      <c r="O62" s="38" t="n">
        <f aca="false">IF($A62="",1,IF($Q62=0,1,INDEX(COA_Mapping!$F$7:$F$256,$Q62)))</f>
        <v>1</v>
      </c>
      <c r="P62" s="34" t="str">
        <f aca="false">IF($A62="","",$I62*$O62)</f>
        <v/>
      </c>
      <c r="Q62" s="39" t="n">
        <f aca="false">IF($B62="",0,IFERROR(MATCH($B62,COA_Mapping!$A$7:$A$256,0),0))</f>
        <v>0</v>
      </c>
      <c r="R62" s="39" t="n">
        <f aca="false">IF($A62="",-1,IF($J62=Setup!$B$7,1,IF($J62=Setup!$B$9,0,-1)))</f>
        <v>-1</v>
      </c>
      <c r="S62" s="35" t="n">
        <f aca="false">IF(OR($A62="",$Q62=0,$R62=-1),0,$Q62*1000+$R62*100+$K62)</f>
        <v>0</v>
      </c>
      <c r="T62" s="37" t="str">
        <f aca="false">IF($A62="","",IF($B62="","NO ACCOUNT",IF($Q62=0,"UNMAPPED",IF($R62=-1,"OUTSIDE FY RANGE","OK"))))</f>
        <v/>
      </c>
      <c r="U62" s="40" t="str">
        <f aca="false">IF($A62="","",$B62&amp;"|"&amp;TEXT($A62,"yyyymmdd")&amp;"|"&amp;TEXT($I62,"0.00"))</f>
        <v/>
      </c>
      <c r="V62" s="35" t="str">
        <f aca="false">IF($A62="","",COUNTIF($U$8:$U$5007,$U62))</f>
        <v/>
      </c>
    </row>
    <row r="63" customFormat="false" ht="15" hidden="false" customHeight="false" outlineLevel="0" collapsed="false">
      <c r="A63" s="31"/>
      <c r="B63" s="32"/>
      <c r="C63" s="32"/>
      <c r="D63" s="32"/>
      <c r="E63" s="32"/>
      <c r="F63" s="32"/>
      <c r="G63" s="33"/>
      <c r="H63" s="33"/>
      <c r="I63" s="34" t="str">
        <f aca="false">IF($A63="","",$G63-$H63)</f>
        <v/>
      </c>
      <c r="J63" s="35" t="str">
        <f aca="false">IF($A63="","",IF(Setup!$B$6=1,YEAR($A63),YEAR($A63)+IF(MONTH($A63)&gt;=Setup!$B$6,1,0)))</f>
        <v/>
      </c>
      <c r="K63" s="35" t="str">
        <f aca="false">IF($A63="","",MOD(MONTH($A63)-Setup!$B$6+12,12)+1)</f>
        <v/>
      </c>
      <c r="L63" s="36" t="str">
        <f aca="false">IF($A63="","",TEXT($A63,"MMM-YY"))</f>
        <v/>
      </c>
      <c r="M63" s="37" t="str">
        <f aca="false">IF($A63="","",IF($Q63=0,"UNMAPPED",INDEX(COA_Mapping!$C$7:$C$256,$Q63)))</f>
        <v/>
      </c>
      <c r="N63" s="38" t="str">
        <f aca="false">IF($A63="","",IF($Q63=0,"",INDEX(COA_Mapping!$E$7:$E$256,$Q63)))</f>
        <v/>
      </c>
      <c r="O63" s="38" t="n">
        <f aca="false">IF($A63="",1,IF($Q63=0,1,INDEX(COA_Mapping!$F$7:$F$256,$Q63)))</f>
        <v>1</v>
      </c>
      <c r="P63" s="34" t="str">
        <f aca="false">IF($A63="","",$I63*$O63)</f>
        <v/>
      </c>
      <c r="Q63" s="39" t="n">
        <f aca="false">IF($B63="",0,IFERROR(MATCH($B63,COA_Mapping!$A$7:$A$256,0),0))</f>
        <v>0</v>
      </c>
      <c r="R63" s="39" t="n">
        <f aca="false">IF($A63="",-1,IF($J63=Setup!$B$7,1,IF($J63=Setup!$B$9,0,-1)))</f>
        <v>-1</v>
      </c>
      <c r="S63" s="35" t="n">
        <f aca="false">IF(OR($A63="",$Q63=0,$R63=-1),0,$Q63*1000+$R63*100+$K63)</f>
        <v>0</v>
      </c>
      <c r="T63" s="37" t="str">
        <f aca="false">IF($A63="","",IF($B63="","NO ACCOUNT",IF($Q63=0,"UNMAPPED",IF($R63=-1,"OUTSIDE FY RANGE","OK"))))</f>
        <v/>
      </c>
      <c r="U63" s="40" t="str">
        <f aca="false">IF($A63="","",$B63&amp;"|"&amp;TEXT($A63,"yyyymmdd")&amp;"|"&amp;TEXT($I63,"0.00"))</f>
        <v/>
      </c>
      <c r="V63" s="35" t="str">
        <f aca="false">IF($A63="","",COUNTIF($U$8:$U$5007,$U63))</f>
        <v/>
      </c>
    </row>
    <row r="64" customFormat="false" ht="15" hidden="false" customHeight="false" outlineLevel="0" collapsed="false">
      <c r="A64" s="31"/>
      <c r="B64" s="32"/>
      <c r="C64" s="32"/>
      <c r="D64" s="32"/>
      <c r="E64" s="32"/>
      <c r="F64" s="32"/>
      <c r="G64" s="33"/>
      <c r="H64" s="33"/>
      <c r="I64" s="34" t="str">
        <f aca="false">IF($A64="","",$G64-$H64)</f>
        <v/>
      </c>
      <c r="J64" s="35" t="str">
        <f aca="false">IF($A64="","",IF(Setup!$B$6=1,YEAR($A64),YEAR($A64)+IF(MONTH($A64)&gt;=Setup!$B$6,1,0)))</f>
        <v/>
      </c>
      <c r="K64" s="35" t="str">
        <f aca="false">IF($A64="","",MOD(MONTH($A64)-Setup!$B$6+12,12)+1)</f>
        <v/>
      </c>
      <c r="L64" s="36" t="str">
        <f aca="false">IF($A64="","",TEXT($A64,"MMM-YY"))</f>
        <v/>
      </c>
      <c r="M64" s="37" t="str">
        <f aca="false">IF($A64="","",IF($Q64=0,"UNMAPPED",INDEX(COA_Mapping!$C$7:$C$256,$Q64)))</f>
        <v/>
      </c>
      <c r="N64" s="38" t="str">
        <f aca="false">IF($A64="","",IF($Q64=0,"",INDEX(COA_Mapping!$E$7:$E$256,$Q64)))</f>
        <v/>
      </c>
      <c r="O64" s="38" t="n">
        <f aca="false">IF($A64="",1,IF($Q64=0,1,INDEX(COA_Mapping!$F$7:$F$256,$Q64)))</f>
        <v>1</v>
      </c>
      <c r="P64" s="34" t="str">
        <f aca="false">IF($A64="","",$I64*$O64)</f>
        <v/>
      </c>
      <c r="Q64" s="39" t="n">
        <f aca="false">IF($B64="",0,IFERROR(MATCH($B64,COA_Mapping!$A$7:$A$256,0),0))</f>
        <v>0</v>
      </c>
      <c r="R64" s="39" t="n">
        <f aca="false">IF($A64="",-1,IF($J64=Setup!$B$7,1,IF($J64=Setup!$B$9,0,-1)))</f>
        <v>-1</v>
      </c>
      <c r="S64" s="35" t="n">
        <f aca="false">IF(OR($A64="",$Q64=0,$R64=-1),0,$Q64*1000+$R64*100+$K64)</f>
        <v>0</v>
      </c>
      <c r="T64" s="37" t="str">
        <f aca="false">IF($A64="","",IF($B64="","NO ACCOUNT",IF($Q64=0,"UNMAPPED",IF($R64=-1,"OUTSIDE FY RANGE","OK"))))</f>
        <v/>
      </c>
      <c r="U64" s="40" t="str">
        <f aca="false">IF($A64="","",$B64&amp;"|"&amp;TEXT($A64,"yyyymmdd")&amp;"|"&amp;TEXT($I64,"0.00"))</f>
        <v/>
      </c>
      <c r="V64" s="35" t="str">
        <f aca="false">IF($A64="","",COUNTIF($U$8:$U$5007,$U64))</f>
        <v/>
      </c>
    </row>
    <row r="65" customFormat="false" ht="15" hidden="false" customHeight="false" outlineLevel="0" collapsed="false">
      <c r="A65" s="31"/>
      <c r="B65" s="32"/>
      <c r="C65" s="32"/>
      <c r="D65" s="32"/>
      <c r="E65" s="32"/>
      <c r="F65" s="32"/>
      <c r="G65" s="33"/>
      <c r="H65" s="33"/>
      <c r="I65" s="34" t="str">
        <f aca="false">IF($A65="","",$G65-$H65)</f>
        <v/>
      </c>
      <c r="J65" s="35" t="str">
        <f aca="false">IF($A65="","",IF(Setup!$B$6=1,YEAR($A65),YEAR($A65)+IF(MONTH($A65)&gt;=Setup!$B$6,1,0)))</f>
        <v/>
      </c>
      <c r="K65" s="35" t="str">
        <f aca="false">IF($A65="","",MOD(MONTH($A65)-Setup!$B$6+12,12)+1)</f>
        <v/>
      </c>
      <c r="L65" s="36" t="str">
        <f aca="false">IF($A65="","",TEXT($A65,"MMM-YY"))</f>
        <v/>
      </c>
      <c r="M65" s="37" t="str">
        <f aca="false">IF($A65="","",IF($Q65=0,"UNMAPPED",INDEX(COA_Mapping!$C$7:$C$256,$Q65)))</f>
        <v/>
      </c>
      <c r="N65" s="38" t="str">
        <f aca="false">IF($A65="","",IF($Q65=0,"",INDEX(COA_Mapping!$E$7:$E$256,$Q65)))</f>
        <v/>
      </c>
      <c r="O65" s="38" t="n">
        <f aca="false">IF($A65="",1,IF($Q65=0,1,INDEX(COA_Mapping!$F$7:$F$256,$Q65)))</f>
        <v>1</v>
      </c>
      <c r="P65" s="34" t="str">
        <f aca="false">IF($A65="","",$I65*$O65)</f>
        <v/>
      </c>
      <c r="Q65" s="39" t="n">
        <f aca="false">IF($B65="",0,IFERROR(MATCH($B65,COA_Mapping!$A$7:$A$256,0),0))</f>
        <v>0</v>
      </c>
      <c r="R65" s="39" t="n">
        <f aca="false">IF($A65="",-1,IF($J65=Setup!$B$7,1,IF($J65=Setup!$B$9,0,-1)))</f>
        <v>-1</v>
      </c>
      <c r="S65" s="35" t="n">
        <f aca="false">IF(OR($A65="",$Q65=0,$R65=-1),0,$Q65*1000+$R65*100+$K65)</f>
        <v>0</v>
      </c>
      <c r="T65" s="37" t="str">
        <f aca="false">IF($A65="","",IF($B65="","NO ACCOUNT",IF($Q65=0,"UNMAPPED",IF($R65=-1,"OUTSIDE FY RANGE","OK"))))</f>
        <v/>
      </c>
      <c r="U65" s="40" t="str">
        <f aca="false">IF($A65="","",$B65&amp;"|"&amp;TEXT($A65,"yyyymmdd")&amp;"|"&amp;TEXT($I65,"0.00"))</f>
        <v/>
      </c>
      <c r="V65" s="35" t="str">
        <f aca="false">IF($A65="","",COUNTIF($U$8:$U$5007,$U65))</f>
        <v/>
      </c>
    </row>
    <row r="66" customFormat="false" ht="15" hidden="false" customHeight="false" outlineLevel="0" collapsed="false">
      <c r="A66" s="31"/>
      <c r="B66" s="32"/>
      <c r="C66" s="32"/>
      <c r="D66" s="32"/>
      <c r="E66" s="32"/>
      <c r="F66" s="32"/>
      <c r="G66" s="33"/>
      <c r="H66" s="33"/>
      <c r="I66" s="34" t="str">
        <f aca="false">IF($A66="","",$G66-$H66)</f>
        <v/>
      </c>
      <c r="J66" s="35" t="str">
        <f aca="false">IF($A66="","",IF(Setup!$B$6=1,YEAR($A66),YEAR($A66)+IF(MONTH($A66)&gt;=Setup!$B$6,1,0)))</f>
        <v/>
      </c>
      <c r="K66" s="35" t="str">
        <f aca="false">IF($A66="","",MOD(MONTH($A66)-Setup!$B$6+12,12)+1)</f>
        <v/>
      </c>
      <c r="L66" s="36" t="str">
        <f aca="false">IF($A66="","",TEXT($A66,"MMM-YY"))</f>
        <v/>
      </c>
      <c r="M66" s="37" t="str">
        <f aca="false">IF($A66="","",IF($Q66=0,"UNMAPPED",INDEX(COA_Mapping!$C$7:$C$256,$Q66)))</f>
        <v/>
      </c>
      <c r="N66" s="38" t="str">
        <f aca="false">IF($A66="","",IF($Q66=0,"",INDEX(COA_Mapping!$E$7:$E$256,$Q66)))</f>
        <v/>
      </c>
      <c r="O66" s="38" t="n">
        <f aca="false">IF($A66="",1,IF($Q66=0,1,INDEX(COA_Mapping!$F$7:$F$256,$Q66)))</f>
        <v>1</v>
      </c>
      <c r="P66" s="34" t="str">
        <f aca="false">IF($A66="","",$I66*$O66)</f>
        <v/>
      </c>
      <c r="Q66" s="39" t="n">
        <f aca="false">IF($B66="",0,IFERROR(MATCH($B66,COA_Mapping!$A$7:$A$256,0),0))</f>
        <v>0</v>
      </c>
      <c r="R66" s="39" t="n">
        <f aca="false">IF($A66="",-1,IF($J66=Setup!$B$7,1,IF($J66=Setup!$B$9,0,-1)))</f>
        <v>-1</v>
      </c>
      <c r="S66" s="35" t="n">
        <f aca="false">IF(OR($A66="",$Q66=0,$R66=-1),0,$Q66*1000+$R66*100+$K66)</f>
        <v>0</v>
      </c>
      <c r="T66" s="37" t="str">
        <f aca="false">IF($A66="","",IF($B66="","NO ACCOUNT",IF($Q66=0,"UNMAPPED",IF($R66=-1,"OUTSIDE FY RANGE","OK"))))</f>
        <v/>
      </c>
      <c r="U66" s="40" t="str">
        <f aca="false">IF($A66="","",$B66&amp;"|"&amp;TEXT($A66,"yyyymmdd")&amp;"|"&amp;TEXT($I66,"0.00"))</f>
        <v/>
      </c>
      <c r="V66" s="35" t="str">
        <f aca="false">IF($A66="","",COUNTIF($U$8:$U$5007,$U66))</f>
        <v/>
      </c>
    </row>
    <row r="67" customFormat="false" ht="15" hidden="false" customHeight="false" outlineLevel="0" collapsed="false">
      <c r="A67" s="31"/>
      <c r="B67" s="32"/>
      <c r="C67" s="32"/>
      <c r="D67" s="32"/>
      <c r="E67" s="32"/>
      <c r="F67" s="32"/>
      <c r="G67" s="33"/>
      <c r="H67" s="33"/>
      <c r="I67" s="34" t="str">
        <f aca="false">IF($A67="","",$G67-$H67)</f>
        <v/>
      </c>
      <c r="J67" s="35" t="str">
        <f aca="false">IF($A67="","",IF(Setup!$B$6=1,YEAR($A67),YEAR($A67)+IF(MONTH($A67)&gt;=Setup!$B$6,1,0)))</f>
        <v/>
      </c>
      <c r="K67" s="35" t="str">
        <f aca="false">IF($A67="","",MOD(MONTH($A67)-Setup!$B$6+12,12)+1)</f>
        <v/>
      </c>
      <c r="L67" s="36" t="str">
        <f aca="false">IF($A67="","",TEXT($A67,"MMM-YY"))</f>
        <v/>
      </c>
      <c r="M67" s="37" t="str">
        <f aca="false">IF($A67="","",IF($Q67=0,"UNMAPPED",INDEX(COA_Mapping!$C$7:$C$256,$Q67)))</f>
        <v/>
      </c>
      <c r="N67" s="38" t="str">
        <f aca="false">IF($A67="","",IF($Q67=0,"",INDEX(COA_Mapping!$E$7:$E$256,$Q67)))</f>
        <v/>
      </c>
      <c r="O67" s="38" t="n">
        <f aca="false">IF($A67="",1,IF($Q67=0,1,INDEX(COA_Mapping!$F$7:$F$256,$Q67)))</f>
        <v>1</v>
      </c>
      <c r="P67" s="34" t="str">
        <f aca="false">IF($A67="","",$I67*$O67)</f>
        <v/>
      </c>
      <c r="Q67" s="39" t="n">
        <f aca="false">IF($B67="",0,IFERROR(MATCH($B67,COA_Mapping!$A$7:$A$256,0),0))</f>
        <v>0</v>
      </c>
      <c r="R67" s="39" t="n">
        <f aca="false">IF($A67="",-1,IF($J67=Setup!$B$7,1,IF($J67=Setup!$B$9,0,-1)))</f>
        <v>-1</v>
      </c>
      <c r="S67" s="35" t="n">
        <f aca="false">IF(OR($A67="",$Q67=0,$R67=-1),0,$Q67*1000+$R67*100+$K67)</f>
        <v>0</v>
      </c>
      <c r="T67" s="37" t="str">
        <f aca="false">IF($A67="","",IF($B67="","NO ACCOUNT",IF($Q67=0,"UNMAPPED",IF($R67=-1,"OUTSIDE FY RANGE","OK"))))</f>
        <v/>
      </c>
      <c r="U67" s="40" t="str">
        <f aca="false">IF($A67="","",$B67&amp;"|"&amp;TEXT($A67,"yyyymmdd")&amp;"|"&amp;TEXT($I67,"0.00"))</f>
        <v/>
      </c>
      <c r="V67" s="35" t="str">
        <f aca="false">IF($A67="","",COUNTIF($U$8:$U$5007,$U67))</f>
        <v/>
      </c>
    </row>
    <row r="68" customFormat="false" ht="15" hidden="false" customHeight="false" outlineLevel="0" collapsed="false">
      <c r="A68" s="31"/>
      <c r="B68" s="32"/>
      <c r="C68" s="32"/>
      <c r="D68" s="32"/>
      <c r="E68" s="32"/>
      <c r="F68" s="32"/>
      <c r="G68" s="33"/>
      <c r="H68" s="33"/>
      <c r="I68" s="34" t="str">
        <f aca="false">IF($A68="","",$G68-$H68)</f>
        <v/>
      </c>
      <c r="J68" s="35" t="str">
        <f aca="false">IF($A68="","",IF(Setup!$B$6=1,YEAR($A68),YEAR($A68)+IF(MONTH($A68)&gt;=Setup!$B$6,1,0)))</f>
        <v/>
      </c>
      <c r="K68" s="35" t="str">
        <f aca="false">IF($A68="","",MOD(MONTH($A68)-Setup!$B$6+12,12)+1)</f>
        <v/>
      </c>
      <c r="L68" s="36" t="str">
        <f aca="false">IF($A68="","",TEXT($A68,"MMM-YY"))</f>
        <v/>
      </c>
      <c r="M68" s="37" t="str">
        <f aca="false">IF($A68="","",IF($Q68=0,"UNMAPPED",INDEX(COA_Mapping!$C$7:$C$256,$Q68)))</f>
        <v/>
      </c>
      <c r="N68" s="38" t="str">
        <f aca="false">IF($A68="","",IF($Q68=0,"",INDEX(COA_Mapping!$E$7:$E$256,$Q68)))</f>
        <v/>
      </c>
      <c r="O68" s="38" t="n">
        <f aca="false">IF($A68="",1,IF($Q68=0,1,INDEX(COA_Mapping!$F$7:$F$256,$Q68)))</f>
        <v>1</v>
      </c>
      <c r="P68" s="34" t="str">
        <f aca="false">IF($A68="","",$I68*$O68)</f>
        <v/>
      </c>
      <c r="Q68" s="39" t="n">
        <f aca="false">IF($B68="",0,IFERROR(MATCH($B68,COA_Mapping!$A$7:$A$256,0),0))</f>
        <v>0</v>
      </c>
      <c r="R68" s="39" t="n">
        <f aca="false">IF($A68="",-1,IF($J68=Setup!$B$7,1,IF($J68=Setup!$B$9,0,-1)))</f>
        <v>-1</v>
      </c>
      <c r="S68" s="35" t="n">
        <f aca="false">IF(OR($A68="",$Q68=0,$R68=-1),0,$Q68*1000+$R68*100+$K68)</f>
        <v>0</v>
      </c>
      <c r="T68" s="37" t="str">
        <f aca="false">IF($A68="","",IF($B68="","NO ACCOUNT",IF($Q68=0,"UNMAPPED",IF($R68=-1,"OUTSIDE FY RANGE","OK"))))</f>
        <v/>
      </c>
      <c r="U68" s="40" t="str">
        <f aca="false">IF($A68="","",$B68&amp;"|"&amp;TEXT($A68,"yyyymmdd")&amp;"|"&amp;TEXT($I68,"0.00"))</f>
        <v/>
      </c>
      <c r="V68" s="35" t="str">
        <f aca="false">IF($A68="","",COUNTIF($U$8:$U$5007,$U68))</f>
        <v/>
      </c>
    </row>
    <row r="69" customFormat="false" ht="15" hidden="false" customHeight="false" outlineLevel="0" collapsed="false">
      <c r="A69" s="31"/>
      <c r="B69" s="32"/>
      <c r="C69" s="32"/>
      <c r="D69" s="32"/>
      <c r="E69" s="32"/>
      <c r="F69" s="32"/>
      <c r="G69" s="33"/>
      <c r="H69" s="33"/>
      <c r="I69" s="34" t="str">
        <f aca="false">IF($A69="","",$G69-$H69)</f>
        <v/>
      </c>
      <c r="J69" s="35" t="str">
        <f aca="false">IF($A69="","",IF(Setup!$B$6=1,YEAR($A69),YEAR($A69)+IF(MONTH($A69)&gt;=Setup!$B$6,1,0)))</f>
        <v/>
      </c>
      <c r="K69" s="35" t="str">
        <f aca="false">IF($A69="","",MOD(MONTH($A69)-Setup!$B$6+12,12)+1)</f>
        <v/>
      </c>
      <c r="L69" s="36" t="str">
        <f aca="false">IF($A69="","",TEXT($A69,"MMM-YY"))</f>
        <v/>
      </c>
      <c r="M69" s="37" t="str">
        <f aca="false">IF($A69="","",IF($Q69=0,"UNMAPPED",INDEX(COA_Mapping!$C$7:$C$256,$Q69)))</f>
        <v/>
      </c>
      <c r="N69" s="38" t="str">
        <f aca="false">IF($A69="","",IF($Q69=0,"",INDEX(COA_Mapping!$E$7:$E$256,$Q69)))</f>
        <v/>
      </c>
      <c r="O69" s="38" t="n">
        <f aca="false">IF($A69="",1,IF($Q69=0,1,INDEX(COA_Mapping!$F$7:$F$256,$Q69)))</f>
        <v>1</v>
      </c>
      <c r="P69" s="34" t="str">
        <f aca="false">IF($A69="","",$I69*$O69)</f>
        <v/>
      </c>
      <c r="Q69" s="39" t="n">
        <f aca="false">IF($B69="",0,IFERROR(MATCH($B69,COA_Mapping!$A$7:$A$256,0),0))</f>
        <v>0</v>
      </c>
      <c r="R69" s="39" t="n">
        <f aca="false">IF($A69="",-1,IF($J69=Setup!$B$7,1,IF($J69=Setup!$B$9,0,-1)))</f>
        <v>-1</v>
      </c>
      <c r="S69" s="35" t="n">
        <f aca="false">IF(OR($A69="",$Q69=0,$R69=-1),0,$Q69*1000+$R69*100+$K69)</f>
        <v>0</v>
      </c>
      <c r="T69" s="37" t="str">
        <f aca="false">IF($A69="","",IF($B69="","NO ACCOUNT",IF($Q69=0,"UNMAPPED",IF($R69=-1,"OUTSIDE FY RANGE","OK"))))</f>
        <v/>
      </c>
      <c r="U69" s="40" t="str">
        <f aca="false">IF($A69="","",$B69&amp;"|"&amp;TEXT($A69,"yyyymmdd")&amp;"|"&amp;TEXT($I69,"0.00"))</f>
        <v/>
      </c>
      <c r="V69" s="35" t="str">
        <f aca="false">IF($A69="","",COUNTIF($U$8:$U$5007,$U69))</f>
        <v/>
      </c>
    </row>
    <row r="70" customFormat="false" ht="15" hidden="false" customHeight="false" outlineLevel="0" collapsed="false">
      <c r="A70" s="31"/>
      <c r="B70" s="32"/>
      <c r="C70" s="32"/>
      <c r="D70" s="32"/>
      <c r="E70" s="32"/>
      <c r="F70" s="32"/>
      <c r="G70" s="33"/>
      <c r="H70" s="33"/>
      <c r="I70" s="34" t="str">
        <f aca="false">IF($A70="","",$G70-$H70)</f>
        <v/>
      </c>
      <c r="J70" s="35" t="str">
        <f aca="false">IF($A70="","",IF(Setup!$B$6=1,YEAR($A70),YEAR($A70)+IF(MONTH($A70)&gt;=Setup!$B$6,1,0)))</f>
        <v/>
      </c>
      <c r="K70" s="35" t="str">
        <f aca="false">IF($A70="","",MOD(MONTH($A70)-Setup!$B$6+12,12)+1)</f>
        <v/>
      </c>
      <c r="L70" s="36" t="str">
        <f aca="false">IF($A70="","",TEXT($A70,"MMM-YY"))</f>
        <v/>
      </c>
      <c r="M70" s="37" t="str">
        <f aca="false">IF($A70="","",IF($Q70=0,"UNMAPPED",INDEX(COA_Mapping!$C$7:$C$256,$Q70)))</f>
        <v/>
      </c>
      <c r="N70" s="38" t="str">
        <f aca="false">IF($A70="","",IF($Q70=0,"",INDEX(COA_Mapping!$E$7:$E$256,$Q70)))</f>
        <v/>
      </c>
      <c r="O70" s="38" t="n">
        <f aca="false">IF($A70="",1,IF($Q70=0,1,INDEX(COA_Mapping!$F$7:$F$256,$Q70)))</f>
        <v>1</v>
      </c>
      <c r="P70" s="34" t="str">
        <f aca="false">IF($A70="","",$I70*$O70)</f>
        <v/>
      </c>
      <c r="Q70" s="39" t="n">
        <f aca="false">IF($B70="",0,IFERROR(MATCH($B70,COA_Mapping!$A$7:$A$256,0),0))</f>
        <v>0</v>
      </c>
      <c r="R70" s="39" t="n">
        <f aca="false">IF($A70="",-1,IF($J70=Setup!$B$7,1,IF($J70=Setup!$B$9,0,-1)))</f>
        <v>-1</v>
      </c>
      <c r="S70" s="35" t="n">
        <f aca="false">IF(OR($A70="",$Q70=0,$R70=-1),0,$Q70*1000+$R70*100+$K70)</f>
        <v>0</v>
      </c>
      <c r="T70" s="37" t="str">
        <f aca="false">IF($A70="","",IF($B70="","NO ACCOUNT",IF($Q70=0,"UNMAPPED",IF($R70=-1,"OUTSIDE FY RANGE","OK"))))</f>
        <v/>
      </c>
      <c r="U70" s="40" t="str">
        <f aca="false">IF($A70="","",$B70&amp;"|"&amp;TEXT($A70,"yyyymmdd")&amp;"|"&amp;TEXT($I70,"0.00"))</f>
        <v/>
      </c>
      <c r="V70" s="35" t="str">
        <f aca="false">IF($A70="","",COUNTIF($U$8:$U$5007,$U70))</f>
        <v/>
      </c>
    </row>
    <row r="71" customFormat="false" ht="15" hidden="false" customHeight="false" outlineLevel="0" collapsed="false">
      <c r="A71" s="31"/>
      <c r="B71" s="32"/>
      <c r="C71" s="32"/>
      <c r="D71" s="32"/>
      <c r="E71" s="32"/>
      <c r="F71" s="32"/>
      <c r="G71" s="33"/>
      <c r="H71" s="33"/>
      <c r="I71" s="34" t="str">
        <f aca="false">IF($A71="","",$G71-$H71)</f>
        <v/>
      </c>
      <c r="J71" s="35" t="str">
        <f aca="false">IF($A71="","",IF(Setup!$B$6=1,YEAR($A71),YEAR($A71)+IF(MONTH($A71)&gt;=Setup!$B$6,1,0)))</f>
        <v/>
      </c>
      <c r="K71" s="35" t="str">
        <f aca="false">IF($A71="","",MOD(MONTH($A71)-Setup!$B$6+12,12)+1)</f>
        <v/>
      </c>
      <c r="L71" s="36" t="str">
        <f aca="false">IF($A71="","",TEXT($A71,"MMM-YY"))</f>
        <v/>
      </c>
      <c r="M71" s="37" t="str">
        <f aca="false">IF($A71="","",IF($Q71=0,"UNMAPPED",INDEX(COA_Mapping!$C$7:$C$256,$Q71)))</f>
        <v/>
      </c>
      <c r="N71" s="38" t="str">
        <f aca="false">IF($A71="","",IF($Q71=0,"",INDEX(COA_Mapping!$E$7:$E$256,$Q71)))</f>
        <v/>
      </c>
      <c r="O71" s="38" t="n">
        <f aca="false">IF($A71="",1,IF($Q71=0,1,INDEX(COA_Mapping!$F$7:$F$256,$Q71)))</f>
        <v>1</v>
      </c>
      <c r="P71" s="34" t="str">
        <f aca="false">IF($A71="","",$I71*$O71)</f>
        <v/>
      </c>
      <c r="Q71" s="39" t="n">
        <f aca="false">IF($B71="",0,IFERROR(MATCH($B71,COA_Mapping!$A$7:$A$256,0),0))</f>
        <v>0</v>
      </c>
      <c r="R71" s="39" t="n">
        <f aca="false">IF($A71="",-1,IF($J71=Setup!$B$7,1,IF($J71=Setup!$B$9,0,-1)))</f>
        <v>-1</v>
      </c>
      <c r="S71" s="35" t="n">
        <f aca="false">IF(OR($A71="",$Q71=0,$R71=-1),0,$Q71*1000+$R71*100+$K71)</f>
        <v>0</v>
      </c>
      <c r="T71" s="37" t="str">
        <f aca="false">IF($A71="","",IF($B71="","NO ACCOUNT",IF($Q71=0,"UNMAPPED",IF($R71=-1,"OUTSIDE FY RANGE","OK"))))</f>
        <v/>
      </c>
      <c r="U71" s="40" t="str">
        <f aca="false">IF($A71="","",$B71&amp;"|"&amp;TEXT($A71,"yyyymmdd")&amp;"|"&amp;TEXT($I71,"0.00"))</f>
        <v/>
      </c>
      <c r="V71" s="35" t="str">
        <f aca="false">IF($A71="","",COUNTIF($U$8:$U$5007,$U71))</f>
        <v/>
      </c>
    </row>
    <row r="72" customFormat="false" ht="15" hidden="false" customHeight="false" outlineLevel="0" collapsed="false">
      <c r="A72" s="31"/>
      <c r="B72" s="32"/>
      <c r="C72" s="32"/>
      <c r="D72" s="32"/>
      <c r="E72" s="32"/>
      <c r="F72" s="32"/>
      <c r="G72" s="33"/>
      <c r="H72" s="33"/>
      <c r="I72" s="34" t="str">
        <f aca="false">IF($A72="","",$G72-$H72)</f>
        <v/>
      </c>
      <c r="J72" s="35" t="str">
        <f aca="false">IF($A72="","",IF(Setup!$B$6=1,YEAR($A72),YEAR($A72)+IF(MONTH($A72)&gt;=Setup!$B$6,1,0)))</f>
        <v/>
      </c>
      <c r="K72" s="35" t="str">
        <f aca="false">IF($A72="","",MOD(MONTH($A72)-Setup!$B$6+12,12)+1)</f>
        <v/>
      </c>
      <c r="L72" s="36" t="str">
        <f aca="false">IF($A72="","",TEXT($A72,"MMM-YY"))</f>
        <v/>
      </c>
      <c r="M72" s="37" t="str">
        <f aca="false">IF($A72="","",IF($Q72=0,"UNMAPPED",INDEX(COA_Mapping!$C$7:$C$256,$Q72)))</f>
        <v/>
      </c>
      <c r="N72" s="38" t="str">
        <f aca="false">IF($A72="","",IF($Q72=0,"",INDEX(COA_Mapping!$E$7:$E$256,$Q72)))</f>
        <v/>
      </c>
      <c r="O72" s="38" t="n">
        <f aca="false">IF($A72="",1,IF($Q72=0,1,INDEX(COA_Mapping!$F$7:$F$256,$Q72)))</f>
        <v>1</v>
      </c>
      <c r="P72" s="34" t="str">
        <f aca="false">IF($A72="","",$I72*$O72)</f>
        <v/>
      </c>
      <c r="Q72" s="39" t="n">
        <f aca="false">IF($B72="",0,IFERROR(MATCH($B72,COA_Mapping!$A$7:$A$256,0),0))</f>
        <v>0</v>
      </c>
      <c r="R72" s="39" t="n">
        <f aca="false">IF($A72="",-1,IF($J72=Setup!$B$7,1,IF($J72=Setup!$B$9,0,-1)))</f>
        <v>-1</v>
      </c>
      <c r="S72" s="35" t="n">
        <f aca="false">IF(OR($A72="",$Q72=0,$R72=-1),0,$Q72*1000+$R72*100+$K72)</f>
        <v>0</v>
      </c>
      <c r="T72" s="37" t="str">
        <f aca="false">IF($A72="","",IF($B72="","NO ACCOUNT",IF($Q72=0,"UNMAPPED",IF($R72=-1,"OUTSIDE FY RANGE","OK"))))</f>
        <v/>
      </c>
      <c r="U72" s="40" t="str">
        <f aca="false">IF($A72="","",$B72&amp;"|"&amp;TEXT($A72,"yyyymmdd")&amp;"|"&amp;TEXT($I72,"0.00"))</f>
        <v/>
      </c>
      <c r="V72" s="35" t="str">
        <f aca="false">IF($A72="","",COUNTIF($U$8:$U$5007,$U72))</f>
        <v/>
      </c>
    </row>
    <row r="73" customFormat="false" ht="15" hidden="false" customHeight="false" outlineLevel="0" collapsed="false">
      <c r="A73" s="31"/>
      <c r="B73" s="32"/>
      <c r="C73" s="32"/>
      <c r="D73" s="32"/>
      <c r="E73" s="32"/>
      <c r="F73" s="32"/>
      <c r="G73" s="33"/>
      <c r="H73" s="33"/>
      <c r="I73" s="34" t="str">
        <f aca="false">IF($A73="","",$G73-$H73)</f>
        <v/>
      </c>
      <c r="J73" s="35" t="str">
        <f aca="false">IF($A73="","",IF(Setup!$B$6=1,YEAR($A73),YEAR($A73)+IF(MONTH($A73)&gt;=Setup!$B$6,1,0)))</f>
        <v/>
      </c>
      <c r="K73" s="35" t="str">
        <f aca="false">IF($A73="","",MOD(MONTH($A73)-Setup!$B$6+12,12)+1)</f>
        <v/>
      </c>
      <c r="L73" s="36" t="str">
        <f aca="false">IF($A73="","",TEXT($A73,"MMM-YY"))</f>
        <v/>
      </c>
      <c r="M73" s="37" t="str">
        <f aca="false">IF($A73="","",IF($Q73=0,"UNMAPPED",INDEX(COA_Mapping!$C$7:$C$256,$Q73)))</f>
        <v/>
      </c>
      <c r="N73" s="38" t="str">
        <f aca="false">IF($A73="","",IF($Q73=0,"",INDEX(COA_Mapping!$E$7:$E$256,$Q73)))</f>
        <v/>
      </c>
      <c r="O73" s="38" t="n">
        <f aca="false">IF($A73="",1,IF($Q73=0,1,INDEX(COA_Mapping!$F$7:$F$256,$Q73)))</f>
        <v>1</v>
      </c>
      <c r="P73" s="34" t="str">
        <f aca="false">IF($A73="","",$I73*$O73)</f>
        <v/>
      </c>
      <c r="Q73" s="39" t="n">
        <f aca="false">IF($B73="",0,IFERROR(MATCH($B73,COA_Mapping!$A$7:$A$256,0),0))</f>
        <v>0</v>
      </c>
      <c r="R73" s="39" t="n">
        <f aca="false">IF($A73="",-1,IF($J73=Setup!$B$7,1,IF($J73=Setup!$B$9,0,-1)))</f>
        <v>-1</v>
      </c>
      <c r="S73" s="35" t="n">
        <f aca="false">IF(OR($A73="",$Q73=0,$R73=-1),0,$Q73*1000+$R73*100+$K73)</f>
        <v>0</v>
      </c>
      <c r="T73" s="37" t="str">
        <f aca="false">IF($A73="","",IF($B73="","NO ACCOUNT",IF($Q73=0,"UNMAPPED",IF($R73=-1,"OUTSIDE FY RANGE","OK"))))</f>
        <v/>
      </c>
      <c r="U73" s="40" t="str">
        <f aca="false">IF($A73="","",$B73&amp;"|"&amp;TEXT($A73,"yyyymmdd")&amp;"|"&amp;TEXT($I73,"0.00"))</f>
        <v/>
      </c>
      <c r="V73" s="35" t="str">
        <f aca="false">IF($A73="","",COUNTIF($U$8:$U$5007,$U73))</f>
        <v/>
      </c>
    </row>
    <row r="74" customFormat="false" ht="15" hidden="false" customHeight="false" outlineLevel="0" collapsed="false">
      <c r="A74" s="31"/>
      <c r="B74" s="32"/>
      <c r="C74" s="32"/>
      <c r="D74" s="32"/>
      <c r="E74" s="32"/>
      <c r="F74" s="32"/>
      <c r="G74" s="33"/>
      <c r="H74" s="33"/>
      <c r="I74" s="34" t="str">
        <f aca="false">IF($A74="","",$G74-$H74)</f>
        <v/>
      </c>
      <c r="J74" s="35" t="str">
        <f aca="false">IF($A74="","",IF(Setup!$B$6=1,YEAR($A74),YEAR($A74)+IF(MONTH($A74)&gt;=Setup!$B$6,1,0)))</f>
        <v/>
      </c>
      <c r="K74" s="35" t="str">
        <f aca="false">IF($A74="","",MOD(MONTH($A74)-Setup!$B$6+12,12)+1)</f>
        <v/>
      </c>
      <c r="L74" s="36" t="str">
        <f aca="false">IF($A74="","",TEXT($A74,"MMM-YY"))</f>
        <v/>
      </c>
      <c r="M74" s="37" t="str">
        <f aca="false">IF($A74="","",IF($Q74=0,"UNMAPPED",INDEX(COA_Mapping!$C$7:$C$256,$Q74)))</f>
        <v/>
      </c>
      <c r="N74" s="38" t="str">
        <f aca="false">IF($A74="","",IF($Q74=0,"",INDEX(COA_Mapping!$E$7:$E$256,$Q74)))</f>
        <v/>
      </c>
      <c r="O74" s="38" t="n">
        <f aca="false">IF($A74="",1,IF($Q74=0,1,INDEX(COA_Mapping!$F$7:$F$256,$Q74)))</f>
        <v>1</v>
      </c>
      <c r="P74" s="34" t="str">
        <f aca="false">IF($A74="","",$I74*$O74)</f>
        <v/>
      </c>
      <c r="Q74" s="39" t="n">
        <f aca="false">IF($B74="",0,IFERROR(MATCH($B74,COA_Mapping!$A$7:$A$256,0),0))</f>
        <v>0</v>
      </c>
      <c r="R74" s="39" t="n">
        <f aca="false">IF($A74="",-1,IF($J74=Setup!$B$7,1,IF($J74=Setup!$B$9,0,-1)))</f>
        <v>-1</v>
      </c>
      <c r="S74" s="35" t="n">
        <f aca="false">IF(OR($A74="",$Q74=0,$R74=-1),0,$Q74*1000+$R74*100+$K74)</f>
        <v>0</v>
      </c>
      <c r="T74" s="37" t="str">
        <f aca="false">IF($A74="","",IF($B74="","NO ACCOUNT",IF($Q74=0,"UNMAPPED",IF($R74=-1,"OUTSIDE FY RANGE","OK"))))</f>
        <v/>
      </c>
      <c r="U74" s="40" t="str">
        <f aca="false">IF($A74="","",$B74&amp;"|"&amp;TEXT($A74,"yyyymmdd")&amp;"|"&amp;TEXT($I74,"0.00"))</f>
        <v/>
      </c>
      <c r="V74" s="35" t="str">
        <f aca="false">IF($A74="","",COUNTIF($U$8:$U$5007,$U74))</f>
        <v/>
      </c>
    </row>
    <row r="75" customFormat="false" ht="15" hidden="false" customHeight="false" outlineLevel="0" collapsed="false">
      <c r="A75" s="31"/>
      <c r="B75" s="32"/>
      <c r="C75" s="32"/>
      <c r="D75" s="32"/>
      <c r="E75" s="32"/>
      <c r="F75" s="32"/>
      <c r="G75" s="33"/>
      <c r="H75" s="33"/>
      <c r="I75" s="34" t="str">
        <f aca="false">IF($A75="","",$G75-$H75)</f>
        <v/>
      </c>
      <c r="J75" s="35" t="str">
        <f aca="false">IF($A75="","",IF(Setup!$B$6=1,YEAR($A75),YEAR($A75)+IF(MONTH($A75)&gt;=Setup!$B$6,1,0)))</f>
        <v/>
      </c>
      <c r="K75" s="35" t="str">
        <f aca="false">IF($A75="","",MOD(MONTH($A75)-Setup!$B$6+12,12)+1)</f>
        <v/>
      </c>
      <c r="L75" s="36" t="str">
        <f aca="false">IF($A75="","",TEXT($A75,"MMM-YY"))</f>
        <v/>
      </c>
      <c r="M75" s="37" t="str">
        <f aca="false">IF($A75="","",IF($Q75=0,"UNMAPPED",INDEX(COA_Mapping!$C$7:$C$256,$Q75)))</f>
        <v/>
      </c>
      <c r="N75" s="38" t="str">
        <f aca="false">IF($A75="","",IF($Q75=0,"",INDEX(COA_Mapping!$E$7:$E$256,$Q75)))</f>
        <v/>
      </c>
      <c r="O75" s="38" t="n">
        <f aca="false">IF($A75="",1,IF($Q75=0,1,INDEX(COA_Mapping!$F$7:$F$256,$Q75)))</f>
        <v>1</v>
      </c>
      <c r="P75" s="34" t="str">
        <f aca="false">IF($A75="","",$I75*$O75)</f>
        <v/>
      </c>
      <c r="Q75" s="39" t="n">
        <f aca="false">IF($B75="",0,IFERROR(MATCH($B75,COA_Mapping!$A$7:$A$256,0),0))</f>
        <v>0</v>
      </c>
      <c r="R75" s="39" t="n">
        <f aca="false">IF($A75="",-1,IF($J75=Setup!$B$7,1,IF($J75=Setup!$B$9,0,-1)))</f>
        <v>-1</v>
      </c>
      <c r="S75" s="35" t="n">
        <f aca="false">IF(OR($A75="",$Q75=0,$R75=-1),0,$Q75*1000+$R75*100+$K75)</f>
        <v>0</v>
      </c>
      <c r="T75" s="37" t="str">
        <f aca="false">IF($A75="","",IF($B75="","NO ACCOUNT",IF($Q75=0,"UNMAPPED",IF($R75=-1,"OUTSIDE FY RANGE","OK"))))</f>
        <v/>
      </c>
      <c r="U75" s="40" t="str">
        <f aca="false">IF($A75="","",$B75&amp;"|"&amp;TEXT($A75,"yyyymmdd")&amp;"|"&amp;TEXT($I75,"0.00"))</f>
        <v/>
      </c>
      <c r="V75" s="35" t="str">
        <f aca="false">IF($A75="","",COUNTIF($U$8:$U$5007,$U75))</f>
        <v/>
      </c>
    </row>
    <row r="76" customFormat="false" ht="15" hidden="false" customHeight="false" outlineLevel="0" collapsed="false">
      <c r="A76" s="31"/>
      <c r="B76" s="32"/>
      <c r="C76" s="32"/>
      <c r="D76" s="32"/>
      <c r="E76" s="32"/>
      <c r="F76" s="32"/>
      <c r="G76" s="33"/>
      <c r="H76" s="33"/>
      <c r="I76" s="34" t="str">
        <f aca="false">IF($A76="","",$G76-$H76)</f>
        <v/>
      </c>
      <c r="J76" s="35" t="str">
        <f aca="false">IF($A76="","",IF(Setup!$B$6=1,YEAR($A76),YEAR($A76)+IF(MONTH($A76)&gt;=Setup!$B$6,1,0)))</f>
        <v/>
      </c>
      <c r="K76" s="35" t="str">
        <f aca="false">IF($A76="","",MOD(MONTH($A76)-Setup!$B$6+12,12)+1)</f>
        <v/>
      </c>
      <c r="L76" s="36" t="str">
        <f aca="false">IF($A76="","",TEXT($A76,"MMM-YY"))</f>
        <v/>
      </c>
      <c r="M76" s="37" t="str">
        <f aca="false">IF($A76="","",IF($Q76=0,"UNMAPPED",INDEX(COA_Mapping!$C$7:$C$256,$Q76)))</f>
        <v/>
      </c>
      <c r="N76" s="38" t="str">
        <f aca="false">IF($A76="","",IF($Q76=0,"",INDEX(COA_Mapping!$E$7:$E$256,$Q76)))</f>
        <v/>
      </c>
      <c r="O76" s="38" t="n">
        <f aca="false">IF($A76="",1,IF($Q76=0,1,INDEX(COA_Mapping!$F$7:$F$256,$Q76)))</f>
        <v>1</v>
      </c>
      <c r="P76" s="34" t="str">
        <f aca="false">IF($A76="","",$I76*$O76)</f>
        <v/>
      </c>
      <c r="Q76" s="39" t="n">
        <f aca="false">IF($B76="",0,IFERROR(MATCH($B76,COA_Mapping!$A$7:$A$256,0),0))</f>
        <v>0</v>
      </c>
      <c r="R76" s="39" t="n">
        <f aca="false">IF($A76="",-1,IF($J76=Setup!$B$7,1,IF($J76=Setup!$B$9,0,-1)))</f>
        <v>-1</v>
      </c>
      <c r="S76" s="35" t="n">
        <f aca="false">IF(OR($A76="",$Q76=0,$R76=-1),0,$Q76*1000+$R76*100+$K76)</f>
        <v>0</v>
      </c>
      <c r="T76" s="37" t="str">
        <f aca="false">IF($A76="","",IF($B76="","NO ACCOUNT",IF($Q76=0,"UNMAPPED",IF($R76=-1,"OUTSIDE FY RANGE","OK"))))</f>
        <v/>
      </c>
      <c r="U76" s="40" t="str">
        <f aca="false">IF($A76="","",$B76&amp;"|"&amp;TEXT($A76,"yyyymmdd")&amp;"|"&amp;TEXT($I76,"0.00"))</f>
        <v/>
      </c>
      <c r="V76" s="35" t="str">
        <f aca="false">IF($A76="","",COUNTIF($U$8:$U$5007,$U76))</f>
        <v/>
      </c>
    </row>
    <row r="77" customFormat="false" ht="15" hidden="false" customHeight="false" outlineLevel="0" collapsed="false">
      <c r="A77" s="31"/>
      <c r="B77" s="32"/>
      <c r="C77" s="32"/>
      <c r="D77" s="32"/>
      <c r="E77" s="32"/>
      <c r="F77" s="32"/>
      <c r="G77" s="33"/>
      <c r="H77" s="33"/>
      <c r="I77" s="34" t="str">
        <f aca="false">IF($A77="","",$G77-$H77)</f>
        <v/>
      </c>
      <c r="J77" s="35" t="str">
        <f aca="false">IF($A77="","",IF(Setup!$B$6=1,YEAR($A77),YEAR($A77)+IF(MONTH($A77)&gt;=Setup!$B$6,1,0)))</f>
        <v/>
      </c>
      <c r="K77" s="35" t="str">
        <f aca="false">IF($A77="","",MOD(MONTH($A77)-Setup!$B$6+12,12)+1)</f>
        <v/>
      </c>
      <c r="L77" s="36" t="str">
        <f aca="false">IF($A77="","",TEXT($A77,"MMM-YY"))</f>
        <v/>
      </c>
      <c r="M77" s="37" t="str">
        <f aca="false">IF($A77="","",IF($Q77=0,"UNMAPPED",INDEX(COA_Mapping!$C$7:$C$256,$Q77)))</f>
        <v/>
      </c>
      <c r="N77" s="38" t="str">
        <f aca="false">IF($A77="","",IF($Q77=0,"",INDEX(COA_Mapping!$E$7:$E$256,$Q77)))</f>
        <v/>
      </c>
      <c r="O77" s="38" t="n">
        <f aca="false">IF($A77="",1,IF($Q77=0,1,INDEX(COA_Mapping!$F$7:$F$256,$Q77)))</f>
        <v>1</v>
      </c>
      <c r="P77" s="34" t="str">
        <f aca="false">IF($A77="","",$I77*$O77)</f>
        <v/>
      </c>
      <c r="Q77" s="39" t="n">
        <f aca="false">IF($B77="",0,IFERROR(MATCH($B77,COA_Mapping!$A$7:$A$256,0),0))</f>
        <v>0</v>
      </c>
      <c r="R77" s="39" t="n">
        <f aca="false">IF($A77="",-1,IF($J77=Setup!$B$7,1,IF($J77=Setup!$B$9,0,-1)))</f>
        <v>-1</v>
      </c>
      <c r="S77" s="35" t="n">
        <f aca="false">IF(OR($A77="",$Q77=0,$R77=-1),0,$Q77*1000+$R77*100+$K77)</f>
        <v>0</v>
      </c>
      <c r="T77" s="37" t="str">
        <f aca="false">IF($A77="","",IF($B77="","NO ACCOUNT",IF($Q77=0,"UNMAPPED",IF($R77=-1,"OUTSIDE FY RANGE","OK"))))</f>
        <v/>
      </c>
      <c r="U77" s="40" t="str">
        <f aca="false">IF($A77="","",$B77&amp;"|"&amp;TEXT($A77,"yyyymmdd")&amp;"|"&amp;TEXT($I77,"0.00"))</f>
        <v/>
      </c>
      <c r="V77" s="35" t="str">
        <f aca="false">IF($A77="","",COUNTIF($U$8:$U$5007,$U77))</f>
        <v/>
      </c>
    </row>
    <row r="78" customFormat="false" ht="15" hidden="false" customHeight="false" outlineLevel="0" collapsed="false">
      <c r="A78" s="31"/>
      <c r="B78" s="32"/>
      <c r="C78" s="32"/>
      <c r="D78" s="32"/>
      <c r="E78" s="32"/>
      <c r="F78" s="32"/>
      <c r="G78" s="33"/>
      <c r="H78" s="33"/>
      <c r="I78" s="34" t="str">
        <f aca="false">IF($A78="","",$G78-$H78)</f>
        <v/>
      </c>
      <c r="J78" s="35" t="str">
        <f aca="false">IF($A78="","",IF(Setup!$B$6=1,YEAR($A78),YEAR($A78)+IF(MONTH($A78)&gt;=Setup!$B$6,1,0)))</f>
        <v/>
      </c>
      <c r="K78" s="35" t="str">
        <f aca="false">IF($A78="","",MOD(MONTH($A78)-Setup!$B$6+12,12)+1)</f>
        <v/>
      </c>
      <c r="L78" s="36" t="str">
        <f aca="false">IF($A78="","",TEXT($A78,"MMM-YY"))</f>
        <v/>
      </c>
      <c r="M78" s="37" t="str">
        <f aca="false">IF($A78="","",IF($Q78=0,"UNMAPPED",INDEX(COA_Mapping!$C$7:$C$256,$Q78)))</f>
        <v/>
      </c>
      <c r="N78" s="38" t="str">
        <f aca="false">IF($A78="","",IF($Q78=0,"",INDEX(COA_Mapping!$E$7:$E$256,$Q78)))</f>
        <v/>
      </c>
      <c r="O78" s="38" t="n">
        <f aca="false">IF($A78="",1,IF($Q78=0,1,INDEX(COA_Mapping!$F$7:$F$256,$Q78)))</f>
        <v>1</v>
      </c>
      <c r="P78" s="34" t="str">
        <f aca="false">IF($A78="","",$I78*$O78)</f>
        <v/>
      </c>
      <c r="Q78" s="39" t="n">
        <f aca="false">IF($B78="",0,IFERROR(MATCH($B78,COA_Mapping!$A$7:$A$256,0),0))</f>
        <v>0</v>
      </c>
      <c r="R78" s="39" t="n">
        <f aca="false">IF($A78="",-1,IF($J78=Setup!$B$7,1,IF($J78=Setup!$B$9,0,-1)))</f>
        <v>-1</v>
      </c>
      <c r="S78" s="35" t="n">
        <f aca="false">IF(OR($A78="",$Q78=0,$R78=-1),0,$Q78*1000+$R78*100+$K78)</f>
        <v>0</v>
      </c>
      <c r="T78" s="37" t="str">
        <f aca="false">IF($A78="","",IF($B78="","NO ACCOUNT",IF($Q78=0,"UNMAPPED",IF($R78=-1,"OUTSIDE FY RANGE","OK"))))</f>
        <v/>
      </c>
      <c r="U78" s="40" t="str">
        <f aca="false">IF($A78="","",$B78&amp;"|"&amp;TEXT($A78,"yyyymmdd")&amp;"|"&amp;TEXT($I78,"0.00"))</f>
        <v/>
      </c>
      <c r="V78" s="35" t="str">
        <f aca="false">IF($A78="","",COUNTIF($U$8:$U$5007,$U78))</f>
        <v/>
      </c>
    </row>
    <row r="79" customFormat="false" ht="15" hidden="false" customHeight="false" outlineLevel="0" collapsed="false">
      <c r="A79" s="31"/>
      <c r="B79" s="32"/>
      <c r="C79" s="32"/>
      <c r="D79" s="32"/>
      <c r="E79" s="32"/>
      <c r="F79" s="32"/>
      <c r="G79" s="33"/>
      <c r="H79" s="33"/>
      <c r="I79" s="34" t="str">
        <f aca="false">IF($A79="","",$G79-$H79)</f>
        <v/>
      </c>
      <c r="J79" s="35" t="str">
        <f aca="false">IF($A79="","",IF(Setup!$B$6=1,YEAR($A79),YEAR($A79)+IF(MONTH($A79)&gt;=Setup!$B$6,1,0)))</f>
        <v/>
      </c>
      <c r="K79" s="35" t="str">
        <f aca="false">IF($A79="","",MOD(MONTH($A79)-Setup!$B$6+12,12)+1)</f>
        <v/>
      </c>
      <c r="L79" s="36" t="str">
        <f aca="false">IF($A79="","",TEXT($A79,"MMM-YY"))</f>
        <v/>
      </c>
      <c r="M79" s="37" t="str">
        <f aca="false">IF($A79="","",IF($Q79=0,"UNMAPPED",INDEX(COA_Mapping!$C$7:$C$256,$Q79)))</f>
        <v/>
      </c>
      <c r="N79" s="38" t="str">
        <f aca="false">IF($A79="","",IF($Q79=0,"",INDEX(COA_Mapping!$E$7:$E$256,$Q79)))</f>
        <v/>
      </c>
      <c r="O79" s="38" t="n">
        <f aca="false">IF($A79="",1,IF($Q79=0,1,INDEX(COA_Mapping!$F$7:$F$256,$Q79)))</f>
        <v>1</v>
      </c>
      <c r="P79" s="34" t="str">
        <f aca="false">IF($A79="","",$I79*$O79)</f>
        <v/>
      </c>
      <c r="Q79" s="39" t="n">
        <f aca="false">IF($B79="",0,IFERROR(MATCH($B79,COA_Mapping!$A$7:$A$256,0),0))</f>
        <v>0</v>
      </c>
      <c r="R79" s="39" t="n">
        <f aca="false">IF($A79="",-1,IF($J79=Setup!$B$7,1,IF($J79=Setup!$B$9,0,-1)))</f>
        <v>-1</v>
      </c>
      <c r="S79" s="35" t="n">
        <f aca="false">IF(OR($A79="",$Q79=0,$R79=-1),0,$Q79*1000+$R79*100+$K79)</f>
        <v>0</v>
      </c>
      <c r="T79" s="37" t="str">
        <f aca="false">IF($A79="","",IF($B79="","NO ACCOUNT",IF($Q79=0,"UNMAPPED",IF($R79=-1,"OUTSIDE FY RANGE","OK"))))</f>
        <v/>
      </c>
      <c r="U79" s="40" t="str">
        <f aca="false">IF($A79="","",$B79&amp;"|"&amp;TEXT($A79,"yyyymmdd")&amp;"|"&amp;TEXT($I79,"0.00"))</f>
        <v/>
      </c>
      <c r="V79" s="35" t="str">
        <f aca="false">IF($A79="","",COUNTIF($U$8:$U$5007,$U79))</f>
        <v/>
      </c>
    </row>
    <row r="80" customFormat="false" ht="15" hidden="false" customHeight="false" outlineLevel="0" collapsed="false">
      <c r="A80" s="31"/>
      <c r="B80" s="32"/>
      <c r="C80" s="32"/>
      <c r="D80" s="32"/>
      <c r="E80" s="32"/>
      <c r="F80" s="32"/>
      <c r="G80" s="33"/>
      <c r="H80" s="33"/>
      <c r="I80" s="34" t="str">
        <f aca="false">IF($A80="","",$G80-$H80)</f>
        <v/>
      </c>
      <c r="J80" s="35" t="str">
        <f aca="false">IF($A80="","",IF(Setup!$B$6=1,YEAR($A80),YEAR($A80)+IF(MONTH($A80)&gt;=Setup!$B$6,1,0)))</f>
        <v/>
      </c>
      <c r="K80" s="35" t="str">
        <f aca="false">IF($A80="","",MOD(MONTH($A80)-Setup!$B$6+12,12)+1)</f>
        <v/>
      </c>
      <c r="L80" s="36" t="str">
        <f aca="false">IF($A80="","",TEXT($A80,"MMM-YY"))</f>
        <v/>
      </c>
      <c r="M80" s="37" t="str">
        <f aca="false">IF($A80="","",IF($Q80=0,"UNMAPPED",INDEX(COA_Mapping!$C$7:$C$256,$Q80)))</f>
        <v/>
      </c>
      <c r="N80" s="38" t="str">
        <f aca="false">IF($A80="","",IF($Q80=0,"",INDEX(COA_Mapping!$E$7:$E$256,$Q80)))</f>
        <v/>
      </c>
      <c r="O80" s="38" t="n">
        <f aca="false">IF($A80="",1,IF($Q80=0,1,INDEX(COA_Mapping!$F$7:$F$256,$Q80)))</f>
        <v>1</v>
      </c>
      <c r="P80" s="34" t="str">
        <f aca="false">IF($A80="","",$I80*$O80)</f>
        <v/>
      </c>
      <c r="Q80" s="39" t="n">
        <f aca="false">IF($B80="",0,IFERROR(MATCH($B80,COA_Mapping!$A$7:$A$256,0),0))</f>
        <v>0</v>
      </c>
      <c r="R80" s="39" t="n">
        <f aca="false">IF($A80="",-1,IF($J80=Setup!$B$7,1,IF($J80=Setup!$B$9,0,-1)))</f>
        <v>-1</v>
      </c>
      <c r="S80" s="35" t="n">
        <f aca="false">IF(OR($A80="",$Q80=0,$R80=-1),0,$Q80*1000+$R80*100+$K80)</f>
        <v>0</v>
      </c>
      <c r="T80" s="37" t="str">
        <f aca="false">IF($A80="","",IF($B80="","NO ACCOUNT",IF($Q80=0,"UNMAPPED",IF($R80=-1,"OUTSIDE FY RANGE","OK"))))</f>
        <v/>
      </c>
      <c r="U80" s="40" t="str">
        <f aca="false">IF($A80="","",$B80&amp;"|"&amp;TEXT($A80,"yyyymmdd")&amp;"|"&amp;TEXT($I80,"0.00"))</f>
        <v/>
      </c>
      <c r="V80" s="35" t="str">
        <f aca="false">IF($A80="","",COUNTIF($U$8:$U$5007,$U80))</f>
        <v/>
      </c>
    </row>
    <row r="81" customFormat="false" ht="15" hidden="false" customHeight="false" outlineLevel="0" collapsed="false">
      <c r="A81" s="31"/>
      <c r="B81" s="32"/>
      <c r="C81" s="32"/>
      <c r="D81" s="32"/>
      <c r="E81" s="32"/>
      <c r="F81" s="32"/>
      <c r="G81" s="33"/>
      <c r="H81" s="33"/>
      <c r="I81" s="34" t="str">
        <f aca="false">IF($A81="","",$G81-$H81)</f>
        <v/>
      </c>
      <c r="J81" s="35" t="str">
        <f aca="false">IF($A81="","",IF(Setup!$B$6=1,YEAR($A81),YEAR($A81)+IF(MONTH($A81)&gt;=Setup!$B$6,1,0)))</f>
        <v/>
      </c>
      <c r="K81" s="35" t="str">
        <f aca="false">IF($A81="","",MOD(MONTH($A81)-Setup!$B$6+12,12)+1)</f>
        <v/>
      </c>
      <c r="L81" s="36" t="str">
        <f aca="false">IF($A81="","",TEXT($A81,"MMM-YY"))</f>
        <v/>
      </c>
      <c r="M81" s="37" t="str">
        <f aca="false">IF($A81="","",IF($Q81=0,"UNMAPPED",INDEX(COA_Mapping!$C$7:$C$256,$Q81)))</f>
        <v/>
      </c>
      <c r="N81" s="38" t="str">
        <f aca="false">IF($A81="","",IF($Q81=0,"",INDEX(COA_Mapping!$E$7:$E$256,$Q81)))</f>
        <v/>
      </c>
      <c r="O81" s="38" t="n">
        <f aca="false">IF($A81="",1,IF($Q81=0,1,INDEX(COA_Mapping!$F$7:$F$256,$Q81)))</f>
        <v>1</v>
      </c>
      <c r="P81" s="34" t="str">
        <f aca="false">IF($A81="","",$I81*$O81)</f>
        <v/>
      </c>
      <c r="Q81" s="39" t="n">
        <f aca="false">IF($B81="",0,IFERROR(MATCH($B81,COA_Mapping!$A$7:$A$256,0),0))</f>
        <v>0</v>
      </c>
      <c r="R81" s="39" t="n">
        <f aca="false">IF($A81="",-1,IF($J81=Setup!$B$7,1,IF($J81=Setup!$B$9,0,-1)))</f>
        <v>-1</v>
      </c>
      <c r="S81" s="35" t="n">
        <f aca="false">IF(OR($A81="",$Q81=0,$R81=-1),0,$Q81*1000+$R81*100+$K81)</f>
        <v>0</v>
      </c>
      <c r="T81" s="37" t="str">
        <f aca="false">IF($A81="","",IF($B81="","NO ACCOUNT",IF($Q81=0,"UNMAPPED",IF($R81=-1,"OUTSIDE FY RANGE","OK"))))</f>
        <v/>
      </c>
      <c r="U81" s="40" t="str">
        <f aca="false">IF($A81="","",$B81&amp;"|"&amp;TEXT($A81,"yyyymmdd")&amp;"|"&amp;TEXT($I81,"0.00"))</f>
        <v/>
      </c>
      <c r="V81" s="35" t="str">
        <f aca="false">IF($A81="","",COUNTIF($U$8:$U$5007,$U81))</f>
        <v/>
      </c>
    </row>
    <row r="82" customFormat="false" ht="15" hidden="false" customHeight="false" outlineLevel="0" collapsed="false">
      <c r="A82" s="31"/>
      <c r="B82" s="32"/>
      <c r="C82" s="32"/>
      <c r="D82" s="32"/>
      <c r="E82" s="32"/>
      <c r="F82" s="32"/>
      <c r="G82" s="33"/>
      <c r="H82" s="33"/>
      <c r="I82" s="34" t="str">
        <f aca="false">IF($A82="","",$G82-$H82)</f>
        <v/>
      </c>
      <c r="J82" s="35" t="str">
        <f aca="false">IF($A82="","",IF(Setup!$B$6=1,YEAR($A82),YEAR($A82)+IF(MONTH($A82)&gt;=Setup!$B$6,1,0)))</f>
        <v/>
      </c>
      <c r="K82" s="35" t="str">
        <f aca="false">IF($A82="","",MOD(MONTH($A82)-Setup!$B$6+12,12)+1)</f>
        <v/>
      </c>
      <c r="L82" s="36" t="str">
        <f aca="false">IF($A82="","",TEXT($A82,"MMM-YY"))</f>
        <v/>
      </c>
      <c r="M82" s="37" t="str">
        <f aca="false">IF($A82="","",IF($Q82=0,"UNMAPPED",INDEX(COA_Mapping!$C$7:$C$256,$Q82)))</f>
        <v/>
      </c>
      <c r="N82" s="38" t="str">
        <f aca="false">IF($A82="","",IF($Q82=0,"",INDEX(COA_Mapping!$E$7:$E$256,$Q82)))</f>
        <v/>
      </c>
      <c r="O82" s="38" t="n">
        <f aca="false">IF($A82="",1,IF($Q82=0,1,INDEX(COA_Mapping!$F$7:$F$256,$Q82)))</f>
        <v>1</v>
      </c>
      <c r="P82" s="34" t="str">
        <f aca="false">IF($A82="","",$I82*$O82)</f>
        <v/>
      </c>
      <c r="Q82" s="39" t="n">
        <f aca="false">IF($B82="",0,IFERROR(MATCH($B82,COA_Mapping!$A$7:$A$256,0),0))</f>
        <v>0</v>
      </c>
      <c r="R82" s="39" t="n">
        <f aca="false">IF($A82="",-1,IF($J82=Setup!$B$7,1,IF($J82=Setup!$B$9,0,-1)))</f>
        <v>-1</v>
      </c>
      <c r="S82" s="35" t="n">
        <f aca="false">IF(OR($A82="",$Q82=0,$R82=-1),0,$Q82*1000+$R82*100+$K82)</f>
        <v>0</v>
      </c>
      <c r="T82" s="37" t="str">
        <f aca="false">IF($A82="","",IF($B82="","NO ACCOUNT",IF($Q82=0,"UNMAPPED",IF($R82=-1,"OUTSIDE FY RANGE","OK"))))</f>
        <v/>
      </c>
      <c r="U82" s="40" t="str">
        <f aca="false">IF($A82="","",$B82&amp;"|"&amp;TEXT($A82,"yyyymmdd")&amp;"|"&amp;TEXT($I82,"0.00"))</f>
        <v/>
      </c>
      <c r="V82" s="35" t="str">
        <f aca="false">IF($A82="","",COUNTIF($U$8:$U$5007,$U82))</f>
        <v/>
      </c>
    </row>
    <row r="83" customFormat="false" ht="15" hidden="false" customHeight="false" outlineLevel="0" collapsed="false">
      <c r="A83" s="31"/>
      <c r="B83" s="32"/>
      <c r="C83" s="32"/>
      <c r="D83" s="32"/>
      <c r="E83" s="32"/>
      <c r="F83" s="32"/>
      <c r="G83" s="33"/>
      <c r="H83" s="33"/>
      <c r="I83" s="34" t="str">
        <f aca="false">IF($A83="","",$G83-$H83)</f>
        <v/>
      </c>
      <c r="J83" s="35" t="str">
        <f aca="false">IF($A83="","",IF(Setup!$B$6=1,YEAR($A83),YEAR($A83)+IF(MONTH($A83)&gt;=Setup!$B$6,1,0)))</f>
        <v/>
      </c>
      <c r="K83" s="35" t="str">
        <f aca="false">IF($A83="","",MOD(MONTH($A83)-Setup!$B$6+12,12)+1)</f>
        <v/>
      </c>
      <c r="L83" s="36" t="str">
        <f aca="false">IF($A83="","",TEXT($A83,"MMM-YY"))</f>
        <v/>
      </c>
      <c r="M83" s="37" t="str">
        <f aca="false">IF($A83="","",IF($Q83=0,"UNMAPPED",INDEX(COA_Mapping!$C$7:$C$256,$Q83)))</f>
        <v/>
      </c>
      <c r="N83" s="38" t="str">
        <f aca="false">IF($A83="","",IF($Q83=0,"",INDEX(COA_Mapping!$E$7:$E$256,$Q83)))</f>
        <v/>
      </c>
      <c r="O83" s="38" t="n">
        <f aca="false">IF($A83="",1,IF($Q83=0,1,INDEX(COA_Mapping!$F$7:$F$256,$Q83)))</f>
        <v>1</v>
      </c>
      <c r="P83" s="34" t="str">
        <f aca="false">IF($A83="","",$I83*$O83)</f>
        <v/>
      </c>
      <c r="Q83" s="39" t="n">
        <f aca="false">IF($B83="",0,IFERROR(MATCH($B83,COA_Mapping!$A$7:$A$256,0),0))</f>
        <v>0</v>
      </c>
      <c r="R83" s="39" t="n">
        <f aca="false">IF($A83="",-1,IF($J83=Setup!$B$7,1,IF($J83=Setup!$B$9,0,-1)))</f>
        <v>-1</v>
      </c>
      <c r="S83" s="35" t="n">
        <f aca="false">IF(OR($A83="",$Q83=0,$R83=-1),0,$Q83*1000+$R83*100+$K83)</f>
        <v>0</v>
      </c>
      <c r="T83" s="37" t="str">
        <f aca="false">IF($A83="","",IF($B83="","NO ACCOUNT",IF($Q83=0,"UNMAPPED",IF($R83=-1,"OUTSIDE FY RANGE","OK"))))</f>
        <v/>
      </c>
      <c r="U83" s="40" t="str">
        <f aca="false">IF($A83="","",$B83&amp;"|"&amp;TEXT($A83,"yyyymmdd")&amp;"|"&amp;TEXT($I83,"0.00"))</f>
        <v/>
      </c>
      <c r="V83" s="35" t="str">
        <f aca="false">IF($A83="","",COUNTIF($U$8:$U$5007,$U83))</f>
        <v/>
      </c>
    </row>
    <row r="84" customFormat="false" ht="15" hidden="false" customHeight="false" outlineLevel="0" collapsed="false">
      <c r="A84" s="31"/>
      <c r="B84" s="32"/>
      <c r="C84" s="32"/>
      <c r="D84" s="32"/>
      <c r="E84" s="32"/>
      <c r="F84" s="32"/>
      <c r="G84" s="33"/>
      <c r="H84" s="33"/>
      <c r="I84" s="34" t="str">
        <f aca="false">IF($A84="","",$G84-$H84)</f>
        <v/>
      </c>
      <c r="J84" s="35" t="str">
        <f aca="false">IF($A84="","",IF(Setup!$B$6=1,YEAR($A84),YEAR($A84)+IF(MONTH($A84)&gt;=Setup!$B$6,1,0)))</f>
        <v/>
      </c>
      <c r="K84" s="35" t="str">
        <f aca="false">IF($A84="","",MOD(MONTH($A84)-Setup!$B$6+12,12)+1)</f>
        <v/>
      </c>
      <c r="L84" s="36" t="str">
        <f aca="false">IF($A84="","",TEXT($A84,"MMM-YY"))</f>
        <v/>
      </c>
      <c r="M84" s="37" t="str">
        <f aca="false">IF($A84="","",IF($Q84=0,"UNMAPPED",INDEX(COA_Mapping!$C$7:$C$256,$Q84)))</f>
        <v/>
      </c>
      <c r="N84" s="38" t="str">
        <f aca="false">IF($A84="","",IF($Q84=0,"",INDEX(COA_Mapping!$E$7:$E$256,$Q84)))</f>
        <v/>
      </c>
      <c r="O84" s="38" t="n">
        <f aca="false">IF($A84="",1,IF($Q84=0,1,INDEX(COA_Mapping!$F$7:$F$256,$Q84)))</f>
        <v>1</v>
      </c>
      <c r="P84" s="34" t="str">
        <f aca="false">IF($A84="","",$I84*$O84)</f>
        <v/>
      </c>
      <c r="Q84" s="39" t="n">
        <f aca="false">IF($B84="",0,IFERROR(MATCH($B84,COA_Mapping!$A$7:$A$256,0),0))</f>
        <v>0</v>
      </c>
      <c r="R84" s="39" t="n">
        <f aca="false">IF($A84="",-1,IF($J84=Setup!$B$7,1,IF($J84=Setup!$B$9,0,-1)))</f>
        <v>-1</v>
      </c>
      <c r="S84" s="35" t="n">
        <f aca="false">IF(OR($A84="",$Q84=0,$R84=-1),0,$Q84*1000+$R84*100+$K84)</f>
        <v>0</v>
      </c>
      <c r="T84" s="37" t="str">
        <f aca="false">IF($A84="","",IF($B84="","NO ACCOUNT",IF($Q84=0,"UNMAPPED",IF($R84=-1,"OUTSIDE FY RANGE","OK"))))</f>
        <v/>
      </c>
      <c r="U84" s="40" t="str">
        <f aca="false">IF($A84="","",$B84&amp;"|"&amp;TEXT($A84,"yyyymmdd")&amp;"|"&amp;TEXT($I84,"0.00"))</f>
        <v/>
      </c>
      <c r="V84" s="35" t="str">
        <f aca="false">IF($A84="","",COUNTIF($U$8:$U$5007,$U84))</f>
        <v/>
      </c>
    </row>
    <row r="85" customFormat="false" ht="15" hidden="false" customHeight="false" outlineLevel="0" collapsed="false">
      <c r="A85" s="31"/>
      <c r="B85" s="32"/>
      <c r="C85" s="32"/>
      <c r="D85" s="32"/>
      <c r="E85" s="32"/>
      <c r="F85" s="32"/>
      <c r="G85" s="33"/>
      <c r="H85" s="33"/>
      <c r="I85" s="34" t="str">
        <f aca="false">IF($A85="","",$G85-$H85)</f>
        <v/>
      </c>
      <c r="J85" s="35" t="str">
        <f aca="false">IF($A85="","",IF(Setup!$B$6=1,YEAR($A85),YEAR($A85)+IF(MONTH($A85)&gt;=Setup!$B$6,1,0)))</f>
        <v/>
      </c>
      <c r="K85" s="35" t="str">
        <f aca="false">IF($A85="","",MOD(MONTH($A85)-Setup!$B$6+12,12)+1)</f>
        <v/>
      </c>
      <c r="L85" s="36" t="str">
        <f aca="false">IF($A85="","",TEXT($A85,"MMM-YY"))</f>
        <v/>
      </c>
      <c r="M85" s="37" t="str">
        <f aca="false">IF($A85="","",IF($Q85=0,"UNMAPPED",INDEX(COA_Mapping!$C$7:$C$256,$Q85)))</f>
        <v/>
      </c>
      <c r="N85" s="38" t="str">
        <f aca="false">IF($A85="","",IF($Q85=0,"",INDEX(COA_Mapping!$E$7:$E$256,$Q85)))</f>
        <v/>
      </c>
      <c r="O85" s="38" t="n">
        <f aca="false">IF($A85="",1,IF($Q85=0,1,INDEX(COA_Mapping!$F$7:$F$256,$Q85)))</f>
        <v>1</v>
      </c>
      <c r="P85" s="34" t="str">
        <f aca="false">IF($A85="","",$I85*$O85)</f>
        <v/>
      </c>
      <c r="Q85" s="39" t="n">
        <f aca="false">IF($B85="",0,IFERROR(MATCH($B85,COA_Mapping!$A$7:$A$256,0),0))</f>
        <v>0</v>
      </c>
      <c r="R85" s="39" t="n">
        <f aca="false">IF($A85="",-1,IF($J85=Setup!$B$7,1,IF($J85=Setup!$B$9,0,-1)))</f>
        <v>-1</v>
      </c>
      <c r="S85" s="35" t="n">
        <f aca="false">IF(OR($A85="",$Q85=0,$R85=-1),0,$Q85*1000+$R85*100+$K85)</f>
        <v>0</v>
      </c>
      <c r="T85" s="37" t="str">
        <f aca="false">IF($A85="","",IF($B85="","NO ACCOUNT",IF($Q85=0,"UNMAPPED",IF($R85=-1,"OUTSIDE FY RANGE","OK"))))</f>
        <v/>
      </c>
      <c r="U85" s="40" t="str">
        <f aca="false">IF($A85="","",$B85&amp;"|"&amp;TEXT($A85,"yyyymmdd")&amp;"|"&amp;TEXT($I85,"0.00"))</f>
        <v/>
      </c>
      <c r="V85" s="35" t="str">
        <f aca="false">IF($A85="","",COUNTIF($U$8:$U$5007,$U85))</f>
        <v/>
      </c>
    </row>
    <row r="86" customFormat="false" ht="15" hidden="false" customHeight="false" outlineLevel="0" collapsed="false">
      <c r="A86" s="31"/>
      <c r="B86" s="32"/>
      <c r="C86" s="32"/>
      <c r="D86" s="32"/>
      <c r="E86" s="32"/>
      <c r="F86" s="32"/>
      <c r="G86" s="33"/>
      <c r="H86" s="33"/>
      <c r="I86" s="34" t="str">
        <f aca="false">IF($A86="","",$G86-$H86)</f>
        <v/>
      </c>
      <c r="J86" s="35" t="str">
        <f aca="false">IF($A86="","",IF(Setup!$B$6=1,YEAR($A86),YEAR($A86)+IF(MONTH($A86)&gt;=Setup!$B$6,1,0)))</f>
        <v/>
      </c>
      <c r="K86" s="35" t="str">
        <f aca="false">IF($A86="","",MOD(MONTH($A86)-Setup!$B$6+12,12)+1)</f>
        <v/>
      </c>
      <c r="L86" s="36" t="str">
        <f aca="false">IF($A86="","",TEXT($A86,"MMM-YY"))</f>
        <v/>
      </c>
      <c r="M86" s="37" t="str">
        <f aca="false">IF($A86="","",IF($Q86=0,"UNMAPPED",INDEX(COA_Mapping!$C$7:$C$256,$Q86)))</f>
        <v/>
      </c>
      <c r="N86" s="38" t="str">
        <f aca="false">IF($A86="","",IF($Q86=0,"",INDEX(COA_Mapping!$E$7:$E$256,$Q86)))</f>
        <v/>
      </c>
      <c r="O86" s="38" t="n">
        <f aca="false">IF($A86="",1,IF($Q86=0,1,INDEX(COA_Mapping!$F$7:$F$256,$Q86)))</f>
        <v>1</v>
      </c>
      <c r="P86" s="34" t="str">
        <f aca="false">IF($A86="","",$I86*$O86)</f>
        <v/>
      </c>
      <c r="Q86" s="39" t="n">
        <f aca="false">IF($B86="",0,IFERROR(MATCH($B86,COA_Mapping!$A$7:$A$256,0),0))</f>
        <v>0</v>
      </c>
      <c r="R86" s="39" t="n">
        <f aca="false">IF($A86="",-1,IF($J86=Setup!$B$7,1,IF($J86=Setup!$B$9,0,-1)))</f>
        <v>-1</v>
      </c>
      <c r="S86" s="35" t="n">
        <f aca="false">IF(OR($A86="",$Q86=0,$R86=-1),0,$Q86*1000+$R86*100+$K86)</f>
        <v>0</v>
      </c>
      <c r="T86" s="37" t="str">
        <f aca="false">IF($A86="","",IF($B86="","NO ACCOUNT",IF($Q86=0,"UNMAPPED",IF($R86=-1,"OUTSIDE FY RANGE","OK"))))</f>
        <v/>
      </c>
      <c r="U86" s="40" t="str">
        <f aca="false">IF($A86="","",$B86&amp;"|"&amp;TEXT($A86,"yyyymmdd")&amp;"|"&amp;TEXT($I86,"0.00"))</f>
        <v/>
      </c>
      <c r="V86" s="35" t="str">
        <f aca="false">IF($A86="","",COUNTIF($U$8:$U$5007,$U86))</f>
        <v/>
      </c>
    </row>
    <row r="87" customFormat="false" ht="15" hidden="false" customHeight="false" outlineLevel="0" collapsed="false">
      <c r="A87" s="31"/>
      <c r="B87" s="32"/>
      <c r="C87" s="32"/>
      <c r="D87" s="32"/>
      <c r="E87" s="32"/>
      <c r="F87" s="32"/>
      <c r="G87" s="33"/>
      <c r="H87" s="33"/>
      <c r="I87" s="34" t="str">
        <f aca="false">IF($A87="","",$G87-$H87)</f>
        <v/>
      </c>
      <c r="J87" s="35" t="str">
        <f aca="false">IF($A87="","",IF(Setup!$B$6=1,YEAR($A87),YEAR($A87)+IF(MONTH($A87)&gt;=Setup!$B$6,1,0)))</f>
        <v/>
      </c>
      <c r="K87" s="35" t="str">
        <f aca="false">IF($A87="","",MOD(MONTH($A87)-Setup!$B$6+12,12)+1)</f>
        <v/>
      </c>
      <c r="L87" s="36" t="str">
        <f aca="false">IF($A87="","",TEXT($A87,"MMM-YY"))</f>
        <v/>
      </c>
      <c r="M87" s="37" t="str">
        <f aca="false">IF($A87="","",IF($Q87=0,"UNMAPPED",INDEX(COA_Mapping!$C$7:$C$256,$Q87)))</f>
        <v/>
      </c>
      <c r="N87" s="38" t="str">
        <f aca="false">IF($A87="","",IF($Q87=0,"",INDEX(COA_Mapping!$E$7:$E$256,$Q87)))</f>
        <v/>
      </c>
      <c r="O87" s="38" t="n">
        <f aca="false">IF($A87="",1,IF($Q87=0,1,INDEX(COA_Mapping!$F$7:$F$256,$Q87)))</f>
        <v>1</v>
      </c>
      <c r="P87" s="34" t="str">
        <f aca="false">IF($A87="","",$I87*$O87)</f>
        <v/>
      </c>
      <c r="Q87" s="39" t="n">
        <f aca="false">IF($B87="",0,IFERROR(MATCH($B87,COA_Mapping!$A$7:$A$256,0),0))</f>
        <v>0</v>
      </c>
      <c r="R87" s="39" t="n">
        <f aca="false">IF($A87="",-1,IF($J87=Setup!$B$7,1,IF($J87=Setup!$B$9,0,-1)))</f>
        <v>-1</v>
      </c>
      <c r="S87" s="35" t="n">
        <f aca="false">IF(OR($A87="",$Q87=0,$R87=-1),0,$Q87*1000+$R87*100+$K87)</f>
        <v>0</v>
      </c>
      <c r="T87" s="37" t="str">
        <f aca="false">IF($A87="","",IF($B87="","NO ACCOUNT",IF($Q87=0,"UNMAPPED",IF($R87=-1,"OUTSIDE FY RANGE","OK"))))</f>
        <v/>
      </c>
      <c r="U87" s="40" t="str">
        <f aca="false">IF($A87="","",$B87&amp;"|"&amp;TEXT($A87,"yyyymmdd")&amp;"|"&amp;TEXT($I87,"0.00"))</f>
        <v/>
      </c>
      <c r="V87" s="35" t="str">
        <f aca="false">IF($A87="","",COUNTIF($U$8:$U$5007,$U87))</f>
        <v/>
      </c>
    </row>
    <row r="88" customFormat="false" ht="15" hidden="false" customHeight="false" outlineLevel="0" collapsed="false">
      <c r="A88" s="31"/>
      <c r="B88" s="32"/>
      <c r="C88" s="32"/>
      <c r="D88" s="32"/>
      <c r="E88" s="32"/>
      <c r="F88" s="32"/>
      <c r="G88" s="33"/>
      <c r="H88" s="33"/>
      <c r="I88" s="34" t="str">
        <f aca="false">IF($A88="","",$G88-$H88)</f>
        <v/>
      </c>
      <c r="J88" s="35" t="str">
        <f aca="false">IF($A88="","",IF(Setup!$B$6=1,YEAR($A88),YEAR($A88)+IF(MONTH($A88)&gt;=Setup!$B$6,1,0)))</f>
        <v/>
      </c>
      <c r="K88" s="35" t="str">
        <f aca="false">IF($A88="","",MOD(MONTH($A88)-Setup!$B$6+12,12)+1)</f>
        <v/>
      </c>
      <c r="L88" s="36" t="str">
        <f aca="false">IF($A88="","",TEXT($A88,"MMM-YY"))</f>
        <v/>
      </c>
      <c r="M88" s="37" t="str">
        <f aca="false">IF($A88="","",IF($Q88=0,"UNMAPPED",INDEX(COA_Mapping!$C$7:$C$256,$Q88)))</f>
        <v/>
      </c>
      <c r="N88" s="38" t="str">
        <f aca="false">IF($A88="","",IF($Q88=0,"",INDEX(COA_Mapping!$E$7:$E$256,$Q88)))</f>
        <v/>
      </c>
      <c r="O88" s="38" t="n">
        <f aca="false">IF($A88="",1,IF($Q88=0,1,INDEX(COA_Mapping!$F$7:$F$256,$Q88)))</f>
        <v>1</v>
      </c>
      <c r="P88" s="34" t="str">
        <f aca="false">IF($A88="","",$I88*$O88)</f>
        <v/>
      </c>
      <c r="Q88" s="39" t="n">
        <f aca="false">IF($B88="",0,IFERROR(MATCH($B88,COA_Mapping!$A$7:$A$256,0),0))</f>
        <v>0</v>
      </c>
      <c r="R88" s="39" t="n">
        <f aca="false">IF($A88="",-1,IF($J88=Setup!$B$7,1,IF($J88=Setup!$B$9,0,-1)))</f>
        <v>-1</v>
      </c>
      <c r="S88" s="35" t="n">
        <f aca="false">IF(OR($A88="",$Q88=0,$R88=-1),0,$Q88*1000+$R88*100+$K88)</f>
        <v>0</v>
      </c>
      <c r="T88" s="37" t="str">
        <f aca="false">IF($A88="","",IF($B88="","NO ACCOUNT",IF($Q88=0,"UNMAPPED",IF($R88=-1,"OUTSIDE FY RANGE","OK"))))</f>
        <v/>
      </c>
      <c r="U88" s="40" t="str">
        <f aca="false">IF($A88="","",$B88&amp;"|"&amp;TEXT($A88,"yyyymmdd")&amp;"|"&amp;TEXT($I88,"0.00"))</f>
        <v/>
      </c>
      <c r="V88" s="35" t="str">
        <f aca="false">IF($A88="","",COUNTIF($U$8:$U$5007,$U88))</f>
        <v/>
      </c>
    </row>
    <row r="89" customFormat="false" ht="15" hidden="false" customHeight="false" outlineLevel="0" collapsed="false">
      <c r="A89" s="31"/>
      <c r="B89" s="32"/>
      <c r="C89" s="32"/>
      <c r="D89" s="32"/>
      <c r="E89" s="32"/>
      <c r="F89" s="32"/>
      <c r="G89" s="33"/>
      <c r="H89" s="33"/>
      <c r="I89" s="34" t="str">
        <f aca="false">IF($A89="","",$G89-$H89)</f>
        <v/>
      </c>
      <c r="J89" s="35" t="str">
        <f aca="false">IF($A89="","",IF(Setup!$B$6=1,YEAR($A89),YEAR($A89)+IF(MONTH($A89)&gt;=Setup!$B$6,1,0)))</f>
        <v/>
      </c>
      <c r="K89" s="35" t="str">
        <f aca="false">IF($A89="","",MOD(MONTH($A89)-Setup!$B$6+12,12)+1)</f>
        <v/>
      </c>
      <c r="L89" s="36" t="str">
        <f aca="false">IF($A89="","",TEXT($A89,"MMM-YY"))</f>
        <v/>
      </c>
      <c r="M89" s="37" t="str">
        <f aca="false">IF($A89="","",IF($Q89=0,"UNMAPPED",INDEX(COA_Mapping!$C$7:$C$256,$Q89)))</f>
        <v/>
      </c>
      <c r="N89" s="38" t="str">
        <f aca="false">IF($A89="","",IF($Q89=0,"",INDEX(COA_Mapping!$E$7:$E$256,$Q89)))</f>
        <v/>
      </c>
      <c r="O89" s="38" t="n">
        <f aca="false">IF($A89="",1,IF($Q89=0,1,INDEX(COA_Mapping!$F$7:$F$256,$Q89)))</f>
        <v>1</v>
      </c>
      <c r="P89" s="34" t="str">
        <f aca="false">IF($A89="","",$I89*$O89)</f>
        <v/>
      </c>
      <c r="Q89" s="39" t="n">
        <f aca="false">IF($B89="",0,IFERROR(MATCH($B89,COA_Mapping!$A$7:$A$256,0),0))</f>
        <v>0</v>
      </c>
      <c r="R89" s="39" t="n">
        <f aca="false">IF($A89="",-1,IF($J89=Setup!$B$7,1,IF($J89=Setup!$B$9,0,-1)))</f>
        <v>-1</v>
      </c>
      <c r="S89" s="35" t="n">
        <f aca="false">IF(OR($A89="",$Q89=0,$R89=-1),0,$Q89*1000+$R89*100+$K89)</f>
        <v>0</v>
      </c>
      <c r="T89" s="37" t="str">
        <f aca="false">IF($A89="","",IF($B89="","NO ACCOUNT",IF($Q89=0,"UNMAPPED",IF($R89=-1,"OUTSIDE FY RANGE","OK"))))</f>
        <v/>
      </c>
      <c r="U89" s="40" t="str">
        <f aca="false">IF($A89="","",$B89&amp;"|"&amp;TEXT($A89,"yyyymmdd")&amp;"|"&amp;TEXT($I89,"0.00"))</f>
        <v/>
      </c>
      <c r="V89" s="35" t="str">
        <f aca="false">IF($A89="","",COUNTIF($U$8:$U$5007,$U89))</f>
        <v/>
      </c>
    </row>
    <row r="90" customFormat="false" ht="15" hidden="false" customHeight="false" outlineLevel="0" collapsed="false">
      <c r="A90" s="31"/>
      <c r="B90" s="32"/>
      <c r="C90" s="32"/>
      <c r="D90" s="32"/>
      <c r="E90" s="32"/>
      <c r="F90" s="32"/>
      <c r="G90" s="33"/>
      <c r="H90" s="33"/>
      <c r="I90" s="34" t="str">
        <f aca="false">IF($A90="","",$G90-$H90)</f>
        <v/>
      </c>
      <c r="J90" s="35" t="str">
        <f aca="false">IF($A90="","",IF(Setup!$B$6=1,YEAR($A90),YEAR($A90)+IF(MONTH($A90)&gt;=Setup!$B$6,1,0)))</f>
        <v/>
      </c>
      <c r="K90" s="35" t="str">
        <f aca="false">IF($A90="","",MOD(MONTH($A90)-Setup!$B$6+12,12)+1)</f>
        <v/>
      </c>
      <c r="L90" s="36" t="str">
        <f aca="false">IF($A90="","",TEXT($A90,"MMM-YY"))</f>
        <v/>
      </c>
      <c r="M90" s="37" t="str">
        <f aca="false">IF($A90="","",IF($Q90=0,"UNMAPPED",INDEX(COA_Mapping!$C$7:$C$256,$Q90)))</f>
        <v/>
      </c>
      <c r="N90" s="38" t="str">
        <f aca="false">IF($A90="","",IF($Q90=0,"",INDEX(COA_Mapping!$E$7:$E$256,$Q90)))</f>
        <v/>
      </c>
      <c r="O90" s="38" t="n">
        <f aca="false">IF($A90="",1,IF($Q90=0,1,INDEX(COA_Mapping!$F$7:$F$256,$Q90)))</f>
        <v>1</v>
      </c>
      <c r="P90" s="34" t="str">
        <f aca="false">IF($A90="","",$I90*$O90)</f>
        <v/>
      </c>
      <c r="Q90" s="39" t="n">
        <f aca="false">IF($B90="",0,IFERROR(MATCH($B90,COA_Mapping!$A$7:$A$256,0),0))</f>
        <v>0</v>
      </c>
      <c r="R90" s="39" t="n">
        <f aca="false">IF($A90="",-1,IF($J90=Setup!$B$7,1,IF($J90=Setup!$B$9,0,-1)))</f>
        <v>-1</v>
      </c>
      <c r="S90" s="35" t="n">
        <f aca="false">IF(OR($A90="",$Q90=0,$R90=-1),0,$Q90*1000+$R90*100+$K90)</f>
        <v>0</v>
      </c>
      <c r="T90" s="37" t="str">
        <f aca="false">IF($A90="","",IF($B90="","NO ACCOUNT",IF($Q90=0,"UNMAPPED",IF($R90=-1,"OUTSIDE FY RANGE","OK"))))</f>
        <v/>
      </c>
      <c r="U90" s="40" t="str">
        <f aca="false">IF($A90="","",$B90&amp;"|"&amp;TEXT($A90,"yyyymmdd")&amp;"|"&amp;TEXT($I90,"0.00"))</f>
        <v/>
      </c>
      <c r="V90" s="35" t="str">
        <f aca="false">IF($A90="","",COUNTIF($U$8:$U$5007,$U90))</f>
        <v/>
      </c>
    </row>
    <row r="91" customFormat="false" ht="15" hidden="false" customHeight="false" outlineLevel="0" collapsed="false">
      <c r="A91" s="31"/>
      <c r="B91" s="32"/>
      <c r="C91" s="32"/>
      <c r="D91" s="32"/>
      <c r="E91" s="32"/>
      <c r="F91" s="32"/>
      <c r="G91" s="33"/>
      <c r="H91" s="33"/>
      <c r="I91" s="34" t="str">
        <f aca="false">IF($A91="","",$G91-$H91)</f>
        <v/>
      </c>
      <c r="J91" s="35" t="str">
        <f aca="false">IF($A91="","",IF(Setup!$B$6=1,YEAR($A91),YEAR($A91)+IF(MONTH($A91)&gt;=Setup!$B$6,1,0)))</f>
        <v/>
      </c>
      <c r="K91" s="35" t="str">
        <f aca="false">IF($A91="","",MOD(MONTH($A91)-Setup!$B$6+12,12)+1)</f>
        <v/>
      </c>
      <c r="L91" s="36" t="str">
        <f aca="false">IF($A91="","",TEXT($A91,"MMM-YY"))</f>
        <v/>
      </c>
      <c r="M91" s="37" t="str">
        <f aca="false">IF($A91="","",IF($Q91=0,"UNMAPPED",INDEX(COA_Mapping!$C$7:$C$256,$Q91)))</f>
        <v/>
      </c>
      <c r="N91" s="38" t="str">
        <f aca="false">IF($A91="","",IF($Q91=0,"",INDEX(COA_Mapping!$E$7:$E$256,$Q91)))</f>
        <v/>
      </c>
      <c r="O91" s="38" t="n">
        <f aca="false">IF($A91="",1,IF($Q91=0,1,INDEX(COA_Mapping!$F$7:$F$256,$Q91)))</f>
        <v>1</v>
      </c>
      <c r="P91" s="34" t="str">
        <f aca="false">IF($A91="","",$I91*$O91)</f>
        <v/>
      </c>
      <c r="Q91" s="39" t="n">
        <f aca="false">IF($B91="",0,IFERROR(MATCH($B91,COA_Mapping!$A$7:$A$256,0),0))</f>
        <v>0</v>
      </c>
      <c r="R91" s="39" t="n">
        <f aca="false">IF($A91="",-1,IF($J91=Setup!$B$7,1,IF($J91=Setup!$B$9,0,-1)))</f>
        <v>-1</v>
      </c>
      <c r="S91" s="35" t="n">
        <f aca="false">IF(OR($A91="",$Q91=0,$R91=-1),0,$Q91*1000+$R91*100+$K91)</f>
        <v>0</v>
      </c>
      <c r="T91" s="37" t="str">
        <f aca="false">IF($A91="","",IF($B91="","NO ACCOUNT",IF($Q91=0,"UNMAPPED",IF($R91=-1,"OUTSIDE FY RANGE","OK"))))</f>
        <v/>
      </c>
      <c r="U91" s="40" t="str">
        <f aca="false">IF($A91="","",$B91&amp;"|"&amp;TEXT($A91,"yyyymmdd")&amp;"|"&amp;TEXT($I91,"0.00"))</f>
        <v/>
      </c>
      <c r="V91" s="35" t="str">
        <f aca="false">IF($A91="","",COUNTIF($U$8:$U$5007,$U91))</f>
        <v/>
      </c>
    </row>
    <row r="92" customFormat="false" ht="15" hidden="false" customHeight="false" outlineLevel="0" collapsed="false">
      <c r="A92" s="31"/>
      <c r="B92" s="32"/>
      <c r="C92" s="32"/>
      <c r="D92" s="32"/>
      <c r="E92" s="32"/>
      <c r="F92" s="32"/>
      <c r="G92" s="33"/>
      <c r="H92" s="33"/>
      <c r="I92" s="34" t="str">
        <f aca="false">IF($A92="","",$G92-$H92)</f>
        <v/>
      </c>
      <c r="J92" s="35" t="str">
        <f aca="false">IF($A92="","",IF(Setup!$B$6=1,YEAR($A92),YEAR($A92)+IF(MONTH($A92)&gt;=Setup!$B$6,1,0)))</f>
        <v/>
      </c>
      <c r="K92" s="35" t="str">
        <f aca="false">IF($A92="","",MOD(MONTH($A92)-Setup!$B$6+12,12)+1)</f>
        <v/>
      </c>
      <c r="L92" s="36" t="str">
        <f aca="false">IF($A92="","",TEXT($A92,"MMM-YY"))</f>
        <v/>
      </c>
      <c r="M92" s="37" t="str">
        <f aca="false">IF($A92="","",IF($Q92=0,"UNMAPPED",INDEX(COA_Mapping!$C$7:$C$256,$Q92)))</f>
        <v/>
      </c>
      <c r="N92" s="38" t="str">
        <f aca="false">IF($A92="","",IF($Q92=0,"",INDEX(COA_Mapping!$E$7:$E$256,$Q92)))</f>
        <v/>
      </c>
      <c r="O92" s="38" t="n">
        <f aca="false">IF($A92="",1,IF($Q92=0,1,INDEX(COA_Mapping!$F$7:$F$256,$Q92)))</f>
        <v>1</v>
      </c>
      <c r="P92" s="34" t="str">
        <f aca="false">IF($A92="","",$I92*$O92)</f>
        <v/>
      </c>
      <c r="Q92" s="39" t="n">
        <f aca="false">IF($B92="",0,IFERROR(MATCH($B92,COA_Mapping!$A$7:$A$256,0),0))</f>
        <v>0</v>
      </c>
      <c r="R92" s="39" t="n">
        <f aca="false">IF($A92="",-1,IF($J92=Setup!$B$7,1,IF($J92=Setup!$B$9,0,-1)))</f>
        <v>-1</v>
      </c>
      <c r="S92" s="35" t="n">
        <f aca="false">IF(OR($A92="",$Q92=0,$R92=-1),0,$Q92*1000+$R92*100+$K92)</f>
        <v>0</v>
      </c>
      <c r="T92" s="37" t="str">
        <f aca="false">IF($A92="","",IF($B92="","NO ACCOUNT",IF($Q92=0,"UNMAPPED",IF($R92=-1,"OUTSIDE FY RANGE","OK"))))</f>
        <v/>
      </c>
      <c r="U92" s="40" t="str">
        <f aca="false">IF($A92="","",$B92&amp;"|"&amp;TEXT($A92,"yyyymmdd")&amp;"|"&amp;TEXT($I92,"0.00"))</f>
        <v/>
      </c>
      <c r="V92" s="35" t="str">
        <f aca="false">IF($A92="","",COUNTIF($U$8:$U$5007,$U92))</f>
        <v/>
      </c>
    </row>
    <row r="93" customFormat="false" ht="15" hidden="false" customHeight="false" outlineLevel="0" collapsed="false">
      <c r="A93" s="31"/>
      <c r="B93" s="32"/>
      <c r="C93" s="32"/>
      <c r="D93" s="32"/>
      <c r="E93" s="32"/>
      <c r="F93" s="32"/>
      <c r="G93" s="33"/>
      <c r="H93" s="33"/>
      <c r="I93" s="34" t="str">
        <f aca="false">IF($A93="","",$G93-$H93)</f>
        <v/>
      </c>
      <c r="J93" s="35" t="str">
        <f aca="false">IF($A93="","",IF(Setup!$B$6=1,YEAR($A93),YEAR($A93)+IF(MONTH($A93)&gt;=Setup!$B$6,1,0)))</f>
        <v/>
      </c>
      <c r="K93" s="35" t="str">
        <f aca="false">IF($A93="","",MOD(MONTH($A93)-Setup!$B$6+12,12)+1)</f>
        <v/>
      </c>
      <c r="L93" s="36" t="str">
        <f aca="false">IF($A93="","",TEXT($A93,"MMM-YY"))</f>
        <v/>
      </c>
      <c r="M93" s="37" t="str">
        <f aca="false">IF($A93="","",IF($Q93=0,"UNMAPPED",INDEX(COA_Mapping!$C$7:$C$256,$Q93)))</f>
        <v/>
      </c>
      <c r="N93" s="38" t="str">
        <f aca="false">IF($A93="","",IF($Q93=0,"",INDEX(COA_Mapping!$E$7:$E$256,$Q93)))</f>
        <v/>
      </c>
      <c r="O93" s="38" t="n">
        <f aca="false">IF($A93="",1,IF($Q93=0,1,INDEX(COA_Mapping!$F$7:$F$256,$Q93)))</f>
        <v>1</v>
      </c>
      <c r="P93" s="34" t="str">
        <f aca="false">IF($A93="","",$I93*$O93)</f>
        <v/>
      </c>
      <c r="Q93" s="39" t="n">
        <f aca="false">IF($B93="",0,IFERROR(MATCH($B93,COA_Mapping!$A$7:$A$256,0),0))</f>
        <v>0</v>
      </c>
      <c r="R93" s="39" t="n">
        <f aca="false">IF($A93="",-1,IF($J93=Setup!$B$7,1,IF($J93=Setup!$B$9,0,-1)))</f>
        <v>-1</v>
      </c>
      <c r="S93" s="35" t="n">
        <f aca="false">IF(OR($A93="",$Q93=0,$R93=-1),0,$Q93*1000+$R93*100+$K93)</f>
        <v>0</v>
      </c>
      <c r="T93" s="37" t="str">
        <f aca="false">IF($A93="","",IF($B93="","NO ACCOUNT",IF($Q93=0,"UNMAPPED",IF($R93=-1,"OUTSIDE FY RANGE","OK"))))</f>
        <v/>
      </c>
      <c r="U93" s="40" t="str">
        <f aca="false">IF($A93="","",$B93&amp;"|"&amp;TEXT($A93,"yyyymmdd")&amp;"|"&amp;TEXT($I93,"0.00"))</f>
        <v/>
      </c>
      <c r="V93" s="35" t="str">
        <f aca="false">IF($A93="","",COUNTIF($U$8:$U$5007,$U93))</f>
        <v/>
      </c>
    </row>
    <row r="94" customFormat="false" ht="15" hidden="false" customHeight="false" outlineLevel="0" collapsed="false">
      <c r="A94" s="31"/>
      <c r="B94" s="32"/>
      <c r="C94" s="32"/>
      <c r="D94" s="32"/>
      <c r="E94" s="32"/>
      <c r="F94" s="32"/>
      <c r="G94" s="33"/>
      <c r="H94" s="33"/>
      <c r="I94" s="34" t="str">
        <f aca="false">IF($A94="","",$G94-$H94)</f>
        <v/>
      </c>
      <c r="J94" s="35" t="str">
        <f aca="false">IF($A94="","",IF(Setup!$B$6=1,YEAR($A94),YEAR($A94)+IF(MONTH($A94)&gt;=Setup!$B$6,1,0)))</f>
        <v/>
      </c>
      <c r="K94" s="35" t="str">
        <f aca="false">IF($A94="","",MOD(MONTH($A94)-Setup!$B$6+12,12)+1)</f>
        <v/>
      </c>
      <c r="L94" s="36" t="str">
        <f aca="false">IF($A94="","",TEXT($A94,"MMM-YY"))</f>
        <v/>
      </c>
      <c r="M94" s="37" t="str">
        <f aca="false">IF($A94="","",IF($Q94=0,"UNMAPPED",INDEX(COA_Mapping!$C$7:$C$256,$Q94)))</f>
        <v/>
      </c>
      <c r="N94" s="38" t="str">
        <f aca="false">IF($A94="","",IF($Q94=0,"",INDEX(COA_Mapping!$E$7:$E$256,$Q94)))</f>
        <v/>
      </c>
      <c r="O94" s="38" t="n">
        <f aca="false">IF($A94="",1,IF($Q94=0,1,INDEX(COA_Mapping!$F$7:$F$256,$Q94)))</f>
        <v>1</v>
      </c>
      <c r="P94" s="34" t="str">
        <f aca="false">IF($A94="","",$I94*$O94)</f>
        <v/>
      </c>
      <c r="Q94" s="39" t="n">
        <f aca="false">IF($B94="",0,IFERROR(MATCH($B94,COA_Mapping!$A$7:$A$256,0),0))</f>
        <v>0</v>
      </c>
      <c r="R94" s="39" t="n">
        <f aca="false">IF($A94="",-1,IF($J94=Setup!$B$7,1,IF($J94=Setup!$B$9,0,-1)))</f>
        <v>-1</v>
      </c>
      <c r="S94" s="35" t="n">
        <f aca="false">IF(OR($A94="",$Q94=0,$R94=-1),0,$Q94*1000+$R94*100+$K94)</f>
        <v>0</v>
      </c>
      <c r="T94" s="37" t="str">
        <f aca="false">IF($A94="","",IF($B94="","NO ACCOUNT",IF($Q94=0,"UNMAPPED",IF($R94=-1,"OUTSIDE FY RANGE","OK"))))</f>
        <v/>
      </c>
      <c r="U94" s="40" t="str">
        <f aca="false">IF($A94="","",$B94&amp;"|"&amp;TEXT($A94,"yyyymmdd")&amp;"|"&amp;TEXT($I94,"0.00"))</f>
        <v/>
      </c>
      <c r="V94" s="35" t="str">
        <f aca="false">IF($A94="","",COUNTIF($U$8:$U$5007,$U94))</f>
        <v/>
      </c>
    </row>
    <row r="95" customFormat="false" ht="15" hidden="false" customHeight="false" outlineLevel="0" collapsed="false">
      <c r="A95" s="31"/>
      <c r="B95" s="32"/>
      <c r="C95" s="32"/>
      <c r="D95" s="32"/>
      <c r="E95" s="32"/>
      <c r="F95" s="32"/>
      <c r="G95" s="33"/>
      <c r="H95" s="33"/>
      <c r="I95" s="34" t="str">
        <f aca="false">IF($A95="","",$G95-$H95)</f>
        <v/>
      </c>
      <c r="J95" s="35" t="str">
        <f aca="false">IF($A95="","",IF(Setup!$B$6=1,YEAR($A95),YEAR($A95)+IF(MONTH($A95)&gt;=Setup!$B$6,1,0)))</f>
        <v/>
      </c>
      <c r="K95" s="35" t="str">
        <f aca="false">IF($A95="","",MOD(MONTH($A95)-Setup!$B$6+12,12)+1)</f>
        <v/>
      </c>
      <c r="L95" s="36" t="str">
        <f aca="false">IF($A95="","",TEXT($A95,"MMM-YY"))</f>
        <v/>
      </c>
      <c r="M95" s="37" t="str">
        <f aca="false">IF($A95="","",IF($Q95=0,"UNMAPPED",INDEX(COA_Mapping!$C$7:$C$256,$Q95)))</f>
        <v/>
      </c>
      <c r="N95" s="38" t="str">
        <f aca="false">IF($A95="","",IF($Q95=0,"",INDEX(COA_Mapping!$E$7:$E$256,$Q95)))</f>
        <v/>
      </c>
      <c r="O95" s="38" t="n">
        <f aca="false">IF($A95="",1,IF($Q95=0,1,INDEX(COA_Mapping!$F$7:$F$256,$Q95)))</f>
        <v>1</v>
      </c>
      <c r="P95" s="34" t="str">
        <f aca="false">IF($A95="","",$I95*$O95)</f>
        <v/>
      </c>
      <c r="Q95" s="39" t="n">
        <f aca="false">IF($B95="",0,IFERROR(MATCH($B95,COA_Mapping!$A$7:$A$256,0),0))</f>
        <v>0</v>
      </c>
      <c r="R95" s="39" t="n">
        <f aca="false">IF($A95="",-1,IF($J95=Setup!$B$7,1,IF($J95=Setup!$B$9,0,-1)))</f>
        <v>-1</v>
      </c>
      <c r="S95" s="35" t="n">
        <f aca="false">IF(OR($A95="",$Q95=0,$R95=-1),0,$Q95*1000+$R95*100+$K95)</f>
        <v>0</v>
      </c>
      <c r="T95" s="37" t="str">
        <f aca="false">IF($A95="","",IF($B95="","NO ACCOUNT",IF($Q95=0,"UNMAPPED",IF($R95=-1,"OUTSIDE FY RANGE","OK"))))</f>
        <v/>
      </c>
      <c r="U95" s="40" t="str">
        <f aca="false">IF($A95="","",$B95&amp;"|"&amp;TEXT($A95,"yyyymmdd")&amp;"|"&amp;TEXT($I95,"0.00"))</f>
        <v/>
      </c>
      <c r="V95" s="35" t="str">
        <f aca="false">IF($A95="","",COUNTIF($U$8:$U$5007,$U95))</f>
        <v/>
      </c>
    </row>
    <row r="96" customFormat="false" ht="15" hidden="false" customHeight="false" outlineLevel="0" collapsed="false">
      <c r="A96" s="31"/>
      <c r="B96" s="32"/>
      <c r="C96" s="32"/>
      <c r="D96" s="32"/>
      <c r="E96" s="32"/>
      <c r="F96" s="32"/>
      <c r="G96" s="33"/>
      <c r="H96" s="33"/>
      <c r="I96" s="34" t="str">
        <f aca="false">IF($A96="","",$G96-$H96)</f>
        <v/>
      </c>
      <c r="J96" s="35" t="str">
        <f aca="false">IF($A96="","",IF(Setup!$B$6=1,YEAR($A96),YEAR($A96)+IF(MONTH($A96)&gt;=Setup!$B$6,1,0)))</f>
        <v/>
      </c>
      <c r="K96" s="35" t="str">
        <f aca="false">IF($A96="","",MOD(MONTH($A96)-Setup!$B$6+12,12)+1)</f>
        <v/>
      </c>
      <c r="L96" s="36" t="str">
        <f aca="false">IF($A96="","",TEXT($A96,"MMM-YY"))</f>
        <v/>
      </c>
      <c r="M96" s="37" t="str">
        <f aca="false">IF($A96="","",IF($Q96=0,"UNMAPPED",INDEX(COA_Mapping!$C$7:$C$256,$Q96)))</f>
        <v/>
      </c>
      <c r="N96" s="38" t="str">
        <f aca="false">IF($A96="","",IF($Q96=0,"",INDEX(COA_Mapping!$E$7:$E$256,$Q96)))</f>
        <v/>
      </c>
      <c r="O96" s="38" t="n">
        <f aca="false">IF($A96="",1,IF($Q96=0,1,INDEX(COA_Mapping!$F$7:$F$256,$Q96)))</f>
        <v>1</v>
      </c>
      <c r="P96" s="34" t="str">
        <f aca="false">IF($A96="","",$I96*$O96)</f>
        <v/>
      </c>
      <c r="Q96" s="39" t="n">
        <f aca="false">IF($B96="",0,IFERROR(MATCH($B96,COA_Mapping!$A$7:$A$256,0),0))</f>
        <v>0</v>
      </c>
      <c r="R96" s="39" t="n">
        <f aca="false">IF($A96="",-1,IF($J96=Setup!$B$7,1,IF($J96=Setup!$B$9,0,-1)))</f>
        <v>-1</v>
      </c>
      <c r="S96" s="35" t="n">
        <f aca="false">IF(OR($A96="",$Q96=0,$R96=-1),0,$Q96*1000+$R96*100+$K96)</f>
        <v>0</v>
      </c>
      <c r="T96" s="37" t="str">
        <f aca="false">IF($A96="","",IF($B96="","NO ACCOUNT",IF($Q96=0,"UNMAPPED",IF($R96=-1,"OUTSIDE FY RANGE","OK"))))</f>
        <v/>
      </c>
      <c r="U96" s="40" t="str">
        <f aca="false">IF($A96="","",$B96&amp;"|"&amp;TEXT($A96,"yyyymmdd")&amp;"|"&amp;TEXT($I96,"0.00"))</f>
        <v/>
      </c>
      <c r="V96" s="35" t="str">
        <f aca="false">IF($A96="","",COUNTIF($U$8:$U$5007,$U96))</f>
        <v/>
      </c>
    </row>
    <row r="97" customFormat="false" ht="15" hidden="false" customHeight="false" outlineLevel="0" collapsed="false">
      <c r="A97" s="31"/>
      <c r="B97" s="32"/>
      <c r="C97" s="32"/>
      <c r="D97" s="32"/>
      <c r="E97" s="32"/>
      <c r="F97" s="32"/>
      <c r="G97" s="33"/>
      <c r="H97" s="33"/>
      <c r="I97" s="34" t="str">
        <f aca="false">IF($A97="","",$G97-$H97)</f>
        <v/>
      </c>
      <c r="J97" s="35" t="str">
        <f aca="false">IF($A97="","",IF(Setup!$B$6=1,YEAR($A97),YEAR($A97)+IF(MONTH($A97)&gt;=Setup!$B$6,1,0)))</f>
        <v/>
      </c>
      <c r="K97" s="35" t="str">
        <f aca="false">IF($A97="","",MOD(MONTH($A97)-Setup!$B$6+12,12)+1)</f>
        <v/>
      </c>
      <c r="L97" s="36" t="str">
        <f aca="false">IF($A97="","",TEXT($A97,"MMM-YY"))</f>
        <v/>
      </c>
      <c r="M97" s="37" t="str">
        <f aca="false">IF($A97="","",IF($Q97=0,"UNMAPPED",INDEX(COA_Mapping!$C$7:$C$256,$Q97)))</f>
        <v/>
      </c>
      <c r="N97" s="38" t="str">
        <f aca="false">IF($A97="","",IF($Q97=0,"",INDEX(COA_Mapping!$E$7:$E$256,$Q97)))</f>
        <v/>
      </c>
      <c r="O97" s="38" t="n">
        <f aca="false">IF($A97="",1,IF($Q97=0,1,INDEX(COA_Mapping!$F$7:$F$256,$Q97)))</f>
        <v>1</v>
      </c>
      <c r="P97" s="34" t="str">
        <f aca="false">IF($A97="","",$I97*$O97)</f>
        <v/>
      </c>
      <c r="Q97" s="39" t="n">
        <f aca="false">IF($B97="",0,IFERROR(MATCH($B97,COA_Mapping!$A$7:$A$256,0),0))</f>
        <v>0</v>
      </c>
      <c r="R97" s="39" t="n">
        <f aca="false">IF($A97="",-1,IF($J97=Setup!$B$7,1,IF($J97=Setup!$B$9,0,-1)))</f>
        <v>-1</v>
      </c>
      <c r="S97" s="35" t="n">
        <f aca="false">IF(OR($A97="",$Q97=0,$R97=-1),0,$Q97*1000+$R97*100+$K97)</f>
        <v>0</v>
      </c>
      <c r="T97" s="37" t="str">
        <f aca="false">IF($A97="","",IF($B97="","NO ACCOUNT",IF($Q97=0,"UNMAPPED",IF($R97=-1,"OUTSIDE FY RANGE","OK"))))</f>
        <v/>
      </c>
      <c r="U97" s="40" t="str">
        <f aca="false">IF($A97="","",$B97&amp;"|"&amp;TEXT($A97,"yyyymmdd")&amp;"|"&amp;TEXT($I97,"0.00"))</f>
        <v/>
      </c>
      <c r="V97" s="35" t="str">
        <f aca="false">IF($A97="","",COUNTIF($U$8:$U$5007,$U97))</f>
        <v/>
      </c>
    </row>
    <row r="98" customFormat="false" ht="15" hidden="false" customHeight="false" outlineLevel="0" collapsed="false">
      <c r="A98" s="31"/>
      <c r="B98" s="32"/>
      <c r="C98" s="32"/>
      <c r="D98" s="32"/>
      <c r="E98" s="32"/>
      <c r="F98" s="32"/>
      <c r="G98" s="33"/>
      <c r="H98" s="33"/>
      <c r="I98" s="34" t="str">
        <f aca="false">IF($A98="","",$G98-$H98)</f>
        <v/>
      </c>
      <c r="J98" s="35" t="str">
        <f aca="false">IF($A98="","",IF(Setup!$B$6=1,YEAR($A98),YEAR($A98)+IF(MONTH($A98)&gt;=Setup!$B$6,1,0)))</f>
        <v/>
      </c>
      <c r="K98" s="35" t="str">
        <f aca="false">IF($A98="","",MOD(MONTH($A98)-Setup!$B$6+12,12)+1)</f>
        <v/>
      </c>
      <c r="L98" s="36" t="str">
        <f aca="false">IF($A98="","",TEXT($A98,"MMM-YY"))</f>
        <v/>
      </c>
      <c r="M98" s="37" t="str">
        <f aca="false">IF($A98="","",IF($Q98=0,"UNMAPPED",INDEX(COA_Mapping!$C$7:$C$256,$Q98)))</f>
        <v/>
      </c>
      <c r="N98" s="38" t="str">
        <f aca="false">IF($A98="","",IF($Q98=0,"",INDEX(COA_Mapping!$E$7:$E$256,$Q98)))</f>
        <v/>
      </c>
      <c r="O98" s="38" t="n">
        <f aca="false">IF($A98="",1,IF($Q98=0,1,INDEX(COA_Mapping!$F$7:$F$256,$Q98)))</f>
        <v>1</v>
      </c>
      <c r="P98" s="34" t="str">
        <f aca="false">IF($A98="","",$I98*$O98)</f>
        <v/>
      </c>
      <c r="Q98" s="39" t="n">
        <f aca="false">IF($B98="",0,IFERROR(MATCH($B98,COA_Mapping!$A$7:$A$256,0),0))</f>
        <v>0</v>
      </c>
      <c r="R98" s="39" t="n">
        <f aca="false">IF($A98="",-1,IF($J98=Setup!$B$7,1,IF($J98=Setup!$B$9,0,-1)))</f>
        <v>-1</v>
      </c>
      <c r="S98" s="35" t="n">
        <f aca="false">IF(OR($A98="",$Q98=0,$R98=-1),0,$Q98*1000+$R98*100+$K98)</f>
        <v>0</v>
      </c>
      <c r="T98" s="37" t="str">
        <f aca="false">IF($A98="","",IF($B98="","NO ACCOUNT",IF($Q98=0,"UNMAPPED",IF($R98=-1,"OUTSIDE FY RANGE","OK"))))</f>
        <v/>
      </c>
      <c r="U98" s="40" t="str">
        <f aca="false">IF($A98="","",$B98&amp;"|"&amp;TEXT($A98,"yyyymmdd")&amp;"|"&amp;TEXT($I98,"0.00"))</f>
        <v/>
      </c>
      <c r="V98" s="35" t="str">
        <f aca="false">IF($A98="","",COUNTIF($U$8:$U$5007,$U98))</f>
        <v/>
      </c>
    </row>
    <row r="99" customFormat="false" ht="15" hidden="false" customHeight="false" outlineLevel="0" collapsed="false">
      <c r="A99" s="31"/>
      <c r="B99" s="32"/>
      <c r="C99" s="32"/>
      <c r="D99" s="32"/>
      <c r="E99" s="32"/>
      <c r="F99" s="32"/>
      <c r="G99" s="33"/>
      <c r="H99" s="33"/>
      <c r="I99" s="34" t="str">
        <f aca="false">IF($A99="","",$G99-$H99)</f>
        <v/>
      </c>
      <c r="J99" s="35" t="str">
        <f aca="false">IF($A99="","",IF(Setup!$B$6=1,YEAR($A99),YEAR($A99)+IF(MONTH($A99)&gt;=Setup!$B$6,1,0)))</f>
        <v/>
      </c>
      <c r="K99" s="35" t="str">
        <f aca="false">IF($A99="","",MOD(MONTH($A99)-Setup!$B$6+12,12)+1)</f>
        <v/>
      </c>
      <c r="L99" s="36" t="str">
        <f aca="false">IF($A99="","",TEXT($A99,"MMM-YY"))</f>
        <v/>
      </c>
      <c r="M99" s="37" t="str">
        <f aca="false">IF($A99="","",IF($Q99=0,"UNMAPPED",INDEX(COA_Mapping!$C$7:$C$256,$Q99)))</f>
        <v/>
      </c>
      <c r="N99" s="38" t="str">
        <f aca="false">IF($A99="","",IF($Q99=0,"",INDEX(COA_Mapping!$E$7:$E$256,$Q99)))</f>
        <v/>
      </c>
      <c r="O99" s="38" t="n">
        <f aca="false">IF($A99="",1,IF($Q99=0,1,INDEX(COA_Mapping!$F$7:$F$256,$Q99)))</f>
        <v>1</v>
      </c>
      <c r="P99" s="34" t="str">
        <f aca="false">IF($A99="","",$I99*$O99)</f>
        <v/>
      </c>
      <c r="Q99" s="39" t="n">
        <f aca="false">IF($B99="",0,IFERROR(MATCH($B99,COA_Mapping!$A$7:$A$256,0),0))</f>
        <v>0</v>
      </c>
      <c r="R99" s="39" t="n">
        <f aca="false">IF($A99="",-1,IF($J99=Setup!$B$7,1,IF($J99=Setup!$B$9,0,-1)))</f>
        <v>-1</v>
      </c>
      <c r="S99" s="35" t="n">
        <f aca="false">IF(OR($A99="",$Q99=0,$R99=-1),0,$Q99*1000+$R99*100+$K99)</f>
        <v>0</v>
      </c>
      <c r="T99" s="37" t="str">
        <f aca="false">IF($A99="","",IF($B99="","NO ACCOUNT",IF($Q99=0,"UNMAPPED",IF($R99=-1,"OUTSIDE FY RANGE","OK"))))</f>
        <v/>
      </c>
      <c r="U99" s="40" t="str">
        <f aca="false">IF($A99="","",$B99&amp;"|"&amp;TEXT($A99,"yyyymmdd")&amp;"|"&amp;TEXT($I99,"0.00"))</f>
        <v/>
      </c>
      <c r="V99" s="35" t="str">
        <f aca="false">IF($A99="","",COUNTIF($U$8:$U$5007,$U99))</f>
        <v/>
      </c>
    </row>
    <row r="100" customFormat="false" ht="15" hidden="false" customHeight="false" outlineLevel="0" collapsed="false">
      <c r="A100" s="31"/>
      <c r="B100" s="32"/>
      <c r="C100" s="32"/>
      <c r="D100" s="32"/>
      <c r="E100" s="32"/>
      <c r="F100" s="32"/>
      <c r="G100" s="33"/>
      <c r="H100" s="33"/>
      <c r="I100" s="34" t="str">
        <f aca="false">IF($A100="","",$G100-$H100)</f>
        <v/>
      </c>
      <c r="J100" s="35" t="str">
        <f aca="false">IF($A100="","",IF(Setup!$B$6=1,YEAR($A100),YEAR($A100)+IF(MONTH($A100)&gt;=Setup!$B$6,1,0)))</f>
        <v/>
      </c>
      <c r="K100" s="35" t="str">
        <f aca="false">IF($A100="","",MOD(MONTH($A100)-Setup!$B$6+12,12)+1)</f>
        <v/>
      </c>
      <c r="L100" s="36" t="str">
        <f aca="false">IF($A100="","",TEXT($A100,"MMM-YY"))</f>
        <v/>
      </c>
      <c r="M100" s="37" t="str">
        <f aca="false">IF($A100="","",IF($Q100=0,"UNMAPPED",INDEX(COA_Mapping!$C$7:$C$256,$Q100)))</f>
        <v/>
      </c>
      <c r="N100" s="38" t="str">
        <f aca="false">IF($A100="","",IF($Q100=0,"",INDEX(COA_Mapping!$E$7:$E$256,$Q100)))</f>
        <v/>
      </c>
      <c r="O100" s="38" t="n">
        <f aca="false">IF($A100="",1,IF($Q100=0,1,INDEX(COA_Mapping!$F$7:$F$256,$Q100)))</f>
        <v>1</v>
      </c>
      <c r="P100" s="34" t="str">
        <f aca="false">IF($A100="","",$I100*$O100)</f>
        <v/>
      </c>
      <c r="Q100" s="39" t="n">
        <f aca="false">IF($B100="",0,IFERROR(MATCH($B100,COA_Mapping!$A$7:$A$256,0),0))</f>
        <v>0</v>
      </c>
      <c r="R100" s="39" t="n">
        <f aca="false">IF($A100="",-1,IF($J100=Setup!$B$7,1,IF($J100=Setup!$B$9,0,-1)))</f>
        <v>-1</v>
      </c>
      <c r="S100" s="35" t="n">
        <f aca="false">IF(OR($A100="",$Q100=0,$R100=-1),0,$Q100*1000+$R100*100+$K100)</f>
        <v>0</v>
      </c>
      <c r="T100" s="37" t="str">
        <f aca="false">IF($A100="","",IF($B100="","NO ACCOUNT",IF($Q100=0,"UNMAPPED",IF($R100=-1,"OUTSIDE FY RANGE","OK"))))</f>
        <v/>
      </c>
      <c r="U100" s="40" t="str">
        <f aca="false">IF($A100="","",$B100&amp;"|"&amp;TEXT($A100,"yyyymmdd")&amp;"|"&amp;TEXT($I100,"0.00"))</f>
        <v/>
      </c>
      <c r="V100" s="35" t="str">
        <f aca="false">IF($A100="","",COUNTIF($U$8:$U$5007,$U100))</f>
        <v/>
      </c>
    </row>
    <row r="101" customFormat="false" ht="15" hidden="false" customHeight="false" outlineLevel="0" collapsed="false">
      <c r="A101" s="31"/>
      <c r="B101" s="32"/>
      <c r="C101" s="32"/>
      <c r="D101" s="32"/>
      <c r="E101" s="32"/>
      <c r="F101" s="32"/>
      <c r="G101" s="33"/>
      <c r="H101" s="33"/>
      <c r="I101" s="34" t="str">
        <f aca="false">IF($A101="","",$G101-$H101)</f>
        <v/>
      </c>
      <c r="J101" s="35" t="str">
        <f aca="false">IF($A101="","",IF(Setup!$B$6=1,YEAR($A101),YEAR($A101)+IF(MONTH($A101)&gt;=Setup!$B$6,1,0)))</f>
        <v/>
      </c>
      <c r="K101" s="35" t="str">
        <f aca="false">IF($A101="","",MOD(MONTH($A101)-Setup!$B$6+12,12)+1)</f>
        <v/>
      </c>
      <c r="L101" s="36" t="str">
        <f aca="false">IF($A101="","",TEXT($A101,"MMM-YY"))</f>
        <v/>
      </c>
      <c r="M101" s="37" t="str">
        <f aca="false">IF($A101="","",IF($Q101=0,"UNMAPPED",INDEX(COA_Mapping!$C$7:$C$256,$Q101)))</f>
        <v/>
      </c>
      <c r="N101" s="38" t="str">
        <f aca="false">IF($A101="","",IF($Q101=0,"",INDEX(COA_Mapping!$E$7:$E$256,$Q101)))</f>
        <v/>
      </c>
      <c r="O101" s="38" t="n">
        <f aca="false">IF($A101="",1,IF($Q101=0,1,INDEX(COA_Mapping!$F$7:$F$256,$Q101)))</f>
        <v>1</v>
      </c>
      <c r="P101" s="34" t="str">
        <f aca="false">IF($A101="","",$I101*$O101)</f>
        <v/>
      </c>
      <c r="Q101" s="39" t="n">
        <f aca="false">IF($B101="",0,IFERROR(MATCH($B101,COA_Mapping!$A$7:$A$256,0),0))</f>
        <v>0</v>
      </c>
      <c r="R101" s="39" t="n">
        <f aca="false">IF($A101="",-1,IF($J101=Setup!$B$7,1,IF($J101=Setup!$B$9,0,-1)))</f>
        <v>-1</v>
      </c>
      <c r="S101" s="35" t="n">
        <f aca="false">IF(OR($A101="",$Q101=0,$R101=-1),0,$Q101*1000+$R101*100+$K101)</f>
        <v>0</v>
      </c>
      <c r="T101" s="37" t="str">
        <f aca="false">IF($A101="","",IF($B101="","NO ACCOUNT",IF($Q101=0,"UNMAPPED",IF($R101=-1,"OUTSIDE FY RANGE","OK"))))</f>
        <v/>
      </c>
      <c r="U101" s="40" t="str">
        <f aca="false">IF($A101="","",$B101&amp;"|"&amp;TEXT($A101,"yyyymmdd")&amp;"|"&amp;TEXT($I101,"0.00"))</f>
        <v/>
      </c>
      <c r="V101" s="35" t="str">
        <f aca="false">IF($A101="","",COUNTIF($U$8:$U$5007,$U101))</f>
        <v/>
      </c>
    </row>
    <row r="102" customFormat="false" ht="15" hidden="false" customHeight="false" outlineLevel="0" collapsed="false">
      <c r="A102" s="31"/>
      <c r="B102" s="32"/>
      <c r="C102" s="32"/>
      <c r="D102" s="32"/>
      <c r="E102" s="32"/>
      <c r="F102" s="32"/>
      <c r="G102" s="33"/>
      <c r="H102" s="33"/>
      <c r="I102" s="34" t="str">
        <f aca="false">IF($A102="","",$G102-$H102)</f>
        <v/>
      </c>
      <c r="J102" s="35" t="str">
        <f aca="false">IF($A102="","",IF(Setup!$B$6=1,YEAR($A102),YEAR($A102)+IF(MONTH($A102)&gt;=Setup!$B$6,1,0)))</f>
        <v/>
      </c>
      <c r="K102" s="35" t="str">
        <f aca="false">IF($A102="","",MOD(MONTH($A102)-Setup!$B$6+12,12)+1)</f>
        <v/>
      </c>
      <c r="L102" s="36" t="str">
        <f aca="false">IF($A102="","",TEXT($A102,"MMM-YY"))</f>
        <v/>
      </c>
      <c r="M102" s="37" t="str">
        <f aca="false">IF($A102="","",IF($Q102=0,"UNMAPPED",INDEX(COA_Mapping!$C$7:$C$256,$Q102)))</f>
        <v/>
      </c>
      <c r="N102" s="38" t="str">
        <f aca="false">IF($A102="","",IF($Q102=0,"",INDEX(COA_Mapping!$E$7:$E$256,$Q102)))</f>
        <v/>
      </c>
      <c r="O102" s="38" t="n">
        <f aca="false">IF($A102="",1,IF($Q102=0,1,INDEX(COA_Mapping!$F$7:$F$256,$Q102)))</f>
        <v>1</v>
      </c>
      <c r="P102" s="34" t="str">
        <f aca="false">IF($A102="","",$I102*$O102)</f>
        <v/>
      </c>
      <c r="Q102" s="39" t="n">
        <f aca="false">IF($B102="",0,IFERROR(MATCH($B102,COA_Mapping!$A$7:$A$256,0),0))</f>
        <v>0</v>
      </c>
      <c r="R102" s="39" t="n">
        <f aca="false">IF($A102="",-1,IF($J102=Setup!$B$7,1,IF($J102=Setup!$B$9,0,-1)))</f>
        <v>-1</v>
      </c>
      <c r="S102" s="35" t="n">
        <f aca="false">IF(OR($A102="",$Q102=0,$R102=-1),0,$Q102*1000+$R102*100+$K102)</f>
        <v>0</v>
      </c>
      <c r="T102" s="37" t="str">
        <f aca="false">IF($A102="","",IF($B102="","NO ACCOUNT",IF($Q102=0,"UNMAPPED",IF($R102=-1,"OUTSIDE FY RANGE","OK"))))</f>
        <v/>
      </c>
      <c r="U102" s="40" t="str">
        <f aca="false">IF($A102="","",$B102&amp;"|"&amp;TEXT($A102,"yyyymmdd")&amp;"|"&amp;TEXT($I102,"0.00"))</f>
        <v/>
      </c>
      <c r="V102" s="35" t="str">
        <f aca="false">IF($A102="","",COUNTIF($U$8:$U$5007,$U102))</f>
        <v/>
      </c>
    </row>
    <row r="103" customFormat="false" ht="15" hidden="false" customHeight="false" outlineLevel="0" collapsed="false">
      <c r="A103" s="31"/>
      <c r="B103" s="32"/>
      <c r="C103" s="32"/>
      <c r="D103" s="32"/>
      <c r="E103" s="32"/>
      <c r="F103" s="32"/>
      <c r="G103" s="33"/>
      <c r="H103" s="33"/>
      <c r="I103" s="34" t="str">
        <f aca="false">IF($A103="","",$G103-$H103)</f>
        <v/>
      </c>
      <c r="J103" s="35" t="str">
        <f aca="false">IF($A103="","",IF(Setup!$B$6=1,YEAR($A103),YEAR($A103)+IF(MONTH($A103)&gt;=Setup!$B$6,1,0)))</f>
        <v/>
      </c>
      <c r="K103" s="35" t="str">
        <f aca="false">IF($A103="","",MOD(MONTH($A103)-Setup!$B$6+12,12)+1)</f>
        <v/>
      </c>
      <c r="L103" s="36" t="str">
        <f aca="false">IF($A103="","",TEXT($A103,"MMM-YY"))</f>
        <v/>
      </c>
      <c r="M103" s="37" t="str">
        <f aca="false">IF($A103="","",IF($Q103=0,"UNMAPPED",INDEX(COA_Mapping!$C$7:$C$256,$Q103)))</f>
        <v/>
      </c>
      <c r="N103" s="38" t="str">
        <f aca="false">IF($A103="","",IF($Q103=0,"",INDEX(COA_Mapping!$E$7:$E$256,$Q103)))</f>
        <v/>
      </c>
      <c r="O103" s="38" t="n">
        <f aca="false">IF($A103="",1,IF($Q103=0,1,INDEX(COA_Mapping!$F$7:$F$256,$Q103)))</f>
        <v>1</v>
      </c>
      <c r="P103" s="34" t="str">
        <f aca="false">IF($A103="","",$I103*$O103)</f>
        <v/>
      </c>
      <c r="Q103" s="39" t="n">
        <f aca="false">IF($B103="",0,IFERROR(MATCH($B103,COA_Mapping!$A$7:$A$256,0),0))</f>
        <v>0</v>
      </c>
      <c r="R103" s="39" t="n">
        <f aca="false">IF($A103="",-1,IF($J103=Setup!$B$7,1,IF($J103=Setup!$B$9,0,-1)))</f>
        <v>-1</v>
      </c>
      <c r="S103" s="35" t="n">
        <f aca="false">IF(OR($A103="",$Q103=0,$R103=-1),0,$Q103*1000+$R103*100+$K103)</f>
        <v>0</v>
      </c>
      <c r="T103" s="37" t="str">
        <f aca="false">IF($A103="","",IF($B103="","NO ACCOUNT",IF($Q103=0,"UNMAPPED",IF($R103=-1,"OUTSIDE FY RANGE","OK"))))</f>
        <v/>
      </c>
      <c r="U103" s="40" t="str">
        <f aca="false">IF($A103="","",$B103&amp;"|"&amp;TEXT($A103,"yyyymmdd")&amp;"|"&amp;TEXT($I103,"0.00"))</f>
        <v/>
      </c>
      <c r="V103" s="35" t="str">
        <f aca="false">IF($A103="","",COUNTIF($U$8:$U$5007,$U103))</f>
        <v/>
      </c>
    </row>
    <row r="104" customFormat="false" ht="15" hidden="false" customHeight="false" outlineLevel="0" collapsed="false">
      <c r="A104" s="31"/>
      <c r="B104" s="32"/>
      <c r="C104" s="32"/>
      <c r="D104" s="32"/>
      <c r="E104" s="32"/>
      <c r="F104" s="32"/>
      <c r="G104" s="33"/>
      <c r="H104" s="33"/>
      <c r="I104" s="34" t="str">
        <f aca="false">IF($A104="","",$G104-$H104)</f>
        <v/>
      </c>
      <c r="J104" s="35" t="str">
        <f aca="false">IF($A104="","",IF(Setup!$B$6=1,YEAR($A104),YEAR($A104)+IF(MONTH($A104)&gt;=Setup!$B$6,1,0)))</f>
        <v/>
      </c>
      <c r="K104" s="35" t="str">
        <f aca="false">IF($A104="","",MOD(MONTH($A104)-Setup!$B$6+12,12)+1)</f>
        <v/>
      </c>
      <c r="L104" s="36" t="str">
        <f aca="false">IF($A104="","",TEXT($A104,"MMM-YY"))</f>
        <v/>
      </c>
      <c r="M104" s="37" t="str">
        <f aca="false">IF($A104="","",IF($Q104=0,"UNMAPPED",INDEX(COA_Mapping!$C$7:$C$256,$Q104)))</f>
        <v/>
      </c>
      <c r="N104" s="38" t="str">
        <f aca="false">IF($A104="","",IF($Q104=0,"",INDEX(COA_Mapping!$E$7:$E$256,$Q104)))</f>
        <v/>
      </c>
      <c r="O104" s="38" t="n">
        <f aca="false">IF($A104="",1,IF($Q104=0,1,INDEX(COA_Mapping!$F$7:$F$256,$Q104)))</f>
        <v>1</v>
      </c>
      <c r="P104" s="34" t="str">
        <f aca="false">IF($A104="","",$I104*$O104)</f>
        <v/>
      </c>
      <c r="Q104" s="39" t="n">
        <f aca="false">IF($B104="",0,IFERROR(MATCH($B104,COA_Mapping!$A$7:$A$256,0),0))</f>
        <v>0</v>
      </c>
      <c r="R104" s="39" t="n">
        <f aca="false">IF($A104="",-1,IF($J104=Setup!$B$7,1,IF($J104=Setup!$B$9,0,-1)))</f>
        <v>-1</v>
      </c>
      <c r="S104" s="35" t="n">
        <f aca="false">IF(OR($A104="",$Q104=0,$R104=-1),0,$Q104*1000+$R104*100+$K104)</f>
        <v>0</v>
      </c>
      <c r="T104" s="37" t="str">
        <f aca="false">IF($A104="","",IF($B104="","NO ACCOUNT",IF($Q104=0,"UNMAPPED",IF($R104=-1,"OUTSIDE FY RANGE","OK"))))</f>
        <v/>
      </c>
      <c r="U104" s="40" t="str">
        <f aca="false">IF($A104="","",$B104&amp;"|"&amp;TEXT($A104,"yyyymmdd")&amp;"|"&amp;TEXT($I104,"0.00"))</f>
        <v/>
      </c>
      <c r="V104" s="35" t="str">
        <f aca="false">IF($A104="","",COUNTIF($U$8:$U$5007,$U104))</f>
        <v/>
      </c>
    </row>
    <row r="105" customFormat="false" ht="15" hidden="false" customHeight="false" outlineLevel="0" collapsed="false">
      <c r="A105" s="31"/>
      <c r="B105" s="32"/>
      <c r="C105" s="32"/>
      <c r="D105" s="32"/>
      <c r="E105" s="32"/>
      <c r="F105" s="32"/>
      <c r="G105" s="33"/>
      <c r="H105" s="33"/>
      <c r="I105" s="34" t="str">
        <f aca="false">IF($A105="","",$G105-$H105)</f>
        <v/>
      </c>
      <c r="J105" s="35" t="str">
        <f aca="false">IF($A105="","",IF(Setup!$B$6=1,YEAR($A105),YEAR($A105)+IF(MONTH($A105)&gt;=Setup!$B$6,1,0)))</f>
        <v/>
      </c>
      <c r="K105" s="35" t="str">
        <f aca="false">IF($A105="","",MOD(MONTH($A105)-Setup!$B$6+12,12)+1)</f>
        <v/>
      </c>
      <c r="L105" s="36" t="str">
        <f aca="false">IF($A105="","",TEXT($A105,"MMM-YY"))</f>
        <v/>
      </c>
      <c r="M105" s="37" t="str">
        <f aca="false">IF($A105="","",IF($Q105=0,"UNMAPPED",INDEX(COA_Mapping!$C$7:$C$256,$Q105)))</f>
        <v/>
      </c>
      <c r="N105" s="38" t="str">
        <f aca="false">IF($A105="","",IF($Q105=0,"",INDEX(COA_Mapping!$E$7:$E$256,$Q105)))</f>
        <v/>
      </c>
      <c r="O105" s="38" t="n">
        <f aca="false">IF($A105="",1,IF($Q105=0,1,INDEX(COA_Mapping!$F$7:$F$256,$Q105)))</f>
        <v>1</v>
      </c>
      <c r="P105" s="34" t="str">
        <f aca="false">IF($A105="","",$I105*$O105)</f>
        <v/>
      </c>
      <c r="Q105" s="39" t="n">
        <f aca="false">IF($B105="",0,IFERROR(MATCH($B105,COA_Mapping!$A$7:$A$256,0),0))</f>
        <v>0</v>
      </c>
      <c r="R105" s="39" t="n">
        <f aca="false">IF($A105="",-1,IF($J105=Setup!$B$7,1,IF($J105=Setup!$B$9,0,-1)))</f>
        <v>-1</v>
      </c>
      <c r="S105" s="35" t="n">
        <f aca="false">IF(OR($A105="",$Q105=0,$R105=-1),0,$Q105*1000+$R105*100+$K105)</f>
        <v>0</v>
      </c>
      <c r="T105" s="37" t="str">
        <f aca="false">IF($A105="","",IF($B105="","NO ACCOUNT",IF($Q105=0,"UNMAPPED",IF($R105=-1,"OUTSIDE FY RANGE","OK"))))</f>
        <v/>
      </c>
      <c r="U105" s="40" t="str">
        <f aca="false">IF($A105="","",$B105&amp;"|"&amp;TEXT($A105,"yyyymmdd")&amp;"|"&amp;TEXT($I105,"0.00"))</f>
        <v/>
      </c>
      <c r="V105" s="35" t="str">
        <f aca="false">IF($A105="","",COUNTIF($U$8:$U$5007,$U105))</f>
        <v/>
      </c>
    </row>
    <row r="106" customFormat="false" ht="15" hidden="false" customHeight="false" outlineLevel="0" collapsed="false">
      <c r="A106" s="31"/>
      <c r="B106" s="32"/>
      <c r="C106" s="32"/>
      <c r="D106" s="32"/>
      <c r="E106" s="32"/>
      <c r="F106" s="32"/>
      <c r="G106" s="33"/>
      <c r="H106" s="33"/>
      <c r="I106" s="34" t="str">
        <f aca="false">IF($A106="","",$G106-$H106)</f>
        <v/>
      </c>
      <c r="J106" s="35" t="str">
        <f aca="false">IF($A106="","",IF(Setup!$B$6=1,YEAR($A106),YEAR($A106)+IF(MONTH($A106)&gt;=Setup!$B$6,1,0)))</f>
        <v/>
      </c>
      <c r="K106" s="35" t="str">
        <f aca="false">IF($A106="","",MOD(MONTH($A106)-Setup!$B$6+12,12)+1)</f>
        <v/>
      </c>
      <c r="L106" s="36" t="str">
        <f aca="false">IF($A106="","",TEXT($A106,"MMM-YY"))</f>
        <v/>
      </c>
      <c r="M106" s="37" t="str">
        <f aca="false">IF($A106="","",IF($Q106=0,"UNMAPPED",INDEX(COA_Mapping!$C$7:$C$256,$Q106)))</f>
        <v/>
      </c>
      <c r="N106" s="38" t="str">
        <f aca="false">IF($A106="","",IF($Q106=0,"",INDEX(COA_Mapping!$E$7:$E$256,$Q106)))</f>
        <v/>
      </c>
      <c r="O106" s="38" t="n">
        <f aca="false">IF($A106="",1,IF($Q106=0,1,INDEX(COA_Mapping!$F$7:$F$256,$Q106)))</f>
        <v>1</v>
      </c>
      <c r="P106" s="34" t="str">
        <f aca="false">IF($A106="","",$I106*$O106)</f>
        <v/>
      </c>
      <c r="Q106" s="39" t="n">
        <f aca="false">IF($B106="",0,IFERROR(MATCH($B106,COA_Mapping!$A$7:$A$256,0),0))</f>
        <v>0</v>
      </c>
      <c r="R106" s="39" t="n">
        <f aca="false">IF($A106="",-1,IF($J106=Setup!$B$7,1,IF($J106=Setup!$B$9,0,-1)))</f>
        <v>-1</v>
      </c>
      <c r="S106" s="35" t="n">
        <f aca="false">IF(OR($A106="",$Q106=0,$R106=-1),0,$Q106*1000+$R106*100+$K106)</f>
        <v>0</v>
      </c>
      <c r="T106" s="37" t="str">
        <f aca="false">IF($A106="","",IF($B106="","NO ACCOUNT",IF($Q106=0,"UNMAPPED",IF($R106=-1,"OUTSIDE FY RANGE","OK"))))</f>
        <v/>
      </c>
      <c r="U106" s="40" t="str">
        <f aca="false">IF($A106="","",$B106&amp;"|"&amp;TEXT($A106,"yyyymmdd")&amp;"|"&amp;TEXT($I106,"0.00"))</f>
        <v/>
      </c>
      <c r="V106" s="35" t="str">
        <f aca="false">IF($A106="","",COUNTIF($U$8:$U$5007,$U106))</f>
        <v/>
      </c>
    </row>
    <row r="107" customFormat="false" ht="15" hidden="false" customHeight="false" outlineLevel="0" collapsed="false">
      <c r="A107" s="31"/>
      <c r="B107" s="32"/>
      <c r="C107" s="32"/>
      <c r="D107" s="32"/>
      <c r="E107" s="32"/>
      <c r="F107" s="32"/>
      <c r="G107" s="33"/>
      <c r="H107" s="33"/>
      <c r="I107" s="34" t="str">
        <f aca="false">IF($A107="","",$G107-$H107)</f>
        <v/>
      </c>
      <c r="J107" s="35" t="str">
        <f aca="false">IF($A107="","",IF(Setup!$B$6=1,YEAR($A107),YEAR($A107)+IF(MONTH($A107)&gt;=Setup!$B$6,1,0)))</f>
        <v/>
      </c>
      <c r="K107" s="35" t="str">
        <f aca="false">IF($A107="","",MOD(MONTH($A107)-Setup!$B$6+12,12)+1)</f>
        <v/>
      </c>
      <c r="L107" s="36" t="str">
        <f aca="false">IF($A107="","",TEXT($A107,"MMM-YY"))</f>
        <v/>
      </c>
      <c r="M107" s="37" t="str">
        <f aca="false">IF($A107="","",IF($Q107=0,"UNMAPPED",INDEX(COA_Mapping!$C$7:$C$256,$Q107)))</f>
        <v/>
      </c>
      <c r="N107" s="38" t="str">
        <f aca="false">IF($A107="","",IF($Q107=0,"",INDEX(COA_Mapping!$E$7:$E$256,$Q107)))</f>
        <v/>
      </c>
      <c r="O107" s="38" t="n">
        <f aca="false">IF($A107="",1,IF($Q107=0,1,INDEX(COA_Mapping!$F$7:$F$256,$Q107)))</f>
        <v>1</v>
      </c>
      <c r="P107" s="34" t="str">
        <f aca="false">IF($A107="","",$I107*$O107)</f>
        <v/>
      </c>
      <c r="Q107" s="39" t="n">
        <f aca="false">IF($B107="",0,IFERROR(MATCH($B107,COA_Mapping!$A$7:$A$256,0),0))</f>
        <v>0</v>
      </c>
      <c r="R107" s="39" t="n">
        <f aca="false">IF($A107="",-1,IF($J107=Setup!$B$7,1,IF($J107=Setup!$B$9,0,-1)))</f>
        <v>-1</v>
      </c>
      <c r="S107" s="35" t="n">
        <f aca="false">IF(OR($A107="",$Q107=0,$R107=-1),0,$Q107*1000+$R107*100+$K107)</f>
        <v>0</v>
      </c>
      <c r="T107" s="37" t="str">
        <f aca="false">IF($A107="","",IF($B107="","NO ACCOUNT",IF($Q107=0,"UNMAPPED",IF($R107=-1,"OUTSIDE FY RANGE","OK"))))</f>
        <v/>
      </c>
      <c r="U107" s="40" t="str">
        <f aca="false">IF($A107="","",$B107&amp;"|"&amp;TEXT($A107,"yyyymmdd")&amp;"|"&amp;TEXT($I107,"0.00"))</f>
        <v/>
      </c>
      <c r="V107" s="35" t="str">
        <f aca="false">IF($A107="","",COUNTIF($U$8:$U$5007,$U107))</f>
        <v/>
      </c>
    </row>
    <row r="108" customFormat="false" ht="15" hidden="false" customHeight="false" outlineLevel="0" collapsed="false">
      <c r="A108" s="31"/>
      <c r="B108" s="32"/>
      <c r="C108" s="32"/>
      <c r="D108" s="32"/>
      <c r="E108" s="32"/>
      <c r="F108" s="32"/>
      <c r="G108" s="33"/>
      <c r="H108" s="33"/>
      <c r="I108" s="34" t="str">
        <f aca="false">IF($A108="","",$G108-$H108)</f>
        <v/>
      </c>
      <c r="J108" s="35" t="str">
        <f aca="false">IF($A108="","",IF(Setup!$B$6=1,YEAR($A108),YEAR($A108)+IF(MONTH($A108)&gt;=Setup!$B$6,1,0)))</f>
        <v/>
      </c>
      <c r="K108" s="35" t="str">
        <f aca="false">IF($A108="","",MOD(MONTH($A108)-Setup!$B$6+12,12)+1)</f>
        <v/>
      </c>
      <c r="L108" s="36" t="str">
        <f aca="false">IF($A108="","",TEXT($A108,"MMM-YY"))</f>
        <v/>
      </c>
      <c r="M108" s="37" t="str">
        <f aca="false">IF($A108="","",IF($Q108=0,"UNMAPPED",INDEX(COA_Mapping!$C$7:$C$256,$Q108)))</f>
        <v/>
      </c>
      <c r="N108" s="38" t="str">
        <f aca="false">IF($A108="","",IF($Q108=0,"",INDEX(COA_Mapping!$E$7:$E$256,$Q108)))</f>
        <v/>
      </c>
      <c r="O108" s="38" t="n">
        <f aca="false">IF($A108="",1,IF($Q108=0,1,INDEX(COA_Mapping!$F$7:$F$256,$Q108)))</f>
        <v>1</v>
      </c>
      <c r="P108" s="34" t="str">
        <f aca="false">IF($A108="","",$I108*$O108)</f>
        <v/>
      </c>
      <c r="Q108" s="39" t="n">
        <f aca="false">IF($B108="",0,IFERROR(MATCH($B108,COA_Mapping!$A$7:$A$256,0),0))</f>
        <v>0</v>
      </c>
      <c r="R108" s="39" t="n">
        <f aca="false">IF($A108="",-1,IF($J108=Setup!$B$7,1,IF($J108=Setup!$B$9,0,-1)))</f>
        <v>-1</v>
      </c>
      <c r="S108" s="35" t="n">
        <f aca="false">IF(OR($A108="",$Q108=0,$R108=-1),0,$Q108*1000+$R108*100+$K108)</f>
        <v>0</v>
      </c>
      <c r="T108" s="37" t="str">
        <f aca="false">IF($A108="","",IF($B108="","NO ACCOUNT",IF($Q108=0,"UNMAPPED",IF($R108=-1,"OUTSIDE FY RANGE","OK"))))</f>
        <v/>
      </c>
      <c r="U108" s="40" t="str">
        <f aca="false">IF($A108="","",$B108&amp;"|"&amp;TEXT($A108,"yyyymmdd")&amp;"|"&amp;TEXT($I108,"0.00"))</f>
        <v/>
      </c>
      <c r="V108" s="35" t="str">
        <f aca="false">IF($A108="","",COUNTIF($U$8:$U$5007,$U108))</f>
        <v/>
      </c>
    </row>
    <row r="109" customFormat="false" ht="15" hidden="false" customHeight="false" outlineLevel="0" collapsed="false">
      <c r="A109" s="31"/>
      <c r="B109" s="32"/>
      <c r="C109" s="32"/>
      <c r="D109" s="32"/>
      <c r="E109" s="32"/>
      <c r="F109" s="32"/>
      <c r="G109" s="33"/>
      <c r="H109" s="33"/>
      <c r="I109" s="34" t="str">
        <f aca="false">IF($A109="","",$G109-$H109)</f>
        <v/>
      </c>
      <c r="J109" s="35" t="str">
        <f aca="false">IF($A109="","",IF(Setup!$B$6=1,YEAR($A109),YEAR($A109)+IF(MONTH($A109)&gt;=Setup!$B$6,1,0)))</f>
        <v/>
      </c>
      <c r="K109" s="35" t="str">
        <f aca="false">IF($A109="","",MOD(MONTH($A109)-Setup!$B$6+12,12)+1)</f>
        <v/>
      </c>
      <c r="L109" s="36" t="str">
        <f aca="false">IF($A109="","",TEXT($A109,"MMM-YY"))</f>
        <v/>
      </c>
      <c r="M109" s="37" t="str">
        <f aca="false">IF($A109="","",IF($Q109=0,"UNMAPPED",INDEX(COA_Mapping!$C$7:$C$256,$Q109)))</f>
        <v/>
      </c>
      <c r="N109" s="38" t="str">
        <f aca="false">IF($A109="","",IF($Q109=0,"",INDEX(COA_Mapping!$E$7:$E$256,$Q109)))</f>
        <v/>
      </c>
      <c r="O109" s="38" t="n">
        <f aca="false">IF($A109="",1,IF($Q109=0,1,INDEX(COA_Mapping!$F$7:$F$256,$Q109)))</f>
        <v>1</v>
      </c>
      <c r="P109" s="34" t="str">
        <f aca="false">IF($A109="","",$I109*$O109)</f>
        <v/>
      </c>
      <c r="Q109" s="39" t="n">
        <f aca="false">IF($B109="",0,IFERROR(MATCH($B109,COA_Mapping!$A$7:$A$256,0),0))</f>
        <v>0</v>
      </c>
      <c r="R109" s="39" t="n">
        <f aca="false">IF($A109="",-1,IF($J109=Setup!$B$7,1,IF($J109=Setup!$B$9,0,-1)))</f>
        <v>-1</v>
      </c>
      <c r="S109" s="35" t="n">
        <f aca="false">IF(OR($A109="",$Q109=0,$R109=-1),0,$Q109*1000+$R109*100+$K109)</f>
        <v>0</v>
      </c>
      <c r="T109" s="37" t="str">
        <f aca="false">IF($A109="","",IF($B109="","NO ACCOUNT",IF($Q109=0,"UNMAPPED",IF($R109=-1,"OUTSIDE FY RANGE","OK"))))</f>
        <v/>
      </c>
      <c r="U109" s="40" t="str">
        <f aca="false">IF($A109="","",$B109&amp;"|"&amp;TEXT($A109,"yyyymmdd")&amp;"|"&amp;TEXT($I109,"0.00"))</f>
        <v/>
      </c>
      <c r="V109" s="35" t="str">
        <f aca="false">IF($A109="","",COUNTIF($U$8:$U$5007,$U109))</f>
        <v/>
      </c>
    </row>
    <row r="110" customFormat="false" ht="15" hidden="false" customHeight="false" outlineLevel="0" collapsed="false">
      <c r="A110" s="31"/>
      <c r="B110" s="32"/>
      <c r="C110" s="32"/>
      <c r="D110" s="32"/>
      <c r="E110" s="32"/>
      <c r="F110" s="32"/>
      <c r="G110" s="33"/>
      <c r="H110" s="33"/>
      <c r="I110" s="34" t="str">
        <f aca="false">IF($A110="","",$G110-$H110)</f>
        <v/>
      </c>
      <c r="J110" s="35" t="str">
        <f aca="false">IF($A110="","",IF(Setup!$B$6=1,YEAR($A110),YEAR($A110)+IF(MONTH($A110)&gt;=Setup!$B$6,1,0)))</f>
        <v/>
      </c>
      <c r="K110" s="35" t="str">
        <f aca="false">IF($A110="","",MOD(MONTH($A110)-Setup!$B$6+12,12)+1)</f>
        <v/>
      </c>
      <c r="L110" s="36" t="str">
        <f aca="false">IF($A110="","",TEXT($A110,"MMM-YY"))</f>
        <v/>
      </c>
      <c r="M110" s="37" t="str">
        <f aca="false">IF($A110="","",IF($Q110=0,"UNMAPPED",INDEX(COA_Mapping!$C$7:$C$256,$Q110)))</f>
        <v/>
      </c>
      <c r="N110" s="38" t="str">
        <f aca="false">IF($A110="","",IF($Q110=0,"",INDEX(COA_Mapping!$E$7:$E$256,$Q110)))</f>
        <v/>
      </c>
      <c r="O110" s="38" t="n">
        <f aca="false">IF($A110="",1,IF($Q110=0,1,INDEX(COA_Mapping!$F$7:$F$256,$Q110)))</f>
        <v>1</v>
      </c>
      <c r="P110" s="34" t="str">
        <f aca="false">IF($A110="","",$I110*$O110)</f>
        <v/>
      </c>
      <c r="Q110" s="39" t="n">
        <f aca="false">IF($B110="",0,IFERROR(MATCH($B110,COA_Mapping!$A$7:$A$256,0),0))</f>
        <v>0</v>
      </c>
      <c r="R110" s="39" t="n">
        <f aca="false">IF($A110="",-1,IF($J110=Setup!$B$7,1,IF($J110=Setup!$B$9,0,-1)))</f>
        <v>-1</v>
      </c>
      <c r="S110" s="35" t="n">
        <f aca="false">IF(OR($A110="",$Q110=0,$R110=-1),0,$Q110*1000+$R110*100+$K110)</f>
        <v>0</v>
      </c>
      <c r="T110" s="37" t="str">
        <f aca="false">IF($A110="","",IF($B110="","NO ACCOUNT",IF($Q110=0,"UNMAPPED",IF($R110=-1,"OUTSIDE FY RANGE","OK"))))</f>
        <v/>
      </c>
      <c r="U110" s="40" t="str">
        <f aca="false">IF($A110="","",$B110&amp;"|"&amp;TEXT($A110,"yyyymmdd")&amp;"|"&amp;TEXT($I110,"0.00"))</f>
        <v/>
      </c>
      <c r="V110" s="35" t="str">
        <f aca="false">IF($A110="","",COUNTIF($U$8:$U$5007,$U110))</f>
        <v/>
      </c>
    </row>
    <row r="111" customFormat="false" ht="15" hidden="false" customHeight="false" outlineLevel="0" collapsed="false">
      <c r="A111" s="31"/>
      <c r="B111" s="32"/>
      <c r="C111" s="32"/>
      <c r="D111" s="32"/>
      <c r="E111" s="32"/>
      <c r="F111" s="32"/>
      <c r="G111" s="33"/>
      <c r="H111" s="33"/>
      <c r="I111" s="34" t="str">
        <f aca="false">IF($A111="","",$G111-$H111)</f>
        <v/>
      </c>
      <c r="J111" s="35" t="str">
        <f aca="false">IF($A111="","",IF(Setup!$B$6=1,YEAR($A111),YEAR($A111)+IF(MONTH($A111)&gt;=Setup!$B$6,1,0)))</f>
        <v/>
      </c>
      <c r="K111" s="35" t="str">
        <f aca="false">IF($A111="","",MOD(MONTH($A111)-Setup!$B$6+12,12)+1)</f>
        <v/>
      </c>
      <c r="L111" s="36" t="str">
        <f aca="false">IF($A111="","",TEXT($A111,"MMM-YY"))</f>
        <v/>
      </c>
      <c r="M111" s="37" t="str">
        <f aca="false">IF($A111="","",IF($Q111=0,"UNMAPPED",INDEX(COA_Mapping!$C$7:$C$256,$Q111)))</f>
        <v/>
      </c>
      <c r="N111" s="38" t="str">
        <f aca="false">IF($A111="","",IF($Q111=0,"",INDEX(COA_Mapping!$E$7:$E$256,$Q111)))</f>
        <v/>
      </c>
      <c r="O111" s="38" t="n">
        <f aca="false">IF($A111="",1,IF($Q111=0,1,INDEX(COA_Mapping!$F$7:$F$256,$Q111)))</f>
        <v>1</v>
      </c>
      <c r="P111" s="34" t="str">
        <f aca="false">IF($A111="","",$I111*$O111)</f>
        <v/>
      </c>
      <c r="Q111" s="39" t="n">
        <f aca="false">IF($B111="",0,IFERROR(MATCH($B111,COA_Mapping!$A$7:$A$256,0),0))</f>
        <v>0</v>
      </c>
      <c r="R111" s="39" t="n">
        <f aca="false">IF($A111="",-1,IF($J111=Setup!$B$7,1,IF($J111=Setup!$B$9,0,-1)))</f>
        <v>-1</v>
      </c>
      <c r="S111" s="35" t="n">
        <f aca="false">IF(OR($A111="",$Q111=0,$R111=-1),0,$Q111*1000+$R111*100+$K111)</f>
        <v>0</v>
      </c>
      <c r="T111" s="37" t="str">
        <f aca="false">IF($A111="","",IF($B111="","NO ACCOUNT",IF($Q111=0,"UNMAPPED",IF($R111=-1,"OUTSIDE FY RANGE","OK"))))</f>
        <v/>
      </c>
      <c r="U111" s="40" t="str">
        <f aca="false">IF($A111="","",$B111&amp;"|"&amp;TEXT($A111,"yyyymmdd")&amp;"|"&amp;TEXT($I111,"0.00"))</f>
        <v/>
      </c>
      <c r="V111" s="35" t="str">
        <f aca="false">IF($A111="","",COUNTIF($U$8:$U$5007,$U111))</f>
        <v/>
      </c>
    </row>
    <row r="112" customFormat="false" ht="15" hidden="false" customHeight="false" outlineLevel="0" collapsed="false">
      <c r="A112" s="31"/>
      <c r="B112" s="32"/>
      <c r="C112" s="32"/>
      <c r="D112" s="32"/>
      <c r="E112" s="32"/>
      <c r="F112" s="32"/>
      <c r="G112" s="33"/>
      <c r="H112" s="33"/>
      <c r="I112" s="34" t="str">
        <f aca="false">IF($A112="","",$G112-$H112)</f>
        <v/>
      </c>
      <c r="J112" s="35" t="str">
        <f aca="false">IF($A112="","",IF(Setup!$B$6=1,YEAR($A112),YEAR($A112)+IF(MONTH($A112)&gt;=Setup!$B$6,1,0)))</f>
        <v/>
      </c>
      <c r="K112" s="35" t="str">
        <f aca="false">IF($A112="","",MOD(MONTH($A112)-Setup!$B$6+12,12)+1)</f>
        <v/>
      </c>
      <c r="L112" s="36" t="str">
        <f aca="false">IF($A112="","",TEXT($A112,"MMM-YY"))</f>
        <v/>
      </c>
      <c r="M112" s="37" t="str">
        <f aca="false">IF($A112="","",IF($Q112=0,"UNMAPPED",INDEX(COA_Mapping!$C$7:$C$256,$Q112)))</f>
        <v/>
      </c>
      <c r="N112" s="38" t="str">
        <f aca="false">IF($A112="","",IF($Q112=0,"",INDEX(COA_Mapping!$E$7:$E$256,$Q112)))</f>
        <v/>
      </c>
      <c r="O112" s="38" t="n">
        <f aca="false">IF($A112="",1,IF($Q112=0,1,INDEX(COA_Mapping!$F$7:$F$256,$Q112)))</f>
        <v>1</v>
      </c>
      <c r="P112" s="34" t="str">
        <f aca="false">IF($A112="","",$I112*$O112)</f>
        <v/>
      </c>
      <c r="Q112" s="39" t="n">
        <f aca="false">IF($B112="",0,IFERROR(MATCH($B112,COA_Mapping!$A$7:$A$256,0),0))</f>
        <v>0</v>
      </c>
      <c r="R112" s="39" t="n">
        <f aca="false">IF($A112="",-1,IF($J112=Setup!$B$7,1,IF($J112=Setup!$B$9,0,-1)))</f>
        <v>-1</v>
      </c>
      <c r="S112" s="35" t="n">
        <f aca="false">IF(OR($A112="",$Q112=0,$R112=-1),0,$Q112*1000+$R112*100+$K112)</f>
        <v>0</v>
      </c>
      <c r="T112" s="37" t="str">
        <f aca="false">IF($A112="","",IF($B112="","NO ACCOUNT",IF($Q112=0,"UNMAPPED",IF($R112=-1,"OUTSIDE FY RANGE","OK"))))</f>
        <v/>
      </c>
      <c r="U112" s="40" t="str">
        <f aca="false">IF($A112="","",$B112&amp;"|"&amp;TEXT($A112,"yyyymmdd")&amp;"|"&amp;TEXT($I112,"0.00"))</f>
        <v/>
      </c>
      <c r="V112" s="35" t="str">
        <f aca="false">IF($A112="","",COUNTIF($U$8:$U$5007,$U112))</f>
        <v/>
      </c>
    </row>
    <row r="113" customFormat="false" ht="15" hidden="false" customHeight="false" outlineLevel="0" collapsed="false">
      <c r="A113" s="31"/>
      <c r="B113" s="32"/>
      <c r="C113" s="32"/>
      <c r="D113" s="32"/>
      <c r="E113" s="32"/>
      <c r="F113" s="32"/>
      <c r="G113" s="33"/>
      <c r="H113" s="33"/>
      <c r="I113" s="34" t="str">
        <f aca="false">IF($A113="","",$G113-$H113)</f>
        <v/>
      </c>
      <c r="J113" s="35" t="str">
        <f aca="false">IF($A113="","",IF(Setup!$B$6=1,YEAR($A113),YEAR($A113)+IF(MONTH($A113)&gt;=Setup!$B$6,1,0)))</f>
        <v/>
      </c>
      <c r="K113" s="35" t="str">
        <f aca="false">IF($A113="","",MOD(MONTH($A113)-Setup!$B$6+12,12)+1)</f>
        <v/>
      </c>
      <c r="L113" s="36" t="str">
        <f aca="false">IF($A113="","",TEXT($A113,"MMM-YY"))</f>
        <v/>
      </c>
      <c r="M113" s="37" t="str">
        <f aca="false">IF($A113="","",IF($Q113=0,"UNMAPPED",INDEX(COA_Mapping!$C$7:$C$256,$Q113)))</f>
        <v/>
      </c>
      <c r="N113" s="38" t="str">
        <f aca="false">IF($A113="","",IF($Q113=0,"",INDEX(COA_Mapping!$E$7:$E$256,$Q113)))</f>
        <v/>
      </c>
      <c r="O113" s="38" t="n">
        <f aca="false">IF($A113="",1,IF($Q113=0,1,INDEX(COA_Mapping!$F$7:$F$256,$Q113)))</f>
        <v>1</v>
      </c>
      <c r="P113" s="34" t="str">
        <f aca="false">IF($A113="","",$I113*$O113)</f>
        <v/>
      </c>
      <c r="Q113" s="39" t="n">
        <f aca="false">IF($B113="",0,IFERROR(MATCH($B113,COA_Mapping!$A$7:$A$256,0),0))</f>
        <v>0</v>
      </c>
      <c r="R113" s="39" t="n">
        <f aca="false">IF($A113="",-1,IF($J113=Setup!$B$7,1,IF($J113=Setup!$B$9,0,-1)))</f>
        <v>-1</v>
      </c>
      <c r="S113" s="35" t="n">
        <f aca="false">IF(OR($A113="",$Q113=0,$R113=-1),0,$Q113*1000+$R113*100+$K113)</f>
        <v>0</v>
      </c>
      <c r="T113" s="37" t="str">
        <f aca="false">IF($A113="","",IF($B113="","NO ACCOUNT",IF($Q113=0,"UNMAPPED",IF($R113=-1,"OUTSIDE FY RANGE","OK"))))</f>
        <v/>
      </c>
      <c r="U113" s="40" t="str">
        <f aca="false">IF($A113="","",$B113&amp;"|"&amp;TEXT($A113,"yyyymmdd")&amp;"|"&amp;TEXT($I113,"0.00"))</f>
        <v/>
      </c>
      <c r="V113" s="35" t="str">
        <f aca="false">IF($A113="","",COUNTIF($U$8:$U$5007,$U113))</f>
        <v/>
      </c>
    </row>
    <row r="114" customFormat="false" ht="15" hidden="false" customHeight="false" outlineLevel="0" collapsed="false">
      <c r="A114" s="31"/>
      <c r="B114" s="32"/>
      <c r="C114" s="32"/>
      <c r="D114" s="32"/>
      <c r="E114" s="32"/>
      <c r="F114" s="32"/>
      <c r="G114" s="33"/>
      <c r="H114" s="33"/>
      <c r="I114" s="34" t="str">
        <f aca="false">IF($A114="","",$G114-$H114)</f>
        <v/>
      </c>
      <c r="J114" s="35" t="str">
        <f aca="false">IF($A114="","",IF(Setup!$B$6=1,YEAR($A114),YEAR($A114)+IF(MONTH($A114)&gt;=Setup!$B$6,1,0)))</f>
        <v/>
      </c>
      <c r="K114" s="35" t="str">
        <f aca="false">IF($A114="","",MOD(MONTH($A114)-Setup!$B$6+12,12)+1)</f>
        <v/>
      </c>
      <c r="L114" s="36" t="str">
        <f aca="false">IF($A114="","",TEXT($A114,"MMM-YY"))</f>
        <v/>
      </c>
      <c r="M114" s="37" t="str">
        <f aca="false">IF($A114="","",IF($Q114=0,"UNMAPPED",INDEX(COA_Mapping!$C$7:$C$256,$Q114)))</f>
        <v/>
      </c>
      <c r="N114" s="38" t="str">
        <f aca="false">IF($A114="","",IF($Q114=0,"",INDEX(COA_Mapping!$E$7:$E$256,$Q114)))</f>
        <v/>
      </c>
      <c r="O114" s="38" t="n">
        <f aca="false">IF($A114="",1,IF($Q114=0,1,INDEX(COA_Mapping!$F$7:$F$256,$Q114)))</f>
        <v>1</v>
      </c>
      <c r="P114" s="34" t="str">
        <f aca="false">IF($A114="","",$I114*$O114)</f>
        <v/>
      </c>
      <c r="Q114" s="39" t="n">
        <f aca="false">IF($B114="",0,IFERROR(MATCH($B114,COA_Mapping!$A$7:$A$256,0),0))</f>
        <v>0</v>
      </c>
      <c r="R114" s="39" t="n">
        <f aca="false">IF($A114="",-1,IF($J114=Setup!$B$7,1,IF($J114=Setup!$B$9,0,-1)))</f>
        <v>-1</v>
      </c>
      <c r="S114" s="35" t="n">
        <f aca="false">IF(OR($A114="",$Q114=0,$R114=-1),0,$Q114*1000+$R114*100+$K114)</f>
        <v>0</v>
      </c>
      <c r="T114" s="37" t="str">
        <f aca="false">IF($A114="","",IF($B114="","NO ACCOUNT",IF($Q114=0,"UNMAPPED",IF($R114=-1,"OUTSIDE FY RANGE","OK"))))</f>
        <v/>
      </c>
      <c r="U114" s="40" t="str">
        <f aca="false">IF($A114="","",$B114&amp;"|"&amp;TEXT($A114,"yyyymmdd")&amp;"|"&amp;TEXT($I114,"0.00"))</f>
        <v/>
      </c>
      <c r="V114" s="35" t="str">
        <f aca="false">IF($A114="","",COUNTIF($U$8:$U$5007,$U114))</f>
        <v/>
      </c>
    </row>
    <row r="115" customFormat="false" ht="15" hidden="false" customHeight="false" outlineLevel="0" collapsed="false">
      <c r="A115" s="31"/>
      <c r="B115" s="32"/>
      <c r="C115" s="32"/>
      <c r="D115" s="32"/>
      <c r="E115" s="32"/>
      <c r="F115" s="32"/>
      <c r="G115" s="33"/>
      <c r="H115" s="33"/>
      <c r="I115" s="34" t="str">
        <f aca="false">IF($A115="","",$G115-$H115)</f>
        <v/>
      </c>
      <c r="J115" s="35" t="str">
        <f aca="false">IF($A115="","",IF(Setup!$B$6=1,YEAR($A115),YEAR($A115)+IF(MONTH($A115)&gt;=Setup!$B$6,1,0)))</f>
        <v/>
      </c>
      <c r="K115" s="35" t="str">
        <f aca="false">IF($A115="","",MOD(MONTH($A115)-Setup!$B$6+12,12)+1)</f>
        <v/>
      </c>
      <c r="L115" s="36" t="str">
        <f aca="false">IF($A115="","",TEXT($A115,"MMM-YY"))</f>
        <v/>
      </c>
      <c r="M115" s="37" t="str">
        <f aca="false">IF($A115="","",IF($Q115=0,"UNMAPPED",INDEX(COA_Mapping!$C$7:$C$256,$Q115)))</f>
        <v/>
      </c>
      <c r="N115" s="38" t="str">
        <f aca="false">IF($A115="","",IF($Q115=0,"",INDEX(COA_Mapping!$E$7:$E$256,$Q115)))</f>
        <v/>
      </c>
      <c r="O115" s="38" t="n">
        <f aca="false">IF($A115="",1,IF($Q115=0,1,INDEX(COA_Mapping!$F$7:$F$256,$Q115)))</f>
        <v>1</v>
      </c>
      <c r="P115" s="34" t="str">
        <f aca="false">IF($A115="","",$I115*$O115)</f>
        <v/>
      </c>
      <c r="Q115" s="39" t="n">
        <f aca="false">IF($B115="",0,IFERROR(MATCH($B115,COA_Mapping!$A$7:$A$256,0),0))</f>
        <v>0</v>
      </c>
      <c r="R115" s="39" t="n">
        <f aca="false">IF($A115="",-1,IF($J115=Setup!$B$7,1,IF($J115=Setup!$B$9,0,-1)))</f>
        <v>-1</v>
      </c>
      <c r="S115" s="35" t="n">
        <f aca="false">IF(OR($A115="",$Q115=0,$R115=-1),0,$Q115*1000+$R115*100+$K115)</f>
        <v>0</v>
      </c>
      <c r="T115" s="37" t="str">
        <f aca="false">IF($A115="","",IF($B115="","NO ACCOUNT",IF($Q115=0,"UNMAPPED",IF($R115=-1,"OUTSIDE FY RANGE","OK"))))</f>
        <v/>
      </c>
      <c r="U115" s="40" t="str">
        <f aca="false">IF($A115="","",$B115&amp;"|"&amp;TEXT($A115,"yyyymmdd")&amp;"|"&amp;TEXT($I115,"0.00"))</f>
        <v/>
      </c>
      <c r="V115" s="35" t="str">
        <f aca="false">IF($A115="","",COUNTIF($U$8:$U$5007,$U115))</f>
        <v/>
      </c>
    </row>
    <row r="116" customFormat="false" ht="15" hidden="false" customHeight="false" outlineLevel="0" collapsed="false">
      <c r="A116" s="31"/>
      <c r="B116" s="32"/>
      <c r="C116" s="32"/>
      <c r="D116" s="32"/>
      <c r="E116" s="32"/>
      <c r="F116" s="32"/>
      <c r="G116" s="33"/>
      <c r="H116" s="33"/>
      <c r="I116" s="34" t="str">
        <f aca="false">IF($A116="","",$G116-$H116)</f>
        <v/>
      </c>
      <c r="J116" s="35" t="str">
        <f aca="false">IF($A116="","",IF(Setup!$B$6=1,YEAR($A116),YEAR($A116)+IF(MONTH($A116)&gt;=Setup!$B$6,1,0)))</f>
        <v/>
      </c>
      <c r="K116" s="35" t="str">
        <f aca="false">IF($A116="","",MOD(MONTH($A116)-Setup!$B$6+12,12)+1)</f>
        <v/>
      </c>
      <c r="L116" s="36" t="str">
        <f aca="false">IF($A116="","",TEXT($A116,"MMM-YY"))</f>
        <v/>
      </c>
      <c r="M116" s="37" t="str">
        <f aca="false">IF($A116="","",IF($Q116=0,"UNMAPPED",INDEX(COA_Mapping!$C$7:$C$256,$Q116)))</f>
        <v/>
      </c>
      <c r="N116" s="38" t="str">
        <f aca="false">IF($A116="","",IF($Q116=0,"",INDEX(COA_Mapping!$E$7:$E$256,$Q116)))</f>
        <v/>
      </c>
      <c r="O116" s="38" t="n">
        <f aca="false">IF($A116="",1,IF($Q116=0,1,INDEX(COA_Mapping!$F$7:$F$256,$Q116)))</f>
        <v>1</v>
      </c>
      <c r="P116" s="34" t="str">
        <f aca="false">IF($A116="","",$I116*$O116)</f>
        <v/>
      </c>
      <c r="Q116" s="39" t="n">
        <f aca="false">IF($B116="",0,IFERROR(MATCH($B116,COA_Mapping!$A$7:$A$256,0),0))</f>
        <v>0</v>
      </c>
      <c r="R116" s="39" t="n">
        <f aca="false">IF($A116="",-1,IF($J116=Setup!$B$7,1,IF($J116=Setup!$B$9,0,-1)))</f>
        <v>-1</v>
      </c>
      <c r="S116" s="35" t="n">
        <f aca="false">IF(OR($A116="",$Q116=0,$R116=-1),0,$Q116*1000+$R116*100+$K116)</f>
        <v>0</v>
      </c>
      <c r="T116" s="37" t="str">
        <f aca="false">IF($A116="","",IF($B116="","NO ACCOUNT",IF($Q116=0,"UNMAPPED",IF($R116=-1,"OUTSIDE FY RANGE","OK"))))</f>
        <v/>
      </c>
      <c r="U116" s="40" t="str">
        <f aca="false">IF($A116="","",$B116&amp;"|"&amp;TEXT($A116,"yyyymmdd")&amp;"|"&amp;TEXT($I116,"0.00"))</f>
        <v/>
      </c>
      <c r="V116" s="35" t="str">
        <f aca="false">IF($A116="","",COUNTIF($U$8:$U$5007,$U116))</f>
        <v/>
      </c>
    </row>
    <row r="117" customFormat="false" ht="15" hidden="false" customHeight="false" outlineLevel="0" collapsed="false">
      <c r="A117" s="31"/>
      <c r="B117" s="32"/>
      <c r="C117" s="32"/>
      <c r="D117" s="32"/>
      <c r="E117" s="32"/>
      <c r="F117" s="32"/>
      <c r="G117" s="33"/>
      <c r="H117" s="33"/>
      <c r="I117" s="34" t="str">
        <f aca="false">IF($A117="","",$G117-$H117)</f>
        <v/>
      </c>
      <c r="J117" s="35" t="str">
        <f aca="false">IF($A117="","",IF(Setup!$B$6=1,YEAR($A117),YEAR($A117)+IF(MONTH($A117)&gt;=Setup!$B$6,1,0)))</f>
        <v/>
      </c>
      <c r="K117" s="35" t="str">
        <f aca="false">IF($A117="","",MOD(MONTH($A117)-Setup!$B$6+12,12)+1)</f>
        <v/>
      </c>
      <c r="L117" s="36" t="str">
        <f aca="false">IF($A117="","",TEXT($A117,"MMM-YY"))</f>
        <v/>
      </c>
      <c r="M117" s="37" t="str">
        <f aca="false">IF($A117="","",IF($Q117=0,"UNMAPPED",INDEX(COA_Mapping!$C$7:$C$256,$Q117)))</f>
        <v/>
      </c>
      <c r="N117" s="38" t="str">
        <f aca="false">IF($A117="","",IF($Q117=0,"",INDEX(COA_Mapping!$E$7:$E$256,$Q117)))</f>
        <v/>
      </c>
      <c r="O117" s="38" t="n">
        <f aca="false">IF($A117="",1,IF($Q117=0,1,INDEX(COA_Mapping!$F$7:$F$256,$Q117)))</f>
        <v>1</v>
      </c>
      <c r="P117" s="34" t="str">
        <f aca="false">IF($A117="","",$I117*$O117)</f>
        <v/>
      </c>
      <c r="Q117" s="39" t="n">
        <f aca="false">IF($B117="",0,IFERROR(MATCH($B117,COA_Mapping!$A$7:$A$256,0),0))</f>
        <v>0</v>
      </c>
      <c r="R117" s="39" t="n">
        <f aca="false">IF($A117="",-1,IF($J117=Setup!$B$7,1,IF($J117=Setup!$B$9,0,-1)))</f>
        <v>-1</v>
      </c>
      <c r="S117" s="35" t="n">
        <f aca="false">IF(OR($A117="",$Q117=0,$R117=-1),0,$Q117*1000+$R117*100+$K117)</f>
        <v>0</v>
      </c>
      <c r="T117" s="37" t="str">
        <f aca="false">IF($A117="","",IF($B117="","NO ACCOUNT",IF($Q117=0,"UNMAPPED",IF($R117=-1,"OUTSIDE FY RANGE","OK"))))</f>
        <v/>
      </c>
      <c r="U117" s="40" t="str">
        <f aca="false">IF($A117="","",$B117&amp;"|"&amp;TEXT($A117,"yyyymmdd")&amp;"|"&amp;TEXT($I117,"0.00"))</f>
        <v/>
      </c>
      <c r="V117" s="35" t="str">
        <f aca="false">IF($A117="","",COUNTIF($U$8:$U$5007,$U117))</f>
        <v/>
      </c>
    </row>
    <row r="118" customFormat="false" ht="15" hidden="false" customHeight="false" outlineLevel="0" collapsed="false">
      <c r="A118" s="31"/>
      <c r="B118" s="32"/>
      <c r="C118" s="32"/>
      <c r="D118" s="32"/>
      <c r="E118" s="32"/>
      <c r="F118" s="32"/>
      <c r="G118" s="33"/>
      <c r="H118" s="33"/>
      <c r="I118" s="34" t="str">
        <f aca="false">IF($A118="","",$G118-$H118)</f>
        <v/>
      </c>
      <c r="J118" s="35" t="str">
        <f aca="false">IF($A118="","",IF(Setup!$B$6=1,YEAR($A118),YEAR($A118)+IF(MONTH($A118)&gt;=Setup!$B$6,1,0)))</f>
        <v/>
      </c>
      <c r="K118" s="35" t="str">
        <f aca="false">IF($A118="","",MOD(MONTH($A118)-Setup!$B$6+12,12)+1)</f>
        <v/>
      </c>
      <c r="L118" s="36" t="str">
        <f aca="false">IF($A118="","",TEXT($A118,"MMM-YY"))</f>
        <v/>
      </c>
      <c r="M118" s="37" t="str">
        <f aca="false">IF($A118="","",IF($Q118=0,"UNMAPPED",INDEX(COA_Mapping!$C$7:$C$256,$Q118)))</f>
        <v/>
      </c>
      <c r="N118" s="38" t="str">
        <f aca="false">IF($A118="","",IF($Q118=0,"",INDEX(COA_Mapping!$E$7:$E$256,$Q118)))</f>
        <v/>
      </c>
      <c r="O118" s="38" t="n">
        <f aca="false">IF($A118="",1,IF($Q118=0,1,INDEX(COA_Mapping!$F$7:$F$256,$Q118)))</f>
        <v>1</v>
      </c>
      <c r="P118" s="34" t="str">
        <f aca="false">IF($A118="","",$I118*$O118)</f>
        <v/>
      </c>
      <c r="Q118" s="39" t="n">
        <f aca="false">IF($B118="",0,IFERROR(MATCH($B118,COA_Mapping!$A$7:$A$256,0),0))</f>
        <v>0</v>
      </c>
      <c r="R118" s="39" t="n">
        <f aca="false">IF($A118="",-1,IF($J118=Setup!$B$7,1,IF($J118=Setup!$B$9,0,-1)))</f>
        <v>-1</v>
      </c>
      <c r="S118" s="35" t="n">
        <f aca="false">IF(OR($A118="",$Q118=0,$R118=-1),0,$Q118*1000+$R118*100+$K118)</f>
        <v>0</v>
      </c>
      <c r="T118" s="37" t="str">
        <f aca="false">IF($A118="","",IF($B118="","NO ACCOUNT",IF($Q118=0,"UNMAPPED",IF($R118=-1,"OUTSIDE FY RANGE","OK"))))</f>
        <v/>
      </c>
      <c r="U118" s="40" t="str">
        <f aca="false">IF($A118="","",$B118&amp;"|"&amp;TEXT($A118,"yyyymmdd")&amp;"|"&amp;TEXT($I118,"0.00"))</f>
        <v/>
      </c>
      <c r="V118" s="35" t="str">
        <f aca="false">IF($A118="","",COUNTIF($U$8:$U$5007,$U118))</f>
        <v/>
      </c>
    </row>
    <row r="119" customFormat="false" ht="15" hidden="false" customHeight="false" outlineLevel="0" collapsed="false">
      <c r="A119" s="31"/>
      <c r="B119" s="32"/>
      <c r="C119" s="32"/>
      <c r="D119" s="32"/>
      <c r="E119" s="32"/>
      <c r="F119" s="32"/>
      <c r="G119" s="33"/>
      <c r="H119" s="33"/>
      <c r="I119" s="34" t="str">
        <f aca="false">IF($A119="","",$G119-$H119)</f>
        <v/>
      </c>
      <c r="J119" s="35" t="str">
        <f aca="false">IF($A119="","",IF(Setup!$B$6=1,YEAR($A119),YEAR($A119)+IF(MONTH($A119)&gt;=Setup!$B$6,1,0)))</f>
        <v/>
      </c>
      <c r="K119" s="35" t="str">
        <f aca="false">IF($A119="","",MOD(MONTH($A119)-Setup!$B$6+12,12)+1)</f>
        <v/>
      </c>
      <c r="L119" s="36" t="str">
        <f aca="false">IF($A119="","",TEXT($A119,"MMM-YY"))</f>
        <v/>
      </c>
      <c r="M119" s="37" t="str">
        <f aca="false">IF($A119="","",IF($Q119=0,"UNMAPPED",INDEX(COA_Mapping!$C$7:$C$256,$Q119)))</f>
        <v/>
      </c>
      <c r="N119" s="38" t="str">
        <f aca="false">IF($A119="","",IF($Q119=0,"",INDEX(COA_Mapping!$E$7:$E$256,$Q119)))</f>
        <v/>
      </c>
      <c r="O119" s="38" t="n">
        <f aca="false">IF($A119="",1,IF($Q119=0,1,INDEX(COA_Mapping!$F$7:$F$256,$Q119)))</f>
        <v>1</v>
      </c>
      <c r="P119" s="34" t="str">
        <f aca="false">IF($A119="","",$I119*$O119)</f>
        <v/>
      </c>
      <c r="Q119" s="39" t="n">
        <f aca="false">IF($B119="",0,IFERROR(MATCH($B119,COA_Mapping!$A$7:$A$256,0),0))</f>
        <v>0</v>
      </c>
      <c r="R119" s="39" t="n">
        <f aca="false">IF($A119="",-1,IF($J119=Setup!$B$7,1,IF($J119=Setup!$B$9,0,-1)))</f>
        <v>-1</v>
      </c>
      <c r="S119" s="35" t="n">
        <f aca="false">IF(OR($A119="",$Q119=0,$R119=-1),0,$Q119*1000+$R119*100+$K119)</f>
        <v>0</v>
      </c>
      <c r="T119" s="37" t="str">
        <f aca="false">IF($A119="","",IF($B119="","NO ACCOUNT",IF($Q119=0,"UNMAPPED",IF($R119=-1,"OUTSIDE FY RANGE","OK"))))</f>
        <v/>
      </c>
      <c r="U119" s="40" t="str">
        <f aca="false">IF($A119="","",$B119&amp;"|"&amp;TEXT($A119,"yyyymmdd")&amp;"|"&amp;TEXT($I119,"0.00"))</f>
        <v/>
      </c>
      <c r="V119" s="35" t="str">
        <f aca="false">IF($A119="","",COUNTIF($U$8:$U$5007,$U119))</f>
        <v/>
      </c>
    </row>
    <row r="120" customFormat="false" ht="15" hidden="false" customHeight="false" outlineLevel="0" collapsed="false">
      <c r="A120" s="31"/>
      <c r="B120" s="32"/>
      <c r="C120" s="32"/>
      <c r="D120" s="32"/>
      <c r="E120" s="32"/>
      <c r="F120" s="32"/>
      <c r="G120" s="33"/>
      <c r="H120" s="33"/>
      <c r="I120" s="34" t="str">
        <f aca="false">IF($A120="","",$G120-$H120)</f>
        <v/>
      </c>
      <c r="J120" s="35" t="str">
        <f aca="false">IF($A120="","",IF(Setup!$B$6=1,YEAR($A120),YEAR($A120)+IF(MONTH($A120)&gt;=Setup!$B$6,1,0)))</f>
        <v/>
      </c>
      <c r="K120" s="35" t="str">
        <f aca="false">IF($A120="","",MOD(MONTH($A120)-Setup!$B$6+12,12)+1)</f>
        <v/>
      </c>
      <c r="L120" s="36" t="str">
        <f aca="false">IF($A120="","",TEXT($A120,"MMM-YY"))</f>
        <v/>
      </c>
      <c r="M120" s="37" t="str">
        <f aca="false">IF($A120="","",IF($Q120=0,"UNMAPPED",INDEX(COA_Mapping!$C$7:$C$256,$Q120)))</f>
        <v/>
      </c>
      <c r="N120" s="38" t="str">
        <f aca="false">IF($A120="","",IF($Q120=0,"",INDEX(COA_Mapping!$E$7:$E$256,$Q120)))</f>
        <v/>
      </c>
      <c r="O120" s="38" t="n">
        <f aca="false">IF($A120="",1,IF($Q120=0,1,INDEX(COA_Mapping!$F$7:$F$256,$Q120)))</f>
        <v>1</v>
      </c>
      <c r="P120" s="34" t="str">
        <f aca="false">IF($A120="","",$I120*$O120)</f>
        <v/>
      </c>
      <c r="Q120" s="39" t="n">
        <f aca="false">IF($B120="",0,IFERROR(MATCH($B120,COA_Mapping!$A$7:$A$256,0),0))</f>
        <v>0</v>
      </c>
      <c r="R120" s="39" t="n">
        <f aca="false">IF($A120="",-1,IF($J120=Setup!$B$7,1,IF($J120=Setup!$B$9,0,-1)))</f>
        <v>-1</v>
      </c>
      <c r="S120" s="35" t="n">
        <f aca="false">IF(OR($A120="",$Q120=0,$R120=-1),0,$Q120*1000+$R120*100+$K120)</f>
        <v>0</v>
      </c>
      <c r="T120" s="37" t="str">
        <f aca="false">IF($A120="","",IF($B120="","NO ACCOUNT",IF($Q120=0,"UNMAPPED",IF($R120=-1,"OUTSIDE FY RANGE","OK"))))</f>
        <v/>
      </c>
      <c r="U120" s="40" t="str">
        <f aca="false">IF($A120="","",$B120&amp;"|"&amp;TEXT($A120,"yyyymmdd")&amp;"|"&amp;TEXT($I120,"0.00"))</f>
        <v/>
      </c>
      <c r="V120" s="35" t="str">
        <f aca="false">IF($A120="","",COUNTIF($U$8:$U$5007,$U120))</f>
        <v/>
      </c>
    </row>
    <row r="121" customFormat="false" ht="15" hidden="false" customHeight="false" outlineLevel="0" collapsed="false">
      <c r="A121" s="31"/>
      <c r="B121" s="32"/>
      <c r="C121" s="32"/>
      <c r="D121" s="32"/>
      <c r="E121" s="32"/>
      <c r="F121" s="32"/>
      <c r="G121" s="33"/>
      <c r="H121" s="33"/>
      <c r="I121" s="34" t="str">
        <f aca="false">IF($A121="","",$G121-$H121)</f>
        <v/>
      </c>
      <c r="J121" s="35" t="str">
        <f aca="false">IF($A121="","",IF(Setup!$B$6=1,YEAR($A121),YEAR($A121)+IF(MONTH($A121)&gt;=Setup!$B$6,1,0)))</f>
        <v/>
      </c>
      <c r="K121" s="35" t="str">
        <f aca="false">IF($A121="","",MOD(MONTH($A121)-Setup!$B$6+12,12)+1)</f>
        <v/>
      </c>
      <c r="L121" s="36" t="str">
        <f aca="false">IF($A121="","",TEXT($A121,"MMM-YY"))</f>
        <v/>
      </c>
      <c r="M121" s="37" t="str">
        <f aca="false">IF($A121="","",IF($Q121=0,"UNMAPPED",INDEX(COA_Mapping!$C$7:$C$256,$Q121)))</f>
        <v/>
      </c>
      <c r="N121" s="38" t="str">
        <f aca="false">IF($A121="","",IF($Q121=0,"",INDEX(COA_Mapping!$E$7:$E$256,$Q121)))</f>
        <v/>
      </c>
      <c r="O121" s="38" t="n">
        <f aca="false">IF($A121="",1,IF($Q121=0,1,INDEX(COA_Mapping!$F$7:$F$256,$Q121)))</f>
        <v>1</v>
      </c>
      <c r="P121" s="34" t="str">
        <f aca="false">IF($A121="","",$I121*$O121)</f>
        <v/>
      </c>
      <c r="Q121" s="39" t="n">
        <f aca="false">IF($B121="",0,IFERROR(MATCH($B121,COA_Mapping!$A$7:$A$256,0),0))</f>
        <v>0</v>
      </c>
      <c r="R121" s="39" t="n">
        <f aca="false">IF($A121="",-1,IF($J121=Setup!$B$7,1,IF($J121=Setup!$B$9,0,-1)))</f>
        <v>-1</v>
      </c>
      <c r="S121" s="35" t="n">
        <f aca="false">IF(OR($A121="",$Q121=0,$R121=-1),0,$Q121*1000+$R121*100+$K121)</f>
        <v>0</v>
      </c>
      <c r="T121" s="37" t="str">
        <f aca="false">IF($A121="","",IF($B121="","NO ACCOUNT",IF($Q121=0,"UNMAPPED",IF($R121=-1,"OUTSIDE FY RANGE","OK"))))</f>
        <v/>
      </c>
      <c r="U121" s="40" t="str">
        <f aca="false">IF($A121="","",$B121&amp;"|"&amp;TEXT($A121,"yyyymmdd")&amp;"|"&amp;TEXT($I121,"0.00"))</f>
        <v/>
      </c>
      <c r="V121" s="35" t="str">
        <f aca="false">IF($A121="","",COUNTIF($U$8:$U$5007,$U121))</f>
        <v/>
      </c>
    </row>
    <row r="122" customFormat="false" ht="15" hidden="false" customHeight="false" outlineLevel="0" collapsed="false">
      <c r="A122" s="31"/>
      <c r="B122" s="32"/>
      <c r="C122" s="32"/>
      <c r="D122" s="32"/>
      <c r="E122" s="32"/>
      <c r="F122" s="32"/>
      <c r="G122" s="33"/>
      <c r="H122" s="33"/>
      <c r="I122" s="34" t="str">
        <f aca="false">IF($A122="","",$G122-$H122)</f>
        <v/>
      </c>
      <c r="J122" s="35" t="str">
        <f aca="false">IF($A122="","",IF(Setup!$B$6=1,YEAR($A122),YEAR($A122)+IF(MONTH($A122)&gt;=Setup!$B$6,1,0)))</f>
        <v/>
      </c>
      <c r="K122" s="35" t="str">
        <f aca="false">IF($A122="","",MOD(MONTH($A122)-Setup!$B$6+12,12)+1)</f>
        <v/>
      </c>
      <c r="L122" s="36" t="str">
        <f aca="false">IF($A122="","",TEXT($A122,"MMM-YY"))</f>
        <v/>
      </c>
      <c r="M122" s="37" t="str">
        <f aca="false">IF($A122="","",IF($Q122=0,"UNMAPPED",INDEX(COA_Mapping!$C$7:$C$256,$Q122)))</f>
        <v/>
      </c>
      <c r="N122" s="38" t="str">
        <f aca="false">IF($A122="","",IF($Q122=0,"",INDEX(COA_Mapping!$E$7:$E$256,$Q122)))</f>
        <v/>
      </c>
      <c r="O122" s="38" t="n">
        <f aca="false">IF($A122="",1,IF($Q122=0,1,INDEX(COA_Mapping!$F$7:$F$256,$Q122)))</f>
        <v>1</v>
      </c>
      <c r="P122" s="34" t="str">
        <f aca="false">IF($A122="","",$I122*$O122)</f>
        <v/>
      </c>
      <c r="Q122" s="39" t="n">
        <f aca="false">IF($B122="",0,IFERROR(MATCH($B122,COA_Mapping!$A$7:$A$256,0),0))</f>
        <v>0</v>
      </c>
      <c r="R122" s="39" t="n">
        <f aca="false">IF($A122="",-1,IF($J122=Setup!$B$7,1,IF($J122=Setup!$B$9,0,-1)))</f>
        <v>-1</v>
      </c>
      <c r="S122" s="35" t="n">
        <f aca="false">IF(OR($A122="",$Q122=0,$R122=-1),0,$Q122*1000+$R122*100+$K122)</f>
        <v>0</v>
      </c>
      <c r="T122" s="37" t="str">
        <f aca="false">IF($A122="","",IF($B122="","NO ACCOUNT",IF($Q122=0,"UNMAPPED",IF($R122=-1,"OUTSIDE FY RANGE","OK"))))</f>
        <v/>
      </c>
      <c r="U122" s="40" t="str">
        <f aca="false">IF($A122="","",$B122&amp;"|"&amp;TEXT($A122,"yyyymmdd")&amp;"|"&amp;TEXT($I122,"0.00"))</f>
        <v/>
      </c>
      <c r="V122" s="35" t="str">
        <f aca="false">IF($A122="","",COUNTIF($U$8:$U$5007,$U122))</f>
        <v/>
      </c>
    </row>
    <row r="123" customFormat="false" ht="15" hidden="false" customHeight="false" outlineLevel="0" collapsed="false">
      <c r="A123" s="31"/>
      <c r="B123" s="32"/>
      <c r="C123" s="32"/>
      <c r="D123" s="32"/>
      <c r="E123" s="32"/>
      <c r="F123" s="32"/>
      <c r="G123" s="33"/>
      <c r="H123" s="33"/>
      <c r="I123" s="34" t="str">
        <f aca="false">IF($A123="","",$G123-$H123)</f>
        <v/>
      </c>
      <c r="J123" s="35" t="str">
        <f aca="false">IF($A123="","",IF(Setup!$B$6=1,YEAR($A123),YEAR($A123)+IF(MONTH($A123)&gt;=Setup!$B$6,1,0)))</f>
        <v/>
      </c>
      <c r="K123" s="35" t="str">
        <f aca="false">IF($A123="","",MOD(MONTH($A123)-Setup!$B$6+12,12)+1)</f>
        <v/>
      </c>
      <c r="L123" s="36" t="str">
        <f aca="false">IF($A123="","",TEXT($A123,"MMM-YY"))</f>
        <v/>
      </c>
      <c r="M123" s="37" t="str">
        <f aca="false">IF($A123="","",IF($Q123=0,"UNMAPPED",INDEX(COA_Mapping!$C$7:$C$256,$Q123)))</f>
        <v/>
      </c>
      <c r="N123" s="38" t="str">
        <f aca="false">IF($A123="","",IF($Q123=0,"",INDEX(COA_Mapping!$E$7:$E$256,$Q123)))</f>
        <v/>
      </c>
      <c r="O123" s="38" t="n">
        <f aca="false">IF($A123="",1,IF($Q123=0,1,INDEX(COA_Mapping!$F$7:$F$256,$Q123)))</f>
        <v>1</v>
      </c>
      <c r="P123" s="34" t="str">
        <f aca="false">IF($A123="","",$I123*$O123)</f>
        <v/>
      </c>
      <c r="Q123" s="39" t="n">
        <f aca="false">IF($B123="",0,IFERROR(MATCH($B123,COA_Mapping!$A$7:$A$256,0),0))</f>
        <v>0</v>
      </c>
      <c r="R123" s="39" t="n">
        <f aca="false">IF($A123="",-1,IF($J123=Setup!$B$7,1,IF($J123=Setup!$B$9,0,-1)))</f>
        <v>-1</v>
      </c>
      <c r="S123" s="35" t="n">
        <f aca="false">IF(OR($A123="",$Q123=0,$R123=-1),0,$Q123*1000+$R123*100+$K123)</f>
        <v>0</v>
      </c>
      <c r="T123" s="37" t="str">
        <f aca="false">IF($A123="","",IF($B123="","NO ACCOUNT",IF($Q123=0,"UNMAPPED",IF($R123=-1,"OUTSIDE FY RANGE","OK"))))</f>
        <v/>
      </c>
      <c r="U123" s="40" t="str">
        <f aca="false">IF($A123="","",$B123&amp;"|"&amp;TEXT($A123,"yyyymmdd")&amp;"|"&amp;TEXT($I123,"0.00"))</f>
        <v/>
      </c>
      <c r="V123" s="35" t="str">
        <f aca="false">IF($A123="","",COUNTIF($U$8:$U$5007,$U123))</f>
        <v/>
      </c>
    </row>
    <row r="124" customFormat="false" ht="15" hidden="false" customHeight="false" outlineLevel="0" collapsed="false">
      <c r="A124" s="31"/>
      <c r="B124" s="32"/>
      <c r="C124" s="32"/>
      <c r="D124" s="32"/>
      <c r="E124" s="32"/>
      <c r="F124" s="32"/>
      <c r="G124" s="33"/>
      <c r="H124" s="33"/>
      <c r="I124" s="34" t="str">
        <f aca="false">IF($A124="","",$G124-$H124)</f>
        <v/>
      </c>
      <c r="J124" s="35" t="str">
        <f aca="false">IF($A124="","",IF(Setup!$B$6=1,YEAR($A124),YEAR($A124)+IF(MONTH($A124)&gt;=Setup!$B$6,1,0)))</f>
        <v/>
      </c>
      <c r="K124" s="35" t="str">
        <f aca="false">IF($A124="","",MOD(MONTH($A124)-Setup!$B$6+12,12)+1)</f>
        <v/>
      </c>
      <c r="L124" s="36" t="str">
        <f aca="false">IF($A124="","",TEXT($A124,"MMM-YY"))</f>
        <v/>
      </c>
      <c r="M124" s="37" t="str">
        <f aca="false">IF($A124="","",IF($Q124=0,"UNMAPPED",INDEX(COA_Mapping!$C$7:$C$256,$Q124)))</f>
        <v/>
      </c>
      <c r="N124" s="38" t="str">
        <f aca="false">IF($A124="","",IF($Q124=0,"",INDEX(COA_Mapping!$E$7:$E$256,$Q124)))</f>
        <v/>
      </c>
      <c r="O124" s="38" t="n">
        <f aca="false">IF($A124="",1,IF($Q124=0,1,INDEX(COA_Mapping!$F$7:$F$256,$Q124)))</f>
        <v>1</v>
      </c>
      <c r="P124" s="34" t="str">
        <f aca="false">IF($A124="","",$I124*$O124)</f>
        <v/>
      </c>
      <c r="Q124" s="39" t="n">
        <f aca="false">IF($B124="",0,IFERROR(MATCH($B124,COA_Mapping!$A$7:$A$256,0),0))</f>
        <v>0</v>
      </c>
      <c r="R124" s="39" t="n">
        <f aca="false">IF($A124="",-1,IF($J124=Setup!$B$7,1,IF($J124=Setup!$B$9,0,-1)))</f>
        <v>-1</v>
      </c>
      <c r="S124" s="35" t="n">
        <f aca="false">IF(OR($A124="",$Q124=0,$R124=-1),0,$Q124*1000+$R124*100+$K124)</f>
        <v>0</v>
      </c>
      <c r="T124" s="37" t="str">
        <f aca="false">IF($A124="","",IF($B124="","NO ACCOUNT",IF($Q124=0,"UNMAPPED",IF($R124=-1,"OUTSIDE FY RANGE","OK"))))</f>
        <v/>
      </c>
      <c r="U124" s="40" t="str">
        <f aca="false">IF($A124="","",$B124&amp;"|"&amp;TEXT($A124,"yyyymmdd")&amp;"|"&amp;TEXT($I124,"0.00"))</f>
        <v/>
      </c>
      <c r="V124" s="35" t="str">
        <f aca="false">IF($A124="","",COUNTIF($U$8:$U$5007,$U124))</f>
        <v/>
      </c>
    </row>
    <row r="125" customFormat="false" ht="15" hidden="false" customHeight="false" outlineLevel="0" collapsed="false">
      <c r="A125" s="31"/>
      <c r="B125" s="32"/>
      <c r="C125" s="32"/>
      <c r="D125" s="32"/>
      <c r="E125" s="32"/>
      <c r="F125" s="32"/>
      <c r="G125" s="33"/>
      <c r="H125" s="33"/>
      <c r="I125" s="34" t="str">
        <f aca="false">IF($A125="","",$G125-$H125)</f>
        <v/>
      </c>
      <c r="J125" s="35" t="str">
        <f aca="false">IF($A125="","",IF(Setup!$B$6=1,YEAR($A125),YEAR($A125)+IF(MONTH($A125)&gt;=Setup!$B$6,1,0)))</f>
        <v/>
      </c>
      <c r="K125" s="35" t="str">
        <f aca="false">IF($A125="","",MOD(MONTH($A125)-Setup!$B$6+12,12)+1)</f>
        <v/>
      </c>
      <c r="L125" s="36" t="str">
        <f aca="false">IF($A125="","",TEXT($A125,"MMM-YY"))</f>
        <v/>
      </c>
      <c r="M125" s="37" t="str">
        <f aca="false">IF($A125="","",IF($Q125=0,"UNMAPPED",INDEX(COA_Mapping!$C$7:$C$256,$Q125)))</f>
        <v/>
      </c>
      <c r="N125" s="38" t="str">
        <f aca="false">IF($A125="","",IF($Q125=0,"",INDEX(COA_Mapping!$E$7:$E$256,$Q125)))</f>
        <v/>
      </c>
      <c r="O125" s="38" t="n">
        <f aca="false">IF($A125="",1,IF($Q125=0,1,INDEX(COA_Mapping!$F$7:$F$256,$Q125)))</f>
        <v>1</v>
      </c>
      <c r="P125" s="34" t="str">
        <f aca="false">IF($A125="","",$I125*$O125)</f>
        <v/>
      </c>
      <c r="Q125" s="39" t="n">
        <f aca="false">IF($B125="",0,IFERROR(MATCH($B125,COA_Mapping!$A$7:$A$256,0),0))</f>
        <v>0</v>
      </c>
      <c r="R125" s="39" t="n">
        <f aca="false">IF($A125="",-1,IF($J125=Setup!$B$7,1,IF($J125=Setup!$B$9,0,-1)))</f>
        <v>-1</v>
      </c>
      <c r="S125" s="35" t="n">
        <f aca="false">IF(OR($A125="",$Q125=0,$R125=-1),0,$Q125*1000+$R125*100+$K125)</f>
        <v>0</v>
      </c>
      <c r="T125" s="37" t="str">
        <f aca="false">IF($A125="","",IF($B125="","NO ACCOUNT",IF($Q125=0,"UNMAPPED",IF($R125=-1,"OUTSIDE FY RANGE","OK"))))</f>
        <v/>
      </c>
      <c r="U125" s="40" t="str">
        <f aca="false">IF($A125="","",$B125&amp;"|"&amp;TEXT($A125,"yyyymmdd")&amp;"|"&amp;TEXT($I125,"0.00"))</f>
        <v/>
      </c>
      <c r="V125" s="35" t="str">
        <f aca="false">IF($A125="","",COUNTIF($U$8:$U$5007,$U125))</f>
        <v/>
      </c>
    </row>
    <row r="126" customFormat="false" ht="15" hidden="false" customHeight="false" outlineLevel="0" collapsed="false">
      <c r="A126" s="31"/>
      <c r="B126" s="32"/>
      <c r="C126" s="32"/>
      <c r="D126" s="32"/>
      <c r="E126" s="32"/>
      <c r="F126" s="32"/>
      <c r="G126" s="33"/>
      <c r="H126" s="33"/>
      <c r="I126" s="34" t="str">
        <f aca="false">IF($A126="","",$G126-$H126)</f>
        <v/>
      </c>
      <c r="J126" s="35" t="str">
        <f aca="false">IF($A126="","",IF(Setup!$B$6=1,YEAR($A126),YEAR($A126)+IF(MONTH($A126)&gt;=Setup!$B$6,1,0)))</f>
        <v/>
      </c>
      <c r="K126" s="35" t="str">
        <f aca="false">IF($A126="","",MOD(MONTH($A126)-Setup!$B$6+12,12)+1)</f>
        <v/>
      </c>
      <c r="L126" s="36" t="str">
        <f aca="false">IF($A126="","",TEXT($A126,"MMM-YY"))</f>
        <v/>
      </c>
      <c r="M126" s="37" t="str">
        <f aca="false">IF($A126="","",IF($Q126=0,"UNMAPPED",INDEX(COA_Mapping!$C$7:$C$256,$Q126)))</f>
        <v/>
      </c>
      <c r="N126" s="38" t="str">
        <f aca="false">IF($A126="","",IF($Q126=0,"",INDEX(COA_Mapping!$E$7:$E$256,$Q126)))</f>
        <v/>
      </c>
      <c r="O126" s="38" t="n">
        <f aca="false">IF($A126="",1,IF($Q126=0,1,INDEX(COA_Mapping!$F$7:$F$256,$Q126)))</f>
        <v>1</v>
      </c>
      <c r="P126" s="34" t="str">
        <f aca="false">IF($A126="","",$I126*$O126)</f>
        <v/>
      </c>
      <c r="Q126" s="39" t="n">
        <f aca="false">IF($B126="",0,IFERROR(MATCH($B126,COA_Mapping!$A$7:$A$256,0),0))</f>
        <v>0</v>
      </c>
      <c r="R126" s="39" t="n">
        <f aca="false">IF($A126="",-1,IF($J126=Setup!$B$7,1,IF($J126=Setup!$B$9,0,-1)))</f>
        <v>-1</v>
      </c>
      <c r="S126" s="35" t="n">
        <f aca="false">IF(OR($A126="",$Q126=0,$R126=-1),0,$Q126*1000+$R126*100+$K126)</f>
        <v>0</v>
      </c>
      <c r="T126" s="37" t="str">
        <f aca="false">IF($A126="","",IF($B126="","NO ACCOUNT",IF($Q126=0,"UNMAPPED",IF($R126=-1,"OUTSIDE FY RANGE","OK"))))</f>
        <v/>
      </c>
      <c r="U126" s="40" t="str">
        <f aca="false">IF($A126="","",$B126&amp;"|"&amp;TEXT($A126,"yyyymmdd")&amp;"|"&amp;TEXT($I126,"0.00"))</f>
        <v/>
      </c>
      <c r="V126" s="35" t="str">
        <f aca="false">IF($A126="","",COUNTIF($U$8:$U$5007,$U126))</f>
        <v/>
      </c>
    </row>
    <row r="127" customFormat="false" ht="15" hidden="false" customHeight="false" outlineLevel="0" collapsed="false">
      <c r="A127" s="31"/>
      <c r="B127" s="32"/>
      <c r="C127" s="32"/>
      <c r="D127" s="32"/>
      <c r="E127" s="32"/>
      <c r="F127" s="32"/>
      <c r="G127" s="33"/>
      <c r="H127" s="33"/>
      <c r="I127" s="34" t="str">
        <f aca="false">IF($A127="","",$G127-$H127)</f>
        <v/>
      </c>
      <c r="J127" s="35" t="str">
        <f aca="false">IF($A127="","",IF(Setup!$B$6=1,YEAR($A127),YEAR($A127)+IF(MONTH($A127)&gt;=Setup!$B$6,1,0)))</f>
        <v/>
      </c>
      <c r="K127" s="35" t="str">
        <f aca="false">IF($A127="","",MOD(MONTH($A127)-Setup!$B$6+12,12)+1)</f>
        <v/>
      </c>
      <c r="L127" s="36" t="str">
        <f aca="false">IF($A127="","",TEXT($A127,"MMM-YY"))</f>
        <v/>
      </c>
      <c r="M127" s="37" t="str">
        <f aca="false">IF($A127="","",IF($Q127=0,"UNMAPPED",INDEX(COA_Mapping!$C$7:$C$256,$Q127)))</f>
        <v/>
      </c>
      <c r="N127" s="38" t="str">
        <f aca="false">IF($A127="","",IF($Q127=0,"",INDEX(COA_Mapping!$E$7:$E$256,$Q127)))</f>
        <v/>
      </c>
      <c r="O127" s="38" t="n">
        <f aca="false">IF($A127="",1,IF($Q127=0,1,INDEX(COA_Mapping!$F$7:$F$256,$Q127)))</f>
        <v>1</v>
      </c>
      <c r="P127" s="34" t="str">
        <f aca="false">IF($A127="","",$I127*$O127)</f>
        <v/>
      </c>
      <c r="Q127" s="39" t="n">
        <f aca="false">IF($B127="",0,IFERROR(MATCH($B127,COA_Mapping!$A$7:$A$256,0),0))</f>
        <v>0</v>
      </c>
      <c r="R127" s="39" t="n">
        <f aca="false">IF($A127="",-1,IF($J127=Setup!$B$7,1,IF($J127=Setup!$B$9,0,-1)))</f>
        <v>-1</v>
      </c>
      <c r="S127" s="35" t="n">
        <f aca="false">IF(OR($A127="",$Q127=0,$R127=-1),0,$Q127*1000+$R127*100+$K127)</f>
        <v>0</v>
      </c>
      <c r="T127" s="37" t="str">
        <f aca="false">IF($A127="","",IF($B127="","NO ACCOUNT",IF($Q127=0,"UNMAPPED",IF($R127=-1,"OUTSIDE FY RANGE","OK"))))</f>
        <v/>
      </c>
      <c r="U127" s="40" t="str">
        <f aca="false">IF($A127="","",$B127&amp;"|"&amp;TEXT($A127,"yyyymmdd")&amp;"|"&amp;TEXT($I127,"0.00"))</f>
        <v/>
      </c>
      <c r="V127" s="35" t="str">
        <f aca="false">IF($A127="","",COUNTIF($U$8:$U$5007,$U127))</f>
        <v/>
      </c>
    </row>
    <row r="128" customFormat="false" ht="15" hidden="false" customHeight="false" outlineLevel="0" collapsed="false">
      <c r="A128" s="31"/>
      <c r="B128" s="32"/>
      <c r="C128" s="32"/>
      <c r="D128" s="32"/>
      <c r="E128" s="32"/>
      <c r="F128" s="32"/>
      <c r="G128" s="33"/>
      <c r="H128" s="33"/>
      <c r="I128" s="34" t="str">
        <f aca="false">IF($A128="","",$G128-$H128)</f>
        <v/>
      </c>
      <c r="J128" s="35" t="str">
        <f aca="false">IF($A128="","",IF(Setup!$B$6=1,YEAR($A128),YEAR($A128)+IF(MONTH($A128)&gt;=Setup!$B$6,1,0)))</f>
        <v/>
      </c>
      <c r="K128" s="35" t="str">
        <f aca="false">IF($A128="","",MOD(MONTH($A128)-Setup!$B$6+12,12)+1)</f>
        <v/>
      </c>
      <c r="L128" s="36" t="str">
        <f aca="false">IF($A128="","",TEXT($A128,"MMM-YY"))</f>
        <v/>
      </c>
      <c r="M128" s="37" t="str">
        <f aca="false">IF($A128="","",IF($Q128=0,"UNMAPPED",INDEX(COA_Mapping!$C$7:$C$256,$Q128)))</f>
        <v/>
      </c>
      <c r="N128" s="38" t="str">
        <f aca="false">IF($A128="","",IF($Q128=0,"",INDEX(COA_Mapping!$E$7:$E$256,$Q128)))</f>
        <v/>
      </c>
      <c r="O128" s="38" t="n">
        <f aca="false">IF($A128="",1,IF($Q128=0,1,INDEX(COA_Mapping!$F$7:$F$256,$Q128)))</f>
        <v>1</v>
      </c>
      <c r="P128" s="34" t="str">
        <f aca="false">IF($A128="","",$I128*$O128)</f>
        <v/>
      </c>
      <c r="Q128" s="39" t="n">
        <f aca="false">IF($B128="",0,IFERROR(MATCH($B128,COA_Mapping!$A$7:$A$256,0),0))</f>
        <v>0</v>
      </c>
      <c r="R128" s="39" t="n">
        <f aca="false">IF($A128="",-1,IF($J128=Setup!$B$7,1,IF($J128=Setup!$B$9,0,-1)))</f>
        <v>-1</v>
      </c>
      <c r="S128" s="35" t="n">
        <f aca="false">IF(OR($A128="",$Q128=0,$R128=-1),0,$Q128*1000+$R128*100+$K128)</f>
        <v>0</v>
      </c>
      <c r="T128" s="37" t="str">
        <f aca="false">IF($A128="","",IF($B128="","NO ACCOUNT",IF($Q128=0,"UNMAPPED",IF($R128=-1,"OUTSIDE FY RANGE","OK"))))</f>
        <v/>
      </c>
      <c r="U128" s="40" t="str">
        <f aca="false">IF($A128="","",$B128&amp;"|"&amp;TEXT($A128,"yyyymmdd")&amp;"|"&amp;TEXT($I128,"0.00"))</f>
        <v/>
      </c>
      <c r="V128" s="35" t="str">
        <f aca="false">IF($A128="","",COUNTIF($U$8:$U$5007,$U128))</f>
        <v/>
      </c>
    </row>
    <row r="129" customFormat="false" ht="15" hidden="false" customHeight="false" outlineLevel="0" collapsed="false">
      <c r="A129" s="31"/>
      <c r="B129" s="32"/>
      <c r="C129" s="32"/>
      <c r="D129" s="32"/>
      <c r="E129" s="32"/>
      <c r="F129" s="32"/>
      <c r="G129" s="33"/>
      <c r="H129" s="33"/>
      <c r="I129" s="34" t="str">
        <f aca="false">IF($A129="","",$G129-$H129)</f>
        <v/>
      </c>
      <c r="J129" s="35" t="str">
        <f aca="false">IF($A129="","",IF(Setup!$B$6=1,YEAR($A129),YEAR($A129)+IF(MONTH($A129)&gt;=Setup!$B$6,1,0)))</f>
        <v/>
      </c>
      <c r="K129" s="35" t="str">
        <f aca="false">IF($A129="","",MOD(MONTH($A129)-Setup!$B$6+12,12)+1)</f>
        <v/>
      </c>
      <c r="L129" s="36" t="str">
        <f aca="false">IF($A129="","",TEXT($A129,"MMM-YY"))</f>
        <v/>
      </c>
      <c r="M129" s="37" t="str">
        <f aca="false">IF($A129="","",IF($Q129=0,"UNMAPPED",INDEX(COA_Mapping!$C$7:$C$256,$Q129)))</f>
        <v/>
      </c>
      <c r="N129" s="38" t="str">
        <f aca="false">IF($A129="","",IF($Q129=0,"",INDEX(COA_Mapping!$E$7:$E$256,$Q129)))</f>
        <v/>
      </c>
      <c r="O129" s="38" t="n">
        <f aca="false">IF($A129="",1,IF($Q129=0,1,INDEX(COA_Mapping!$F$7:$F$256,$Q129)))</f>
        <v>1</v>
      </c>
      <c r="P129" s="34" t="str">
        <f aca="false">IF($A129="","",$I129*$O129)</f>
        <v/>
      </c>
      <c r="Q129" s="39" t="n">
        <f aca="false">IF($B129="",0,IFERROR(MATCH($B129,COA_Mapping!$A$7:$A$256,0),0))</f>
        <v>0</v>
      </c>
      <c r="R129" s="39" t="n">
        <f aca="false">IF($A129="",-1,IF($J129=Setup!$B$7,1,IF($J129=Setup!$B$9,0,-1)))</f>
        <v>-1</v>
      </c>
      <c r="S129" s="35" t="n">
        <f aca="false">IF(OR($A129="",$Q129=0,$R129=-1),0,$Q129*1000+$R129*100+$K129)</f>
        <v>0</v>
      </c>
      <c r="T129" s="37" t="str">
        <f aca="false">IF($A129="","",IF($B129="","NO ACCOUNT",IF($Q129=0,"UNMAPPED",IF($R129=-1,"OUTSIDE FY RANGE","OK"))))</f>
        <v/>
      </c>
      <c r="U129" s="40" t="str">
        <f aca="false">IF($A129="","",$B129&amp;"|"&amp;TEXT($A129,"yyyymmdd")&amp;"|"&amp;TEXT($I129,"0.00"))</f>
        <v/>
      </c>
      <c r="V129" s="35" t="str">
        <f aca="false">IF($A129="","",COUNTIF($U$8:$U$5007,$U129))</f>
        <v/>
      </c>
    </row>
    <row r="130" customFormat="false" ht="15" hidden="false" customHeight="false" outlineLevel="0" collapsed="false">
      <c r="A130" s="31"/>
      <c r="B130" s="32"/>
      <c r="C130" s="32"/>
      <c r="D130" s="32"/>
      <c r="E130" s="32"/>
      <c r="F130" s="32"/>
      <c r="G130" s="33"/>
      <c r="H130" s="33"/>
      <c r="I130" s="34" t="str">
        <f aca="false">IF($A130="","",$G130-$H130)</f>
        <v/>
      </c>
      <c r="J130" s="35" t="str">
        <f aca="false">IF($A130="","",IF(Setup!$B$6=1,YEAR($A130),YEAR($A130)+IF(MONTH($A130)&gt;=Setup!$B$6,1,0)))</f>
        <v/>
      </c>
      <c r="K130" s="35" t="str">
        <f aca="false">IF($A130="","",MOD(MONTH($A130)-Setup!$B$6+12,12)+1)</f>
        <v/>
      </c>
      <c r="L130" s="36" t="str">
        <f aca="false">IF($A130="","",TEXT($A130,"MMM-YY"))</f>
        <v/>
      </c>
      <c r="M130" s="37" t="str">
        <f aca="false">IF($A130="","",IF($Q130=0,"UNMAPPED",INDEX(COA_Mapping!$C$7:$C$256,$Q130)))</f>
        <v/>
      </c>
      <c r="N130" s="38" t="str">
        <f aca="false">IF($A130="","",IF($Q130=0,"",INDEX(COA_Mapping!$E$7:$E$256,$Q130)))</f>
        <v/>
      </c>
      <c r="O130" s="38" t="n">
        <f aca="false">IF($A130="",1,IF($Q130=0,1,INDEX(COA_Mapping!$F$7:$F$256,$Q130)))</f>
        <v>1</v>
      </c>
      <c r="P130" s="34" t="str">
        <f aca="false">IF($A130="","",$I130*$O130)</f>
        <v/>
      </c>
      <c r="Q130" s="39" t="n">
        <f aca="false">IF($B130="",0,IFERROR(MATCH($B130,COA_Mapping!$A$7:$A$256,0),0))</f>
        <v>0</v>
      </c>
      <c r="R130" s="39" t="n">
        <f aca="false">IF($A130="",-1,IF($J130=Setup!$B$7,1,IF($J130=Setup!$B$9,0,-1)))</f>
        <v>-1</v>
      </c>
      <c r="S130" s="35" t="n">
        <f aca="false">IF(OR($A130="",$Q130=0,$R130=-1),0,$Q130*1000+$R130*100+$K130)</f>
        <v>0</v>
      </c>
      <c r="T130" s="37" t="str">
        <f aca="false">IF($A130="","",IF($B130="","NO ACCOUNT",IF($Q130=0,"UNMAPPED",IF($R130=-1,"OUTSIDE FY RANGE","OK"))))</f>
        <v/>
      </c>
      <c r="U130" s="40" t="str">
        <f aca="false">IF($A130="","",$B130&amp;"|"&amp;TEXT($A130,"yyyymmdd")&amp;"|"&amp;TEXT($I130,"0.00"))</f>
        <v/>
      </c>
      <c r="V130" s="35" t="str">
        <f aca="false">IF($A130="","",COUNTIF($U$8:$U$5007,$U130))</f>
        <v/>
      </c>
    </row>
    <row r="131" customFormat="false" ht="15" hidden="false" customHeight="false" outlineLevel="0" collapsed="false">
      <c r="A131" s="31"/>
      <c r="B131" s="32"/>
      <c r="C131" s="32"/>
      <c r="D131" s="32"/>
      <c r="E131" s="32"/>
      <c r="F131" s="32"/>
      <c r="G131" s="33"/>
      <c r="H131" s="33"/>
      <c r="I131" s="34" t="str">
        <f aca="false">IF($A131="","",$G131-$H131)</f>
        <v/>
      </c>
      <c r="J131" s="35" t="str">
        <f aca="false">IF($A131="","",IF(Setup!$B$6=1,YEAR($A131),YEAR($A131)+IF(MONTH($A131)&gt;=Setup!$B$6,1,0)))</f>
        <v/>
      </c>
      <c r="K131" s="35" t="str">
        <f aca="false">IF($A131="","",MOD(MONTH($A131)-Setup!$B$6+12,12)+1)</f>
        <v/>
      </c>
      <c r="L131" s="36" t="str">
        <f aca="false">IF($A131="","",TEXT($A131,"MMM-YY"))</f>
        <v/>
      </c>
      <c r="M131" s="37" t="str">
        <f aca="false">IF($A131="","",IF($Q131=0,"UNMAPPED",INDEX(COA_Mapping!$C$7:$C$256,$Q131)))</f>
        <v/>
      </c>
      <c r="N131" s="38" t="str">
        <f aca="false">IF($A131="","",IF($Q131=0,"",INDEX(COA_Mapping!$E$7:$E$256,$Q131)))</f>
        <v/>
      </c>
      <c r="O131" s="38" t="n">
        <f aca="false">IF($A131="",1,IF($Q131=0,1,INDEX(COA_Mapping!$F$7:$F$256,$Q131)))</f>
        <v>1</v>
      </c>
      <c r="P131" s="34" t="str">
        <f aca="false">IF($A131="","",$I131*$O131)</f>
        <v/>
      </c>
      <c r="Q131" s="39" t="n">
        <f aca="false">IF($B131="",0,IFERROR(MATCH($B131,COA_Mapping!$A$7:$A$256,0),0))</f>
        <v>0</v>
      </c>
      <c r="R131" s="39" t="n">
        <f aca="false">IF($A131="",-1,IF($J131=Setup!$B$7,1,IF($J131=Setup!$B$9,0,-1)))</f>
        <v>-1</v>
      </c>
      <c r="S131" s="35" t="n">
        <f aca="false">IF(OR($A131="",$Q131=0,$R131=-1),0,$Q131*1000+$R131*100+$K131)</f>
        <v>0</v>
      </c>
      <c r="T131" s="37" t="str">
        <f aca="false">IF($A131="","",IF($B131="","NO ACCOUNT",IF($Q131=0,"UNMAPPED",IF($R131=-1,"OUTSIDE FY RANGE","OK"))))</f>
        <v/>
      </c>
      <c r="U131" s="40" t="str">
        <f aca="false">IF($A131="","",$B131&amp;"|"&amp;TEXT($A131,"yyyymmdd")&amp;"|"&amp;TEXT($I131,"0.00"))</f>
        <v/>
      </c>
      <c r="V131" s="35" t="str">
        <f aca="false">IF($A131="","",COUNTIF($U$8:$U$5007,$U131))</f>
        <v/>
      </c>
    </row>
    <row r="132" customFormat="false" ht="15" hidden="false" customHeight="false" outlineLevel="0" collapsed="false">
      <c r="A132" s="31"/>
      <c r="B132" s="32"/>
      <c r="C132" s="32"/>
      <c r="D132" s="32"/>
      <c r="E132" s="32"/>
      <c r="F132" s="32"/>
      <c r="G132" s="33"/>
      <c r="H132" s="33"/>
      <c r="I132" s="34" t="str">
        <f aca="false">IF($A132="","",$G132-$H132)</f>
        <v/>
      </c>
      <c r="J132" s="35" t="str">
        <f aca="false">IF($A132="","",IF(Setup!$B$6=1,YEAR($A132),YEAR($A132)+IF(MONTH($A132)&gt;=Setup!$B$6,1,0)))</f>
        <v/>
      </c>
      <c r="K132" s="35" t="str">
        <f aca="false">IF($A132="","",MOD(MONTH($A132)-Setup!$B$6+12,12)+1)</f>
        <v/>
      </c>
      <c r="L132" s="36" t="str">
        <f aca="false">IF($A132="","",TEXT($A132,"MMM-YY"))</f>
        <v/>
      </c>
      <c r="M132" s="37" t="str">
        <f aca="false">IF($A132="","",IF($Q132=0,"UNMAPPED",INDEX(COA_Mapping!$C$7:$C$256,$Q132)))</f>
        <v/>
      </c>
      <c r="N132" s="38" t="str">
        <f aca="false">IF($A132="","",IF($Q132=0,"",INDEX(COA_Mapping!$E$7:$E$256,$Q132)))</f>
        <v/>
      </c>
      <c r="O132" s="38" t="n">
        <f aca="false">IF($A132="",1,IF($Q132=0,1,INDEX(COA_Mapping!$F$7:$F$256,$Q132)))</f>
        <v>1</v>
      </c>
      <c r="P132" s="34" t="str">
        <f aca="false">IF($A132="","",$I132*$O132)</f>
        <v/>
      </c>
      <c r="Q132" s="39" t="n">
        <f aca="false">IF($B132="",0,IFERROR(MATCH($B132,COA_Mapping!$A$7:$A$256,0),0))</f>
        <v>0</v>
      </c>
      <c r="R132" s="39" t="n">
        <f aca="false">IF($A132="",-1,IF($J132=Setup!$B$7,1,IF($J132=Setup!$B$9,0,-1)))</f>
        <v>-1</v>
      </c>
      <c r="S132" s="35" t="n">
        <f aca="false">IF(OR($A132="",$Q132=0,$R132=-1),0,$Q132*1000+$R132*100+$K132)</f>
        <v>0</v>
      </c>
      <c r="T132" s="37" t="str">
        <f aca="false">IF($A132="","",IF($B132="","NO ACCOUNT",IF($Q132=0,"UNMAPPED",IF($R132=-1,"OUTSIDE FY RANGE","OK"))))</f>
        <v/>
      </c>
      <c r="U132" s="40" t="str">
        <f aca="false">IF($A132="","",$B132&amp;"|"&amp;TEXT($A132,"yyyymmdd")&amp;"|"&amp;TEXT($I132,"0.00"))</f>
        <v/>
      </c>
      <c r="V132" s="35" t="str">
        <f aca="false">IF($A132="","",COUNTIF($U$8:$U$5007,$U132))</f>
        <v/>
      </c>
    </row>
    <row r="133" customFormat="false" ht="15" hidden="false" customHeight="false" outlineLevel="0" collapsed="false">
      <c r="A133" s="31"/>
      <c r="B133" s="32"/>
      <c r="C133" s="32"/>
      <c r="D133" s="32"/>
      <c r="E133" s="32"/>
      <c r="F133" s="32"/>
      <c r="G133" s="33"/>
      <c r="H133" s="33"/>
      <c r="I133" s="34" t="str">
        <f aca="false">IF($A133="","",$G133-$H133)</f>
        <v/>
      </c>
      <c r="J133" s="35" t="str">
        <f aca="false">IF($A133="","",IF(Setup!$B$6=1,YEAR($A133),YEAR($A133)+IF(MONTH($A133)&gt;=Setup!$B$6,1,0)))</f>
        <v/>
      </c>
      <c r="K133" s="35" t="str">
        <f aca="false">IF($A133="","",MOD(MONTH($A133)-Setup!$B$6+12,12)+1)</f>
        <v/>
      </c>
      <c r="L133" s="36" t="str">
        <f aca="false">IF($A133="","",TEXT($A133,"MMM-YY"))</f>
        <v/>
      </c>
      <c r="M133" s="37" t="str">
        <f aca="false">IF($A133="","",IF($Q133=0,"UNMAPPED",INDEX(COA_Mapping!$C$7:$C$256,$Q133)))</f>
        <v/>
      </c>
      <c r="N133" s="38" t="str">
        <f aca="false">IF($A133="","",IF($Q133=0,"",INDEX(COA_Mapping!$E$7:$E$256,$Q133)))</f>
        <v/>
      </c>
      <c r="O133" s="38" t="n">
        <f aca="false">IF($A133="",1,IF($Q133=0,1,INDEX(COA_Mapping!$F$7:$F$256,$Q133)))</f>
        <v>1</v>
      </c>
      <c r="P133" s="34" t="str">
        <f aca="false">IF($A133="","",$I133*$O133)</f>
        <v/>
      </c>
      <c r="Q133" s="39" t="n">
        <f aca="false">IF($B133="",0,IFERROR(MATCH($B133,COA_Mapping!$A$7:$A$256,0),0))</f>
        <v>0</v>
      </c>
      <c r="R133" s="39" t="n">
        <f aca="false">IF($A133="",-1,IF($J133=Setup!$B$7,1,IF($J133=Setup!$B$9,0,-1)))</f>
        <v>-1</v>
      </c>
      <c r="S133" s="35" t="n">
        <f aca="false">IF(OR($A133="",$Q133=0,$R133=-1),0,$Q133*1000+$R133*100+$K133)</f>
        <v>0</v>
      </c>
      <c r="T133" s="37" t="str">
        <f aca="false">IF($A133="","",IF($B133="","NO ACCOUNT",IF($Q133=0,"UNMAPPED",IF($R133=-1,"OUTSIDE FY RANGE","OK"))))</f>
        <v/>
      </c>
      <c r="U133" s="40" t="str">
        <f aca="false">IF($A133="","",$B133&amp;"|"&amp;TEXT($A133,"yyyymmdd")&amp;"|"&amp;TEXT($I133,"0.00"))</f>
        <v/>
      </c>
      <c r="V133" s="35" t="str">
        <f aca="false">IF($A133="","",COUNTIF($U$8:$U$5007,$U133))</f>
        <v/>
      </c>
    </row>
    <row r="134" customFormat="false" ht="15" hidden="false" customHeight="false" outlineLevel="0" collapsed="false">
      <c r="A134" s="31"/>
      <c r="B134" s="32"/>
      <c r="C134" s="32"/>
      <c r="D134" s="32"/>
      <c r="E134" s="32"/>
      <c r="F134" s="32"/>
      <c r="G134" s="33"/>
      <c r="H134" s="33"/>
      <c r="I134" s="34" t="str">
        <f aca="false">IF($A134="","",$G134-$H134)</f>
        <v/>
      </c>
      <c r="J134" s="35" t="str">
        <f aca="false">IF($A134="","",IF(Setup!$B$6=1,YEAR($A134),YEAR($A134)+IF(MONTH($A134)&gt;=Setup!$B$6,1,0)))</f>
        <v/>
      </c>
      <c r="K134" s="35" t="str">
        <f aca="false">IF($A134="","",MOD(MONTH($A134)-Setup!$B$6+12,12)+1)</f>
        <v/>
      </c>
      <c r="L134" s="36" t="str">
        <f aca="false">IF($A134="","",TEXT($A134,"MMM-YY"))</f>
        <v/>
      </c>
      <c r="M134" s="37" t="str">
        <f aca="false">IF($A134="","",IF($Q134=0,"UNMAPPED",INDEX(COA_Mapping!$C$7:$C$256,$Q134)))</f>
        <v/>
      </c>
      <c r="N134" s="38" t="str">
        <f aca="false">IF($A134="","",IF($Q134=0,"",INDEX(COA_Mapping!$E$7:$E$256,$Q134)))</f>
        <v/>
      </c>
      <c r="O134" s="38" t="n">
        <f aca="false">IF($A134="",1,IF($Q134=0,1,INDEX(COA_Mapping!$F$7:$F$256,$Q134)))</f>
        <v>1</v>
      </c>
      <c r="P134" s="34" t="str">
        <f aca="false">IF($A134="","",$I134*$O134)</f>
        <v/>
      </c>
      <c r="Q134" s="39" t="n">
        <f aca="false">IF($B134="",0,IFERROR(MATCH($B134,COA_Mapping!$A$7:$A$256,0),0))</f>
        <v>0</v>
      </c>
      <c r="R134" s="39" t="n">
        <f aca="false">IF($A134="",-1,IF($J134=Setup!$B$7,1,IF($J134=Setup!$B$9,0,-1)))</f>
        <v>-1</v>
      </c>
      <c r="S134" s="35" t="n">
        <f aca="false">IF(OR($A134="",$Q134=0,$R134=-1),0,$Q134*1000+$R134*100+$K134)</f>
        <v>0</v>
      </c>
      <c r="T134" s="37" t="str">
        <f aca="false">IF($A134="","",IF($B134="","NO ACCOUNT",IF($Q134=0,"UNMAPPED",IF($R134=-1,"OUTSIDE FY RANGE","OK"))))</f>
        <v/>
      </c>
      <c r="U134" s="40" t="str">
        <f aca="false">IF($A134="","",$B134&amp;"|"&amp;TEXT($A134,"yyyymmdd")&amp;"|"&amp;TEXT($I134,"0.00"))</f>
        <v/>
      </c>
      <c r="V134" s="35" t="str">
        <f aca="false">IF($A134="","",COUNTIF($U$8:$U$5007,$U134))</f>
        <v/>
      </c>
    </row>
    <row r="135" customFormat="false" ht="15" hidden="false" customHeight="false" outlineLevel="0" collapsed="false">
      <c r="A135" s="31"/>
      <c r="B135" s="32"/>
      <c r="C135" s="32"/>
      <c r="D135" s="32"/>
      <c r="E135" s="32"/>
      <c r="F135" s="32"/>
      <c r="G135" s="33"/>
      <c r="H135" s="33"/>
      <c r="I135" s="34" t="str">
        <f aca="false">IF($A135="","",$G135-$H135)</f>
        <v/>
      </c>
      <c r="J135" s="35" t="str">
        <f aca="false">IF($A135="","",IF(Setup!$B$6=1,YEAR($A135),YEAR($A135)+IF(MONTH($A135)&gt;=Setup!$B$6,1,0)))</f>
        <v/>
      </c>
      <c r="K135" s="35" t="str">
        <f aca="false">IF($A135="","",MOD(MONTH($A135)-Setup!$B$6+12,12)+1)</f>
        <v/>
      </c>
      <c r="L135" s="36" t="str">
        <f aca="false">IF($A135="","",TEXT($A135,"MMM-YY"))</f>
        <v/>
      </c>
      <c r="M135" s="37" t="str">
        <f aca="false">IF($A135="","",IF($Q135=0,"UNMAPPED",INDEX(COA_Mapping!$C$7:$C$256,$Q135)))</f>
        <v/>
      </c>
      <c r="N135" s="38" t="str">
        <f aca="false">IF($A135="","",IF($Q135=0,"",INDEX(COA_Mapping!$E$7:$E$256,$Q135)))</f>
        <v/>
      </c>
      <c r="O135" s="38" t="n">
        <f aca="false">IF($A135="",1,IF($Q135=0,1,INDEX(COA_Mapping!$F$7:$F$256,$Q135)))</f>
        <v>1</v>
      </c>
      <c r="P135" s="34" t="str">
        <f aca="false">IF($A135="","",$I135*$O135)</f>
        <v/>
      </c>
      <c r="Q135" s="39" t="n">
        <f aca="false">IF($B135="",0,IFERROR(MATCH($B135,COA_Mapping!$A$7:$A$256,0),0))</f>
        <v>0</v>
      </c>
      <c r="R135" s="39" t="n">
        <f aca="false">IF($A135="",-1,IF($J135=Setup!$B$7,1,IF($J135=Setup!$B$9,0,-1)))</f>
        <v>-1</v>
      </c>
      <c r="S135" s="35" t="n">
        <f aca="false">IF(OR($A135="",$Q135=0,$R135=-1),0,$Q135*1000+$R135*100+$K135)</f>
        <v>0</v>
      </c>
      <c r="T135" s="37" t="str">
        <f aca="false">IF($A135="","",IF($B135="","NO ACCOUNT",IF($Q135=0,"UNMAPPED",IF($R135=-1,"OUTSIDE FY RANGE","OK"))))</f>
        <v/>
      </c>
      <c r="U135" s="40" t="str">
        <f aca="false">IF($A135="","",$B135&amp;"|"&amp;TEXT($A135,"yyyymmdd")&amp;"|"&amp;TEXT($I135,"0.00"))</f>
        <v/>
      </c>
      <c r="V135" s="35" t="str">
        <f aca="false">IF($A135="","",COUNTIF($U$8:$U$5007,$U135))</f>
        <v/>
      </c>
    </row>
    <row r="136" customFormat="false" ht="15" hidden="false" customHeight="false" outlineLevel="0" collapsed="false">
      <c r="A136" s="31"/>
      <c r="B136" s="32"/>
      <c r="C136" s="32"/>
      <c r="D136" s="32"/>
      <c r="E136" s="32"/>
      <c r="F136" s="32"/>
      <c r="G136" s="33"/>
      <c r="H136" s="33"/>
      <c r="I136" s="34" t="str">
        <f aca="false">IF($A136="","",$G136-$H136)</f>
        <v/>
      </c>
      <c r="J136" s="35" t="str">
        <f aca="false">IF($A136="","",IF(Setup!$B$6=1,YEAR($A136),YEAR($A136)+IF(MONTH($A136)&gt;=Setup!$B$6,1,0)))</f>
        <v/>
      </c>
      <c r="K136" s="35" t="str">
        <f aca="false">IF($A136="","",MOD(MONTH($A136)-Setup!$B$6+12,12)+1)</f>
        <v/>
      </c>
      <c r="L136" s="36" t="str">
        <f aca="false">IF($A136="","",TEXT($A136,"MMM-YY"))</f>
        <v/>
      </c>
      <c r="M136" s="37" t="str">
        <f aca="false">IF($A136="","",IF($Q136=0,"UNMAPPED",INDEX(COA_Mapping!$C$7:$C$256,$Q136)))</f>
        <v/>
      </c>
      <c r="N136" s="38" t="str">
        <f aca="false">IF($A136="","",IF($Q136=0,"",INDEX(COA_Mapping!$E$7:$E$256,$Q136)))</f>
        <v/>
      </c>
      <c r="O136" s="38" t="n">
        <f aca="false">IF($A136="",1,IF($Q136=0,1,INDEX(COA_Mapping!$F$7:$F$256,$Q136)))</f>
        <v>1</v>
      </c>
      <c r="P136" s="34" t="str">
        <f aca="false">IF($A136="","",$I136*$O136)</f>
        <v/>
      </c>
      <c r="Q136" s="39" t="n">
        <f aca="false">IF($B136="",0,IFERROR(MATCH($B136,COA_Mapping!$A$7:$A$256,0),0))</f>
        <v>0</v>
      </c>
      <c r="R136" s="39" t="n">
        <f aca="false">IF($A136="",-1,IF($J136=Setup!$B$7,1,IF($J136=Setup!$B$9,0,-1)))</f>
        <v>-1</v>
      </c>
      <c r="S136" s="35" t="n">
        <f aca="false">IF(OR($A136="",$Q136=0,$R136=-1),0,$Q136*1000+$R136*100+$K136)</f>
        <v>0</v>
      </c>
      <c r="T136" s="37" t="str">
        <f aca="false">IF($A136="","",IF($B136="","NO ACCOUNT",IF($Q136=0,"UNMAPPED",IF($R136=-1,"OUTSIDE FY RANGE","OK"))))</f>
        <v/>
      </c>
      <c r="U136" s="40" t="str">
        <f aca="false">IF($A136="","",$B136&amp;"|"&amp;TEXT($A136,"yyyymmdd")&amp;"|"&amp;TEXT($I136,"0.00"))</f>
        <v/>
      </c>
      <c r="V136" s="35" t="str">
        <f aca="false">IF($A136="","",COUNTIF($U$8:$U$5007,$U136))</f>
        <v/>
      </c>
    </row>
    <row r="137" customFormat="false" ht="15" hidden="false" customHeight="false" outlineLevel="0" collapsed="false">
      <c r="A137" s="31"/>
      <c r="B137" s="32"/>
      <c r="C137" s="32"/>
      <c r="D137" s="32"/>
      <c r="E137" s="32"/>
      <c r="F137" s="32"/>
      <c r="G137" s="33"/>
      <c r="H137" s="33"/>
      <c r="I137" s="34" t="str">
        <f aca="false">IF($A137="","",$G137-$H137)</f>
        <v/>
      </c>
      <c r="J137" s="35" t="str">
        <f aca="false">IF($A137="","",IF(Setup!$B$6=1,YEAR($A137),YEAR($A137)+IF(MONTH($A137)&gt;=Setup!$B$6,1,0)))</f>
        <v/>
      </c>
      <c r="K137" s="35" t="str">
        <f aca="false">IF($A137="","",MOD(MONTH($A137)-Setup!$B$6+12,12)+1)</f>
        <v/>
      </c>
      <c r="L137" s="36" t="str">
        <f aca="false">IF($A137="","",TEXT($A137,"MMM-YY"))</f>
        <v/>
      </c>
      <c r="M137" s="37" t="str">
        <f aca="false">IF($A137="","",IF($Q137=0,"UNMAPPED",INDEX(COA_Mapping!$C$7:$C$256,$Q137)))</f>
        <v/>
      </c>
      <c r="N137" s="38" t="str">
        <f aca="false">IF($A137="","",IF($Q137=0,"",INDEX(COA_Mapping!$E$7:$E$256,$Q137)))</f>
        <v/>
      </c>
      <c r="O137" s="38" t="n">
        <f aca="false">IF($A137="",1,IF($Q137=0,1,INDEX(COA_Mapping!$F$7:$F$256,$Q137)))</f>
        <v>1</v>
      </c>
      <c r="P137" s="34" t="str">
        <f aca="false">IF($A137="","",$I137*$O137)</f>
        <v/>
      </c>
      <c r="Q137" s="39" t="n">
        <f aca="false">IF($B137="",0,IFERROR(MATCH($B137,COA_Mapping!$A$7:$A$256,0),0))</f>
        <v>0</v>
      </c>
      <c r="R137" s="39" t="n">
        <f aca="false">IF($A137="",-1,IF($J137=Setup!$B$7,1,IF($J137=Setup!$B$9,0,-1)))</f>
        <v>-1</v>
      </c>
      <c r="S137" s="35" t="n">
        <f aca="false">IF(OR($A137="",$Q137=0,$R137=-1),0,$Q137*1000+$R137*100+$K137)</f>
        <v>0</v>
      </c>
      <c r="T137" s="37" t="str">
        <f aca="false">IF($A137="","",IF($B137="","NO ACCOUNT",IF($Q137=0,"UNMAPPED",IF($R137=-1,"OUTSIDE FY RANGE","OK"))))</f>
        <v/>
      </c>
      <c r="U137" s="40" t="str">
        <f aca="false">IF($A137="","",$B137&amp;"|"&amp;TEXT($A137,"yyyymmdd")&amp;"|"&amp;TEXT($I137,"0.00"))</f>
        <v/>
      </c>
      <c r="V137" s="35" t="str">
        <f aca="false">IF($A137="","",COUNTIF($U$8:$U$5007,$U137))</f>
        <v/>
      </c>
    </row>
    <row r="138" customFormat="false" ht="15" hidden="false" customHeight="false" outlineLevel="0" collapsed="false">
      <c r="A138" s="31"/>
      <c r="B138" s="32"/>
      <c r="C138" s="32"/>
      <c r="D138" s="32"/>
      <c r="E138" s="32"/>
      <c r="F138" s="32"/>
      <c r="G138" s="33"/>
      <c r="H138" s="33"/>
      <c r="I138" s="34" t="str">
        <f aca="false">IF($A138="","",$G138-$H138)</f>
        <v/>
      </c>
      <c r="J138" s="35" t="str">
        <f aca="false">IF($A138="","",IF(Setup!$B$6=1,YEAR($A138),YEAR($A138)+IF(MONTH($A138)&gt;=Setup!$B$6,1,0)))</f>
        <v/>
      </c>
      <c r="K138" s="35" t="str">
        <f aca="false">IF($A138="","",MOD(MONTH($A138)-Setup!$B$6+12,12)+1)</f>
        <v/>
      </c>
      <c r="L138" s="36" t="str">
        <f aca="false">IF($A138="","",TEXT($A138,"MMM-YY"))</f>
        <v/>
      </c>
      <c r="M138" s="37" t="str">
        <f aca="false">IF($A138="","",IF($Q138=0,"UNMAPPED",INDEX(COA_Mapping!$C$7:$C$256,$Q138)))</f>
        <v/>
      </c>
      <c r="N138" s="38" t="str">
        <f aca="false">IF($A138="","",IF($Q138=0,"",INDEX(COA_Mapping!$E$7:$E$256,$Q138)))</f>
        <v/>
      </c>
      <c r="O138" s="38" t="n">
        <f aca="false">IF($A138="",1,IF($Q138=0,1,INDEX(COA_Mapping!$F$7:$F$256,$Q138)))</f>
        <v>1</v>
      </c>
      <c r="P138" s="34" t="str">
        <f aca="false">IF($A138="","",$I138*$O138)</f>
        <v/>
      </c>
      <c r="Q138" s="39" t="n">
        <f aca="false">IF($B138="",0,IFERROR(MATCH($B138,COA_Mapping!$A$7:$A$256,0),0))</f>
        <v>0</v>
      </c>
      <c r="R138" s="39" t="n">
        <f aca="false">IF($A138="",-1,IF($J138=Setup!$B$7,1,IF($J138=Setup!$B$9,0,-1)))</f>
        <v>-1</v>
      </c>
      <c r="S138" s="35" t="n">
        <f aca="false">IF(OR($A138="",$Q138=0,$R138=-1),0,$Q138*1000+$R138*100+$K138)</f>
        <v>0</v>
      </c>
      <c r="T138" s="37" t="str">
        <f aca="false">IF($A138="","",IF($B138="","NO ACCOUNT",IF($Q138=0,"UNMAPPED",IF($R138=-1,"OUTSIDE FY RANGE","OK"))))</f>
        <v/>
      </c>
      <c r="U138" s="40" t="str">
        <f aca="false">IF($A138="","",$B138&amp;"|"&amp;TEXT($A138,"yyyymmdd")&amp;"|"&amp;TEXT($I138,"0.00"))</f>
        <v/>
      </c>
      <c r="V138" s="35" t="str">
        <f aca="false">IF($A138="","",COUNTIF($U$8:$U$5007,$U138))</f>
        <v/>
      </c>
    </row>
    <row r="139" customFormat="false" ht="15" hidden="false" customHeight="false" outlineLevel="0" collapsed="false">
      <c r="A139" s="31"/>
      <c r="B139" s="32"/>
      <c r="C139" s="32"/>
      <c r="D139" s="32"/>
      <c r="E139" s="32"/>
      <c r="F139" s="32"/>
      <c r="G139" s="33"/>
      <c r="H139" s="33"/>
      <c r="I139" s="34" t="str">
        <f aca="false">IF($A139="","",$G139-$H139)</f>
        <v/>
      </c>
      <c r="J139" s="35" t="str">
        <f aca="false">IF($A139="","",IF(Setup!$B$6=1,YEAR($A139),YEAR($A139)+IF(MONTH($A139)&gt;=Setup!$B$6,1,0)))</f>
        <v/>
      </c>
      <c r="K139" s="35" t="str">
        <f aca="false">IF($A139="","",MOD(MONTH($A139)-Setup!$B$6+12,12)+1)</f>
        <v/>
      </c>
      <c r="L139" s="36" t="str">
        <f aca="false">IF($A139="","",TEXT($A139,"MMM-YY"))</f>
        <v/>
      </c>
      <c r="M139" s="37" t="str">
        <f aca="false">IF($A139="","",IF($Q139=0,"UNMAPPED",INDEX(COA_Mapping!$C$7:$C$256,$Q139)))</f>
        <v/>
      </c>
      <c r="N139" s="38" t="str">
        <f aca="false">IF($A139="","",IF($Q139=0,"",INDEX(COA_Mapping!$E$7:$E$256,$Q139)))</f>
        <v/>
      </c>
      <c r="O139" s="38" t="n">
        <f aca="false">IF($A139="",1,IF($Q139=0,1,INDEX(COA_Mapping!$F$7:$F$256,$Q139)))</f>
        <v>1</v>
      </c>
      <c r="P139" s="34" t="str">
        <f aca="false">IF($A139="","",$I139*$O139)</f>
        <v/>
      </c>
      <c r="Q139" s="39" t="n">
        <f aca="false">IF($B139="",0,IFERROR(MATCH($B139,COA_Mapping!$A$7:$A$256,0),0))</f>
        <v>0</v>
      </c>
      <c r="R139" s="39" t="n">
        <f aca="false">IF($A139="",-1,IF($J139=Setup!$B$7,1,IF($J139=Setup!$B$9,0,-1)))</f>
        <v>-1</v>
      </c>
      <c r="S139" s="35" t="n">
        <f aca="false">IF(OR($A139="",$Q139=0,$R139=-1),0,$Q139*1000+$R139*100+$K139)</f>
        <v>0</v>
      </c>
      <c r="T139" s="37" t="str">
        <f aca="false">IF($A139="","",IF($B139="","NO ACCOUNT",IF($Q139=0,"UNMAPPED",IF($R139=-1,"OUTSIDE FY RANGE","OK"))))</f>
        <v/>
      </c>
      <c r="U139" s="40" t="str">
        <f aca="false">IF($A139="","",$B139&amp;"|"&amp;TEXT($A139,"yyyymmdd")&amp;"|"&amp;TEXT($I139,"0.00"))</f>
        <v/>
      </c>
      <c r="V139" s="35" t="str">
        <f aca="false">IF($A139="","",COUNTIF($U$8:$U$5007,$U139))</f>
        <v/>
      </c>
    </row>
    <row r="140" customFormat="false" ht="15" hidden="false" customHeight="false" outlineLevel="0" collapsed="false">
      <c r="A140" s="31"/>
      <c r="B140" s="32"/>
      <c r="C140" s="32"/>
      <c r="D140" s="32"/>
      <c r="E140" s="32"/>
      <c r="F140" s="32"/>
      <c r="G140" s="33"/>
      <c r="H140" s="33"/>
      <c r="I140" s="34" t="str">
        <f aca="false">IF($A140="","",$G140-$H140)</f>
        <v/>
      </c>
      <c r="J140" s="35" t="str">
        <f aca="false">IF($A140="","",IF(Setup!$B$6=1,YEAR($A140),YEAR($A140)+IF(MONTH($A140)&gt;=Setup!$B$6,1,0)))</f>
        <v/>
      </c>
      <c r="K140" s="35" t="str">
        <f aca="false">IF($A140="","",MOD(MONTH($A140)-Setup!$B$6+12,12)+1)</f>
        <v/>
      </c>
      <c r="L140" s="36" t="str">
        <f aca="false">IF($A140="","",TEXT($A140,"MMM-YY"))</f>
        <v/>
      </c>
      <c r="M140" s="37" t="str">
        <f aca="false">IF($A140="","",IF($Q140=0,"UNMAPPED",INDEX(COA_Mapping!$C$7:$C$256,$Q140)))</f>
        <v/>
      </c>
      <c r="N140" s="38" t="str">
        <f aca="false">IF($A140="","",IF($Q140=0,"",INDEX(COA_Mapping!$E$7:$E$256,$Q140)))</f>
        <v/>
      </c>
      <c r="O140" s="38" t="n">
        <f aca="false">IF($A140="",1,IF($Q140=0,1,INDEX(COA_Mapping!$F$7:$F$256,$Q140)))</f>
        <v>1</v>
      </c>
      <c r="P140" s="34" t="str">
        <f aca="false">IF($A140="","",$I140*$O140)</f>
        <v/>
      </c>
      <c r="Q140" s="39" t="n">
        <f aca="false">IF($B140="",0,IFERROR(MATCH($B140,COA_Mapping!$A$7:$A$256,0),0))</f>
        <v>0</v>
      </c>
      <c r="R140" s="39" t="n">
        <f aca="false">IF($A140="",-1,IF($J140=Setup!$B$7,1,IF($J140=Setup!$B$9,0,-1)))</f>
        <v>-1</v>
      </c>
      <c r="S140" s="35" t="n">
        <f aca="false">IF(OR($A140="",$Q140=0,$R140=-1),0,$Q140*1000+$R140*100+$K140)</f>
        <v>0</v>
      </c>
      <c r="T140" s="37" t="str">
        <f aca="false">IF($A140="","",IF($B140="","NO ACCOUNT",IF($Q140=0,"UNMAPPED",IF($R140=-1,"OUTSIDE FY RANGE","OK"))))</f>
        <v/>
      </c>
      <c r="U140" s="40" t="str">
        <f aca="false">IF($A140="","",$B140&amp;"|"&amp;TEXT($A140,"yyyymmdd")&amp;"|"&amp;TEXT($I140,"0.00"))</f>
        <v/>
      </c>
      <c r="V140" s="35" t="str">
        <f aca="false">IF($A140="","",COUNTIF($U$8:$U$5007,$U140))</f>
        <v/>
      </c>
    </row>
    <row r="141" customFormat="false" ht="15" hidden="false" customHeight="false" outlineLevel="0" collapsed="false">
      <c r="A141" s="31"/>
      <c r="B141" s="32"/>
      <c r="C141" s="32"/>
      <c r="D141" s="32"/>
      <c r="E141" s="32"/>
      <c r="F141" s="32"/>
      <c r="G141" s="33"/>
      <c r="H141" s="33"/>
      <c r="I141" s="34" t="str">
        <f aca="false">IF($A141="","",$G141-$H141)</f>
        <v/>
      </c>
      <c r="J141" s="35" t="str">
        <f aca="false">IF($A141="","",IF(Setup!$B$6=1,YEAR($A141),YEAR($A141)+IF(MONTH($A141)&gt;=Setup!$B$6,1,0)))</f>
        <v/>
      </c>
      <c r="K141" s="35" t="str">
        <f aca="false">IF($A141="","",MOD(MONTH($A141)-Setup!$B$6+12,12)+1)</f>
        <v/>
      </c>
      <c r="L141" s="36" t="str">
        <f aca="false">IF($A141="","",TEXT($A141,"MMM-YY"))</f>
        <v/>
      </c>
      <c r="M141" s="37" t="str">
        <f aca="false">IF($A141="","",IF($Q141=0,"UNMAPPED",INDEX(COA_Mapping!$C$7:$C$256,$Q141)))</f>
        <v/>
      </c>
      <c r="N141" s="38" t="str">
        <f aca="false">IF($A141="","",IF($Q141=0,"",INDEX(COA_Mapping!$E$7:$E$256,$Q141)))</f>
        <v/>
      </c>
      <c r="O141" s="38" t="n">
        <f aca="false">IF($A141="",1,IF($Q141=0,1,INDEX(COA_Mapping!$F$7:$F$256,$Q141)))</f>
        <v>1</v>
      </c>
      <c r="P141" s="34" t="str">
        <f aca="false">IF($A141="","",$I141*$O141)</f>
        <v/>
      </c>
      <c r="Q141" s="39" t="n">
        <f aca="false">IF($B141="",0,IFERROR(MATCH($B141,COA_Mapping!$A$7:$A$256,0),0))</f>
        <v>0</v>
      </c>
      <c r="R141" s="39" t="n">
        <f aca="false">IF($A141="",-1,IF($J141=Setup!$B$7,1,IF($J141=Setup!$B$9,0,-1)))</f>
        <v>-1</v>
      </c>
      <c r="S141" s="35" t="n">
        <f aca="false">IF(OR($A141="",$Q141=0,$R141=-1),0,$Q141*1000+$R141*100+$K141)</f>
        <v>0</v>
      </c>
      <c r="T141" s="37" t="str">
        <f aca="false">IF($A141="","",IF($B141="","NO ACCOUNT",IF($Q141=0,"UNMAPPED",IF($R141=-1,"OUTSIDE FY RANGE","OK"))))</f>
        <v/>
      </c>
      <c r="U141" s="40" t="str">
        <f aca="false">IF($A141="","",$B141&amp;"|"&amp;TEXT($A141,"yyyymmdd")&amp;"|"&amp;TEXT($I141,"0.00"))</f>
        <v/>
      </c>
      <c r="V141" s="35" t="str">
        <f aca="false">IF($A141="","",COUNTIF($U$8:$U$5007,$U141))</f>
        <v/>
      </c>
    </row>
    <row r="142" customFormat="false" ht="15" hidden="false" customHeight="false" outlineLevel="0" collapsed="false">
      <c r="A142" s="31"/>
      <c r="B142" s="32"/>
      <c r="C142" s="32"/>
      <c r="D142" s="32"/>
      <c r="E142" s="32"/>
      <c r="F142" s="32"/>
      <c r="G142" s="33"/>
      <c r="H142" s="33"/>
      <c r="I142" s="34" t="str">
        <f aca="false">IF($A142="","",$G142-$H142)</f>
        <v/>
      </c>
      <c r="J142" s="35" t="str">
        <f aca="false">IF($A142="","",IF(Setup!$B$6=1,YEAR($A142),YEAR($A142)+IF(MONTH($A142)&gt;=Setup!$B$6,1,0)))</f>
        <v/>
      </c>
      <c r="K142" s="35" t="str">
        <f aca="false">IF($A142="","",MOD(MONTH($A142)-Setup!$B$6+12,12)+1)</f>
        <v/>
      </c>
      <c r="L142" s="36" t="str">
        <f aca="false">IF($A142="","",TEXT($A142,"MMM-YY"))</f>
        <v/>
      </c>
      <c r="M142" s="37" t="str">
        <f aca="false">IF($A142="","",IF($Q142=0,"UNMAPPED",INDEX(COA_Mapping!$C$7:$C$256,$Q142)))</f>
        <v/>
      </c>
      <c r="N142" s="38" t="str">
        <f aca="false">IF($A142="","",IF($Q142=0,"",INDEX(COA_Mapping!$E$7:$E$256,$Q142)))</f>
        <v/>
      </c>
      <c r="O142" s="38" t="n">
        <f aca="false">IF($A142="",1,IF($Q142=0,1,INDEX(COA_Mapping!$F$7:$F$256,$Q142)))</f>
        <v>1</v>
      </c>
      <c r="P142" s="34" t="str">
        <f aca="false">IF($A142="","",$I142*$O142)</f>
        <v/>
      </c>
      <c r="Q142" s="39" t="n">
        <f aca="false">IF($B142="",0,IFERROR(MATCH($B142,COA_Mapping!$A$7:$A$256,0),0))</f>
        <v>0</v>
      </c>
      <c r="R142" s="39" t="n">
        <f aca="false">IF($A142="",-1,IF($J142=Setup!$B$7,1,IF($J142=Setup!$B$9,0,-1)))</f>
        <v>-1</v>
      </c>
      <c r="S142" s="35" t="n">
        <f aca="false">IF(OR($A142="",$Q142=0,$R142=-1),0,$Q142*1000+$R142*100+$K142)</f>
        <v>0</v>
      </c>
      <c r="T142" s="37" t="str">
        <f aca="false">IF($A142="","",IF($B142="","NO ACCOUNT",IF($Q142=0,"UNMAPPED",IF($R142=-1,"OUTSIDE FY RANGE","OK"))))</f>
        <v/>
      </c>
      <c r="U142" s="40" t="str">
        <f aca="false">IF($A142="","",$B142&amp;"|"&amp;TEXT($A142,"yyyymmdd")&amp;"|"&amp;TEXT($I142,"0.00"))</f>
        <v/>
      </c>
      <c r="V142" s="35" t="str">
        <f aca="false">IF($A142="","",COUNTIF($U$8:$U$5007,$U142))</f>
        <v/>
      </c>
    </row>
    <row r="143" customFormat="false" ht="15" hidden="false" customHeight="false" outlineLevel="0" collapsed="false">
      <c r="A143" s="31"/>
      <c r="B143" s="32"/>
      <c r="C143" s="32"/>
      <c r="D143" s="32"/>
      <c r="E143" s="32"/>
      <c r="F143" s="32"/>
      <c r="G143" s="33"/>
      <c r="H143" s="33"/>
      <c r="I143" s="34" t="str">
        <f aca="false">IF($A143="","",$G143-$H143)</f>
        <v/>
      </c>
      <c r="J143" s="35" t="str">
        <f aca="false">IF($A143="","",IF(Setup!$B$6=1,YEAR($A143),YEAR($A143)+IF(MONTH($A143)&gt;=Setup!$B$6,1,0)))</f>
        <v/>
      </c>
      <c r="K143" s="35" t="str">
        <f aca="false">IF($A143="","",MOD(MONTH($A143)-Setup!$B$6+12,12)+1)</f>
        <v/>
      </c>
      <c r="L143" s="36" t="str">
        <f aca="false">IF($A143="","",TEXT($A143,"MMM-YY"))</f>
        <v/>
      </c>
      <c r="M143" s="37" t="str">
        <f aca="false">IF($A143="","",IF($Q143=0,"UNMAPPED",INDEX(COA_Mapping!$C$7:$C$256,$Q143)))</f>
        <v/>
      </c>
      <c r="N143" s="38" t="str">
        <f aca="false">IF($A143="","",IF($Q143=0,"",INDEX(COA_Mapping!$E$7:$E$256,$Q143)))</f>
        <v/>
      </c>
      <c r="O143" s="38" t="n">
        <f aca="false">IF($A143="",1,IF($Q143=0,1,INDEX(COA_Mapping!$F$7:$F$256,$Q143)))</f>
        <v>1</v>
      </c>
      <c r="P143" s="34" t="str">
        <f aca="false">IF($A143="","",$I143*$O143)</f>
        <v/>
      </c>
      <c r="Q143" s="39" t="n">
        <f aca="false">IF($B143="",0,IFERROR(MATCH($B143,COA_Mapping!$A$7:$A$256,0),0))</f>
        <v>0</v>
      </c>
      <c r="R143" s="39" t="n">
        <f aca="false">IF($A143="",-1,IF($J143=Setup!$B$7,1,IF($J143=Setup!$B$9,0,-1)))</f>
        <v>-1</v>
      </c>
      <c r="S143" s="35" t="n">
        <f aca="false">IF(OR($A143="",$Q143=0,$R143=-1),0,$Q143*1000+$R143*100+$K143)</f>
        <v>0</v>
      </c>
      <c r="T143" s="37" t="str">
        <f aca="false">IF($A143="","",IF($B143="","NO ACCOUNT",IF($Q143=0,"UNMAPPED",IF($R143=-1,"OUTSIDE FY RANGE","OK"))))</f>
        <v/>
      </c>
      <c r="U143" s="40" t="str">
        <f aca="false">IF($A143="","",$B143&amp;"|"&amp;TEXT($A143,"yyyymmdd")&amp;"|"&amp;TEXT($I143,"0.00"))</f>
        <v/>
      </c>
      <c r="V143" s="35" t="str">
        <f aca="false">IF($A143="","",COUNTIF($U$8:$U$5007,$U143))</f>
        <v/>
      </c>
    </row>
    <row r="144" customFormat="false" ht="15" hidden="false" customHeight="false" outlineLevel="0" collapsed="false">
      <c r="A144" s="31"/>
      <c r="B144" s="32"/>
      <c r="C144" s="32"/>
      <c r="D144" s="32"/>
      <c r="E144" s="32"/>
      <c r="F144" s="32"/>
      <c r="G144" s="33"/>
      <c r="H144" s="33"/>
      <c r="I144" s="34" t="str">
        <f aca="false">IF($A144="","",$G144-$H144)</f>
        <v/>
      </c>
      <c r="J144" s="35" t="str">
        <f aca="false">IF($A144="","",IF(Setup!$B$6=1,YEAR($A144),YEAR($A144)+IF(MONTH($A144)&gt;=Setup!$B$6,1,0)))</f>
        <v/>
      </c>
      <c r="K144" s="35" t="str">
        <f aca="false">IF($A144="","",MOD(MONTH($A144)-Setup!$B$6+12,12)+1)</f>
        <v/>
      </c>
      <c r="L144" s="36" t="str">
        <f aca="false">IF($A144="","",TEXT($A144,"MMM-YY"))</f>
        <v/>
      </c>
      <c r="M144" s="37" t="str">
        <f aca="false">IF($A144="","",IF($Q144=0,"UNMAPPED",INDEX(COA_Mapping!$C$7:$C$256,$Q144)))</f>
        <v/>
      </c>
      <c r="N144" s="38" t="str">
        <f aca="false">IF($A144="","",IF($Q144=0,"",INDEX(COA_Mapping!$E$7:$E$256,$Q144)))</f>
        <v/>
      </c>
      <c r="O144" s="38" t="n">
        <f aca="false">IF($A144="",1,IF($Q144=0,1,INDEX(COA_Mapping!$F$7:$F$256,$Q144)))</f>
        <v>1</v>
      </c>
      <c r="P144" s="34" t="str">
        <f aca="false">IF($A144="","",$I144*$O144)</f>
        <v/>
      </c>
      <c r="Q144" s="39" t="n">
        <f aca="false">IF($B144="",0,IFERROR(MATCH($B144,COA_Mapping!$A$7:$A$256,0),0))</f>
        <v>0</v>
      </c>
      <c r="R144" s="39" t="n">
        <f aca="false">IF($A144="",-1,IF($J144=Setup!$B$7,1,IF($J144=Setup!$B$9,0,-1)))</f>
        <v>-1</v>
      </c>
      <c r="S144" s="35" t="n">
        <f aca="false">IF(OR($A144="",$Q144=0,$R144=-1),0,$Q144*1000+$R144*100+$K144)</f>
        <v>0</v>
      </c>
      <c r="T144" s="37" t="str">
        <f aca="false">IF($A144="","",IF($B144="","NO ACCOUNT",IF($Q144=0,"UNMAPPED",IF($R144=-1,"OUTSIDE FY RANGE","OK"))))</f>
        <v/>
      </c>
      <c r="U144" s="40" t="str">
        <f aca="false">IF($A144="","",$B144&amp;"|"&amp;TEXT($A144,"yyyymmdd")&amp;"|"&amp;TEXT($I144,"0.00"))</f>
        <v/>
      </c>
      <c r="V144" s="35" t="str">
        <f aca="false">IF($A144="","",COUNTIF($U$8:$U$5007,$U144))</f>
        <v/>
      </c>
    </row>
    <row r="145" customFormat="false" ht="15" hidden="false" customHeight="false" outlineLevel="0" collapsed="false">
      <c r="A145" s="31"/>
      <c r="B145" s="32"/>
      <c r="C145" s="32"/>
      <c r="D145" s="32"/>
      <c r="E145" s="32"/>
      <c r="F145" s="32"/>
      <c r="G145" s="33"/>
      <c r="H145" s="33"/>
      <c r="I145" s="34" t="str">
        <f aca="false">IF($A145="","",$G145-$H145)</f>
        <v/>
      </c>
      <c r="J145" s="35" t="str">
        <f aca="false">IF($A145="","",IF(Setup!$B$6=1,YEAR($A145),YEAR($A145)+IF(MONTH($A145)&gt;=Setup!$B$6,1,0)))</f>
        <v/>
      </c>
      <c r="K145" s="35" t="str">
        <f aca="false">IF($A145="","",MOD(MONTH($A145)-Setup!$B$6+12,12)+1)</f>
        <v/>
      </c>
      <c r="L145" s="36" t="str">
        <f aca="false">IF($A145="","",TEXT($A145,"MMM-YY"))</f>
        <v/>
      </c>
      <c r="M145" s="37" t="str">
        <f aca="false">IF($A145="","",IF($Q145=0,"UNMAPPED",INDEX(COA_Mapping!$C$7:$C$256,$Q145)))</f>
        <v/>
      </c>
      <c r="N145" s="38" t="str">
        <f aca="false">IF($A145="","",IF($Q145=0,"",INDEX(COA_Mapping!$E$7:$E$256,$Q145)))</f>
        <v/>
      </c>
      <c r="O145" s="38" t="n">
        <f aca="false">IF($A145="",1,IF($Q145=0,1,INDEX(COA_Mapping!$F$7:$F$256,$Q145)))</f>
        <v>1</v>
      </c>
      <c r="P145" s="34" t="str">
        <f aca="false">IF($A145="","",$I145*$O145)</f>
        <v/>
      </c>
      <c r="Q145" s="39" t="n">
        <f aca="false">IF($B145="",0,IFERROR(MATCH($B145,COA_Mapping!$A$7:$A$256,0),0))</f>
        <v>0</v>
      </c>
      <c r="R145" s="39" t="n">
        <f aca="false">IF($A145="",-1,IF($J145=Setup!$B$7,1,IF($J145=Setup!$B$9,0,-1)))</f>
        <v>-1</v>
      </c>
      <c r="S145" s="35" t="n">
        <f aca="false">IF(OR($A145="",$Q145=0,$R145=-1),0,$Q145*1000+$R145*100+$K145)</f>
        <v>0</v>
      </c>
      <c r="T145" s="37" t="str">
        <f aca="false">IF($A145="","",IF($B145="","NO ACCOUNT",IF($Q145=0,"UNMAPPED",IF($R145=-1,"OUTSIDE FY RANGE","OK"))))</f>
        <v/>
      </c>
      <c r="U145" s="40" t="str">
        <f aca="false">IF($A145="","",$B145&amp;"|"&amp;TEXT($A145,"yyyymmdd")&amp;"|"&amp;TEXT($I145,"0.00"))</f>
        <v/>
      </c>
      <c r="V145" s="35" t="str">
        <f aca="false">IF($A145="","",COUNTIF($U$8:$U$5007,$U145))</f>
        <v/>
      </c>
    </row>
    <row r="146" customFormat="false" ht="15" hidden="false" customHeight="false" outlineLevel="0" collapsed="false">
      <c r="A146" s="31"/>
      <c r="B146" s="32"/>
      <c r="C146" s="32"/>
      <c r="D146" s="32"/>
      <c r="E146" s="32"/>
      <c r="F146" s="32"/>
      <c r="G146" s="33"/>
      <c r="H146" s="33"/>
      <c r="I146" s="34" t="str">
        <f aca="false">IF($A146="","",$G146-$H146)</f>
        <v/>
      </c>
      <c r="J146" s="35" t="str">
        <f aca="false">IF($A146="","",IF(Setup!$B$6=1,YEAR($A146),YEAR($A146)+IF(MONTH($A146)&gt;=Setup!$B$6,1,0)))</f>
        <v/>
      </c>
      <c r="K146" s="35" t="str">
        <f aca="false">IF($A146="","",MOD(MONTH($A146)-Setup!$B$6+12,12)+1)</f>
        <v/>
      </c>
      <c r="L146" s="36" t="str">
        <f aca="false">IF($A146="","",TEXT($A146,"MMM-YY"))</f>
        <v/>
      </c>
      <c r="M146" s="37" t="str">
        <f aca="false">IF($A146="","",IF($Q146=0,"UNMAPPED",INDEX(COA_Mapping!$C$7:$C$256,$Q146)))</f>
        <v/>
      </c>
      <c r="N146" s="38" t="str">
        <f aca="false">IF($A146="","",IF($Q146=0,"",INDEX(COA_Mapping!$E$7:$E$256,$Q146)))</f>
        <v/>
      </c>
      <c r="O146" s="38" t="n">
        <f aca="false">IF($A146="",1,IF($Q146=0,1,INDEX(COA_Mapping!$F$7:$F$256,$Q146)))</f>
        <v>1</v>
      </c>
      <c r="P146" s="34" t="str">
        <f aca="false">IF($A146="","",$I146*$O146)</f>
        <v/>
      </c>
      <c r="Q146" s="39" t="n">
        <f aca="false">IF($B146="",0,IFERROR(MATCH($B146,COA_Mapping!$A$7:$A$256,0),0))</f>
        <v>0</v>
      </c>
      <c r="R146" s="39" t="n">
        <f aca="false">IF($A146="",-1,IF($J146=Setup!$B$7,1,IF($J146=Setup!$B$9,0,-1)))</f>
        <v>-1</v>
      </c>
      <c r="S146" s="35" t="n">
        <f aca="false">IF(OR($A146="",$Q146=0,$R146=-1),0,$Q146*1000+$R146*100+$K146)</f>
        <v>0</v>
      </c>
      <c r="T146" s="37" t="str">
        <f aca="false">IF($A146="","",IF($B146="","NO ACCOUNT",IF($Q146=0,"UNMAPPED",IF($R146=-1,"OUTSIDE FY RANGE","OK"))))</f>
        <v/>
      </c>
      <c r="U146" s="40" t="str">
        <f aca="false">IF($A146="","",$B146&amp;"|"&amp;TEXT($A146,"yyyymmdd")&amp;"|"&amp;TEXT($I146,"0.00"))</f>
        <v/>
      </c>
      <c r="V146" s="35" t="str">
        <f aca="false">IF($A146="","",COUNTIF($U$8:$U$5007,$U146))</f>
        <v/>
      </c>
    </row>
    <row r="147" customFormat="false" ht="15" hidden="false" customHeight="false" outlineLevel="0" collapsed="false">
      <c r="A147" s="31"/>
      <c r="B147" s="32"/>
      <c r="C147" s="32"/>
      <c r="D147" s="32"/>
      <c r="E147" s="32"/>
      <c r="F147" s="32"/>
      <c r="G147" s="33"/>
      <c r="H147" s="33"/>
      <c r="I147" s="34" t="str">
        <f aca="false">IF($A147="","",$G147-$H147)</f>
        <v/>
      </c>
      <c r="J147" s="35" t="str">
        <f aca="false">IF($A147="","",IF(Setup!$B$6=1,YEAR($A147),YEAR($A147)+IF(MONTH($A147)&gt;=Setup!$B$6,1,0)))</f>
        <v/>
      </c>
      <c r="K147" s="35" t="str">
        <f aca="false">IF($A147="","",MOD(MONTH($A147)-Setup!$B$6+12,12)+1)</f>
        <v/>
      </c>
      <c r="L147" s="36" t="str">
        <f aca="false">IF($A147="","",TEXT($A147,"MMM-YY"))</f>
        <v/>
      </c>
      <c r="M147" s="37" t="str">
        <f aca="false">IF($A147="","",IF($Q147=0,"UNMAPPED",INDEX(COA_Mapping!$C$7:$C$256,$Q147)))</f>
        <v/>
      </c>
      <c r="N147" s="38" t="str">
        <f aca="false">IF($A147="","",IF($Q147=0,"",INDEX(COA_Mapping!$E$7:$E$256,$Q147)))</f>
        <v/>
      </c>
      <c r="O147" s="38" t="n">
        <f aca="false">IF($A147="",1,IF($Q147=0,1,INDEX(COA_Mapping!$F$7:$F$256,$Q147)))</f>
        <v>1</v>
      </c>
      <c r="P147" s="34" t="str">
        <f aca="false">IF($A147="","",$I147*$O147)</f>
        <v/>
      </c>
      <c r="Q147" s="39" t="n">
        <f aca="false">IF($B147="",0,IFERROR(MATCH($B147,COA_Mapping!$A$7:$A$256,0),0))</f>
        <v>0</v>
      </c>
      <c r="R147" s="39" t="n">
        <f aca="false">IF($A147="",-1,IF($J147=Setup!$B$7,1,IF($J147=Setup!$B$9,0,-1)))</f>
        <v>-1</v>
      </c>
      <c r="S147" s="35" t="n">
        <f aca="false">IF(OR($A147="",$Q147=0,$R147=-1),0,$Q147*1000+$R147*100+$K147)</f>
        <v>0</v>
      </c>
      <c r="T147" s="37" t="str">
        <f aca="false">IF($A147="","",IF($B147="","NO ACCOUNT",IF($Q147=0,"UNMAPPED",IF($R147=-1,"OUTSIDE FY RANGE","OK"))))</f>
        <v/>
      </c>
      <c r="U147" s="40" t="str">
        <f aca="false">IF($A147="","",$B147&amp;"|"&amp;TEXT($A147,"yyyymmdd")&amp;"|"&amp;TEXT($I147,"0.00"))</f>
        <v/>
      </c>
      <c r="V147" s="35" t="str">
        <f aca="false">IF($A147="","",COUNTIF($U$8:$U$5007,$U147))</f>
        <v/>
      </c>
    </row>
    <row r="148" customFormat="false" ht="15" hidden="false" customHeight="false" outlineLevel="0" collapsed="false">
      <c r="A148" s="31"/>
      <c r="B148" s="32"/>
      <c r="C148" s="32"/>
      <c r="D148" s="32"/>
      <c r="E148" s="32"/>
      <c r="F148" s="32"/>
      <c r="G148" s="33"/>
      <c r="H148" s="33"/>
      <c r="I148" s="34" t="str">
        <f aca="false">IF($A148="","",$G148-$H148)</f>
        <v/>
      </c>
      <c r="J148" s="35" t="str">
        <f aca="false">IF($A148="","",IF(Setup!$B$6=1,YEAR($A148),YEAR($A148)+IF(MONTH($A148)&gt;=Setup!$B$6,1,0)))</f>
        <v/>
      </c>
      <c r="K148" s="35" t="str">
        <f aca="false">IF($A148="","",MOD(MONTH($A148)-Setup!$B$6+12,12)+1)</f>
        <v/>
      </c>
      <c r="L148" s="36" t="str">
        <f aca="false">IF($A148="","",TEXT($A148,"MMM-YY"))</f>
        <v/>
      </c>
      <c r="M148" s="37" t="str">
        <f aca="false">IF($A148="","",IF($Q148=0,"UNMAPPED",INDEX(COA_Mapping!$C$7:$C$256,$Q148)))</f>
        <v/>
      </c>
      <c r="N148" s="38" t="str">
        <f aca="false">IF($A148="","",IF($Q148=0,"",INDEX(COA_Mapping!$E$7:$E$256,$Q148)))</f>
        <v/>
      </c>
      <c r="O148" s="38" t="n">
        <f aca="false">IF($A148="",1,IF($Q148=0,1,INDEX(COA_Mapping!$F$7:$F$256,$Q148)))</f>
        <v>1</v>
      </c>
      <c r="P148" s="34" t="str">
        <f aca="false">IF($A148="","",$I148*$O148)</f>
        <v/>
      </c>
      <c r="Q148" s="39" t="n">
        <f aca="false">IF($B148="",0,IFERROR(MATCH($B148,COA_Mapping!$A$7:$A$256,0),0))</f>
        <v>0</v>
      </c>
      <c r="R148" s="39" t="n">
        <f aca="false">IF($A148="",-1,IF($J148=Setup!$B$7,1,IF($J148=Setup!$B$9,0,-1)))</f>
        <v>-1</v>
      </c>
      <c r="S148" s="35" t="n">
        <f aca="false">IF(OR($A148="",$Q148=0,$R148=-1),0,$Q148*1000+$R148*100+$K148)</f>
        <v>0</v>
      </c>
      <c r="T148" s="37" t="str">
        <f aca="false">IF($A148="","",IF($B148="","NO ACCOUNT",IF($Q148=0,"UNMAPPED",IF($R148=-1,"OUTSIDE FY RANGE","OK"))))</f>
        <v/>
      </c>
      <c r="U148" s="40" t="str">
        <f aca="false">IF($A148="","",$B148&amp;"|"&amp;TEXT($A148,"yyyymmdd")&amp;"|"&amp;TEXT($I148,"0.00"))</f>
        <v/>
      </c>
      <c r="V148" s="35" t="str">
        <f aca="false">IF($A148="","",COUNTIF($U$8:$U$5007,$U148))</f>
        <v/>
      </c>
    </row>
    <row r="149" customFormat="false" ht="15" hidden="false" customHeight="false" outlineLevel="0" collapsed="false">
      <c r="A149" s="31"/>
      <c r="B149" s="32"/>
      <c r="C149" s="32"/>
      <c r="D149" s="32"/>
      <c r="E149" s="32"/>
      <c r="F149" s="32"/>
      <c r="G149" s="33"/>
      <c r="H149" s="33"/>
      <c r="I149" s="34" t="str">
        <f aca="false">IF($A149="","",$G149-$H149)</f>
        <v/>
      </c>
      <c r="J149" s="35" t="str">
        <f aca="false">IF($A149="","",IF(Setup!$B$6=1,YEAR($A149),YEAR($A149)+IF(MONTH($A149)&gt;=Setup!$B$6,1,0)))</f>
        <v/>
      </c>
      <c r="K149" s="35" t="str">
        <f aca="false">IF($A149="","",MOD(MONTH($A149)-Setup!$B$6+12,12)+1)</f>
        <v/>
      </c>
      <c r="L149" s="36" t="str">
        <f aca="false">IF($A149="","",TEXT($A149,"MMM-YY"))</f>
        <v/>
      </c>
      <c r="M149" s="37" t="str">
        <f aca="false">IF($A149="","",IF($Q149=0,"UNMAPPED",INDEX(COA_Mapping!$C$7:$C$256,$Q149)))</f>
        <v/>
      </c>
      <c r="N149" s="38" t="str">
        <f aca="false">IF($A149="","",IF($Q149=0,"",INDEX(COA_Mapping!$E$7:$E$256,$Q149)))</f>
        <v/>
      </c>
      <c r="O149" s="38" t="n">
        <f aca="false">IF($A149="",1,IF($Q149=0,1,INDEX(COA_Mapping!$F$7:$F$256,$Q149)))</f>
        <v>1</v>
      </c>
      <c r="P149" s="34" t="str">
        <f aca="false">IF($A149="","",$I149*$O149)</f>
        <v/>
      </c>
      <c r="Q149" s="39" t="n">
        <f aca="false">IF($B149="",0,IFERROR(MATCH($B149,COA_Mapping!$A$7:$A$256,0),0))</f>
        <v>0</v>
      </c>
      <c r="R149" s="39" t="n">
        <f aca="false">IF($A149="",-1,IF($J149=Setup!$B$7,1,IF($J149=Setup!$B$9,0,-1)))</f>
        <v>-1</v>
      </c>
      <c r="S149" s="35" t="n">
        <f aca="false">IF(OR($A149="",$Q149=0,$R149=-1),0,$Q149*1000+$R149*100+$K149)</f>
        <v>0</v>
      </c>
      <c r="T149" s="37" t="str">
        <f aca="false">IF($A149="","",IF($B149="","NO ACCOUNT",IF($Q149=0,"UNMAPPED",IF($R149=-1,"OUTSIDE FY RANGE","OK"))))</f>
        <v/>
      </c>
      <c r="U149" s="40" t="str">
        <f aca="false">IF($A149="","",$B149&amp;"|"&amp;TEXT($A149,"yyyymmdd")&amp;"|"&amp;TEXT($I149,"0.00"))</f>
        <v/>
      </c>
      <c r="V149" s="35" t="str">
        <f aca="false">IF($A149="","",COUNTIF($U$8:$U$5007,$U149))</f>
        <v/>
      </c>
    </row>
    <row r="150" customFormat="false" ht="15" hidden="false" customHeight="false" outlineLevel="0" collapsed="false">
      <c r="A150" s="31"/>
      <c r="B150" s="32"/>
      <c r="C150" s="32"/>
      <c r="D150" s="32"/>
      <c r="E150" s="32"/>
      <c r="F150" s="32"/>
      <c r="G150" s="33"/>
      <c r="H150" s="33"/>
      <c r="I150" s="34" t="str">
        <f aca="false">IF($A150="","",$G150-$H150)</f>
        <v/>
      </c>
      <c r="J150" s="35" t="str">
        <f aca="false">IF($A150="","",IF(Setup!$B$6=1,YEAR($A150),YEAR($A150)+IF(MONTH($A150)&gt;=Setup!$B$6,1,0)))</f>
        <v/>
      </c>
      <c r="K150" s="35" t="str">
        <f aca="false">IF($A150="","",MOD(MONTH($A150)-Setup!$B$6+12,12)+1)</f>
        <v/>
      </c>
      <c r="L150" s="36" t="str">
        <f aca="false">IF($A150="","",TEXT($A150,"MMM-YY"))</f>
        <v/>
      </c>
      <c r="M150" s="37" t="str">
        <f aca="false">IF($A150="","",IF($Q150=0,"UNMAPPED",INDEX(COA_Mapping!$C$7:$C$256,$Q150)))</f>
        <v/>
      </c>
      <c r="N150" s="38" t="str">
        <f aca="false">IF($A150="","",IF($Q150=0,"",INDEX(COA_Mapping!$E$7:$E$256,$Q150)))</f>
        <v/>
      </c>
      <c r="O150" s="38" t="n">
        <f aca="false">IF($A150="",1,IF($Q150=0,1,INDEX(COA_Mapping!$F$7:$F$256,$Q150)))</f>
        <v>1</v>
      </c>
      <c r="P150" s="34" t="str">
        <f aca="false">IF($A150="","",$I150*$O150)</f>
        <v/>
      </c>
      <c r="Q150" s="39" t="n">
        <f aca="false">IF($B150="",0,IFERROR(MATCH($B150,COA_Mapping!$A$7:$A$256,0),0))</f>
        <v>0</v>
      </c>
      <c r="R150" s="39" t="n">
        <f aca="false">IF($A150="",-1,IF($J150=Setup!$B$7,1,IF($J150=Setup!$B$9,0,-1)))</f>
        <v>-1</v>
      </c>
      <c r="S150" s="35" t="n">
        <f aca="false">IF(OR($A150="",$Q150=0,$R150=-1),0,$Q150*1000+$R150*100+$K150)</f>
        <v>0</v>
      </c>
      <c r="T150" s="37" t="str">
        <f aca="false">IF($A150="","",IF($B150="","NO ACCOUNT",IF($Q150=0,"UNMAPPED",IF($R150=-1,"OUTSIDE FY RANGE","OK"))))</f>
        <v/>
      </c>
      <c r="U150" s="40" t="str">
        <f aca="false">IF($A150="","",$B150&amp;"|"&amp;TEXT($A150,"yyyymmdd")&amp;"|"&amp;TEXT($I150,"0.00"))</f>
        <v/>
      </c>
      <c r="V150" s="35" t="str">
        <f aca="false">IF($A150="","",COUNTIF($U$8:$U$5007,$U150))</f>
        <v/>
      </c>
    </row>
    <row r="151" customFormat="false" ht="15" hidden="false" customHeight="false" outlineLevel="0" collapsed="false">
      <c r="A151" s="31"/>
      <c r="B151" s="32"/>
      <c r="C151" s="32"/>
      <c r="D151" s="32"/>
      <c r="E151" s="32"/>
      <c r="F151" s="32"/>
      <c r="G151" s="33"/>
      <c r="H151" s="33"/>
      <c r="I151" s="34" t="str">
        <f aca="false">IF($A151="","",$G151-$H151)</f>
        <v/>
      </c>
      <c r="J151" s="35" t="str">
        <f aca="false">IF($A151="","",IF(Setup!$B$6=1,YEAR($A151),YEAR($A151)+IF(MONTH($A151)&gt;=Setup!$B$6,1,0)))</f>
        <v/>
      </c>
      <c r="K151" s="35" t="str">
        <f aca="false">IF($A151="","",MOD(MONTH($A151)-Setup!$B$6+12,12)+1)</f>
        <v/>
      </c>
      <c r="L151" s="36" t="str">
        <f aca="false">IF($A151="","",TEXT($A151,"MMM-YY"))</f>
        <v/>
      </c>
      <c r="M151" s="37" t="str">
        <f aca="false">IF($A151="","",IF($Q151=0,"UNMAPPED",INDEX(COA_Mapping!$C$7:$C$256,$Q151)))</f>
        <v/>
      </c>
      <c r="N151" s="38" t="str">
        <f aca="false">IF($A151="","",IF($Q151=0,"",INDEX(COA_Mapping!$E$7:$E$256,$Q151)))</f>
        <v/>
      </c>
      <c r="O151" s="38" t="n">
        <f aca="false">IF($A151="",1,IF($Q151=0,1,INDEX(COA_Mapping!$F$7:$F$256,$Q151)))</f>
        <v>1</v>
      </c>
      <c r="P151" s="34" t="str">
        <f aca="false">IF($A151="","",$I151*$O151)</f>
        <v/>
      </c>
      <c r="Q151" s="39" t="n">
        <f aca="false">IF($B151="",0,IFERROR(MATCH($B151,COA_Mapping!$A$7:$A$256,0),0))</f>
        <v>0</v>
      </c>
      <c r="R151" s="39" t="n">
        <f aca="false">IF($A151="",-1,IF($J151=Setup!$B$7,1,IF($J151=Setup!$B$9,0,-1)))</f>
        <v>-1</v>
      </c>
      <c r="S151" s="35" t="n">
        <f aca="false">IF(OR($A151="",$Q151=0,$R151=-1),0,$Q151*1000+$R151*100+$K151)</f>
        <v>0</v>
      </c>
      <c r="T151" s="37" t="str">
        <f aca="false">IF($A151="","",IF($B151="","NO ACCOUNT",IF($Q151=0,"UNMAPPED",IF($R151=-1,"OUTSIDE FY RANGE","OK"))))</f>
        <v/>
      </c>
      <c r="U151" s="40" t="str">
        <f aca="false">IF($A151="","",$B151&amp;"|"&amp;TEXT($A151,"yyyymmdd")&amp;"|"&amp;TEXT($I151,"0.00"))</f>
        <v/>
      </c>
      <c r="V151" s="35" t="str">
        <f aca="false">IF($A151="","",COUNTIF($U$8:$U$5007,$U151))</f>
        <v/>
      </c>
    </row>
    <row r="152" customFormat="false" ht="15" hidden="false" customHeight="false" outlineLevel="0" collapsed="false">
      <c r="A152" s="31"/>
      <c r="B152" s="32"/>
      <c r="C152" s="32"/>
      <c r="D152" s="32"/>
      <c r="E152" s="32"/>
      <c r="F152" s="32"/>
      <c r="G152" s="33"/>
      <c r="H152" s="33"/>
      <c r="I152" s="34" t="str">
        <f aca="false">IF($A152="","",$G152-$H152)</f>
        <v/>
      </c>
      <c r="J152" s="35" t="str">
        <f aca="false">IF($A152="","",IF(Setup!$B$6=1,YEAR($A152),YEAR($A152)+IF(MONTH($A152)&gt;=Setup!$B$6,1,0)))</f>
        <v/>
      </c>
      <c r="K152" s="35" t="str">
        <f aca="false">IF($A152="","",MOD(MONTH($A152)-Setup!$B$6+12,12)+1)</f>
        <v/>
      </c>
      <c r="L152" s="36" t="str">
        <f aca="false">IF($A152="","",TEXT($A152,"MMM-YY"))</f>
        <v/>
      </c>
      <c r="M152" s="37" t="str">
        <f aca="false">IF($A152="","",IF($Q152=0,"UNMAPPED",INDEX(COA_Mapping!$C$7:$C$256,$Q152)))</f>
        <v/>
      </c>
      <c r="N152" s="38" t="str">
        <f aca="false">IF($A152="","",IF($Q152=0,"",INDEX(COA_Mapping!$E$7:$E$256,$Q152)))</f>
        <v/>
      </c>
      <c r="O152" s="38" t="n">
        <f aca="false">IF($A152="",1,IF($Q152=0,1,INDEX(COA_Mapping!$F$7:$F$256,$Q152)))</f>
        <v>1</v>
      </c>
      <c r="P152" s="34" t="str">
        <f aca="false">IF($A152="","",$I152*$O152)</f>
        <v/>
      </c>
      <c r="Q152" s="39" t="n">
        <f aca="false">IF($B152="",0,IFERROR(MATCH($B152,COA_Mapping!$A$7:$A$256,0),0))</f>
        <v>0</v>
      </c>
      <c r="R152" s="39" t="n">
        <f aca="false">IF($A152="",-1,IF($J152=Setup!$B$7,1,IF($J152=Setup!$B$9,0,-1)))</f>
        <v>-1</v>
      </c>
      <c r="S152" s="35" t="n">
        <f aca="false">IF(OR($A152="",$Q152=0,$R152=-1),0,$Q152*1000+$R152*100+$K152)</f>
        <v>0</v>
      </c>
      <c r="T152" s="37" t="str">
        <f aca="false">IF($A152="","",IF($B152="","NO ACCOUNT",IF($Q152=0,"UNMAPPED",IF($R152=-1,"OUTSIDE FY RANGE","OK"))))</f>
        <v/>
      </c>
      <c r="U152" s="40" t="str">
        <f aca="false">IF($A152="","",$B152&amp;"|"&amp;TEXT($A152,"yyyymmdd")&amp;"|"&amp;TEXT($I152,"0.00"))</f>
        <v/>
      </c>
      <c r="V152" s="35" t="str">
        <f aca="false">IF($A152="","",COUNTIF($U$8:$U$5007,$U152))</f>
        <v/>
      </c>
    </row>
    <row r="153" customFormat="false" ht="15" hidden="false" customHeight="false" outlineLevel="0" collapsed="false">
      <c r="A153" s="31"/>
      <c r="B153" s="32"/>
      <c r="C153" s="32"/>
      <c r="D153" s="32"/>
      <c r="E153" s="32"/>
      <c r="F153" s="32"/>
      <c r="G153" s="33"/>
      <c r="H153" s="33"/>
      <c r="I153" s="34" t="str">
        <f aca="false">IF($A153="","",$G153-$H153)</f>
        <v/>
      </c>
      <c r="J153" s="35" t="str">
        <f aca="false">IF($A153="","",IF(Setup!$B$6=1,YEAR($A153),YEAR($A153)+IF(MONTH($A153)&gt;=Setup!$B$6,1,0)))</f>
        <v/>
      </c>
      <c r="K153" s="35" t="str">
        <f aca="false">IF($A153="","",MOD(MONTH($A153)-Setup!$B$6+12,12)+1)</f>
        <v/>
      </c>
      <c r="L153" s="36" t="str">
        <f aca="false">IF($A153="","",TEXT($A153,"MMM-YY"))</f>
        <v/>
      </c>
      <c r="M153" s="37" t="str">
        <f aca="false">IF($A153="","",IF($Q153=0,"UNMAPPED",INDEX(COA_Mapping!$C$7:$C$256,$Q153)))</f>
        <v/>
      </c>
      <c r="N153" s="38" t="str">
        <f aca="false">IF($A153="","",IF($Q153=0,"",INDEX(COA_Mapping!$E$7:$E$256,$Q153)))</f>
        <v/>
      </c>
      <c r="O153" s="38" t="n">
        <f aca="false">IF($A153="",1,IF($Q153=0,1,INDEX(COA_Mapping!$F$7:$F$256,$Q153)))</f>
        <v>1</v>
      </c>
      <c r="P153" s="34" t="str">
        <f aca="false">IF($A153="","",$I153*$O153)</f>
        <v/>
      </c>
      <c r="Q153" s="39" t="n">
        <f aca="false">IF($B153="",0,IFERROR(MATCH($B153,COA_Mapping!$A$7:$A$256,0),0))</f>
        <v>0</v>
      </c>
      <c r="R153" s="39" t="n">
        <f aca="false">IF($A153="",-1,IF($J153=Setup!$B$7,1,IF($J153=Setup!$B$9,0,-1)))</f>
        <v>-1</v>
      </c>
      <c r="S153" s="35" t="n">
        <f aca="false">IF(OR($A153="",$Q153=0,$R153=-1),0,$Q153*1000+$R153*100+$K153)</f>
        <v>0</v>
      </c>
      <c r="T153" s="37" t="str">
        <f aca="false">IF($A153="","",IF($B153="","NO ACCOUNT",IF($Q153=0,"UNMAPPED",IF($R153=-1,"OUTSIDE FY RANGE","OK"))))</f>
        <v/>
      </c>
      <c r="U153" s="40" t="str">
        <f aca="false">IF($A153="","",$B153&amp;"|"&amp;TEXT($A153,"yyyymmdd")&amp;"|"&amp;TEXT($I153,"0.00"))</f>
        <v/>
      </c>
      <c r="V153" s="35" t="str">
        <f aca="false">IF($A153="","",COUNTIF($U$8:$U$5007,$U153))</f>
        <v/>
      </c>
    </row>
    <row r="154" customFormat="false" ht="15" hidden="false" customHeight="false" outlineLevel="0" collapsed="false">
      <c r="A154" s="31"/>
      <c r="B154" s="32"/>
      <c r="C154" s="32"/>
      <c r="D154" s="32"/>
      <c r="E154" s="32"/>
      <c r="F154" s="32"/>
      <c r="G154" s="33"/>
      <c r="H154" s="33"/>
      <c r="I154" s="34" t="str">
        <f aca="false">IF($A154="","",$G154-$H154)</f>
        <v/>
      </c>
      <c r="J154" s="35" t="str">
        <f aca="false">IF($A154="","",IF(Setup!$B$6=1,YEAR($A154),YEAR($A154)+IF(MONTH($A154)&gt;=Setup!$B$6,1,0)))</f>
        <v/>
      </c>
      <c r="K154" s="35" t="str">
        <f aca="false">IF($A154="","",MOD(MONTH($A154)-Setup!$B$6+12,12)+1)</f>
        <v/>
      </c>
      <c r="L154" s="36" t="str">
        <f aca="false">IF($A154="","",TEXT($A154,"MMM-YY"))</f>
        <v/>
      </c>
      <c r="M154" s="37" t="str">
        <f aca="false">IF($A154="","",IF($Q154=0,"UNMAPPED",INDEX(COA_Mapping!$C$7:$C$256,$Q154)))</f>
        <v/>
      </c>
      <c r="N154" s="38" t="str">
        <f aca="false">IF($A154="","",IF($Q154=0,"",INDEX(COA_Mapping!$E$7:$E$256,$Q154)))</f>
        <v/>
      </c>
      <c r="O154" s="38" t="n">
        <f aca="false">IF($A154="",1,IF($Q154=0,1,INDEX(COA_Mapping!$F$7:$F$256,$Q154)))</f>
        <v>1</v>
      </c>
      <c r="P154" s="34" t="str">
        <f aca="false">IF($A154="","",$I154*$O154)</f>
        <v/>
      </c>
      <c r="Q154" s="39" t="n">
        <f aca="false">IF($B154="",0,IFERROR(MATCH($B154,COA_Mapping!$A$7:$A$256,0),0))</f>
        <v>0</v>
      </c>
      <c r="R154" s="39" t="n">
        <f aca="false">IF($A154="",-1,IF($J154=Setup!$B$7,1,IF($J154=Setup!$B$9,0,-1)))</f>
        <v>-1</v>
      </c>
      <c r="S154" s="35" t="n">
        <f aca="false">IF(OR($A154="",$Q154=0,$R154=-1),0,$Q154*1000+$R154*100+$K154)</f>
        <v>0</v>
      </c>
      <c r="T154" s="37" t="str">
        <f aca="false">IF($A154="","",IF($B154="","NO ACCOUNT",IF($Q154=0,"UNMAPPED",IF($R154=-1,"OUTSIDE FY RANGE","OK"))))</f>
        <v/>
      </c>
      <c r="U154" s="40" t="str">
        <f aca="false">IF($A154="","",$B154&amp;"|"&amp;TEXT($A154,"yyyymmdd")&amp;"|"&amp;TEXT($I154,"0.00"))</f>
        <v/>
      </c>
      <c r="V154" s="35" t="str">
        <f aca="false">IF($A154="","",COUNTIF($U$8:$U$5007,$U154))</f>
        <v/>
      </c>
    </row>
    <row r="155" customFormat="false" ht="15" hidden="false" customHeight="false" outlineLevel="0" collapsed="false">
      <c r="A155" s="31"/>
      <c r="B155" s="32"/>
      <c r="C155" s="32"/>
      <c r="D155" s="32"/>
      <c r="E155" s="32"/>
      <c r="F155" s="32"/>
      <c r="G155" s="33"/>
      <c r="H155" s="33"/>
      <c r="I155" s="34" t="str">
        <f aca="false">IF($A155="","",$G155-$H155)</f>
        <v/>
      </c>
      <c r="J155" s="35" t="str">
        <f aca="false">IF($A155="","",IF(Setup!$B$6=1,YEAR($A155),YEAR($A155)+IF(MONTH($A155)&gt;=Setup!$B$6,1,0)))</f>
        <v/>
      </c>
      <c r="K155" s="35" t="str">
        <f aca="false">IF($A155="","",MOD(MONTH($A155)-Setup!$B$6+12,12)+1)</f>
        <v/>
      </c>
      <c r="L155" s="36" t="str">
        <f aca="false">IF($A155="","",TEXT($A155,"MMM-YY"))</f>
        <v/>
      </c>
      <c r="M155" s="37" t="str">
        <f aca="false">IF($A155="","",IF($Q155=0,"UNMAPPED",INDEX(COA_Mapping!$C$7:$C$256,$Q155)))</f>
        <v/>
      </c>
      <c r="N155" s="38" t="str">
        <f aca="false">IF($A155="","",IF($Q155=0,"",INDEX(COA_Mapping!$E$7:$E$256,$Q155)))</f>
        <v/>
      </c>
      <c r="O155" s="38" t="n">
        <f aca="false">IF($A155="",1,IF($Q155=0,1,INDEX(COA_Mapping!$F$7:$F$256,$Q155)))</f>
        <v>1</v>
      </c>
      <c r="P155" s="34" t="str">
        <f aca="false">IF($A155="","",$I155*$O155)</f>
        <v/>
      </c>
      <c r="Q155" s="39" t="n">
        <f aca="false">IF($B155="",0,IFERROR(MATCH($B155,COA_Mapping!$A$7:$A$256,0),0))</f>
        <v>0</v>
      </c>
      <c r="R155" s="39" t="n">
        <f aca="false">IF($A155="",-1,IF($J155=Setup!$B$7,1,IF($J155=Setup!$B$9,0,-1)))</f>
        <v>-1</v>
      </c>
      <c r="S155" s="35" t="n">
        <f aca="false">IF(OR($A155="",$Q155=0,$R155=-1),0,$Q155*1000+$R155*100+$K155)</f>
        <v>0</v>
      </c>
      <c r="T155" s="37" t="str">
        <f aca="false">IF($A155="","",IF($B155="","NO ACCOUNT",IF($Q155=0,"UNMAPPED",IF($R155=-1,"OUTSIDE FY RANGE","OK"))))</f>
        <v/>
      </c>
      <c r="U155" s="40" t="str">
        <f aca="false">IF($A155="","",$B155&amp;"|"&amp;TEXT($A155,"yyyymmdd")&amp;"|"&amp;TEXT($I155,"0.00"))</f>
        <v/>
      </c>
      <c r="V155" s="35" t="str">
        <f aca="false">IF($A155="","",COUNTIF($U$8:$U$5007,$U155))</f>
        <v/>
      </c>
    </row>
    <row r="156" customFormat="false" ht="15" hidden="false" customHeight="false" outlineLevel="0" collapsed="false">
      <c r="A156" s="31"/>
      <c r="B156" s="32"/>
      <c r="C156" s="32"/>
      <c r="D156" s="32"/>
      <c r="E156" s="32"/>
      <c r="F156" s="32"/>
      <c r="G156" s="33"/>
      <c r="H156" s="33"/>
      <c r="I156" s="34" t="str">
        <f aca="false">IF($A156="","",$G156-$H156)</f>
        <v/>
      </c>
      <c r="J156" s="35" t="str">
        <f aca="false">IF($A156="","",IF(Setup!$B$6=1,YEAR($A156),YEAR($A156)+IF(MONTH($A156)&gt;=Setup!$B$6,1,0)))</f>
        <v/>
      </c>
      <c r="K156" s="35" t="str">
        <f aca="false">IF($A156="","",MOD(MONTH($A156)-Setup!$B$6+12,12)+1)</f>
        <v/>
      </c>
      <c r="L156" s="36" t="str">
        <f aca="false">IF($A156="","",TEXT($A156,"MMM-YY"))</f>
        <v/>
      </c>
      <c r="M156" s="37" t="str">
        <f aca="false">IF($A156="","",IF($Q156=0,"UNMAPPED",INDEX(COA_Mapping!$C$7:$C$256,$Q156)))</f>
        <v/>
      </c>
      <c r="N156" s="38" t="str">
        <f aca="false">IF($A156="","",IF($Q156=0,"",INDEX(COA_Mapping!$E$7:$E$256,$Q156)))</f>
        <v/>
      </c>
      <c r="O156" s="38" t="n">
        <f aca="false">IF($A156="",1,IF($Q156=0,1,INDEX(COA_Mapping!$F$7:$F$256,$Q156)))</f>
        <v>1</v>
      </c>
      <c r="P156" s="34" t="str">
        <f aca="false">IF($A156="","",$I156*$O156)</f>
        <v/>
      </c>
      <c r="Q156" s="39" t="n">
        <f aca="false">IF($B156="",0,IFERROR(MATCH($B156,COA_Mapping!$A$7:$A$256,0),0))</f>
        <v>0</v>
      </c>
      <c r="R156" s="39" t="n">
        <f aca="false">IF($A156="",-1,IF($J156=Setup!$B$7,1,IF($J156=Setup!$B$9,0,-1)))</f>
        <v>-1</v>
      </c>
      <c r="S156" s="35" t="n">
        <f aca="false">IF(OR($A156="",$Q156=0,$R156=-1),0,$Q156*1000+$R156*100+$K156)</f>
        <v>0</v>
      </c>
      <c r="T156" s="37" t="str">
        <f aca="false">IF($A156="","",IF($B156="","NO ACCOUNT",IF($Q156=0,"UNMAPPED",IF($R156=-1,"OUTSIDE FY RANGE","OK"))))</f>
        <v/>
      </c>
      <c r="U156" s="40" t="str">
        <f aca="false">IF($A156="","",$B156&amp;"|"&amp;TEXT($A156,"yyyymmdd")&amp;"|"&amp;TEXT($I156,"0.00"))</f>
        <v/>
      </c>
      <c r="V156" s="35" t="str">
        <f aca="false">IF($A156="","",COUNTIF($U$8:$U$5007,$U156))</f>
        <v/>
      </c>
    </row>
    <row r="157" customFormat="false" ht="15" hidden="false" customHeight="false" outlineLevel="0" collapsed="false">
      <c r="A157" s="31"/>
      <c r="B157" s="32"/>
      <c r="C157" s="32"/>
      <c r="D157" s="32"/>
      <c r="E157" s="32"/>
      <c r="F157" s="32"/>
      <c r="G157" s="33"/>
      <c r="H157" s="33"/>
      <c r="I157" s="34" t="str">
        <f aca="false">IF($A157="","",$G157-$H157)</f>
        <v/>
      </c>
      <c r="J157" s="35" t="str">
        <f aca="false">IF($A157="","",IF(Setup!$B$6=1,YEAR($A157),YEAR($A157)+IF(MONTH($A157)&gt;=Setup!$B$6,1,0)))</f>
        <v/>
      </c>
      <c r="K157" s="35" t="str">
        <f aca="false">IF($A157="","",MOD(MONTH($A157)-Setup!$B$6+12,12)+1)</f>
        <v/>
      </c>
      <c r="L157" s="36" t="str">
        <f aca="false">IF($A157="","",TEXT($A157,"MMM-YY"))</f>
        <v/>
      </c>
      <c r="M157" s="37" t="str">
        <f aca="false">IF($A157="","",IF($Q157=0,"UNMAPPED",INDEX(COA_Mapping!$C$7:$C$256,$Q157)))</f>
        <v/>
      </c>
      <c r="N157" s="38" t="str">
        <f aca="false">IF($A157="","",IF($Q157=0,"",INDEX(COA_Mapping!$E$7:$E$256,$Q157)))</f>
        <v/>
      </c>
      <c r="O157" s="38" t="n">
        <f aca="false">IF($A157="",1,IF($Q157=0,1,INDEX(COA_Mapping!$F$7:$F$256,$Q157)))</f>
        <v>1</v>
      </c>
      <c r="P157" s="34" t="str">
        <f aca="false">IF($A157="","",$I157*$O157)</f>
        <v/>
      </c>
      <c r="Q157" s="39" t="n">
        <f aca="false">IF($B157="",0,IFERROR(MATCH($B157,COA_Mapping!$A$7:$A$256,0),0))</f>
        <v>0</v>
      </c>
      <c r="R157" s="39" t="n">
        <f aca="false">IF($A157="",-1,IF($J157=Setup!$B$7,1,IF($J157=Setup!$B$9,0,-1)))</f>
        <v>-1</v>
      </c>
      <c r="S157" s="35" t="n">
        <f aca="false">IF(OR($A157="",$Q157=0,$R157=-1),0,$Q157*1000+$R157*100+$K157)</f>
        <v>0</v>
      </c>
      <c r="T157" s="37" t="str">
        <f aca="false">IF($A157="","",IF($B157="","NO ACCOUNT",IF($Q157=0,"UNMAPPED",IF($R157=-1,"OUTSIDE FY RANGE","OK"))))</f>
        <v/>
      </c>
      <c r="U157" s="40" t="str">
        <f aca="false">IF($A157="","",$B157&amp;"|"&amp;TEXT($A157,"yyyymmdd")&amp;"|"&amp;TEXT($I157,"0.00"))</f>
        <v/>
      </c>
      <c r="V157" s="35" t="str">
        <f aca="false">IF($A157="","",COUNTIF($U$8:$U$5007,$U157))</f>
        <v/>
      </c>
    </row>
    <row r="158" customFormat="false" ht="15" hidden="false" customHeight="false" outlineLevel="0" collapsed="false">
      <c r="A158" s="31"/>
      <c r="B158" s="32"/>
      <c r="C158" s="32"/>
      <c r="D158" s="32"/>
      <c r="E158" s="32"/>
      <c r="F158" s="32"/>
      <c r="G158" s="33"/>
      <c r="H158" s="33"/>
      <c r="I158" s="34" t="str">
        <f aca="false">IF($A158="","",$G158-$H158)</f>
        <v/>
      </c>
      <c r="J158" s="35" t="str">
        <f aca="false">IF($A158="","",IF(Setup!$B$6=1,YEAR($A158),YEAR($A158)+IF(MONTH($A158)&gt;=Setup!$B$6,1,0)))</f>
        <v/>
      </c>
      <c r="K158" s="35" t="str">
        <f aca="false">IF($A158="","",MOD(MONTH($A158)-Setup!$B$6+12,12)+1)</f>
        <v/>
      </c>
      <c r="L158" s="36" t="str">
        <f aca="false">IF($A158="","",TEXT($A158,"MMM-YY"))</f>
        <v/>
      </c>
      <c r="M158" s="37" t="str">
        <f aca="false">IF($A158="","",IF($Q158=0,"UNMAPPED",INDEX(COA_Mapping!$C$7:$C$256,$Q158)))</f>
        <v/>
      </c>
      <c r="N158" s="38" t="str">
        <f aca="false">IF($A158="","",IF($Q158=0,"",INDEX(COA_Mapping!$E$7:$E$256,$Q158)))</f>
        <v/>
      </c>
      <c r="O158" s="38" t="n">
        <f aca="false">IF($A158="",1,IF($Q158=0,1,INDEX(COA_Mapping!$F$7:$F$256,$Q158)))</f>
        <v>1</v>
      </c>
      <c r="P158" s="34" t="str">
        <f aca="false">IF($A158="","",$I158*$O158)</f>
        <v/>
      </c>
      <c r="Q158" s="39" t="n">
        <f aca="false">IF($B158="",0,IFERROR(MATCH($B158,COA_Mapping!$A$7:$A$256,0),0))</f>
        <v>0</v>
      </c>
      <c r="R158" s="39" t="n">
        <f aca="false">IF($A158="",-1,IF($J158=Setup!$B$7,1,IF($J158=Setup!$B$9,0,-1)))</f>
        <v>-1</v>
      </c>
      <c r="S158" s="35" t="n">
        <f aca="false">IF(OR($A158="",$Q158=0,$R158=-1),0,$Q158*1000+$R158*100+$K158)</f>
        <v>0</v>
      </c>
      <c r="T158" s="37" t="str">
        <f aca="false">IF($A158="","",IF($B158="","NO ACCOUNT",IF($Q158=0,"UNMAPPED",IF($R158=-1,"OUTSIDE FY RANGE","OK"))))</f>
        <v/>
      </c>
      <c r="U158" s="40" t="str">
        <f aca="false">IF($A158="","",$B158&amp;"|"&amp;TEXT($A158,"yyyymmdd")&amp;"|"&amp;TEXT($I158,"0.00"))</f>
        <v/>
      </c>
      <c r="V158" s="35" t="str">
        <f aca="false">IF($A158="","",COUNTIF($U$8:$U$5007,$U158))</f>
        <v/>
      </c>
    </row>
    <row r="159" customFormat="false" ht="15" hidden="false" customHeight="false" outlineLevel="0" collapsed="false">
      <c r="A159" s="31"/>
      <c r="B159" s="32"/>
      <c r="C159" s="32"/>
      <c r="D159" s="32"/>
      <c r="E159" s="32"/>
      <c r="F159" s="32"/>
      <c r="G159" s="33"/>
      <c r="H159" s="33"/>
      <c r="I159" s="34" t="str">
        <f aca="false">IF($A159="","",$G159-$H159)</f>
        <v/>
      </c>
      <c r="J159" s="35" t="str">
        <f aca="false">IF($A159="","",IF(Setup!$B$6=1,YEAR($A159),YEAR($A159)+IF(MONTH($A159)&gt;=Setup!$B$6,1,0)))</f>
        <v/>
      </c>
      <c r="K159" s="35" t="str">
        <f aca="false">IF($A159="","",MOD(MONTH($A159)-Setup!$B$6+12,12)+1)</f>
        <v/>
      </c>
      <c r="L159" s="36" t="str">
        <f aca="false">IF($A159="","",TEXT($A159,"MMM-YY"))</f>
        <v/>
      </c>
      <c r="M159" s="37" t="str">
        <f aca="false">IF($A159="","",IF($Q159=0,"UNMAPPED",INDEX(COA_Mapping!$C$7:$C$256,$Q159)))</f>
        <v/>
      </c>
      <c r="N159" s="38" t="str">
        <f aca="false">IF($A159="","",IF($Q159=0,"",INDEX(COA_Mapping!$E$7:$E$256,$Q159)))</f>
        <v/>
      </c>
      <c r="O159" s="38" t="n">
        <f aca="false">IF($A159="",1,IF($Q159=0,1,INDEX(COA_Mapping!$F$7:$F$256,$Q159)))</f>
        <v>1</v>
      </c>
      <c r="P159" s="34" t="str">
        <f aca="false">IF($A159="","",$I159*$O159)</f>
        <v/>
      </c>
      <c r="Q159" s="39" t="n">
        <f aca="false">IF($B159="",0,IFERROR(MATCH($B159,COA_Mapping!$A$7:$A$256,0),0))</f>
        <v>0</v>
      </c>
      <c r="R159" s="39" t="n">
        <f aca="false">IF($A159="",-1,IF($J159=Setup!$B$7,1,IF($J159=Setup!$B$9,0,-1)))</f>
        <v>-1</v>
      </c>
      <c r="S159" s="35" t="n">
        <f aca="false">IF(OR($A159="",$Q159=0,$R159=-1),0,$Q159*1000+$R159*100+$K159)</f>
        <v>0</v>
      </c>
      <c r="T159" s="37" t="str">
        <f aca="false">IF($A159="","",IF($B159="","NO ACCOUNT",IF($Q159=0,"UNMAPPED",IF($R159=-1,"OUTSIDE FY RANGE","OK"))))</f>
        <v/>
      </c>
      <c r="U159" s="40" t="str">
        <f aca="false">IF($A159="","",$B159&amp;"|"&amp;TEXT($A159,"yyyymmdd")&amp;"|"&amp;TEXT($I159,"0.00"))</f>
        <v/>
      </c>
      <c r="V159" s="35" t="str">
        <f aca="false">IF($A159="","",COUNTIF($U$8:$U$5007,$U159))</f>
        <v/>
      </c>
    </row>
    <row r="160" customFormat="false" ht="15" hidden="false" customHeight="false" outlineLevel="0" collapsed="false">
      <c r="A160" s="31"/>
      <c r="B160" s="32"/>
      <c r="C160" s="32"/>
      <c r="D160" s="32"/>
      <c r="E160" s="32"/>
      <c r="F160" s="32"/>
      <c r="G160" s="33"/>
      <c r="H160" s="33"/>
      <c r="I160" s="34" t="str">
        <f aca="false">IF($A160="","",$G160-$H160)</f>
        <v/>
      </c>
      <c r="J160" s="35" t="str">
        <f aca="false">IF($A160="","",IF(Setup!$B$6=1,YEAR($A160),YEAR($A160)+IF(MONTH($A160)&gt;=Setup!$B$6,1,0)))</f>
        <v/>
      </c>
      <c r="K160" s="35" t="str">
        <f aca="false">IF($A160="","",MOD(MONTH($A160)-Setup!$B$6+12,12)+1)</f>
        <v/>
      </c>
      <c r="L160" s="36" t="str">
        <f aca="false">IF($A160="","",TEXT($A160,"MMM-YY"))</f>
        <v/>
      </c>
      <c r="M160" s="37" t="str">
        <f aca="false">IF($A160="","",IF($Q160=0,"UNMAPPED",INDEX(COA_Mapping!$C$7:$C$256,$Q160)))</f>
        <v/>
      </c>
      <c r="N160" s="38" t="str">
        <f aca="false">IF($A160="","",IF($Q160=0,"",INDEX(COA_Mapping!$E$7:$E$256,$Q160)))</f>
        <v/>
      </c>
      <c r="O160" s="38" t="n">
        <f aca="false">IF($A160="",1,IF($Q160=0,1,INDEX(COA_Mapping!$F$7:$F$256,$Q160)))</f>
        <v>1</v>
      </c>
      <c r="P160" s="34" t="str">
        <f aca="false">IF($A160="","",$I160*$O160)</f>
        <v/>
      </c>
      <c r="Q160" s="39" t="n">
        <f aca="false">IF($B160="",0,IFERROR(MATCH($B160,COA_Mapping!$A$7:$A$256,0),0))</f>
        <v>0</v>
      </c>
      <c r="R160" s="39" t="n">
        <f aca="false">IF($A160="",-1,IF($J160=Setup!$B$7,1,IF($J160=Setup!$B$9,0,-1)))</f>
        <v>-1</v>
      </c>
      <c r="S160" s="35" t="n">
        <f aca="false">IF(OR($A160="",$Q160=0,$R160=-1),0,$Q160*1000+$R160*100+$K160)</f>
        <v>0</v>
      </c>
      <c r="T160" s="37" t="str">
        <f aca="false">IF($A160="","",IF($B160="","NO ACCOUNT",IF($Q160=0,"UNMAPPED",IF($R160=-1,"OUTSIDE FY RANGE","OK"))))</f>
        <v/>
      </c>
      <c r="U160" s="40" t="str">
        <f aca="false">IF($A160="","",$B160&amp;"|"&amp;TEXT($A160,"yyyymmdd")&amp;"|"&amp;TEXT($I160,"0.00"))</f>
        <v/>
      </c>
      <c r="V160" s="35" t="str">
        <f aca="false">IF($A160="","",COUNTIF($U$8:$U$5007,$U160))</f>
        <v/>
      </c>
    </row>
    <row r="161" customFormat="false" ht="15" hidden="false" customHeight="false" outlineLevel="0" collapsed="false">
      <c r="A161" s="31"/>
      <c r="B161" s="32"/>
      <c r="C161" s="32"/>
      <c r="D161" s="32"/>
      <c r="E161" s="32"/>
      <c r="F161" s="32"/>
      <c r="G161" s="33"/>
      <c r="H161" s="33"/>
      <c r="I161" s="34" t="str">
        <f aca="false">IF($A161="","",$G161-$H161)</f>
        <v/>
      </c>
      <c r="J161" s="35" t="str">
        <f aca="false">IF($A161="","",IF(Setup!$B$6=1,YEAR($A161),YEAR($A161)+IF(MONTH($A161)&gt;=Setup!$B$6,1,0)))</f>
        <v/>
      </c>
      <c r="K161" s="35" t="str">
        <f aca="false">IF($A161="","",MOD(MONTH($A161)-Setup!$B$6+12,12)+1)</f>
        <v/>
      </c>
      <c r="L161" s="36" t="str">
        <f aca="false">IF($A161="","",TEXT($A161,"MMM-YY"))</f>
        <v/>
      </c>
      <c r="M161" s="37" t="str">
        <f aca="false">IF($A161="","",IF($Q161=0,"UNMAPPED",INDEX(COA_Mapping!$C$7:$C$256,$Q161)))</f>
        <v/>
      </c>
      <c r="N161" s="38" t="str">
        <f aca="false">IF($A161="","",IF($Q161=0,"",INDEX(COA_Mapping!$E$7:$E$256,$Q161)))</f>
        <v/>
      </c>
      <c r="O161" s="38" t="n">
        <f aca="false">IF($A161="",1,IF($Q161=0,1,INDEX(COA_Mapping!$F$7:$F$256,$Q161)))</f>
        <v>1</v>
      </c>
      <c r="P161" s="34" t="str">
        <f aca="false">IF($A161="","",$I161*$O161)</f>
        <v/>
      </c>
      <c r="Q161" s="39" t="n">
        <f aca="false">IF($B161="",0,IFERROR(MATCH($B161,COA_Mapping!$A$7:$A$256,0),0))</f>
        <v>0</v>
      </c>
      <c r="R161" s="39" t="n">
        <f aca="false">IF($A161="",-1,IF($J161=Setup!$B$7,1,IF($J161=Setup!$B$9,0,-1)))</f>
        <v>-1</v>
      </c>
      <c r="S161" s="35" t="n">
        <f aca="false">IF(OR($A161="",$Q161=0,$R161=-1),0,$Q161*1000+$R161*100+$K161)</f>
        <v>0</v>
      </c>
      <c r="T161" s="37" t="str">
        <f aca="false">IF($A161="","",IF($B161="","NO ACCOUNT",IF($Q161=0,"UNMAPPED",IF($R161=-1,"OUTSIDE FY RANGE","OK"))))</f>
        <v/>
      </c>
      <c r="U161" s="40" t="str">
        <f aca="false">IF($A161="","",$B161&amp;"|"&amp;TEXT($A161,"yyyymmdd")&amp;"|"&amp;TEXT($I161,"0.00"))</f>
        <v/>
      </c>
      <c r="V161" s="35" t="str">
        <f aca="false">IF($A161="","",COUNTIF($U$8:$U$5007,$U161))</f>
        <v/>
      </c>
    </row>
    <row r="162" customFormat="false" ht="15" hidden="false" customHeight="false" outlineLevel="0" collapsed="false">
      <c r="A162" s="31"/>
      <c r="B162" s="32"/>
      <c r="C162" s="32"/>
      <c r="D162" s="32"/>
      <c r="E162" s="32"/>
      <c r="F162" s="32"/>
      <c r="G162" s="33"/>
      <c r="H162" s="33"/>
      <c r="I162" s="34" t="str">
        <f aca="false">IF($A162="","",$G162-$H162)</f>
        <v/>
      </c>
      <c r="J162" s="35" t="str">
        <f aca="false">IF($A162="","",IF(Setup!$B$6=1,YEAR($A162),YEAR($A162)+IF(MONTH($A162)&gt;=Setup!$B$6,1,0)))</f>
        <v/>
      </c>
      <c r="K162" s="35" t="str">
        <f aca="false">IF($A162="","",MOD(MONTH($A162)-Setup!$B$6+12,12)+1)</f>
        <v/>
      </c>
      <c r="L162" s="36" t="str">
        <f aca="false">IF($A162="","",TEXT($A162,"MMM-YY"))</f>
        <v/>
      </c>
      <c r="M162" s="37" t="str">
        <f aca="false">IF($A162="","",IF($Q162=0,"UNMAPPED",INDEX(COA_Mapping!$C$7:$C$256,$Q162)))</f>
        <v/>
      </c>
      <c r="N162" s="38" t="str">
        <f aca="false">IF($A162="","",IF($Q162=0,"",INDEX(COA_Mapping!$E$7:$E$256,$Q162)))</f>
        <v/>
      </c>
      <c r="O162" s="38" t="n">
        <f aca="false">IF($A162="",1,IF($Q162=0,1,INDEX(COA_Mapping!$F$7:$F$256,$Q162)))</f>
        <v>1</v>
      </c>
      <c r="P162" s="34" t="str">
        <f aca="false">IF($A162="","",$I162*$O162)</f>
        <v/>
      </c>
      <c r="Q162" s="39" t="n">
        <f aca="false">IF($B162="",0,IFERROR(MATCH($B162,COA_Mapping!$A$7:$A$256,0),0))</f>
        <v>0</v>
      </c>
      <c r="R162" s="39" t="n">
        <f aca="false">IF($A162="",-1,IF($J162=Setup!$B$7,1,IF($J162=Setup!$B$9,0,-1)))</f>
        <v>-1</v>
      </c>
      <c r="S162" s="35" t="n">
        <f aca="false">IF(OR($A162="",$Q162=0,$R162=-1),0,$Q162*1000+$R162*100+$K162)</f>
        <v>0</v>
      </c>
      <c r="T162" s="37" t="str">
        <f aca="false">IF($A162="","",IF($B162="","NO ACCOUNT",IF($Q162=0,"UNMAPPED",IF($R162=-1,"OUTSIDE FY RANGE","OK"))))</f>
        <v/>
      </c>
      <c r="U162" s="40" t="str">
        <f aca="false">IF($A162="","",$B162&amp;"|"&amp;TEXT($A162,"yyyymmdd")&amp;"|"&amp;TEXT($I162,"0.00"))</f>
        <v/>
      </c>
      <c r="V162" s="35" t="str">
        <f aca="false">IF($A162="","",COUNTIF($U$8:$U$5007,$U162))</f>
        <v/>
      </c>
    </row>
    <row r="163" customFormat="false" ht="15" hidden="false" customHeight="false" outlineLevel="0" collapsed="false">
      <c r="A163" s="31"/>
      <c r="B163" s="32"/>
      <c r="C163" s="32"/>
      <c r="D163" s="32"/>
      <c r="E163" s="32"/>
      <c r="F163" s="32"/>
      <c r="G163" s="33"/>
      <c r="H163" s="33"/>
      <c r="I163" s="34" t="str">
        <f aca="false">IF($A163="","",$G163-$H163)</f>
        <v/>
      </c>
      <c r="J163" s="35" t="str">
        <f aca="false">IF($A163="","",IF(Setup!$B$6=1,YEAR($A163),YEAR($A163)+IF(MONTH($A163)&gt;=Setup!$B$6,1,0)))</f>
        <v/>
      </c>
      <c r="K163" s="35" t="str">
        <f aca="false">IF($A163="","",MOD(MONTH($A163)-Setup!$B$6+12,12)+1)</f>
        <v/>
      </c>
      <c r="L163" s="36" t="str">
        <f aca="false">IF($A163="","",TEXT($A163,"MMM-YY"))</f>
        <v/>
      </c>
      <c r="M163" s="37" t="str">
        <f aca="false">IF($A163="","",IF($Q163=0,"UNMAPPED",INDEX(COA_Mapping!$C$7:$C$256,$Q163)))</f>
        <v/>
      </c>
      <c r="N163" s="38" t="str">
        <f aca="false">IF($A163="","",IF($Q163=0,"",INDEX(COA_Mapping!$E$7:$E$256,$Q163)))</f>
        <v/>
      </c>
      <c r="O163" s="38" t="n">
        <f aca="false">IF($A163="",1,IF($Q163=0,1,INDEX(COA_Mapping!$F$7:$F$256,$Q163)))</f>
        <v>1</v>
      </c>
      <c r="P163" s="34" t="str">
        <f aca="false">IF($A163="","",$I163*$O163)</f>
        <v/>
      </c>
      <c r="Q163" s="39" t="n">
        <f aca="false">IF($B163="",0,IFERROR(MATCH($B163,COA_Mapping!$A$7:$A$256,0),0))</f>
        <v>0</v>
      </c>
      <c r="R163" s="39" t="n">
        <f aca="false">IF($A163="",-1,IF($J163=Setup!$B$7,1,IF($J163=Setup!$B$9,0,-1)))</f>
        <v>-1</v>
      </c>
      <c r="S163" s="35" t="n">
        <f aca="false">IF(OR($A163="",$Q163=0,$R163=-1),0,$Q163*1000+$R163*100+$K163)</f>
        <v>0</v>
      </c>
      <c r="T163" s="37" t="str">
        <f aca="false">IF($A163="","",IF($B163="","NO ACCOUNT",IF($Q163=0,"UNMAPPED",IF($R163=-1,"OUTSIDE FY RANGE","OK"))))</f>
        <v/>
      </c>
      <c r="U163" s="40" t="str">
        <f aca="false">IF($A163="","",$B163&amp;"|"&amp;TEXT($A163,"yyyymmdd")&amp;"|"&amp;TEXT($I163,"0.00"))</f>
        <v/>
      </c>
      <c r="V163" s="35" t="str">
        <f aca="false">IF($A163="","",COUNTIF($U$8:$U$5007,$U163))</f>
        <v/>
      </c>
    </row>
    <row r="164" customFormat="false" ht="15" hidden="false" customHeight="false" outlineLevel="0" collapsed="false">
      <c r="A164" s="31"/>
      <c r="B164" s="32"/>
      <c r="C164" s="32"/>
      <c r="D164" s="32"/>
      <c r="E164" s="32"/>
      <c r="F164" s="32"/>
      <c r="G164" s="33"/>
      <c r="H164" s="33"/>
      <c r="I164" s="34" t="str">
        <f aca="false">IF($A164="","",$G164-$H164)</f>
        <v/>
      </c>
      <c r="J164" s="35" t="str">
        <f aca="false">IF($A164="","",IF(Setup!$B$6=1,YEAR($A164),YEAR($A164)+IF(MONTH($A164)&gt;=Setup!$B$6,1,0)))</f>
        <v/>
      </c>
      <c r="K164" s="35" t="str">
        <f aca="false">IF($A164="","",MOD(MONTH($A164)-Setup!$B$6+12,12)+1)</f>
        <v/>
      </c>
      <c r="L164" s="36" t="str">
        <f aca="false">IF($A164="","",TEXT($A164,"MMM-YY"))</f>
        <v/>
      </c>
      <c r="M164" s="37" t="str">
        <f aca="false">IF($A164="","",IF($Q164=0,"UNMAPPED",INDEX(COA_Mapping!$C$7:$C$256,$Q164)))</f>
        <v/>
      </c>
      <c r="N164" s="38" t="str">
        <f aca="false">IF($A164="","",IF($Q164=0,"",INDEX(COA_Mapping!$E$7:$E$256,$Q164)))</f>
        <v/>
      </c>
      <c r="O164" s="38" t="n">
        <f aca="false">IF($A164="",1,IF($Q164=0,1,INDEX(COA_Mapping!$F$7:$F$256,$Q164)))</f>
        <v>1</v>
      </c>
      <c r="P164" s="34" t="str">
        <f aca="false">IF($A164="","",$I164*$O164)</f>
        <v/>
      </c>
      <c r="Q164" s="39" t="n">
        <f aca="false">IF($B164="",0,IFERROR(MATCH($B164,COA_Mapping!$A$7:$A$256,0),0))</f>
        <v>0</v>
      </c>
      <c r="R164" s="39" t="n">
        <f aca="false">IF($A164="",-1,IF($J164=Setup!$B$7,1,IF($J164=Setup!$B$9,0,-1)))</f>
        <v>-1</v>
      </c>
      <c r="S164" s="35" t="n">
        <f aca="false">IF(OR($A164="",$Q164=0,$R164=-1),0,$Q164*1000+$R164*100+$K164)</f>
        <v>0</v>
      </c>
      <c r="T164" s="37" t="str">
        <f aca="false">IF($A164="","",IF($B164="","NO ACCOUNT",IF($Q164=0,"UNMAPPED",IF($R164=-1,"OUTSIDE FY RANGE","OK"))))</f>
        <v/>
      </c>
      <c r="U164" s="40" t="str">
        <f aca="false">IF($A164="","",$B164&amp;"|"&amp;TEXT($A164,"yyyymmdd")&amp;"|"&amp;TEXT($I164,"0.00"))</f>
        <v/>
      </c>
      <c r="V164" s="35" t="str">
        <f aca="false">IF($A164="","",COUNTIF($U$8:$U$5007,$U164))</f>
        <v/>
      </c>
    </row>
    <row r="165" customFormat="false" ht="15" hidden="false" customHeight="false" outlineLevel="0" collapsed="false">
      <c r="A165" s="31"/>
      <c r="B165" s="32"/>
      <c r="C165" s="32"/>
      <c r="D165" s="32"/>
      <c r="E165" s="32"/>
      <c r="F165" s="32"/>
      <c r="G165" s="33"/>
      <c r="H165" s="33"/>
      <c r="I165" s="34" t="str">
        <f aca="false">IF($A165="","",$G165-$H165)</f>
        <v/>
      </c>
      <c r="J165" s="35" t="str">
        <f aca="false">IF($A165="","",IF(Setup!$B$6=1,YEAR($A165),YEAR($A165)+IF(MONTH($A165)&gt;=Setup!$B$6,1,0)))</f>
        <v/>
      </c>
      <c r="K165" s="35" t="str">
        <f aca="false">IF($A165="","",MOD(MONTH($A165)-Setup!$B$6+12,12)+1)</f>
        <v/>
      </c>
      <c r="L165" s="36" t="str">
        <f aca="false">IF($A165="","",TEXT($A165,"MMM-YY"))</f>
        <v/>
      </c>
      <c r="M165" s="37" t="str">
        <f aca="false">IF($A165="","",IF($Q165=0,"UNMAPPED",INDEX(COA_Mapping!$C$7:$C$256,$Q165)))</f>
        <v/>
      </c>
      <c r="N165" s="38" t="str">
        <f aca="false">IF($A165="","",IF($Q165=0,"",INDEX(COA_Mapping!$E$7:$E$256,$Q165)))</f>
        <v/>
      </c>
      <c r="O165" s="38" t="n">
        <f aca="false">IF($A165="",1,IF($Q165=0,1,INDEX(COA_Mapping!$F$7:$F$256,$Q165)))</f>
        <v>1</v>
      </c>
      <c r="P165" s="34" t="str">
        <f aca="false">IF($A165="","",$I165*$O165)</f>
        <v/>
      </c>
      <c r="Q165" s="39" t="n">
        <f aca="false">IF($B165="",0,IFERROR(MATCH($B165,COA_Mapping!$A$7:$A$256,0),0))</f>
        <v>0</v>
      </c>
      <c r="R165" s="39" t="n">
        <f aca="false">IF($A165="",-1,IF($J165=Setup!$B$7,1,IF($J165=Setup!$B$9,0,-1)))</f>
        <v>-1</v>
      </c>
      <c r="S165" s="35" t="n">
        <f aca="false">IF(OR($A165="",$Q165=0,$R165=-1),0,$Q165*1000+$R165*100+$K165)</f>
        <v>0</v>
      </c>
      <c r="T165" s="37" t="str">
        <f aca="false">IF($A165="","",IF($B165="","NO ACCOUNT",IF($Q165=0,"UNMAPPED",IF($R165=-1,"OUTSIDE FY RANGE","OK"))))</f>
        <v/>
      </c>
      <c r="U165" s="40" t="str">
        <f aca="false">IF($A165="","",$B165&amp;"|"&amp;TEXT($A165,"yyyymmdd")&amp;"|"&amp;TEXT($I165,"0.00"))</f>
        <v/>
      </c>
      <c r="V165" s="35" t="str">
        <f aca="false">IF($A165="","",COUNTIF($U$8:$U$5007,$U165))</f>
        <v/>
      </c>
    </row>
    <row r="166" customFormat="false" ht="15" hidden="false" customHeight="false" outlineLevel="0" collapsed="false">
      <c r="A166" s="31"/>
      <c r="B166" s="32"/>
      <c r="C166" s="32"/>
      <c r="D166" s="32"/>
      <c r="E166" s="32"/>
      <c r="F166" s="32"/>
      <c r="G166" s="33"/>
      <c r="H166" s="33"/>
      <c r="I166" s="34" t="str">
        <f aca="false">IF($A166="","",$G166-$H166)</f>
        <v/>
      </c>
      <c r="J166" s="35" t="str">
        <f aca="false">IF($A166="","",IF(Setup!$B$6=1,YEAR($A166),YEAR($A166)+IF(MONTH($A166)&gt;=Setup!$B$6,1,0)))</f>
        <v/>
      </c>
      <c r="K166" s="35" t="str">
        <f aca="false">IF($A166="","",MOD(MONTH($A166)-Setup!$B$6+12,12)+1)</f>
        <v/>
      </c>
      <c r="L166" s="36" t="str">
        <f aca="false">IF($A166="","",TEXT($A166,"MMM-YY"))</f>
        <v/>
      </c>
      <c r="M166" s="37" t="str">
        <f aca="false">IF($A166="","",IF($Q166=0,"UNMAPPED",INDEX(COA_Mapping!$C$7:$C$256,$Q166)))</f>
        <v/>
      </c>
      <c r="N166" s="38" t="str">
        <f aca="false">IF($A166="","",IF($Q166=0,"",INDEX(COA_Mapping!$E$7:$E$256,$Q166)))</f>
        <v/>
      </c>
      <c r="O166" s="38" t="n">
        <f aca="false">IF($A166="",1,IF($Q166=0,1,INDEX(COA_Mapping!$F$7:$F$256,$Q166)))</f>
        <v>1</v>
      </c>
      <c r="P166" s="34" t="str">
        <f aca="false">IF($A166="","",$I166*$O166)</f>
        <v/>
      </c>
      <c r="Q166" s="39" t="n">
        <f aca="false">IF($B166="",0,IFERROR(MATCH($B166,COA_Mapping!$A$7:$A$256,0),0))</f>
        <v>0</v>
      </c>
      <c r="R166" s="39" t="n">
        <f aca="false">IF($A166="",-1,IF($J166=Setup!$B$7,1,IF($J166=Setup!$B$9,0,-1)))</f>
        <v>-1</v>
      </c>
      <c r="S166" s="35" t="n">
        <f aca="false">IF(OR($A166="",$Q166=0,$R166=-1),0,$Q166*1000+$R166*100+$K166)</f>
        <v>0</v>
      </c>
      <c r="T166" s="37" t="str">
        <f aca="false">IF($A166="","",IF($B166="","NO ACCOUNT",IF($Q166=0,"UNMAPPED",IF($R166=-1,"OUTSIDE FY RANGE","OK"))))</f>
        <v/>
      </c>
      <c r="U166" s="40" t="str">
        <f aca="false">IF($A166="","",$B166&amp;"|"&amp;TEXT($A166,"yyyymmdd")&amp;"|"&amp;TEXT($I166,"0.00"))</f>
        <v/>
      </c>
      <c r="V166" s="35" t="str">
        <f aca="false">IF($A166="","",COUNTIF($U$8:$U$5007,$U166))</f>
        <v/>
      </c>
    </row>
    <row r="167" customFormat="false" ht="15" hidden="false" customHeight="false" outlineLevel="0" collapsed="false">
      <c r="A167" s="31"/>
      <c r="B167" s="32"/>
      <c r="C167" s="32"/>
      <c r="D167" s="32"/>
      <c r="E167" s="32"/>
      <c r="F167" s="32"/>
      <c r="G167" s="33"/>
      <c r="H167" s="33"/>
      <c r="I167" s="34" t="str">
        <f aca="false">IF($A167="","",$G167-$H167)</f>
        <v/>
      </c>
      <c r="J167" s="35" t="str">
        <f aca="false">IF($A167="","",IF(Setup!$B$6=1,YEAR($A167),YEAR($A167)+IF(MONTH($A167)&gt;=Setup!$B$6,1,0)))</f>
        <v/>
      </c>
      <c r="K167" s="35" t="str">
        <f aca="false">IF($A167="","",MOD(MONTH($A167)-Setup!$B$6+12,12)+1)</f>
        <v/>
      </c>
      <c r="L167" s="36" t="str">
        <f aca="false">IF($A167="","",TEXT($A167,"MMM-YY"))</f>
        <v/>
      </c>
      <c r="M167" s="37" t="str">
        <f aca="false">IF($A167="","",IF($Q167=0,"UNMAPPED",INDEX(COA_Mapping!$C$7:$C$256,$Q167)))</f>
        <v/>
      </c>
      <c r="N167" s="38" t="str">
        <f aca="false">IF($A167="","",IF($Q167=0,"",INDEX(COA_Mapping!$E$7:$E$256,$Q167)))</f>
        <v/>
      </c>
      <c r="O167" s="38" t="n">
        <f aca="false">IF($A167="",1,IF($Q167=0,1,INDEX(COA_Mapping!$F$7:$F$256,$Q167)))</f>
        <v>1</v>
      </c>
      <c r="P167" s="34" t="str">
        <f aca="false">IF($A167="","",$I167*$O167)</f>
        <v/>
      </c>
      <c r="Q167" s="39" t="n">
        <f aca="false">IF($B167="",0,IFERROR(MATCH($B167,COA_Mapping!$A$7:$A$256,0),0))</f>
        <v>0</v>
      </c>
      <c r="R167" s="39" t="n">
        <f aca="false">IF($A167="",-1,IF($J167=Setup!$B$7,1,IF($J167=Setup!$B$9,0,-1)))</f>
        <v>-1</v>
      </c>
      <c r="S167" s="35" t="n">
        <f aca="false">IF(OR($A167="",$Q167=0,$R167=-1),0,$Q167*1000+$R167*100+$K167)</f>
        <v>0</v>
      </c>
      <c r="T167" s="37" t="str">
        <f aca="false">IF($A167="","",IF($B167="","NO ACCOUNT",IF($Q167=0,"UNMAPPED",IF($R167=-1,"OUTSIDE FY RANGE","OK"))))</f>
        <v/>
      </c>
      <c r="U167" s="40" t="str">
        <f aca="false">IF($A167="","",$B167&amp;"|"&amp;TEXT($A167,"yyyymmdd")&amp;"|"&amp;TEXT($I167,"0.00"))</f>
        <v/>
      </c>
      <c r="V167" s="35" t="str">
        <f aca="false">IF($A167="","",COUNTIF($U$8:$U$5007,$U167))</f>
        <v/>
      </c>
    </row>
    <row r="168" customFormat="false" ht="15" hidden="false" customHeight="false" outlineLevel="0" collapsed="false">
      <c r="A168" s="31"/>
      <c r="B168" s="32"/>
      <c r="C168" s="32"/>
      <c r="D168" s="32"/>
      <c r="E168" s="32"/>
      <c r="F168" s="32"/>
      <c r="G168" s="33"/>
      <c r="H168" s="33"/>
      <c r="I168" s="34" t="str">
        <f aca="false">IF($A168="","",$G168-$H168)</f>
        <v/>
      </c>
      <c r="J168" s="35" t="str">
        <f aca="false">IF($A168="","",IF(Setup!$B$6=1,YEAR($A168),YEAR($A168)+IF(MONTH($A168)&gt;=Setup!$B$6,1,0)))</f>
        <v/>
      </c>
      <c r="K168" s="35" t="str">
        <f aca="false">IF($A168="","",MOD(MONTH($A168)-Setup!$B$6+12,12)+1)</f>
        <v/>
      </c>
      <c r="L168" s="36" t="str">
        <f aca="false">IF($A168="","",TEXT($A168,"MMM-YY"))</f>
        <v/>
      </c>
      <c r="M168" s="37" t="str">
        <f aca="false">IF($A168="","",IF($Q168=0,"UNMAPPED",INDEX(COA_Mapping!$C$7:$C$256,$Q168)))</f>
        <v/>
      </c>
      <c r="N168" s="38" t="str">
        <f aca="false">IF($A168="","",IF($Q168=0,"",INDEX(COA_Mapping!$E$7:$E$256,$Q168)))</f>
        <v/>
      </c>
      <c r="O168" s="38" t="n">
        <f aca="false">IF($A168="",1,IF($Q168=0,1,INDEX(COA_Mapping!$F$7:$F$256,$Q168)))</f>
        <v>1</v>
      </c>
      <c r="P168" s="34" t="str">
        <f aca="false">IF($A168="","",$I168*$O168)</f>
        <v/>
      </c>
      <c r="Q168" s="39" t="n">
        <f aca="false">IF($B168="",0,IFERROR(MATCH($B168,COA_Mapping!$A$7:$A$256,0),0))</f>
        <v>0</v>
      </c>
      <c r="R168" s="39" t="n">
        <f aca="false">IF($A168="",-1,IF($J168=Setup!$B$7,1,IF($J168=Setup!$B$9,0,-1)))</f>
        <v>-1</v>
      </c>
      <c r="S168" s="35" t="n">
        <f aca="false">IF(OR($A168="",$Q168=0,$R168=-1),0,$Q168*1000+$R168*100+$K168)</f>
        <v>0</v>
      </c>
      <c r="T168" s="37" t="str">
        <f aca="false">IF($A168="","",IF($B168="","NO ACCOUNT",IF($Q168=0,"UNMAPPED",IF($R168=-1,"OUTSIDE FY RANGE","OK"))))</f>
        <v/>
      </c>
      <c r="U168" s="40" t="str">
        <f aca="false">IF($A168="","",$B168&amp;"|"&amp;TEXT($A168,"yyyymmdd")&amp;"|"&amp;TEXT($I168,"0.00"))</f>
        <v/>
      </c>
      <c r="V168" s="35" t="str">
        <f aca="false">IF($A168="","",COUNTIF($U$8:$U$5007,$U168))</f>
        <v/>
      </c>
    </row>
    <row r="169" customFormat="false" ht="15" hidden="false" customHeight="false" outlineLevel="0" collapsed="false">
      <c r="A169" s="31"/>
      <c r="B169" s="32"/>
      <c r="C169" s="32"/>
      <c r="D169" s="32"/>
      <c r="E169" s="32"/>
      <c r="F169" s="32"/>
      <c r="G169" s="33"/>
      <c r="H169" s="33"/>
      <c r="I169" s="34" t="str">
        <f aca="false">IF($A169="","",$G169-$H169)</f>
        <v/>
      </c>
      <c r="J169" s="35" t="str">
        <f aca="false">IF($A169="","",IF(Setup!$B$6=1,YEAR($A169),YEAR($A169)+IF(MONTH($A169)&gt;=Setup!$B$6,1,0)))</f>
        <v/>
      </c>
      <c r="K169" s="35" t="str">
        <f aca="false">IF($A169="","",MOD(MONTH($A169)-Setup!$B$6+12,12)+1)</f>
        <v/>
      </c>
      <c r="L169" s="36" t="str">
        <f aca="false">IF($A169="","",TEXT($A169,"MMM-YY"))</f>
        <v/>
      </c>
      <c r="M169" s="37" t="str">
        <f aca="false">IF($A169="","",IF($Q169=0,"UNMAPPED",INDEX(COA_Mapping!$C$7:$C$256,$Q169)))</f>
        <v/>
      </c>
      <c r="N169" s="38" t="str">
        <f aca="false">IF($A169="","",IF($Q169=0,"",INDEX(COA_Mapping!$E$7:$E$256,$Q169)))</f>
        <v/>
      </c>
      <c r="O169" s="38" t="n">
        <f aca="false">IF($A169="",1,IF($Q169=0,1,INDEX(COA_Mapping!$F$7:$F$256,$Q169)))</f>
        <v>1</v>
      </c>
      <c r="P169" s="34" t="str">
        <f aca="false">IF($A169="","",$I169*$O169)</f>
        <v/>
      </c>
      <c r="Q169" s="39" t="n">
        <f aca="false">IF($B169="",0,IFERROR(MATCH($B169,COA_Mapping!$A$7:$A$256,0),0))</f>
        <v>0</v>
      </c>
      <c r="R169" s="39" t="n">
        <f aca="false">IF($A169="",-1,IF($J169=Setup!$B$7,1,IF($J169=Setup!$B$9,0,-1)))</f>
        <v>-1</v>
      </c>
      <c r="S169" s="35" t="n">
        <f aca="false">IF(OR($A169="",$Q169=0,$R169=-1),0,$Q169*1000+$R169*100+$K169)</f>
        <v>0</v>
      </c>
      <c r="T169" s="37" t="str">
        <f aca="false">IF($A169="","",IF($B169="","NO ACCOUNT",IF($Q169=0,"UNMAPPED",IF($R169=-1,"OUTSIDE FY RANGE","OK"))))</f>
        <v/>
      </c>
      <c r="U169" s="40" t="str">
        <f aca="false">IF($A169="","",$B169&amp;"|"&amp;TEXT($A169,"yyyymmdd")&amp;"|"&amp;TEXT($I169,"0.00"))</f>
        <v/>
      </c>
      <c r="V169" s="35" t="str">
        <f aca="false">IF($A169="","",COUNTIF($U$8:$U$5007,$U169))</f>
        <v/>
      </c>
    </row>
    <row r="170" customFormat="false" ht="15" hidden="false" customHeight="false" outlineLevel="0" collapsed="false">
      <c r="A170" s="31"/>
      <c r="B170" s="32"/>
      <c r="C170" s="32"/>
      <c r="D170" s="32"/>
      <c r="E170" s="32"/>
      <c r="F170" s="32"/>
      <c r="G170" s="33"/>
      <c r="H170" s="33"/>
      <c r="I170" s="34" t="str">
        <f aca="false">IF($A170="","",$G170-$H170)</f>
        <v/>
      </c>
      <c r="J170" s="35" t="str">
        <f aca="false">IF($A170="","",IF(Setup!$B$6=1,YEAR($A170),YEAR($A170)+IF(MONTH($A170)&gt;=Setup!$B$6,1,0)))</f>
        <v/>
      </c>
      <c r="K170" s="35" t="str">
        <f aca="false">IF($A170="","",MOD(MONTH($A170)-Setup!$B$6+12,12)+1)</f>
        <v/>
      </c>
      <c r="L170" s="36" t="str">
        <f aca="false">IF($A170="","",TEXT($A170,"MMM-YY"))</f>
        <v/>
      </c>
      <c r="M170" s="37" t="str">
        <f aca="false">IF($A170="","",IF($Q170=0,"UNMAPPED",INDEX(COA_Mapping!$C$7:$C$256,$Q170)))</f>
        <v/>
      </c>
      <c r="N170" s="38" t="str">
        <f aca="false">IF($A170="","",IF($Q170=0,"",INDEX(COA_Mapping!$E$7:$E$256,$Q170)))</f>
        <v/>
      </c>
      <c r="O170" s="38" t="n">
        <f aca="false">IF($A170="",1,IF($Q170=0,1,INDEX(COA_Mapping!$F$7:$F$256,$Q170)))</f>
        <v>1</v>
      </c>
      <c r="P170" s="34" t="str">
        <f aca="false">IF($A170="","",$I170*$O170)</f>
        <v/>
      </c>
      <c r="Q170" s="39" t="n">
        <f aca="false">IF($B170="",0,IFERROR(MATCH($B170,COA_Mapping!$A$7:$A$256,0),0))</f>
        <v>0</v>
      </c>
      <c r="R170" s="39" t="n">
        <f aca="false">IF($A170="",-1,IF($J170=Setup!$B$7,1,IF($J170=Setup!$B$9,0,-1)))</f>
        <v>-1</v>
      </c>
      <c r="S170" s="35" t="n">
        <f aca="false">IF(OR($A170="",$Q170=0,$R170=-1),0,$Q170*1000+$R170*100+$K170)</f>
        <v>0</v>
      </c>
      <c r="T170" s="37" t="str">
        <f aca="false">IF($A170="","",IF($B170="","NO ACCOUNT",IF($Q170=0,"UNMAPPED",IF($R170=-1,"OUTSIDE FY RANGE","OK"))))</f>
        <v/>
      </c>
      <c r="U170" s="40" t="str">
        <f aca="false">IF($A170="","",$B170&amp;"|"&amp;TEXT($A170,"yyyymmdd")&amp;"|"&amp;TEXT($I170,"0.00"))</f>
        <v/>
      </c>
      <c r="V170" s="35" t="str">
        <f aca="false">IF($A170="","",COUNTIF($U$8:$U$5007,$U170))</f>
        <v/>
      </c>
    </row>
    <row r="171" customFormat="false" ht="15" hidden="false" customHeight="false" outlineLevel="0" collapsed="false">
      <c r="A171" s="31"/>
      <c r="B171" s="32"/>
      <c r="C171" s="32"/>
      <c r="D171" s="32"/>
      <c r="E171" s="32"/>
      <c r="F171" s="32"/>
      <c r="G171" s="33"/>
      <c r="H171" s="33"/>
      <c r="I171" s="34" t="str">
        <f aca="false">IF($A171="","",$G171-$H171)</f>
        <v/>
      </c>
      <c r="J171" s="35" t="str">
        <f aca="false">IF($A171="","",IF(Setup!$B$6=1,YEAR($A171),YEAR($A171)+IF(MONTH($A171)&gt;=Setup!$B$6,1,0)))</f>
        <v/>
      </c>
      <c r="K171" s="35" t="str">
        <f aca="false">IF($A171="","",MOD(MONTH($A171)-Setup!$B$6+12,12)+1)</f>
        <v/>
      </c>
      <c r="L171" s="36" t="str">
        <f aca="false">IF($A171="","",TEXT($A171,"MMM-YY"))</f>
        <v/>
      </c>
      <c r="M171" s="37" t="str">
        <f aca="false">IF($A171="","",IF($Q171=0,"UNMAPPED",INDEX(COA_Mapping!$C$7:$C$256,$Q171)))</f>
        <v/>
      </c>
      <c r="N171" s="38" t="str">
        <f aca="false">IF($A171="","",IF($Q171=0,"",INDEX(COA_Mapping!$E$7:$E$256,$Q171)))</f>
        <v/>
      </c>
      <c r="O171" s="38" t="n">
        <f aca="false">IF($A171="",1,IF($Q171=0,1,INDEX(COA_Mapping!$F$7:$F$256,$Q171)))</f>
        <v>1</v>
      </c>
      <c r="P171" s="34" t="str">
        <f aca="false">IF($A171="","",$I171*$O171)</f>
        <v/>
      </c>
      <c r="Q171" s="39" t="n">
        <f aca="false">IF($B171="",0,IFERROR(MATCH($B171,COA_Mapping!$A$7:$A$256,0),0))</f>
        <v>0</v>
      </c>
      <c r="R171" s="39" t="n">
        <f aca="false">IF($A171="",-1,IF($J171=Setup!$B$7,1,IF($J171=Setup!$B$9,0,-1)))</f>
        <v>-1</v>
      </c>
      <c r="S171" s="35" t="n">
        <f aca="false">IF(OR($A171="",$Q171=0,$R171=-1),0,$Q171*1000+$R171*100+$K171)</f>
        <v>0</v>
      </c>
      <c r="T171" s="37" t="str">
        <f aca="false">IF($A171="","",IF($B171="","NO ACCOUNT",IF($Q171=0,"UNMAPPED",IF($R171=-1,"OUTSIDE FY RANGE","OK"))))</f>
        <v/>
      </c>
      <c r="U171" s="40" t="str">
        <f aca="false">IF($A171="","",$B171&amp;"|"&amp;TEXT($A171,"yyyymmdd")&amp;"|"&amp;TEXT($I171,"0.00"))</f>
        <v/>
      </c>
      <c r="V171" s="35" t="str">
        <f aca="false">IF($A171="","",COUNTIF($U$8:$U$5007,$U171))</f>
        <v/>
      </c>
    </row>
    <row r="172" customFormat="false" ht="15" hidden="false" customHeight="false" outlineLevel="0" collapsed="false">
      <c r="A172" s="31"/>
      <c r="B172" s="32"/>
      <c r="C172" s="32"/>
      <c r="D172" s="32"/>
      <c r="E172" s="32"/>
      <c r="F172" s="32"/>
      <c r="G172" s="33"/>
      <c r="H172" s="33"/>
      <c r="I172" s="34" t="str">
        <f aca="false">IF($A172="","",$G172-$H172)</f>
        <v/>
      </c>
      <c r="J172" s="35" t="str">
        <f aca="false">IF($A172="","",IF(Setup!$B$6=1,YEAR($A172),YEAR($A172)+IF(MONTH($A172)&gt;=Setup!$B$6,1,0)))</f>
        <v/>
      </c>
      <c r="K172" s="35" t="str">
        <f aca="false">IF($A172="","",MOD(MONTH($A172)-Setup!$B$6+12,12)+1)</f>
        <v/>
      </c>
      <c r="L172" s="36" t="str">
        <f aca="false">IF($A172="","",TEXT($A172,"MMM-YY"))</f>
        <v/>
      </c>
      <c r="M172" s="37" t="str">
        <f aca="false">IF($A172="","",IF($Q172=0,"UNMAPPED",INDEX(COA_Mapping!$C$7:$C$256,$Q172)))</f>
        <v/>
      </c>
      <c r="N172" s="38" t="str">
        <f aca="false">IF($A172="","",IF($Q172=0,"",INDEX(COA_Mapping!$E$7:$E$256,$Q172)))</f>
        <v/>
      </c>
      <c r="O172" s="38" t="n">
        <f aca="false">IF($A172="",1,IF($Q172=0,1,INDEX(COA_Mapping!$F$7:$F$256,$Q172)))</f>
        <v>1</v>
      </c>
      <c r="P172" s="34" t="str">
        <f aca="false">IF($A172="","",$I172*$O172)</f>
        <v/>
      </c>
      <c r="Q172" s="39" t="n">
        <f aca="false">IF($B172="",0,IFERROR(MATCH($B172,COA_Mapping!$A$7:$A$256,0),0))</f>
        <v>0</v>
      </c>
      <c r="R172" s="39" t="n">
        <f aca="false">IF($A172="",-1,IF($J172=Setup!$B$7,1,IF($J172=Setup!$B$9,0,-1)))</f>
        <v>-1</v>
      </c>
      <c r="S172" s="35" t="n">
        <f aca="false">IF(OR($A172="",$Q172=0,$R172=-1),0,$Q172*1000+$R172*100+$K172)</f>
        <v>0</v>
      </c>
      <c r="T172" s="37" t="str">
        <f aca="false">IF($A172="","",IF($B172="","NO ACCOUNT",IF($Q172=0,"UNMAPPED",IF($R172=-1,"OUTSIDE FY RANGE","OK"))))</f>
        <v/>
      </c>
      <c r="U172" s="40" t="str">
        <f aca="false">IF($A172="","",$B172&amp;"|"&amp;TEXT($A172,"yyyymmdd")&amp;"|"&amp;TEXT($I172,"0.00"))</f>
        <v/>
      </c>
      <c r="V172" s="35" t="str">
        <f aca="false">IF($A172="","",COUNTIF($U$8:$U$5007,$U172))</f>
        <v/>
      </c>
    </row>
    <row r="173" customFormat="false" ht="15" hidden="false" customHeight="false" outlineLevel="0" collapsed="false">
      <c r="A173" s="31"/>
      <c r="B173" s="32"/>
      <c r="C173" s="32"/>
      <c r="D173" s="32"/>
      <c r="E173" s="32"/>
      <c r="F173" s="32"/>
      <c r="G173" s="33"/>
      <c r="H173" s="33"/>
      <c r="I173" s="34" t="str">
        <f aca="false">IF($A173="","",$G173-$H173)</f>
        <v/>
      </c>
      <c r="J173" s="35" t="str">
        <f aca="false">IF($A173="","",IF(Setup!$B$6=1,YEAR($A173),YEAR($A173)+IF(MONTH($A173)&gt;=Setup!$B$6,1,0)))</f>
        <v/>
      </c>
      <c r="K173" s="35" t="str">
        <f aca="false">IF($A173="","",MOD(MONTH($A173)-Setup!$B$6+12,12)+1)</f>
        <v/>
      </c>
      <c r="L173" s="36" t="str">
        <f aca="false">IF($A173="","",TEXT($A173,"MMM-YY"))</f>
        <v/>
      </c>
      <c r="M173" s="37" t="str">
        <f aca="false">IF($A173="","",IF($Q173=0,"UNMAPPED",INDEX(COA_Mapping!$C$7:$C$256,$Q173)))</f>
        <v/>
      </c>
      <c r="N173" s="38" t="str">
        <f aca="false">IF($A173="","",IF($Q173=0,"",INDEX(COA_Mapping!$E$7:$E$256,$Q173)))</f>
        <v/>
      </c>
      <c r="O173" s="38" t="n">
        <f aca="false">IF($A173="",1,IF($Q173=0,1,INDEX(COA_Mapping!$F$7:$F$256,$Q173)))</f>
        <v>1</v>
      </c>
      <c r="P173" s="34" t="str">
        <f aca="false">IF($A173="","",$I173*$O173)</f>
        <v/>
      </c>
      <c r="Q173" s="39" t="n">
        <f aca="false">IF($B173="",0,IFERROR(MATCH($B173,COA_Mapping!$A$7:$A$256,0),0))</f>
        <v>0</v>
      </c>
      <c r="R173" s="39" t="n">
        <f aca="false">IF($A173="",-1,IF($J173=Setup!$B$7,1,IF($J173=Setup!$B$9,0,-1)))</f>
        <v>-1</v>
      </c>
      <c r="S173" s="35" t="n">
        <f aca="false">IF(OR($A173="",$Q173=0,$R173=-1),0,$Q173*1000+$R173*100+$K173)</f>
        <v>0</v>
      </c>
      <c r="T173" s="37" t="str">
        <f aca="false">IF($A173="","",IF($B173="","NO ACCOUNT",IF($Q173=0,"UNMAPPED",IF($R173=-1,"OUTSIDE FY RANGE","OK"))))</f>
        <v/>
      </c>
      <c r="U173" s="40" t="str">
        <f aca="false">IF($A173="","",$B173&amp;"|"&amp;TEXT($A173,"yyyymmdd")&amp;"|"&amp;TEXT($I173,"0.00"))</f>
        <v/>
      </c>
      <c r="V173" s="35" t="str">
        <f aca="false">IF($A173="","",COUNTIF($U$8:$U$5007,$U173))</f>
        <v/>
      </c>
    </row>
    <row r="174" customFormat="false" ht="15" hidden="false" customHeight="false" outlineLevel="0" collapsed="false">
      <c r="A174" s="31"/>
      <c r="B174" s="32"/>
      <c r="C174" s="32"/>
      <c r="D174" s="32"/>
      <c r="E174" s="32"/>
      <c r="F174" s="32"/>
      <c r="G174" s="33"/>
      <c r="H174" s="33"/>
      <c r="I174" s="34" t="str">
        <f aca="false">IF($A174="","",$G174-$H174)</f>
        <v/>
      </c>
      <c r="J174" s="35" t="str">
        <f aca="false">IF($A174="","",IF(Setup!$B$6=1,YEAR($A174),YEAR($A174)+IF(MONTH($A174)&gt;=Setup!$B$6,1,0)))</f>
        <v/>
      </c>
      <c r="K174" s="35" t="str">
        <f aca="false">IF($A174="","",MOD(MONTH($A174)-Setup!$B$6+12,12)+1)</f>
        <v/>
      </c>
      <c r="L174" s="36" t="str">
        <f aca="false">IF($A174="","",TEXT($A174,"MMM-YY"))</f>
        <v/>
      </c>
      <c r="M174" s="37" t="str">
        <f aca="false">IF($A174="","",IF($Q174=0,"UNMAPPED",INDEX(COA_Mapping!$C$7:$C$256,$Q174)))</f>
        <v/>
      </c>
      <c r="N174" s="38" t="str">
        <f aca="false">IF($A174="","",IF($Q174=0,"",INDEX(COA_Mapping!$E$7:$E$256,$Q174)))</f>
        <v/>
      </c>
      <c r="O174" s="38" t="n">
        <f aca="false">IF($A174="",1,IF($Q174=0,1,INDEX(COA_Mapping!$F$7:$F$256,$Q174)))</f>
        <v>1</v>
      </c>
      <c r="P174" s="34" t="str">
        <f aca="false">IF($A174="","",$I174*$O174)</f>
        <v/>
      </c>
      <c r="Q174" s="39" t="n">
        <f aca="false">IF($B174="",0,IFERROR(MATCH($B174,COA_Mapping!$A$7:$A$256,0),0))</f>
        <v>0</v>
      </c>
      <c r="R174" s="39" t="n">
        <f aca="false">IF($A174="",-1,IF($J174=Setup!$B$7,1,IF($J174=Setup!$B$9,0,-1)))</f>
        <v>-1</v>
      </c>
      <c r="S174" s="35" t="n">
        <f aca="false">IF(OR($A174="",$Q174=0,$R174=-1),0,$Q174*1000+$R174*100+$K174)</f>
        <v>0</v>
      </c>
      <c r="T174" s="37" t="str">
        <f aca="false">IF($A174="","",IF($B174="","NO ACCOUNT",IF($Q174=0,"UNMAPPED",IF($R174=-1,"OUTSIDE FY RANGE","OK"))))</f>
        <v/>
      </c>
      <c r="U174" s="40" t="str">
        <f aca="false">IF($A174="","",$B174&amp;"|"&amp;TEXT($A174,"yyyymmdd")&amp;"|"&amp;TEXT($I174,"0.00"))</f>
        <v/>
      </c>
      <c r="V174" s="35" t="str">
        <f aca="false">IF($A174="","",COUNTIF($U$8:$U$5007,$U174))</f>
        <v/>
      </c>
    </row>
    <row r="175" customFormat="false" ht="15" hidden="false" customHeight="false" outlineLevel="0" collapsed="false">
      <c r="A175" s="31"/>
      <c r="B175" s="32"/>
      <c r="C175" s="32"/>
      <c r="D175" s="32"/>
      <c r="E175" s="32"/>
      <c r="F175" s="32"/>
      <c r="G175" s="33"/>
      <c r="H175" s="33"/>
      <c r="I175" s="34" t="str">
        <f aca="false">IF($A175="","",$G175-$H175)</f>
        <v/>
      </c>
      <c r="J175" s="35" t="str">
        <f aca="false">IF($A175="","",IF(Setup!$B$6=1,YEAR($A175),YEAR($A175)+IF(MONTH($A175)&gt;=Setup!$B$6,1,0)))</f>
        <v/>
      </c>
      <c r="K175" s="35" t="str">
        <f aca="false">IF($A175="","",MOD(MONTH($A175)-Setup!$B$6+12,12)+1)</f>
        <v/>
      </c>
      <c r="L175" s="36" t="str">
        <f aca="false">IF($A175="","",TEXT($A175,"MMM-YY"))</f>
        <v/>
      </c>
      <c r="M175" s="37" t="str">
        <f aca="false">IF($A175="","",IF($Q175=0,"UNMAPPED",INDEX(COA_Mapping!$C$7:$C$256,$Q175)))</f>
        <v/>
      </c>
      <c r="N175" s="38" t="str">
        <f aca="false">IF($A175="","",IF($Q175=0,"",INDEX(COA_Mapping!$E$7:$E$256,$Q175)))</f>
        <v/>
      </c>
      <c r="O175" s="38" t="n">
        <f aca="false">IF($A175="",1,IF($Q175=0,1,INDEX(COA_Mapping!$F$7:$F$256,$Q175)))</f>
        <v>1</v>
      </c>
      <c r="P175" s="34" t="str">
        <f aca="false">IF($A175="","",$I175*$O175)</f>
        <v/>
      </c>
      <c r="Q175" s="39" t="n">
        <f aca="false">IF($B175="",0,IFERROR(MATCH($B175,COA_Mapping!$A$7:$A$256,0),0))</f>
        <v>0</v>
      </c>
      <c r="R175" s="39" t="n">
        <f aca="false">IF($A175="",-1,IF($J175=Setup!$B$7,1,IF($J175=Setup!$B$9,0,-1)))</f>
        <v>-1</v>
      </c>
      <c r="S175" s="35" t="n">
        <f aca="false">IF(OR($A175="",$Q175=0,$R175=-1),0,$Q175*1000+$R175*100+$K175)</f>
        <v>0</v>
      </c>
      <c r="T175" s="37" t="str">
        <f aca="false">IF($A175="","",IF($B175="","NO ACCOUNT",IF($Q175=0,"UNMAPPED",IF($R175=-1,"OUTSIDE FY RANGE","OK"))))</f>
        <v/>
      </c>
      <c r="U175" s="40" t="str">
        <f aca="false">IF($A175="","",$B175&amp;"|"&amp;TEXT($A175,"yyyymmdd")&amp;"|"&amp;TEXT($I175,"0.00"))</f>
        <v/>
      </c>
      <c r="V175" s="35" t="str">
        <f aca="false">IF($A175="","",COUNTIF($U$8:$U$5007,$U175))</f>
        <v/>
      </c>
    </row>
    <row r="176" customFormat="false" ht="15" hidden="false" customHeight="false" outlineLevel="0" collapsed="false">
      <c r="A176" s="31"/>
      <c r="B176" s="32"/>
      <c r="C176" s="32"/>
      <c r="D176" s="32"/>
      <c r="E176" s="32"/>
      <c r="F176" s="32"/>
      <c r="G176" s="33"/>
      <c r="H176" s="33"/>
      <c r="I176" s="34" t="str">
        <f aca="false">IF($A176="","",$G176-$H176)</f>
        <v/>
      </c>
      <c r="J176" s="35" t="str">
        <f aca="false">IF($A176="","",IF(Setup!$B$6=1,YEAR($A176),YEAR($A176)+IF(MONTH($A176)&gt;=Setup!$B$6,1,0)))</f>
        <v/>
      </c>
      <c r="K176" s="35" t="str">
        <f aca="false">IF($A176="","",MOD(MONTH($A176)-Setup!$B$6+12,12)+1)</f>
        <v/>
      </c>
      <c r="L176" s="36" t="str">
        <f aca="false">IF($A176="","",TEXT($A176,"MMM-YY"))</f>
        <v/>
      </c>
      <c r="M176" s="37" t="str">
        <f aca="false">IF($A176="","",IF($Q176=0,"UNMAPPED",INDEX(COA_Mapping!$C$7:$C$256,$Q176)))</f>
        <v/>
      </c>
      <c r="N176" s="38" t="str">
        <f aca="false">IF($A176="","",IF($Q176=0,"",INDEX(COA_Mapping!$E$7:$E$256,$Q176)))</f>
        <v/>
      </c>
      <c r="O176" s="38" t="n">
        <f aca="false">IF($A176="",1,IF($Q176=0,1,INDEX(COA_Mapping!$F$7:$F$256,$Q176)))</f>
        <v>1</v>
      </c>
      <c r="P176" s="34" t="str">
        <f aca="false">IF($A176="","",$I176*$O176)</f>
        <v/>
      </c>
      <c r="Q176" s="39" t="n">
        <f aca="false">IF($B176="",0,IFERROR(MATCH($B176,COA_Mapping!$A$7:$A$256,0),0))</f>
        <v>0</v>
      </c>
      <c r="R176" s="39" t="n">
        <f aca="false">IF($A176="",-1,IF($J176=Setup!$B$7,1,IF($J176=Setup!$B$9,0,-1)))</f>
        <v>-1</v>
      </c>
      <c r="S176" s="35" t="n">
        <f aca="false">IF(OR($A176="",$Q176=0,$R176=-1),0,$Q176*1000+$R176*100+$K176)</f>
        <v>0</v>
      </c>
      <c r="T176" s="37" t="str">
        <f aca="false">IF($A176="","",IF($B176="","NO ACCOUNT",IF($Q176=0,"UNMAPPED",IF($R176=-1,"OUTSIDE FY RANGE","OK"))))</f>
        <v/>
      </c>
      <c r="U176" s="40" t="str">
        <f aca="false">IF($A176="","",$B176&amp;"|"&amp;TEXT($A176,"yyyymmdd")&amp;"|"&amp;TEXT($I176,"0.00"))</f>
        <v/>
      </c>
      <c r="V176" s="35" t="str">
        <f aca="false">IF($A176="","",COUNTIF($U$8:$U$5007,$U176))</f>
        <v/>
      </c>
    </row>
    <row r="177" customFormat="false" ht="15" hidden="false" customHeight="false" outlineLevel="0" collapsed="false">
      <c r="A177" s="31"/>
      <c r="B177" s="32"/>
      <c r="C177" s="32"/>
      <c r="D177" s="32"/>
      <c r="E177" s="32"/>
      <c r="F177" s="32"/>
      <c r="G177" s="33"/>
      <c r="H177" s="33"/>
      <c r="I177" s="34" t="str">
        <f aca="false">IF($A177="","",$G177-$H177)</f>
        <v/>
      </c>
      <c r="J177" s="35" t="str">
        <f aca="false">IF($A177="","",IF(Setup!$B$6=1,YEAR($A177),YEAR($A177)+IF(MONTH($A177)&gt;=Setup!$B$6,1,0)))</f>
        <v/>
      </c>
      <c r="K177" s="35" t="str">
        <f aca="false">IF($A177="","",MOD(MONTH($A177)-Setup!$B$6+12,12)+1)</f>
        <v/>
      </c>
      <c r="L177" s="36" t="str">
        <f aca="false">IF($A177="","",TEXT($A177,"MMM-YY"))</f>
        <v/>
      </c>
      <c r="M177" s="37" t="str">
        <f aca="false">IF($A177="","",IF($Q177=0,"UNMAPPED",INDEX(COA_Mapping!$C$7:$C$256,$Q177)))</f>
        <v/>
      </c>
      <c r="N177" s="38" t="str">
        <f aca="false">IF($A177="","",IF($Q177=0,"",INDEX(COA_Mapping!$E$7:$E$256,$Q177)))</f>
        <v/>
      </c>
      <c r="O177" s="38" t="n">
        <f aca="false">IF($A177="",1,IF($Q177=0,1,INDEX(COA_Mapping!$F$7:$F$256,$Q177)))</f>
        <v>1</v>
      </c>
      <c r="P177" s="34" t="str">
        <f aca="false">IF($A177="","",$I177*$O177)</f>
        <v/>
      </c>
      <c r="Q177" s="39" t="n">
        <f aca="false">IF($B177="",0,IFERROR(MATCH($B177,COA_Mapping!$A$7:$A$256,0),0))</f>
        <v>0</v>
      </c>
      <c r="R177" s="39" t="n">
        <f aca="false">IF($A177="",-1,IF($J177=Setup!$B$7,1,IF($J177=Setup!$B$9,0,-1)))</f>
        <v>-1</v>
      </c>
      <c r="S177" s="35" t="n">
        <f aca="false">IF(OR($A177="",$Q177=0,$R177=-1),0,$Q177*1000+$R177*100+$K177)</f>
        <v>0</v>
      </c>
      <c r="T177" s="37" t="str">
        <f aca="false">IF($A177="","",IF($B177="","NO ACCOUNT",IF($Q177=0,"UNMAPPED",IF($R177=-1,"OUTSIDE FY RANGE","OK"))))</f>
        <v/>
      </c>
      <c r="U177" s="40" t="str">
        <f aca="false">IF($A177="","",$B177&amp;"|"&amp;TEXT($A177,"yyyymmdd")&amp;"|"&amp;TEXT($I177,"0.00"))</f>
        <v/>
      </c>
      <c r="V177" s="35" t="str">
        <f aca="false">IF($A177="","",COUNTIF($U$8:$U$5007,$U177))</f>
        <v/>
      </c>
    </row>
    <row r="178" customFormat="false" ht="15" hidden="false" customHeight="false" outlineLevel="0" collapsed="false">
      <c r="A178" s="31"/>
      <c r="B178" s="32"/>
      <c r="C178" s="32"/>
      <c r="D178" s="32"/>
      <c r="E178" s="32"/>
      <c r="F178" s="32"/>
      <c r="G178" s="33"/>
      <c r="H178" s="33"/>
      <c r="I178" s="34" t="str">
        <f aca="false">IF($A178="","",$G178-$H178)</f>
        <v/>
      </c>
      <c r="J178" s="35" t="str">
        <f aca="false">IF($A178="","",IF(Setup!$B$6=1,YEAR($A178),YEAR($A178)+IF(MONTH($A178)&gt;=Setup!$B$6,1,0)))</f>
        <v/>
      </c>
      <c r="K178" s="35" t="str">
        <f aca="false">IF($A178="","",MOD(MONTH($A178)-Setup!$B$6+12,12)+1)</f>
        <v/>
      </c>
      <c r="L178" s="36" t="str">
        <f aca="false">IF($A178="","",TEXT($A178,"MMM-YY"))</f>
        <v/>
      </c>
      <c r="M178" s="37" t="str">
        <f aca="false">IF($A178="","",IF($Q178=0,"UNMAPPED",INDEX(COA_Mapping!$C$7:$C$256,$Q178)))</f>
        <v/>
      </c>
      <c r="N178" s="38" t="str">
        <f aca="false">IF($A178="","",IF($Q178=0,"",INDEX(COA_Mapping!$E$7:$E$256,$Q178)))</f>
        <v/>
      </c>
      <c r="O178" s="38" t="n">
        <f aca="false">IF($A178="",1,IF($Q178=0,1,INDEX(COA_Mapping!$F$7:$F$256,$Q178)))</f>
        <v>1</v>
      </c>
      <c r="P178" s="34" t="str">
        <f aca="false">IF($A178="","",$I178*$O178)</f>
        <v/>
      </c>
      <c r="Q178" s="39" t="n">
        <f aca="false">IF($B178="",0,IFERROR(MATCH($B178,COA_Mapping!$A$7:$A$256,0),0))</f>
        <v>0</v>
      </c>
      <c r="R178" s="39" t="n">
        <f aca="false">IF($A178="",-1,IF($J178=Setup!$B$7,1,IF($J178=Setup!$B$9,0,-1)))</f>
        <v>-1</v>
      </c>
      <c r="S178" s="35" t="n">
        <f aca="false">IF(OR($A178="",$Q178=0,$R178=-1),0,$Q178*1000+$R178*100+$K178)</f>
        <v>0</v>
      </c>
      <c r="T178" s="37" t="str">
        <f aca="false">IF($A178="","",IF($B178="","NO ACCOUNT",IF($Q178=0,"UNMAPPED",IF($R178=-1,"OUTSIDE FY RANGE","OK"))))</f>
        <v/>
      </c>
      <c r="U178" s="40" t="str">
        <f aca="false">IF($A178="","",$B178&amp;"|"&amp;TEXT($A178,"yyyymmdd")&amp;"|"&amp;TEXT($I178,"0.00"))</f>
        <v/>
      </c>
      <c r="V178" s="35" t="str">
        <f aca="false">IF($A178="","",COUNTIF($U$8:$U$5007,$U178))</f>
        <v/>
      </c>
    </row>
    <row r="179" customFormat="false" ht="15" hidden="false" customHeight="false" outlineLevel="0" collapsed="false">
      <c r="A179" s="31"/>
      <c r="B179" s="32"/>
      <c r="C179" s="32"/>
      <c r="D179" s="32"/>
      <c r="E179" s="32"/>
      <c r="F179" s="32"/>
      <c r="G179" s="33"/>
      <c r="H179" s="33"/>
      <c r="I179" s="34" t="str">
        <f aca="false">IF($A179="","",$G179-$H179)</f>
        <v/>
      </c>
      <c r="J179" s="35" t="str">
        <f aca="false">IF($A179="","",IF(Setup!$B$6=1,YEAR($A179),YEAR($A179)+IF(MONTH($A179)&gt;=Setup!$B$6,1,0)))</f>
        <v/>
      </c>
      <c r="K179" s="35" t="str">
        <f aca="false">IF($A179="","",MOD(MONTH($A179)-Setup!$B$6+12,12)+1)</f>
        <v/>
      </c>
      <c r="L179" s="36" t="str">
        <f aca="false">IF($A179="","",TEXT($A179,"MMM-YY"))</f>
        <v/>
      </c>
      <c r="M179" s="37" t="str">
        <f aca="false">IF($A179="","",IF($Q179=0,"UNMAPPED",INDEX(COA_Mapping!$C$7:$C$256,$Q179)))</f>
        <v/>
      </c>
      <c r="N179" s="38" t="str">
        <f aca="false">IF($A179="","",IF($Q179=0,"",INDEX(COA_Mapping!$E$7:$E$256,$Q179)))</f>
        <v/>
      </c>
      <c r="O179" s="38" t="n">
        <f aca="false">IF($A179="",1,IF($Q179=0,1,INDEX(COA_Mapping!$F$7:$F$256,$Q179)))</f>
        <v>1</v>
      </c>
      <c r="P179" s="34" t="str">
        <f aca="false">IF($A179="","",$I179*$O179)</f>
        <v/>
      </c>
      <c r="Q179" s="39" t="n">
        <f aca="false">IF($B179="",0,IFERROR(MATCH($B179,COA_Mapping!$A$7:$A$256,0),0))</f>
        <v>0</v>
      </c>
      <c r="R179" s="39" t="n">
        <f aca="false">IF($A179="",-1,IF($J179=Setup!$B$7,1,IF($J179=Setup!$B$9,0,-1)))</f>
        <v>-1</v>
      </c>
      <c r="S179" s="35" t="n">
        <f aca="false">IF(OR($A179="",$Q179=0,$R179=-1),0,$Q179*1000+$R179*100+$K179)</f>
        <v>0</v>
      </c>
      <c r="T179" s="37" t="str">
        <f aca="false">IF($A179="","",IF($B179="","NO ACCOUNT",IF($Q179=0,"UNMAPPED",IF($R179=-1,"OUTSIDE FY RANGE","OK"))))</f>
        <v/>
      </c>
      <c r="U179" s="40" t="str">
        <f aca="false">IF($A179="","",$B179&amp;"|"&amp;TEXT($A179,"yyyymmdd")&amp;"|"&amp;TEXT($I179,"0.00"))</f>
        <v/>
      </c>
      <c r="V179" s="35" t="str">
        <f aca="false">IF($A179="","",COUNTIF($U$8:$U$5007,$U179))</f>
        <v/>
      </c>
    </row>
    <row r="180" customFormat="false" ht="15" hidden="false" customHeight="false" outlineLevel="0" collapsed="false">
      <c r="A180" s="31"/>
      <c r="B180" s="32"/>
      <c r="C180" s="32"/>
      <c r="D180" s="32"/>
      <c r="E180" s="32"/>
      <c r="F180" s="32"/>
      <c r="G180" s="33"/>
      <c r="H180" s="33"/>
      <c r="I180" s="34" t="str">
        <f aca="false">IF($A180="","",$G180-$H180)</f>
        <v/>
      </c>
      <c r="J180" s="35" t="str">
        <f aca="false">IF($A180="","",IF(Setup!$B$6=1,YEAR($A180),YEAR($A180)+IF(MONTH($A180)&gt;=Setup!$B$6,1,0)))</f>
        <v/>
      </c>
      <c r="K180" s="35" t="str">
        <f aca="false">IF($A180="","",MOD(MONTH($A180)-Setup!$B$6+12,12)+1)</f>
        <v/>
      </c>
      <c r="L180" s="36" t="str">
        <f aca="false">IF($A180="","",TEXT($A180,"MMM-YY"))</f>
        <v/>
      </c>
      <c r="M180" s="37" t="str">
        <f aca="false">IF($A180="","",IF($Q180=0,"UNMAPPED",INDEX(COA_Mapping!$C$7:$C$256,$Q180)))</f>
        <v/>
      </c>
      <c r="N180" s="38" t="str">
        <f aca="false">IF($A180="","",IF($Q180=0,"",INDEX(COA_Mapping!$E$7:$E$256,$Q180)))</f>
        <v/>
      </c>
      <c r="O180" s="38" t="n">
        <f aca="false">IF($A180="",1,IF($Q180=0,1,INDEX(COA_Mapping!$F$7:$F$256,$Q180)))</f>
        <v>1</v>
      </c>
      <c r="P180" s="34" t="str">
        <f aca="false">IF($A180="","",$I180*$O180)</f>
        <v/>
      </c>
      <c r="Q180" s="39" t="n">
        <f aca="false">IF($B180="",0,IFERROR(MATCH($B180,COA_Mapping!$A$7:$A$256,0),0))</f>
        <v>0</v>
      </c>
      <c r="R180" s="39" t="n">
        <f aca="false">IF($A180="",-1,IF($J180=Setup!$B$7,1,IF($J180=Setup!$B$9,0,-1)))</f>
        <v>-1</v>
      </c>
      <c r="S180" s="35" t="n">
        <f aca="false">IF(OR($A180="",$Q180=0,$R180=-1),0,$Q180*1000+$R180*100+$K180)</f>
        <v>0</v>
      </c>
      <c r="T180" s="37" t="str">
        <f aca="false">IF($A180="","",IF($B180="","NO ACCOUNT",IF($Q180=0,"UNMAPPED",IF($R180=-1,"OUTSIDE FY RANGE","OK"))))</f>
        <v/>
      </c>
      <c r="U180" s="40" t="str">
        <f aca="false">IF($A180="","",$B180&amp;"|"&amp;TEXT($A180,"yyyymmdd")&amp;"|"&amp;TEXT($I180,"0.00"))</f>
        <v/>
      </c>
      <c r="V180" s="35" t="str">
        <f aca="false">IF($A180="","",COUNTIF($U$8:$U$5007,$U180))</f>
        <v/>
      </c>
    </row>
    <row r="181" customFormat="false" ht="15" hidden="false" customHeight="false" outlineLevel="0" collapsed="false">
      <c r="A181" s="31"/>
      <c r="B181" s="32"/>
      <c r="C181" s="32"/>
      <c r="D181" s="32"/>
      <c r="E181" s="32"/>
      <c r="F181" s="32"/>
      <c r="G181" s="33"/>
      <c r="H181" s="33"/>
      <c r="I181" s="34" t="str">
        <f aca="false">IF($A181="","",$G181-$H181)</f>
        <v/>
      </c>
      <c r="J181" s="35" t="str">
        <f aca="false">IF($A181="","",IF(Setup!$B$6=1,YEAR($A181),YEAR($A181)+IF(MONTH($A181)&gt;=Setup!$B$6,1,0)))</f>
        <v/>
      </c>
      <c r="K181" s="35" t="str">
        <f aca="false">IF($A181="","",MOD(MONTH($A181)-Setup!$B$6+12,12)+1)</f>
        <v/>
      </c>
      <c r="L181" s="36" t="str">
        <f aca="false">IF($A181="","",TEXT($A181,"MMM-YY"))</f>
        <v/>
      </c>
      <c r="M181" s="37" t="str">
        <f aca="false">IF($A181="","",IF($Q181=0,"UNMAPPED",INDEX(COA_Mapping!$C$7:$C$256,$Q181)))</f>
        <v/>
      </c>
      <c r="N181" s="38" t="str">
        <f aca="false">IF($A181="","",IF($Q181=0,"",INDEX(COA_Mapping!$E$7:$E$256,$Q181)))</f>
        <v/>
      </c>
      <c r="O181" s="38" t="n">
        <f aca="false">IF($A181="",1,IF($Q181=0,1,INDEX(COA_Mapping!$F$7:$F$256,$Q181)))</f>
        <v>1</v>
      </c>
      <c r="P181" s="34" t="str">
        <f aca="false">IF($A181="","",$I181*$O181)</f>
        <v/>
      </c>
      <c r="Q181" s="39" t="n">
        <f aca="false">IF($B181="",0,IFERROR(MATCH($B181,COA_Mapping!$A$7:$A$256,0),0))</f>
        <v>0</v>
      </c>
      <c r="R181" s="39" t="n">
        <f aca="false">IF($A181="",-1,IF($J181=Setup!$B$7,1,IF($J181=Setup!$B$9,0,-1)))</f>
        <v>-1</v>
      </c>
      <c r="S181" s="35" t="n">
        <f aca="false">IF(OR($A181="",$Q181=0,$R181=-1),0,$Q181*1000+$R181*100+$K181)</f>
        <v>0</v>
      </c>
      <c r="T181" s="37" t="str">
        <f aca="false">IF($A181="","",IF($B181="","NO ACCOUNT",IF($Q181=0,"UNMAPPED",IF($R181=-1,"OUTSIDE FY RANGE","OK"))))</f>
        <v/>
      </c>
      <c r="U181" s="40" t="str">
        <f aca="false">IF($A181="","",$B181&amp;"|"&amp;TEXT($A181,"yyyymmdd")&amp;"|"&amp;TEXT($I181,"0.00"))</f>
        <v/>
      </c>
      <c r="V181" s="35" t="str">
        <f aca="false">IF($A181="","",COUNTIF($U$8:$U$5007,$U181))</f>
        <v/>
      </c>
    </row>
    <row r="182" customFormat="false" ht="15" hidden="false" customHeight="false" outlineLevel="0" collapsed="false">
      <c r="A182" s="31"/>
      <c r="B182" s="32"/>
      <c r="C182" s="32"/>
      <c r="D182" s="32"/>
      <c r="E182" s="32"/>
      <c r="F182" s="32"/>
      <c r="G182" s="33"/>
      <c r="H182" s="33"/>
      <c r="I182" s="34" t="str">
        <f aca="false">IF($A182="","",$G182-$H182)</f>
        <v/>
      </c>
      <c r="J182" s="35" t="str">
        <f aca="false">IF($A182="","",IF(Setup!$B$6=1,YEAR($A182),YEAR($A182)+IF(MONTH($A182)&gt;=Setup!$B$6,1,0)))</f>
        <v/>
      </c>
      <c r="K182" s="35" t="str">
        <f aca="false">IF($A182="","",MOD(MONTH($A182)-Setup!$B$6+12,12)+1)</f>
        <v/>
      </c>
      <c r="L182" s="36" t="str">
        <f aca="false">IF($A182="","",TEXT($A182,"MMM-YY"))</f>
        <v/>
      </c>
      <c r="M182" s="37" t="str">
        <f aca="false">IF($A182="","",IF($Q182=0,"UNMAPPED",INDEX(COA_Mapping!$C$7:$C$256,$Q182)))</f>
        <v/>
      </c>
      <c r="N182" s="38" t="str">
        <f aca="false">IF($A182="","",IF($Q182=0,"",INDEX(COA_Mapping!$E$7:$E$256,$Q182)))</f>
        <v/>
      </c>
      <c r="O182" s="38" t="n">
        <f aca="false">IF($A182="",1,IF($Q182=0,1,INDEX(COA_Mapping!$F$7:$F$256,$Q182)))</f>
        <v>1</v>
      </c>
      <c r="P182" s="34" t="str">
        <f aca="false">IF($A182="","",$I182*$O182)</f>
        <v/>
      </c>
      <c r="Q182" s="39" t="n">
        <f aca="false">IF($B182="",0,IFERROR(MATCH($B182,COA_Mapping!$A$7:$A$256,0),0))</f>
        <v>0</v>
      </c>
      <c r="R182" s="39" t="n">
        <f aca="false">IF($A182="",-1,IF($J182=Setup!$B$7,1,IF($J182=Setup!$B$9,0,-1)))</f>
        <v>-1</v>
      </c>
      <c r="S182" s="35" t="n">
        <f aca="false">IF(OR($A182="",$Q182=0,$R182=-1),0,$Q182*1000+$R182*100+$K182)</f>
        <v>0</v>
      </c>
      <c r="T182" s="37" t="str">
        <f aca="false">IF($A182="","",IF($B182="","NO ACCOUNT",IF($Q182=0,"UNMAPPED",IF($R182=-1,"OUTSIDE FY RANGE","OK"))))</f>
        <v/>
      </c>
      <c r="U182" s="40" t="str">
        <f aca="false">IF($A182="","",$B182&amp;"|"&amp;TEXT($A182,"yyyymmdd")&amp;"|"&amp;TEXT($I182,"0.00"))</f>
        <v/>
      </c>
      <c r="V182" s="35" t="str">
        <f aca="false">IF($A182="","",COUNTIF($U$8:$U$5007,$U182))</f>
        <v/>
      </c>
    </row>
    <row r="183" customFormat="false" ht="15" hidden="false" customHeight="false" outlineLevel="0" collapsed="false">
      <c r="A183" s="31"/>
      <c r="B183" s="32"/>
      <c r="C183" s="32"/>
      <c r="D183" s="32"/>
      <c r="E183" s="32"/>
      <c r="F183" s="32"/>
      <c r="G183" s="33"/>
      <c r="H183" s="33"/>
      <c r="I183" s="34" t="str">
        <f aca="false">IF($A183="","",$G183-$H183)</f>
        <v/>
      </c>
      <c r="J183" s="35" t="str">
        <f aca="false">IF($A183="","",IF(Setup!$B$6=1,YEAR($A183),YEAR($A183)+IF(MONTH($A183)&gt;=Setup!$B$6,1,0)))</f>
        <v/>
      </c>
      <c r="K183" s="35" t="str">
        <f aca="false">IF($A183="","",MOD(MONTH($A183)-Setup!$B$6+12,12)+1)</f>
        <v/>
      </c>
      <c r="L183" s="36" t="str">
        <f aca="false">IF($A183="","",TEXT($A183,"MMM-YY"))</f>
        <v/>
      </c>
      <c r="M183" s="37" t="str">
        <f aca="false">IF($A183="","",IF($Q183=0,"UNMAPPED",INDEX(COA_Mapping!$C$7:$C$256,$Q183)))</f>
        <v/>
      </c>
      <c r="N183" s="38" t="str">
        <f aca="false">IF($A183="","",IF($Q183=0,"",INDEX(COA_Mapping!$E$7:$E$256,$Q183)))</f>
        <v/>
      </c>
      <c r="O183" s="38" t="n">
        <f aca="false">IF($A183="",1,IF($Q183=0,1,INDEX(COA_Mapping!$F$7:$F$256,$Q183)))</f>
        <v>1</v>
      </c>
      <c r="P183" s="34" t="str">
        <f aca="false">IF($A183="","",$I183*$O183)</f>
        <v/>
      </c>
      <c r="Q183" s="39" t="n">
        <f aca="false">IF($B183="",0,IFERROR(MATCH($B183,COA_Mapping!$A$7:$A$256,0),0))</f>
        <v>0</v>
      </c>
      <c r="R183" s="39" t="n">
        <f aca="false">IF($A183="",-1,IF($J183=Setup!$B$7,1,IF($J183=Setup!$B$9,0,-1)))</f>
        <v>-1</v>
      </c>
      <c r="S183" s="35" t="n">
        <f aca="false">IF(OR($A183="",$Q183=0,$R183=-1),0,$Q183*1000+$R183*100+$K183)</f>
        <v>0</v>
      </c>
      <c r="T183" s="37" t="str">
        <f aca="false">IF($A183="","",IF($B183="","NO ACCOUNT",IF($Q183=0,"UNMAPPED",IF($R183=-1,"OUTSIDE FY RANGE","OK"))))</f>
        <v/>
      </c>
      <c r="U183" s="40" t="str">
        <f aca="false">IF($A183="","",$B183&amp;"|"&amp;TEXT($A183,"yyyymmdd")&amp;"|"&amp;TEXT($I183,"0.00"))</f>
        <v/>
      </c>
      <c r="V183" s="35" t="str">
        <f aca="false">IF($A183="","",COUNTIF($U$8:$U$5007,$U183))</f>
        <v/>
      </c>
    </row>
    <row r="184" customFormat="false" ht="15" hidden="false" customHeight="false" outlineLevel="0" collapsed="false">
      <c r="A184" s="31"/>
      <c r="B184" s="32"/>
      <c r="C184" s="32"/>
      <c r="D184" s="32"/>
      <c r="E184" s="32"/>
      <c r="F184" s="32"/>
      <c r="G184" s="33"/>
      <c r="H184" s="33"/>
      <c r="I184" s="34" t="str">
        <f aca="false">IF($A184="","",$G184-$H184)</f>
        <v/>
      </c>
      <c r="J184" s="35" t="str">
        <f aca="false">IF($A184="","",IF(Setup!$B$6=1,YEAR($A184),YEAR($A184)+IF(MONTH($A184)&gt;=Setup!$B$6,1,0)))</f>
        <v/>
      </c>
      <c r="K184" s="35" t="str">
        <f aca="false">IF($A184="","",MOD(MONTH($A184)-Setup!$B$6+12,12)+1)</f>
        <v/>
      </c>
      <c r="L184" s="36" t="str">
        <f aca="false">IF($A184="","",TEXT($A184,"MMM-YY"))</f>
        <v/>
      </c>
      <c r="M184" s="37" t="str">
        <f aca="false">IF($A184="","",IF($Q184=0,"UNMAPPED",INDEX(COA_Mapping!$C$7:$C$256,$Q184)))</f>
        <v/>
      </c>
      <c r="N184" s="38" t="str">
        <f aca="false">IF($A184="","",IF($Q184=0,"",INDEX(COA_Mapping!$E$7:$E$256,$Q184)))</f>
        <v/>
      </c>
      <c r="O184" s="38" t="n">
        <f aca="false">IF($A184="",1,IF($Q184=0,1,INDEX(COA_Mapping!$F$7:$F$256,$Q184)))</f>
        <v>1</v>
      </c>
      <c r="P184" s="34" t="str">
        <f aca="false">IF($A184="","",$I184*$O184)</f>
        <v/>
      </c>
      <c r="Q184" s="39" t="n">
        <f aca="false">IF($B184="",0,IFERROR(MATCH($B184,COA_Mapping!$A$7:$A$256,0),0))</f>
        <v>0</v>
      </c>
      <c r="R184" s="39" t="n">
        <f aca="false">IF($A184="",-1,IF($J184=Setup!$B$7,1,IF($J184=Setup!$B$9,0,-1)))</f>
        <v>-1</v>
      </c>
      <c r="S184" s="35" t="n">
        <f aca="false">IF(OR($A184="",$Q184=0,$R184=-1),0,$Q184*1000+$R184*100+$K184)</f>
        <v>0</v>
      </c>
      <c r="T184" s="37" t="str">
        <f aca="false">IF($A184="","",IF($B184="","NO ACCOUNT",IF($Q184=0,"UNMAPPED",IF($R184=-1,"OUTSIDE FY RANGE","OK"))))</f>
        <v/>
      </c>
      <c r="U184" s="40" t="str">
        <f aca="false">IF($A184="","",$B184&amp;"|"&amp;TEXT($A184,"yyyymmdd")&amp;"|"&amp;TEXT($I184,"0.00"))</f>
        <v/>
      </c>
      <c r="V184" s="35" t="str">
        <f aca="false">IF($A184="","",COUNTIF($U$8:$U$5007,$U184))</f>
        <v/>
      </c>
    </row>
    <row r="185" customFormat="false" ht="15" hidden="false" customHeight="false" outlineLevel="0" collapsed="false">
      <c r="A185" s="31"/>
      <c r="B185" s="32"/>
      <c r="C185" s="32"/>
      <c r="D185" s="32"/>
      <c r="E185" s="32"/>
      <c r="F185" s="32"/>
      <c r="G185" s="33"/>
      <c r="H185" s="33"/>
      <c r="I185" s="34" t="str">
        <f aca="false">IF($A185="","",$G185-$H185)</f>
        <v/>
      </c>
      <c r="J185" s="35" t="str">
        <f aca="false">IF($A185="","",IF(Setup!$B$6=1,YEAR($A185),YEAR($A185)+IF(MONTH($A185)&gt;=Setup!$B$6,1,0)))</f>
        <v/>
      </c>
      <c r="K185" s="35" t="str">
        <f aca="false">IF($A185="","",MOD(MONTH($A185)-Setup!$B$6+12,12)+1)</f>
        <v/>
      </c>
      <c r="L185" s="36" t="str">
        <f aca="false">IF($A185="","",TEXT($A185,"MMM-YY"))</f>
        <v/>
      </c>
      <c r="M185" s="37" t="str">
        <f aca="false">IF($A185="","",IF($Q185=0,"UNMAPPED",INDEX(COA_Mapping!$C$7:$C$256,$Q185)))</f>
        <v/>
      </c>
      <c r="N185" s="38" t="str">
        <f aca="false">IF($A185="","",IF($Q185=0,"",INDEX(COA_Mapping!$E$7:$E$256,$Q185)))</f>
        <v/>
      </c>
      <c r="O185" s="38" t="n">
        <f aca="false">IF($A185="",1,IF($Q185=0,1,INDEX(COA_Mapping!$F$7:$F$256,$Q185)))</f>
        <v>1</v>
      </c>
      <c r="P185" s="34" t="str">
        <f aca="false">IF($A185="","",$I185*$O185)</f>
        <v/>
      </c>
      <c r="Q185" s="39" t="n">
        <f aca="false">IF($B185="",0,IFERROR(MATCH($B185,COA_Mapping!$A$7:$A$256,0),0))</f>
        <v>0</v>
      </c>
      <c r="R185" s="39" t="n">
        <f aca="false">IF($A185="",-1,IF($J185=Setup!$B$7,1,IF($J185=Setup!$B$9,0,-1)))</f>
        <v>-1</v>
      </c>
      <c r="S185" s="35" t="n">
        <f aca="false">IF(OR($A185="",$Q185=0,$R185=-1),0,$Q185*1000+$R185*100+$K185)</f>
        <v>0</v>
      </c>
      <c r="T185" s="37" t="str">
        <f aca="false">IF($A185="","",IF($B185="","NO ACCOUNT",IF($Q185=0,"UNMAPPED",IF($R185=-1,"OUTSIDE FY RANGE","OK"))))</f>
        <v/>
      </c>
      <c r="U185" s="40" t="str">
        <f aca="false">IF($A185="","",$B185&amp;"|"&amp;TEXT($A185,"yyyymmdd")&amp;"|"&amp;TEXT($I185,"0.00"))</f>
        <v/>
      </c>
      <c r="V185" s="35" t="str">
        <f aca="false">IF($A185="","",COUNTIF($U$8:$U$5007,$U185))</f>
        <v/>
      </c>
    </row>
    <row r="186" customFormat="false" ht="15" hidden="false" customHeight="false" outlineLevel="0" collapsed="false">
      <c r="A186" s="31"/>
      <c r="B186" s="32"/>
      <c r="C186" s="32"/>
      <c r="D186" s="32"/>
      <c r="E186" s="32"/>
      <c r="F186" s="32"/>
      <c r="G186" s="33"/>
      <c r="H186" s="33"/>
      <c r="I186" s="34" t="str">
        <f aca="false">IF($A186="","",$G186-$H186)</f>
        <v/>
      </c>
      <c r="J186" s="35" t="str">
        <f aca="false">IF($A186="","",IF(Setup!$B$6=1,YEAR($A186),YEAR($A186)+IF(MONTH($A186)&gt;=Setup!$B$6,1,0)))</f>
        <v/>
      </c>
      <c r="K186" s="35" t="str">
        <f aca="false">IF($A186="","",MOD(MONTH($A186)-Setup!$B$6+12,12)+1)</f>
        <v/>
      </c>
      <c r="L186" s="36" t="str">
        <f aca="false">IF($A186="","",TEXT($A186,"MMM-YY"))</f>
        <v/>
      </c>
      <c r="M186" s="37" t="str">
        <f aca="false">IF($A186="","",IF($Q186=0,"UNMAPPED",INDEX(COA_Mapping!$C$7:$C$256,$Q186)))</f>
        <v/>
      </c>
      <c r="N186" s="38" t="str">
        <f aca="false">IF($A186="","",IF($Q186=0,"",INDEX(COA_Mapping!$E$7:$E$256,$Q186)))</f>
        <v/>
      </c>
      <c r="O186" s="38" t="n">
        <f aca="false">IF($A186="",1,IF($Q186=0,1,INDEX(COA_Mapping!$F$7:$F$256,$Q186)))</f>
        <v>1</v>
      </c>
      <c r="P186" s="34" t="str">
        <f aca="false">IF($A186="","",$I186*$O186)</f>
        <v/>
      </c>
      <c r="Q186" s="39" t="n">
        <f aca="false">IF($B186="",0,IFERROR(MATCH($B186,COA_Mapping!$A$7:$A$256,0),0))</f>
        <v>0</v>
      </c>
      <c r="R186" s="39" t="n">
        <f aca="false">IF($A186="",-1,IF($J186=Setup!$B$7,1,IF($J186=Setup!$B$9,0,-1)))</f>
        <v>-1</v>
      </c>
      <c r="S186" s="35" t="n">
        <f aca="false">IF(OR($A186="",$Q186=0,$R186=-1),0,$Q186*1000+$R186*100+$K186)</f>
        <v>0</v>
      </c>
      <c r="T186" s="37" t="str">
        <f aca="false">IF($A186="","",IF($B186="","NO ACCOUNT",IF($Q186=0,"UNMAPPED",IF($R186=-1,"OUTSIDE FY RANGE","OK"))))</f>
        <v/>
      </c>
      <c r="U186" s="40" t="str">
        <f aca="false">IF($A186="","",$B186&amp;"|"&amp;TEXT($A186,"yyyymmdd")&amp;"|"&amp;TEXT($I186,"0.00"))</f>
        <v/>
      </c>
      <c r="V186" s="35" t="str">
        <f aca="false">IF($A186="","",COUNTIF($U$8:$U$5007,$U186))</f>
        <v/>
      </c>
    </row>
    <row r="187" customFormat="false" ht="15" hidden="false" customHeight="false" outlineLevel="0" collapsed="false">
      <c r="A187" s="31"/>
      <c r="B187" s="32"/>
      <c r="C187" s="32"/>
      <c r="D187" s="32"/>
      <c r="E187" s="32"/>
      <c r="F187" s="32"/>
      <c r="G187" s="33"/>
      <c r="H187" s="33"/>
      <c r="I187" s="34" t="str">
        <f aca="false">IF($A187="","",$G187-$H187)</f>
        <v/>
      </c>
      <c r="J187" s="35" t="str">
        <f aca="false">IF($A187="","",IF(Setup!$B$6=1,YEAR($A187),YEAR($A187)+IF(MONTH($A187)&gt;=Setup!$B$6,1,0)))</f>
        <v/>
      </c>
      <c r="K187" s="35" t="str">
        <f aca="false">IF($A187="","",MOD(MONTH($A187)-Setup!$B$6+12,12)+1)</f>
        <v/>
      </c>
      <c r="L187" s="36" t="str">
        <f aca="false">IF($A187="","",TEXT($A187,"MMM-YY"))</f>
        <v/>
      </c>
      <c r="M187" s="37" t="str">
        <f aca="false">IF($A187="","",IF($Q187=0,"UNMAPPED",INDEX(COA_Mapping!$C$7:$C$256,$Q187)))</f>
        <v/>
      </c>
      <c r="N187" s="38" t="str">
        <f aca="false">IF($A187="","",IF($Q187=0,"",INDEX(COA_Mapping!$E$7:$E$256,$Q187)))</f>
        <v/>
      </c>
      <c r="O187" s="38" t="n">
        <f aca="false">IF($A187="",1,IF($Q187=0,1,INDEX(COA_Mapping!$F$7:$F$256,$Q187)))</f>
        <v>1</v>
      </c>
      <c r="P187" s="34" t="str">
        <f aca="false">IF($A187="","",$I187*$O187)</f>
        <v/>
      </c>
      <c r="Q187" s="39" t="n">
        <f aca="false">IF($B187="",0,IFERROR(MATCH($B187,COA_Mapping!$A$7:$A$256,0),0))</f>
        <v>0</v>
      </c>
      <c r="R187" s="39" t="n">
        <f aca="false">IF($A187="",-1,IF($J187=Setup!$B$7,1,IF($J187=Setup!$B$9,0,-1)))</f>
        <v>-1</v>
      </c>
      <c r="S187" s="35" t="n">
        <f aca="false">IF(OR($A187="",$Q187=0,$R187=-1),0,$Q187*1000+$R187*100+$K187)</f>
        <v>0</v>
      </c>
      <c r="T187" s="37" t="str">
        <f aca="false">IF($A187="","",IF($B187="","NO ACCOUNT",IF($Q187=0,"UNMAPPED",IF($R187=-1,"OUTSIDE FY RANGE","OK"))))</f>
        <v/>
      </c>
      <c r="U187" s="40" t="str">
        <f aca="false">IF($A187="","",$B187&amp;"|"&amp;TEXT($A187,"yyyymmdd")&amp;"|"&amp;TEXT($I187,"0.00"))</f>
        <v/>
      </c>
      <c r="V187" s="35" t="str">
        <f aca="false">IF($A187="","",COUNTIF($U$8:$U$5007,$U187))</f>
        <v/>
      </c>
    </row>
    <row r="188" customFormat="false" ht="15" hidden="false" customHeight="false" outlineLevel="0" collapsed="false">
      <c r="A188" s="31"/>
      <c r="B188" s="32"/>
      <c r="C188" s="32"/>
      <c r="D188" s="32"/>
      <c r="E188" s="32"/>
      <c r="F188" s="32"/>
      <c r="G188" s="33"/>
      <c r="H188" s="33"/>
      <c r="I188" s="34" t="str">
        <f aca="false">IF($A188="","",$G188-$H188)</f>
        <v/>
      </c>
      <c r="J188" s="35" t="str">
        <f aca="false">IF($A188="","",IF(Setup!$B$6=1,YEAR($A188),YEAR($A188)+IF(MONTH($A188)&gt;=Setup!$B$6,1,0)))</f>
        <v/>
      </c>
      <c r="K188" s="35" t="str">
        <f aca="false">IF($A188="","",MOD(MONTH($A188)-Setup!$B$6+12,12)+1)</f>
        <v/>
      </c>
      <c r="L188" s="36" t="str">
        <f aca="false">IF($A188="","",TEXT($A188,"MMM-YY"))</f>
        <v/>
      </c>
      <c r="M188" s="37" t="str">
        <f aca="false">IF($A188="","",IF($Q188=0,"UNMAPPED",INDEX(COA_Mapping!$C$7:$C$256,$Q188)))</f>
        <v/>
      </c>
      <c r="N188" s="38" t="str">
        <f aca="false">IF($A188="","",IF($Q188=0,"",INDEX(COA_Mapping!$E$7:$E$256,$Q188)))</f>
        <v/>
      </c>
      <c r="O188" s="38" t="n">
        <f aca="false">IF($A188="",1,IF($Q188=0,1,INDEX(COA_Mapping!$F$7:$F$256,$Q188)))</f>
        <v>1</v>
      </c>
      <c r="P188" s="34" t="str">
        <f aca="false">IF($A188="","",$I188*$O188)</f>
        <v/>
      </c>
      <c r="Q188" s="39" t="n">
        <f aca="false">IF($B188="",0,IFERROR(MATCH($B188,COA_Mapping!$A$7:$A$256,0),0))</f>
        <v>0</v>
      </c>
      <c r="R188" s="39" t="n">
        <f aca="false">IF($A188="",-1,IF($J188=Setup!$B$7,1,IF($J188=Setup!$B$9,0,-1)))</f>
        <v>-1</v>
      </c>
      <c r="S188" s="35" t="n">
        <f aca="false">IF(OR($A188="",$Q188=0,$R188=-1),0,$Q188*1000+$R188*100+$K188)</f>
        <v>0</v>
      </c>
      <c r="T188" s="37" t="str">
        <f aca="false">IF($A188="","",IF($B188="","NO ACCOUNT",IF($Q188=0,"UNMAPPED",IF($R188=-1,"OUTSIDE FY RANGE","OK"))))</f>
        <v/>
      </c>
      <c r="U188" s="40" t="str">
        <f aca="false">IF($A188="","",$B188&amp;"|"&amp;TEXT($A188,"yyyymmdd")&amp;"|"&amp;TEXT($I188,"0.00"))</f>
        <v/>
      </c>
      <c r="V188" s="35" t="str">
        <f aca="false">IF($A188="","",COUNTIF($U$8:$U$5007,$U188))</f>
        <v/>
      </c>
    </row>
    <row r="189" customFormat="false" ht="15" hidden="false" customHeight="false" outlineLevel="0" collapsed="false">
      <c r="A189" s="31"/>
      <c r="B189" s="32"/>
      <c r="C189" s="32"/>
      <c r="D189" s="32"/>
      <c r="E189" s="32"/>
      <c r="F189" s="32"/>
      <c r="G189" s="33"/>
      <c r="H189" s="33"/>
      <c r="I189" s="34" t="str">
        <f aca="false">IF($A189="","",$G189-$H189)</f>
        <v/>
      </c>
      <c r="J189" s="35" t="str">
        <f aca="false">IF($A189="","",IF(Setup!$B$6=1,YEAR($A189),YEAR($A189)+IF(MONTH($A189)&gt;=Setup!$B$6,1,0)))</f>
        <v/>
      </c>
      <c r="K189" s="35" t="str">
        <f aca="false">IF($A189="","",MOD(MONTH($A189)-Setup!$B$6+12,12)+1)</f>
        <v/>
      </c>
      <c r="L189" s="36" t="str">
        <f aca="false">IF($A189="","",TEXT($A189,"MMM-YY"))</f>
        <v/>
      </c>
      <c r="M189" s="37" t="str">
        <f aca="false">IF($A189="","",IF($Q189=0,"UNMAPPED",INDEX(COA_Mapping!$C$7:$C$256,$Q189)))</f>
        <v/>
      </c>
      <c r="N189" s="38" t="str">
        <f aca="false">IF($A189="","",IF($Q189=0,"",INDEX(COA_Mapping!$E$7:$E$256,$Q189)))</f>
        <v/>
      </c>
      <c r="O189" s="38" t="n">
        <f aca="false">IF($A189="",1,IF($Q189=0,1,INDEX(COA_Mapping!$F$7:$F$256,$Q189)))</f>
        <v>1</v>
      </c>
      <c r="P189" s="34" t="str">
        <f aca="false">IF($A189="","",$I189*$O189)</f>
        <v/>
      </c>
      <c r="Q189" s="39" t="n">
        <f aca="false">IF($B189="",0,IFERROR(MATCH($B189,COA_Mapping!$A$7:$A$256,0),0))</f>
        <v>0</v>
      </c>
      <c r="R189" s="39" t="n">
        <f aca="false">IF($A189="",-1,IF($J189=Setup!$B$7,1,IF($J189=Setup!$B$9,0,-1)))</f>
        <v>-1</v>
      </c>
      <c r="S189" s="35" t="n">
        <f aca="false">IF(OR($A189="",$Q189=0,$R189=-1),0,$Q189*1000+$R189*100+$K189)</f>
        <v>0</v>
      </c>
      <c r="T189" s="37" t="str">
        <f aca="false">IF($A189="","",IF($B189="","NO ACCOUNT",IF($Q189=0,"UNMAPPED",IF($R189=-1,"OUTSIDE FY RANGE","OK"))))</f>
        <v/>
      </c>
      <c r="U189" s="40" t="str">
        <f aca="false">IF($A189="","",$B189&amp;"|"&amp;TEXT($A189,"yyyymmdd")&amp;"|"&amp;TEXT($I189,"0.00"))</f>
        <v/>
      </c>
      <c r="V189" s="35" t="str">
        <f aca="false">IF($A189="","",COUNTIF($U$8:$U$5007,$U189))</f>
        <v/>
      </c>
    </row>
    <row r="190" customFormat="false" ht="15" hidden="false" customHeight="false" outlineLevel="0" collapsed="false">
      <c r="A190" s="31"/>
      <c r="B190" s="32"/>
      <c r="C190" s="32"/>
      <c r="D190" s="32"/>
      <c r="E190" s="32"/>
      <c r="F190" s="32"/>
      <c r="G190" s="33"/>
      <c r="H190" s="33"/>
      <c r="I190" s="34" t="str">
        <f aca="false">IF($A190="","",$G190-$H190)</f>
        <v/>
      </c>
      <c r="J190" s="35" t="str">
        <f aca="false">IF($A190="","",IF(Setup!$B$6=1,YEAR($A190),YEAR($A190)+IF(MONTH($A190)&gt;=Setup!$B$6,1,0)))</f>
        <v/>
      </c>
      <c r="K190" s="35" t="str">
        <f aca="false">IF($A190="","",MOD(MONTH($A190)-Setup!$B$6+12,12)+1)</f>
        <v/>
      </c>
      <c r="L190" s="36" t="str">
        <f aca="false">IF($A190="","",TEXT($A190,"MMM-YY"))</f>
        <v/>
      </c>
      <c r="M190" s="37" t="str">
        <f aca="false">IF($A190="","",IF($Q190=0,"UNMAPPED",INDEX(COA_Mapping!$C$7:$C$256,$Q190)))</f>
        <v/>
      </c>
      <c r="N190" s="38" t="str">
        <f aca="false">IF($A190="","",IF($Q190=0,"",INDEX(COA_Mapping!$E$7:$E$256,$Q190)))</f>
        <v/>
      </c>
      <c r="O190" s="38" t="n">
        <f aca="false">IF($A190="",1,IF($Q190=0,1,INDEX(COA_Mapping!$F$7:$F$256,$Q190)))</f>
        <v>1</v>
      </c>
      <c r="P190" s="34" t="str">
        <f aca="false">IF($A190="","",$I190*$O190)</f>
        <v/>
      </c>
      <c r="Q190" s="39" t="n">
        <f aca="false">IF($B190="",0,IFERROR(MATCH($B190,COA_Mapping!$A$7:$A$256,0),0))</f>
        <v>0</v>
      </c>
      <c r="R190" s="39" t="n">
        <f aca="false">IF($A190="",-1,IF($J190=Setup!$B$7,1,IF($J190=Setup!$B$9,0,-1)))</f>
        <v>-1</v>
      </c>
      <c r="S190" s="35" t="n">
        <f aca="false">IF(OR($A190="",$Q190=0,$R190=-1),0,$Q190*1000+$R190*100+$K190)</f>
        <v>0</v>
      </c>
      <c r="T190" s="37" t="str">
        <f aca="false">IF($A190="","",IF($B190="","NO ACCOUNT",IF($Q190=0,"UNMAPPED",IF($R190=-1,"OUTSIDE FY RANGE","OK"))))</f>
        <v/>
      </c>
      <c r="U190" s="40" t="str">
        <f aca="false">IF($A190="","",$B190&amp;"|"&amp;TEXT($A190,"yyyymmdd")&amp;"|"&amp;TEXT($I190,"0.00"))</f>
        <v/>
      </c>
      <c r="V190" s="35" t="str">
        <f aca="false">IF($A190="","",COUNTIF($U$8:$U$5007,$U190))</f>
        <v/>
      </c>
    </row>
    <row r="191" customFormat="false" ht="15" hidden="false" customHeight="false" outlineLevel="0" collapsed="false">
      <c r="A191" s="31"/>
      <c r="B191" s="32"/>
      <c r="C191" s="32"/>
      <c r="D191" s="32"/>
      <c r="E191" s="32"/>
      <c r="F191" s="32"/>
      <c r="G191" s="33"/>
      <c r="H191" s="33"/>
      <c r="I191" s="34" t="str">
        <f aca="false">IF($A191="","",$G191-$H191)</f>
        <v/>
      </c>
      <c r="J191" s="35" t="str">
        <f aca="false">IF($A191="","",IF(Setup!$B$6=1,YEAR($A191),YEAR($A191)+IF(MONTH($A191)&gt;=Setup!$B$6,1,0)))</f>
        <v/>
      </c>
      <c r="K191" s="35" t="str">
        <f aca="false">IF($A191="","",MOD(MONTH($A191)-Setup!$B$6+12,12)+1)</f>
        <v/>
      </c>
      <c r="L191" s="36" t="str">
        <f aca="false">IF($A191="","",TEXT($A191,"MMM-YY"))</f>
        <v/>
      </c>
      <c r="M191" s="37" t="str">
        <f aca="false">IF($A191="","",IF($Q191=0,"UNMAPPED",INDEX(COA_Mapping!$C$7:$C$256,$Q191)))</f>
        <v/>
      </c>
      <c r="N191" s="38" t="str">
        <f aca="false">IF($A191="","",IF($Q191=0,"",INDEX(COA_Mapping!$E$7:$E$256,$Q191)))</f>
        <v/>
      </c>
      <c r="O191" s="38" t="n">
        <f aca="false">IF($A191="",1,IF($Q191=0,1,INDEX(COA_Mapping!$F$7:$F$256,$Q191)))</f>
        <v>1</v>
      </c>
      <c r="P191" s="34" t="str">
        <f aca="false">IF($A191="","",$I191*$O191)</f>
        <v/>
      </c>
      <c r="Q191" s="39" t="n">
        <f aca="false">IF($B191="",0,IFERROR(MATCH($B191,COA_Mapping!$A$7:$A$256,0),0))</f>
        <v>0</v>
      </c>
      <c r="R191" s="39" t="n">
        <f aca="false">IF($A191="",-1,IF($J191=Setup!$B$7,1,IF($J191=Setup!$B$9,0,-1)))</f>
        <v>-1</v>
      </c>
      <c r="S191" s="35" t="n">
        <f aca="false">IF(OR($A191="",$Q191=0,$R191=-1),0,$Q191*1000+$R191*100+$K191)</f>
        <v>0</v>
      </c>
      <c r="T191" s="37" t="str">
        <f aca="false">IF($A191="","",IF($B191="","NO ACCOUNT",IF($Q191=0,"UNMAPPED",IF($R191=-1,"OUTSIDE FY RANGE","OK"))))</f>
        <v/>
      </c>
      <c r="U191" s="40" t="str">
        <f aca="false">IF($A191="","",$B191&amp;"|"&amp;TEXT($A191,"yyyymmdd")&amp;"|"&amp;TEXT($I191,"0.00"))</f>
        <v/>
      </c>
      <c r="V191" s="35" t="str">
        <f aca="false">IF($A191="","",COUNTIF($U$8:$U$5007,$U191))</f>
        <v/>
      </c>
    </row>
    <row r="192" customFormat="false" ht="15" hidden="false" customHeight="false" outlineLevel="0" collapsed="false">
      <c r="A192" s="31"/>
      <c r="B192" s="32"/>
      <c r="C192" s="32"/>
      <c r="D192" s="32"/>
      <c r="E192" s="32"/>
      <c r="F192" s="32"/>
      <c r="G192" s="33"/>
      <c r="H192" s="33"/>
      <c r="I192" s="34" t="str">
        <f aca="false">IF($A192="","",$G192-$H192)</f>
        <v/>
      </c>
      <c r="J192" s="35" t="str">
        <f aca="false">IF($A192="","",IF(Setup!$B$6=1,YEAR($A192),YEAR($A192)+IF(MONTH($A192)&gt;=Setup!$B$6,1,0)))</f>
        <v/>
      </c>
      <c r="K192" s="35" t="str">
        <f aca="false">IF($A192="","",MOD(MONTH($A192)-Setup!$B$6+12,12)+1)</f>
        <v/>
      </c>
      <c r="L192" s="36" t="str">
        <f aca="false">IF($A192="","",TEXT($A192,"MMM-YY"))</f>
        <v/>
      </c>
      <c r="M192" s="37" t="str">
        <f aca="false">IF($A192="","",IF($Q192=0,"UNMAPPED",INDEX(COA_Mapping!$C$7:$C$256,$Q192)))</f>
        <v/>
      </c>
      <c r="N192" s="38" t="str">
        <f aca="false">IF($A192="","",IF($Q192=0,"",INDEX(COA_Mapping!$E$7:$E$256,$Q192)))</f>
        <v/>
      </c>
      <c r="O192" s="38" t="n">
        <f aca="false">IF($A192="",1,IF($Q192=0,1,INDEX(COA_Mapping!$F$7:$F$256,$Q192)))</f>
        <v>1</v>
      </c>
      <c r="P192" s="34" t="str">
        <f aca="false">IF($A192="","",$I192*$O192)</f>
        <v/>
      </c>
      <c r="Q192" s="39" t="n">
        <f aca="false">IF($B192="",0,IFERROR(MATCH($B192,COA_Mapping!$A$7:$A$256,0),0))</f>
        <v>0</v>
      </c>
      <c r="R192" s="39" t="n">
        <f aca="false">IF($A192="",-1,IF($J192=Setup!$B$7,1,IF($J192=Setup!$B$9,0,-1)))</f>
        <v>-1</v>
      </c>
      <c r="S192" s="35" t="n">
        <f aca="false">IF(OR($A192="",$Q192=0,$R192=-1),0,$Q192*1000+$R192*100+$K192)</f>
        <v>0</v>
      </c>
      <c r="T192" s="37" t="str">
        <f aca="false">IF($A192="","",IF($B192="","NO ACCOUNT",IF($Q192=0,"UNMAPPED",IF($R192=-1,"OUTSIDE FY RANGE","OK"))))</f>
        <v/>
      </c>
      <c r="U192" s="40" t="str">
        <f aca="false">IF($A192="","",$B192&amp;"|"&amp;TEXT($A192,"yyyymmdd")&amp;"|"&amp;TEXT($I192,"0.00"))</f>
        <v/>
      </c>
      <c r="V192" s="35" t="str">
        <f aca="false">IF($A192="","",COUNTIF($U$8:$U$5007,$U192))</f>
        <v/>
      </c>
    </row>
    <row r="193" customFormat="false" ht="15" hidden="false" customHeight="false" outlineLevel="0" collapsed="false">
      <c r="A193" s="31"/>
      <c r="B193" s="32"/>
      <c r="C193" s="32"/>
      <c r="D193" s="32"/>
      <c r="E193" s="32"/>
      <c r="F193" s="32"/>
      <c r="G193" s="33"/>
      <c r="H193" s="33"/>
      <c r="I193" s="34" t="str">
        <f aca="false">IF($A193="","",$G193-$H193)</f>
        <v/>
      </c>
      <c r="J193" s="35" t="str">
        <f aca="false">IF($A193="","",IF(Setup!$B$6=1,YEAR($A193),YEAR($A193)+IF(MONTH($A193)&gt;=Setup!$B$6,1,0)))</f>
        <v/>
      </c>
      <c r="K193" s="35" t="str">
        <f aca="false">IF($A193="","",MOD(MONTH($A193)-Setup!$B$6+12,12)+1)</f>
        <v/>
      </c>
      <c r="L193" s="36" t="str">
        <f aca="false">IF($A193="","",TEXT($A193,"MMM-YY"))</f>
        <v/>
      </c>
      <c r="M193" s="37" t="str">
        <f aca="false">IF($A193="","",IF($Q193=0,"UNMAPPED",INDEX(COA_Mapping!$C$7:$C$256,$Q193)))</f>
        <v/>
      </c>
      <c r="N193" s="38" t="str">
        <f aca="false">IF($A193="","",IF($Q193=0,"",INDEX(COA_Mapping!$E$7:$E$256,$Q193)))</f>
        <v/>
      </c>
      <c r="O193" s="38" t="n">
        <f aca="false">IF($A193="",1,IF($Q193=0,1,INDEX(COA_Mapping!$F$7:$F$256,$Q193)))</f>
        <v>1</v>
      </c>
      <c r="P193" s="34" t="str">
        <f aca="false">IF($A193="","",$I193*$O193)</f>
        <v/>
      </c>
      <c r="Q193" s="39" t="n">
        <f aca="false">IF($B193="",0,IFERROR(MATCH($B193,COA_Mapping!$A$7:$A$256,0),0))</f>
        <v>0</v>
      </c>
      <c r="R193" s="39" t="n">
        <f aca="false">IF($A193="",-1,IF($J193=Setup!$B$7,1,IF($J193=Setup!$B$9,0,-1)))</f>
        <v>-1</v>
      </c>
      <c r="S193" s="35" t="n">
        <f aca="false">IF(OR($A193="",$Q193=0,$R193=-1),0,$Q193*1000+$R193*100+$K193)</f>
        <v>0</v>
      </c>
      <c r="T193" s="37" t="str">
        <f aca="false">IF($A193="","",IF($B193="","NO ACCOUNT",IF($Q193=0,"UNMAPPED",IF($R193=-1,"OUTSIDE FY RANGE","OK"))))</f>
        <v/>
      </c>
      <c r="U193" s="40" t="str">
        <f aca="false">IF($A193="","",$B193&amp;"|"&amp;TEXT($A193,"yyyymmdd")&amp;"|"&amp;TEXT($I193,"0.00"))</f>
        <v/>
      </c>
      <c r="V193" s="35" t="str">
        <f aca="false">IF($A193="","",COUNTIF($U$8:$U$5007,$U193))</f>
        <v/>
      </c>
    </row>
    <row r="194" customFormat="false" ht="15" hidden="false" customHeight="false" outlineLevel="0" collapsed="false">
      <c r="A194" s="31"/>
      <c r="B194" s="32"/>
      <c r="C194" s="32"/>
      <c r="D194" s="32"/>
      <c r="E194" s="32"/>
      <c r="F194" s="32"/>
      <c r="G194" s="33"/>
      <c r="H194" s="33"/>
      <c r="I194" s="34" t="str">
        <f aca="false">IF($A194="","",$G194-$H194)</f>
        <v/>
      </c>
      <c r="J194" s="35" t="str">
        <f aca="false">IF($A194="","",IF(Setup!$B$6=1,YEAR($A194),YEAR($A194)+IF(MONTH($A194)&gt;=Setup!$B$6,1,0)))</f>
        <v/>
      </c>
      <c r="K194" s="35" t="str">
        <f aca="false">IF($A194="","",MOD(MONTH($A194)-Setup!$B$6+12,12)+1)</f>
        <v/>
      </c>
      <c r="L194" s="36" t="str">
        <f aca="false">IF($A194="","",TEXT($A194,"MMM-YY"))</f>
        <v/>
      </c>
      <c r="M194" s="37" t="str">
        <f aca="false">IF($A194="","",IF($Q194=0,"UNMAPPED",INDEX(COA_Mapping!$C$7:$C$256,$Q194)))</f>
        <v/>
      </c>
      <c r="N194" s="38" t="str">
        <f aca="false">IF($A194="","",IF($Q194=0,"",INDEX(COA_Mapping!$E$7:$E$256,$Q194)))</f>
        <v/>
      </c>
      <c r="O194" s="38" t="n">
        <f aca="false">IF($A194="",1,IF($Q194=0,1,INDEX(COA_Mapping!$F$7:$F$256,$Q194)))</f>
        <v>1</v>
      </c>
      <c r="P194" s="34" t="str">
        <f aca="false">IF($A194="","",$I194*$O194)</f>
        <v/>
      </c>
      <c r="Q194" s="39" t="n">
        <f aca="false">IF($B194="",0,IFERROR(MATCH($B194,COA_Mapping!$A$7:$A$256,0),0))</f>
        <v>0</v>
      </c>
      <c r="R194" s="39" t="n">
        <f aca="false">IF($A194="",-1,IF($J194=Setup!$B$7,1,IF($J194=Setup!$B$9,0,-1)))</f>
        <v>-1</v>
      </c>
      <c r="S194" s="35" t="n">
        <f aca="false">IF(OR($A194="",$Q194=0,$R194=-1),0,$Q194*1000+$R194*100+$K194)</f>
        <v>0</v>
      </c>
      <c r="T194" s="37" t="str">
        <f aca="false">IF($A194="","",IF($B194="","NO ACCOUNT",IF($Q194=0,"UNMAPPED",IF($R194=-1,"OUTSIDE FY RANGE","OK"))))</f>
        <v/>
      </c>
      <c r="U194" s="40" t="str">
        <f aca="false">IF($A194="","",$B194&amp;"|"&amp;TEXT($A194,"yyyymmdd")&amp;"|"&amp;TEXT($I194,"0.00"))</f>
        <v/>
      </c>
      <c r="V194" s="35" t="str">
        <f aca="false">IF($A194="","",COUNTIF($U$8:$U$5007,$U194))</f>
        <v/>
      </c>
    </row>
    <row r="195" customFormat="false" ht="15" hidden="false" customHeight="false" outlineLevel="0" collapsed="false">
      <c r="A195" s="31"/>
      <c r="B195" s="32"/>
      <c r="C195" s="32"/>
      <c r="D195" s="32"/>
      <c r="E195" s="32"/>
      <c r="F195" s="32"/>
      <c r="G195" s="33"/>
      <c r="H195" s="33"/>
      <c r="I195" s="34" t="str">
        <f aca="false">IF($A195="","",$G195-$H195)</f>
        <v/>
      </c>
      <c r="J195" s="35" t="str">
        <f aca="false">IF($A195="","",IF(Setup!$B$6=1,YEAR($A195),YEAR($A195)+IF(MONTH($A195)&gt;=Setup!$B$6,1,0)))</f>
        <v/>
      </c>
      <c r="K195" s="35" t="str">
        <f aca="false">IF($A195="","",MOD(MONTH($A195)-Setup!$B$6+12,12)+1)</f>
        <v/>
      </c>
      <c r="L195" s="36" t="str">
        <f aca="false">IF($A195="","",TEXT($A195,"MMM-YY"))</f>
        <v/>
      </c>
      <c r="M195" s="37" t="str">
        <f aca="false">IF($A195="","",IF($Q195=0,"UNMAPPED",INDEX(COA_Mapping!$C$7:$C$256,$Q195)))</f>
        <v/>
      </c>
      <c r="N195" s="38" t="str">
        <f aca="false">IF($A195="","",IF($Q195=0,"",INDEX(COA_Mapping!$E$7:$E$256,$Q195)))</f>
        <v/>
      </c>
      <c r="O195" s="38" t="n">
        <f aca="false">IF($A195="",1,IF($Q195=0,1,INDEX(COA_Mapping!$F$7:$F$256,$Q195)))</f>
        <v>1</v>
      </c>
      <c r="P195" s="34" t="str">
        <f aca="false">IF($A195="","",$I195*$O195)</f>
        <v/>
      </c>
      <c r="Q195" s="39" t="n">
        <f aca="false">IF($B195="",0,IFERROR(MATCH($B195,COA_Mapping!$A$7:$A$256,0),0))</f>
        <v>0</v>
      </c>
      <c r="R195" s="39" t="n">
        <f aca="false">IF($A195="",-1,IF($J195=Setup!$B$7,1,IF($J195=Setup!$B$9,0,-1)))</f>
        <v>-1</v>
      </c>
      <c r="S195" s="35" t="n">
        <f aca="false">IF(OR($A195="",$Q195=0,$R195=-1),0,$Q195*1000+$R195*100+$K195)</f>
        <v>0</v>
      </c>
      <c r="T195" s="37" t="str">
        <f aca="false">IF($A195="","",IF($B195="","NO ACCOUNT",IF($Q195=0,"UNMAPPED",IF($R195=-1,"OUTSIDE FY RANGE","OK"))))</f>
        <v/>
      </c>
      <c r="U195" s="40" t="str">
        <f aca="false">IF($A195="","",$B195&amp;"|"&amp;TEXT($A195,"yyyymmdd")&amp;"|"&amp;TEXT($I195,"0.00"))</f>
        <v/>
      </c>
      <c r="V195" s="35" t="str">
        <f aca="false">IF($A195="","",COUNTIF($U$8:$U$5007,$U195))</f>
        <v/>
      </c>
    </row>
    <row r="196" customFormat="false" ht="15" hidden="false" customHeight="false" outlineLevel="0" collapsed="false">
      <c r="A196" s="31"/>
      <c r="B196" s="32"/>
      <c r="C196" s="32"/>
      <c r="D196" s="32"/>
      <c r="E196" s="32"/>
      <c r="F196" s="32"/>
      <c r="G196" s="33"/>
      <c r="H196" s="33"/>
      <c r="I196" s="34" t="str">
        <f aca="false">IF($A196="","",$G196-$H196)</f>
        <v/>
      </c>
      <c r="J196" s="35" t="str">
        <f aca="false">IF($A196="","",IF(Setup!$B$6=1,YEAR($A196),YEAR($A196)+IF(MONTH($A196)&gt;=Setup!$B$6,1,0)))</f>
        <v/>
      </c>
      <c r="K196" s="35" t="str">
        <f aca="false">IF($A196="","",MOD(MONTH($A196)-Setup!$B$6+12,12)+1)</f>
        <v/>
      </c>
      <c r="L196" s="36" t="str">
        <f aca="false">IF($A196="","",TEXT($A196,"MMM-YY"))</f>
        <v/>
      </c>
      <c r="M196" s="37" t="str">
        <f aca="false">IF($A196="","",IF($Q196=0,"UNMAPPED",INDEX(COA_Mapping!$C$7:$C$256,$Q196)))</f>
        <v/>
      </c>
      <c r="N196" s="38" t="str">
        <f aca="false">IF($A196="","",IF($Q196=0,"",INDEX(COA_Mapping!$E$7:$E$256,$Q196)))</f>
        <v/>
      </c>
      <c r="O196" s="38" t="n">
        <f aca="false">IF($A196="",1,IF($Q196=0,1,INDEX(COA_Mapping!$F$7:$F$256,$Q196)))</f>
        <v>1</v>
      </c>
      <c r="P196" s="34" t="str">
        <f aca="false">IF($A196="","",$I196*$O196)</f>
        <v/>
      </c>
      <c r="Q196" s="39" t="n">
        <f aca="false">IF($B196="",0,IFERROR(MATCH($B196,COA_Mapping!$A$7:$A$256,0),0))</f>
        <v>0</v>
      </c>
      <c r="R196" s="39" t="n">
        <f aca="false">IF($A196="",-1,IF($J196=Setup!$B$7,1,IF($J196=Setup!$B$9,0,-1)))</f>
        <v>-1</v>
      </c>
      <c r="S196" s="35" t="n">
        <f aca="false">IF(OR($A196="",$Q196=0,$R196=-1),0,$Q196*1000+$R196*100+$K196)</f>
        <v>0</v>
      </c>
      <c r="T196" s="37" t="str">
        <f aca="false">IF($A196="","",IF($B196="","NO ACCOUNT",IF($Q196=0,"UNMAPPED",IF($R196=-1,"OUTSIDE FY RANGE","OK"))))</f>
        <v/>
      </c>
      <c r="U196" s="40" t="str">
        <f aca="false">IF($A196="","",$B196&amp;"|"&amp;TEXT($A196,"yyyymmdd")&amp;"|"&amp;TEXT($I196,"0.00"))</f>
        <v/>
      </c>
      <c r="V196" s="35" t="str">
        <f aca="false">IF($A196="","",COUNTIF($U$8:$U$5007,$U196))</f>
        <v/>
      </c>
    </row>
    <row r="197" customFormat="false" ht="15" hidden="false" customHeight="false" outlineLevel="0" collapsed="false">
      <c r="A197" s="31"/>
      <c r="B197" s="32"/>
      <c r="C197" s="32"/>
      <c r="D197" s="32"/>
      <c r="E197" s="32"/>
      <c r="F197" s="32"/>
      <c r="G197" s="33"/>
      <c r="H197" s="33"/>
      <c r="I197" s="34" t="str">
        <f aca="false">IF($A197="","",$G197-$H197)</f>
        <v/>
      </c>
      <c r="J197" s="35" t="str">
        <f aca="false">IF($A197="","",IF(Setup!$B$6=1,YEAR($A197),YEAR($A197)+IF(MONTH($A197)&gt;=Setup!$B$6,1,0)))</f>
        <v/>
      </c>
      <c r="K197" s="35" t="str">
        <f aca="false">IF($A197="","",MOD(MONTH($A197)-Setup!$B$6+12,12)+1)</f>
        <v/>
      </c>
      <c r="L197" s="36" t="str">
        <f aca="false">IF($A197="","",TEXT($A197,"MMM-YY"))</f>
        <v/>
      </c>
      <c r="M197" s="37" t="str">
        <f aca="false">IF($A197="","",IF($Q197=0,"UNMAPPED",INDEX(COA_Mapping!$C$7:$C$256,$Q197)))</f>
        <v/>
      </c>
      <c r="N197" s="38" t="str">
        <f aca="false">IF($A197="","",IF($Q197=0,"",INDEX(COA_Mapping!$E$7:$E$256,$Q197)))</f>
        <v/>
      </c>
      <c r="O197" s="38" t="n">
        <f aca="false">IF($A197="",1,IF($Q197=0,1,INDEX(COA_Mapping!$F$7:$F$256,$Q197)))</f>
        <v>1</v>
      </c>
      <c r="P197" s="34" t="str">
        <f aca="false">IF($A197="","",$I197*$O197)</f>
        <v/>
      </c>
      <c r="Q197" s="39" t="n">
        <f aca="false">IF($B197="",0,IFERROR(MATCH($B197,COA_Mapping!$A$7:$A$256,0),0))</f>
        <v>0</v>
      </c>
      <c r="R197" s="39" t="n">
        <f aca="false">IF($A197="",-1,IF($J197=Setup!$B$7,1,IF($J197=Setup!$B$9,0,-1)))</f>
        <v>-1</v>
      </c>
      <c r="S197" s="35" t="n">
        <f aca="false">IF(OR($A197="",$Q197=0,$R197=-1),0,$Q197*1000+$R197*100+$K197)</f>
        <v>0</v>
      </c>
      <c r="T197" s="37" t="str">
        <f aca="false">IF($A197="","",IF($B197="","NO ACCOUNT",IF($Q197=0,"UNMAPPED",IF($R197=-1,"OUTSIDE FY RANGE","OK"))))</f>
        <v/>
      </c>
      <c r="U197" s="40" t="str">
        <f aca="false">IF($A197="","",$B197&amp;"|"&amp;TEXT($A197,"yyyymmdd")&amp;"|"&amp;TEXT($I197,"0.00"))</f>
        <v/>
      </c>
      <c r="V197" s="35" t="str">
        <f aca="false">IF($A197="","",COUNTIF($U$8:$U$5007,$U197))</f>
        <v/>
      </c>
    </row>
    <row r="198" customFormat="false" ht="15" hidden="false" customHeight="false" outlineLevel="0" collapsed="false">
      <c r="A198" s="31"/>
      <c r="B198" s="32"/>
      <c r="C198" s="32"/>
      <c r="D198" s="32"/>
      <c r="E198" s="32"/>
      <c r="F198" s="32"/>
      <c r="G198" s="33"/>
      <c r="H198" s="33"/>
      <c r="I198" s="34" t="str">
        <f aca="false">IF($A198="","",$G198-$H198)</f>
        <v/>
      </c>
      <c r="J198" s="35" t="str">
        <f aca="false">IF($A198="","",IF(Setup!$B$6=1,YEAR($A198),YEAR($A198)+IF(MONTH($A198)&gt;=Setup!$B$6,1,0)))</f>
        <v/>
      </c>
      <c r="K198" s="35" t="str">
        <f aca="false">IF($A198="","",MOD(MONTH($A198)-Setup!$B$6+12,12)+1)</f>
        <v/>
      </c>
      <c r="L198" s="36" t="str">
        <f aca="false">IF($A198="","",TEXT($A198,"MMM-YY"))</f>
        <v/>
      </c>
      <c r="M198" s="37" t="str">
        <f aca="false">IF($A198="","",IF($Q198=0,"UNMAPPED",INDEX(COA_Mapping!$C$7:$C$256,$Q198)))</f>
        <v/>
      </c>
      <c r="N198" s="38" t="str">
        <f aca="false">IF($A198="","",IF($Q198=0,"",INDEX(COA_Mapping!$E$7:$E$256,$Q198)))</f>
        <v/>
      </c>
      <c r="O198" s="38" t="n">
        <f aca="false">IF($A198="",1,IF($Q198=0,1,INDEX(COA_Mapping!$F$7:$F$256,$Q198)))</f>
        <v>1</v>
      </c>
      <c r="P198" s="34" t="str">
        <f aca="false">IF($A198="","",$I198*$O198)</f>
        <v/>
      </c>
      <c r="Q198" s="39" t="n">
        <f aca="false">IF($B198="",0,IFERROR(MATCH($B198,COA_Mapping!$A$7:$A$256,0),0))</f>
        <v>0</v>
      </c>
      <c r="R198" s="39" t="n">
        <f aca="false">IF($A198="",-1,IF($J198=Setup!$B$7,1,IF($J198=Setup!$B$9,0,-1)))</f>
        <v>-1</v>
      </c>
      <c r="S198" s="35" t="n">
        <f aca="false">IF(OR($A198="",$Q198=0,$R198=-1),0,$Q198*1000+$R198*100+$K198)</f>
        <v>0</v>
      </c>
      <c r="T198" s="37" t="str">
        <f aca="false">IF($A198="","",IF($B198="","NO ACCOUNT",IF($Q198=0,"UNMAPPED",IF($R198=-1,"OUTSIDE FY RANGE","OK"))))</f>
        <v/>
      </c>
      <c r="U198" s="40" t="str">
        <f aca="false">IF($A198="","",$B198&amp;"|"&amp;TEXT($A198,"yyyymmdd")&amp;"|"&amp;TEXT($I198,"0.00"))</f>
        <v/>
      </c>
      <c r="V198" s="35" t="str">
        <f aca="false">IF($A198="","",COUNTIF($U$8:$U$5007,$U198))</f>
        <v/>
      </c>
    </row>
    <row r="199" customFormat="false" ht="15" hidden="false" customHeight="false" outlineLevel="0" collapsed="false">
      <c r="A199" s="31"/>
      <c r="B199" s="32"/>
      <c r="C199" s="32"/>
      <c r="D199" s="32"/>
      <c r="E199" s="32"/>
      <c r="F199" s="32"/>
      <c r="G199" s="33"/>
      <c r="H199" s="33"/>
      <c r="I199" s="34" t="str">
        <f aca="false">IF($A199="","",$G199-$H199)</f>
        <v/>
      </c>
      <c r="J199" s="35" t="str">
        <f aca="false">IF($A199="","",IF(Setup!$B$6=1,YEAR($A199),YEAR($A199)+IF(MONTH($A199)&gt;=Setup!$B$6,1,0)))</f>
        <v/>
      </c>
      <c r="K199" s="35" t="str">
        <f aca="false">IF($A199="","",MOD(MONTH($A199)-Setup!$B$6+12,12)+1)</f>
        <v/>
      </c>
      <c r="L199" s="36" t="str">
        <f aca="false">IF($A199="","",TEXT($A199,"MMM-YY"))</f>
        <v/>
      </c>
      <c r="M199" s="37" t="str">
        <f aca="false">IF($A199="","",IF($Q199=0,"UNMAPPED",INDEX(COA_Mapping!$C$7:$C$256,$Q199)))</f>
        <v/>
      </c>
      <c r="N199" s="38" t="str">
        <f aca="false">IF($A199="","",IF($Q199=0,"",INDEX(COA_Mapping!$E$7:$E$256,$Q199)))</f>
        <v/>
      </c>
      <c r="O199" s="38" t="n">
        <f aca="false">IF($A199="",1,IF($Q199=0,1,INDEX(COA_Mapping!$F$7:$F$256,$Q199)))</f>
        <v>1</v>
      </c>
      <c r="P199" s="34" t="str">
        <f aca="false">IF($A199="","",$I199*$O199)</f>
        <v/>
      </c>
      <c r="Q199" s="39" t="n">
        <f aca="false">IF($B199="",0,IFERROR(MATCH($B199,COA_Mapping!$A$7:$A$256,0),0))</f>
        <v>0</v>
      </c>
      <c r="R199" s="39" t="n">
        <f aca="false">IF($A199="",-1,IF($J199=Setup!$B$7,1,IF($J199=Setup!$B$9,0,-1)))</f>
        <v>-1</v>
      </c>
      <c r="S199" s="35" t="n">
        <f aca="false">IF(OR($A199="",$Q199=0,$R199=-1),0,$Q199*1000+$R199*100+$K199)</f>
        <v>0</v>
      </c>
      <c r="T199" s="37" t="str">
        <f aca="false">IF($A199="","",IF($B199="","NO ACCOUNT",IF($Q199=0,"UNMAPPED",IF($R199=-1,"OUTSIDE FY RANGE","OK"))))</f>
        <v/>
      </c>
      <c r="U199" s="40" t="str">
        <f aca="false">IF($A199="","",$B199&amp;"|"&amp;TEXT($A199,"yyyymmdd")&amp;"|"&amp;TEXT($I199,"0.00"))</f>
        <v/>
      </c>
      <c r="V199" s="35" t="str">
        <f aca="false">IF($A199="","",COUNTIF($U$8:$U$5007,$U199))</f>
        <v/>
      </c>
    </row>
    <row r="200" customFormat="false" ht="15" hidden="false" customHeight="false" outlineLevel="0" collapsed="false">
      <c r="A200" s="31"/>
      <c r="B200" s="32"/>
      <c r="C200" s="32"/>
      <c r="D200" s="32"/>
      <c r="E200" s="32"/>
      <c r="F200" s="32"/>
      <c r="G200" s="33"/>
      <c r="H200" s="33"/>
      <c r="I200" s="34" t="str">
        <f aca="false">IF($A200="","",$G200-$H200)</f>
        <v/>
      </c>
      <c r="J200" s="35" t="str">
        <f aca="false">IF($A200="","",IF(Setup!$B$6=1,YEAR($A200),YEAR($A200)+IF(MONTH($A200)&gt;=Setup!$B$6,1,0)))</f>
        <v/>
      </c>
      <c r="K200" s="35" t="str">
        <f aca="false">IF($A200="","",MOD(MONTH($A200)-Setup!$B$6+12,12)+1)</f>
        <v/>
      </c>
      <c r="L200" s="36" t="str">
        <f aca="false">IF($A200="","",TEXT($A200,"MMM-YY"))</f>
        <v/>
      </c>
      <c r="M200" s="37" t="str">
        <f aca="false">IF($A200="","",IF($Q200=0,"UNMAPPED",INDEX(COA_Mapping!$C$7:$C$256,$Q200)))</f>
        <v/>
      </c>
      <c r="N200" s="38" t="str">
        <f aca="false">IF($A200="","",IF($Q200=0,"",INDEX(COA_Mapping!$E$7:$E$256,$Q200)))</f>
        <v/>
      </c>
      <c r="O200" s="38" t="n">
        <f aca="false">IF($A200="",1,IF($Q200=0,1,INDEX(COA_Mapping!$F$7:$F$256,$Q200)))</f>
        <v>1</v>
      </c>
      <c r="P200" s="34" t="str">
        <f aca="false">IF($A200="","",$I200*$O200)</f>
        <v/>
      </c>
      <c r="Q200" s="39" t="n">
        <f aca="false">IF($B200="",0,IFERROR(MATCH($B200,COA_Mapping!$A$7:$A$256,0),0))</f>
        <v>0</v>
      </c>
      <c r="R200" s="39" t="n">
        <f aca="false">IF($A200="",-1,IF($J200=Setup!$B$7,1,IF($J200=Setup!$B$9,0,-1)))</f>
        <v>-1</v>
      </c>
      <c r="S200" s="35" t="n">
        <f aca="false">IF(OR($A200="",$Q200=0,$R200=-1),0,$Q200*1000+$R200*100+$K200)</f>
        <v>0</v>
      </c>
      <c r="T200" s="37" t="str">
        <f aca="false">IF($A200="","",IF($B200="","NO ACCOUNT",IF($Q200=0,"UNMAPPED",IF($R200=-1,"OUTSIDE FY RANGE","OK"))))</f>
        <v/>
      </c>
      <c r="U200" s="40" t="str">
        <f aca="false">IF($A200="","",$B200&amp;"|"&amp;TEXT($A200,"yyyymmdd")&amp;"|"&amp;TEXT($I200,"0.00"))</f>
        <v/>
      </c>
      <c r="V200" s="35" t="str">
        <f aca="false">IF($A200="","",COUNTIF($U$8:$U$5007,$U200))</f>
        <v/>
      </c>
    </row>
    <row r="201" customFormat="false" ht="15" hidden="false" customHeight="false" outlineLevel="0" collapsed="false">
      <c r="A201" s="31"/>
      <c r="B201" s="32"/>
      <c r="C201" s="32"/>
      <c r="D201" s="32"/>
      <c r="E201" s="32"/>
      <c r="F201" s="32"/>
      <c r="G201" s="33"/>
      <c r="H201" s="33"/>
      <c r="I201" s="34" t="str">
        <f aca="false">IF($A201="","",$G201-$H201)</f>
        <v/>
      </c>
      <c r="J201" s="35" t="str">
        <f aca="false">IF($A201="","",IF(Setup!$B$6=1,YEAR($A201),YEAR($A201)+IF(MONTH($A201)&gt;=Setup!$B$6,1,0)))</f>
        <v/>
      </c>
      <c r="K201" s="35" t="str">
        <f aca="false">IF($A201="","",MOD(MONTH($A201)-Setup!$B$6+12,12)+1)</f>
        <v/>
      </c>
      <c r="L201" s="36" t="str">
        <f aca="false">IF($A201="","",TEXT($A201,"MMM-YY"))</f>
        <v/>
      </c>
      <c r="M201" s="37" t="str">
        <f aca="false">IF($A201="","",IF($Q201=0,"UNMAPPED",INDEX(COA_Mapping!$C$7:$C$256,$Q201)))</f>
        <v/>
      </c>
      <c r="N201" s="38" t="str">
        <f aca="false">IF($A201="","",IF($Q201=0,"",INDEX(COA_Mapping!$E$7:$E$256,$Q201)))</f>
        <v/>
      </c>
      <c r="O201" s="38" t="n">
        <f aca="false">IF($A201="",1,IF($Q201=0,1,INDEX(COA_Mapping!$F$7:$F$256,$Q201)))</f>
        <v>1</v>
      </c>
      <c r="P201" s="34" t="str">
        <f aca="false">IF($A201="","",$I201*$O201)</f>
        <v/>
      </c>
      <c r="Q201" s="39" t="n">
        <f aca="false">IF($B201="",0,IFERROR(MATCH($B201,COA_Mapping!$A$7:$A$256,0),0))</f>
        <v>0</v>
      </c>
      <c r="R201" s="39" t="n">
        <f aca="false">IF($A201="",-1,IF($J201=Setup!$B$7,1,IF($J201=Setup!$B$9,0,-1)))</f>
        <v>-1</v>
      </c>
      <c r="S201" s="35" t="n">
        <f aca="false">IF(OR($A201="",$Q201=0,$R201=-1),0,$Q201*1000+$R201*100+$K201)</f>
        <v>0</v>
      </c>
      <c r="T201" s="37" t="str">
        <f aca="false">IF($A201="","",IF($B201="","NO ACCOUNT",IF($Q201=0,"UNMAPPED",IF($R201=-1,"OUTSIDE FY RANGE","OK"))))</f>
        <v/>
      </c>
      <c r="U201" s="40" t="str">
        <f aca="false">IF($A201="","",$B201&amp;"|"&amp;TEXT($A201,"yyyymmdd")&amp;"|"&amp;TEXT($I201,"0.00"))</f>
        <v/>
      </c>
      <c r="V201" s="35" t="str">
        <f aca="false">IF($A201="","",COUNTIF($U$8:$U$5007,$U201))</f>
        <v/>
      </c>
    </row>
    <row r="202" customFormat="false" ht="15" hidden="false" customHeight="false" outlineLevel="0" collapsed="false">
      <c r="A202" s="31"/>
      <c r="B202" s="32"/>
      <c r="C202" s="32"/>
      <c r="D202" s="32"/>
      <c r="E202" s="32"/>
      <c r="F202" s="32"/>
      <c r="G202" s="33"/>
      <c r="H202" s="33"/>
      <c r="I202" s="34" t="str">
        <f aca="false">IF($A202="","",$G202-$H202)</f>
        <v/>
      </c>
      <c r="J202" s="35" t="str">
        <f aca="false">IF($A202="","",IF(Setup!$B$6=1,YEAR($A202),YEAR($A202)+IF(MONTH($A202)&gt;=Setup!$B$6,1,0)))</f>
        <v/>
      </c>
      <c r="K202" s="35" t="str">
        <f aca="false">IF($A202="","",MOD(MONTH($A202)-Setup!$B$6+12,12)+1)</f>
        <v/>
      </c>
      <c r="L202" s="36" t="str">
        <f aca="false">IF($A202="","",TEXT($A202,"MMM-YY"))</f>
        <v/>
      </c>
      <c r="M202" s="37" t="str">
        <f aca="false">IF($A202="","",IF($Q202=0,"UNMAPPED",INDEX(COA_Mapping!$C$7:$C$256,$Q202)))</f>
        <v/>
      </c>
      <c r="N202" s="38" t="str">
        <f aca="false">IF($A202="","",IF($Q202=0,"",INDEX(COA_Mapping!$E$7:$E$256,$Q202)))</f>
        <v/>
      </c>
      <c r="O202" s="38" t="n">
        <f aca="false">IF($A202="",1,IF($Q202=0,1,INDEX(COA_Mapping!$F$7:$F$256,$Q202)))</f>
        <v>1</v>
      </c>
      <c r="P202" s="34" t="str">
        <f aca="false">IF($A202="","",$I202*$O202)</f>
        <v/>
      </c>
      <c r="Q202" s="39" t="n">
        <f aca="false">IF($B202="",0,IFERROR(MATCH($B202,COA_Mapping!$A$7:$A$256,0),0))</f>
        <v>0</v>
      </c>
      <c r="R202" s="39" t="n">
        <f aca="false">IF($A202="",-1,IF($J202=Setup!$B$7,1,IF($J202=Setup!$B$9,0,-1)))</f>
        <v>-1</v>
      </c>
      <c r="S202" s="35" t="n">
        <f aca="false">IF(OR($A202="",$Q202=0,$R202=-1),0,$Q202*1000+$R202*100+$K202)</f>
        <v>0</v>
      </c>
      <c r="T202" s="37" t="str">
        <f aca="false">IF($A202="","",IF($B202="","NO ACCOUNT",IF($Q202=0,"UNMAPPED",IF($R202=-1,"OUTSIDE FY RANGE","OK"))))</f>
        <v/>
      </c>
      <c r="U202" s="40" t="str">
        <f aca="false">IF($A202="","",$B202&amp;"|"&amp;TEXT($A202,"yyyymmdd")&amp;"|"&amp;TEXT($I202,"0.00"))</f>
        <v/>
      </c>
      <c r="V202" s="35" t="str">
        <f aca="false">IF($A202="","",COUNTIF($U$8:$U$5007,$U202))</f>
        <v/>
      </c>
    </row>
    <row r="203" customFormat="false" ht="15" hidden="false" customHeight="false" outlineLevel="0" collapsed="false">
      <c r="A203" s="31"/>
      <c r="B203" s="32"/>
      <c r="C203" s="32"/>
      <c r="D203" s="32"/>
      <c r="E203" s="32"/>
      <c r="F203" s="32"/>
      <c r="G203" s="33"/>
      <c r="H203" s="33"/>
      <c r="I203" s="34" t="str">
        <f aca="false">IF($A203="","",$G203-$H203)</f>
        <v/>
      </c>
      <c r="J203" s="35" t="str">
        <f aca="false">IF($A203="","",IF(Setup!$B$6=1,YEAR($A203),YEAR($A203)+IF(MONTH($A203)&gt;=Setup!$B$6,1,0)))</f>
        <v/>
      </c>
      <c r="K203" s="35" t="str">
        <f aca="false">IF($A203="","",MOD(MONTH($A203)-Setup!$B$6+12,12)+1)</f>
        <v/>
      </c>
      <c r="L203" s="36" t="str">
        <f aca="false">IF($A203="","",TEXT($A203,"MMM-YY"))</f>
        <v/>
      </c>
      <c r="M203" s="37" t="str">
        <f aca="false">IF($A203="","",IF($Q203=0,"UNMAPPED",INDEX(COA_Mapping!$C$7:$C$256,$Q203)))</f>
        <v/>
      </c>
      <c r="N203" s="38" t="str">
        <f aca="false">IF($A203="","",IF($Q203=0,"",INDEX(COA_Mapping!$E$7:$E$256,$Q203)))</f>
        <v/>
      </c>
      <c r="O203" s="38" t="n">
        <f aca="false">IF($A203="",1,IF($Q203=0,1,INDEX(COA_Mapping!$F$7:$F$256,$Q203)))</f>
        <v>1</v>
      </c>
      <c r="P203" s="34" t="str">
        <f aca="false">IF($A203="","",$I203*$O203)</f>
        <v/>
      </c>
      <c r="Q203" s="39" t="n">
        <f aca="false">IF($B203="",0,IFERROR(MATCH($B203,COA_Mapping!$A$7:$A$256,0),0))</f>
        <v>0</v>
      </c>
      <c r="R203" s="39" t="n">
        <f aca="false">IF($A203="",-1,IF($J203=Setup!$B$7,1,IF($J203=Setup!$B$9,0,-1)))</f>
        <v>-1</v>
      </c>
      <c r="S203" s="35" t="n">
        <f aca="false">IF(OR($A203="",$Q203=0,$R203=-1),0,$Q203*1000+$R203*100+$K203)</f>
        <v>0</v>
      </c>
      <c r="T203" s="37" t="str">
        <f aca="false">IF($A203="","",IF($B203="","NO ACCOUNT",IF($Q203=0,"UNMAPPED",IF($R203=-1,"OUTSIDE FY RANGE","OK"))))</f>
        <v/>
      </c>
      <c r="U203" s="40" t="str">
        <f aca="false">IF($A203="","",$B203&amp;"|"&amp;TEXT($A203,"yyyymmdd")&amp;"|"&amp;TEXT($I203,"0.00"))</f>
        <v/>
      </c>
      <c r="V203" s="35" t="str">
        <f aca="false">IF($A203="","",COUNTIF($U$8:$U$5007,$U203))</f>
        <v/>
      </c>
    </row>
    <row r="204" customFormat="false" ht="15" hidden="false" customHeight="false" outlineLevel="0" collapsed="false">
      <c r="A204" s="31"/>
      <c r="B204" s="32"/>
      <c r="C204" s="32"/>
      <c r="D204" s="32"/>
      <c r="E204" s="32"/>
      <c r="F204" s="32"/>
      <c r="G204" s="33"/>
      <c r="H204" s="33"/>
      <c r="I204" s="34" t="str">
        <f aca="false">IF($A204="","",$G204-$H204)</f>
        <v/>
      </c>
      <c r="J204" s="35" t="str">
        <f aca="false">IF($A204="","",IF(Setup!$B$6=1,YEAR($A204),YEAR($A204)+IF(MONTH($A204)&gt;=Setup!$B$6,1,0)))</f>
        <v/>
      </c>
      <c r="K204" s="35" t="str">
        <f aca="false">IF($A204="","",MOD(MONTH($A204)-Setup!$B$6+12,12)+1)</f>
        <v/>
      </c>
      <c r="L204" s="36" t="str">
        <f aca="false">IF($A204="","",TEXT($A204,"MMM-YY"))</f>
        <v/>
      </c>
      <c r="M204" s="37" t="str">
        <f aca="false">IF($A204="","",IF($Q204=0,"UNMAPPED",INDEX(COA_Mapping!$C$7:$C$256,$Q204)))</f>
        <v/>
      </c>
      <c r="N204" s="38" t="str">
        <f aca="false">IF($A204="","",IF($Q204=0,"",INDEX(COA_Mapping!$E$7:$E$256,$Q204)))</f>
        <v/>
      </c>
      <c r="O204" s="38" t="n">
        <f aca="false">IF($A204="",1,IF($Q204=0,1,INDEX(COA_Mapping!$F$7:$F$256,$Q204)))</f>
        <v>1</v>
      </c>
      <c r="P204" s="34" t="str">
        <f aca="false">IF($A204="","",$I204*$O204)</f>
        <v/>
      </c>
      <c r="Q204" s="39" t="n">
        <f aca="false">IF($B204="",0,IFERROR(MATCH($B204,COA_Mapping!$A$7:$A$256,0),0))</f>
        <v>0</v>
      </c>
      <c r="R204" s="39" t="n">
        <f aca="false">IF($A204="",-1,IF($J204=Setup!$B$7,1,IF($J204=Setup!$B$9,0,-1)))</f>
        <v>-1</v>
      </c>
      <c r="S204" s="35" t="n">
        <f aca="false">IF(OR($A204="",$Q204=0,$R204=-1),0,$Q204*1000+$R204*100+$K204)</f>
        <v>0</v>
      </c>
      <c r="T204" s="37" t="str">
        <f aca="false">IF($A204="","",IF($B204="","NO ACCOUNT",IF($Q204=0,"UNMAPPED",IF($R204=-1,"OUTSIDE FY RANGE","OK"))))</f>
        <v/>
      </c>
      <c r="U204" s="40" t="str">
        <f aca="false">IF($A204="","",$B204&amp;"|"&amp;TEXT($A204,"yyyymmdd")&amp;"|"&amp;TEXT($I204,"0.00"))</f>
        <v/>
      </c>
      <c r="V204" s="35" t="str">
        <f aca="false">IF($A204="","",COUNTIF($U$8:$U$5007,$U204))</f>
        <v/>
      </c>
    </row>
    <row r="205" customFormat="false" ht="15" hidden="false" customHeight="false" outlineLevel="0" collapsed="false">
      <c r="A205" s="31"/>
      <c r="B205" s="32"/>
      <c r="C205" s="32"/>
      <c r="D205" s="32"/>
      <c r="E205" s="32"/>
      <c r="F205" s="32"/>
      <c r="G205" s="33"/>
      <c r="H205" s="33"/>
      <c r="I205" s="34" t="str">
        <f aca="false">IF($A205="","",$G205-$H205)</f>
        <v/>
      </c>
      <c r="J205" s="35" t="str">
        <f aca="false">IF($A205="","",IF(Setup!$B$6=1,YEAR($A205),YEAR($A205)+IF(MONTH($A205)&gt;=Setup!$B$6,1,0)))</f>
        <v/>
      </c>
      <c r="K205" s="35" t="str">
        <f aca="false">IF($A205="","",MOD(MONTH($A205)-Setup!$B$6+12,12)+1)</f>
        <v/>
      </c>
      <c r="L205" s="36" t="str">
        <f aca="false">IF($A205="","",TEXT($A205,"MMM-YY"))</f>
        <v/>
      </c>
      <c r="M205" s="37" t="str">
        <f aca="false">IF($A205="","",IF($Q205=0,"UNMAPPED",INDEX(COA_Mapping!$C$7:$C$256,$Q205)))</f>
        <v/>
      </c>
      <c r="N205" s="38" t="str">
        <f aca="false">IF($A205="","",IF($Q205=0,"",INDEX(COA_Mapping!$E$7:$E$256,$Q205)))</f>
        <v/>
      </c>
      <c r="O205" s="38" t="n">
        <f aca="false">IF($A205="",1,IF($Q205=0,1,INDEX(COA_Mapping!$F$7:$F$256,$Q205)))</f>
        <v>1</v>
      </c>
      <c r="P205" s="34" t="str">
        <f aca="false">IF($A205="","",$I205*$O205)</f>
        <v/>
      </c>
      <c r="Q205" s="39" t="n">
        <f aca="false">IF($B205="",0,IFERROR(MATCH($B205,COA_Mapping!$A$7:$A$256,0),0))</f>
        <v>0</v>
      </c>
      <c r="R205" s="39" t="n">
        <f aca="false">IF($A205="",-1,IF($J205=Setup!$B$7,1,IF($J205=Setup!$B$9,0,-1)))</f>
        <v>-1</v>
      </c>
      <c r="S205" s="35" t="n">
        <f aca="false">IF(OR($A205="",$Q205=0,$R205=-1),0,$Q205*1000+$R205*100+$K205)</f>
        <v>0</v>
      </c>
      <c r="T205" s="37" t="str">
        <f aca="false">IF($A205="","",IF($B205="","NO ACCOUNT",IF($Q205=0,"UNMAPPED",IF($R205=-1,"OUTSIDE FY RANGE","OK"))))</f>
        <v/>
      </c>
      <c r="U205" s="40" t="str">
        <f aca="false">IF($A205="","",$B205&amp;"|"&amp;TEXT($A205,"yyyymmdd")&amp;"|"&amp;TEXT($I205,"0.00"))</f>
        <v/>
      </c>
      <c r="V205" s="35" t="str">
        <f aca="false">IF($A205="","",COUNTIF($U$8:$U$5007,$U205))</f>
        <v/>
      </c>
    </row>
    <row r="206" customFormat="false" ht="15" hidden="false" customHeight="false" outlineLevel="0" collapsed="false">
      <c r="A206" s="31"/>
      <c r="B206" s="32"/>
      <c r="C206" s="32"/>
      <c r="D206" s="32"/>
      <c r="E206" s="32"/>
      <c r="F206" s="32"/>
      <c r="G206" s="33"/>
      <c r="H206" s="33"/>
      <c r="I206" s="34" t="str">
        <f aca="false">IF($A206="","",$G206-$H206)</f>
        <v/>
      </c>
      <c r="J206" s="35" t="str">
        <f aca="false">IF($A206="","",IF(Setup!$B$6=1,YEAR($A206),YEAR($A206)+IF(MONTH($A206)&gt;=Setup!$B$6,1,0)))</f>
        <v/>
      </c>
      <c r="K206" s="35" t="str">
        <f aca="false">IF($A206="","",MOD(MONTH($A206)-Setup!$B$6+12,12)+1)</f>
        <v/>
      </c>
      <c r="L206" s="36" t="str">
        <f aca="false">IF($A206="","",TEXT($A206,"MMM-YY"))</f>
        <v/>
      </c>
      <c r="M206" s="37" t="str">
        <f aca="false">IF($A206="","",IF($Q206=0,"UNMAPPED",INDEX(COA_Mapping!$C$7:$C$256,$Q206)))</f>
        <v/>
      </c>
      <c r="N206" s="38" t="str">
        <f aca="false">IF($A206="","",IF($Q206=0,"",INDEX(COA_Mapping!$E$7:$E$256,$Q206)))</f>
        <v/>
      </c>
      <c r="O206" s="38" t="n">
        <f aca="false">IF($A206="",1,IF($Q206=0,1,INDEX(COA_Mapping!$F$7:$F$256,$Q206)))</f>
        <v>1</v>
      </c>
      <c r="P206" s="34" t="str">
        <f aca="false">IF($A206="","",$I206*$O206)</f>
        <v/>
      </c>
      <c r="Q206" s="39" t="n">
        <f aca="false">IF($B206="",0,IFERROR(MATCH($B206,COA_Mapping!$A$7:$A$256,0),0))</f>
        <v>0</v>
      </c>
      <c r="R206" s="39" t="n">
        <f aca="false">IF($A206="",-1,IF($J206=Setup!$B$7,1,IF($J206=Setup!$B$9,0,-1)))</f>
        <v>-1</v>
      </c>
      <c r="S206" s="35" t="n">
        <f aca="false">IF(OR($A206="",$Q206=0,$R206=-1),0,$Q206*1000+$R206*100+$K206)</f>
        <v>0</v>
      </c>
      <c r="T206" s="37" t="str">
        <f aca="false">IF($A206="","",IF($B206="","NO ACCOUNT",IF($Q206=0,"UNMAPPED",IF($R206=-1,"OUTSIDE FY RANGE","OK"))))</f>
        <v/>
      </c>
      <c r="U206" s="40" t="str">
        <f aca="false">IF($A206="","",$B206&amp;"|"&amp;TEXT($A206,"yyyymmdd")&amp;"|"&amp;TEXT($I206,"0.00"))</f>
        <v/>
      </c>
      <c r="V206" s="35" t="str">
        <f aca="false">IF($A206="","",COUNTIF($U$8:$U$5007,$U206))</f>
        <v/>
      </c>
    </row>
    <row r="207" customFormat="false" ht="15" hidden="false" customHeight="false" outlineLevel="0" collapsed="false">
      <c r="A207" s="31"/>
      <c r="B207" s="32"/>
      <c r="C207" s="32"/>
      <c r="D207" s="32"/>
      <c r="E207" s="32"/>
      <c r="F207" s="32"/>
      <c r="G207" s="33"/>
      <c r="H207" s="33"/>
      <c r="I207" s="34" t="str">
        <f aca="false">IF($A207="","",$G207-$H207)</f>
        <v/>
      </c>
      <c r="J207" s="35" t="str">
        <f aca="false">IF($A207="","",IF(Setup!$B$6=1,YEAR($A207),YEAR($A207)+IF(MONTH($A207)&gt;=Setup!$B$6,1,0)))</f>
        <v/>
      </c>
      <c r="K207" s="35" t="str">
        <f aca="false">IF($A207="","",MOD(MONTH($A207)-Setup!$B$6+12,12)+1)</f>
        <v/>
      </c>
      <c r="L207" s="36" t="str">
        <f aca="false">IF($A207="","",TEXT($A207,"MMM-YY"))</f>
        <v/>
      </c>
      <c r="M207" s="37" t="str">
        <f aca="false">IF($A207="","",IF($Q207=0,"UNMAPPED",INDEX(COA_Mapping!$C$7:$C$256,$Q207)))</f>
        <v/>
      </c>
      <c r="N207" s="38" t="str">
        <f aca="false">IF($A207="","",IF($Q207=0,"",INDEX(COA_Mapping!$E$7:$E$256,$Q207)))</f>
        <v/>
      </c>
      <c r="O207" s="38" t="n">
        <f aca="false">IF($A207="",1,IF($Q207=0,1,INDEX(COA_Mapping!$F$7:$F$256,$Q207)))</f>
        <v>1</v>
      </c>
      <c r="P207" s="34" t="str">
        <f aca="false">IF($A207="","",$I207*$O207)</f>
        <v/>
      </c>
      <c r="Q207" s="39" t="n">
        <f aca="false">IF($B207="",0,IFERROR(MATCH($B207,COA_Mapping!$A$7:$A$256,0),0))</f>
        <v>0</v>
      </c>
      <c r="R207" s="39" t="n">
        <f aca="false">IF($A207="",-1,IF($J207=Setup!$B$7,1,IF($J207=Setup!$B$9,0,-1)))</f>
        <v>-1</v>
      </c>
      <c r="S207" s="35" t="n">
        <f aca="false">IF(OR($A207="",$Q207=0,$R207=-1),0,$Q207*1000+$R207*100+$K207)</f>
        <v>0</v>
      </c>
      <c r="T207" s="37" t="str">
        <f aca="false">IF($A207="","",IF($B207="","NO ACCOUNT",IF($Q207=0,"UNMAPPED",IF($R207=-1,"OUTSIDE FY RANGE","OK"))))</f>
        <v/>
      </c>
      <c r="U207" s="40" t="str">
        <f aca="false">IF($A207="","",$B207&amp;"|"&amp;TEXT($A207,"yyyymmdd")&amp;"|"&amp;TEXT($I207,"0.00"))</f>
        <v/>
      </c>
      <c r="V207" s="35" t="str">
        <f aca="false">IF($A207="","",COUNTIF($U$8:$U$5007,$U207))</f>
        <v/>
      </c>
    </row>
    <row r="208" customFormat="false" ht="15" hidden="false" customHeight="false" outlineLevel="0" collapsed="false">
      <c r="A208" s="31"/>
      <c r="B208" s="32"/>
      <c r="C208" s="32"/>
      <c r="D208" s="32"/>
      <c r="E208" s="32"/>
      <c r="F208" s="32"/>
      <c r="G208" s="33"/>
      <c r="H208" s="33"/>
      <c r="I208" s="34" t="str">
        <f aca="false">IF($A208="","",$G208-$H208)</f>
        <v/>
      </c>
      <c r="J208" s="35" t="str">
        <f aca="false">IF($A208="","",IF(Setup!$B$6=1,YEAR($A208),YEAR($A208)+IF(MONTH($A208)&gt;=Setup!$B$6,1,0)))</f>
        <v/>
      </c>
      <c r="K208" s="35" t="str">
        <f aca="false">IF($A208="","",MOD(MONTH($A208)-Setup!$B$6+12,12)+1)</f>
        <v/>
      </c>
      <c r="L208" s="36" t="str">
        <f aca="false">IF($A208="","",TEXT($A208,"MMM-YY"))</f>
        <v/>
      </c>
      <c r="M208" s="37" t="str">
        <f aca="false">IF($A208="","",IF($Q208=0,"UNMAPPED",INDEX(COA_Mapping!$C$7:$C$256,$Q208)))</f>
        <v/>
      </c>
      <c r="N208" s="38" t="str">
        <f aca="false">IF($A208="","",IF($Q208=0,"",INDEX(COA_Mapping!$E$7:$E$256,$Q208)))</f>
        <v/>
      </c>
      <c r="O208" s="38" t="n">
        <f aca="false">IF($A208="",1,IF($Q208=0,1,INDEX(COA_Mapping!$F$7:$F$256,$Q208)))</f>
        <v>1</v>
      </c>
      <c r="P208" s="34" t="str">
        <f aca="false">IF($A208="","",$I208*$O208)</f>
        <v/>
      </c>
      <c r="Q208" s="39" t="n">
        <f aca="false">IF($B208="",0,IFERROR(MATCH($B208,COA_Mapping!$A$7:$A$256,0),0))</f>
        <v>0</v>
      </c>
      <c r="R208" s="39" t="n">
        <f aca="false">IF($A208="",-1,IF($J208=Setup!$B$7,1,IF($J208=Setup!$B$9,0,-1)))</f>
        <v>-1</v>
      </c>
      <c r="S208" s="35" t="n">
        <f aca="false">IF(OR($A208="",$Q208=0,$R208=-1),0,$Q208*1000+$R208*100+$K208)</f>
        <v>0</v>
      </c>
      <c r="T208" s="37" t="str">
        <f aca="false">IF($A208="","",IF($B208="","NO ACCOUNT",IF($Q208=0,"UNMAPPED",IF($R208=-1,"OUTSIDE FY RANGE","OK"))))</f>
        <v/>
      </c>
      <c r="U208" s="40" t="str">
        <f aca="false">IF($A208="","",$B208&amp;"|"&amp;TEXT($A208,"yyyymmdd")&amp;"|"&amp;TEXT($I208,"0.00"))</f>
        <v/>
      </c>
      <c r="V208" s="35" t="str">
        <f aca="false">IF($A208="","",COUNTIF($U$8:$U$5007,$U208))</f>
        <v/>
      </c>
    </row>
    <row r="209" customFormat="false" ht="15" hidden="false" customHeight="false" outlineLevel="0" collapsed="false">
      <c r="A209" s="31"/>
      <c r="B209" s="32"/>
      <c r="C209" s="32"/>
      <c r="D209" s="32"/>
      <c r="E209" s="32"/>
      <c r="F209" s="32"/>
      <c r="G209" s="33"/>
      <c r="H209" s="33"/>
      <c r="I209" s="34" t="str">
        <f aca="false">IF($A209="","",$G209-$H209)</f>
        <v/>
      </c>
      <c r="J209" s="35" t="str">
        <f aca="false">IF($A209="","",IF(Setup!$B$6=1,YEAR($A209),YEAR($A209)+IF(MONTH($A209)&gt;=Setup!$B$6,1,0)))</f>
        <v/>
      </c>
      <c r="K209" s="35" t="str">
        <f aca="false">IF($A209="","",MOD(MONTH($A209)-Setup!$B$6+12,12)+1)</f>
        <v/>
      </c>
      <c r="L209" s="36" t="str">
        <f aca="false">IF($A209="","",TEXT($A209,"MMM-YY"))</f>
        <v/>
      </c>
      <c r="M209" s="37" t="str">
        <f aca="false">IF($A209="","",IF($Q209=0,"UNMAPPED",INDEX(COA_Mapping!$C$7:$C$256,$Q209)))</f>
        <v/>
      </c>
      <c r="N209" s="38" t="str">
        <f aca="false">IF($A209="","",IF($Q209=0,"",INDEX(COA_Mapping!$E$7:$E$256,$Q209)))</f>
        <v/>
      </c>
      <c r="O209" s="38" t="n">
        <f aca="false">IF($A209="",1,IF($Q209=0,1,INDEX(COA_Mapping!$F$7:$F$256,$Q209)))</f>
        <v>1</v>
      </c>
      <c r="P209" s="34" t="str">
        <f aca="false">IF($A209="","",$I209*$O209)</f>
        <v/>
      </c>
      <c r="Q209" s="39" t="n">
        <f aca="false">IF($B209="",0,IFERROR(MATCH($B209,COA_Mapping!$A$7:$A$256,0),0))</f>
        <v>0</v>
      </c>
      <c r="R209" s="39" t="n">
        <f aca="false">IF($A209="",-1,IF($J209=Setup!$B$7,1,IF($J209=Setup!$B$9,0,-1)))</f>
        <v>-1</v>
      </c>
      <c r="S209" s="35" t="n">
        <f aca="false">IF(OR($A209="",$Q209=0,$R209=-1),0,$Q209*1000+$R209*100+$K209)</f>
        <v>0</v>
      </c>
      <c r="T209" s="37" t="str">
        <f aca="false">IF($A209="","",IF($B209="","NO ACCOUNT",IF($Q209=0,"UNMAPPED",IF($R209=-1,"OUTSIDE FY RANGE","OK"))))</f>
        <v/>
      </c>
      <c r="U209" s="40" t="str">
        <f aca="false">IF($A209="","",$B209&amp;"|"&amp;TEXT($A209,"yyyymmdd")&amp;"|"&amp;TEXT($I209,"0.00"))</f>
        <v/>
      </c>
      <c r="V209" s="35" t="str">
        <f aca="false">IF($A209="","",COUNTIF($U$8:$U$5007,$U209))</f>
        <v/>
      </c>
    </row>
    <row r="210" customFormat="false" ht="15" hidden="false" customHeight="false" outlineLevel="0" collapsed="false">
      <c r="A210" s="31"/>
      <c r="B210" s="32"/>
      <c r="C210" s="32"/>
      <c r="D210" s="32"/>
      <c r="E210" s="32"/>
      <c r="F210" s="32"/>
      <c r="G210" s="33"/>
      <c r="H210" s="33"/>
      <c r="I210" s="34" t="str">
        <f aca="false">IF($A210="","",$G210-$H210)</f>
        <v/>
      </c>
      <c r="J210" s="35" t="str">
        <f aca="false">IF($A210="","",IF(Setup!$B$6=1,YEAR($A210),YEAR($A210)+IF(MONTH($A210)&gt;=Setup!$B$6,1,0)))</f>
        <v/>
      </c>
      <c r="K210" s="35" t="str">
        <f aca="false">IF($A210="","",MOD(MONTH($A210)-Setup!$B$6+12,12)+1)</f>
        <v/>
      </c>
      <c r="L210" s="36" t="str">
        <f aca="false">IF($A210="","",TEXT($A210,"MMM-YY"))</f>
        <v/>
      </c>
      <c r="M210" s="37" t="str">
        <f aca="false">IF($A210="","",IF($Q210=0,"UNMAPPED",INDEX(COA_Mapping!$C$7:$C$256,$Q210)))</f>
        <v/>
      </c>
      <c r="N210" s="38" t="str">
        <f aca="false">IF($A210="","",IF($Q210=0,"",INDEX(COA_Mapping!$E$7:$E$256,$Q210)))</f>
        <v/>
      </c>
      <c r="O210" s="38" t="n">
        <f aca="false">IF($A210="",1,IF($Q210=0,1,INDEX(COA_Mapping!$F$7:$F$256,$Q210)))</f>
        <v>1</v>
      </c>
      <c r="P210" s="34" t="str">
        <f aca="false">IF($A210="","",$I210*$O210)</f>
        <v/>
      </c>
      <c r="Q210" s="39" t="n">
        <f aca="false">IF($B210="",0,IFERROR(MATCH($B210,COA_Mapping!$A$7:$A$256,0),0))</f>
        <v>0</v>
      </c>
      <c r="R210" s="39" t="n">
        <f aca="false">IF($A210="",-1,IF($J210=Setup!$B$7,1,IF($J210=Setup!$B$9,0,-1)))</f>
        <v>-1</v>
      </c>
      <c r="S210" s="35" t="n">
        <f aca="false">IF(OR($A210="",$Q210=0,$R210=-1),0,$Q210*1000+$R210*100+$K210)</f>
        <v>0</v>
      </c>
      <c r="T210" s="37" t="str">
        <f aca="false">IF($A210="","",IF($B210="","NO ACCOUNT",IF($Q210=0,"UNMAPPED",IF($R210=-1,"OUTSIDE FY RANGE","OK"))))</f>
        <v/>
      </c>
      <c r="U210" s="40" t="str">
        <f aca="false">IF($A210="","",$B210&amp;"|"&amp;TEXT($A210,"yyyymmdd")&amp;"|"&amp;TEXT($I210,"0.00"))</f>
        <v/>
      </c>
      <c r="V210" s="35" t="str">
        <f aca="false">IF($A210="","",COUNTIF($U$8:$U$5007,$U210))</f>
        <v/>
      </c>
    </row>
    <row r="211" customFormat="false" ht="15" hidden="false" customHeight="false" outlineLevel="0" collapsed="false">
      <c r="A211" s="31"/>
      <c r="B211" s="32"/>
      <c r="C211" s="32"/>
      <c r="D211" s="32"/>
      <c r="E211" s="32"/>
      <c r="F211" s="32"/>
      <c r="G211" s="33"/>
      <c r="H211" s="33"/>
      <c r="I211" s="34" t="str">
        <f aca="false">IF($A211="","",$G211-$H211)</f>
        <v/>
      </c>
      <c r="J211" s="35" t="str">
        <f aca="false">IF($A211="","",IF(Setup!$B$6=1,YEAR($A211),YEAR($A211)+IF(MONTH($A211)&gt;=Setup!$B$6,1,0)))</f>
        <v/>
      </c>
      <c r="K211" s="35" t="str">
        <f aca="false">IF($A211="","",MOD(MONTH($A211)-Setup!$B$6+12,12)+1)</f>
        <v/>
      </c>
      <c r="L211" s="36" t="str">
        <f aca="false">IF($A211="","",TEXT($A211,"MMM-YY"))</f>
        <v/>
      </c>
      <c r="M211" s="37" t="str">
        <f aca="false">IF($A211="","",IF($Q211=0,"UNMAPPED",INDEX(COA_Mapping!$C$7:$C$256,$Q211)))</f>
        <v/>
      </c>
      <c r="N211" s="38" t="str">
        <f aca="false">IF($A211="","",IF($Q211=0,"",INDEX(COA_Mapping!$E$7:$E$256,$Q211)))</f>
        <v/>
      </c>
      <c r="O211" s="38" t="n">
        <f aca="false">IF($A211="",1,IF($Q211=0,1,INDEX(COA_Mapping!$F$7:$F$256,$Q211)))</f>
        <v>1</v>
      </c>
      <c r="P211" s="34" t="str">
        <f aca="false">IF($A211="","",$I211*$O211)</f>
        <v/>
      </c>
      <c r="Q211" s="39" t="n">
        <f aca="false">IF($B211="",0,IFERROR(MATCH($B211,COA_Mapping!$A$7:$A$256,0),0))</f>
        <v>0</v>
      </c>
      <c r="R211" s="39" t="n">
        <f aca="false">IF($A211="",-1,IF($J211=Setup!$B$7,1,IF($J211=Setup!$B$9,0,-1)))</f>
        <v>-1</v>
      </c>
      <c r="S211" s="35" t="n">
        <f aca="false">IF(OR($A211="",$Q211=0,$R211=-1),0,$Q211*1000+$R211*100+$K211)</f>
        <v>0</v>
      </c>
      <c r="T211" s="37" t="str">
        <f aca="false">IF($A211="","",IF($B211="","NO ACCOUNT",IF($Q211=0,"UNMAPPED",IF($R211=-1,"OUTSIDE FY RANGE","OK"))))</f>
        <v/>
      </c>
      <c r="U211" s="40" t="str">
        <f aca="false">IF($A211="","",$B211&amp;"|"&amp;TEXT($A211,"yyyymmdd")&amp;"|"&amp;TEXT($I211,"0.00"))</f>
        <v/>
      </c>
      <c r="V211" s="35" t="str">
        <f aca="false">IF($A211="","",COUNTIF($U$8:$U$5007,$U211))</f>
        <v/>
      </c>
    </row>
    <row r="212" customFormat="false" ht="15" hidden="false" customHeight="false" outlineLevel="0" collapsed="false">
      <c r="A212" s="31"/>
      <c r="B212" s="32"/>
      <c r="C212" s="32"/>
      <c r="D212" s="32"/>
      <c r="E212" s="32"/>
      <c r="F212" s="32"/>
      <c r="G212" s="33"/>
      <c r="H212" s="33"/>
      <c r="I212" s="34" t="str">
        <f aca="false">IF($A212="","",$G212-$H212)</f>
        <v/>
      </c>
      <c r="J212" s="35" t="str">
        <f aca="false">IF($A212="","",IF(Setup!$B$6=1,YEAR($A212),YEAR($A212)+IF(MONTH($A212)&gt;=Setup!$B$6,1,0)))</f>
        <v/>
      </c>
      <c r="K212" s="35" t="str">
        <f aca="false">IF($A212="","",MOD(MONTH($A212)-Setup!$B$6+12,12)+1)</f>
        <v/>
      </c>
      <c r="L212" s="36" t="str">
        <f aca="false">IF($A212="","",TEXT($A212,"MMM-YY"))</f>
        <v/>
      </c>
      <c r="M212" s="37" t="str">
        <f aca="false">IF($A212="","",IF($Q212=0,"UNMAPPED",INDEX(COA_Mapping!$C$7:$C$256,$Q212)))</f>
        <v/>
      </c>
      <c r="N212" s="38" t="str">
        <f aca="false">IF($A212="","",IF($Q212=0,"",INDEX(COA_Mapping!$E$7:$E$256,$Q212)))</f>
        <v/>
      </c>
      <c r="O212" s="38" t="n">
        <f aca="false">IF($A212="",1,IF($Q212=0,1,INDEX(COA_Mapping!$F$7:$F$256,$Q212)))</f>
        <v>1</v>
      </c>
      <c r="P212" s="34" t="str">
        <f aca="false">IF($A212="","",$I212*$O212)</f>
        <v/>
      </c>
      <c r="Q212" s="39" t="n">
        <f aca="false">IF($B212="",0,IFERROR(MATCH($B212,COA_Mapping!$A$7:$A$256,0),0))</f>
        <v>0</v>
      </c>
      <c r="R212" s="39" t="n">
        <f aca="false">IF($A212="",-1,IF($J212=Setup!$B$7,1,IF($J212=Setup!$B$9,0,-1)))</f>
        <v>-1</v>
      </c>
      <c r="S212" s="35" t="n">
        <f aca="false">IF(OR($A212="",$Q212=0,$R212=-1),0,$Q212*1000+$R212*100+$K212)</f>
        <v>0</v>
      </c>
      <c r="T212" s="37" t="str">
        <f aca="false">IF($A212="","",IF($B212="","NO ACCOUNT",IF($Q212=0,"UNMAPPED",IF($R212=-1,"OUTSIDE FY RANGE","OK"))))</f>
        <v/>
      </c>
      <c r="U212" s="40" t="str">
        <f aca="false">IF($A212="","",$B212&amp;"|"&amp;TEXT($A212,"yyyymmdd")&amp;"|"&amp;TEXT($I212,"0.00"))</f>
        <v/>
      </c>
      <c r="V212" s="35" t="str">
        <f aca="false">IF($A212="","",COUNTIF($U$8:$U$5007,$U212))</f>
        <v/>
      </c>
    </row>
    <row r="213" customFormat="false" ht="15" hidden="false" customHeight="false" outlineLevel="0" collapsed="false">
      <c r="A213" s="31"/>
      <c r="B213" s="32"/>
      <c r="C213" s="32"/>
      <c r="D213" s="32"/>
      <c r="E213" s="32"/>
      <c r="F213" s="32"/>
      <c r="G213" s="33"/>
      <c r="H213" s="33"/>
      <c r="I213" s="34" t="str">
        <f aca="false">IF($A213="","",$G213-$H213)</f>
        <v/>
      </c>
      <c r="J213" s="35" t="str">
        <f aca="false">IF($A213="","",IF(Setup!$B$6=1,YEAR($A213),YEAR($A213)+IF(MONTH($A213)&gt;=Setup!$B$6,1,0)))</f>
        <v/>
      </c>
      <c r="K213" s="35" t="str">
        <f aca="false">IF($A213="","",MOD(MONTH($A213)-Setup!$B$6+12,12)+1)</f>
        <v/>
      </c>
      <c r="L213" s="36" t="str">
        <f aca="false">IF($A213="","",TEXT($A213,"MMM-YY"))</f>
        <v/>
      </c>
      <c r="M213" s="37" t="str">
        <f aca="false">IF($A213="","",IF($Q213=0,"UNMAPPED",INDEX(COA_Mapping!$C$7:$C$256,$Q213)))</f>
        <v/>
      </c>
      <c r="N213" s="38" t="str">
        <f aca="false">IF($A213="","",IF($Q213=0,"",INDEX(COA_Mapping!$E$7:$E$256,$Q213)))</f>
        <v/>
      </c>
      <c r="O213" s="38" t="n">
        <f aca="false">IF($A213="",1,IF($Q213=0,1,INDEX(COA_Mapping!$F$7:$F$256,$Q213)))</f>
        <v>1</v>
      </c>
      <c r="P213" s="34" t="str">
        <f aca="false">IF($A213="","",$I213*$O213)</f>
        <v/>
      </c>
      <c r="Q213" s="39" t="n">
        <f aca="false">IF($B213="",0,IFERROR(MATCH($B213,COA_Mapping!$A$7:$A$256,0),0))</f>
        <v>0</v>
      </c>
      <c r="R213" s="39" t="n">
        <f aca="false">IF($A213="",-1,IF($J213=Setup!$B$7,1,IF($J213=Setup!$B$9,0,-1)))</f>
        <v>-1</v>
      </c>
      <c r="S213" s="35" t="n">
        <f aca="false">IF(OR($A213="",$Q213=0,$R213=-1),0,$Q213*1000+$R213*100+$K213)</f>
        <v>0</v>
      </c>
      <c r="T213" s="37" t="str">
        <f aca="false">IF($A213="","",IF($B213="","NO ACCOUNT",IF($Q213=0,"UNMAPPED",IF($R213=-1,"OUTSIDE FY RANGE","OK"))))</f>
        <v/>
      </c>
      <c r="U213" s="40" t="str">
        <f aca="false">IF($A213="","",$B213&amp;"|"&amp;TEXT($A213,"yyyymmdd")&amp;"|"&amp;TEXT($I213,"0.00"))</f>
        <v/>
      </c>
      <c r="V213" s="35" t="str">
        <f aca="false">IF($A213="","",COUNTIF($U$8:$U$5007,$U213))</f>
        <v/>
      </c>
    </row>
    <row r="214" customFormat="false" ht="15" hidden="false" customHeight="false" outlineLevel="0" collapsed="false">
      <c r="A214" s="31"/>
      <c r="B214" s="32"/>
      <c r="C214" s="32"/>
      <c r="D214" s="32"/>
      <c r="E214" s="32"/>
      <c r="F214" s="32"/>
      <c r="G214" s="33"/>
      <c r="H214" s="33"/>
      <c r="I214" s="34" t="str">
        <f aca="false">IF($A214="","",$G214-$H214)</f>
        <v/>
      </c>
      <c r="J214" s="35" t="str">
        <f aca="false">IF($A214="","",IF(Setup!$B$6=1,YEAR($A214),YEAR($A214)+IF(MONTH($A214)&gt;=Setup!$B$6,1,0)))</f>
        <v/>
      </c>
      <c r="K214" s="35" t="str">
        <f aca="false">IF($A214="","",MOD(MONTH($A214)-Setup!$B$6+12,12)+1)</f>
        <v/>
      </c>
      <c r="L214" s="36" t="str">
        <f aca="false">IF($A214="","",TEXT($A214,"MMM-YY"))</f>
        <v/>
      </c>
      <c r="M214" s="37" t="str">
        <f aca="false">IF($A214="","",IF($Q214=0,"UNMAPPED",INDEX(COA_Mapping!$C$7:$C$256,$Q214)))</f>
        <v/>
      </c>
      <c r="N214" s="38" t="str">
        <f aca="false">IF($A214="","",IF($Q214=0,"",INDEX(COA_Mapping!$E$7:$E$256,$Q214)))</f>
        <v/>
      </c>
      <c r="O214" s="38" t="n">
        <f aca="false">IF($A214="",1,IF($Q214=0,1,INDEX(COA_Mapping!$F$7:$F$256,$Q214)))</f>
        <v>1</v>
      </c>
      <c r="P214" s="34" t="str">
        <f aca="false">IF($A214="","",$I214*$O214)</f>
        <v/>
      </c>
      <c r="Q214" s="39" t="n">
        <f aca="false">IF($B214="",0,IFERROR(MATCH($B214,COA_Mapping!$A$7:$A$256,0),0))</f>
        <v>0</v>
      </c>
      <c r="R214" s="39" t="n">
        <f aca="false">IF($A214="",-1,IF($J214=Setup!$B$7,1,IF($J214=Setup!$B$9,0,-1)))</f>
        <v>-1</v>
      </c>
      <c r="S214" s="35" t="n">
        <f aca="false">IF(OR($A214="",$Q214=0,$R214=-1),0,$Q214*1000+$R214*100+$K214)</f>
        <v>0</v>
      </c>
      <c r="T214" s="37" t="str">
        <f aca="false">IF($A214="","",IF($B214="","NO ACCOUNT",IF($Q214=0,"UNMAPPED",IF($R214=-1,"OUTSIDE FY RANGE","OK"))))</f>
        <v/>
      </c>
      <c r="U214" s="40" t="str">
        <f aca="false">IF($A214="","",$B214&amp;"|"&amp;TEXT($A214,"yyyymmdd")&amp;"|"&amp;TEXT($I214,"0.00"))</f>
        <v/>
      </c>
      <c r="V214" s="35" t="str">
        <f aca="false">IF($A214="","",COUNTIF($U$8:$U$5007,$U214))</f>
        <v/>
      </c>
    </row>
    <row r="215" customFormat="false" ht="15" hidden="false" customHeight="false" outlineLevel="0" collapsed="false">
      <c r="A215" s="31"/>
      <c r="B215" s="32"/>
      <c r="C215" s="32"/>
      <c r="D215" s="32"/>
      <c r="E215" s="32"/>
      <c r="F215" s="32"/>
      <c r="G215" s="33"/>
      <c r="H215" s="33"/>
      <c r="I215" s="34" t="str">
        <f aca="false">IF($A215="","",$G215-$H215)</f>
        <v/>
      </c>
      <c r="J215" s="35" t="str">
        <f aca="false">IF($A215="","",IF(Setup!$B$6=1,YEAR($A215),YEAR($A215)+IF(MONTH($A215)&gt;=Setup!$B$6,1,0)))</f>
        <v/>
      </c>
      <c r="K215" s="35" t="str">
        <f aca="false">IF($A215="","",MOD(MONTH($A215)-Setup!$B$6+12,12)+1)</f>
        <v/>
      </c>
      <c r="L215" s="36" t="str">
        <f aca="false">IF($A215="","",TEXT($A215,"MMM-YY"))</f>
        <v/>
      </c>
      <c r="M215" s="37" t="str">
        <f aca="false">IF($A215="","",IF($Q215=0,"UNMAPPED",INDEX(COA_Mapping!$C$7:$C$256,$Q215)))</f>
        <v/>
      </c>
      <c r="N215" s="38" t="str">
        <f aca="false">IF($A215="","",IF($Q215=0,"",INDEX(COA_Mapping!$E$7:$E$256,$Q215)))</f>
        <v/>
      </c>
      <c r="O215" s="38" t="n">
        <f aca="false">IF($A215="",1,IF($Q215=0,1,INDEX(COA_Mapping!$F$7:$F$256,$Q215)))</f>
        <v>1</v>
      </c>
      <c r="P215" s="34" t="str">
        <f aca="false">IF($A215="","",$I215*$O215)</f>
        <v/>
      </c>
      <c r="Q215" s="39" t="n">
        <f aca="false">IF($B215="",0,IFERROR(MATCH($B215,COA_Mapping!$A$7:$A$256,0),0))</f>
        <v>0</v>
      </c>
      <c r="R215" s="39" t="n">
        <f aca="false">IF($A215="",-1,IF($J215=Setup!$B$7,1,IF($J215=Setup!$B$9,0,-1)))</f>
        <v>-1</v>
      </c>
      <c r="S215" s="35" t="n">
        <f aca="false">IF(OR($A215="",$Q215=0,$R215=-1),0,$Q215*1000+$R215*100+$K215)</f>
        <v>0</v>
      </c>
      <c r="T215" s="37" t="str">
        <f aca="false">IF($A215="","",IF($B215="","NO ACCOUNT",IF($Q215=0,"UNMAPPED",IF($R215=-1,"OUTSIDE FY RANGE","OK"))))</f>
        <v/>
      </c>
      <c r="U215" s="40" t="str">
        <f aca="false">IF($A215="","",$B215&amp;"|"&amp;TEXT($A215,"yyyymmdd")&amp;"|"&amp;TEXT($I215,"0.00"))</f>
        <v/>
      </c>
      <c r="V215" s="35" t="str">
        <f aca="false">IF($A215="","",COUNTIF($U$8:$U$5007,$U215))</f>
        <v/>
      </c>
    </row>
    <row r="216" customFormat="false" ht="15" hidden="false" customHeight="false" outlineLevel="0" collapsed="false">
      <c r="A216" s="31"/>
      <c r="B216" s="32"/>
      <c r="C216" s="32"/>
      <c r="D216" s="32"/>
      <c r="E216" s="32"/>
      <c r="F216" s="32"/>
      <c r="G216" s="33"/>
      <c r="H216" s="33"/>
      <c r="I216" s="34" t="str">
        <f aca="false">IF($A216="","",$G216-$H216)</f>
        <v/>
      </c>
      <c r="J216" s="35" t="str">
        <f aca="false">IF($A216="","",IF(Setup!$B$6=1,YEAR($A216),YEAR($A216)+IF(MONTH($A216)&gt;=Setup!$B$6,1,0)))</f>
        <v/>
      </c>
      <c r="K216" s="35" t="str">
        <f aca="false">IF($A216="","",MOD(MONTH($A216)-Setup!$B$6+12,12)+1)</f>
        <v/>
      </c>
      <c r="L216" s="36" t="str">
        <f aca="false">IF($A216="","",TEXT($A216,"MMM-YY"))</f>
        <v/>
      </c>
      <c r="M216" s="37" t="str">
        <f aca="false">IF($A216="","",IF($Q216=0,"UNMAPPED",INDEX(COA_Mapping!$C$7:$C$256,$Q216)))</f>
        <v/>
      </c>
      <c r="N216" s="38" t="str">
        <f aca="false">IF($A216="","",IF($Q216=0,"",INDEX(COA_Mapping!$E$7:$E$256,$Q216)))</f>
        <v/>
      </c>
      <c r="O216" s="38" t="n">
        <f aca="false">IF($A216="",1,IF($Q216=0,1,INDEX(COA_Mapping!$F$7:$F$256,$Q216)))</f>
        <v>1</v>
      </c>
      <c r="P216" s="34" t="str">
        <f aca="false">IF($A216="","",$I216*$O216)</f>
        <v/>
      </c>
      <c r="Q216" s="39" t="n">
        <f aca="false">IF($B216="",0,IFERROR(MATCH($B216,COA_Mapping!$A$7:$A$256,0),0))</f>
        <v>0</v>
      </c>
      <c r="R216" s="39" t="n">
        <f aca="false">IF($A216="",-1,IF($J216=Setup!$B$7,1,IF($J216=Setup!$B$9,0,-1)))</f>
        <v>-1</v>
      </c>
      <c r="S216" s="35" t="n">
        <f aca="false">IF(OR($A216="",$Q216=0,$R216=-1),0,$Q216*1000+$R216*100+$K216)</f>
        <v>0</v>
      </c>
      <c r="T216" s="37" t="str">
        <f aca="false">IF($A216="","",IF($B216="","NO ACCOUNT",IF($Q216=0,"UNMAPPED",IF($R216=-1,"OUTSIDE FY RANGE","OK"))))</f>
        <v/>
      </c>
      <c r="U216" s="40" t="str">
        <f aca="false">IF($A216="","",$B216&amp;"|"&amp;TEXT($A216,"yyyymmdd")&amp;"|"&amp;TEXT($I216,"0.00"))</f>
        <v/>
      </c>
      <c r="V216" s="35" t="str">
        <f aca="false">IF($A216="","",COUNTIF($U$8:$U$5007,$U216))</f>
        <v/>
      </c>
    </row>
    <row r="217" customFormat="false" ht="15" hidden="false" customHeight="false" outlineLevel="0" collapsed="false">
      <c r="A217" s="31"/>
      <c r="B217" s="32"/>
      <c r="C217" s="32"/>
      <c r="D217" s="32"/>
      <c r="E217" s="32"/>
      <c r="F217" s="32"/>
      <c r="G217" s="33"/>
      <c r="H217" s="33"/>
      <c r="I217" s="34" t="str">
        <f aca="false">IF($A217="","",$G217-$H217)</f>
        <v/>
      </c>
      <c r="J217" s="35" t="str">
        <f aca="false">IF($A217="","",IF(Setup!$B$6=1,YEAR($A217),YEAR($A217)+IF(MONTH($A217)&gt;=Setup!$B$6,1,0)))</f>
        <v/>
      </c>
      <c r="K217" s="35" t="str">
        <f aca="false">IF($A217="","",MOD(MONTH($A217)-Setup!$B$6+12,12)+1)</f>
        <v/>
      </c>
      <c r="L217" s="36" t="str">
        <f aca="false">IF($A217="","",TEXT($A217,"MMM-YY"))</f>
        <v/>
      </c>
      <c r="M217" s="37" t="str">
        <f aca="false">IF($A217="","",IF($Q217=0,"UNMAPPED",INDEX(COA_Mapping!$C$7:$C$256,$Q217)))</f>
        <v/>
      </c>
      <c r="N217" s="38" t="str">
        <f aca="false">IF($A217="","",IF($Q217=0,"",INDEX(COA_Mapping!$E$7:$E$256,$Q217)))</f>
        <v/>
      </c>
      <c r="O217" s="38" t="n">
        <f aca="false">IF($A217="",1,IF($Q217=0,1,INDEX(COA_Mapping!$F$7:$F$256,$Q217)))</f>
        <v>1</v>
      </c>
      <c r="P217" s="34" t="str">
        <f aca="false">IF($A217="","",$I217*$O217)</f>
        <v/>
      </c>
      <c r="Q217" s="39" t="n">
        <f aca="false">IF($B217="",0,IFERROR(MATCH($B217,COA_Mapping!$A$7:$A$256,0),0))</f>
        <v>0</v>
      </c>
      <c r="R217" s="39" t="n">
        <f aca="false">IF($A217="",-1,IF($J217=Setup!$B$7,1,IF($J217=Setup!$B$9,0,-1)))</f>
        <v>-1</v>
      </c>
      <c r="S217" s="35" t="n">
        <f aca="false">IF(OR($A217="",$Q217=0,$R217=-1),0,$Q217*1000+$R217*100+$K217)</f>
        <v>0</v>
      </c>
      <c r="T217" s="37" t="str">
        <f aca="false">IF($A217="","",IF($B217="","NO ACCOUNT",IF($Q217=0,"UNMAPPED",IF($R217=-1,"OUTSIDE FY RANGE","OK"))))</f>
        <v/>
      </c>
      <c r="U217" s="40" t="str">
        <f aca="false">IF($A217="","",$B217&amp;"|"&amp;TEXT($A217,"yyyymmdd")&amp;"|"&amp;TEXT($I217,"0.00"))</f>
        <v/>
      </c>
      <c r="V217" s="35" t="str">
        <f aca="false">IF($A217="","",COUNTIF($U$8:$U$5007,$U217))</f>
        <v/>
      </c>
    </row>
    <row r="218" customFormat="false" ht="15" hidden="false" customHeight="false" outlineLevel="0" collapsed="false">
      <c r="A218" s="31"/>
      <c r="B218" s="32"/>
      <c r="C218" s="32"/>
      <c r="D218" s="32"/>
      <c r="E218" s="32"/>
      <c r="F218" s="32"/>
      <c r="G218" s="33"/>
      <c r="H218" s="33"/>
      <c r="I218" s="34" t="str">
        <f aca="false">IF($A218="","",$G218-$H218)</f>
        <v/>
      </c>
      <c r="J218" s="35" t="str">
        <f aca="false">IF($A218="","",IF(Setup!$B$6=1,YEAR($A218),YEAR($A218)+IF(MONTH($A218)&gt;=Setup!$B$6,1,0)))</f>
        <v/>
      </c>
      <c r="K218" s="35" t="str">
        <f aca="false">IF($A218="","",MOD(MONTH($A218)-Setup!$B$6+12,12)+1)</f>
        <v/>
      </c>
      <c r="L218" s="36" t="str">
        <f aca="false">IF($A218="","",TEXT($A218,"MMM-YY"))</f>
        <v/>
      </c>
      <c r="M218" s="37" t="str">
        <f aca="false">IF($A218="","",IF($Q218=0,"UNMAPPED",INDEX(COA_Mapping!$C$7:$C$256,$Q218)))</f>
        <v/>
      </c>
      <c r="N218" s="38" t="str">
        <f aca="false">IF($A218="","",IF($Q218=0,"",INDEX(COA_Mapping!$E$7:$E$256,$Q218)))</f>
        <v/>
      </c>
      <c r="O218" s="38" t="n">
        <f aca="false">IF($A218="",1,IF($Q218=0,1,INDEX(COA_Mapping!$F$7:$F$256,$Q218)))</f>
        <v>1</v>
      </c>
      <c r="P218" s="34" t="str">
        <f aca="false">IF($A218="","",$I218*$O218)</f>
        <v/>
      </c>
      <c r="Q218" s="39" t="n">
        <f aca="false">IF($B218="",0,IFERROR(MATCH($B218,COA_Mapping!$A$7:$A$256,0),0))</f>
        <v>0</v>
      </c>
      <c r="R218" s="39" t="n">
        <f aca="false">IF($A218="",-1,IF($J218=Setup!$B$7,1,IF($J218=Setup!$B$9,0,-1)))</f>
        <v>-1</v>
      </c>
      <c r="S218" s="35" t="n">
        <f aca="false">IF(OR($A218="",$Q218=0,$R218=-1),0,$Q218*1000+$R218*100+$K218)</f>
        <v>0</v>
      </c>
      <c r="T218" s="37" t="str">
        <f aca="false">IF($A218="","",IF($B218="","NO ACCOUNT",IF($Q218=0,"UNMAPPED",IF($R218=-1,"OUTSIDE FY RANGE","OK"))))</f>
        <v/>
      </c>
      <c r="U218" s="40" t="str">
        <f aca="false">IF($A218="","",$B218&amp;"|"&amp;TEXT($A218,"yyyymmdd")&amp;"|"&amp;TEXT($I218,"0.00"))</f>
        <v/>
      </c>
      <c r="V218" s="35" t="str">
        <f aca="false">IF($A218="","",COUNTIF($U$8:$U$5007,$U218))</f>
        <v/>
      </c>
    </row>
    <row r="219" customFormat="false" ht="15" hidden="false" customHeight="false" outlineLevel="0" collapsed="false">
      <c r="A219" s="31"/>
      <c r="B219" s="32"/>
      <c r="C219" s="32"/>
      <c r="D219" s="32"/>
      <c r="E219" s="32"/>
      <c r="F219" s="32"/>
      <c r="G219" s="33"/>
      <c r="H219" s="33"/>
      <c r="I219" s="34" t="str">
        <f aca="false">IF($A219="","",$G219-$H219)</f>
        <v/>
      </c>
      <c r="J219" s="35" t="str">
        <f aca="false">IF($A219="","",IF(Setup!$B$6=1,YEAR($A219),YEAR($A219)+IF(MONTH($A219)&gt;=Setup!$B$6,1,0)))</f>
        <v/>
      </c>
      <c r="K219" s="35" t="str">
        <f aca="false">IF($A219="","",MOD(MONTH($A219)-Setup!$B$6+12,12)+1)</f>
        <v/>
      </c>
      <c r="L219" s="36" t="str">
        <f aca="false">IF($A219="","",TEXT($A219,"MMM-YY"))</f>
        <v/>
      </c>
      <c r="M219" s="37" t="str">
        <f aca="false">IF($A219="","",IF($Q219=0,"UNMAPPED",INDEX(COA_Mapping!$C$7:$C$256,$Q219)))</f>
        <v/>
      </c>
      <c r="N219" s="38" t="str">
        <f aca="false">IF($A219="","",IF($Q219=0,"",INDEX(COA_Mapping!$E$7:$E$256,$Q219)))</f>
        <v/>
      </c>
      <c r="O219" s="38" t="n">
        <f aca="false">IF($A219="",1,IF($Q219=0,1,INDEX(COA_Mapping!$F$7:$F$256,$Q219)))</f>
        <v>1</v>
      </c>
      <c r="P219" s="34" t="str">
        <f aca="false">IF($A219="","",$I219*$O219)</f>
        <v/>
      </c>
      <c r="Q219" s="39" t="n">
        <f aca="false">IF($B219="",0,IFERROR(MATCH($B219,COA_Mapping!$A$7:$A$256,0),0))</f>
        <v>0</v>
      </c>
      <c r="R219" s="39" t="n">
        <f aca="false">IF($A219="",-1,IF($J219=Setup!$B$7,1,IF($J219=Setup!$B$9,0,-1)))</f>
        <v>-1</v>
      </c>
      <c r="S219" s="35" t="n">
        <f aca="false">IF(OR($A219="",$Q219=0,$R219=-1),0,$Q219*1000+$R219*100+$K219)</f>
        <v>0</v>
      </c>
      <c r="T219" s="37" t="str">
        <f aca="false">IF($A219="","",IF($B219="","NO ACCOUNT",IF($Q219=0,"UNMAPPED",IF($R219=-1,"OUTSIDE FY RANGE","OK"))))</f>
        <v/>
      </c>
      <c r="U219" s="40" t="str">
        <f aca="false">IF($A219="","",$B219&amp;"|"&amp;TEXT($A219,"yyyymmdd")&amp;"|"&amp;TEXT($I219,"0.00"))</f>
        <v/>
      </c>
      <c r="V219" s="35" t="str">
        <f aca="false">IF($A219="","",COUNTIF($U$8:$U$5007,$U219))</f>
        <v/>
      </c>
    </row>
    <row r="220" customFormat="false" ht="15" hidden="false" customHeight="false" outlineLevel="0" collapsed="false">
      <c r="A220" s="31"/>
      <c r="B220" s="32"/>
      <c r="C220" s="32"/>
      <c r="D220" s="32"/>
      <c r="E220" s="32"/>
      <c r="F220" s="32"/>
      <c r="G220" s="33"/>
      <c r="H220" s="33"/>
      <c r="I220" s="34" t="str">
        <f aca="false">IF($A220="","",$G220-$H220)</f>
        <v/>
      </c>
      <c r="J220" s="35" t="str">
        <f aca="false">IF($A220="","",IF(Setup!$B$6=1,YEAR($A220),YEAR($A220)+IF(MONTH($A220)&gt;=Setup!$B$6,1,0)))</f>
        <v/>
      </c>
      <c r="K220" s="35" t="str">
        <f aca="false">IF($A220="","",MOD(MONTH($A220)-Setup!$B$6+12,12)+1)</f>
        <v/>
      </c>
      <c r="L220" s="36" t="str">
        <f aca="false">IF($A220="","",TEXT($A220,"MMM-YY"))</f>
        <v/>
      </c>
      <c r="M220" s="37" t="str">
        <f aca="false">IF($A220="","",IF($Q220=0,"UNMAPPED",INDEX(COA_Mapping!$C$7:$C$256,$Q220)))</f>
        <v/>
      </c>
      <c r="N220" s="38" t="str">
        <f aca="false">IF($A220="","",IF($Q220=0,"",INDEX(COA_Mapping!$E$7:$E$256,$Q220)))</f>
        <v/>
      </c>
      <c r="O220" s="38" t="n">
        <f aca="false">IF($A220="",1,IF($Q220=0,1,INDEX(COA_Mapping!$F$7:$F$256,$Q220)))</f>
        <v>1</v>
      </c>
      <c r="P220" s="34" t="str">
        <f aca="false">IF($A220="","",$I220*$O220)</f>
        <v/>
      </c>
      <c r="Q220" s="39" t="n">
        <f aca="false">IF($B220="",0,IFERROR(MATCH($B220,COA_Mapping!$A$7:$A$256,0),0))</f>
        <v>0</v>
      </c>
      <c r="R220" s="39" t="n">
        <f aca="false">IF($A220="",-1,IF($J220=Setup!$B$7,1,IF($J220=Setup!$B$9,0,-1)))</f>
        <v>-1</v>
      </c>
      <c r="S220" s="35" t="n">
        <f aca="false">IF(OR($A220="",$Q220=0,$R220=-1),0,$Q220*1000+$R220*100+$K220)</f>
        <v>0</v>
      </c>
      <c r="T220" s="37" t="str">
        <f aca="false">IF($A220="","",IF($B220="","NO ACCOUNT",IF($Q220=0,"UNMAPPED",IF($R220=-1,"OUTSIDE FY RANGE","OK"))))</f>
        <v/>
      </c>
      <c r="U220" s="40" t="str">
        <f aca="false">IF($A220="","",$B220&amp;"|"&amp;TEXT($A220,"yyyymmdd")&amp;"|"&amp;TEXT($I220,"0.00"))</f>
        <v/>
      </c>
      <c r="V220" s="35" t="str">
        <f aca="false">IF($A220="","",COUNTIF($U$8:$U$5007,$U220))</f>
        <v/>
      </c>
    </row>
    <row r="221" customFormat="false" ht="15" hidden="false" customHeight="false" outlineLevel="0" collapsed="false">
      <c r="A221" s="31"/>
      <c r="B221" s="32"/>
      <c r="C221" s="32"/>
      <c r="D221" s="32"/>
      <c r="E221" s="32"/>
      <c r="F221" s="32"/>
      <c r="G221" s="33"/>
      <c r="H221" s="33"/>
      <c r="I221" s="34" t="str">
        <f aca="false">IF($A221="","",$G221-$H221)</f>
        <v/>
      </c>
      <c r="J221" s="35" t="str">
        <f aca="false">IF($A221="","",IF(Setup!$B$6=1,YEAR($A221),YEAR($A221)+IF(MONTH($A221)&gt;=Setup!$B$6,1,0)))</f>
        <v/>
      </c>
      <c r="K221" s="35" t="str">
        <f aca="false">IF($A221="","",MOD(MONTH($A221)-Setup!$B$6+12,12)+1)</f>
        <v/>
      </c>
      <c r="L221" s="36" t="str">
        <f aca="false">IF($A221="","",TEXT($A221,"MMM-YY"))</f>
        <v/>
      </c>
      <c r="M221" s="37" t="str">
        <f aca="false">IF($A221="","",IF($Q221=0,"UNMAPPED",INDEX(COA_Mapping!$C$7:$C$256,$Q221)))</f>
        <v/>
      </c>
      <c r="N221" s="38" t="str">
        <f aca="false">IF($A221="","",IF($Q221=0,"",INDEX(COA_Mapping!$E$7:$E$256,$Q221)))</f>
        <v/>
      </c>
      <c r="O221" s="38" t="n">
        <f aca="false">IF($A221="",1,IF($Q221=0,1,INDEX(COA_Mapping!$F$7:$F$256,$Q221)))</f>
        <v>1</v>
      </c>
      <c r="P221" s="34" t="str">
        <f aca="false">IF($A221="","",$I221*$O221)</f>
        <v/>
      </c>
      <c r="Q221" s="39" t="n">
        <f aca="false">IF($B221="",0,IFERROR(MATCH($B221,COA_Mapping!$A$7:$A$256,0),0))</f>
        <v>0</v>
      </c>
      <c r="R221" s="39" t="n">
        <f aca="false">IF($A221="",-1,IF($J221=Setup!$B$7,1,IF($J221=Setup!$B$9,0,-1)))</f>
        <v>-1</v>
      </c>
      <c r="S221" s="35" t="n">
        <f aca="false">IF(OR($A221="",$Q221=0,$R221=-1),0,$Q221*1000+$R221*100+$K221)</f>
        <v>0</v>
      </c>
      <c r="T221" s="37" t="str">
        <f aca="false">IF($A221="","",IF($B221="","NO ACCOUNT",IF($Q221=0,"UNMAPPED",IF($R221=-1,"OUTSIDE FY RANGE","OK"))))</f>
        <v/>
      </c>
      <c r="U221" s="40" t="str">
        <f aca="false">IF($A221="","",$B221&amp;"|"&amp;TEXT($A221,"yyyymmdd")&amp;"|"&amp;TEXT($I221,"0.00"))</f>
        <v/>
      </c>
      <c r="V221" s="35" t="str">
        <f aca="false">IF($A221="","",COUNTIF($U$8:$U$5007,$U221))</f>
        <v/>
      </c>
    </row>
    <row r="222" customFormat="false" ht="15" hidden="false" customHeight="false" outlineLevel="0" collapsed="false">
      <c r="A222" s="31"/>
      <c r="B222" s="32"/>
      <c r="C222" s="32"/>
      <c r="D222" s="32"/>
      <c r="E222" s="32"/>
      <c r="F222" s="32"/>
      <c r="G222" s="33"/>
      <c r="H222" s="33"/>
      <c r="I222" s="34" t="str">
        <f aca="false">IF($A222="","",$G222-$H222)</f>
        <v/>
      </c>
      <c r="J222" s="35" t="str">
        <f aca="false">IF($A222="","",IF(Setup!$B$6=1,YEAR($A222),YEAR($A222)+IF(MONTH($A222)&gt;=Setup!$B$6,1,0)))</f>
        <v/>
      </c>
      <c r="K222" s="35" t="str">
        <f aca="false">IF($A222="","",MOD(MONTH($A222)-Setup!$B$6+12,12)+1)</f>
        <v/>
      </c>
      <c r="L222" s="36" t="str">
        <f aca="false">IF($A222="","",TEXT($A222,"MMM-YY"))</f>
        <v/>
      </c>
      <c r="M222" s="37" t="str">
        <f aca="false">IF($A222="","",IF($Q222=0,"UNMAPPED",INDEX(COA_Mapping!$C$7:$C$256,$Q222)))</f>
        <v/>
      </c>
      <c r="N222" s="38" t="str">
        <f aca="false">IF($A222="","",IF($Q222=0,"",INDEX(COA_Mapping!$E$7:$E$256,$Q222)))</f>
        <v/>
      </c>
      <c r="O222" s="38" t="n">
        <f aca="false">IF($A222="",1,IF($Q222=0,1,INDEX(COA_Mapping!$F$7:$F$256,$Q222)))</f>
        <v>1</v>
      </c>
      <c r="P222" s="34" t="str">
        <f aca="false">IF($A222="","",$I222*$O222)</f>
        <v/>
      </c>
      <c r="Q222" s="39" t="n">
        <f aca="false">IF($B222="",0,IFERROR(MATCH($B222,COA_Mapping!$A$7:$A$256,0),0))</f>
        <v>0</v>
      </c>
      <c r="R222" s="39" t="n">
        <f aca="false">IF($A222="",-1,IF($J222=Setup!$B$7,1,IF($J222=Setup!$B$9,0,-1)))</f>
        <v>-1</v>
      </c>
      <c r="S222" s="35" t="n">
        <f aca="false">IF(OR($A222="",$Q222=0,$R222=-1),0,$Q222*1000+$R222*100+$K222)</f>
        <v>0</v>
      </c>
      <c r="T222" s="37" t="str">
        <f aca="false">IF($A222="","",IF($B222="","NO ACCOUNT",IF($Q222=0,"UNMAPPED",IF($R222=-1,"OUTSIDE FY RANGE","OK"))))</f>
        <v/>
      </c>
      <c r="U222" s="40" t="str">
        <f aca="false">IF($A222="","",$B222&amp;"|"&amp;TEXT($A222,"yyyymmdd")&amp;"|"&amp;TEXT($I222,"0.00"))</f>
        <v/>
      </c>
      <c r="V222" s="35" t="str">
        <f aca="false">IF($A222="","",COUNTIF($U$8:$U$5007,$U222))</f>
        <v/>
      </c>
    </row>
    <row r="223" customFormat="false" ht="15" hidden="false" customHeight="false" outlineLevel="0" collapsed="false">
      <c r="A223" s="31"/>
      <c r="B223" s="32"/>
      <c r="C223" s="32"/>
      <c r="D223" s="32"/>
      <c r="E223" s="32"/>
      <c r="F223" s="32"/>
      <c r="G223" s="33"/>
      <c r="H223" s="33"/>
      <c r="I223" s="34" t="str">
        <f aca="false">IF($A223="","",$G223-$H223)</f>
        <v/>
      </c>
      <c r="J223" s="35" t="str">
        <f aca="false">IF($A223="","",IF(Setup!$B$6=1,YEAR($A223),YEAR($A223)+IF(MONTH($A223)&gt;=Setup!$B$6,1,0)))</f>
        <v/>
      </c>
      <c r="K223" s="35" t="str">
        <f aca="false">IF($A223="","",MOD(MONTH($A223)-Setup!$B$6+12,12)+1)</f>
        <v/>
      </c>
      <c r="L223" s="36" t="str">
        <f aca="false">IF($A223="","",TEXT($A223,"MMM-YY"))</f>
        <v/>
      </c>
      <c r="M223" s="37" t="str">
        <f aca="false">IF($A223="","",IF($Q223=0,"UNMAPPED",INDEX(COA_Mapping!$C$7:$C$256,$Q223)))</f>
        <v/>
      </c>
      <c r="N223" s="38" t="str">
        <f aca="false">IF($A223="","",IF($Q223=0,"",INDEX(COA_Mapping!$E$7:$E$256,$Q223)))</f>
        <v/>
      </c>
      <c r="O223" s="38" t="n">
        <f aca="false">IF($A223="",1,IF($Q223=0,1,INDEX(COA_Mapping!$F$7:$F$256,$Q223)))</f>
        <v>1</v>
      </c>
      <c r="P223" s="34" t="str">
        <f aca="false">IF($A223="","",$I223*$O223)</f>
        <v/>
      </c>
      <c r="Q223" s="39" t="n">
        <f aca="false">IF($B223="",0,IFERROR(MATCH($B223,COA_Mapping!$A$7:$A$256,0),0))</f>
        <v>0</v>
      </c>
      <c r="R223" s="39" t="n">
        <f aca="false">IF($A223="",-1,IF($J223=Setup!$B$7,1,IF($J223=Setup!$B$9,0,-1)))</f>
        <v>-1</v>
      </c>
      <c r="S223" s="35" t="n">
        <f aca="false">IF(OR($A223="",$Q223=0,$R223=-1),0,$Q223*1000+$R223*100+$K223)</f>
        <v>0</v>
      </c>
      <c r="T223" s="37" t="str">
        <f aca="false">IF($A223="","",IF($B223="","NO ACCOUNT",IF($Q223=0,"UNMAPPED",IF($R223=-1,"OUTSIDE FY RANGE","OK"))))</f>
        <v/>
      </c>
      <c r="U223" s="40" t="str">
        <f aca="false">IF($A223="","",$B223&amp;"|"&amp;TEXT($A223,"yyyymmdd")&amp;"|"&amp;TEXT($I223,"0.00"))</f>
        <v/>
      </c>
      <c r="V223" s="35" t="str">
        <f aca="false">IF($A223="","",COUNTIF($U$8:$U$5007,$U223))</f>
        <v/>
      </c>
    </row>
    <row r="224" customFormat="false" ht="15" hidden="false" customHeight="false" outlineLevel="0" collapsed="false">
      <c r="A224" s="31"/>
      <c r="B224" s="32"/>
      <c r="C224" s="32"/>
      <c r="D224" s="32"/>
      <c r="E224" s="32"/>
      <c r="F224" s="32"/>
      <c r="G224" s="33"/>
      <c r="H224" s="33"/>
      <c r="I224" s="34" t="str">
        <f aca="false">IF($A224="","",$G224-$H224)</f>
        <v/>
      </c>
      <c r="J224" s="35" t="str">
        <f aca="false">IF($A224="","",IF(Setup!$B$6=1,YEAR($A224),YEAR($A224)+IF(MONTH($A224)&gt;=Setup!$B$6,1,0)))</f>
        <v/>
      </c>
      <c r="K224" s="35" t="str">
        <f aca="false">IF($A224="","",MOD(MONTH($A224)-Setup!$B$6+12,12)+1)</f>
        <v/>
      </c>
      <c r="L224" s="36" t="str">
        <f aca="false">IF($A224="","",TEXT($A224,"MMM-YY"))</f>
        <v/>
      </c>
      <c r="M224" s="37" t="str">
        <f aca="false">IF($A224="","",IF($Q224=0,"UNMAPPED",INDEX(COA_Mapping!$C$7:$C$256,$Q224)))</f>
        <v/>
      </c>
      <c r="N224" s="38" t="str">
        <f aca="false">IF($A224="","",IF($Q224=0,"",INDEX(COA_Mapping!$E$7:$E$256,$Q224)))</f>
        <v/>
      </c>
      <c r="O224" s="38" t="n">
        <f aca="false">IF($A224="",1,IF($Q224=0,1,INDEX(COA_Mapping!$F$7:$F$256,$Q224)))</f>
        <v>1</v>
      </c>
      <c r="P224" s="34" t="str">
        <f aca="false">IF($A224="","",$I224*$O224)</f>
        <v/>
      </c>
      <c r="Q224" s="39" t="n">
        <f aca="false">IF($B224="",0,IFERROR(MATCH($B224,COA_Mapping!$A$7:$A$256,0),0))</f>
        <v>0</v>
      </c>
      <c r="R224" s="39" t="n">
        <f aca="false">IF($A224="",-1,IF($J224=Setup!$B$7,1,IF($J224=Setup!$B$9,0,-1)))</f>
        <v>-1</v>
      </c>
      <c r="S224" s="35" t="n">
        <f aca="false">IF(OR($A224="",$Q224=0,$R224=-1),0,$Q224*1000+$R224*100+$K224)</f>
        <v>0</v>
      </c>
      <c r="T224" s="37" t="str">
        <f aca="false">IF($A224="","",IF($B224="","NO ACCOUNT",IF($Q224=0,"UNMAPPED",IF($R224=-1,"OUTSIDE FY RANGE","OK"))))</f>
        <v/>
      </c>
      <c r="U224" s="40" t="str">
        <f aca="false">IF($A224="","",$B224&amp;"|"&amp;TEXT($A224,"yyyymmdd")&amp;"|"&amp;TEXT($I224,"0.00"))</f>
        <v/>
      </c>
      <c r="V224" s="35" t="str">
        <f aca="false">IF($A224="","",COUNTIF($U$8:$U$5007,$U224))</f>
        <v/>
      </c>
    </row>
    <row r="225" customFormat="false" ht="15" hidden="false" customHeight="false" outlineLevel="0" collapsed="false">
      <c r="A225" s="31"/>
      <c r="B225" s="32"/>
      <c r="C225" s="32"/>
      <c r="D225" s="32"/>
      <c r="E225" s="32"/>
      <c r="F225" s="32"/>
      <c r="G225" s="33"/>
      <c r="H225" s="33"/>
      <c r="I225" s="34" t="str">
        <f aca="false">IF($A225="","",$G225-$H225)</f>
        <v/>
      </c>
      <c r="J225" s="35" t="str">
        <f aca="false">IF($A225="","",IF(Setup!$B$6=1,YEAR($A225),YEAR($A225)+IF(MONTH($A225)&gt;=Setup!$B$6,1,0)))</f>
        <v/>
      </c>
      <c r="K225" s="35" t="str">
        <f aca="false">IF($A225="","",MOD(MONTH($A225)-Setup!$B$6+12,12)+1)</f>
        <v/>
      </c>
      <c r="L225" s="36" t="str">
        <f aca="false">IF($A225="","",TEXT($A225,"MMM-YY"))</f>
        <v/>
      </c>
      <c r="M225" s="37" t="str">
        <f aca="false">IF($A225="","",IF($Q225=0,"UNMAPPED",INDEX(COA_Mapping!$C$7:$C$256,$Q225)))</f>
        <v/>
      </c>
      <c r="N225" s="38" t="str">
        <f aca="false">IF($A225="","",IF($Q225=0,"",INDEX(COA_Mapping!$E$7:$E$256,$Q225)))</f>
        <v/>
      </c>
      <c r="O225" s="38" t="n">
        <f aca="false">IF($A225="",1,IF($Q225=0,1,INDEX(COA_Mapping!$F$7:$F$256,$Q225)))</f>
        <v>1</v>
      </c>
      <c r="P225" s="34" t="str">
        <f aca="false">IF($A225="","",$I225*$O225)</f>
        <v/>
      </c>
      <c r="Q225" s="39" t="n">
        <f aca="false">IF($B225="",0,IFERROR(MATCH($B225,COA_Mapping!$A$7:$A$256,0),0))</f>
        <v>0</v>
      </c>
      <c r="R225" s="39" t="n">
        <f aca="false">IF($A225="",-1,IF($J225=Setup!$B$7,1,IF($J225=Setup!$B$9,0,-1)))</f>
        <v>-1</v>
      </c>
      <c r="S225" s="35" t="n">
        <f aca="false">IF(OR($A225="",$Q225=0,$R225=-1),0,$Q225*1000+$R225*100+$K225)</f>
        <v>0</v>
      </c>
      <c r="T225" s="37" t="str">
        <f aca="false">IF($A225="","",IF($B225="","NO ACCOUNT",IF($Q225=0,"UNMAPPED",IF($R225=-1,"OUTSIDE FY RANGE","OK"))))</f>
        <v/>
      </c>
      <c r="U225" s="40" t="str">
        <f aca="false">IF($A225="","",$B225&amp;"|"&amp;TEXT($A225,"yyyymmdd")&amp;"|"&amp;TEXT($I225,"0.00"))</f>
        <v/>
      </c>
      <c r="V225" s="35" t="str">
        <f aca="false">IF($A225="","",COUNTIF($U$8:$U$5007,$U225))</f>
        <v/>
      </c>
    </row>
    <row r="226" customFormat="false" ht="15" hidden="false" customHeight="false" outlineLevel="0" collapsed="false">
      <c r="A226" s="31"/>
      <c r="B226" s="32"/>
      <c r="C226" s="32"/>
      <c r="D226" s="32"/>
      <c r="E226" s="32"/>
      <c r="F226" s="32"/>
      <c r="G226" s="33"/>
      <c r="H226" s="33"/>
      <c r="I226" s="34" t="str">
        <f aca="false">IF($A226="","",$G226-$H226)</f>
        <v/>
      </c>
      <c r="J226" s="35" t="str">
        <f aca="false">IF($A226="","",IF(Setup!$B$6=1,YEAR($A226),YEAR($A226)+IF(MONTH($A226)&gt;=Setup!$B$6,1,0)))</f>
        <v/>
      </c>
      <c r="K226" s="35" t="str">
        <f aca="false">IF($A226="","",MOD(MONTH($A226)-Setup!$B$6+12,12)+1)</f>
        <v/>
      </c>
      <c r="L226" s="36" t="str">
        <f aca="false">IF($A226="","",TEXT($A226,"MMM-YY"))</f>
        <v/>
      </c>
      <c r="M226" s="37" t="str">
        <f aca="false">IF($A226="","",IF($Q226=0,"UNMAPPED",INDEX(COA_Mapping!$C$7:$C$256,$Q226)))</f>
        <v/>
      </c>
      <c r="N226" s="38" t="str">
        <f aca="false">IF($A226="","",IF($Q226=0,"",INDEX(COA_Mapping!$E$7:$E$256,$Q226)))</f>
        <v/>
      </c>
      <c r="O226" s="38" t="n">
        <f aca="false">IF($A226="",1,IF($Q226=0,1,INDEX(COA_Mapping!$F$7:$F$256,$Q226)))</f>
        <v>1</v>
      </c>
      <c r="P226" s="34" t="str">
        <f aca="false">IF($A226="","",$I226*$O226)</f>
        <v/>
      </c>
      <c r="Q226" s="39" t="n">
        <f aca="false">IF($B226="",0,IFERROR(MATCH($B226,COA_Mapping!$A$7:$A$256,0),0))</f>
        <v>0</v>
      </c>
      <c r="R226" s="39" t="n">
        <f aca="false">IF($A226="",-1,IF($J226=Setup!$B$7,1,IF($J226=Setup!$B$9,0,-1)))</f>
        <v>-1</v>
      </c>
      <c r="S226" s="35" t="n">
        <f aca="false">IF(OR($A226="",$Q226=0,$R226=-1),0,$Q226*1000+$R226*100+$K226)</f>
        <v>0</v>
      </c>
      <c r="T226" s="37" t="str">
        <f aca="false">IF($A226="","",IF($B226="","NO ACCOUNT",IF($Q226=0,"UNMAPPED",IF($R226=-1,"OUTSIDE FY RANGE","OK"))))</f>
        <v/>
      </c>
      <c r="U226" s="40" t="str">
        <f aca="false">IF($A226="","",$B226&amp;"|"&amp;TEXT($A226,"yyyymmdd")&amp;"|"&amp;TEXT($I226,"0.00"))</f>
        <v/>
      </c>
      <c r="V226" s="35" t="str">
        <f aca="false">IF($A226="","",COUNTIF($U$8:$U$5007,$U226))</f>
        <v/>
      </c>
    </row>
    <row r="227" customFormat="false" ht="15" hidden="false" customHeight="false" outlineLevel="0" collapsed="false">
      <c r="A227" s="31"/>
      <c r="B227" s="32"/>
      <c r="C227" s="32"/>
      <c r="D227" s="32"/>
      <c r="E227" s="32"/>
      <c r="F227" s="32"/>
      <c r="G227" s="33"/>
      <c r="H227" s="33"/>
      <c r="I227" s="34" t="str">
        <f aca="false">IF($A227="","",$G227-$H227)</f>
        <v/>
      </c>
      <c r="J227" s="35" t="str">
        <f aca="false">IF($A227="","",IF(Setup!$B$6=1,YEAR($A227),YEAR($A227)+IF(MONTH($A227)&gt;=Setup!$B$6,1,0)))</f>
        <v/>
      </c>
      <c r="K227" s="35" t="str">
        <f aca="false">IF($A227="","",MOD(MONTH($A227)-Setup!$B$6+12,12)+1)</f>
        <v/>
      </c>
      <c r="L227" s="36" t="str">
        <f aca="false">IF($A227="","",TEXT($A227,"MMM-YY"))</f>
        <v/>
      </c>
      <c r="M227" s="37" t="str">
        <f aca="false">IF($A227="","",IF($Q227=0,"UNMAPPED",INDEX(COA_Mapping!$C$7:$C$256,$Q227)))</f>
        <v/>
      </c>
      <c r="N227" s="38" t="str">
        <f aca="false">IF($A227="","",IF($Q227=0,"",INDEX(COA_Mapping!$E$7:$E$256,$Q227)))</f>
        <v/>
      </c>
      <c r="O227" s="38" t="n">
        <f aca="false">IF($A227="",1,IF($Q227=0,1,INDEX(COA_Mapping!$F$7:$F$256,$Q227)))</f>
        <v>1</v>
      </c>
      <c r="P227" s="34" t="str">
        <f aca="false">IF($A227="","",$I227*$O227)</f>
        <v/>
      </c>
      <c r="Q227" s="39" t="n">
        <f aca="false">IF($B227="",0,IFERROR(MATCH($B227,COA_Mapping!$A$7:$A$256,0),0))</f>
        <v>0</v>
      </c>
      <c r="R227" s="39" t="n">
        <f aca="false">IF($A227="",-1,IF($J227=Setup!$B$7,1,IF($J227=Setup!$B$9,0,-1)))</f>
        <v>-1</v>
      </c>
      <c r="S227" s="35" t="n">
        <f aca="false">IF(OR($A227="",$Q227=0,$R227=-1),0,$Q227*1000+$R227*100+$K227)</f>
        <v>0</v>
      </c>
      <c r="T227" s="37" t="str">
        <f aca="false">IF($A227="","",IF($B227="","NO ACCOUNT",IF($Q227=0,"UNMAPPED",IF($R227=-1,"OUTSIDE FY RANGE","OK"))))</f>
        <v/>
      </c>
      <c r="U227" s="40" t="str">
        <f aca="false">IF($A227="","",$B227&amp;"|"&amp;TEXT($A227,"yyyymmdd")&amp;"|"&amp;TEXT($I227,"0.00"))</f>
        <v/>
      </c>
      <c r="V227" s="35" t="str">
        <f aca="false">IF($A227="","",COUNTIF($U$8:$U$5007,$U227))</f>
        <v/>
      </c>
    </row>
    <row r="228" customFormat="false" ht="15" hidden="false" customHeight="false" outlineLevel="0" collapsed="false">
      <c r="A228" s="31"/>
      <c r="B228" s="32"/>
      <c r="C228" s="32"/>
      <c r="D228" s="32"/>
      <c r="E228" s="32"/>
      <c r="F228" s="32"/>
      <c r="G228" s="33"/>
      <c r="H228" s="33"/>
      <c r="I228" s="34" t="str">
        <f aca="false">IF($A228="","",$G228-$H228)</f>
        <v/>
      </c>
      <c r="J228" s="35" t="str">
        <f aca="false">IF($A228="","",IF(Setup!$B$6=1,YEAR($A228),YEAR($A228)+IF(MONTH($A228)&gt;=Setup!$B$6,1,0)))</f>
        <v/>
      </c>
      <c r="K228" s="35" t="str">
        <f aca="false">IF($A228="","",MOD(MONTH($A228)-Setup!$B$6+12,12)+1)</f>
        <v/>
      </c>
      <c r="L228" s="36" t="str">
        <f aca="false">IF($A228="","",TEXT($A228,"MMM-YY"))</f>
        <v/>
      </c>
      <c r="M228" s="37" t="str">
        <f aca="false">IF($A228="","",IF($Q228=0,"UNMAPPED",INDEX(COA_Mapping!$C$7:$C$256,$Q228)))</f>
        <v/>
      </c>
      <c r="N228" s="38" t="str">
        <f aca="false">IF($A228="","",IF($Q228=0,"",INDEX(COA_Mapping!$E$7:$E$256,$Q228)))</f>
        <v/>
      </c>
      <c r="O228" s="38" t="n">
        <f aca="false">IF($A228="",1,IF($Q228=0,1,INDEX(COA_Mapping!$F$7:$F$256,$Q228)))</f>
        <v>1</v>
      </c>
      <c r="P228" s="34" t="str">
        <f aca="false">IF($A228="","",$I228*$O228)</f>
        <v/>
      </c>
      <c r="Q228" s="39" t="n">
        <f aca="false">IF($B228="",0,IFERROR(MATCH($B228,COA_Mapping!$A$7:$A$256,0),0))</f>
        <v>0</v>
      </c>
      <c r="R228" s="39" t="n">
        <f aca="false">IF($A228="",-1,IF($J228=Setup!$B$7,1,IF($J228=Setup!$B$9,0,-1)))</f>
        <v>-1</v>
      </c>
      <c r="S228" s="35" t="n">
        <f aca="false">IF(OR($A228="",$Q228=0,$R228=-1),0,$Q228*1000+$R228*100+$K228)</f>
        <v>0</v>
      </c>
      <c r="T228" s="37" t="str">
        <f aca="false">IF($A228="","",IF($B228="","NO ACCOUNT",IF($Q228=0,"UNMAPPED",IF($R228=-1,"OUTSIDE FY RANGE","OK"))))</f>
        <v/>
      </c>
      <c r="U228" s="40" t="str">
        <f aca="false">IF($A228="","",$B228&amp;"|"&amp;TEXT($A228,"yyyymmdd")&amp;"|"&amp;TEXT($I228,"0.00"))</f>
        <v/>
      </c>
      <c r="V228" s="35" t="str">
        <f aca="false">IF($A228="","",COUNTIF($U$8:$U$5007,$U228))</f>
        <v/>
      </c>
    </row>
    <row r="229" customFormat="false" ht="15" hidden="false" customHeight="false" outlineLevel="0" collapsed="false">
      <c r="A229" s="31"/>
      <c r="B229" s="32"/>
      <c r="C229" s="32"/>
      <c r="D229" s="32"/>
      <c r="E229" s="32"/>
      <c r="F229" s="32"/>
      <c r="G229" s="33"/>
      <c r="H229" s="33"/>
      <c r="I229" s="34" t="str">
        <f aca="false">IF($A229="","",$G229-$H229)</f>
        <v/>
      </c>
      <c r="J229" s="35" t="str">
        <f aca="false">IF($A229="","",IF(Setup!$B$6=1,YEAR($A229),YEAR($A229)+IF(MONTH($A229)&gt;=Setup!$B$6,1,0)))</f>
        <v/>
      </c>
      <c r="K229" s="35" t="str">
        <f aca="false">IF($A229="","",MOD(MONTH($A229)-Setup!$B$6+12,12)+1)</f>
        <v/>
      </c>
      <c r="L229" s="36" t="str">
        <f aca="false">IF($A229="","",TEXT($A229,"MMM-YY"))</f>
        <v/>
      </c>
      <c r="M229" s="37" t="str">
        <f aca="false">IF($A229="","",IF($Q229=0,"UNMAPPED",INDEX(COA_Mapping!$C$7:$C$256,$Q229)))</f>
        <v/>
      </c>
      <c r="N229" s="38" t="str">
        <f aca="false">IF($A229="","",IF($Q229=0,"",INDEX(COA_Mapping!$E$7:$E$256,$Q229)))</f>
        <v/>
      </c>
      <c r="O229" s="38" t="n">
        <f aca="false">IF($A229="",1,IF($Q229=0,1,INDEX(COA_Mapping!$F$7:$F$256,$Q229)))</f>
        <v>1</v>
      </c>
      <c r="P229" s="34" t="str">
        <f aca="false">IF($A229="","",$I229*$O229)</f>
        <v/>
      </c>
      <c r="Q229" s="39" t="n">
        <f aca="false">IF($B229="",0,IFERROR(MATCH($B229,COA_Mapping!$A$7:$A$256,0),0))</f>
        <v>0</v>
      </c>
      <c r="R229" s="39" t="n">
        <f aca="false">IF($A229="",-1,IF($J229=Setup!$B$7,1,IF($J229=Setup!$B$9,0,-1)))</f>
        <v>-1</v>
      </c>
      <c r="S229" s="35" t="n">
        <f aca="false">IF(OR($A229="",$Q229=0,$R229=-1),0,$Q229*1000+$R229*100+$K229)</f>
        <v>0</v>
      </c>
      <c r="T229" s="37" t="str">
        <f aca="false">IF($A229="","",IF($B229="","NO ACCOUNT",IF($Q229=0,"UNMAPPED",IF($R229=-1,"OUTSIDE FY RANGE","OK"))))</f>
        <v/>
      </c>
      <c r="U229" s="40" t="str">
        <f aca="false">IF($A229="","",$B229&amp;"|"&amp;TEXT($A229,"yyyymmdd")&amp;"|"&amp;TEXT($I229,"0.00"))</f>
        <v/>
      </c>
      <c r="V229" s="35" t="str">
        <f aca="false">IF($A229="","",COUNTIF($U$8:$U$5007,$U229))</f>
        <v/>
      </c>
    </row>
    <row r="230" customFormat="false" ht="15" hidden="false" customHeight="false" outlineLevel="0" collapsed="false">
      <c r="A230" s="31"/>
      <c r="B230" s="32"/>
      <c r="C230" s="32"/>
      <c r="D230" s="32"/>
      <c r="E230" s="32"/>
      <c r="F230" s="32"/>
      <c r="G230" s="33"/>
      <c r="H230" s="33"/>
      <c r="I230" s="34" t="str">
        <f aca="false">IF($A230="","",$G230-$H230)</f>
        <v/>
      </c>
      <c r="J230" s="35" t="str">
        <f aca="false">IF($A230="","",IF(Setup!$B$6=1,YEAR($A230),YEAR($A230)+IF(MONTH($A230)&gt;=Setup!$B$6,1,0)))</f>
        <v/>
      </c>
      <c r="K230" s="35" t="str">
        <f aca="false">IF($A230="","",MOD(MONTH($A230)-Setup!$B$6+12,12)+1)</f>
        <v/>
      </c>
      <c r="L230" s="36" t="str">
        <f aca="false">IF($A230="","",TEXT($A230,"MMM-YY"))</f>
        <v/>
      </c>
      <c r="M230" s="37" t="str">
        <f aca="false">IF($A230="","",IF($Q230=0,"UNMAPPED",INDEX(COA_Mapping!$C$7:$C$256,$Q230)))</f>
        <v/>
      </c>
      <c r="N230" s="38" t="str">
        <f aca="false">IF($A230="","",IF($Q230=0,"",INDEX(COA_Mapping!$E$7:$E$256,$Q230)))</f>
        <v/>
      </c>
      <c r="O230" s="38" t="n">
        <f aca="false">IF($A230="",1,IF($Q230=0,1,INDEX(COA_Mapping!$F$7:$F$256,$Q230)))</f>
        <v>1</v>
      </c>
      <c r="P230" s="34" t="str">
        <f aca="false">IF($A230="","",$I230*$O230)</f>
        <v/>
      </c>
      <c r="Q230" s="39" t="n">
        <f aca="false">IF($B230="",0,IFERROR(MATCH($B230,COA_Mapping!$A$7:$A$256,0),0))</f>
        <v>0</v>
      </c>
      <c r="R230" s="39" t="n">
        <f aca="false">IF($A230="",-1,IF($J230=Setup!$B$7,1,IF($J230=Setup!$B$9,0,-1)))</f>
        <v>-1</v>
      </c>
      <c r="S230" s="35" t="n">
        <f aca="false">IF(OR($A230="",$Q230=0,$R230=-1),0,$Q230*1000+$R230*100+$K230)</f>
        <v>0</v>
      </c>
      <c r="T230" s="37" t="str">
        <f aca="false">IF($A230="","",IF($B230="","NO ACCOUNT",IF($Q230=0,"UNMAPPED",IF($R230=-1,"OUTSIDE FY RANGE","OK"))))</f>
        <v/>
      </c>
      <c r="U230" s="40" t="str">
        <f aca="false">IF($A230="","",$B230&amp;"|"&amp;TEXT($A230,"yyyymmdd")&amp;"|"&amp;TEXT($I230,"0.00"))</f>
        <v/>
      </c>
      <c r="V230" s="35" t="str">
        <f aca="false">IF($A230="","",COUNTIF($U$8:$U$5007,$U230))</f>
        <v/>
      </c>
    </row>
    <row r="231" customFormat="false" ht="15" hidden="false" customHeight="false" outlineLevel="0" collapsed="false">
      <c r="A231" s="31"/>
      <c r="B231" s="32"/>
      <c r="C231" s="32"/>
      <c r="D231" s="32"/>
      <c r="E231" s="32"/>
      <c r="F231" s="32"/>
      <c r="G231" s="33"/>
      <c r="H231" s="33"/>
      <c r="I231" s="34" t="str">
        <f aca="false">IF($A231="","",$G231-$H231)</f>
        <v/>
      </c>
      <c r="J231" s="35" t="str">
        <f aca="false">IF($A231="","",IF(Setup!$B$6=1,YEAR($A231),YEAR($A231)+IF(MONTH($A231)&gt;=Setup!$B$6,1,0)))</f>
        <v/>
      </c>
      <c r="K231" s="35" t="str">
        <f aca="false">IF($A231="","",MOD(MONTH($A231)-Setup!$B$6+12,12)+1)</f>
        <v/>
      </c>
      <c r="L231" s="36" t="str">
        <f aca="false">IF($A231="","",TEXT($A231,"MMM-YY"))</f>
        <v/>
      </c>
      <c r="M231" s="37" t="str">
        <f aca="false">IF($A231="","",IF($Q231=0,"UNMAPPED",INDEX(COA_Mapping!$C$7:$C$256,$Q231)))</f>
        <v/>
      </c>
      <c r="N231" s="38" t="str">
        <f aca="false">IF($A231="","",IF($Q231=0,"",INDEX(COA_Mapping!$E$7:$E$256,$Q231)))</f>
        <v/>
      </c>
      <c r="O231" s="38" t="n">
        <f aca="false">IF($A231="",1,IF($Q231=0,1,INDEX(COA_Mapping!$F$7:$F$256,$Q231)))</f>
        <v>1</v>
      </c>
      <c r="P231" s="34" t="str">
        <f aca="false">IF($A231="","",$I231*$O231)</f>
        <v/>
      </c>
      <c r="Q231" s="39" t="n">
        <f aca="false">IF($B231="",0,IFERROR(MATCH($B231,COA_Mapping!$A$7:$A$256,0),0))</f>
        <v>0</v>
      </c>
      <c r="R231" s="39" t="n">
        <f aca="false">IF($A231="",-1,IF($J231=Setup!$B$7,1,IF($J231=Setup!$B$9,0,-1)))</f>
        <v>-1</v>
      </c>
      <c r="S231" s="35" t="n">
        <f aca="false">IF(OR($A231="",$Q231=0,$R231=-1),0,$Q231*1000+$R231*100+$K231)</f>
        <v>0</v>
      </c>
      <c r="T231" s="37" t="str">
        <f aca="false">IF($A231="","",IF($B231="","NO ACCOUNT",IF($Q231=0,"UNMAPPED",IF($R231=-1,"OUTSIDE FY RANGE","OK"))))</f>
        <v/>
      </c>
      <c r="U231" s="40" t="str">
        <f aca="false">IF($A231="","",$B231&amp;"|"&amp;TEXT($A231,"yyyymmdd")&amp;"|"&amp;TEXT($I231,"0.00"))</f>
        <v/>
      </c>
      <c r="V231" s="35" t="str">
        <f aca="false">IF($A231="","",COUNTIF($U$8:$U$5007,$U231))</f>
        <v/>
      </c>
    </row>
    <row r="232" customFormat="false" ht="15" hidden="false" customHeight="false" outlineLevel="0" collapsed="false">
      <c r="A232" s="31"/>
      <c r="B232" s="32"/>
      <c r="C232" s="32"/>
      <c r="D232" s="32"/>
      <c r="E232" s="32"/>
      <c r="F232" s="32"/>
      <c r="G232" s="33"/>
      <c r="H232" s="33"/>
      <c r="I232" s="34" t="str">
        <f aca="false">IF($A232="","",$G232-$H232)</f>
        <v/>
      </c>
      <c r="J232" s="35" t="str">
        <f aca="false">IF($A232="","",IF(Setup!$B$6=1,YEAR($A232),YEAR($A232)+IF(MONTH($A232)&gt;=Setup!$B$6,1,0)))</f>
        <v/>
      </c>
      <c r="K232" s="35" t="str">
        <f aca="false">IF($A232="","",MOD(MONTH($A232)-Setup!$B$6+12,12)+1)</f>
        <v/>
      </c>
      <c r="L232" s="36" t="str">
        <f aca="false">IF($A232="","",TEXT($A232,"MMM-YY"))</f>
        <v/>
      </c>
      <c r="M232" s="37" t="str">
        <f aca="false">IF($A232="","",IF($Q232=0,"UNMAPPED",INDEX(COA_Mapping!$C$7:$C$256,$Q232)))</f>
        <v/>
      </c>
      <c r="N232" s="38" t="str">
        <f aca="false">IF($A232="","",IF($Q232=0,"",INDEX(COA_Mapping!$E$7:$E$256,$Q232)))</f>
        <v/>
      </c>
      <c r="O232" s="38" t="n">
        <f aca="false">IF($A232="",1,IF($Q232=0,1,INDEX(COA_Mapping!$F$7:$F$256,$Q232)))</f>
        <v>1</v>
      </c>
      <c r="P232" s="34" t="str">
        <f aca="false">IF($A232="","",$I232*$O232)</f>
        <v/>
      </c>
      <c r="Q232" s="39" t="n">
        <f aca="false">IF($B232="",0,IFERROR(MATCH($B232,COA_Mapping!$A$7:$A$256,0),0))</f>
        <v>0</v>
      </c>
      <c r="R232" s="39" t="n">
        <f aca="false">IF($A232="",-1,IF($J232=Setup!$B$7,1,IF($J232=Setup!$B$9,0,-1)))</f>
        <v>-1</v>
      </c>
      <c r="S232" s="35" t="n">
        <f aca="false">IF(OR($A232="",$Q232=0,$R232=-1),0,$Q232*1000+$R232*100+$K232)</f>
        <v>0</v>
      </c>
      <c r="T232" s="37" t="str">
        <f aca="false">IF($A232="","",IF($B232="","NO ACCOUNT",IF($Q232=0,"UNMAPPED",IF($R232=-1,"OUTSIDE FY RANGE","OK"))))</f>
        <v/>
      </c>
      <c r="U232" s="40" t="str">
        <f aca="false">IF($A232="","",$B232&amp;"|"&amp;TEXT($A232,"yyyymmdd")&amp;"|"&amp;TEXT($I232,"0.00"))</f>
        <v/>
      </c>
      <c r="V232" s="35" t="str">
        <f aca="false">IF($A232="","",COUNTIF($U$8:$U$5007,$U232))</f>
        <v/>
      </c>
    </row>
    <row r="233" customFormat="false" ht="15" hidden="false" customHeight="false" outlineLevel="0" collapsed="false">
      <c r="A233" s="31"/>
      <c r="B233" s="32"/>
      <c r="C233" s="32"/>
      <c r="D233" s="32"/>
      <c r="E233" s="32"/>
      <c r="F233" s="32"/>
      <c r="G233" s="33"/>
      <c r="H233" s="33"/>
      <c r="I233" s="34" t="str">
        <f aca="false">IF($A233="","",$G233-$H233)</f>
        <v/>
      </c>
      <c r="J233" s="35" t="str">
        <f aca="false">IF($A233="","",IF(Setup!$B$6=1,YEAR($A233),YEAR($A233)+IF(MONTH($A233)&gt;=Setup!$B$6,1,0)))</f>
        <v/>
      </c>
      <c r="K233" s="35" t="str">
        <f aca="false">IF($A233="","",MOD(MONTH($A233)-Setup!$B$6+12,12)+1)</f>
        <v/>
      </c>
      <c r="L233" s="36" t="str">
        <f aca="false">IF($A233="","",TEXT($A233,"MMM-YY"))</f>
        <v/>
      </c>
      <c r="M233" s="37" t="str">
        <f aca="false">IF($A233="","",IF($Q233=0,"UNMAPPED",INDEX(COA_Mapping!$C$7:$C$256,$Q233)))</f>
        <v/>
      </c>
      <c r="N233" s="38" t="str">
        <f aca="false">IF($A233="","",IF($Q233=0,"",INDEX(COA_Mapping!$E$7:$E$256,$Q233)))</f>
        <v/>
      </c>
      <c r="O233" s="38" t="n">
        <f aca="false">IF($A233="",1,IF($Q233=0,1,INDEX(COA_Mapping!$F$7:$F$256,$Q233)))</f>
        <v>1</v>
      </c>
      <c r="P233" s="34" t="str">
        <f aca="false">IF($A233="","",$I233*$O233)</f>
        <v/>
      </c>
      <c r="Q233" s="39" t="n">
        <f aca="false">IF($B233="",0,IFERROR(MATCH($B233,COA_Mapping!$A$7:$A$256,0),0))</f>
        <v>0</v>
      </c>
      <c r="R233" s="39" t="n">
        <f aca="false">IF($A233="",-1,IF($J233=Setup!$B$7,1,IF($J233=Setup!$B$9,0,-1)))</f>
        <v>-1</v>
      </c>
      <c r="S233" s="35" t="n">
        <f aca="false">IF(OR($A233="",$Q233=0,$R233=-1),0,$Q233*1000+$R233*100+$K233)</f>
        <v>0</v>
      </c>
      <c r="T233" s="37" t="str">
        <f aca="false">IF($A233="","",IF($B233="","NO ACCOUNT",IF($Q233=0,"UNMAPPED",IF($R233=-1,"OUTSIDE FY RANGE","OK"))))</f>
        <v/>
      </c>
      <c r="U233" s="40" t="str">
        <f aca="false">IF($A233="","",$B233&amp;"|"&amp;TEXT($A233,"yyyymmdd")&amp;"|"&amp;TEXT($I233,"0.00"))</f>
        <v/>
      </c>
      <c r="V233" s="35" t="str">
        <f aca="false">IF($A233="","",COUNTIF($U$8:$U$5007,$U233))</f>
        <v/>
      </c>
    </row>
    <row r="234" customFormat="false" ht="15" hidden="false" customHeight="false" outlineLevel="0" collapsed="false">
      <c r="A234" s="31"/>
      <c r="B234" s="32"/>
      <c r="C234" s="32"/>
      <c r="D234" s="32"/>
      <c r="E234" s="32"/>
      <c r="F234" s="32"/>
      <c r="G234" s="33"/>
      <c r="H234" s="33"/>
      <c r="I234" s="34" t="str">
        <f aca="false">IF($A234="","",$G234-$H234)</f>
        <v/>
      </c>
      <c r="J234" s="35" t="str">
        <f aca="false">IF($A234="","",IF(Setup!$B$6=1,YEAR($A234),YEAR($A234)+IF(MONTH($A234)&gt;=Setup!$B$6,1,0)))</f>
        <v/>
      </c>
      <c r="K234" s="35" t="str">
        <f aca="false">IF($A234="","",MOD(MONTH($A234)-Setup!$B$6+12,12)+1)</f>
        <v/>
      </c>
      <c r="L234" s="36" t="str">
        <f aca="false">IF($A234="","",TEXT($A234,"MMM-YY"))</f>
        <v/>
      </c>
      <c r="M234" s="37" t="str">
        <f aca="false">IF($A234="","",IF($Q234=0,"UNMAPPED",INDEX(COA_Mapping!$C$7:$C$256,$Q234)))</f>
        <v/>
      </c>
      <c r="N234" s="38" t="str">
        <f aca="false">IF($A234="","",IF($Q234=0,"",INDEX(COA_Mapping!$E$7:$E$256,$Q234)))</f>
        <v/>
      </c>
      <c r="O234" s="38" t="n">
        <f aca="false">IF($A234="",1,IF($Q234=0,1,INDEX(COA_Mapping!$F$7:$F$256,$Q234)))</f>
        <v>1</v>
      </c>
      <c r="P234" s="34" t="str">
        <f aca="false">IF($A234="","",$I234*$O234)</f>
        <v/>
      </c>
      <c r="Q234" s="39" t="n">
        <f aca="false">IF($B234="",0,IFERROR(MATCH($B234,COA_Mapping!$A$7:$A$256,0),0))</f>
        <v>0</v>
      </c>
      <c r="R234" s="39" t="n">
        <f aca="false">IF($A234="",-1,IF($J234=Setup!$B$7,1,IF($J234=Setup!$B$9,0,-1)))</f>
        <v>-1</v>
      </c>
      <c r="S234" s="35" t="n">
        <f aca="false">IF(OR($A234="",$Q234=0,$R234=-1),0,$Q234*1000+$R234*100+$K234)</f>
        <v>0</v>
      </c>
      <c r="T234" s="37" t="str">
        <f aca="false">IF($A234="","",IF($B234="","NO ACCOUNT",IF($Q234=0,"UNMAPPED",IF($R234=-1,"OUTSIDE FY RANGE","OK"))))</f>
        <v/>
      </c>
      <c r="U234" s="40" t="str">
        <f aca="false">IF($A234="","",$B234&amp;"|"&amp;TEXT($A234,"yyyymmdd")&amp;"|"&amp;TEXT($I234,"0.00"))</f>
        <v/>
      </c>
      <c r="V234" s="35" t="str">
        <f aca="false">IF($A234="","",COUNTIF($U$8:$U$5007,$U234))</f>
        <v/>
      </c>
    </row>
    <row r="235" customFormat="false" ht="15" hidden="false" customHeight="false" outlineLevel="0" collapsed="false">
      <c r="A235" s="31"/>
      <c r="B235" s="32"/>
      <c r="C235" s="32"/>
      <c r="D235" s="32"/>
      <c r="E235" s="32"/>
      <c r="F235" s="32"/>
      <c r="G235" s="33"/>
      <c r="H235" s="33"/>
      <c r="I235" s="34" t="str">
        <f aca="false">IF($A235="","",$G235-$H235)</f>
        <v/>
      </c>
      <c r="J235" s="35" t="str">
        <f aca="false">IF($A235="","",IF(Setup!$B$6=1,YEAR($A235),YEAR($A235)+IF(MONTH($A235)&gt;=Setup!$B$6,1,0)))</f>
        <v/>
      </c>
      <c r="K235" s="35" t="str">
        <f aca="false">IF($A235="","",MOD(MONTH($A235)-Setup!$B$6+12,12)+1)</f>
        <v/>
      </c>
      <c r="L235" s="36" t="str">
        <f aca="false">IF($A235="","",TEXT($A235,"MMM-YY"))</f>
        <v/>
      </c>
      <c r="M235" s="37" t="str">
        <f aca="false">IF($A235="","",IF($Q235=0,"UNMAPPED",INDEX(COA_Mapping!$C$7:$C$256,$Q235)))</f>
        <v/>
      </c>
      <c r="N235" s="38" t="str">
        <f aca="false">IF($A235="","",IF($Q235=0,"",INDEX(COA_Mapping!$E$7:$E$256,$Q235)))</f>
        <v/>
      </c>
      <c r="O235" s="38" t="n">
        <f aca="false">IF($A235="",1,IF($Q235=0,1,INDEX(COA_Mapping!$F$7:$F$256,$Q235)))</f>
        <v>1</v>
      </c>
      <c r="P235" s="34" t="str">
        <f aca="false">IF($A235="","",$I235*$O235)</f>
        <v/>
      </c>
      <c r="Q235" s="39" t="n">
        <f aca="false">IF($B235="",0,IFERROR(MATCH($B235,COA_Mapping!$A$7:$A$256,0),0))</f>
        <v>0</v>
      </c>
      <c r="R235" s="39" t="n">
        <f aca="false">IF($A235="",-1,IF($J235=Setup!$B$7,1,IF($J235=Setup!$B$9,0,-1)))</f>
        <v>-1</v>
      </c>
      <c r="S235" s="35" t="n">
        <f aca="false">IF(OR($A235="",$Q235=0,$R235=-1),0,$Q235*1000+$R235*100+$K235)</f>
        <v>0</v>
      </c>
      <c r="T235" s="37" t="str">
        <f aca="false">IF($A235="","",IF($B235="","NO ACCOUNT",IF($Q235=0,"UNMAPPED",IF($R235=-1,"OUTSIDE FY RANGE","OK"))))</f>
        <v/>
      </c>
      <c r="U235" s="40" t="str">
        <f aca="false">IF($A235="","",$B235&amp;"|"&amp;TEXT($A235,"yyyymmdd")&amp;"|"&amp;TEXT($I235,"0.00"))</f>
        <v/>
      </c>
      <c r="V235" s="35" t="str">
        <f aca="false">IF($A235="","",COUNTIF($U$8:$U$5007,$U235))</f>
        <v/>
      </c>
    </row>
    <row r="236" customFormat="false" ht="15" hidden="false" customHeight="false" outlineLevel="0" collapsed="false">
      <c r="A236" s="31"/>
      <c r="B236" s="32"/>
      <c r="C236" s="32"/>
      <c r="D236" s="32"/>
      <c r="E236" s="32"/>
      <c r="F236" s="32"/>
      <c r="G236" s="33"/>
      <c r="H236" s="33"/>
      <c r="I236" s="34" t="str">
        <f aca="false">IF($A236="","",$G236-$H236)</f>
        <v/>
      </c>
      <c r="J236" s="35" t="str">
        <f aca="false">IF($A236="","",IF(Setup!$B$6=1,YEAR($A236),YEAR($A236)+IF(MONTH($A236)&gt;=Setup!$B$6,1,0)))</f>
        <v/>
      </c>
      <c r="K236" s="35" t="str">
        <f aca="false">IF($A236="","",MOD(MONTH($A236)-Setup!$B$6+12,12)+1)</f>
        <v/>
      </c>
      <c r="L236" s="36" t="str">
        <f aca="false">IF($A236="","",TEXT($A236,"MMM-YY"))</f>
        <v/>
      </c>
      <c r="M236" s="37" t="str">
        <f aca="false">IF($A236="","",IF($Q236=0,"UNMAPPED",INDEX(COA_Mapping!$C$7:$C$256,$Q236)))</f>
        <v/>
      </c>
      <c r="N236" s="38" t="str">
        <f aca="false">IF($A236="","",IF($Q236=0,"",INDEX(COA_Mapping!$E$7:$E$256,$Q236)))</f>
        <v/>
      </c>
      <c r="O236" s="38" t="n">
        <f aca="false">IF($A236="",1,IF($Q236=0,1,INDEX(COA_Mapping!$F$7:$F$256,$Q236)))</f>
        <v>1</v>
      </c>
      <c r="P236" s="34" t="str">
        <f aca="false">IF($A236="","",$I236*$O236)</f>
        <v/>
      </c>
      <c r="Q236" s="39" t="n">
        <f aca="false">IF($B236="",0,IFERROR(MATCH($B236,COA_Mapping!$A$7:$A$256,0),0))</f>
        <v>0</v>
      </c>
      <c r="R236" s="39" t="n">
        <f aca="false">IF($A236="",-1,IF($J236=Setup!$B$7,1,IF($J236=Setup!$B$9,0,-1)))</f>
        <v>-1</v>
      </c>
      <c r="S236" s="35" t="n">
        <f aca="false">IF(OR($A236="",$Q236=0,$R236=-1),0,$Q236*1000+$R236*100+$K236)</f>
        <v>0</v>
      </c>
      <c r="T236" s="37" t="str">
        <f aca="false">IF($A236="","",IF($B236="","NO ACCOUNT",IF($Q236=0,"UNMAPPED",IF($R236=-1,"OUTSIDE FY RANGE","OK"))))</f>
        <v/>
      </c>
      <c r="U236" s="40" t="str">
        <f aca="false">IF($A236="","",$B236&amp;"|"&amp;TEXT($A236,"yyyymmdd")&amp;"|"&amp;TEXT($I236,"0.00"))</f>
        <v/>
      </c>
      <c r="V236" s="35" t="str">
        <f aca="false">IF($A236="","",COUNTIF($U$8:$U$5007,$U236))</f>
        <v/>
      </c>
    </row>
    <row r="237" customFormat="false" ht="15" hidden="false" customHeight="false" outlineLevel="0" collapsed="false">
      <c r="A237" s="31"/>
      <c r="B237" s="32"/>
      <c r="C237" s="32"/>
      <c r="D237" s="32"/>
      <c r="E237" s="32"/>
      <c r="F237" s="32"/>
      <c r="G237" s="33"/>
      <c r="H237" s="33"/>
      <c r="I237" s="34" t="str">
        <f aca="false">IF($A237="","",$G237-$H237)</f>
        <v/>
      </c>
      <c r="J237" s="35" t="str">
        <f aca="false">IF($A237="","",IF(Setup!$B$6=1,YEAR($A237),YEAR($A237)+IF(MONTH($A237)&gt;=Setup!$B$6,1,0)))</f>
        <v/>
      </c>
      <c r="K237" s="35" t="str">
        <f aca="false">IF($A237="","",MOD(MONTH($A237)-Setup!$B$6+12,12)+1)</f>
        <v/>
      </c>
      <c r="L237" s="36" t="str">
        <f aca="false">IF($A237="","",TEXT($A237,"MMM-YY"))</f>
        <v/>
      </c>
      <c r="M237" s="37" t="str">
        <f aca="false">IF($A237="","",IF($Q237=0,"UNMAPPED",INDEX(COA_Mapping!$C$7:$C$256,$Q237)))</f>
        <v/>
      </c>
      <c r="N237" s="38" t="str">
        <f aca="false">IF($A237="","",IF($Q237=0,"",INDEX(COA_Mapping!$E$7:$E$256,$Q237)))</f>
        <v/>
      </c>
      <c r="O237" s="38" t="n">
        <f aca="false">IF($A237="",1,IF($Q237=0,1,INDEX(COA_Mapping!$F$7:$F$256,$Q237)))</f>
        <v>1</v>
      </c>
      <c r="P237" s="34" t="str">
        <f aca="false">IF($A237="","",$I237*$O237)</f>
        <v/>
      </c>
      <c r="Q237" s="39" t="n">
        <f aca="false">IF($B237="",0,IFERROR(MATCH($B237,COA_Mapping!$A$7:$A$256,0),0))</f>
        <v>0</v>
      </c>
      <c r="R237" s="39" t="n">
        <f aca="false">IF($A237="",-1,IF($J237=Setup!$B$7,1,IF($J237=Setup!$B$9,0,-1)))</f>
        <v>-1</v>
      </c>
      <c r="S237" s="35" t="n">
        <f aca="false">IF(OR($A237="",$Q237=0,$R237=-1),0,$Q237*1000+$R237*100+$K237)</f>
        <v>0</v>
      </c>
      <c r="T237" s="37" t="str">
        <f aca="false">IF($A237="","",IF($B237="","NO ACCOUNT",IF($Q237=0,"UNMAPPED",IF($R237=-1,"OUTSIDE FY RANGE","OK"))))</f>
        <v/>
      </c>
      <c r="U237" s="40" t="str">
        <f aca="false">IF($A237="","",$B237&amp;"|"&amp;TEXT($A237,"yyyymmdd")&amp;"|"&amp;TEXT($I237,"0.00"))</f>
        <v/>
      </c>
      <c r="V237" s="35" t="str">
        <f aca="false">IF($A237="","",COUNTIF($U$8:$U$5007,$U237))</f>
        <v/>
      </c>
    </row>
    <row r="238" customFormat="false" ht="15" hidden="false" customHeight="false" outlineLevel="0" collapsed="false">
      <c r="A238" s="31"/>
      <c r="B238" s="32"/>
      <c r="C238" s="32"/>
      <c r="D238" s="32"/>
      <c r="E238" s="32"/>
      <c r="F238" s="32"/>
      <c r="G238" s="33"/>
      <c r="H238" s="33"/>
      <c r="I238" s="34" t="str">
        <f aca="false">IF($A238="","",$G238-$H238)</f>
        <v/>
      </c>
      <c r="J238" s="35" t="str">
        <f aca="false">IF($A238="","",IF(Setup!$B$6=1,YEAR($A238),YEAR($A238)+IF(MONTH($A238)&gt;=Setup!$B$6,1,0)))</f>
        <v/>
      </c>
      <c r="K238" s="35" t="str">
        <f aca="false">IF($A238="","",MOD(MONTH($A238)-Setup!$B$6+12,12)+1)</f>
        <v/>
      </c>
      <c r="L238" s="36" t="str">
        <f aca="false">IF($A238="","",TEXT($A238,"MMM-YY"))</f>
        <v/>
      </c>
      <c r="M238" s="37" t="str">
        <f aca="false">IF($A238="","",IF($Q238=0,"UNMAPPED",INDEX(COA_Mapping!$C$7:$C$256,$Q238)))</f>
        <v/>
      </c>
      <c r="N238" s="38" t="str">
        <f aca="false">IF($A238="","",IF($Q238=0,"",INDEX(COA_Mapping!$E$7:$E$256,$Q238)))</f>
        <v/>
      </c>
      <c r="O238" s="38" t="n">
        <f aca="false">IF($A238="",1,IF($Q238=0,1,INDEX(COA_Mapping!$F$7:$F$256,$Q238)))</f>
        <v>1</v>
      </c>
      <c r="P238" s="34" t="str">
        <f aca="false">IF($A238="","",$I238*$O238)</f>
        <v/>
      </c>
      <c r="Q238" s="39" t="n">
        <f aca="false">IF($B238="",0,IFERROR(MATCH($B238,COA_Mapping!$A$7:$A$256,0),0))</f>
        <v>0</v>
      </c>
      <c r="R238" s="39" t="n">
        <f aca="false">IF($A238="",-1,IF($J238=Setup!$B$7,1,IF($J238=Setup!$B$9,0,-1)))</f>
        <v>-1</v>
      </c>
      <c r="S238" s="35" t="n">
        <f aca="false">IF(OR($A238="",$Q238=0,$R238=-1),0,$Q238*1000+$R238*100+$K238)</f>
        <v>0</v>
      </c>
      <c r="T238" s="37" t="str">
        <f aca="false">IF($A238="","",IF($B238="","NO ACCOUNT",IF($Q238=0,"UNMAPPED",IF($R238=-1,"OUTSIDE FY RANGE","OK"))))</f>
        <v/>
      </c>
      <c r="U238" s="40" t="str">
        <f aca="false">IF($A238="","",$B238&amp;"|"&amp;TEXT($A238,"yyyymmdd")&amp;"|"&amp;TEXT($I238,"0.00"))</f>
        <v/>
      </c>
      <c r="V238" s="35" t="str">
        <f aca="false">IF($A238="","",COUNTIF($U$8:$U$5007,$U238))</f>
        <v/>
      </c>
    </row>
    <row r="239" customFormat="false" ht="15" hidden="false" customHeight="false" outlineLevel="0" collapsed="false">
      <c r="A239" s="31"/>
      <c r="B239" s="32"/>
      <c r="C239" s="32"/>
      <c r="D239" s="32"/>
      <c r="E239" s="32"/>
      <c r="F239" s="32"/>
      <c r="G239" s="33"/>
      <c r="H239" s="33"/>
      <c r="I239" s="34" t="str">
        <f aca="false">IF($A239="","",$G239-$H239)</f>
        <v/>
      </c>
      <c r="J239" s="35" t="str">
        <f aca="false">IF($A239="","",IF(Setup!$B$6=1,YEAR($A239),YEAR($A239)+IF(MONTH($A239)&gt;=Setup!$B$6,1,0)))</f>
        <v/>
      </c>
      <c r="K239" s="35" t="str">
        <f aca="false">IF($A239="","",MOD(MONTH($A239)-Setup!$B$6+12,12)+1)</f>
        <v/>
      </c>
      <c r="L239" s="36" t="str">
        <f aca="false">IF($A239="","",TEXT($A239,"MMM-YY"))</f>
        <v/>
      </c>
      <c r="M239" s="37" t="str">
        <f aca="false">IF($A239="","",IF($Q239=0,"UNMAPPED",INDEX(COA_Mapping!$C$7:$C$256,$Q239)))</f>
        <v/>
      </c>
      <c r="N239" s="38" t="str">
        <f aca="false">IF($A239="","",IF($Q239=0,"",INDEX(COA_Mapping!$E$7:$E$256,$Q239)))</f>
        <v/>
      </c>
      <c r="O239" s="38" t="n">
        <f aca="false">IF($A239="",1,IF($Q239=0,1,INDEX(COA_Mapping!$F$7:$F$256,$Q239)))</f>
        <v>1</v>
      </c>
      <c r="P239" s="34" t="str">
        <f aca="false">IF($A239="","",$I239*$O239)</f>
        <v/>
      </c>
      <c r="Q239" s="39" t="n">
        <f aca="false">IF($B239="",0,IFERROR(MATCH($B239,COA_Mapping!$A$7:$A$256,0),0))</f>
        <v>0</v>
      </c>
      <c r="R239" s="39" t="n">
        <f aca="false">IF($A239="",-1,IF($J239=Setup!$B$7,1,IF($J239=Setup!$B$9,0,-1)))</f>
        <v>-1</v>
      </c>
      <c r="S239" s="35" t="n">
        <f aca="false">IF(OR($A239="",$Q239=0,$R239=-1),0,$Q239*1000+$R239*100+$K239)</f>
        <v>0</v>
      </c>
      <c r="T239" s="37" t="str">
        <f aca="false">IF($A239="","",IF($B239="","NO ACCOUNT",IF($Q239=0,"UNMAPPED",IF($R239=-1,"OUTSIDE FY RANGE","OK"))))</f>
        <v/>
      </c>
      <c r="U239" s="40" t="str">
        <f aca="false">IF($A239="","",$B239&amp;"|"&amp;TEXT($A239,"yyyymmdd")&amp;"|"&amp;TEXT($I239,"0.00"))</f>
        <v/>
      </c>
      <c r="V239" s="35" t="str">
        <f aca="false">IF($A239="","",COUNTIF($U$8:$U$5007,$U239))</f>
        <v/>
      </c>
    </row>
    <row r="240" customFormat="false" ht="15" hidden="false" customHeight="false" outlineLevel="0" collapsed="false">
      <c r="A240" s="31"/>
      <c r="B240" s="32"/>
      <c r="C240" s="32"/>
      <c r="D240" s="32"/>
      <c r="E240" s="32"/>
      <c r="F240" s="32"/>
      <c r="G240" s="33"/>
      <c r="H240" s="33"/>
      <c r="I240" s="34" t="str">
        <f aca="false">IF($A240="","",$G240-$H240)</f>
        <v/>
      </c>
      <c r="J240" s="35" t="str">
        <f aca="false">IF($A240="","",IF(Setup!$B$6=1,YEAR($A240),YEAR($A240)+IF(MONTH($A240)&gt;=Setup!$B$6,1,0)))</f>
        <v/>
      </c>
      <c r="K240" s="35" t="str">
        <f aca="false">IF($A240="","",MOD(MONTH($A240)-Setup!$B$6+12,12)+1)</f>
        <v/>
      </c>
      <c r="L240" s="36" t="str">
        <f aca="false">IF($A240="","",TEXT($A240,"MMM-YY"))</f>
        <v/>
      </c>
      <c r="M240" s="37" t="str">
        <f aca="false">IF($A240="","",IF($Q240=0,"UNMAPPED",INDEX(COA_Mapping!$C$7:$C$256,$Q240)))</f>
        <v/>
      </c>
      <c r="N240" s="38" t="str">
        <f aca="false">IF($A240="","",IF($Q240=0,"",INDEX(COA_Mapping!$E$7:$E$256,$Q240)))</f>
        <v/>
      </c>
      <c r="O240" s="38" t="n">
        <f aca="false">IF($A240="",1,IF($Q240=0,1,INDEX(COA_Mapping!$F$7:$F$256,$Q240)))</f>
        <v>1</v>
      </c>
      <c r="P240" s="34" t="str">
        <f aca="false">IF($A240="","",$I240*$O240)</f>
        <v/>
      </c>
      <c r="Q240" s="39" t="n">
        <f aca="false">IF($B240="",0,IFERROR(MATCH($B240,COA_Mapping!$A$7:$A$256,0),0))</f>
        <v>0</v>
      </c>
      <c r="R240" s="39" t="n">
        <f aca="false">IF($A240="",-1,IF($J240=Setup!$B$7,1,IF($J240=Setup!$B$9,0,-1)))</f>
        <v>-1</v>
      </c>
      <c r="S240" s="35" t="n">
        <f aca="false">IF(OR($A240="",$Q240=0,$R240=-1),0,$Q240*1000+$R240*100+$K240)</f>
        <v>0</v>
      </c>
      <c r="T240" s="37" t="str">
        <f aca="false">IF($A240="","",IF($B240="","NO ACCOUNT",IF($Q240=0,"UNMAPPED",IF($R240=-1,"OUTSIDE FY RANGE","OK"))))</f>
        <v/>
      </c>
      <c r="U240" s="40" t="str">
        <f aca="false">IF($A240="","",$B240&amp;"|"&amp;TEXT($A240,"yyyymmdd")&amp;"|"&amp;TEXT($I240,"0.00"))</f>
        <v/>
      </c>
      <c r="V240" s="35" t="str">
        <f aca="false">IF($A240="","",COUNTIF($U$8:$U$5007,$U240))</f>
        <v/>
      </c>
    </row>
    <row r="241" customFormat="false" ht="15" hidden="false" customHeight="false" outlineLevel="0" collapsed="false">
      <c r="A241" s="31"/>
      <c r="B241" s="32"/>
      <c r="C241" s="32"/>
      <c r="D241" s="32"/>
      <c r="E241" s="32"/>
      <c r="F241" s="32"/>
      <c r="G241" s="33"/>
      <c r="H241" s="33"/>
      <c r="I241" s="34" t="str">
        <f aca="false">IF($A241="","",$G241-$H241)</f>
        <v/>
      </c>
      <c r="J241" s="35" t="str">
        <f aca="false">IF($A241="","",IF(Setup!$B$6=1,YEAR($A241),YEAR($A241)+IF(MONTH($A241)&gt;=Setup!$B$6,1,0)))</f>
        <v/>
      </c>
      <c r="K241" s="35" t="str">
        <f aca="false">IF($A241="","",MOD(MONTH($A241)-Setup!$B$6+12,12)+1)</f>
        <v/>
      </c>
      <c r="L241" s="36" t="str">
        <f aca="false">IF($A241="","",TEXT($A241,"MMM-YY"))</f>
        <v/>
      </c>
      <c r="M241" s="37" t="str">
        <f aca="false">IF($A241="","",IF($Q241=0,"UNMAPPED",INDEX(COA_Mapping!$C$7:$C$256,$Q241)))</f>
        <v/>
      </c>
      <c r="N241" s="38" t="str">
        <f aca="false">IF($A241="","",IF($Q241=0,"",INDEX(COA_Mapping!$E$7:$E$256,$Q241)))</f>
        <v/>
      </c>
      <c r="O241" s="38" t="n">
        <f aca="false">IF($A241="",1,IF($Q241=0,1,INDEX(COA_Mapping!$F$7:$F$256,$Q241)))</f>
        <v>1</v>
      </c>
      <c r="P241" s="34" t="str">
        <f aca="false">IF($A241="","",$I241*$O241)</f>
        <v/>
      </c>
      <c r="Q241" s="39" t="n">
        <f aca="false">IF($B241="",0,IFERROR(MATCH($B241,COA_Mapping!$A$7:$A$256,0),0))</f>
        <v>0</v>
      </c>
      <c r="R241" s="39" t="n">
        <f aca="false">IF($A241="",-1,IF($J241=Setup!$B$7,1,IF($J241=Setup!$B$9,0,-1)))</f>
        <v>-1</v>
      </c>
      <c r="S241" s="35" t="n">
        <f aca="false">IF(OR($A241="",$Q241=0,$R241=-1),0,$Q241*1000+$R241*100+$K241)</f>
        <v>0</v>
      </c>
      <c r="T241" s="37" t="str">
        <f aca="false">IF($A241="","",IF($B241="","NO ACCOUNT",IF($Q241=0,"UNMAPPED",IF($R241=-1,"OUTSIDE FY RANGE","OK"))))</f>
        <v/>
      </c>
      <c r="U241" s="40" t="str">
        <f aca="false">IF($A241="","",$B241&amp;"|"&amp;TEXT($A241,"yyyymmdd")&amp;"|"&amp;TEXT($I241,"0.00"))</f>
        <v/>
      </c>
      <c r="V241" s="35" t="str">
        <f aca="false">IF($A241="","",COUNTIF($U$8:$U$5007,$U241))</f>
        <v/>
      </c>
    </row>
    <row r="242" customFormat="false" ht="15" hidden="false" customHeight="false" outlineLevel="0" collapsed="false">
      <c r="A242" s="31"/>
      <c r="B242" s="32"/>
      <c r="C242" s="32"/>
      <c r="D242" s="32"/>
      <c r="E242" s="32"/>
      <c r="F242" s="32"/>
      <c r="G242" s="33"/>
      <c r="H242" s="33"/>
      <c r="I242" s="34" t="str">
        <f aca="false">IF($A242="","",$G242-$H242)</f>
        <v/>
      </c>
      <c r="J242" s="35" t="str">
        <f aca="false">IF($A242="","",IF(Setup!$B$6=1,YEAR($A242),YEAR($A242)+IF(MONTH($A242)&gt;=Setup!$B$6,1,0)))</f>
        <v/>
      </c>
      <c r="K242" s="35" t="str">
        <f aca="false">IF($A242="","",MOD(MONTH($A242)-Setup!$B$6+12,12)+1)</f>
        <v/>
      </c>
      <c r="L242" s="36" t="str">
        <f aca="false">IF($A242="","",TEXT($A242,"MMM-YY"))</f>
        <v/>
      </c>
      <c r="M242" s="37" t="str">
        <f aca="false">IF($A242="","",IF($Q242=0,"UNMAPPED",INDEX(COA_Mapping!$C$7:$C$256,$Q242)))</f>
        <v/>
      </c>
      <c r="N242" s="38" t="str">
        <f aca="false">IF($A242="","",IF($Q242=0,"",INDEX(COA_Mapping!$E$7:$E$256,$Q242)))</f>
        <v/>
      </c>
      <c r="O242" s="38" t="n">
        <f aca="false">IF($A242="",1,IF($Q242=0,1,INDEX(COA_Mapping!$F$7:$F$256,$Q242)))</f>
        <v>1</v>
      </c>
      <c r="P242" s="34" t="str">
        <f aca="false">IF($A242="","",$I242*$O242)</f>
        <v/>
      </c>
      <c r="Q242" s="39" t="n">
        <f aca="false">IF($B242="",0,IFERROR(MATCH($B242,COA_Mapping!$A$7:$A$256,0),0))</f>
        <v>0</v>
      </c>
      <c r="R242" s="39" t="n">
        <f aca="false">IF($A242="",-1,IF($J242=Setup!$B$7,1,IF($J242=Setup!$B$9,0,-1)))</f>
        <v>-1</v>
      </c>
      <c r="S242" s="35" t="n">
        <f aca="false">IF(OR($A242="",$Q242=0,$R242=-1),0,$Q242*1000+$R242*100+$K242)</f>
        <v>0</v>
      </c>
      <c r="T242" s="37" t="str">
        <f aca="false">IF($A242="","",IF($B242="","NO ACCOUNT",IF($Q242=0,"UNMAPPED",IF($R242=-1,"OUTSIDE FY RANGE","OK"))))</f>
        <v/>
      </c>
      <c r="U242" s="40" t="str">
        <f aca="false">IF($A242="","",$B242&amp;"|"&amp;TEXT($A242,"yyyymmdd")&amp;"|"&amp;TEXT($I242,"0.00"))</f>
        <v/>
      </c>
      <c r="V242" s="35" t="str">
        <f aca="false">IF($A242="","",COUNTIF($U$8:$U$5007,$U242))</f>
        <v/>
      </c>
    </row>
    <row r="243" customFormat="false" ht="15" hidden="false" customHeight="false" outlineLevel="0" collapsed="false">
      <c r="A243" s="31"/>
      <c r="B243" s="32"/>
      <c r="C243" s="32"/>
      <c r="D243" s="32"/>
      <c r="E243" s="32"/>
      <c r="F243" s="32"/>
      <c r="G243" s="33"/>
      <c r="H243" s="33"/>
      <c r="I243" s="34" t="str">
        <f aca="false">IF($A243="","",$G243-$H243)</f>
        <v/>
      </c>
      <c r="J243" s="35" t="str">
        <f aca="false">IF($A243="","",IF(Setup!$B$6=1,YEAR($A243),YEAR($A243)+IF(MONTH($A243)&gt;=Setup!$B$6,1,0)))</f>
        <v/>
      </c>
      <c r="K243" s="35" t="str">
        <f aca="false">IF($A243="","",MOD(MONTH($A243)-Setup!$B$6+12,12)+1)</f>
        <v/>
      </c>
      <c r="L243" s="36" t="str">
        <f aca="false">IF($A243="","",TEXT($A243,"MMM-YY"))</f>
        <v/>
      </c>
      <c r="M243" s="37" t="str">
        <f aca="false">IF($A243="","",IF($Q243=0,"UNMAPPED",INDEX(COA_Mapping!$C$7:$C$256,$Q243)))</f>
        <v/>
      </c>
      <c r="N243" s="38" t="str">
        <f aca="false">IF($A243="","",IF($Q243=0,"",INDEX(COA_Mapping!$E$7:$E$256,$Q243)))</f>
        <v/>
      </c>
      <c r="O243" s="38" t="n">
        <f aca="false">IF($A243="",1,IF($Q243=0,1,INDEX(COA_Mapping!$F$7:$F$256,$Q243)))</f>
        <v>1</v>
      </c>
      <c r="P243" s="34" t="str">
        <f aca="false">IF($A243="","",$I243*$O243)</f>
        <v/>
      </c>
      <c r="Q243" s="39" t="n">
        <f aca="false">IF($B243="",0,IFERROR(MATCH($B243,COA_Mapping!$A$7:$A$256,0),0))</f>
        <v>0</v>
      </c>
      <c r="R243" s="39" t="n">
        <f aca="false">IF($A243="",-1,IF($J243=Setup!$B$7,1,IF($J243=Setup!$B$9,0,-1)))</f>
        <v>-1</v>
      </c>
      <c r="S243" s="35" t="n">
        <f aca="false">IF(OR($A243="",$Q243=0,$R243=-1),0,$Q243*1000+$R243*100+$K243)</f>
        <v>0</v>
      </c>
      <c r="T243" s="37" t="str">
        <f aca="false">IF($A243="","",IF($B243="","NO ACCOUNT",IF($Q243=0,"UNMAPPED",IF($R243=-1,"OUTSIDE FY RANGE","OK"))))</f>
        <v/>
      </c>
      <c r="U243" s="40" t="str">
        <f aca="false">IF($A243="","",$B243&amp;"|"&amp;TEXT($A243,"yyyymmdd")&amp;"|"&amp;TEXT($I243,"0.00"))</f>
        <v/>
      </c>
      <c r="V243" s="35" t="str">
        <f aca="false">IF($A243="","",COUNTIF($U$8:$U$5007,$U243))</f>
        <v/>
      </c>
    </row>
    <row r="244" customFormat="false" ht="15" hidden="false" customHeight="false" outlineLevel="0" collapsed="false">
      <c r="A244" s="31"/>
      <c r="B244" s="32"/>
      <c r="C244" s="32"/>
      <c r="D244" s="32"/>
      <c r="E244" s="32"/>
      <c r="F244" s="32"/>
      <c r="G244" s="33"/>
      <c r="H244" s="33"/>
      <c r="I244" s="34" t="str">
        <f aca="false">IF($A244="","",$G244-$H244)</f>
        <v/>
      </c>
      <c r="J244" s="35" t="str">
        <f aca="false">IF($A244="","",IF(Setup!$B$6=1,YEAR($A244),YEAR($A244)+IF(MONTH($A244)&gt;=Setup!$B$6,1,0)))</f>
        <v/>
      </c>
      <c r="K244" s="35" t="str">
        <f aca="false">IF($A244="","",MOD(MONTH($A244)-Setup!$B$6+12,12)+1)</f>
        <v/>
      </c>
      <c r="L244" s="36" t="str">
        <f aca="false">IF($A244="","",TEXT($A244,"MMM-YY"))</f>
        <v/>
      </c>
      <c r="M244" s="37" t="str">
        <f aca="false">IF($A244="","",IF($Q244=0,"UNMAPPED",INDEX(COA_Mapping!$C$7:$C$256,$Q244)))</f>
        <v/>
      </c>
      <c r="N244" s="38" t="str">
        <f aca="false">IF($A244="","",IF($Q244=0,"",INDEX(COA_Mapping!$E$7:$E$256,$Q244)))</f>
        <v/>
      </c>
      <c r="O244" s="38" t="n">
        <f aca="false">IF($A244="",1,IF($Q244=0,1,INDEX(COA_Mapping!$F$7:$F$256,$Q244)))</f>
        <v>1</v>
      </c>
      <c r="P244" s="34" t="str">
        <f aca="false">IF($A244="","",$I244*$O244)</f>
        <v/>
      </c>
      <c r="Q244" s="39" t="n">
        <f aca="false">IF($B244="",0,IFERROR(MATCH($B244,COA_Mapping!$A$7:$A$256,0),0))</f>
        <v>0</v>
      </c>
      <c r="R244" s="39" t="n">
        <f aca="false">IF($A244="",-1,IF($J244=Setup!$B$7,1,IF($J244=Setup!$B$9,0,-1)))</f>
        <v>-1</v>
      </c>
      <c r="S244" s="35" t="n">
        <f aca="false">IF(OR($A244="",$Q244=0,$R244=-1),0,$Q244*1000+$R244*100+$K244)</f>
        <v>0</v>
      </c>
      <c r="T244" s="37" t="str">
        <f aca="false">IF($A244="","",IF($B244="","NO ACCOUNT",IF($Q244=0,"UNMAPPED",IF($R244=-1,"OUTSIDE FY RANGE","OK"))))</f>
        <v/>
      </c>
      <c r="U244" s="40" t="str">
        <f aca="false">IF($A244="","",$B244&amp;"|"&amp;TEXT($A244,"yyyymmdd")&amp;"|"&amp;TEXT($I244,"0.00"))</f>
        <v/>
      </c>
      <c r="V244" s="35" t="str">
        <f aca="false">IF($A244="","",COUNTIF($U$8:$U$5007,$U244))</f>
        <v/>
      </c>
    </row>
    <row r="245" customFormat="false" ht="15" hidden="false" customHeight="false" outlineLevel="0" collapsed="false">
      <c r="A245" s="31"/>
      <c r="B245" s="32"/>
      <c r="C245" s="32"/>
      <c r="D245" s="32"/>
      <c r="E245" s="32"/>
      <c r="F245" s="32"/>
      <c r="G245" s="33"/>
      <c r="H245" s="33"/>
      <c r="I245" s="34" t="str">
        <f aca="false">IF($A245="","",$G245-$H245)</f>
        <v/>
      </c>
      <c r="J245" s="35" t="str">
        <f aca="false">IF($A245="","",IF(Setup!$B$6=1,YEAR($A245),YEAR($A245)+IF(MONTH($A245)&gt;=Setup!$B$6,1,0)))</f>
        <v/>
      </c>
      <c r="K245" s="35" t="str">
        <f aca="false">IF($A245="","",MOD(MONTH($A245)-Setup!$B$6+12,12)+1)</f>
        <v/>
      </c>
      <c r="L245" s="36" t="str">
        <f aca="false">IF($A245="","",TEXT($A245,"MMM-YY"))</f>
        <v/>
      </c>
      <c r="M245" s="37" t="str">
        <f aca="false">IF($A245="","",IF($Q245=0,"UNMAPPED",INDEX(COA_Mapping!$C$7:$C$256,$Q245)))</f>
        <v/>
      </c>
      <c r="N245" s="38" t="str">
        <f aca="false">IF($A245="","",IF($Q245=0,"",INDEX(COA_Mapping!$E$7:$E$256,$Q245)))</f>
        <v/>
      </c>
      <c r="O245" s="38" t="n">
        <f aca="false">IF($A245="",1,IF($Q245=0,1,INDEX(COA_Mapping!$F$7:$F$256,$Q245)))</f>
        <v>1</v>
      </c>
      <c r="P245" s="34" t="str">
        <f aca="false">IF($A245="","",$I245*$O245)</f>
        <v/>
      </c>
      <c r="Q245" s="39" t="n">
        <f aca="false">IF($B245="",0,IFERROR(MATCH($B245,COA_Mapping!$A$7:$A$256,0),0))</f>
        <v>0</v>
      </c>
      <c r="R245" s="39" t="n">
        <f aca="false">IF($A245="",-1,IF($J245=Setup!$B$7,1,IF($J245=Setup!$B$9,0,-1)))</f>
        <v>-1</v>
      </c>
      <c r="S245" s="35" t="n">
        <f aca="false">IF(OR($A245="",$Q245=0,$R245=-1),0,$Q245*1000+$R245*100+$K245)</f>
        <v>0</v>
      </c>
      <c r="T245" s="37" t="str">
        <f aca="false">IF($A245="","",IF($B245="","NO ACCOUNT",IF($Q245=0,"UNMAPPED",IF($R245=-1,"OUTSIDE FY RANGE","OK"))))</f>
        <v/>
      </c>
      <c r="U245" s="40" t="str">
        <f aca="false">IF($A245="","",$B245&amp;"|"&amp;TEXT($A245,"yyyymmdd")&amp;"|"&amp;TEXT($I245,"0.00"))</f>
        <v/>
      </c>
      <c r="V245" s="35" t="str">
        <f aca="false">IF($A245="","",COUNTIF($U$8:$U$5007,$U245))</f>
        <v/>
      </c>
    </row>
    <row r="246" customFormat="false" ht="15" hidden="false" customHeight="false" outlineLevel="0" collapsed="false">
      <c r="A246" s="31"/>
      <c r="B246" s="32"/>
      <c r="C246" s="32"/>
      <c r="D246" s="32"/>
      <c r="E246" s="32"/>
      <c r="F246" s="32"/>
      <c r="G246" s="33"/>
      <c r="H246" s="33"/>
      <c r="I246" s="34" t="str">
        <f aca="false">IF($A246="","",$G246-$H246)</f>
        <v/>
      </c>
      <c r="J246" s="35" t="str">
        <f aca="false">IF($A246="","",IF(Setup!$B$6=1,YEAR($A246),YEAR($A246)+IF(MONTH($A246)&gt;=Setup!$B$6,1,0)))</f>
        <v/>
      </c>
      <c r="K246" s="35" t="str">
        <f aca="false">IF($A246="","",MOD(MONTH($A246)-Setup!$B$6+12,12)+1)</f>
        <v/>
      </c>
      <c r="L246" s="36" t="str">
        <f aca="false">IF($A246="","",TEXT($A246,"MMM-YY"))</f>
        <v/>
      </c>
      <c r="M246" s="37" t="str">
        <f aca="false">IF($A246="","",IF($Q246=0,"UNMAPPED",INDEX(COA_Mapping!$C$7:$C$256,$Q246)))</f>
        <v/>
      </c>
      <c r="N246" s="38" t="str">
        <f aca="false">IF($A246="","",IF($Q246=0,"",INDEX(COA_Mapping!$E$7:$E$256,$Q246)))</f>
        <v/>
      </c>
      <c r="O246" s="38" t="n">
        <f aca="false">IF($A246="",1,IF($Q246=0,1,INDEX(COA_Mapping!$F$7:$F$256,$Q246)))</f>
        <v>1</v>
      </c>
      <c r="P246" s="34" t="str">
        <f aca="false">IF($A246="","",$I246*$O246)</f>
        <v/>
      </c>
      <c r="Q246" s="39" t="n">
        <f aca="false">IF($B246="",0,IFERROR(MATCH($B246,COA_Mapping!$A$7:$A$256,0),0))</f>
        <v>0</v>
      </c>
      <c r="R246" s="39" t="n">
        <f aca="false">IF($A246="",-1,IF($J246=Setup!$B$7,1,IF($J246=Setup!$B$9,0,-1)))</f>
        <v>-1</v>
      </c>
      <c r="S246" s="35" t="n">
        <f aca="false">IF(OR($A246="",$Q246=0,$R246=-1),0,$Q246*1000+$R246*100+$K246)</f>
        <v>0</v>
      </c>
      <c r="T246" s="37" t="str">
        <f aca="false">IF($A246="","",IF($B246="","NO ACCOUNT",IF($Q246=0,"UNMAPPED",IF($R246=-1,"OUTSIDE FY RANGE","OK"))))</f>
        <v/>
      </c>
      <c r="U246" s="40" t="str">
        <f aca="false">IF($A246="","",$B246&amp;"|"&amp;TEXT($A246,"yyyymmdd")&amp;"|"&amp;TEXT($I246,"0.00"))</f>
        <v/>
      </c>
      <c r="V246" s="35" t="str">
        <f aca="false">IF($A246="","",COUNTIF($U$8:$U$5007,$U246))</f>
        <v/>
      </c>
    </row>
    <row r="247" customFormat="false" ht="15" hidden="false" customHeight="false" outlineLevel="0" collapsed="false">
      <c r="A247" s="31"/>
      <c r="B247" s="32"/>
      <c r="C247" s="32"/>
      <c r="D247" s="32"/>
      <c r="E247" s="32"/>
      <c r="F247" s="32"/>
      <c r="G247" s="33"/>
      <c r="H247" s="33"/>
      <c r="I247" s="34" t="str">
        <f aca="false">IF($A247="","",$G247-$H247)</f>
        <v/>
      </c>
      <c r="J247" s="35" t="str">
        <f aca="false">IF($A247="","",IF(Setup!$B$6=1,YEAR($A247),YEAR($A247)+IF(MONTH($A247)&gt;=Setup!$B$6,1,0)))</f>
        <v/>
      </c>
      <c r="K247" s="35" t="str">
        <f aca="false">IF($A247="","",MOD(MONTH($A247)-Setup!$B$6+12,12)+1)</f>
        <v/>
      </c>
      <c r="L247" s="36" t="str">
        <f aca="false">IF($A247="","",TEXT($A247,"MMM-YY"))</f>
        <v/>
      </c>
      <c r="M247" s="37" t="str">
        <f aca="false">IF($A247="","",IF($Q247=0,"UNMAPPED",INDEX(COA_Mapping!$C$7:$C$256,$Q247)))</f>
        <v/>
      </c>
      <c r="N247" s="38" t="str">
        <f aca="false">IF($A247="","",IF($Q247=0,"",INDEX(COA_Mapping!$E$7:$E$256,$Q247)))</f>
        <v/>
      </c>
      <c r="O247" s="38" t="n">
        <f aca="false">IF($A247="",1,IF($Q247=0,1,INDEX(COA_Mapping!$F$7:$F$256,$Q247)))</f>
        <v>1</v>
      </c>
      <c r="P247" s="34" t="str">
        <f aca="false">IF($A247="","",$I247*$O247)</f>
        <v/>
      </c>
      <c r="Q247" s="39" t="n">
        <f aca="false">IF($B247="",0,IFERROR(MATCH($B247,COA_Mapping!$A$7:$A$256,0),0))</f>
        <v>0</v>
      </c>
      <c r="R247" s="39" t="n">
        <f aca="false">IF($A247="",-1,IF($J247=Setup!$B$7,1,IF($J247=Setup!$B$9,0,-1)))</f>
        <v>-1</v>
      </c>
      <c r="S247" s="35" t="n">
        <f aca="false">IF(OR($A247="",$Q247=0,$R247=-1),0,$Q247*1000+$R247*100+$K247)</f>
        <v>0</v>
      </c>
      <c r="T247" s="37" t="str">
        <f aca="false">IF($A247="","",IF($B247="","NO ACCOUNT",IF($Q247=0,"UNMAPPED",IF($R247=-1,"OUTSIDE FY RANGE","OK"))))</f>
        <v/>
      </c>
      <c r="U247" s="40" t="str">
        <f aca="false">IF($A247="","",$B247&amp;"|"&amp;TEXT($A247,"yyyymmdd")&amp;"|"&amp;TEXT($I247,"0.00"))</f>
        <v/>
      </c>
      <c r="V247" s="35" t="str">
        <f aca="false">IF($A247="","",COUNTIF($U$8:$U$5007,$U247))</f>
        <v/>
      </c>
    </row>
    <row r="248" customFormat="false" ht="15" hidden="false" customHeight="false" outlineLevel="0" collapsed="false">
      <c r="A248" s="31"/>
      <c r="B248" s="32"/>
      <c r="C248" s="32"/>
      <c r="D248" s="32"/>
      <c r="E248" s="32"/>
      <c r="F248" s="32"/>
      <c r="G248" s="33"/>
      <c r="H248" s="33"/>
      <c r="I248" s="34" t="str">
        <f aca="false">IF($A248="","",$G248-$H248)</f>
        <v/>
      </c>
      <c r="J248" s="35" t="str">
        <f aca="false">IF($A248="","",IF(Setup!$B$6=1,YEAR($A248),YEAR($A248)+IF(MONTH($A248)&gt;=Setup!$B$6,1,0)))</f>
        <v/>
      </c>
      <c r="K248" s="35" t="str">
        <f aca="false">IF($A248="","",MOD(MONTH($A248)-Setup!$B$6+12,12)+1)</f>
        <v/>
      </c>
      <c r="L248" s="36" t="str">
        <f aca="false">IF($A248="","",TEXT($A248,"MMM-YY"))</f>
        <v/>
      </c>
      <c r="M248" s="37" t="str">
        <f aca="false">IF($A248="","",IF($Q248=0,"UNMAPPED",INDEX(COA_Mapping!$C$7:$C$256,$Q248)))</f>
        <v/>
      </c>
      <c r="N248" s="38" t="str">
        <f aca="false">IF($A248="","",IF($Q248=0,"",INDEX(COA_Mapping!$E$7:$E$256,$Q248)))</f>
        <v/>
      </c>
      <c r="O248" s="38" t="n">
        <f aca="false">IF($A248="",1,IF($Q248=0,1,INDEX(COA_Mapping!$F$7:$F$256,$Q248)))</f>
        <v>1</v>
      </c>
      <c r="P248" s="34" t="str">
        <f aca="false">IF($A248="","",$I248*$O248)</f>
        <v/>
      </c>
      <c r="Q248" s="39" t="n">
        <f aca="false">IF($B248="",0,IFERROR(MATCH($B248,COA_Mapping!$A$7:$A$256,0),0))</f>
        <v>0</v>
      </c>
      <c r="R248" s="39" t="n">
        <f aca="false">IF($A248="",-1,IF($J248=Setup!$B$7,1,IF($J248=Setup!$B$9,0,-1)))</f>
        <v>-1</v>
      </c>
      <c r="S248" s="35" t="n">
        <f aca="false">IF(OR($A248="",$Q248=0,$R248=-1),0,$Q248*1000+$R248*100+$K248)</f>
        <v>0</v>
      </c>
      <c r="T248" s="37" t="str">
        <f aca="false">IF($A248="","",IF($B248="","NO ACCOUNT",IF($Q248=0,"UNMAPPED",IF($R248=-1,"OUTSIDE FY RANGE","OK"))))</f>
        <v/>
      </c>
      <c r="U248" s="40" t="str">
        <f aca="false">IF($A248="","",$B248&amp;"|"&amp;TEXT($A248,"yyyymmdd")&amp;"|"&amp;TEXT($I248,"0.00"))</f>
        <v/>
      </c>
      <c r="V248" s="35" t="str">
        <f aca="false">IF($A248="","",COUNTIF($U$8:$U$5007,$U248))</f>
        <v/>
      </c>
    </row>
    <row r="249" customFormat="false" ht="15" hidden="false" customHeight="false" outlineLevel="0" collapsed="false">
      <c r="A249" s="31"/>
      <c r="B249" s="32"/>
      <c r="C249" s="32"/>
      <c r="D249" s="32"/>
      <c r="E249" s="32"/>
      <c r="F249" s="32"/>
      <c r="G249" s="33"/>
      <c r="H249" s="33"/>
      <c r="I249" s="34" t="str">
        <f aca="false">IF($A249="","",$G249-$H249)</f>
        <v/>
      </c>
      <c r="J249" s="35" t="str">
        <f aca="false">IF($A249="","",IF(Setup!$B$6=1,YEAR($A249),YEAR($A249)+IF(MONTH($A249)&gt;=Setup!$B$6,1,0)))</f>
        <v/>
      </c>
      <c r="K249" s="35" t="str">
        <f aca="false">IF($A249="","",MOD(MONTH($A249)-Setup!$B$6+12,12)+1)</f>
        <v/>
      </c>
      <c r="L249" s="36" t="str">
        <f aca="false">IF($A249="","",TEXT($A249,"MMM-YY"))</f>
        <v/>
      </c>
      <c r="M249" s="37" t="str">
        <f aca="false">IF($A249="","",IF($Q249=0,"UNMAPPED",INDEX(COA_Mapping!$C$7:$C$256,$Q249)))</f>
        <v/>
      </c>
      <c r="N249" s="38" t="str">
        <f aca="false">IF($A249="","",IF($Q249=0,"",INDEX(COA_Mapping!$E$7:$E$256,$Q249)))</f>
        <v/>
      </c>
      <c r="O249" s="38" t="n">
        <f aca="false">IF($A249="",1,IF($Q249=0,1,INDEX(COA_Mapping!$F$7:$F$256,$Q249)))</f>
        <v>1</v>
      </c>
      <c r="P249" s="34" t="str">
        <f aca="false">IF($A249="","",$I249*$O249)</f>
        <v/>
      </c>
      <c r="Q249" s="39" t="n">
        <f aca="false">IF($B249="",0,IFERROR(MATCH($B249,COA_Mapping!$A$7:$A$256,0),0))</f>
        <v>0</v>
      </c>
      <c r="R249" s="39" t="n">
        <f aca="false">IF($A249="",-1,IF($J249=Setup!$B$7,1,IF($J249=Setup!$B$9,0,-1)))</f>
        <v>-1</v>
      </c>
      <c r="S249" s="35" t="n">
        <f aca="false">IF(OR($A249="",$Q249=0,$R249=-1),0,$Q249*1000+$R249*100+$K249)</f>
        <v>0</v>
      </c>
      <c r="T249" s="37" t="str">
        <f aca="false">IF($A249="","",IF($B249="","NO ACCOUNT",IF($Q249=0,"UNMAPPED",IF($R249=-1,"OUTSIDE FY RANGE","OK"))))</f>
        <v/>
      </c>
      <c r="U249" s="40" t="str">
        <f aca="false">IF($A249="","",$B249&amp;"|"&amp;TEXT($A249,"yyyymmdd")&amp;"|"&amp;TEXT($I249,"0.00"))</f>
        <v/>
      </c>
      <c r="V249" s="35" t="str">
        <f aca="false">IF($A249="","",COUNTIF($U$8:$U$5007,$U249))</f>
        <v/>
      </c>
    </row>
    <row r="250" customFormat="false" ht="15" hidden="false" customHeight="false" outlineLevel="0" collapsed="false">
      <c r="A250" s="31"/>
      <c r="B250" s="32"/>
      <c r="C250" s="32"/>
      <c r="D250" s="32"/>
      <c r="E250" s="32"/>
      <c r="F250" s="32"/>
      <c r="G250" s="33"/>
      <c r="H250" s="33"/>
      <c r="I250" s="34" t="str">
        <f aca="false">IF($A250="","",$G250-$H250)</f>
        <v/>
      </c>
      <c r="J250" s="35" t="str">
        <f aca="false">IF($A250="","",IF(Setup!$B$6=1,YEAR($A250),YEAR($A250)+IF(MONTH($A250)&gt;=Setup!$B$6,1,0)))</f>
        <v/>
      </c>
      <c r="K250" s="35" t="str">
        <f aca="false">IF($A250="","",MOD(MONTH($A250)-Setup!$B$6+12,12)+1)</f>
        <v/>
      </c>
      <c r="L250" s="36" t="str">
        <f aca="false">IF($A250="","",TEXT($A250,"MMM-YY"))</f>
        <v/>
      </c>
      <c r="M250" s="37" t="str">
        <f aca="false">IF($A250="","",IF($Q250=0,"UNMAPPED",INDEX(COA_Mapping!$C$7:$C$256,$Q250)))</f>
        <v/>
      </c>
      <c r="N250" s="38" t="str">
        <f aca="false">IF($A250="","",IF($Q250=0,"",INDEX(COA_Mapping!$E$7:$E$256,$Q250)))</f>
        <v/>
      </c>
      <c r="O250" s="38" t="n">
        <f aca="false">IF($A250="",1,IF($Q250=0,1,INDEX(COA_Mapping!$F$7:$F$256,$Q250)))</f>
        <v>1</v>
      </c>
      <c r="P250" s="34" t="str">
        <f aca="false">IF($A250="","",$I250*$O250)</f>
        <v/>
      </c>
      <c r="Q250" s="39" t="n">
        <f aca="false">IF($B250="",0,IFERROR(MATCH($B250,COA_Mapping!$A$7:$A$256,0),0))</f>
        <v>0</v>
      </c>
      <c r="R250" s="39" t="n">
        <f aca="false">IF($A250="",-1,IF($J250=Setup!$B$7,1,IF($J250=Setup!$B$9,0,-1)))</f>
        <v>-1</v>
      </c>
      <c r="S250" s="35" t="n">
        <f aca="false">IF(OR($A250="",$Q250=0,$R250=-1),0,$Q250*1000+$R250*100+$K250)</f>
        <v>0</v>
      </c>
      <c r="T250" s="37" t="str">
        <f aca="false">IF($A250="","",IF($B250="","NO ACCOUNT",IF($Q250=0,"UNMAPPED",IF($R250=-1,"OUTSIDE FY RANGE","OK"))))</f>
        <v/>
      </c>
      <c r="U250" s="40" t="str">
        <f aca="false">IF($A250="","",$B250&amp;"|"&amp;TEXT($A250,"yyyymmdd")&amp;"|"&amp;TEXT($I250,"0.00"))</f>
        <v/>
      </c>
      <c r="V250" s="35" t="str">
        <f aca="false">IF($A250="","",COUNTIF($U$8:$U$5007,$U250))</f>
        <v/>
      </c>
    </row>
    <row r="251" customFormat="false" ht="15" hidden="false" customHeight="false" outlineLevel="0" collapsed="false">
      <c r="A251" s="31"/>
      <c r="B251" s="32"/>
      <c r="C251" s="32"/>
      <c r="D251" s="32"/>
      <c r="E251" s="32"/>
      <c r="F251" s="32"/>
      <c r="G251" s="33"/>
      <c r="H251" s="33"/>
      <c r="I251" s="34" t="str">
        <f aca="false">IF($A251="","",$G251-$H251)</f>
        <v/>
      </c>
      <c r="J251" s="35" t="str">
        <f aca="false">IF($A251="","",IF(Setup!$B$6=1,YEAR($A251),YEAR($A251)+IF(MONTH($A251)&gt;=Setup!$B$6,1,0)))</f>
        <v/>
      </c>
      <c r="K251" s="35" t="str">
        <f aca="false">IF($A251="","",MOD(MONTH($A251)-Setup!$B$6+12,12)+1)</f>
        <v/>
      </c>
      <c r="L251" s="36" t="str">
        <f aca="false">IF($A251="","",TEXT($A251,"MMM-YY"))</f>
        <v/>
      </c>
      <c r="M251" s="37" t="str">
        <f aca="false">IF($A251="","",IF($Q251=0,"UNMAPPED",INDEX(COA_Mapping!$C$7:$C$256,$Q251)))</f>
        <v/>
      </c>
      <c r="N251" s="38" t="str">
        <f aca="false">IF($A251="","",IF($Q251=0,"",INDEX(COA_Mapping!$E$7:$E$256,$Q251)))</f>
        <v/>
      </c>
      <c r="O251" s="38" t="n">
        <f aca="false">IF($A251="",1,IF($Q251=0,1,INDEX(COA_Mapping!$F$7:$F$256,$Q251)))</f>
        <v>1</v>
      </c>
      <c r="P251" s="34" t="str">
        <f aca="false">IF($A251="","",$I251*$O251)</f>
        <v/>
      </c>
      <c r="Q251" s="39" t="n">
        <f aca="false">IF($B251="",0,IFERROR(MATCH($B251,COA_Mapping!$A$7:$A$256,0),0))</f>
        <v>0</v>
      </c>
      <c r="R251" s="39" t="n">
        <f aca="false">IF($A251="",-1,IF($J251=Setup!$B$7,1,IF($J251=Setup!$B$9,0,-1)))</f>
        <v>-1</v>
      </c>
      <c r="S251" s="35" t="n">
        <f aca="false">IF(OR($A251="",$Q251=0,$R251=-1),0,$Q251*1000+$R251*100+$K251)</f>
        <v>0</v>
      </c>
      <c r="T251" s="37" t="str">
        <f aca="false">IF($A251="","",IF($B251="","NO ACCOUNT",IF($Q251=0,"UNMAPPED",IF($R251=-1,"OUTSIDE FY RANGE","OK"))))</f>
        <v/>
      </c>
      <c r="U251" s="40" t="str">
        <f aca="false">IF($A251="","",$B251&amp;"|"&amp;TEXT($A251,"yyyymmdd")&amp;"|"&amp;TEXT($I251,"0.00"))</f>
        <v/>
      </c>
      <c r="V251" s="35" t="str">
        <f aca="false">IF($A251="","",COUNTIF($U$8:$U$5007,$U251))</f>
        <v/>
      </c>
    </row>
    <row r="252" customFormat="false" ht="15" hidden="false" customHeight="false" outlineLevel="0" collapsed="false">
      <c r="A252" s="31"/>
      <c r="B252" s="32"/>
      <c r="C252" s="32"/>
      <c r="D252" s="32"/>
      <c r="E252" s="32"/>
      <c r="F252" s="32"/>
      <c r="G252" s="33"/>
      <c r="H252" s="33"/>
      <c r="I252" s="34" t="str">
        <f aca="false">IF($A252="","",$G252-$H252)</f>
        <v/>
      </c>
      <c r="J252" s="35" t="str">
        <f aca="false">IF($A252="","",IF(Setup!$B$6=1,YEAR($A252),YEAR($A252)+IF(MONTH($A252)&gt;=Setup!$B$6,1,0)))</f>
        <v/>
      </c>
      <c r="K252" s="35" t="str">
        <f aca="false">IF($A252="","",MOD(MONTH($A252)-Setup!$B$6+12,12)+1)</f>
        <v/>
      </c>
      <c r="L252" s="36" t="str">
        <f aca="false">IF($A252="","",TEXT($A252,"MMM-YY"))</f>
        <v/>
      </c>
      <c r="M252" s="37" t="str">
        <f aca="false">IF($A252="","",IF($Q252=0,"UNMAPPED",INDEX(COA_Mapping!$C$7:$C$256,$Q252)))</f>
        <v/>
      </c>
      <c r="N252" s="38" t="str">
        <f aca="false">IF($A252="","",IF($Q252=0,"",INDEX(COA_Mapping!$E$7:$E$256,$Q252)))</f>
        <v/>
      </c>
      <c r="O252" s="38" t="n">
        <f aca="false">IF($A252="",1,IF($Q252=0,1,INDEX(COA_Mapping!$F$7:$F$256,$Q252)))</f>
        <v>1</v>
      </c>
      <c r="P252" s="34" t="str">
        <f aca="false">IF($A252="","",$I252*$O252)</f>
        <v/>
      </c>
      <c r="Q252" s="39" t="n">
        <f aca="false">IF($B252="",0,IFERROR(MATCH($B252,COA_Mapping!$A$7:$A$256,0),0))</f>
        <v>0</v>
      </c>
      <c r="R252" s="39" t="n">
        <f aca="false">IF($A252="",-1,IF($J252=Setup!$B$7,1,IF($J252=Setup!$B$9,0,-1)))</f>
        <v>-1</v>
      </c>
      <c r="S252" s="35" t="n">
        <f aca="false">IF(OR($A252="",$Q252=0,$R252=-1),0,$Q252*1000+$R252*100+$K252)</f>
        <v>0</v>
      </c>
      <c r="T252" s="37" t="str">
        <f aca="false">IF($A252="","",IF($B252="","NO ACCOUNT",IF($Q252=0,"UNMAPPED",IF($R252=-1,"OUTSIDE FY RANGE","OK"))))</f>
        <v/>
      </c>
      <c r="U252" s="40" t="str">
        <f aca="false">IF($A252="","",$B252&amp;"|"&amp;TEXT($A252,"yyyymmdd")&amp;"|"&amp;TEXT($I252,"0.00"))</f>
        <v/>
      </c>
      <c r="V252" s="35" t="str">
        <f aca="false">IF($A252="","",COUNTIF($U$8:$U$5007,$U252))</f>
        <v/>
      </c>
    </row>
    <row r="253" customFormat="false" ht="15" hidden="false" customHeight="false" outlineLevel="0" collapsed="false">
      <c r="A253" s="31"/>
      <c r="B253" s="32"/>
      <c r="C253" s="32"/>
      <c r="D253" s="32"/>
      <c r="E253" s="32"/>
      <c r="F253" s="32"/>
      <c r="G253" s="33"/>
      <c r="H253" s="33"/>
      <c r="I253" s="34" t="str">
        <f aca="false">IF($A253="","",$G253-$H253)</f>
        <v/>
      </c>
      <c r="J253" s="35" t="str">
        <f aca="false">IF($A253="","",IF(Setup!$B$6=1,YEAR($A253),YEAR($A253)+IF(MONTH($A253)&gt;=Setup!$B$6,1,0)))</f>
        <v/>
      </c>
      <c r="K253" s="35" t="str">
        <f aca="false">IF($A253="","",MOD(MONTH($A253)-Setup!$B$6+12,12)+1)</f>
        <v/>
      </c>
      <c r="L253" s="36" t="str">
        <f aca="false">IF($A253="","",TEXT($A253,"MMM-YY"))</f>
        <v/>
      </c>
      <c r="M253" s="37" t="str">
        <f aca="false">IF($A253="","",IF($Q253=0,"UNMAPPED",INDEX(COA_Mapping!$C$7:$C$256,$Q253)))</f>
        <v/>
      </c>
      <c r="N253" s="38" t="str">
        <f aca="false">IF($A253="","",IF($Q253=0,"",INDEX(COA_Mapping!$E$7:$E$256,$Q253)))</f>
        <v/>
      </c>
      <c r="O253" s="38" t="n">
        <f aca="false">IF($A253="",1,IF($Q253=0,1,INDEX(COA_Mapping!$F$7:$F$256,$Q253)))</f>
        <v>1</v>
      </c>
      <c r="P253" s="34" t="str">
        <f aca="false">IF($A253="","",$I253*$O253)</f>
        <v/>
      </c>
      <c r="Q253" s="39" t="n">
        <f aca="false">IF($B253="",0,IFERROR(MATCH($B253,COA_Mapping!$A$7:$A$256,0),0))</f>
        <v>0</v>
      </c>
      <c r="R253" s="39" t="n">
        <f aca="false">IF($A253="",-1,IF($J253=Setup!$B$7,1,IF($J253=Setup!$B$9,0,-1)))</f>
        <v>-1</v>
      </c>
      <c r="S253" s="35" t="n">
        <f aca="false">IF(OR($A253="",$Q253=0,$R253=-1),0,$Q253*1000+$R253*100+$K253)</f>
        <v>0</v>
      </c>
      <c r="T253" s="37" t="str">
        <f aca="false">IF($A253="","",IF($B253="","NO ACCOUNT",IF($Q253=0,"UNMAPPED",IF($R253=-1,"OUTSIDE FY RANGE","OK"))))</f>
        <v/>
      </c>
      <c r="U253" s="40" t="str">
        <f aca="false">IF($A253="","",$B253&amp;"|"&amp;TEXT($A253,"yyyymmdd")&amp;"|"&amp;TEXT($I253,"0.00"))</f>
        <v/>
      </c>
      <c r="V253" s="35" t="str">
        <f aca="false">IF($A253="","",COUNTIF($U$8:$U$5007,$U253))</f>
        <v/>
      </c>
    </row>
    <row r="254" customFormat="false" ht="15" hidden="false" customHeight="false" outlineLevel="0" collapsed="false">
      <c r="A254" s="31"/>
      <c r="B254" s="32"/>
      <c r="C254" s="32"/>
      <c r="D254" s="32"/>
      <c r="E254" s="32"/>
      <c r="F254" s="32"/>
      <c r="G254" s="33"/>
      <c r="H254" s="33"/>
      <c r="I254" s="34" t="str">
        <f aca="false">IF($A254="","",$G254-$H254)</f>
        <v/>
      </c>
      <c r="J254" s="35" t="str">
        <f aca="false">IF($A254="","",IF(Setup!$B$6=1,YEAR($A254),YEAR($A254)+IF(MONTH($A254)&gt;=Setup!$B$6,1,0)))</f>
        <v/>
      </c>
      <c r="K254" s="35" t="str">
        <f aca="false">IF($A254="","",MOD(MONTH($A254)-Setup!$B$6+12,12)+1)</f>
        <v/>
      </c>
      <c r="L254" s="36" t="str">
        <f aca="false">IF($A254="","",TEXT($A254,"MMM-YY"))</f>
        <v/>
      </c>
      <c r="M254" s="37" t="str">
        <f aca="false">IF($A254="","",IF($Q254=0,"UNMAPPED",INDEX(COA_Mapping!$C$7:$C$256,$Q254)))</f>
        <v/>
      </c>
      <c r="N254" s="38" t="str">
        <f aca="false">IF($A254="","",IF($Q254=0,"",INDEX(COA_Mapping!$E$7:$E$256,$Q254)))</f>
        <v/>
      </c>
      <c r="O254" s="38" t="n">
        <f aca="false">IF($A254="",1,IF($Q254=0,1,INDEX(COA_Mapping!$F$7:$F$256,$Q254)))</f>
        <v>1</v>
      </c>
      <c r="P254" s="34" t="str">
        <f aca="false">IF($A254="","",$I254*$O254)</f>
        <v/>
      </c>
      <c r="Q254" s="39" t="n">
        <f aca="false">IF($B254="",0,IFERROR(MATCH($B254,COA_Mapping!$A$7:$A$256,0),0))</f>
        <v>0</v>
      </c>
      <c r="R254" s="39" t="n">
        <f aca="false">IF($A254="",-1,IF($J254=Setup!$B$7,1,IF($J254=Setup!$B$9,0,-1)))</f>
        <v>-1</v>
      </c>
      <c r="S254" s="35" t="n">
        <f aca="false">IF(OR($A254="",$Q254=0,$R254=-1),0,$Q254*1000+$R254*100+$K254)</f>
        <v>0</v>
      </c>
      <c r="T254" s="37" t="str">
        <f aca="false">IF($A254="","",IF($B254="","NO ACCOUNT",IF($Q254=0,"UNMAPPED",IF($R254=-1,"OUTSIDE FY RANGE","OK"))))</f>
        <v/>
      </c>
      <c r="U254" s="40" t="str">
        <f aca="false">IF($A254="","",$B254&amp;"|"&amp;TEXT($A254,"yyyymmdd")&amp;"|"&amp;TEXT($I254,"0.00"))</f>
        <v/>
      </c>
      <c r="V254" s="35" t="str">
        <f aca="false">IF($A254="","",COUNTIF($U$8:$U$5007,$U254))</f>
        <v/>
      </c>
    </row>
    <row r="255" customFormat="false" ht="15" hidden="false" customHeight="false" outlineLevel="0" collapsed="false">
      <c r="A255" s="31"/>
      <c r="B255" s="32"/>
      <c r="C255" s="32"/>
      <c r="D255" s="32"/>
      <c r="E255" s="32"/>
      <c r="F255" s="32"/>
      <c r="G255" s="33"/>
      <c r="H255" s="33"/>
      <c r="I255" s="34" t="str">
        <f aca="false">IF($A255="","",$G255-$H255)</f>
        <v/>
      </c>
      <c r="J255" s="35" t="str">
        <f aca="false">IF($A255="","",IF(Setup!$B$6=1,YEAR($A255),YEAR($A255)+IF(MONTH($A255)&gt;=Setup!$B$6,1,0)))</f>
        <v/>
      </c>
      <c r="K255" s="35" t="str">
        <f aca="false">IF($A255="","",MOD(MONTH($A255)-Setup!$B$6+12,12)+1)</f>
        <v/>
      </c>
      <c r="L255" s="36" t="str">
        <f aca="false">IF($A255="","",TEXT($A255,"MMM-YY"))</f>
        <v/>
      </c>
      <c r="M255" s="37" t="str">
        <f aca="false">IF($A255="","",IF($Q255=0,"UNMAPPED",INDEX(COA_Mapping!$C$7:$C$256,$Q255)))</f>
        <v/>
      </c>
      <c r="N255" s="38" t="str">
        <f aca="false">IF($A255="","",IF($Q255=0,"",INDEX(COA_Mapping!$E$7:$E$256,$Q255)))</f>
        <v/>
      </c>
      <c r="O255" s="38" t="n">
        <f aca="false">IF($A255="",1,IF($Q255=0,1,INDEX(COA_Mapping!$F$7:$F$256,$Q255)))</f>
        <v>1</v>
      </c>
      <c r="P255" s="34" t="str">
        <f aca="false">IF($A255="","",$I255*$O255)</f>
        <v/>
      </c>
      <c r="Q255" s="39" t="n">
        <f aca="false">IF($B255="",0,IFERROR(MATCH($B255,COA_Mapping!$A$7:$A$256,0),0))</f>
        <v>0</v>
      </c>
      <c r="R255" s="39" t="n">
        <f aca="false">IF($A255="",-1,IF($J255=Setup!$B$7,1,IF($J255=Setup!$B$9,0,-1)))</f>
        <v>-1</v>
      </c>
      <c r="S255" s="35" t="n">
        <f aca="false">IF(OR($A255="",$Q255=0,$R255=-1),0,$Q255*1000+$R255*100+$K255)</f>
        <v>0</v>
      </c>
      <c r="T255" s="37" t="str">
        <f aca="false">IF($A255="","",IF($B255="","NO ACCOUNT",IF($Q255=0,"UNMAPPED",IF($R255=-1,"OUTSIDE FY RANGE","OK"))))</f>
        <v/>
      </c>
      <c r="U255" s="40" t="str">
        <f aca="false">IF($A255="","",$B255&amp;"|"&amp;TEXT($A255,"yyyymmdd")&amp;"|"&amp;TEXT($I255,"0.00"))</f>
        <v/>
      </c>
      <c r="V255" s="35" t="str">
        <f aca="false">IF($A255="","",COUNTIF($U$8:$U$5007,$U255))</f>
        <v/>
      </c>
    </row>
    <row r="256" customFormat="false" ht="15" hidden="false" customHeight="false" outlineLevel="0" collapsed="false">
      <c r="A256" s="31"/>
      <c r="B256" s="32"/>
      <c r="C256" s="32"/>
      <c r="D256" s="32"/>
      <c r="E256" s="32"/>
      <c r="F256" s="32"/>
      <c r="G256" s="33"/>
      <c r="H256" s="33"/>
      <c r="I256" s="34" t="str">
        <f aca="false">IF($A256="","",$G256-$H256)</f>
        <v/>
      </c>
      <c r="J256" s="35" t="str">
        <f aca="false">IF($A256="","",IF(Setup!$B$6=1,YEAR($A256),YEAR($A256)+IF(MONTH($A256)&gt;=Setup!$B$6,1,0)))</f>
        <v/>
      </c>
      <c r="K256" s="35" t="str">
        <f aca="false">IF($A256="","",MOD(MONTH($A256)-Setup!$B$6+12,12)+1)</f>
        <v/>
      </c>
      <c r="L256" s="36" t="str">
        <f aca="false">IF($A256="","",TEXT($A256,"MMM-YY"))</f>
        <v/>
      </c>
      <c r="M256" s="37" t="str">
        <f aca="false">IF($A256="","",IF($Q256=0,"UNMAPPED",INDEX(COA_Mapping!$C$7:$C$256,$Q256)))</f>
        <v/>
      </c>
      <c r="N256" s="38" t="str">
        <f aca="false">IF($A256="","",IF($Q256=0,"",INDEX(COA_Mapping!$E$7:$E$256,$Q256)))</f>
        <v/>
      </c>
      <c r="O256" s="38" t="n">
        <f aca="false">IF($A256="",1,IF($Q256=0,1,INDEX(COA_Mapping!$F$7:$F$256,$Q256)))</f>
        <v>1</v>
      </c>
      <c r="P256" s="34" t="str">
        <f aca="false">IF($A256="","",$I256*$O256)</f>
        <v/>
      </c>
      <c r="Q256" s="39" t="n">
        <f aca="false">IF($B256="",0,IFERROR(MATCH($B256,COA_Mapping!$A$7:$A$256,0),0))</f>
        <v>0</v>
      </c>
      <c r="R256" s="39" t="n">
        <f aca="false">IF($A256="",-1,IF($J256=Setup!$B$7,1,IF($J256=Setup!$B$9,0,-1)))</f>
        <v>-1</v>
      </c>
      <c r="S256" s="35" t="n">
        <f aca="false">IF(OR($A256="",$Q256=0,$R256=-1),0,$Q256*1000+$R256*100+$K256)</f>
        <v>0</v>
      </c>
      <c r="T256" s="37" t="str">
        <f aca="false">IF($A256="","",IF($B256="","NO ACCOUNT",IF($Q256=0,"UNMAPPED",IF($R256=-1,"OUTSIDE FY RANGE","OK"))))</f>
        <v/>
      </c>
      <c r="U256" s="40" t="str">
        <f aca="false">IF($A256="","",$B256&amp;"|"&amp;TEXT($A256,"yyyymmdd")&amp;"|"&amp;TEXT($I256,"0.00"))</f>
        <v/>
      </c>
      <c r="V256" s="35" t="str">
        <f aca="false">IF($A256="","",COUNTIF($U$8:$U$5007,$U256))</f>
        <v/>
      </c>
    </row>
    <row r="257" customFormat="false" ht="15" hidden="false" customHeight="false" outlineLevel="0" collapsed="false">
      <c r="A257" s="31"/>
      <c r="B257" s="32"/>
      <c r="C257" s="32"/>
      <c r="D257" s="32"/>
      <c r="E257" s="32"/>
      <c r="F257" s="32"/>
      <c r="G257" s="33"/>
      <c r="H257" s="33"/>
      <c r="I257" s="34" t="str">
        <f aca="false">IF($A257="","",$G257-$H257)</f>
        <v/>
      </c>
      <c r="J257" s="35" t="str">
        <f aca="false">IF($A257="","",IF(Setup!$B$6=1,YEAR($A257),YEAR($A257)+IF(MONTH($A257)&gt;=Setup!$B$6,1,0)))</f>
        <v/>
      </c>
      <c r="K257" s="35" t="str">
        <f aca="false">IF($A257="","",MOD(MONTH($A257)-Setup!$B$6+12,12)+1)</f>
        <v/>
      </c>
      <c r="L257" s="36" t="str">
        <f aca="false">IF($A257="","",TEXT($A257,"MMM-YY"))</f>
        <v/>
      </c>
      <c r="M257" s="37" t="str">
        <f aca="false">IF($A257="","",IF($Q257=0,"UNMAPPED",INDEX(COA_Mapping!$C$7:$C$256,$Q257)))</f>
        <v/>
      </c>
      <c r="N257" s="38" t="str">
        <f aca="false">IF($A257="","",IF($Q257=0,"",INDEX(COA_Mapping!$E$7:$E$256,$Q257)))</f>
        <v/>
      </c>
      <c r="O257" s="38" t="n">
        <f aca="false">IF($A257="",1,IF($Q257=0,1,INDEX(COA_Mapping!$F$7:$F$256,$Q257)))</f>
        <v>1</v>
      </c>
      <c r="P257" s="34" t="str">
        <f aca="false">IF($A257="","",$I257*$O257)</f>
        <v/>
      </c>
      <c r="Q257" s="39" t="n">
        <f aca="false">IF($B257="",0,IFERROR(MATCH($B257,COA_Mapping!$A$7:$A$256,0),0))</f>
        <v>0</v>
      </c>
      <c r="R257" s="39" t="n">
        <f aca="false">IF($A257="",-1,IF($J257=Setup!$B$7,1,IF($J257=Setup!$B$9,0,-1)))</f>
        <v>-1</v>
      </c>
      <c r="S257" s="35" t="n">
        <f aca="false">IF(OR($A257="",$Q257=0,$R257=-1),0,$Q257*1000+$R257*100+$K257)</f>
        <v>0</v>
      </c>
      <c r="T257" s="37" t="str">
        <f aca="false">IF($A257="","",IF($B257="","NO ACCOUNT",IF($Q257=0,"UNMAPPED",IF($R257=-1,"OUTSIDE FY RANGE","OK"))))</f>
        <v/>
      </c>
      <c r="U257" s="40" t="str">
        <f aca="false">IF($A257="","",$B257&amp;"|"&amp;TEXT($A257,"yyyymmdd")&amp;"|"&amp;TEXT($I257,"0.00"))</f>
        <v/>
      </c>
      <c r="V257" s="35" t="str">
        <f aca="false">IF($A257="","",COUNTIF($U$8:$U$5007,$U257))</f>
        <v/>
      </c>
    </row>
    <row r="258" customFormat="false" ht="15" hidden="false" customHeight="false" outlineLevel="0" collapsed="false">
      <c r="A258" s="31"/>
      <c r="B258" s="32"/>
      <c r="C258" s="32"/>
      <c r="D258" s="32"/>
      <c r="E258" s="32"/>
      <c r="F258" s="32"/>
      <c r="G258" s="33"/>
      <c r="H258" s="33"/>
      <c r="I258" s="34" t="str">
        <f aca="false">IF($A258="","",$G258-$H258)</f>
        <v/>
      </c>
      <c r="J258" s="35" t="str">
        <f aca="false">IF($A258="","",IF(Setup!$B$6=1,YEAR($A258),YEAR($A258)+IF(MONTH($A258)&gt;=Setup!$B$6,1,0)))</f>
        <v/>
      </c>
      <c r="K258" s="35" t="str">
        <f aca="false">IF($A258="","",MOD(MONTH($A258)-Setup!$B$6+12,12)+1)</f>
        <v/>
      </c>
      <c r="L258" s="36" t="str">
        <f aca="false">IF($A258="","",TEXT($A258,"MMM-YY"))</f>
        <v/>
      </c>
      <c r="M258" s="37" t="str">
        <f aca="false">IF($A258="","",IF($Q258=0,"UNMAPPED",INDEX(COA_Mapping!$C$7:$C$256,$Q258)))</f>
        <v/>
      </c>
      <c r="N258" s="38" t="str">
        <f aca="false">IF($A258="","",IF($Q258=0,"",INDEX(COA_Mapping!$E$7:$E$256,$Q258)))</f>
        <v/>
      </c>
      <c r="O258" s="38" t="n">
        <f aca="false">IF($A258="",1,IF($Q258=0,1,INDEX(COA_Mapping!$F$7:$F$256,$Q258)))</f>
        <v>1</v>
      </c>
      <c r="P258" s="34" t="str">
        <f aca="false">IF($A258="","",$I258*$O258)</f>
        <v/>
      </c>
      <c r="Q258" s="39" t="n">
        <f aca="false">IF($B258="",0,IFERROR(MATCH($B258,COA_Mapping!$A$7:$A$256,0),0))</f>
        <v>0</v>
      </c>
      <c r="R258" s="39" t="n">
        <f aca="false">IF($A258="",-1,IF($J258=Setup!$B$7,1,IF($J258=Setup!$B$9,0,-1)))</f>
        <v>-1</v>
      </c>
      <c r="S258" s="35" t="n">
        <f aca="false">IF(OR($A258="",$Q258=0,$R258=-1),0,$Q258*1000+$R258*100+$K258)</f>
        <v>0</v>
      </c>
      <c r="T258" s="37" t="str">
        <f aca="false">IF($A258="","",IF($B258="","NO ACCOUNT",IF($Q258=0,"UNMAPPED",IF($R258=-1,"OUTSIDE FY RANGE","OK"))))</f>
        <v/>
      </c>
      <c r="U258" s="40" t="str">
        <f aca="false">IF($A258="","",$B258&amp;"|"&amp;TEXT($A258,"yyyymmdd")&amp;"|"&amp;TEXT($I258,"0.00"))</f>
        <v/>
      </c>
      <c r="V258" s="35" t="str">
        <f aca="false">IF($A258="","",COUNTIF($U$8:$U$5007,$U258))</f>
        <v/>
      </c>
    </row>
    <row r="259" customFormat="false" ht="15" hidden="false" customHeight="false" outlineLevel="0" collapsed="false">
      <c r="A259" s="31"/>
      <c r="B259" s="32"/>
      <c r="C259" s="32"/>
      <c r="D259" s="32"/>
      <c r="E259" s="32"/>
      <c r="F259" s="32"/>
      <c r="G259" s="33"/>
      <c r="H259" s="33"/>
      <c r="I259" s="34" t="str">
        <f aca="false">IF($A259="","",$G259-$H259)</f>
        <v/>
      </c>
      <c r="J259" s="35" t="str">
        <f aca="false">IF($A259="","",IF(Setup!$B$6=1,YEAR($A259),YEAR($A259)+IF(MONTH($A259)&gt;=Setup!$B$6,1,0)))</f>
        <v/>
      </c>
      <c r="K259" s="35" t="str">
        <f aca="false">IF($A259="","",MOD(MONTH($A259)-Setup!$B$6+12,12)+1)</f>
        <v/>
      </c>
      <c r="L259" s="36" t="str">
        <f aca="false">IF($A259="","",TEXT($A259,"MMM-YY"))</f>
        <v/>
      </c>
      <c r="M259" s="37" t="str">
        <f aca="false">IF($A259="","",IF($Q259=0,"UNMAPPED",INDEX(COA_Mapping!$C$7:$C$256,$Q259)))</f>
        <v/>
      </c>
      <c r="N259" s="38" t="str">
        <f aca="false">IF($A259="","",IF($Q259=0,"",INDEX(COA_Mapping!$E$7:$E$256,$Q259)))</f>
        <v/>
      </c>
      <c r="O259" s="38" t="n">
        <f aca="false">IF($A259="",1,IF($Q259=0,1,INDEX(COA_Mapping!$F$7:$F$256,$Q259)))</f>
        <v>1</v>
      </c>
      <c r="P259" s="34" t="str">
        <f aca="false">IF($A259="","",$I259*$O259)</f>
        <v/>
      </c>
      <c r="Q259" s="39" t="n">
        <f aca="false">IF($B259="",0,IFERROR(MATCH($B259,COA_Mapping!$A$7:$A$256,0),0))</f>
        <v>0</v>
      </c>
      <c r="R259" s="39" t="n">
        <f aca="false">IF($A259="",-1,IF($J259=Setup!$B$7,1,IF($J259=Setup!$B$9,0,-1)))</f>
        <v>-1</v>
      </c>
      <c r="S259" s="35" t="n">
        <f aca="false">IF(OR($A259="",$Q259=0,$R259=-1),0,$Q259*1000+$R259*100+$K259)</f>
        <v>0</v>
      </c>
      <c r="T259" s="37" t="str">
        <f aca="false">IF($A259="","",IF($B259="","NO ACCOUNT",IF($Q259=0,"UNMAPPED",IF($R259=-1,"OUTSIDE FY RANGE","OK"))))</f>
        <v/>
      </c>
      <c r="U259" s="40" t="str">
        <f aca="false">IF($A259="","",$B259&amp;"|"&amp;TEXT($A259,"yyyymmdd")&amp;"|"&amp;TEXT($I259,"0.00"))</f>
        <v/>
      </c>
      <c r="V259" s="35" t="str">
        <f aca="false">IF($A259="","",COUNTIF($U$8:$U$5007,$U259))</f>
        <v/>
      </c>
    </row>
    <row r="260" customFormat="false" ht="15" hidden="false" customHeight="false" outlineLevel="0" collapsed="false">
      <c r="A260" s="31"/>
      <c r="B260" s="32"/>
      <c r="C260" s="32"/>
      <c r="D260" s="32"/>
      <c r="E260" s="32"/>
      <c r="F260" s="32"/>
      <c r="G260" s="33"/>
      <c r="H260" s="33"/>
      <c r="I260" s="34" t="str">
        <f aca="false">IF($A260="","",$G260-$H260)</f>
        <v/>
      </c>
      <c r="J260" s="35" t="str">
        <f aca="false">IF($A260="","",IF(Setup!$B$6=1,YEAR($A260),YEAR($A260)+IF(MONTH($A260)&gt;=Setup!$B$6,1,0)))</f>
        <v/>
      </c>
      <c r="K260" s="35" t="str">
        <f aca="false">IF($A260="","",MOD(MONTH($A260)-Setup!$B$6+12,12)+1)</f>
        <v/>
      </c>
      <c r="L260" s="36" t="str">
        <f aca="false">IF($A260="","",TEXT($A260,"MMM-YY"))</f>
        <v/>
      </c>
      <c r="M260" s="37" t="str">
        <f aca="false">IF($A260="","",IF($Q260=0,"UNMAPPED",INDEX(COA_Mapping!$C$7:$C$256,$Q260)))</f>
        <v/>
      </c>
      <c r="N260" s="38" t="str">
        <f aca="false">IF($A260="","",IF($Q260=0,"",INDEX(COA_Mapping!$E$7:$E$256,$Q260)))</f>
        <v/>
      </c>
      <c r="O260" s="38" t="n">
        <f aca="false">IF($A260="",1,IF($Q260=0,1,INDEX(COA_Mapping!$F$7:$F$256,$Q260)))</f>
        <v>1</v>
      </c>
      <c r="P260" s="34" t="str">
        <f aca="false">IF($A260="","",$I260*$O260)</f>
        <v/>
      </c>
      <c r="Q260" s="39" t="n">
        <f aca="false">IF($B260="",0,IFERROR(MATCH($B260,COA_Mapping!$A$7:$A$256,0),0))</f>
        <v>0</v>
      </c>
      <c r="R260" s="39" t="n">
        <f aca="false">IF($A260="",-1,IF($J260=Setup!$B$7,1,IF($J260=Setup!$B$9,0,-1)))</f>
        <v>-1</v>
      </c>
      <c r="S260" s="35" t="n">
        <f aca="false">IF(OR($A260="",$Q260=0,$R260=-1),0,$Q260*1000+$R260*100+$K260)</f>
        <v>0</v>
      </c>
      <c r="T260" s="37" t="str">
        <f aca="false">IF($A260="","",IF($B260="","NO ACCOUNT",IF($Q260=0,"UNMAPPED",IF($R260=-1,"OUTSIDE FY RANGE","OK"))))</f>
        <v/>
      </c>
      <c r="U260" s="40" t="str">
        <f aca="false">IF($A260="","",$B260&amp;"|"&amp;TEXT($A260,"yyyymmdd")&amp;"|"&amp;TEXT($I260,"0.00"))</f>
        <v/>
      </c>
      <c r="V260" s="35" t="str">
        <f aca="false">IF($A260="","",COUNTIF($U$8:$U$5007,$U260))</f>
        <v/>
      </c>
    </row>
    <row r="261" customFormat="false" ht="15" hidden="false" customHeight="false" outlineLevel="0" collapsed="false">
      <c r="A261" s="31"/>
      <c r="B261" s="32"/>
      <c r="C261" s="32"/>
      <c r="D261" s="32"/>
      <c r="E261" s="32"/>
      <c r="F261" s="32"/>
      <c r="G261" s="33"/>
      <c r="H261" s="33"/>
      <c r="I261" s="34" t="str">
        <f aca="false">IF($A261="","",$G261-$H261)</f>
        <v/>
      </c>
      <c r="J261" s="35" t="str">
        <f aca="false">IF($A261="","",IF(Setup!$B$6=1,YEAR($A261),YEAR($A261)+IF(MONTH($A261)&gt;=Setup!$B$6,1,0)))</f>
        <v/>
      </c>
      <c r="K261" s="35" t="str">
        <f aca="false">IF($A261="","",MOD(MONTH($A261)-Setup!$B$6+12,12)+1)</f>
        <v/>
      </c>
      <c r="L261" s="36" t="str">
        <f aca="false">IF($A261="","",TEXT($A261,"MMM-YY"))</f>
        <v/>
      </c>
      <c r="M261" s="37" t="str">
        <f aca="false">IF($A261="","",IF($Q261=0,"UNMAPPED",INDEX(COA_Mapping!$C$7:$C$256,$Q261)))</f>
        <v/>
      </c>
      <c r="N261" s="38" t="str">
        <f aca="false">IF($A261="","",IF($Q261=0,"",INDEX(COA_Mapping!$E$7:$E$256,$Q261)))</f>
        <v/>
      </c>
      <c r="O261" s="38" t="n">
        <f aca="false">IF($A261="",1,IF($Q261=0,1,INDEX(COA_Mapping!$F$7:$F$256,$Q261)))</f>
        <v>1</v>
      </c>
      <c r="P261" s="34" t="str">
        <f aca="false">IF($A261="","",$I261*$O261)</f>
        <v/>
      </c>
      <c r="Q261" s="39" t="n">
        <f aca="false">IF($B261="",0,IFERROR(MATCH($B261,COA_Mapping!$A$7:$A$256,0),0))</f>
        <v>0</v>
      </c>
      <c r="R261" s="39" t="n">
        <f aca="false">IF($A261="",-1,IF($J261=Setup!$B$7,1,IF($J261=Setup!$B$9,0,-1)))</f>
        <v>-1</v>
      </c>
      <c r="S261" s="35" t="n">
        <f aca="false">IF(OR($A261="",$Q261=0,$R261=-1),0,$Q261*1000+$R261*100+$K261)</f>
        <v>0</v>
      </c>
      <c r="T261" s="37" t="str">
        <f aca="false">IF($A261="","",IF($B261="","NO ACCOUNT",IF($Q261=0,"UNMAPPED",IF($R261=-1,"OUTSIDE FY RANGE","OK"))))</f>
        <v/>
      </c>
      <c r="U261" s="40" t="str">
        <f aca="false">IF($A261="","",$B261&amp;"|"&amp;TEXT($A261,"yyyymmdd")&amp;"|"&amp;TEXT($I261,"0.00"))</f>
        <v/>
      </c>
      <c r="V261" s="35" t="str">
        <f aca="false">IF($A261="","",COUNTIF($U$8:$U$5007,$U261))</f>
        <v/>
      </c>
    </row>
    <row r="262" customFormat="false" ht="15" hidden="false" customHeight="false" outlineLevel="0" collapsed="false">
      <c r="A262" s="31"/>
      <c r="B262" s="32"/>
      <c r="C262" s="32"/>
      <c r="D262" s="32"/>
      <c r="E262" s="32"/>
      <c r="F262" s="32"/>
      <c r="G262" s="33"/>
      <c r="H262" s="33"/>
      <c r="I262" s="34" t="str">
        <f aca="false">IF($A262="","",$G262-$H262)</f>
        <v/>
      </c>
      <c r="J262" s="35" t="str">
        <f aca="false">IF($A262="","",IF(Setup!$B$6=1,YEAR($A262),YEAR($A262)+IF(MONTH($A262)&gt;=Setup!$B$6,1,0)))</f>
        <v/>
      </c>
      <c r="K262" s="35" t="str">
        <f aca="false">IF($A262="","",MOD(MONTH($A262)-Setup!$B$6+12,12)+1)</f>
        <v/>
      </c>
      <c r="L262" s="36" t="str">
        <f aca="false">IF($A262="","",TEXT($A262,"MMM-YY"))</f>
        <v/>
      </c>
      <c r="M262" s="37" t="str">
        <f aca="false">IF($A262="","",IF($Q262=0,"UNMAPPED",INDEX(COA_Mapping!$C$7:$C$256,$Q262)))</f>
        <v/>
      </c>
      <c r="N262" s="38" t="str">
        <f aca="false">IF($A262="","",IF($Q262=0,"",INDEX(COA_Mapping!$E$7:$E$256,$Q262)))</f>
        <v/>
      </c>
      <c r="O262" s="38" t="n">
        <f aca="false">IF($A262="",1,IF($Q262=0,1,INDEX(COA_Mapping!$F$7:$F$256,$Q262)))</f>
        <v>1</v>
      </c>
      <c r="P262" s="34" t="str">
        <f aca="false">IF($A262="","",$I262*$O262)</f>
        <v/>
      </c>
      <c r="Q262" s="39" t="n">
        <f aca="false">IF($B262="",0,IFERROR(MATCH($B262,COA_Mapping!$A$7:$A$256,0),0))</f>
        <v>0</v>
      </c>
      <c r="R262" s="39" t="n">
        <f aca="false">IF($A262="",-1,IF($J262=Setup!$B$7,1,IF($J262=Setup!$B$9,0,-1)))</f>
        <v>-1</v>
      </c>
      <c r="S262" s="35" t="n">
        <f aca="false">IF(OR($A262="",$Q262=0,$R262=-1),0,$Q262*1000+$R262*100+$K262)</f>
        <v>0</v>
      </c>
      <c r="T262" s="37" t="str">
        <f aca="false">IF($A262="","",IF($B262="","NO ACCOUNT",IF($Q262=0,"UNMAPPED",IF($R262=-1,"OUTSIDE FY RANGE","OK"))))</f>
        <v/>
      </c>
      <c r="U262" s="40" t="str">
        <f aca="false">IF($A262="","",$B262&amp;"|"&amp;TEXT($A262,"yyyymmdd")&amp;"|"&amp;TEXT($I262,"0.00"))</f>
        <v/>
      </c>
      <c r="V262" s="35" t="str">
        <f aca="false">IF($A262="","",COUNTIF($U$8:$U$5007,$U262))</f>
        <v/>
      </c>
    </row>
    <row r="263" customFormat="false" ht="15" hidden="false" customHeight="false" outlineLevel="0" collapsed="false">
      <c r="A263" s="31"/>
      <c r="B263" s="32"/>
      <c r="C263" s="32"/>
      <c r="D263" s="32"/>
      <c r="E263" s="32"/>
      <c r="F263" s="32"/>
      <c r="G263" s="33"/>
      <c r="H263" s="33"/>
      <c r="I263" s="34" t="str">
        <f aca="false">IF($A263="","",$G263-$H263)</f>
        <v/>
      </c>
      <c r="J263" s="35" t="str">
        <f aca="false">IF($A263="","",IF(Setup!$B$6=1,YEAR($A263),YEAR($A263)+IF(MONTH($A263)&gt;=Setup!$B$6,1,0)))</f>
        <v/>
      </c>
      <c r="K263" s="35" t="str">
        <f aca="false">IF($A263="","",MOD(MONTH($A263)-Setup!$B$6+12,12)+1)</f>
        <v/>
      </c>
      <c r="L263" s="36" t="str">
        <f aca="false">IF($A263="","",TEXT($A263,"MMM-YY"))</f>
        <v/>
      </c>
      <c r="M263" s="37" t="str">
        <f aca="false">IF($A263="","",IF($Q263=0,"UNMAPPED",INDEX(COA_Mapping!$C$7:$C$256,$Q263)))</f>
        <v/>
      </c>
      <c r="N263" s="38" t="str">
        <f aca="false">IF($A263="","",IF($Q263=0,"",INDEX(COA_Mapping!$E$7:$E$256,$Q263)))</f>
        <v/>
      </c>
      <c r="O263" s="38" t="n">
        <f aca="false">IF($A263="",1,IF($Q263=0,1,INDEX(COA_Mapping!$F$7:$F$256,$Q263)))</f>
        <v>1</v>
      </c>
      <c r="P263" s="34" t="str">
        <f aca="false">IF($A263="","",$I263*$O263)</f>
        <v/>
      </c>
      <c r="Q263" s="39" t="n">
        <f aca="false">IF($B263="",0,IFERROR(MATCH($B263,COA_Mapping!$A$7:$A$256,0),0))</f>
        <v>0</v>
      </c>
      <c r="R263" s="39" t="n">
        <f aca="false">IF($A263="",-1,IF($J263=Setup!$B$7,1,IF($J263=Setup!$B$9,0,-1)))</f>
        <v>-1</v>
      </c>
      <c r="S263" s="35" t="n">
        <f aca="false">IF(OR($A263="",$Q263=0,$R263=-1),0,$Q263*1000+$R263*100+$K263)</f>
        <v>0</v>
      </c>
      <c r="T263" s="37" t="str">
        <f aca="false">IF($A263="","",IF($B263="","NO ACCOUNT",IF($Q263=0,"UNMAPPED",IF($R263=-1,"OUTSIDE FY RANGE","OK"))))</f>
        <v/>
      </c>
      <c r="U263" s="40" t="str">
        <f aca="false">IF($A263="","",$B263&amp;"|"&amp;TEXT($A263,"yyyymmdd")&amp;"|"&amp;TEXT($I263,"0.00"))</f>
        <v/>
      </c>
      <c r="V263" s="35" t="str">
        <f aca="false">IF($A263="","",COUNTIF($U$8:$U$5007,$U263))</f>
        <v/>
      </c>
    </row>
    <row r="264" customFormat="false" ht="15" hidden="false" customHeight="false" outlineLevel="0" collapsed="false">
      <c r="A264" s="31"/>
      <c r="B264" s="32"/>
      <c r="C264" s="32"/>
      <c r="D264" s="32"/>
      <c r="E264" s="32"/>
      <c r="F264" s="32"/>
      <c r="G264" s="33"/>
      <c r="H264" s="33"/>
      <c r="I264" s="34" t="str">
        <f aca="false">IF($A264="","",$G264-$H264)</f>
        <v/>
      </c>
      <c r="J264" s="35" t="str">
        <f aca="false">IF($A264="","",IF(Setup!$B$6=1,YEAR($A264),YEAR($A264)+IF(MONTH($A264)&gt;=Setup!$B$6,1,0)))</f>
        <v/>
      </c>
      <c r="K264" s="35" t="str">
        <f aca="false">IF($A264="","",MOD(MONTH($A264)-Setup!$B$6+12,12)+1)</f>
        <v/>
      </c>
      <c r="L264" s="36" t="str">
        <f aca="false">IF($A264="","",TEXT($A264,"MMM-YY"))</f>
        <v/>
      </c>
      <c r="M264" s="37" t="str">
        <f aca="false">IF($A264="","",IF($Q264=0,"UNMAPPED",INDEX(COA_Mapping!$C$7:$C$256,$Q264)))</f>
        <v/>
      </c>
      <c r="N264" s="38" t="str">
        <f aca="false">IF($A264="","",IF($Q264=0,"",INDEX(COA_Mapping!$E$7:$E$256,$Q264)))</f>
        <v/>
      </c>
      <c r="O264" s="38" t="n">
        <f aca="false">IF($A264="",1,IF($Q264=0,1,INDEX(COA_Mapping!$F$7:$F$256,$Q264)))</f>
        <v>1</v>
      </c>
      <c r="P264" s="34" t="str">
        <f aca="false">IF($A264="","",$I264*$O264)</f>
        <v/>
      </c>
      <c r="Q264" s="39" t="n">
        <f aca="false">IF($B264="",0,IFERROR(MATCH($B264,COA_Mapping!$A$7:$A$256,0),0))</f>
        <v>0</v>
      </c>
      <c r="R264" s="39" t="n">
        <f aca="false">IF($A264="",-1,IF($J264=Setup!$B$7,1,IF($J264=Setup!$B$9,0,-1)))</f>
        <v>-1</v>
      </c>
      <c r="S264" s="35" t="n">
        <f aca="false">IF(OR($A264="",$Q264=0,$R264=-1),0,$Q264*1000+$R264*100+$K264)</f>
        <v>0</v>
      </c>
      <c r="T264" s="37" t="str">
        <f aca="false">IF($A264="","",IF($B264="","NO ACCOUNT",IF($Q264=0,"UNMAPPED",IF($R264=-1,"OUTSIDE FY RANGE","OK"))))</f>
        <v/>
      </c>
      <c r="U264" s="40" t="str">
        <f aca="false">IF($A264="","",$B264&amp;"|"&amp;TEXT($A264,"yyyymmdd")&amp;"|"&amp;TEXT($I264,"0.00"))</f>
        <v/>
      </c>
      <c r="V264" s="35" t="str">
        <f aca="false">IF($A264="","",COUNTIF($U$8:$U$5007,$U264))</f>
        <v/>
      </c>
    </row>
    <row r="265" customFormat="false" ht="15" hidden="false" customHeight="false" outlineLevel="0" collapsed="false">
      <c r="A265" s="31"/>
      <c r="B265" s="32"/>
      <c r="C265" s="32"/>
      <c r="D265" s="32"/>
      <c r="E265" s="32"/>
      <c r="F265" s="32"/>
      <c r="G265" s="33"/>
      <c r="H265" s="33"/>
      <c r="I265" s="34" t="str">
        <f aca="false">IF($A265="","",$G265-$H265)</f>
        <v/>
      </c>
      <c r="J265" s="35" t="str">
        <f aca="false">IF($A265="","",IF(Setup!$B$6=1,YEAR($A265),YEAR($A265)+IF(MONTH($A265)&gt;=Setup!$B$6,1,0)))</f>
        <v/>
      </c>
      <c r="K265" s="35" t="str">
        <f aca="false">IF($A265="","",MOD(MONTH($A265)-Setup!$B$6+12,12)+1)</f>
        <v/>
      </c>
      <c r="L265" s="36" t="str">
        <f aca="false">IF($A265="","",TEXT($A265,"MMM-YY"))</f>
        <v/>
      </c>
      <c r="M265" s="37" t="str">
        <f aca="false">IF($A265="","",IF($Q265=0,"UNMAPPED",INDEX(COA_Mapping!$C$7:$C$256,$Q265)))</f>
        <v/>
      </c>
      <c r="N265" s="38" t="str">
        <f aca="false">IF($A265="","",IF($Q265=0,"",INDEX(COA_Mapping!$E$7:$E$256,$Q265)))</f>
        <v/>
      </c>
      <c r="O265" s="38" t="n">
        <f aca="false">IF($A265="",1,IF($Q265=0,1,INDEX(COA_Mapping!$F$7:$F$256,$Q265)))</f>
        <v>1</v>
      </c>
      <c r="P265" s="34" t="str">
        <f aca="false">IF($A265="","",$I265*$O265)</f>
        <v/>
      </c>
      <c r="Q265" s="39" t="n">
        <f aca="false">IF($B265="",0,IFERROR(MATCH($B265,COA_Mapping!$A$7:$A$256,0),0))</f>
        <v>0</v>
      </c>
      <c r="R265" s="39" t="n">
        <f aca="false">IF($A265="",-1,IF($J265=Setup!$B$7,1,IF($J265=Setup!$B$9,0,-1)))</f>
        <v>-1</v>
      </c>
      <c r="S265" s="35" t="n">
        <f aca="false">IF(OR($A265="",$Q265=0,$R265=-1),0,$Q265*1000+$R265*100+$K265)</f>
        <v>0</v>
      </c>
      <c r="T265" s="37" t="str">
        <f aca="false">IF($A265="","",IF($B265="","NO ACCOUNT",IF($Q265=0,"UNMAPPED",IF($R265=-1,"OUTSIDE FY RANGE","OK"))))</f>
        <v/>
      </c>
      <c r="U265" s="40" t="str">
        <f aca="false">IF($A265="","",$B265&amp;"|"&amp;TEXT($A265,"yyyymmdd")&amp;"|"&amp;TEXT($I265,"0.00"))</f>
        <v/>
      </c>
      <c r="V265" s="35" t="str">
        <f aca="false">IF($A265="","",COUNTIF($U$8:$U$5007,$U265))</f>
        <v/>
      </c>
    </row>
    <row r="266" customFormat="false" ht="15" hidden="false" customHeight="false" outlineLevel="0" collapsed="false">
      <c r="A266" s="31"/>
      <c r="B266" s="32"/>
      <c r="C266" s="32"/>
      <c r="D266" s="32"/>
      <c r="E266" s="32"/>
      <c r="F266" s="32"/>
      <c r="G266" s="33"/>
      <c r="H266" s="33"/>
      <c r="I266" s="34" t="str">
        <f aca="false">IF($A266="","",$G266-$H266)</f>
        <v/>
      </c>
      <c r="J266" s="35" t="str">
        <f aca="false">IF($A266="","",IF(Setup!$B$6=1,YEAR($A266),YEAR($A266)+IF(MONTH($A266)&gt;=Setup!$B$6,1,0)))</f>
        <v/>
      </c>
      <c r="K266" s="35" t="str">
        <f aca="false">IF($A266="","",MOD(MONTH($A266)-Setup!$B$6+12,12)+1)</f>
        <v/>
      </c>
      <c r="L266" s="36" t="str">
        <f aca="false">IF($A266="","",TEXT($A266,"MMM-YY"))</f>
        <v/>
      </c>
      <c r="M266" s="37" t="str">
        <f aca="false">IF($A266="","",IF($Q266=0,"UNMAPPED",INDEX(COA_Mapping!$C$7:$C$256,$Q266)))</f>
        <v/>
      </c>
      <c r="N266" s="38" t="str">
        <f aca="false">IF($A266="","",IF($Q266=0,"",INDEX(COA_Mapping!$E$7:$E$256,$Q266)))</f>
        <v/>
      </c>
      <c r="O266" s="38" t="n">
        <f aca="false">IF($A266="",1,IF($Q266=0,1,INDEX(COA_Mapping!$F$7:$F$256,$Q266)))</f>
        <v>1</v>
      </c>
      <c r="P266" s="34" t="str">
        <f aca="false">IF($A266="","",$I266*$O266)</f>
        <v/>
      </c>
      <c r="Q266" s="39" t="n">
        <f aca="false">IF($B266="",0,IFERROR(MATCH($B266,COA_Mapping!$A$7:$A$256,0),0))</f>
        <v>0</v>
      </c>
      <c r="R266" s="39" t="n">
        <f aca="false">IF($A266="",-1,IF($J266=Setup!$B$7,1,IF($J266=Setup!$B$9,0,-1)))</f>
        <v>-1</v>
      </c>
      <c r="S266" s="35" t="n">
        <f aca="false">IF(OR($A266="",$Q266=0,$R266=-1),0,$Q266*1000+$R266*100+$K266)</f>
        <v>0</v>
      </c>
      <c r="T266" s="37" t="str">
        <f aca="false">IF($A266="","",IF($B266="","NO ACCOUNT",IF($Q266=0,"UNMAPPED",IF($R266=-1,"OUTSIDE FY RANGE","OK"))))</f>
        <v/>
      </c>
      <c r="U266" s="40" t="str">
        <f aca="false">IF($A266="","",$B266&amp;"|"&amp;TEXT($A266,"yyyymmdd")&amp;"|"&amp;TEXT($I266,"0.00"))</f>
        <v/>
      </c>
      <c r="V266" s="35" t="str">
        <f aca="false">IF($A266="","",COUNTIF($U$8:$U$5007,$U266))</f>
        <v/>
      </c>
    </row>
    <row r="267" customFormat="false" ht="15" hidden="false" customHeight="false" outlineLevel="0" collapsed="false">
      <c r="A267" s="31"/>
      <c r="B267" s="32"/>
      <c r="C267" s="32"/>
      <c r="D267" s="32"/>
      <c r="E267" s="32"/>
      <c r="F267" s="32"/>
      <c r="G267" s="33"/>
      <c r="H267" s="33"/>
      <c r="I267" s="34" t="str">
        <f aca="false">IF($A267="","",$G267-$H267)</f>
        <v/>
      </c>
      <c r="J267" s="35" t="str">
        <f aca="false">IF($A267="","",IF(Setup!$B$6=1,YEAR($A267),YEAR($A267)+IF(MONTH($A267)&gt;=Setup!$B$6,1,0)))</f>
        <v/>
      </c>
      <c r="K267" s="35" t="str">
        <f aca="false">IF($A267="","",MOD(MONTH($A267)-Setup!$B$6+12,12)+1)</f>
        <v/>
      </c>
      <c r="L267" s="36" t="str">
        <f aca="false">IF($A267="","",TEXT($A267,"MMM-YY"))</f>
        <v/>
      </c>
      <c r="M267" s="37" t="str">
        <f aca="false">IF($A267="","",IF($Q267=0,"UNMAPPED",INDEX(COA_Mapping!$C$7:$C$256,$Q267)))</f>
        <v/>
      </c>
      <c r="N267" s="38" t="str">
        <f aca="false">IF($A267="","",IF($Q267=0,"",INDEX(COA_Mapping!$E$7:$E$256,$Q267)))</f>
        <v/>
      </c>
      <c r="O267" s="38" t="n">
        <f aca="false">IF($A267="",1,IF($Q267=0,1,INDEX(COA_Mapping!$F$7:$F$256,$Q267)))</f>
        <v>1</v>
      </c>
      <c r="P267" s="34" t="str">
        <f aca="false">IF($A267="","",$I267*$O267)</f>
        <v/>
      </c>
      <c r="Q267" s="39" t="n">
        <f aca="false">IF($B267="",0,IFERROR(MATCH($B267,COA_Mapping!$A$7:$A$256,0),0))</f>
        <v>0</v>
      </c>
      <c r="R267" s="39" t="n">
        <f aca="false">IF($A267="",-1,IF($J267=Setup!$B$7,1,IF($J267=Setup!$B$9,0,-1)))</f>
        <v>-1</v>
      </c>
      <c r="S267" s="35" t="n">
        <f aca="false">IF(OR($A267="",$Q267=0,$R267=-1),0,$Q267*1000+$R267*100+$K267)</f>
        <v>0</v>
      </c>
      <c r="T267" s="37" t="str">
        <f aca="false">IF($A267="","",IF($B267="","NO ACCOUNT",IF($Q267=0,"UNMAPPED",IF($R267=-1,"OUTSIDE FY RANGE","OK"))))</f>
        <v/>
      </c>
      <c r="U267" s="40" t="str">
        <f aca="false">IF($A267="","",$B267&amp;"|"&amp;TEXT($A267,"yyyymmdd")&amp;"|"&amp;TEXT($I267,"0.00"))</f>
        <v/>
      </c>
      <c r="V267" s="35" t="str">
        <f aca="false">IF($A267="","",COUNTIF($U$8:$U$5007,$U267))</f>
        <v/>
      </c>
    </row>
    <row r="268" customFormat="false" ht="15" hidden="false" customHeight="false" outlineLevel="0" collapsed="false">
      <c r="A268" s="31"/>
      <c r="B268" s="32"/>
      <c r="C268" s="32"/>
      <c r="D268" s="32"/>
      <c r="E268" s="32"/>
      <c r="F268" s="32"/>
      <c r="G268" s="33"/>
      <c r="H268" s="33"/>
      <c r="I268" s="34" t="str">
        <f aca="false">IF($A268="","",$G268-$H268)</f>
        <v/>
      </c>
      <c r="J268" s="35" t="str">
        <f aca="false">IF($A268="","",IF(Setup!$B$6=1,YEAR($A268),YEAR($A268)+IF(MONTH($A268)&gt;=Setup!$B$6,1,0)))</f>
        <v/>
      </c>
      <c r="K268" s="35" t="str">
        <f aca="false">IF($A268="","",MOD(MONTH($A268)-Setup!$B$6+12,12)+1)</f>
        <v/>
      </c>
      <c r="L268" s="36" t="str">
        <f aca="false">IF($A268="","",TEXT($A268,"MMM-YY"))</f>
        <v/>
      </c>
      <c r="M268" s="37" t="str">
        <f aca="false">IF($A268="","",IF($Q268=0,"UNMAPPED",INDEX(COA_Mapping!$C$7:$C$256,$Q268)))</f>
        <v/>
      </c>
      <c r="N268" s="38" t="str">
        <f aca="false">IF($A268="","",IF($Q268=0,"",INDEX(COA_Mapping!$E$7:$E$256,$Q268)))</f>
        <v/>
      </c>
      <c r="O268" s="38" t="n">
        <f aca="false">IF($A268="",1,IF($Q268=0,1,INDEX(COA_Mapping!$F$7:$F$256,$Q268)))</f>
        <v>1</v>
      </c>
      <c r="P268" s="34" t="str">
        <f aca="false">IF($A268="","",$I268*$O268)</f>
        <v/>
      </c>
      <c r="Q268" s="39" t="n">
        <f aca="false">IF($B268="",0,IFERROR(MATCH($B268,COA_Mapping!$A$7:$A$256,0),0))</f>
        <v>0</v>
      </c>
      <c r="R268" s="39" t="n">
        <f aca="false">IF($A268="",-1,IF($J268=Setup!$B$7,1,IF($J268=Setup!$B$9,0,-1)))</f>
        <v>-1</v>
      </c>
      <c r="S268" s="35" t="n">
        <f aca="false">IF(OR($A268="",$Q268=0,$R268=-1),0,$Q268*1000+$R268*100+$K268)</f>
        <v>0</v>
      </c>
      <c r="T268" s="37" t="str">
        <f aca="false">IF($A268="","",IF($B268="","NO ACCOUNT",IF($Q268=0,"UNMAPPED",IF($R268=-1,"OUTSIDE FY RANGE","OK"))))</f>
        <v/>
      </c>
      <c r="U268" s="40" t="str">
        <f aca="false">IF($A268="","",$B268&amp;"|"&amp;TEXT($A268,"yyyymmdd")&amp;"|"&amp;TEXT($I268,"0.00"))</f>
        <v/>
      </c>
      <c r="V268" s="35" t="str">
        <f aca="false">IF($A268="","",COUNTIF($U$8:$U$5007,$U268))</f>
        <v/>
      </c>
    </row>
    <row r="269" customFormat="false" ht="15" hidden="false" customHeight="false" outlineLevel="0" collapsed="false">
      <c r="A269" s="31"/>
      <c r="B269" s="32"/>
      <c r="C269" s="32"/>
      <c r="D269" s="32"/>
      <c r="E269" s="32"/>
      <c r="F269" s="32"/>
      <c r="G269" s="33"/>
      <c r="H269" s="33"/>
      <c r="I269" s="34" t="str">
        <f aca="false">IF($A269="","",$G269-$H269)</f>
        <v/>
      </c>
      <c r="J269" s="35" t="str">
        <f aca="false">IF($A269="","",IF(Setup!$B$6=1,YEAR($A269),YEAR($A269)+IF(MONTH($A269)&gt;=Setup!$B$6,1,0)))</f>
        <v/>
      </c>
      <c r="K269" s="35" t="str">
        <f aca="false">IF($A269="","",MOD(MONTH($A269)-Setup!$B$6+12,12)+1)</f>
        <v/>
      </c>
      <c r="L269" s="36" t="str">
        <f aca="false">IF($A269="","",TEXT($A269,"MMM-YY"))</f>
        <v/>
      </c>
      <c r="M269" s="37" t="str">
        <f aca="false">IF($A269="","",IF($Q269=0,"UNMAPPED",INDEX(COA_Mapping!$C$7:$C$256,$Q269)))</f>
        <v/>
      </c>
      <c r="N269" s="38" t="str">
        <f aca="false">IF($A269="","",IF($Q269=0,"",INDEX(COA_Mapping!$E$7:$E$256,$Q269)))</f>
        <v/>
      </c>
      <c r="O269" s="38" t="n">
        <f aca="false">IF($A269="",1,IF($Q269=0,1,INDEX(COA_Mapping!$F$7:$F$256,$Q269)))</f>
        <v>1</v>
      </c>
      <c r="P269" s="34" t="str">
        <f aca="false">IF($A269="","",$I269*$O269)</f>
        <v/>
      </c>
      <c r="Q269" s="39" t="n">
        <f aca="false">IF($B269="",0,IFERROR(MATCH($B269,COA_Mapping!$A$7:$A$256,0),0))</f>
        <v>0</v>
      </c>
      <c r="R269" s="39" t="n">
        <f aca="false">IF($A269="",-1,IF($J269=Setup!$B$7,1,IF($J269=Setup!$B$9,0,-1)))</f>
        <v>-1</v>
      </c>
      <c r="S269" s="35" t="n">
        <f aca="false">IF(OR($A269="",$Q269=0,$R269=-1),0,$Q269*1000+$R269*100+$K269)</f>
        <v>0</v>
      </c>
      <c r="T269" s="37" t="str">
        <f aca="false">IF($A269="","",IF($B269="","NO ACCOUNT",IF($Q269=0,"UNMAPPED",IF($R269=-1,"OUTSIDE FY RANGE","OK"))))</f>
        <v/>
      </c>
      <c r="U269" s="40" t="str">
        <f aca="false">IF($A269="","",$B269&amp;"|"&amp;TEXT($A269,"yyyymmdd")&amp;"|"&amp;TEXT($I269,"0.00"))</f>
        <v/>
      </c>
      <c r="V269" s="35" t="str">
        <f aca="false">IF($A269="","",COUNTIF($U$8:$U$5007,$U269))</f>
        <v/>
      </c>
    </row>
    <row r="270" customFormat="false" ht="15" hidden="false" customHeight="false" outlineLevel="0" collapsed="false">
      <c r="A270" s="31"/>
      <c r="B270" s="32"/>
      <c r="C270" s="32"/>
      <c r="D270" s="32"/>
      <c r="E270" s="32"/>
      <c r="F270" s="32"/>
      <c r="G270" s="33"/>
      <c r="H270" s="33"/>
      <c r="I270" s="34" t="str">
        <f aca="false">IF($A270="","",$G270-$H270)</f>
        <v/>
      </c>
      <c r="J270" s="35" t="str">
        <f aca="false">IF($A270="","",IF(Setup!$B$6=1,YEAR($A270),YEAR($A270)+IF(MONTH($A270)&gt;=Setup!$B$6,1,0)))</f>
        <v/>
      </c>
      <c r="K270" s="35" t="str">
        <f aca="false">IF($A270="","",MOD(MONTH($A270)-Setup!$B$6+12,12)+1)</f>
        <v/>
      </c>
      <c r="L270" s="36" t="str">
        <f aca="false">IF($A270="","",TEXT($A270,"MMM-YY"))</f>
        <v/>
      </c>
      <c r="M270" s="37" t="str">
        <f aca="false">IF($A270="","",IF($Q270=0,"UNMAPPED",INDEX(COA_Mapping!$C$7:$C$256,$Q270)))</f>
        <v/>
      </c>
      <c r="N270" s="38" t="str">
        <f aca="false">IF($A270="","",IF($Q270=0,"",INDEX(COA_Mapping!$E$7:$E$256,$Q270)))</f>
        <v/>
      </c>
      <c r="O270" s="38" t="n">
        <f aca="false">IF($A270="",1,IF($Q270=0,1,INDEX(COA_Mapping!$F$7:$F$256,$Q270)))</f>
        <v>1</v>
      </c>
      <c r="P270" s="34" t="str">
        <f aca="false">IF($A270="","",$I270*$O270)</f>
        <v/>
      </c>
      <c r="Q270" s="39" t="n">
        <f aca="false">IF($B270="",0,IFERROR(MATCH($B270,COA_Mapping!$A$7:$A$256,0),0))</f>
        <v>0</v>
      </c>
      <c r="R270" s="39" t="n">
        <f aca="false">IF($A270="",-1,IF($J270=Setup!$B$7,1,IF($J270=Setup!$B$9,0,-1)))</f>
        <v>-1</v>
      </c>
      <c r="S270" s="35" t="n">
        <f aca="false">IF(OR($A270="",$Q270=0,$R270=-1),0,$Q270*1000+$R270*100+$K270)</f>
        <v>0</v>
      </c>
      <c r="T270" s="37" t="str">
        <f aca="false">IF($A270="","",IF($B270="","NO ACCOUNT",IF($Q270=0,"UNMAPPED",IF($R270=-1,"OUTSIDE FY RANGE","OK"))))</f>
        <v/>
      </c>
      <c r="U270" s="40" t="str">
        <f aca="false">IF($A270="","",$B270&amp;"|"&amp;TEXT($A270,"yyyymmdd")&amp;"|"&amp;TEXT($I270,"0.00"))</f>
        <v/>
      </c>
      <c r="V270" s="35" t="str">
        <f aca="false">IF($A270="","",COUNTIF($U$8:$U$5007,$U270))</f>
        <v/>
      </c>
    </row>
    <row r="271" customFormat="false" ht="15" hidden="false" customHeight="false" outlineLevel="0" collapsed="false">
      <c r="A271" s="31"/>
      <c r="B271" s="32"/>
      <c r="C271" s="32"/>
      <c r="D271" s="32"/>
      <c r="E271" s="32"/>
      <c r="F271" s="32"/>
      <c r="G271" s="33"/>
      <c r="H271" s="33"/>
      <c r="I271" s="34" t="str">
        <f aca="false">IF($A271="","",$G271-$H271)</f>
        <v/>
      </c>
      <c r="J271" s="35" t="str">
        <f aca="false">IF($A271="","",IF(Setup!$B$6=1,YEAR($A271),YEAR($A271)+IF(MONTH($A271)&gt;=Setup!$B$6,1,0)))</f>
        <v/>
      </c>
      <c r="K271" s="35" t="str">
        <f aca="false">IF($A271="","",MOD(MONTH($A271)-Setup!$B$6+12,12)+1)</f>
        <v/>
      </c>
      <c r="L271" s="36" t="str">
        <f aca="false">IF($A271="","",TEXT($A271,"MMM-YY"))</f>
        <v/>
      </c>
      <c r="M271" s="37" t="str">
        <f aca="false">IF($A271="","",IF($Q271=0,"UNMAPPED",INDEX(COA_Mapping!$C$7:$C$256,$Q271)))</f>
        <v/>
      </c>
      <c r="N271" s="38" t="str">
        <f aca="false">IF($A271="","",IF($Q271=0,"",INDEX(COA_Mapping!$E$7:$E$256,$Q271)))</f>
        <v/>
      </c>
      <c r="O271" s="38" t="n">
        <f aca="false">IF($A271="",1,IF($Q271=0,1,INDEX(COA_Mapping!$F$7:$F$256,$Q271)))</f>
        <v>1</v>
      </c>
      <c r="P271" s="34" t="str">
        <f aca="false">IF($A271="","",$I271*$O271)</f>
        <v/>
      </c>
      <c r="Q271" s="39" t="n">
        <f aca="false">IF($B271="",0,IFERROR(MATCH($B271,COA_Mapping!$A$7:$A$256,0),0))</f>
        <v>0</v>
      </c>
      <c r="R271" s="39" t="n">
        <f aca="false">IF($A271="",-1,IF($J271=Setup!$B$7,1,IF($J271=Setup!$B$9,0,-1)))</f>
        <v>-1</v>
      </c>
      <c r="S271" s="35" t="n">
        <f aca="false">IF(OR($A271="",$Q271=0,$R271=-1),0,$Q271*1000+$R271*100+$K271)</f>
        <v>0</v>
      </c>
      <c r="T271" s="37" t="str">
        <f aca="false">IF($A271="","",IF($B271="","NO ACCOUNT",IF($Q271=0,"UNMAPPED",IF($R271=-1,"OUTSIDE FY RANGE","OK"))))</f>
        <v/>
      </c>
      <c r="U271" s="40" t="str">
        <f aca="false">IF($A271="","",$B271&amp;"|"&amp;TEXT($A271,"yyyymmdd")&amp;"|"&amp;TEXT($I271,"0.00"))</f>
        <v/>
      </c>
      <c r="V271" s="35" t="str">
        <f aca="false">IF($A271="","",COUNTIF($U$8:$U$5007,$U271))</f>
        <v/>
      </c>
    </row>
    <row r="272" customFormat="false" ht="15" hidden="false" customHeight="false" outlineLevel="0" collapsed="false">
      <c r="A272" s="31"/>
      <c r="B272" s="32"/>
      <c r="C272" s="32"/>
      <c r="D272" s="32"/>
      <c r="E272" s="32"/>
      <c r="F272" s="32"/>
      <c r="G272" s="33"/>
      <c r="H272" s="33"/>
      <c r="I272" s="34" t="str">
        <f aca="false">IF($A272="","",$G272-$H272)</f>
        <v/>
      </c>
      <c r="J272" s="35" t="str">
        <f aca="false">IF($A272="","",IF(Setup!$B$6=1,YEAR($A272),YEAR($A272)+IF(MONTH($A272)&gt;=Setup!$B$6,1,0)))</f>
        <v/>
      </c>
      <c r="K272" s="35" t="str">
        <f aca="false">IF($A272="","",MOD(MONTH($A272)-Setup!$B$6+12,12)+1)</f>
        <v/>
      </c>
      <c r="L272" s="36" t="str">
        <f aca="false">IF($A272="","",TEXT($A272,"MMM-YY"))</f>
        <v/>
      </c>
      <c r="M272" s="37" t="str">
        <f aca="false">IF($A272="","",IF($Q272=0,"UNMAPPED",INDEX(COA_Mapping!$C$7:$C$256,$Q272)))</f>
        <v/>
      </c>
      <c r="N272" s="38" t="str">
        <f aca="false">IF($A272="","",IF($Q272=0,"",INDEX(COA_Mapping!$E$7:$E$256,$Q272)))</f>
        <v/>
      </c>
      <c r="O272" s="38" t="n">
        <f aca="false">IF($A272="",1,IF($Q272=0,1,INDEX(COA_Mapping!$F$7:$F$256,$Q272)))</f>
        <v>1</v>
      </c>
      <c r="P272" s="34" t="str">
        <f aca="false">IF($A272="","",$I272*$O272)</f>
        <v/>
      </c>
      <c r="Q272" s="39" t="n">
        <f aca="false">IF($B272="",0,IFERROR(MATCH($B272,COA_Mapping!$A$7:$A$256,0),0))</f>
        <v>0</v>
      </c>
      <c r="R272" s="39" t="n">
        <f aca="false">IF($A272="",-1,IF($J272=Setup!$B$7,1,IF($J272=Setup!$B$9,0,-1)))</f>
        <v>-1</v>
      </c>
      <c r="S272" s="35" t="n">
        <f aca="false">IF(OR($A272="",$Q272=0,$R272=-1),0,$Q272*1000+$R272*100+$K272)</f>
        <v>0</v>
      </c>
      <c r="T272" s="37" t="str">
        <f aca="false">IF($A272="","",IF($B272="","NO ACCOUNT",IF($Q272=0,"UNMAPPED",IF($R272=-1,"OUTSIDE FY RANGE","OK"))))</f>
        <v/>
      </c>
      <c r="U272" s="40" t="str">
        <f aca="false">IF($A272="","",$B272&amp;"|"&amp;TEXT($A272,"yyyymmdd")&amp;"|"&amp;TEXT($I272,"0.00"))</f>
        <v/>
      </c>
      <c r="V272" s="35" t="str">
        <f aca="false">IF($A272="","",COUNTIF($U$8:$U$5007,$U272))</f>
        <v/>
      </c>
    </row>
    <row r="273" customFormat="false" ht="15" hidden="false" customHeight="false" outlineLevel="0" collapsed="false">
      <c r="A273" s="31"/>
      <c r="B273" s="32"/>
      <c r="C273" s="32"/>
      <c r="D273" s="32"/>
      <c r="E273" s="32"/>
      <c r="F273" s="32"/>
      <c r="G273" s="33"/>
      <c r="H273" s="33"/>
      <c r="I273" s="34" t="str">
        <f aca="false">IF($A273="","",$G273-$H273)</f>
        <v/>
      </c>
      <c r="J273" s="35" t="str">
        <f aca="false">IF($A273="","",IF(Setup!$B$6=1,YEAR($A273),YEAR($A273)+IF(MONTH($A273)&gt;=Setup!$B$6,1,0)))</f>
        <v/>
      </c>
      <c r="K273" s="35" t="str">
        <f aca="false">IF($A273="","",MOD(MONTH($A273)-Setup!$B$6+12,12)+1)</f>
        <v/>
      </c>
      <c r="L273" s="36" t="str">
        <f aca="false">IF($A273="","",TEXT($A273,"MMM-YY"))</f>
        <v/>
      </c>
      <c r="M273" s="37" t="str">
        <f aca="false">IF($A273="","",IF($Q273=0,"UNMAPPED",INDEX(COA_Mapping!$C$7:$C$256,$Q273)))</f>
        <v/>
      </c>
      <c r="N273" s="38" t="str">
        <f aca="false">IF($A273="","",IF($Q273=0,"",INDEX(COA_Mapping!$E$7:$E$256,$Q273)))</f>
        <v/>
      </c>
      <c r="O273" s="38" t="n">
        <f aca="false">IF($A273="",1,IF($Q273=0,1,INDEX(COA_Mapping!$F$7:$F$256,$Q273)))</f>
        <v>1</v>
      </c>
      <c r="P273" s="34" t="str">
        <f aca="false">IF($A273="","",$I273*$O273)</f>
        <v/>
      </c>
      <c r="Q273" s="39" t="n">
        <f aca="false">IF($B273="",0,IFERROR(MATCH($B273,COA_Mapping!$A$7:$A$256,0),0))</f>
        <v>0</v>
      </c>
      <c r="R273" s="39" t="n">
        <f aca="false">IF($A273="",-1,IF($J273=Setup!$B$7,1,IF($J273=Setup!$B$9,0,-1)))</f>
        <v>-1</v>
      </c>
      <c r="S273" s="35" t="n">
        <f aca="false">IF(OR($A273="",$Q273=0,$R273=-1),0,$Q273*1000+$R273*100+$K273)</f>
        <v>0</v>
      </c>
      <c r="T273" s="37" t="str">
        <f aca="false">IF($A273="","",IF($B273="","NO ACCOUNT",IF($Q273=0,"UNMAPPED",IF($R273=-1,"OUTSIDE FY RANGE","OK"))))</f>
        <v/>
      </c>
      <c r="U273" s="40" t="str">
        <f aca="false">IF($A273="","",$B273&amp;"|"&amp;TEXT($A273,"yyyymmdd")&amp;"|"&amp;TEXT($I273,"0.00"))</f>
        <v/>
      </c>
      <c r="V273" s="35" t="str">
        <f aca="false">IF($A273="","",COUNTIF($U$8:$U$5007,$U273))</f>
        <v/>
      </c>
    </row>
    <row r="274" customFormat="false" ht="15" hidden="false" customHeight="false" outlineLevel="0" collapsed="false">
      <c r="A274" s="31"/>
      <c r="B274" s="32"/>
      <c r="C274" s="32"/>
      <c r="D274" s="32"/>
      <c r="E274" s="32"/>
      <c r="F274" s="32"/>
      <c r="G274" s="33"/>
      <c r="H274" s="33"/>
      <c r="I274" s="34" t="str">
        <f aca="false">IF($A274="","",$G274-$H274)</f>
        <v/>
      </c>
      <c r="J274" s="35" t="str">
        <f aca="false">IF($A274="","",IF(Setup!$B$6=1,YEAR($A274),YEAR($A274)+IF(MONTH($A274)&gt;=Setup!$B$6,1,0)))</f>
        <v/>
      </c>
      <c r="K274" s="35" t="str">
        <f aca="false">IF($A274="","",MOD(MONTH($A274)-Setup!$B$6+12,12)+1)</f>
        <v/>
      </c>
      <c r="L274" s="36" t="str">
        <f aca="false">IF($A274="","",TEXT($A274,"MMM-YY"))</f>
        <v/>
      </c>
      <c r="M274" s="37" t="str">
        <f aca="false">IF($A274="","",IF($Q274=0,"UNMAPPED",INDEX(COA_Mapping!$C$7:$C$256,$Q274)))</f>
        <v/>
      </c>
      <c r="N274" s="38" t="str">
        <f aca="false">IF($A274="","",IF($Q274=0,"",INDEX(COA_Mapping!$E$7:$E$256,$Q274)))</f>
        <v/>
      </c>
      <c r="O274" s="38" t="n">
        <f aca="false">IF($A274="",1,IF($Q274=0,1,INDEX(COA_Mapping!$F$7:$F$256,$Q274)))</f>
        <v>1</v>
      </c>
      <c r="P274" s="34" t="str">
        <f aca="false">IF($A274="","",$I274*$O274)</f>
        <v/>
      </c>
      <c r="Q274" s="39" t="n">
        <f aca="false">IF($B274="",0,IFERROR(MATCH($B274,COA_Mapping!$A$7:$A$256,0),0))</f>
        <v>0</v>
      </c>
      <c r="R274" s="39" t="n">
        <f aca="false">IF($A274="",-1,IF($J274=Setup!$B$7,1,IF($J274=Setup!$B$9,0,-1)))</f>
        <v>-1</v>
      </c>
      <c r="S274" s="35" t="n">
        <f aca="false">IF(OR($A274="",$Q274=0,$R274=-1),0,$Q274*1000+$R274*100+$K274)</f>
        <v>0</v>
      </c>
      <c r="T274" s="37" t="str">
        <f aca="false">IF($A274="","",IF($B274="","NO ACCOUNT",IF($Q274=0,"UNMAPPED",IF($R274=-1,"OUTSIDE FY RANGE","OK"))))</f>
        <v/>
      </c>
      <c r="U274" s="40" t="str">
        <f aca="false">IF($A274="","",$B274&amp;"|"&amp;TEXT($A274,"yyyymmdd")&amp;"|"&amp;TEXT($I274,"0.00"))</f>
        <v/>
      </c>
      <c r="V274" s="35" t="str">
        <f aca="false">IF($A274="","",COUNTIF($U$8:$U$5007,$U274))</f>
        <v/>
      </c>
    </row>
    <row r="275" customFormat="false" ht="15" hidden="false" customHeight="false" outlineLevel="0" collapsed="false">
      <c r="A275" s="31"/>
      <c r="B275" s="32"/>
      <c r="C275" s="32"/>
      <c r="D275" s="32"/>
      <c r="E275" s="32"/>
      <c r="F275" s="32"/>
      <c r="G275" s="33"/>
      <c r="H275" s="33"/>
      <c r="I275" s="34" t="str">
        <f aca="false">IF($A275="","",$G275-$H275)</f>
        <v/>
      </c>
      <c r="J275" s="35" t="str">
        <f aca="false">IF($A275="","",IF(Setup!$B$6=1,YEAR($A275),YEAR($A275)+IF(MONTH($A275)&gt;=Setup!$B$6,1,0)))</f>
        <v/>
      </c>
      <c r="K275" s="35" t="str">
        <f aca="false">IF($A275="","",MOD(MONTH($A275)-Setup!$B$6+12,12)+1)</f>
        <v/>
      </c>
      <c r="L275" s="36" t="str">
        <f aca="false">IF($A275="","",TEXT($A275,"MMM-YY"))</f>
        <v/>
      </c>
      <c r="M275" s="37" t="str">
        <f aca="false">IF($A275="","",IF($Q275=0,"UNMAPPED",INDEX(COA_Mapping!$C$7:$C$256,$Q275)))</f>
        <v/>
      </c>
      <c r="N275" s="38" t="str">
        <f aca="false">IF($A275="","",IF($Q275=0,"",INDEX(COA_Mapping!$E$7:$E$256,$Q275)))</f>
        <v/>
      </c>
      <c r="O275" s="38" t="n">
        <f aca="false">IF($A275="",1,IF($Q275=0,1,INDEX(COA_Mapping!$F$7:$F$256,$Q275)))</f>
        <v>1</v>
      </c>
      <c r="P275" s="34" t="str">
        <f aca="false">IF($A275="","",$I275*$O275)</f>
        <v/>
      </c>
      <c r="Q275" s="39" t="n">
        <f aca="false">IF($B275="",0,IFERROR(MATCH($B275,COA_Mapping!$A$7:$A$256,0),0))</f>
        <v>0</v>
      </c>
      <c r="R275" s="39" t="n">
        <f aca="false">IF($A275="",-1,IF($J275=Setup!$B$7,1,IF($J275=Setup!$B$9,0,-1)))</f>
        <v>-1</v>
      </c>
      <c r="S275" s="35" t="n">
        <f aca="false">IF(OR($A275="",$Q275=0,$R275=-1),0,$Q275*1000+$R275*100+$K275)</f>
        <v>0</v>
      </c>
      <c r="T275" s="37" t="str">
        <f aca="false">IF($A275="","",IF($B275="","NO ACCOUNT",IF($Q275=0,"UNMAPPED",IF($R275=-1,"OUTSIDE FY RANGE","OK"))))</f>
        <v/>
      </c>
      <c r="U275" s="40" t="str">
        <f aca="false">IF($A275="","",$B275&amp;"|"&amp;TEXT($A275,"yyyymmdd")&amp;"|"&amp;TEXT($I275,"0.00"))</f>
        <v/>
      </c>
      <c r="V275" s="35" t="str">
        <f aca="false">IF($A275="","",COUNTIF($U$8:$U$5007,$U275))</f>
        <v/>
      </c>
    </row>
    <row r="276" customFormat="false" ht="15" hidden="false" customHeight="false" outlineLevel="0" collapsed="false">
      <c r="A276" s="31"/>
      <c r="B276" s="32"/>
      <c r="C276" s="32"/>
      <c r="D276" s="32"/>
      <c r="E276" s="32"/>
      <c r="F276" s="32"/>
      <c r="G276" s="33"/>
      <c r="H276" s="33"/>
      <c r="I276" s="34" t="str">
        <f aca="false">IF($A276="","",$G276-$H276)</f>
        <v/>
      </c>
      <c r="J276" s="35" t="str">
        <f aca="false">IF($A276="","",IF(Setup!$B$6=1,YEAR($A276),YEAR($A276)+IF(MONTH($A276)&gt;=Setup!$B$6,1,0)))</f>
        <v/>
      </c>
      <c r="K276" s="35" t="str">
        <f aca="false">IF($A276="","",MOD(MONTH($A276)-Setup!$B$6+12,12)+1)</f>
        <v/>
      </c>
      <c r="L276" s="36" t="str">
        <f aca="false">IF($A276="","",TEXT($A276,"MMM-YY"))</f>
        <v/>
      </c>
      <c r="M276" s="37" t="str">
        <f aca="false">IF($A276="","",IF($Q276=0,"UNMAPPED",INDEX(COA_Mapping!$C$7:$C$256,$Q276)))</f>
        <v/>
      </c>
      <c r="N276" s="38" t="str">
        <f aca="false">IF($A276="","",IF($Q276=0,"",INDEX(COA_Mapping!$E$7:$E$256,$Q276)))</f>
        <v/>
      </c>
      <c r="O276" s="38" t="n">
        <f aca="false">IF($A276="",1,IF($Q276=0,1,INDEX(COA_Mapping!$F$7:$F$256,$Q276)))</f>
        <v>1</v>
      </c>
      <c r="P276" s="34" t="str">
        <f aca="false">IF($A276="","",$I276*$O276)</f>
        <v/>
      </c>
      <c r="Q276" s="39" t="n">
        <f aca="false">IF($B276="",0,IFERROR(MATCH($B276,COA_Mapping!$A$7:$A$256,0),0))</f>
        <v>0</v>
      </c>
      <c r="R276" s="39" t="n">
        <f aca="false">IF($A276="",-1,IF($J276=Setup!$B$7,1,IF($J276=Setup!$B$9,0,-1)))</f>
        <v>-1</v>
      </c>
      <c r="S276" s="35" t="n">
        <f aca="false">IF(OR($A276="",$Q276=0,$R276=-1),0,$Q276*1000+$R276*100+$K276)</f>
        <v>0</v>
      </c>
      <c r="T276" s="37" t="str">
        <f aca="false">IF($A276="","",IF($B276="","NO ACCOUNT",IF($Q276=0,"UNMAPPED",IF($R276=-1,"OUTSIDE FY RANGE","OK"))))</f>
        <v/>
      </c>
      <c r="U276" s="40" t="str">
        <f aca="false">IF($A276="","",$B276&amp;"|"&amp;TEXT($A276,"yyyymmdd")&amp;"|"&amp;TEXT($I276,"0.00"))</f>
        <v/>
      </c>
      <c r="V276" s="35" t="str">
        <f aca="false">IF($A276="","",COUNTIF($U$8:$U$5007,$U276))</f>
        <v/>
      </c>
    </row>
    <row r="277" customFormat="false" ht="15" hidden="false" customHeight="false" outlineLevel="0" collapsed="false">
      <c r="A277" s="31"/>
      <c r="B277" s="32"/>
      <c r="C277" s="32"/>
      <c r="D277" s="32"/>
      <c r="E277" s="32"/>
      <c r="F277" s="32"/>
      <c r="G277" s="33"/>
      <c r="H277" s="33"/>
      <c r="I277" s="34" t="str">
        <f aca="false">IF($A277="","",$G277-$H277)</f>
        <v/>
      </c>
      <c r="J277" s="35" t="str">
        <f aca="false">IF($A277="","",IF(Setup!$B$6=1,YEAR($A277),YEAR($A277)+IF(MONTH($A277)&gt;=Setup!$B$6,1,0)))</f>
        <v/>
      </c>
      <c r="K277" s="35" t="str">
        <f aca="false">IF($A277="","",MOD(MONTH($A277)-Setup!$B$6+12,12)+1)</f>
        <v/>
      </c>
      <c r="L277" s="36" t="str">
        <f aca="false">IF($A277="","",TEXT($A277,"MMM-YY"))</f>
        <v/>
      </c>
      <c r="M277" s="37" t="str">
        <f aca="false">IF($A277="","",IF($Q277=0,"UNMAPPED",INDEX(COA_Mapping!$C$7:$C$256,$Q277)))</f>
        <v/>
      </c>
      <c r="N277" s="38" t="str">
        <f aca="false">IF($A277="","",IF($Q277=0,"",INDEX(COA_Mapping!$E$7:$E$256,$Q277)))</f>
        <v/>
      </c>
      <c r="O277" s="38" t="n">
        <f aca="false">IF($A277="",1,IF($Q277=0,1,INDEX(COA_Mapping!$F$7:$F$256,$Q277)))</f>
        <v>1</v>
      </c>
      <c r="P277" s="34" t="str">
        <f aca="false">IF($A277="","",$I277*$O277)</f>
        <v/>
      </c>
      <c r="Q277" s="39" t="n">
        <f aca="false">IF($B277="",0,IFERROR(MATCH($B277,COA_Mapping!$A$7:$A$256,0),0))</f>
        <v>0</v>
      </c>
      <c r="R277" s="39" t="n">
        <f aca="false">IF($A277="",-1,IF($J277=Setup!$B$7,1,IF($J277=Setup!$B$9,0,-1)))</f>
        <v>-1</v>
      </c>
      <c r="S277" s="35" t="n">
        <f aca="false">IF(OR($A277="",$Q277=0,$R277=-1),0,$Q277*1000+$R277*100+$K277)</f>
        <v>0</v>
      </c>
      <c r="T277" s="37" t="str">
        <f aca="false">IF($A277="","",IF($B277="","NO ACCOUNT",IF($Q277=0,"UNMAPPED",IF($R277=-1,"OUTSIDE FY RANGE","OK"))))</f>
        <v/>
      </c>
      <c r="U277" s="40" t="str">
        <f aca="false">IF($A277="","",$B277&amp;"|"&amp;TEXT($A277,"yyyymmdd")&amp;"|"&amp;TEXT($I277,"0.00"))</f>
        <v/>
      </c>
      <c r="V277" s="35" t="str">
        <f aca="false">IF($A277="","",COUNTIF($U$8:$U$5007,$U277))</f>
        <v/>
      </c>
    </row>
    <row r="278" customFormat="false" ht="15" hidden="false" customHeight="false" outlineLevel="0" collapsed="false">
      <c r="A278" s="31"/>
      <c r="B278" s="32"/>
      <c r="C278" s="32"/>
      <c r="D278" s="32"/>
      <c r="E278" s="32"/>
      <c r="F278" s="32"/>
      <c r="G278" s="33"/>
      <c r="H278" s="33"/>
      <c r="I278" s="34" t="str">
        <f aca="false">IF($A278="","",$G278-$H278)</f>
        <v/>
      </c>
      <c r="J278" s="35" t="str">
        <f aca="false">IF($A278="","",IF(Setup!$B$6=1,YEAR($A278),YEAR($A278)+IF(MONTH($A278)&gt;=Setup!$B$6,1,0)))</f>
        <v/>
      </c>
      <c r="K278" s="35" t="str">
        <f aca="false">IF($A278="","",MOD(MONTH($A278)-Setup!$B$6+12,12)+1)</f>
        <v/>
      </c>
      <c r="L278" s="36" t="str">
        <f aca="false">IF($A278="","",TEXT($A278,"MMM-YY"))</f>
        <v/>
      </c>
      <c r="M278" s="37" t="str">
        <f aca="false">IF($A278="","",IF($Q278=0,"UNMAPPED",INDEX(COA_Mapping!$C$7:$C$256,$Q278)))</f>
        <v/>
      </c>
      <c r="N278" s="38" t="str">
        <f aca="false">IF($A278="","",IF($Q278=0,"",INDEX(COA_Mapping!$E$7:$E$256,$Q278)))</f>
        <v/>
      </c>
      <c r="O278" s="38" t="n">
        <f aca="false">IF($A278="",1,IF($Q278=0,1,INDEX(COA_Mapping!$F$7:$F$256,$Q278)))</f>
        <v>1</v>
      </c>
      <c r="P278" s="34" t="str">
        <f aca="false">IF($A278="","",$I278*$O278)</f>
        <v/>
      </c>
      <c r="Q278" s="39" t="n">
        <f aca="false">IF($B278="",0,IFERROR(MATCH($B278,COA_Mapping!$A$7:$A$256,0),0))</f>
        <v>0</v>
      </c>
      <c r="R278" s="39" t="n">
        <f aca="false">IF($A278="",-1,IF($J278=Setup!$B$7,1,IF($J278=Setup!$B$9,0,-1)))</f>
        <v>-1</v>
      </c>
      <c r="S278" s="35" t="n">
        <f aca="false">IF(OR($A278="",$Q278=0,$R278=-1),0,$Q278*1000+$R278*100+$K278)</f>
        <v>0</v>
      </c>
      <c r="T278" s="37" t="str">
        <f aca="false">IF($A278="","",IF($B278="","NO ACCOUNT",IF($Q278=0,"UNMAPPED",IF($R278=-1,"OUTSIDE FY RANGE","OK"))))</f>
        <v/>
      </c>
      <c r="U278" s="40" t="str">
        <f aca="false">IF($A278="","",$B278&amp;"|"&amp;TEXT($A278,"yyyymmdd")&amp;"|"&amp;TEXT($I278,"0.00"))</f>
        <v/>
      </c>
      <c r="V278" s="35" t="str">
        <f aca="false">IF($A278="","",COUNTIF($U$8:$U$5007,$U278))</f>
        <v/>
      </c>
    </row>
    <row r="279" customFormat="false" ht="15" hidden="false" customHeight="false" outlineLevel="0" collapsed="false">
      <c r="A279" s="31"/>
      <c r="B279" s="32"/>
      <c r="C279" s="32"/>
      <c r="D279" s="32"/>
      <c r="E279" s="32"/>
      <c r="F279" s="32"/>
      <c r="G279" s="33"/>
      <c r="H279" s="33"/>
      <c r="I279" s="34" t="str">
        <f aca="false">IF($A279="","",$G279-$H279)</f>
        <v/>
      </c>
      <c r="J279" s="35" t="str">
        <f aca="false">IF($A279="","",IF(Setup!$B$6=1,YEAR($A279),YEAR($A279)+IF(MONTH($A279)&gt;=Setup!$B$6,1,0)))</f>
        <v/>
      </c>
      <c r="K279" s="35" t="str">
        <f aca="false">IF($A279="","",MOD(MONTH($A279)-Setup!$B$6+12,12)+1)</f>
        <v/>
      </c>
      <c r="L279" s="36" t="str">
        <f aca="false">IF($A279="","",TEXT($A279,"MMM-YY"))</f>
        <v/>
      </c>
      <c r="M279" s="37" t="str">
        <f aca="false">IF($A279="","",IF($Q279=0,"UNMAPPED",INDEX(COA_Mapping!$C$7:$C$256,$Q279)))</f>
        <v/>
      </c>
      <c r="N279" s="38" t="str">
        <f aca="false">IF($A279="","",IF($Q279=0,"",INDEX(COA_Mapping!$E$7:$E$256,$Q279)))</f>
        <v/>
      </c>
      <c r="O279" s="38" t="n">
        <f aca="false">IF($A279="",1,IF($Q279=0,1,INDEX(COA_Mapping!$F$7:$F$256,$Q279)))</f>
        <v>1</v>
      </c>
      <c r="P279" s="34" t="str">
        <f aca="false">IF($A279="","",$I279*$O279)</f>
        <v/>
      </c>
      <c r="Q279" s="39" t="n">
        <f aca="false">IF($B279="",0,IFERROR(MATCH($B279,COA_Mapping!$A$7:$A$256,0),0))</f>
        <v>0</v>
      </c>
      <c r="R279" s="39" t="n">
        <f aca="false">IF($A279="",-1,IF($J279=Setup!$B$7,1,IF($J279=Setup!$B$9,0,-1)))</f>
        <v>-1</v>
      </c>
      <c r="S279" s="35" t="n">
        <f aca="false">IF(OR($A279="",$Q279=0,$R279=-1),0,$Q279*1000+$R279*100+$K279)</f>
        <v>0</v>
      </c>
      <c r="T279" s="37" t="str">
        <f aca="false">IF($A279="","",IF($B279="","NO ACCOUNT",IF($Q279=0,"UNMAPPED",IF($R279=-1,"OUTSIDE FY RANGE","OK"))))</f>
        <v/>
      </c>
      <c r="U279" s="40" t="str">
        <f aca="false">IF($A279="","",$B279&amp;"|"&amp;TEXT($A279,"yyyymmdd")&amp;"|"&amp;TEXT($I279,"0.00"))</f>
        <v/>
      </c>
      <c r="V279" s="35" t="str">
        <f aca="false">IF($A279="","",COUNTIF($U$8:$U$5007,$U279))</f>
        <v/>
      </c>
    </row>
    <row r="280" customFormat="false" ht="15" hidden="false" customHeight="false" outlineLevel="0" collapsed="false">
      <c r="A280" s="31"/>
      <c r="B280" s="32"/>
      <c r="C280" s="32"/>
      <c r="D280" s="32"/>
      <c r="E280" s="32"/>
      <c r="F280" s="32"/>
      <c r="G280" s="33"/>
      <c r="H280" s="33"/>
      <c r="I280" s="34" t="str">
        <f aca="false">IF($A280="","",$G280-$H280)</f>
        <v/>
      </c>
      <c r="J280" s="35" t="str">
        <f aca="false">IF($A280="","",IF(Setup!$B$6=1,YEAR($A280),YEAR($A280)+IF(MONTH($A280)&gt;=Setup!$B$6,1,0)))</f>
        <v/>
      </c>
      <c r="K280" s="35" t="str">
        <f aca="false">IF($A280="","",MOD(MONTH($A280)-Setup!$B$6+12,12)+1)</f>
        <v/>
      </c>
      <c r="L280" s="36" t="str">
        <f aca="false">IF($A280="","",TEXT($A280,"MMM-YY"))</f>
        <v/>
      </c>
      <c r="M280" s="37" t="str">
        <f aca="false">IF($A280="","",IF($Q280=0,"UNMAPPED",INDEX(COA_Mapping!$C$7:$C$256,$Q280)))</f>
        <v/>
      </c>
      <c r="N280" s="38" t="str">
        <f aca="false">IF($A280="","",IF($Q280=0,"",INDEX(COA_Mapping!$E$7:$E$256,$Q280)))</f>
        <v/>
      </c>
      <c r="O280" s="38" t="n">
        <f aca="false">IF($A280="",1,IF($Q280=0,1,INDEX(COA_Mapping!$F$7:$F$256,$Q280)))</f>
        <v>1</v>
      </c>
      <c r="P280" s="34" t="str">
        <f aca="false">IF($A280="","",$I280*$O280)</f>
        <v/>
      </c>
      <c r="Q280" s="39" t="n">
        <f aca="false">IF($B280="",0,IFERROR(MATCH($B280,COA_Mapping!$A$7:$A$256,0),0))</f>
        <v>0</v>
      </c>
      <c r="R280" s="39" t="n">
        <f aca="false">IF($A280="",-1,IF($J280=Setup!$B$7,1,IF($J280=Setup!$B$9,0,-1)))</f>
        <v>-1</v>
      </c>
      <c r="S280" s="35" t="n">
        <f aca="false">IF(OR($A280="",$Q280=0,$R280=-1),0,$Q280*1000+$R280*100+$K280)</f>
        <v>0</v>
      </c>
      <c r="T280" s="37" t="str">
        <f aca="false">IF($A280="","",IF($B280="","NO ACCOUNT",IF($Q280=0,"UNMAPPED",IF($R280=-1,"OUTSIDE FY RANGE","OK"))))</f>
        <v/>
      </c>
      <c r="U280" s="40" t="str">
        <f aca="false">IF($A280="","",$B280&amp;"|"&amp;TEXT($A280,"yyyymmdd")&amp;"|"&amp;TEXT($I280,"0.00"))</f>
        <v/>
      </c>
      <c r="V280" s="35" t="str">
        <f aca="false">IF($A280="","",COUNTIF($U$8:$U$5007,$U280))</f>
        <v/>
      </c>
    </row>
    <row r="281" customFormat="false" ht="15" hidden="false" customHeight="false" outlineLevel="0" collapsed="false">
      <c r="A281" s="31"/>
      <c r="B281" s="32"/>
      <c r="C281" s="32"/>
      <c r="D281" s="32"/>
      <c r="E281" s="32"/>
      <c r="F281" s="32"/>
      <c r="G281" s="33"/>
      <c r="H281" s="33"/>
      <c r="I281" s="34" t="str">
        <f aca="false">IF($A281="","",$G281-$H281)</f>
        <v/>
      </c>
      <c r="J281" s="35" t="str">
        <f aca="false">IF($A281="","",IF(Setup!$B$6=1,YEAR($A281),YEAR($A281)+IF(MONTH($A281)&gt;=Setup!$B$6,1,0)))</f>
        <v/>
      </c>
      <c r="K281" s="35" t="str">
        <f aca="false">IF($A281="","",MOD(MONTH($A281)-Setup!$B$6+12,12)+1)</f>
        <v/>
      </c>
      <c r="L281" s="36" t="str">
        <f aca="false">IF($A281="","",TEXT($A281,"MMM-YY"))</f>
        <v/>
      </c>
      <c r="M281" s="37" t="str">
        <f aca="false">IF($A281="","",IF($Q281=0,"UNMAPPED",INDEX(COA_Mapping!$C$7:$C$256,$Q281)))</f>
        <v/>
      </c>
      <c r="N281" s="38" t="str">
        <f aca="false">IF($A281="","",IF($Q281=0,"",INDEX(COA_Mapping!$E$7:$E$256,$Q281)))</f>
        <v/>
      </c>
      <c r="O281" s="38" t="n">
        <f aca="false">IF($A281="",1,IF($Q281=0,1,INDEX(COA_Mapping!$F$7:$F$256,$Q281)))</f>
        <v>1</v>
      </c>
      <c r="P281" s="34" t="str">
        <f aca="false">IF($A281="","",$I281*$O281)</f>
        <v/>
      </c>
      <c r="Q281" s="39" t="n">
        <f aca="false">IF($B281="",0,IFERROR(MATCH($B281,COA_Mapping!$A$7:$A$256,0),0))</f>
        <v>0</v>
      </c>
      <c r="R281" s="39" t="n">
        <f aca="false">IF($A281="",-1,IF($J281=Setup!$B$7,1,IF($J281=Setup!$B$9,0,-1)))</f>
        <v>-1</v>
      </c>
      <c r="S281" s="35" t="n">
        <f aca="false">IF(OR($A281="",$Q281=0,$R281=-1),0,$Q281*1000+$R281*100+$K281)</f>
        <v>0</v>
      </c>
      <c r="T281" s="37" t="str">
        <f aca="false">IF($A281="","",IF($B281="","NO ACCOUNT",IF($Q281=0,"UNMAPPED",IF($R281=-1,"OUTSIDE FY RANGE","OK"))))</f>
        <v/>
      </c>
      <c r="U281" s="40" t="str">
        <f aca="false">IF($A281="","",$B281&amp;"|"&amp;TEXT($A281,"yyyymmdd")&amp;"|"&amp;TEXT($I281,"0.00"))</f>
        <v/>
      </c>
      <c r="V281" s="35" t="str">
        <f aca="false">IF($A281="","",COUNTIF($U$8:$U$5007,$U281))</f>
        <v/>
      </c>
    </row>
    <row r="282" customFormat="false" ht="15" hidden="false" customHeight="false" outlineLevel="0" collapsed="false">
      <c r="A282" s="31"/>
      <c r="B282" s="32"/>
      <c r="C282" s="32"/>
      <c r="D282" s="32"/>
      <c r="E282" s="32"/>
      <c r="F282" s="32"/>
      <c r="G282" s="33"/>
      <c r="H282" s="33"/>
      <c r="I282" s="34" t="str">
        <f aca="false">IF($A282="","",$G282-$H282)</f>
        <v/>
      </c>
      <c r="J282" s="35" t="str">
        <f aca="false">IF($A282="","",IF(Setup!$B$6=1,YEAR($A282),YEAR($A282)+IF(MONTH($A282)&gt;=Setup!$B$6,1,0)))</f>
        <v/>
      </c>
      <c r="K282" s="35" t="str">
        <f aca="false">IF($A282="","",MOD(MONTH($A282)-Setup!$B$6+12,12)+1)</f>
        <v/>
      </c>
      <c r="L282" s="36" t="str">
        <f aca="false">IF($A282="","",TEXT($A282,"MMM-YY"))</f>
        <v/>
      </c>
      <c r="M282" s="37" t="str">
        <f aca="false">IF($A282="","",IF($Q282=0,"UNMAPPED",INDEX(COA_Mapping!$C$7:$C$256,$Q282)))</f>
        <v/>
      </c>
      <c r="N282" s="38" t="str">
        <f aca="false">IF($A282="","",IF($Q282=0,"",INDEX(COA_Mapping!$E$7:$E$256,$Q282)))</f>
        <v/>
      </c>
      <c r="O282" s="38" t="n">
        <f aca="false">IF($A282="",1,IF($Q282=0,1,INDEX(COA_Mapping!$F$7:$F$256,$Q282)))</f>
        <v>1</v>
      </c>
      <c r="P282" s="34" t="str">
        <f aca="false">IF($A282="","",$I282*$O282)</f>
        <v/>
      </c>
      <c r="Q282" s="39" t="n">
        <f aca="false">IF($B282="",0,IFERROR(MATCH($B282,COA_Mapping!$A$7:$A$256,0),0))</f>
        <v>0</v>
      </c>
      <c r="R282" s="39" t="n">
        <f aca="false">IF($A282="",-1,IF($J282=Setup!$B$7,1,IF($J282=Setup!$B$9,0,-1)))</f>
        <v>-1</v>
      </c>
      <c r="S282" s="35" t="n">
        <f aca="false">IF(OR($A282="",$Q282=0,$R282=-1),0,$Q282*1000+$R282*100+$K282)</f>
        <v>0</v>
      </c>
      <c r="T282" s="37" t="str">
        <f aca="false">IF($A282="","",IF($B282="","NO ACCOUNT",IF($Q282=0,"UNMAPPED",IF($R282=-1,"OUTSIDE FY RANGE","OK"))))</f>
        <v/>
      </c>
      <c r="U282" s="40" t="str">
        <f aca="false">IF($A282="","",$B282&amp;"|"&amp;TEXT($A282,"yyyymmdd")&amp;"|"&amp;TEXT($I282,"0.00"))</f>
        <v/>
      </c>
      <c r="V282" s="35" t="str">
        <f aca="false">IF($A282="","",COUNTIF($U$8:$U$5007,$U282))</f>
        <v/>
      </c>
    </row>
    <row r="283" customFormat="false" ht="15" hidden="false" customHeight="false" outlineLevel="0" collapsed="false">
      <c r="A283" s="31"/>
      <c r="B283" s="32"/>
      <c r="C283" s="32"/>
      <c r="D283" s="32"/>
      <c r="E283" s="32"/>
      <c r="F283" s="32"/>
      <c r="G283" s="33"/>
      <c r="H283" s="33"/>
      <c r="I283" s="34" t="str">
        <f aca="false">IF($A283="","",$G283-$H283)</f>
        <v/>
      </c>
      <c r="J283" s="35" t="str">
        <f aca="false">IF($A283="","",IF(Setup!$B$6=1,YEAR($A283),YEAR($A283)+IF(MONTH($A283)&gt;=Setup!$B$6,1,0)))</f>
        <v/>
      </c>
      <c r="K283" s="35" t="str">
        <f aca="false">IF($A283="","",MOD(MONTH($A283)-Setup!$B$6+12,12)+1)</f>
        <v/>
      </c>
      <c r="L283" s="36" t="str">
        <f aca="false">IF($A283="","",TEXT($A283,"MMM-YY"))</f>
        <v/>
      </c>
      <c r="M283" s="37" t="str">
        <f aca="false">IF($A283="","",IF($Q283=0,"UNMAPPED",INDEX(COA_Mapping!$C$7:$C$256,$Q283)))</f>
        <v/>
      </c>
      <c r="N283" s="38" t="str">
        <f aca="false">IF($A283="","",IF($Q283=0,"",INDEX(COA_Mapping!$E$7:$E$256,$Q283)))</f>
        <v/>
      </c>
      <c r="O283" s="38" t="n">
        <f aca="false">IF($A283="",1,IF($Q283=0,1,INDEX(COA_Mapping!$F$7:$F$256,$Q283)))</f>
        <v>1</v>
      </c>
      <c r="P283" s="34" t="str">
        <f aca="false">IF($A283="","",$I283*$O283)</f>
        <v/>
      </c>
      <c r="Q283" s="39" t="n">
        <f aca="false">IF($B283="",0,IFERROR(MATCH($B283,COA_Mapping!$A$7:$A$256,0),0))</f>
        <v>0</v>
      </c>
      <c r="R283" s="39" t="n">
        <f aca="false">IF($A283="",-1,IF($J283=Setup!$B$7,1,IF($J283=Setup!$B$9,0,-1)))</f>
        <v>-1</v>
      </c>
      <c r="S283" s="35" t="n">
        <f aca="false">IF(OR($A283="",$Q283=0,$R283=-1),0,$Q283*1000+$R283*100+$K283)</f>
        <v>0</v>
      </c>
      <c r="T283" s="37" t="str">
        <f aca="false">IF($A283="","",IF($B283="","NO ACCOUNT",IF($Q283=0,"UNMAPPED",IF($R283=-1,"OUTSIDE FY RANGE","OK"))))</f>
        <v/>
      </c>
      <c r="U283" s="40" t="str">
        <f aca="false">IF($A283="","",$B283&amp;"|"&amp;TEXT($A283,"yyyymmdd")&amp;"|"&amp;TEXT($I283,"0.00"))</f>
        <v/>
      </c>
      <c r="V283" s="35" t="str">
        <f aca="false">IF($A283="","",COUNTIF($U$8:$U$5007,$U283))</f>
        <v/>
      </c>
    </row>
    <row r="284" customFormat="false" ht="15" hidden="false" customHeight="false" outlineLevel="0" collapsed="false">
      <c r="A284" s="31"/>
      <c r="B284" s="32"/>
      <c r="C284" s="32"/>
      <c r="D284" s="32"/>
      <c r="E284" s="32"/>
      <c r="F284" s="32"/>
      <c r="G284" s="33"/>
      <c r="H284" s="33"/>
      <c r="I284" s="34" t="str">
        <f aca="false">IF($A284="","",$G284-$H284)</f>
        <v/>
      </c>
      <c r="J284" s="35" t="str">
        <f aca="false">IF($A284="","",IF(Setup!$B$6=1,YEAR($A284),YEAR($A284)+IF(MONTH($A284)&gt;=Setup!$B$6,1,0)))</f>
        <v/>
      </c>
      <c r="K284" s="35" t="str">
        <f aca="false">IF($A284="","",MOD(MONTH($A284)-Setup!$B$6+12,12)+1)</f>
        <v/>
      </c>
      <c r="L284" s="36" t="str">
        <f aca="false">IF($A284="","",TEXT($A284,"MMM-YY"))</f>
        <v/>
      </c>
      <c r="M284" s="37" t="str">
        <f aca="false">IF($A284="","",IF($Q284=0,"UNMAPPED",INDEX(COA_Mapping!$C$7:$C$256,$Q284)))</f>
        <v/>
      </c>
      <c r="N284" s="38" t="str">
        <f aca="false">IF($A284="","",IF($Q284=0,"",INDEX(COA_Mapping!$E$7:$E$256,$Q284)))</f>
        <v/>
      </c>
      <c r="O284" s="38" t="n">
        <f aca="false">IF($A284="",1,IF($Q284=0,1,INDEX(COA_Mapping!$F$7:$F$256,$Q284)))</f>
        <v>1</v>
      </c>
      <c r="P284" s="34" t="str">
        <f aca="false">IF($A284="","",$I284*$O284)</f>
        <v/>
      </c>
      <c r="Q284" s="39" t="n">
        <f aca="false">IF($B284="",0,IFERROR(MATCH($B284,COA_Mapping!$A$7:$A$256,0),0))</f>
        <v>0</v>
      </c>
      <c r="R284" s="39" t="n">
        <f aca="false">IF($A284="",-1,IF($J284=Setup!$B$7,1,IF($J284=Setup!$B$9,0,-1)))</f>
        <v>-1</v>
      </c>
      <c r="S284" s="35" t="n">
        <f aca="false">IF(OR($A284="",$Q284=0,$R284=-1),0,$Q284*1000+$R284*100+$K284)</f>
        <v>0</v>
      </c>
      <c r="T284" s="37" t="str">
        <f aca="false">IF($A284="","",IF($B284="","NO ACCOUNT",IF($Q284=0,"UNMAPPED",IF($R284=-1,"OUTSIDE FY RANGE","OK"))))</f>
        <v/>
      </c>
      <c r="U284" s="40" t="str">
        <f aca="false">IF($A284="","",$B284&amp;"|"&amp;TEXT($A284,"yyyymmdd")&amp;"|"&amp;TEXT($I284,"0.00"))</f>
        <v/>
      </c>
      <c r="V284" s="35" t="str">
        <f aca="false">IF($A284="","",COUNTIF($U$8:$U$5007,$U284))</f>
        <v/>
      </c>
    </row>
    <row r="285" customFormat="false" ht="15" hidden="false" customHeight="false" outlineLevel="0" collapsed="false">
      <c r="A285" s="31"/>
      <c r="B285" s="32"/>
      <c r="C285" s="32"/>
      <c r="D285" s="32"/>
      <c r="E285" s="32"/>
      <c r="F285" s="32"/>
      <c r="G285" s="33"/>
      <c r="H285" s="33"/>
      <c r="I285" s="34" t="str">
        <f aca="false">IF($A285="","",$G285-$H285)</f>
        <v/>
      </c>
      <c r="J285" s="35" t="str">
        <f aca="false">IF($A285="","",IF(Setup!$B$6=1,YEAR($A285),YEAR($A285)+IF(MONTH($A285)&gt;=Setup!$B$6,1,0)))</f>
        <v/>
      </c>
      <c r="K285" s="35" t="str">
        <f aca="false">IF($A285="","",MOD(MONTH($A285)-Setup!$B$6+12,12)+1)</f>
        <v/>
      </c>
      <c r="L285" s="36" t="str">
        <f aca="false">IF($A285="","",TEXT($A285,"MMM-YY"))</f>
        <v/>
      </c>
      <c r="M285" s="37" t="str">
        <f aca="false">IF($A285="","",IF($Q285=0,"UNMAPPED",INDEX(COA_Mapping!$C$7:$C$256,$Q285)))</f>
        <v/>
      </c>
      <c r="N285" s="38" t="str">
        <f aca="false">IF($A285="","",IF($Q285=0,"",INDEX(COA_Mapping!$E$7:$E$256,$Q285)))</f>
        <v/>
      </c>
      <c r="O285" s="38" t="n">
        <f aca="false">IF($A285="",1,IF($Q285=0,1,INDEX(COA_Mapping!$F$7:$F$256,$Q285)))</f>
        <v>1</v>
      </c>
      <c r="P285" s="34" t="str">
        <f aca="false">IF($A285="","",$I285*$O285)</f>
        <v/>
      </c>
      <c r="Q285" s="39" t="n">
        <f aca="false">IF($B285="",0,IFERROR(MATCH($B285,COA_Mapping!$A$7:$A$256,0),0))</f>
        <v>0</v>
      </c>
      <c r="R285" s="39" t="n">
        <f aca="false">IF($A285="",-1,IF($J285=Setup!$B$7,1,IF($J285=Setup!$B$9,0,-1)))</f>
        <v>-1</v>
      </c>
      <c r="S285" s="35" t="n">
        <f aca="false">IF(OR($A285="",$Q285=0,$R285=-1),0,$Q285*1000+$R285*100+$K285)</f>
        <v>0</v>
      </c>
      <c r="T285" s="37" t="str">
        <f aca="false">IF($A285="","",IF($B285="","NO ACCOUNT",IF($Q285=0,"UNMAPPED",IF($R285=-1,"OUTSIDE FY RANGE","OK"))))</f>
        <v/>
      </c>
      <c r="U285" s="40" t="str">
        <f aca="false">IF($A285="","",$B285&amp;"|"&amp;TEXT($A285,"yyyymmdd")&amp;"|"&amp;TEXT($I285,"0.00"))</f>
        <v/>
      </c>
      <c r="V285" s="35" t="str">
        <f aca="false">IF($A285="","",COUNTIF($U$8:$U$5007,$U285))</f>
        <v/>
      </c>
    </row>
    <row r="286" customFormat="false" ht="15" hidden="false" customHeight="false" outlineLevel="0" collapsed="false">
      <c r="A286" s="31"/>
      <c r="B286" s="32"/>
      <c r="C286" s="32"/>
      <c r="D286" s="32"/>
      <c r="E286" s="32"/>
      <c r="F286" s="32"/>
      <c r="G286" s="33"/>
      <c r="H286" s="33"/>
      <c r="I286" s="34" t="str">
        <f aca="false">IF($A286="","",$G286-$H286)</f>
        <v/>
      </c>
      <c r="J286" s="35" t="str">
        <f aca="false">IF($A286="","",IF(Setup!$B$6=1,YEAR($A286),YEAR($A286)+IF(MONTH($A286)&gt;=Setup!$B$6,1,0)))</f>
        <v/>
      </c>
      <c r="K286" s="35" t="str">
        <f aca="false">IF($A286="","",MOD(MONTH($A286)-Setup!$B$6+12,12)+1)</f>
        <v/>
      </c>
      <c r="L286" s="36" t="str">
        <f aca="false">IF($A286="","",TEXT($A286,"MMM-YY"))</f>
        <v/>
      </c>
      <c r="M286" s="37" t="str">
        <f aca="false">IF($A286="","",IF($Q286=0,"UNMAPPED",INDEX(COA_Mapping!$C$7:$C$256,$Q286)))</f>
        <v/>
      </c>
      <c r="N286" s="38" t="str">
        <f aca="false">IF($A286="","",IF($Q286=0,"",INDEX(COA_Mapping!$E$7:$E$256,$Q286)))</f>
        <v/>
      </c>
      <c r="O286" s="38" t="n">
        <f aca="false">IF($A286="",1,IF($Q286=0,1,INDEX(COA_Mapping!$F$7:$F$256,$Q286)))</f>
        <v>1</v>
      </c>
      <c r="P286" s="34" t="str">
        <f aca="false">IF($A286="","",$I286*$O286)</f>
        <v/>
      </c>
      <c r="Q286" s="39" t="n">
        <f aca="false">IF($B286="",0,IFERROR(MATCH($B286,COA_Mapping!$A$7:$A$256,0),0))</f>
        <v>0</v>
      </c>
      <c r="R286" s="39" t="n">
        <f aca="false">IF($A286="",-1,IF($J286=Setup!$B$7,1,IF($J286=Setup!$B$9,0,-1)))</f>
        <v>-1</v>
      </c>
      <c r="S286" s="35" t="n">
        <f aca="false">IF(OR($A286="",$Q286=0,$R286=-1),0,$Q286*1000+$R286*100+$K286)</f>
        <v>0</v>
      </c>
      <c r="T286" s="37" t="str">
        <f aca="false">IF($A286="","",IF($B286="","NO ACCOUNT",IF($Q286=0,"UNMAPPED",IF($R286=-1,"OUTSIDE FY RANGE","OK"))))</f>
        <v/>
      </c>
      <c r="U286" s="40" t="str">
        <f aca="false">IF($A286="","",$B286&amp;"|"&amp;TEXT($A286,"yyyymmdd")&amp;"|"&amp;TEXT($I286,"0.00"))</f>
        <v/>
      </c>
      <c r="V286" s="35" t="str">
        <f aca="false">IF($A286="","",COUNTIF($U$8:$U$5007,$U286))</f>
        <v/>
      </c>
    </row>
    <row r="287" customFormat="false" ht="15" hidden="false" customHeight="false" outlineLevel="0" collapsed="false">
      <c r="A287" s="31"/>
      <c r="B287" s="32"/>
      <c r="C287" s="32"/>
      <c r="D287" s="32"/>
      <c r="E287" s="32"/>
      <c r="F287" s="32"/>
      <c r="G287" s="33"/>
      <c r="H287" s="33"/>
      <c r="I287" s="34" t="str">
        <f aca="false">IF($A287="","",$G287-$H287)</f>
        <v/>
      </c>
      <c r="J287" s="35" t="str">
        <f aca="false">IF($A287="","",IF(Setup!$B$6=1,YEAR($A287),YEAR($A287)+IF(MONTH($A287)&gt;=Setup!$B$6,1,0)))</f>
        <v/>
      </c>
      <c r="K287" s="35" t="str">
        <f aca="false">IF($A287="","",MOD(MONTH($A287)-Setup!$B$6+12,12)+1)</f>
        <v/>
      </c>
      <c r="L287" s="36" t="str">
        <f aca="false">IF($A287="","",TEXT($A287,"MMM-YY"))</f>
        <v/>
      </c>
      <c r="M287" s="37" t="str">
        <f aca="false">IF($A287="","",IF($Q287=0,"UNMAPPED",INDEX(COA_Mapping!$C$7:$C$256,$Q287)))</f>
        <v/>
      </c>
      <c r="N287" s="38" t="str">
        <f aca="false">IF($A287="","",IF($Q287=0,"",INDEX(COA_Mapping!$E$7:$E$256,$Q287)))</f>
        <v/>
      </c>
      <c r="O287" s="38" t="n">
        <f aca="false">IF($A287="",1,IF($Q287=0,1,INDEX(COA_Mapping!$F$7:$F$256,$Q287)))</f>
        <v>1</v>
      </c>
      <c r="P287" s="34" t="str">
        <f aca="false">IF($A287="","",$I287*$O287)</f>
        <v/>
      </c>
      <c r="Q287" s="39" t="n">
        <f aca="false">IF($B287="",0,IFERROR(MATCH($B287,COA_Mapping!$A$7:$A$256,0),0))</f>
        <v>0</v>
      </c>
      <c r="R287" s="39" t="n">
        <f aca="false">IF($A287="",-1,IF($J287=Setup!$B$7,1,IF($J287=Setup!$B$9,0,-1)))</f>
        <v>-1</v>
      </c>
      <c r="S287" s="35" t="n">
        <f aca="false">IF(OR($A287="",$Q287=0,$R287=-1),0,$Q287*1000+$R287*100+$K287)</f>
        <v>0</v>
      </c>
      <c r="T287" s="37" t="str">
        <f aca="false">IF($A287="","",IF($B287="","NO ACCOUNT",IF($Q287=0,"UNMAPPED",IF($R287=-1,"OUTSIDE FY RANGE","OK"))))</f>
        <v/>
      </c>
      <c r="U287" s="40" t="str">
        <f aca="false">IF($A287="","",$B287&amp;"|"&amp;TEXT($A287,"yyyymmdd")&amp;"|"&amp;TEXT($I287,"0.00"))</f>
        <v/>
      </c>
      <c r="V287" s="35" t="str">
        <f aca="false">IF($A287="","",COUNTIF($U$8:$U$5007,$U287))</f>
        <v/>
      </c>
    </row>
    <row r="288" customFormat="false" ht="15" hidden="false" customHeight="false" outlineLevel="0" collapsed="false">
      <c r="A288" s="31"/>
      <c r="B288" s="32"/>
      <c r="C288" s="32"/>
      <c r="D288" s="32"/>
      <c r="E288" s="32"/>
      <c r="F288" s="32"/>
      <c r="G288" s="33"/>
      <c r="H288" s="33"/>
      <c r="I288" s="34" t="str">
        <f aca="false">IF($A288="","",$G288-$H288)</f>
        <v/>
      </c>
      <c r="J288" s="35" t="str">
        <f aca="false">IF($A288="","",IF(Setup!$B$6=1,YEAR($A288),YEAR($A288)+IF(MONTH($A288)&gt;=Setup!$B$6,1,0)))</f>
        <v/>
      </c>
      <c r="K288" s="35" t="str">
        <f aca="false">IF($A288="","",MOD(MONTH($A288)-Setup!$B$6+12,12)+1)</f>
        <v/>
      </c>
      <c r="L288" s="36" t="str">
        <f aca="false">IF($A288="","",TEXT($A288,"MMM-YY"))</f>
        <v/>
      </c>
      <c r="M288" s="37" t="str">
        <f aca="false">IF($A288="","",IF($Q288=0,"UNMAPPED",INDEX(COA_Mapping!$C$7:$C$256,$Q288)))</f>
        <v/>
      </c>
      <c r="N288" s="38" t="str">
        <f aca="false">IF($A288="","",IF($Q288=0,"",INDEX(COA_Mapping!$E$7:$E$256,$Q288)))</f>
        <v/>
      </c>
      <c r="O288" s="38" t="n">
        <f aca="false">IF($A288="",1,IF($Q288=0,1,INDEX(COA_Mapping!$F$7:$F$256,$Q288)))</f>
        <v>1</v>
      </c>
      <c r="P288" s="34" t="str">
        <f aca="false">IF($A288="","",$I288*$O288)</f>
        <v/>
      </c>
      <c r="Q288" s="39" t="n">
        <f aca="false">IF($B288="",0,IFERROR(MATCH($B288,COA_Mapping!$A$7:$A$256,0),0))</f>
        <v>0</v>
      </c>
      <c r="R288" s="39" t="n">
        <f aca="false">IF($A288="",-1,IF($J288=Setup!$B$7,1,IF($J288=Setup!$B$9,0,-1)))</f>
        <v>-1</v>
      </c>
      <c r="S288" s="35" t="n">
        <f aca="false">IF(OR($A288="",$Q288=0,$R288=-1),0,$Q288*1000+$R288*100+$K288)</f>
        <v>0</v>
      </c>
      <c r="T288" s="37" t="str">
        <f aca="false">IF($A288="","",IF($B288="","NO ACCOUNT",IF($Q288=0,"UNMAPPED",IF($R288=-1,"OUTSIDE FY RANGE","OK"))))</f>
        <v/>
      </c>
      <c r="U288" s="40" t="str">
        <f aca="false">IF($A288="","",$B288&amp;"|"&amp;TEXT($A288,"yyyymmdd")&amp;"|"&amp;TEXT($I288,"0.00"))</f>
        <v/>
      </c>
      <c r="V288" s="35" t="str">
        <f aca="false">IF($A288="","",COUNTIF($U$8:$U$5007,$U288))</f>
        <v/>
      </c>
    </row>
    <row r="289" customFormat="false" ht="15" hidden="false" customHeight="false" outlineLevel="0" collapsed="false">
      <c r="A289" s="31"/>
      <c r="B289" s="32"/>
      <c r="C289" s="32"/>
      <c r="D289" s="32"/>
      <c r="E289" s="32"/>
      <c r="F289" s="32"/>
      <c r="G289" s="33"/>
      <c r="H289" s="33"/>
      <c r="I289" s="34" t="str">
        <f aca="false">IF($A289="","",$G289-$H289)</f>
        <v/>
      </c>
      <c r="J289" s="35" t="str">
        <f aca="false">IF($A289="","",IF(Setup!$B$6=1,YEAR($A289),YEAR($A289)+IF(MONTH($A289)&gt;=Setup!$B$6,1,0)))</f>
        <v/>
      </c>
      <c r="K289" s="35" t="str">
        <f aca="false">IF($A289="","",MOD(MONTH($A289)-Setup!$B$6+12,12)+1)</f>
        <v/>
      </c>
      <c r="L289" s="36" t="str">
        <f aca="false">IF($A289="","",TEXT($A289,"MMM-YY"))</f>
        <v/>
      </c>
      <c r="M289" s="37" t="str">
        <f aca="false">IF($A289="","",IF($Q289=0,"UNMAPPED",INDEX(COA_Mapping!$C$7:$C$256,$Q289)))</f>
        <v/>
      </c>
      <c r="N289" s="38" t="str">
        <f aca="false">IF($A289="","",IF($Q289=0,"",INDEX(COA_Mapping!$E$7:$E$256,$Q289)))</f>
        <v/>
      </c>
      <c r="O289" s="38" t="n">
        <f aca="false">IF($A289="",1,IF($Q289=0,1,INDEX(COA_Mapping!$F$7:$F$256,$Q289)))</f>
        <v>1</v>
      </c>
      <c r="P289" s="34" t="str">
        <f aca="false">IF($A289="","",$I289*$O289)</f>
        <v/>
      </c>
      <c r="Q289" s="39" t="n">
        <f aca="false">IF($B289="",0,IFERROR(MATCH($B289,COA_Mapping!$A$7:$A$256,0),0))</f>
        <v>0</v>
      </c>
      <c r="R289" s="39" t="n">
        <f aca="false">IF($A289="",-1,IF($J289=Setup!$B$7,1,IF($J289=Setup!$B$9,0,-1)))</f>
        <v>-1</v>
      </c>
      <c r="S289" s="35" t="n">
        <f aca="false">IF(OR($A289="",$Q289=0,$R289=-1),0,$Q289*1000+$R289*100+$K289)</f>
        <v>0</v>
      </c>
      <c r="T289" s="37" t="str">
        <f aca="false">IF($A289="","",IF($B289="","NO ACCOUNT",IF($Q289=0,"UNMAPPED",IF($R289=-1,"OUTSIDE FY RANGE","OK"))))</f>
        <v/>
      </c>
      <c r="U289" s="40" t="str">
        <f aca="false">IF($A289="","",$B289&amp;"|"&amp;TEXT($A289,"yyyymmdd")&amp;"|"&amp;TEXT($I289,"0.00"))</f>
        <v/>
      </c>
      <c r="V289" s="35" t="str">
        <f aca="false">IF($A289="","",COUNTIF($U$8:$U$5007,$U289))</f>
        <v/>
      </c>
    </row>
    <row r="290" customFormat="false" ht="15" hidden="false" customHeight="false" outlineLevel="0" collapsed="false">
      <c r="A290" s="31"/>
      <c r="B290" s="32"/>
      <c r="C290" s="32"/>
      <c r="D290" s="32"/>
      <c r="E290" s="32"/>
      <c r="F290" s="32"/>
      <c r="G290" s="33"/>
      <c r="H290" s="33"/>
      <c r="I290" s="34" t="str">
        <f aca="false">IF($A290="","",$G290-$H290)</f>
        <v/>
      </c>
      <c r="J290" s="35" t="str">
        <f aca="false">IF($A290="","",IF(Setup!$B$6=1,YEAR($A290),YEAR($A290)+IF(MONTH($A290)&gt;=Setup!$B$6,1,0)))</f>
        <v/>
      </c>
      <c r="K290" s="35" t="str">
        <f aca="false">IF($A290="","",MOD(MONTH($A290)-Setup!$B$6+12,12)+1)</f>
        <v/>
      </c>
      <c r="L290" s="36" t="str">
        <f aca="false">IF($A290="","",TEXT($A290,"MMM-YY"))</f>
        <v/>
      </c>
      <c r="M290" s="37" t="str">
        <f aca="false">IF($A290="","",IF($Q290=0,"UNMAPPED",INDEX(COA_Mapping!$C$7:$C$256,$Q290)))</f>
        <v/>
      </c>
      <c r="N290" s="38" t="str">
        <f aca="false">IF($A290="","",IF($Q290=0,"",INDEX(COA_Mapping!$E$7:$E$256,$Q290)))</f>
        <v/>
      </c>
      <c r="O290" s="38" t="n">
        <f aca="false">IF($A290="",1,IF($Q290=0,1,INDEX(COA_Mapping!$F$7:$F$256,$Q290)))</f>
        <v>1</v>
      </c>
      <c r="P290" s="34" t="str">
        <f aca="false">IF($A290="","",$I290*$O290)</f>
        <v/>
      </c>
      <c r="Q290" s="39" t="n">
        <f aca="false">IF($B290="",0,IFERROR(MATCH($B290,COA_Mapping!$A$7:$A$256,0),0))</f>
        <v>0</v>
      </c>
      <c r="R290" s="39" t="n">
        <f aca="false">IF($A290="",-1,IF($J290=Setup!$B$7,1,IF($J290=Setup!$B$9,0,-1)))</f>
        <v>-1</v>
      </c>
      <c r="S290" s="35" t="n">
        <f aca="false">IF(OR($A290="",$Q290=0,$R290=-1),0,$Q290*1000+$R290*100+$K290)</f>
        <v>0</v>
      </c>
      <c r="T290" s="37" t="str">
        <f aca="false">IF($A290="","",IF($B290="","NO ACCOUNT",IF($Q290=0,"UNMAPPED",IF($R290=-1,"OUTSIDE FY RANGE","OK"))))</f>
        <v/>
      </c>
      <c r="U290" s="40" t="str">
        <f aca="false">IF($A290="","",$B290&amp;"|"&amp;TEXT($A290,"yyyymmdd")&amp;"|"&amp;TEXT($I290,"0.00"))</f>
        <v/>
      </c>
      <c r="V290" s="35" t="str">
        <f aca="false">IF($A290="","",COUNTIF($U$8:$U$5007,$U290))</f>
        <v/>
      </c>
    </row>
    <row r="291" customFormat="false" ht="15" hidden="false" customHeight="false" outlineLevel="0" collapsed="false">
      <c r="A291" s="31"/>
      <c r="B291" s="32"/>
      <c r="C291" s="32"/>
      <c r="D291" s="32"/>
      <c r="E291" s="32"/>
      <c r="F291" s="32"/>
      <c r="G291" s="33"/>
      <c r="H291" s="33"/>
      <c r="I291" s="34" t="str">
        <f aca="false">IF($A291="","",$G291-$H291)</f>
        <v/>
      </c>
      <c r="J291" s="35" t="str">
        <f aca="false">IF($A291="","",IF(Setup!$B$6=1,YEAR($A291),YEAR($A291)+IF(MONTH($A291)&gt;=Setup!$B$6,1,0)))</f>
        <v/>
      </c>
      <c r="K291" s="35" t="str">
        <f aca="false">IF($A291="","",MOD(MONTH($A291)-Setup!$B$6+12,12)+1)</f>
        <v/>
      </c>
      <c r="L291" s="36" t="str">
        <f aca="false">IF($A291="","",TEXT($A291,"MMM-YY"))</f>
        <v/>
      </c>
      <c r="M291" s="37" t="str">
        <f aca="false">IF($A291="","",IF($Q291=0,"UNMAPPED",INDEX(COA_Mapping!$C$7:$C$256,$Q291)))</f>
        <v/>
      </c>
      <c r="N291" s="38" t="str">
        <f aca="false">IF($A291="","",IF($Q291=0,"",INDEX(COA_Mapping!$E$7:$E$256,$Q291)))</f>
        <v/>
      </c>
      <c r="O291" s="38" t="n">
        <f aca="false">IF($A291="",1,IF($Q291=0,1,INDEX(COA_Mapping!$F$7:$F$256,$Q291)))</f>
        <v>1</v>
      </c>
      <c r="P291" s="34" t="str">
        <f aca="false">IF($A291="","",$I291*$O291)</f>
        <v/>
      </c>
      <c r="Q291" s="39" t="n">
        <f aca="false">IF($B291="",0,IFERROR(MATCH($B291,COA_Mapping!$A$7:$A$256,0),0))</f>
        <v>0</v>
      </c>
      <c r="R291" s="39" t="n">
        <f aca="false">IF($A291="",-1,IF($J291=Setup!$B$7,1,IF($J291=Setup!$B$9,0,-1)))</f>
        <v>-1</v>
      </c>
      <c r="S291" s="35" t="n">
        <f aca="false">IF(OR($A291="",$Q291=0,$R291=-1),0,$Q291*1000+$R291*100+$K291)</f>
        <v>0</v>
      </c>
      <c r="T291" s="37" t="str">
        <f aca="false">IF($A291="","",IF($B291="","NO ACCOUNT",IF($Q291=0,"UNMAPPED",IF($R291=-1,"OUTSIDE FY RANGE","OK"))))</f>
        <v/>
      </c>
      <c r="U291" s="40" t="str">
        <f aca="false">IF($A291="","",$B291&amp;"|"&amp;TEXT($A291,"yyyymmdd")&amp;"|"&amp;TEXT($I291,"0.00"))</f>
        <v/>
      </c>
      <c r="V291" s="35" t="str">
        <f aca="false">IF($A291="","",COUNTIF($U$8:$U$5007,$U291))</f>
        <v/>
      </c>
    </row>
    <row r="292" customFormat="false" ht="15" hidden="false" customHeight="false" outlineLevel="0" collapsed="false">
      <c r="A292" s="31"/>
      <c r="B292" s="32"/>
      <c r="C292" s="32"/>
      <c r="D292" s="32"/>
      <c r="E292" s="32"/>
      <c r="F292" s="32"/>
      <c r="G292" s="33"/>
      <c r="H292" s="33"/>
      <c r="I292" s="34" t="str">
        <f aca="false">IF($A292="","",$G292-$H292)</f>
        <v/>
      </c>
      <c r="J292" s="35" t="str">
        <f aca="false">IF($A292="","",IF(Setup!$B$6=1,YEAR($A292),YEAR($A292)+IF(MONTH($A292)&gt;=Setup!$B$6,1,0)))</f>
        <v/>
      </c>
      <c r="K292" s="35" t="str">
        <f aca="false">IF($A292="","",MOD(MONTH($A292)-Setup!$B$6+12,12)+1)</f>
        <v/>
      </c>
      <c r="L292" s="36" t="str">
        <f aca="false">IF($A292="","",TEXT($A292,"MMM-YY"))</f>
        <v/>
      </c>
      <c r="M292" s="37" t="str">
        <f aca="false">IF($A292="","",IF($Q292=0,"UNMAPPED",INDEX(COA_Mapping!$C$7:$C$256,$Q292)))</f>
        <v/>
      </c>
      <c r="N292" s="38" t="str">
        <f aca="false">IF($A292="","",IF($Q292=0,"",INDEX(COA_Mapping!$E$7:$E$256,$Q292)))</f>
        <v/>
      </c>
      <c r="O292" s="38" t="n">
        <f aca="false">IF($A292="",1,IF($Q292=0,1,INDEX(COA_Mapping!$F$7:$F$256,$Q292)))</f>
        <v>1</v>
      </c>
      <c r="P292" s="34" t="str">
        <f aca="false">IF($A292="","",$I292*$O292)</f>
        <v/>
      </c>
      <c r="Q292" s="39" t="n">
        <f aca="false">IF($B292="",0,IFERROR(MATCH($B292,COA_Mapping!$A$7:$A$256,0),0))</f>
        <v>0</v>
      </c>
      <c r="R292" s="39" t="n">
        <f aca="false">IF($A292="",-1,IF($J292=Setup!$B$7,1,IF($J292=Setup!$B$9,0,-1)))</f>
        <v>-1</v>
      </c>
      <c r="S292" s="35" t="n">
        <f aca="false">IF(OR($A292="",$Q292=0,$R292=-1),0,$Q292*1000+$R292*100+$K292)</f>
        <v>0</v>
      </c>
      <c r="T292" s="37" t="str">
        <f aca="false">IF($A292="","",IF($B292="","NO ACCOUNT",IF($Q292=0,"UNMAPPED",IF($R292=-1,"OUTSIDE FY RANGE","OK"))))</f>
        <v/>
      </c>
      <c r="U292" s="40" t="str">
        <f aca="false">IF($A292="","",$B292&amp;"|"&amp;TEXT($A292,"yyyymmdd")&amp;"|"&amp;TEXT($I292,"0.00"))</f>
        <v/>
      </c>
      <c r="V292" s="35" t="str">
        <f aca="false">IF($A292="","",COUNTIF($U$8:$U$5007,$U292))</f>
        <v/>
      </c>
    </row>
    <row r="293" customFormat="false" ht="15" hidden="false" customHeight="false" outlineLevel="0" collapsed="false">
      <c r="A293" s="31"/>
      <c r="B293" s="32"/>
      <c r="C293" s="32"/>
      <c r="D293" s="32"/>
      <c r="E293" s="32"/>
      <c r="F293" s="32"/>
      <c r="G293" s="33"/>
      <c r="H293" s="33"/>
      <c r="I293" s="34" t="str">
        <f aca="false">IF($A293="","",$G293-$H293)</f>
        <v/>
      </c>
      <c r="J293" s="35" t="str">
        <f aca="false">IF($A293="","",IF(Setup!$B$6=1,YEAR($A293),YEAR($A293)+IF(MONTH($A293)&gt;=Setup!$B$6,1,0)))</f>
        <v/>
      </c>
      <c r="K293" s="35" t="str">
        <f aca="false">IF($A293="","",MOD(MONTH($A293)-Setup!$B$6+12,12)+1)</f>
        <v/>
      </c>
      <c r="L293" s="36" t="str">
        <f aca="false">IF($A293="","",TEXT($A293,"MMM-YY"))</f>
        <v/>
      </c>
      <c r="M293" s="37" t="str">
        <f aca="false">IF($A293="","",IF($Q293=0,"UNMAPPED",INDEX(COA_Mapping!$C$7:$C$256,$Q293)))</f>
        <v/>
      </c>
      <c r="N293" s="38" t="str">
        <f aca="false">IF($A293="","",IF($Q293=0,"",INDEX(COA_Mapping!$E$7:$E$256,$Q293)))</f>
        <v/>
      </c>
      <c r="O293" s="38" t="n">
        <f aca="false">IF($A293="",1,IF($Q293=0,1,INDEX(COA_Mapping!$F$7:$F$256,$Q293)))</f>
        <v>1</v>
      </c>
      <c r="P293" s="34" t="str">
        <f aca="false">IF($A293="","",$I293*$O293)</f>
        <v/>
      </c>
      <c r="Q293" s="39" t="n">
        <f aca="false">IF($B293="",0,IFERROR(MATCH($B293,COA_Mapping!$A$7:$A$256,0),0))</f>
        <v>0</v>
      </c>
      <c r="R293" s="39" t="n">
        <f aca="false">IF($A293="",-1,IF($J293=Setup!$B$7,1,IF($J293=Setup!$B$9,0,-1)))</f>
        <v>-1</v>
      </c>
      <c r="S293" s="35" t="n">
        <f aca="false">IF(OR($A293="",$Q293=0,$R293=-1),0,$Q293*1000+$R293*100+$K293)</f>
        <v>0</v>
      </c>
      <c r="T293" s="37" t="str">
        <f aca="false">IF($A293="","",IF($B293="","NO ACCOUNT",IF($Q293=0,"UNMAPPED",IF($R293=-1,"OUTSIDE FY RANGE","OK"))))</f>
        <v/>
      </c>
      <c r="U293" s="40" t="str">
        <f aca="false">IF($A293="","",$B293&amp;"|"&amp;TEXT($A293,"yyyymmdd")&amp;"|"&amp;TEXT($I293,"0.00"))</f>
        <v/>
      </c>
      <c r="V293" s="35" t="str">
        <f aca="false">IF($A293="","",COUNTIF($U$8:$U$5007,$U293))</f>
        <v/>
      </c>
    </row>
    <row r="294" customFormat="false" ht="15" hidden="false" customHeight="false" outlineLevel="0" collapsed="false">
      <c r="A294" s="31"/>
      <c r="B294" s="32"/>
      <c r="C294" s="32"/>
      <c r="D294" s="32"/>
      <c r="E294" s="32"/>
      <c r="F294" s="32"/>
      <c r="G294" s="33"/>
      <c r="H294" s="33"/>
      <c r="I294" s="34" t="str">
        <f aca="false">IF($A294="","",$G294-$H294)</f>
        <v/>
      </c>
      <c r="J294" s="35" t="str">
        <f aca="false">IF($A294="","",IF(Setup!$B$6=1,YEAR($A294),YEAR($A294)+IF(MONTH($A294)&gt;=Setup!$B$6,1,0)))</f>
        <v/>
      </c>
      <c r="K294" s="35" t="str">
        <f aca="false">IF($A294="","",MOD(MONTH($A294)-Setup!$B$6+12,12)+1)</f>
        <v/>
      </c>
      <c r="L294" s="36" t="str">
        <f aca="false">IF($A294="","",TEXT($A294,"MMM-YY"))</f>
        <v/>
      </c>
      <c r="M294" s="37" t="str">
        <f aca="false">IF($A294="","",IF($Q294=0,"UNMAPPED",INDEX(COA_Mapping!$C$7:$C$256,$Q294)))</f>
        <v/>
      </c>
      <c r="N294" s="38" t="str">
        <f aca="false">IF($A294="","",IF($Q294=0,"",INDEX(COA_Mapping!$E$7:$E$256,$Q294)))</f>
        <v/>
      </c>
      <c r="O294" s="38" t="n">
        <f aca="false">IF($A294="",1,IF($Q294=0,1,INDEX(COA_Mapping!$F$7:$F$256,$Q294)))</f>
        <v>1</v>
      </c>
      <c r="P294" s="34" t="str">
        <f aca="false">IF($A294="","",$I294*$O294)</f>
        <v/>
      </c>
      <c r="Q294" s="39" t="n">
        <f aca="false">IF($B294="",0,IFERROR(MATCH($B294,COA_Mapping!$A$7:$A$256,0),0))</f>
        <v>0</v>
      </c>
      <c r="R294" s="39" t="n">
        <f aca="false">IF($A294="",-1,IF($J294=Setup!$B$7,1,IF($J294=Setup!$B$9,0,-1)))</f>
        <v>-1</v>
      </c>
      <c r="S294" s="35" t="n">
        <f aca="false">IF(OR($A294="",$Q294=0,$R294=-1),0,$Q294*1000+$R294*100+$K294)</f>
        <v>0</v>
      </c>
      <c r="T294" s="37" t="str">
        <f aca="false">IF($A294="","",IF($B294="","NO ACCOUNT",IF($Q294=0,"UNMAPPED",IF($R294=-1,"OUTSIDE FY RANGE","OK"))))</f>
        <v/>
      </c>
      <c r="U294" s="40" t="str">
        <f aca="false">IF($A294="","",$B294&amp;"|"&amp;TEXT($A294,"yyyymmdd")&amp;"|"&amp;TEXT($I294,"0.00"))</f>
        <v/>
      </c>
      <c r="V294" s="35" t="str">
        <f aca="false">IF($A294="","",COUNTIF($U$8:$U$5007,$U294))</f>
        <v/>
      </c>
    </row>
    <row r="295" customFormat="false" ht="15" hidden="false" customHeight="false" outlineLevel="0" collapsed="false">
      <c r="A295" s="31"/>
      <c r="B295" s="32"/>
      <c r="C295" s="32"/>
      <c r="D295" s="32"/>
      <c r="E295" s="32"/>
      <c r="F295" s="32"/>
      <c r="G295" s="33"/>
      <c r="H295" s="33"/>
      <c r="I295" s="34" t="str">
        <f aca="false">IF($A295="","",$G295-$H295)</f>
        <v/>
      </c>
      <c r="J295" s="35" t="str">
        <f aca="false">IF($A295="","",IF(Setup!$B$6=1,YEAR($A295),YEAR($A295)+IF(MONTH($A295)&gt;=Setup!$B$6,1,0)))</f>
        <v/>
      </c>
      <c r="K295" s="35" t="str">
        <f aca="false">IF($A295="","",MOD(MONTH($A295)-Setup!$B$6+12,12)+1)</f>
        <v/>
      </c>
      <c r="L295" s="36" t="str">
        <f aca="false">IF($A295="","",TEXT($A295,"MMM-YY"))</f>
        <v/>
      </c>
      <c r="M295" s="37" t="str">
        <f aca="false">IF($A295="","",IF($Q295=0,"UNMAPPED",INDEX(COA_Mapping!$C$7:$C$256,$Q295)))</f>
        <v/>
      </c>
      <c r="N295" s="38" t="str">
        <f aca="false">IF($A295="","",IF($Q295=0,"",INDEX(COA_Mapping!$E$7:$E$256,$Q295)))</f>
        <v/>
      </c>
      <c r="O295" s="38" t="n">
        <f aca="false">IF($A295="",1,IF($Q295=0,1,INDEX(COA_Mapping!$F$7:$F$256,$Q295)))</f>
        <v>1</v>
      </c>
      <c r="P295" s="34" t="str">
        <f aca="false">IF($A295="","",$I295*$O295)</f>
        <v/>
      </c>
      <c r="Q295" s="39" t="n">
        <f aca="false">IF($B295="",0,IFERROR(MATCH($B295,COA_Mapping!$A$7:$A$256,0),0))</f>
        <v>0</v>
      </c>
      <c r="R295" s="39" t="n">
        <f aca="false">IF($A295="",-1,IF($J295=Setup!$B$7,1,IF($J295=Setup!$B$9,0,-1)))</f>
        <v>-1</v>
      </c>
      <c r="S295" s="35" t="n">
        <f aca="false">IF(OR($A295="",$Q295=0,$R295=-1),0,$Q295*1000+$R295*100+$K295)</f>
        <v>0</v>
      </c>
      <c r="T295" s="37" t="str">
        <f aca="false">IF($A295="","",IF($B295="","NO ACCOUNT",IF($Q295=0,"UNMAPPED",IF($R295=-1,"OUTSIDE FY RANGE","OK"))))</f>
        <v/>
      </c>
      <c r="U295" s="40" t="str">
        <f aca="false">IF($A295="","",$B295&amp;"|"&amp;TEXT($A295,"yyyymmdd")&amp;"|"&amp;TEXT($I295,"0.00"))</f>
        <v/>
      </c>
      <c r="V295" s="35" t="str">
        <f aca="false">IF($A295="","",COUNTIF($U$8:$U$5007,$U295))</f>
        <v/>
      </c>
    </row>
    <row r="296" customFormat="false" ht="15" hidden="false" customHeight="false" outlineLevel="0" collapsed="false">
      <c r="A296" s="31"/>
      <c r="B296" s="32"/>
      <c r="C296" s="32"/>
      <c r="D296" s="32"/>
      <c r="E296" s="32"/>
      <c r="F296" s="32"/>
      <c r="G296" s="33"/>
      <c r="H296" s="33"/>
      <c r="I296" s="34" t="str">
        <f aca="false">IF($A296="","",$G296-$H296)</f>
        <v/>
      </c>
      <c r="J296" s="35" t="str">
        <f aca="false">IF($A296="","",IF(Setup!$B$6=1,YEAR($A296),YEAR($A296)+IF(MONTH($A296)&gt;=Setup!$B$6,1,0)))</f>
        <v/>
      </c>
      <c r="K296" s="35" t="str">
        <f aca="false">IF($A296="","",MOD(MONTH($A296)-Setup!$B$6+12,12)+1)</f>
        <v/>
      </c>
      <c r="L296" s="36" t="str">
        <f aca="false">IF($A296="","",TEXT($A296,"MMM-YY"))</f>
        <v/>
      </c>
      <c r="M296" s="37" t="str">
        <f aca="false">IF($A296="","",IF($Q296=0,"UNMAPPED",INDEX(COA_Mapping!$C$7:$C$256,$Q296)))</f>
        <v/>
      </c>
      <c r="N296" s="38" t="str">
        <f aca="false">IF($A296="","",IF($Q296=0,"",INDEX(COA_Mapping!$E$7:$E$256,$Q296)))</f>
        <v/>
      </c>
      <c r="O296" s="38" t="n">
        <f aca="false">IF($A296="",1,IF($Q296=0,1,INDEX(COA_Mapping!$F$7:$F$256,$Q296)))</f>
        <v>1</v>
      </c>
      <c r="P296" s="34" t="str">
        <f aca="false">IF($A296="","",$I296*$O296)</f>
        <v/>
      </c>
      <c r="Q296" s="39" t="n">
        <f aca="false">IF($B296="",0,IFERROR(MATCH($B296,COA_Mapping!$A$7:$A$256,0),0))</f>
        <v>0</v>
      </c>
      <c r="R296" s="39" t="n">
        <f aca="false">IF($A296="",-1,IF($J296=Setup!$B$7,1,IF($J296=Setup!$B$9,0,-1)))</f>
        <v>-1</v>
      </c>
      <c r="S296" s="35" t="n">
        <f aca="false">IF(OR($A296="",$Q296=0,$R296=-1),0,$Q296*1000+$R296*100+$K296)</f>
        <v>0</v>
      </c>
      <c r="T296" s="37" t="str">
        <f aca="false">IF($A296="","",IF($B296="","NO ACCOUNT",IF($Q296=0,"UNMAPPED",IF($R296=-1,"OUTSIDE FY RANGE","OK"))))</f>
        <v/>
      </c>
      <c r="U296" s="40" t="str">
        <f aca="false">IF($A296="","",$B296&amp;"|"&amp;TEXT($A296,"yyyymmdd")&amp;"|"&amp;TEXT($I296,"0.00"))</f>
        <v/>
      </c>
      <c r="V296" s="35" t="str">
        <f aca="false">IF($A296="","",COUNTIF($U$8:$U$5007,$U296))</f>
        <v/>
      </c>
    </row>
    <row r="297" customFormat="false" ht="15" hidden="false" customHeight="false" outlineLevel="0" collapsed="false">
      <c r="A297" s="31"/>
      <c r="B297" s="32"/>
      <c r="C297" s="32"/>
      <c r="D297" s="32"/>
      <c r="E297" s="32"/>
      <c r="F297" s="32"/>
      <c r="G297" s="33"/>
      <c r="H297" s="33"/>
      <c r="I297" s="34" t="str">
        <f aca="false">IF($A297="","",$G297-$H297)</f>
        <v/>
      </c>
      <c r="J297" s="35" t="str">
        <f aca="false">IF($A297="","",IF(Setup!$B$6=1,YEAR($A297),YEAR($A297)+IF(MONTH($A297)&gt;=Setup!$B$6,1,0)))</f>
        <v/>
      </c>
      <c r="K297" s="35" t="str">
        <f aca="false">IF($A297="","",MOD(MONTH($A297)-Setup!$B$6+12,12)+1)</f>
        <v/>
      </c>
      <c r="L297" s="36" t="str">
        <f aca="false">IF($A297="","",TEXT($A297,"MMM-YY"))</f>
        <v/>
      </c>
      <c r="M297" s="37" t="str">
        <f aca="false">IF($A297="","",IF($Q297=0,"UNMAPPED",INDEX(COA_Mapping!$C$7:$C$256,$Q297)))</f>
        <v/>
      </c>
      <c r="N297" s="38" t="str">
        <f aca="false">IF($A297="","",IF($Q297=0,"",INDEX(COA_Mapping!$E$7:$E$256,$Q297)))</f>
        <v/>
      </c>
      <c r="O297" s="38" t="n">
        <f aca="false">IF($A297="",1,IF($Q297=0,1,INDEX(COA_Mapping!$F$7:$F$256,$Q297)))</f>
        <v>1</v>
      </c>
      <c r="P297" s="34" t="str">
        <f aca="false">IF($A297="","",$I297*$O297)</f>
        <v/>
      </c>
      <c r="Q297" s="39" t="n">
        <f aca="false">IF($B297="",0,IFERROR(MATCH($B297,COA_Mapping!$A$7:$A$256,0),0))</f>
        <v>0</v>
      </c>
      <c r="R297" s="39" t="n">
        <f aca="false">IF($A297="",-1,IF($J297=Setup!$B$7,1,IF($J297=Setup!$B$9,0,-1)))</f>
        <v>-1</v>
      </c>
      <c r="S297" s="35" t="n">
        <f aca="false">IF(OR($A297="",$Q297=0,$R297=-1),0,$Q297*1000+$R297*100+$K297)</f>
        <v>0</v>
      </c>
      <c r="T297" s="37" t="str">
        <f aca="false">IF($A297="","",IF($B297="","NO ACCOUNT",IF($Q297=0,"UNMAPPED",IF($R297=-1,"OUTSIDE FY RANGE","OK"))))</f>
        <v/>
      </c>
      <c r="U297" s="40" t="str">
        <f aca="false">IF($A297="","",$B297&amp;"|"&amp;TEXT($A297,"yyyymmdd")&amp;"|"&amp;TEXT($I297,"0.00"))</f>
        <v/>
      </c>
      <c r="V297" s="35" t="str">
        <f aca="false">IF($A297="","",COUNTIF($U$8:$U$5007,$U297))</f>
        <v/>
      </c>
    </row>
    <row r="298" customFormat="false" ht="15" hidden="false" customHeight="false" outlineLevel="0" collapsed="false">
      <c r="A298" s="31"/>
      <c r="B298" s="32"/>
      <c r="C298" s="32"/>
      <c r="D298" s="32"/>
      <c r="E298" s="32"/>
      <c r="F298" s="32"/>
      <c r="G298" s="33"/>
      <c r="H298" s="33"/>
      <c r="I298" s="34" t="str">
        <f aca="false">IF($A298="","",$G298-$H298)</f>
        <v/>
      </c>
      <c r="J298" s="35" t="str">
        <f aca="false">IF($A298="","",IF(Setup!$B$6=1,YEAR($A298),YEAR($A298)+IF(MONTH($A298)&gt;=Setup!$B$6,1,0)))</f>
        <v/>
      </c>
      <c r="K298" s="35" t="str">
        <f aca="false">IF($A298="","",MOD(MONTH($A298)-Setup!$B$6+12,12)+1)</f>
        <v/>
      </c>
      <c r="L298" s="36" t="str">
        <f aca="false">IF($A298="","",TEXT($A298,"MMM-YY"))</f>
        <v/>
      </c>
      <c r="M298" s="37" t="str">
        <f aca="false">IF($A298="","",IF($Q298=0,"UNMAPPED",INDEX(COA_Mapping!$C$7:$C$256,$Q298)))</f>
        <v/>
      </c>
      <c r="N298" s="38" t="str">
        <f aca="false">IF($A298="","",IF($Q298=0,"",INDEX(COA_Mapping!$E$7:$E$256,$Q298)))</f>
        <v/>
      </c>
      <c r="O298" s="38" t="n">
        <f aca="false">IF($A298="",1,IF($Q298=0,1,INDEX(COA_Mapping!$F$7:$F$256,$Q298)))</f>
        <v>1</v>
      </c>
      <c r="P298" s="34" t="str">
        <f aca="false">IF($A298="","",$I298*$O298)</f>
        <v/>
      </c>
      <c r="Q298" s="39" t="n">
        <f aca="false">IF($B298="",0,IFERROR(MATCH($B298,COA_Mapping!$A$7:$A$256,0),0))</f>
        <v>0</v>
      </c>
      <c r="R298" s="39" t="n">
        <f aca="false">IF($A298="",-1,IF($J298=Setup!$B$7,1,IF($J298=Setup!$B$9,0,-1)))</f>
        <v>-1</v>
      </c>
      <c r="S298" s="35" t="n">
        <f aca="false">IF(OR($A298="",$Q298=0,$R298=-1),0,$Q298*1000+$R298*100+$K298)</f>
        <v>0</v>
      </c>
      <c r="T298" s="37" t="str">
        <f aca="false">IF($A298="","",IF($B298="","NO ACCOUNT",IF($Q298=0,"UNMAPPED",IF($R298=-1,"OUTSIDE FY RANGE","OK"))))</f>
        <v/>
      </c>
      <c r="U298" s="40" t="str">
        <f aca="false">IF($A298="","",$B298&amp;"|"&amp;TEXT($A298,"yyyymmdd")&amp;"|"&amp;TEXT($I298,"0.00"))</f>
        <v/>
      </c>
      <c r="V298" s="35" t="str">
        <f aca="false">IF($A298="","",COUNTIF($U$8:$U$5007,$U298))</f>
        <v/>
      </c>
    </row>
    <row r="299" customFormat="false" ht="15" hidden="false" customHeight="false" outlineLevel="0" collapsed="false">
      <c r="A299" s="31"/>
      <c r="B299" s="32"/>
      <c r="C299" s="32"/>
      <c r="D299" s="32"/>
      <c r="E299" s="32"/>
      <c r="F299" s="32"/>
      <c r="G299" s="33"/>
      <c r="H299" s="33"/>
      <c r="I299" s="34" t="str">
        <f aca="false">IF($A299="","",$G299-$H299)</f>
        <v/>
      </c>
      <c r="J299" s="35" t="str">
        <f aca="false">IF($A299="","",IF(Setup!$B$6=1,YEAR($A299),YEAR($A299)+IF(MONTH($A299)&gt;=Setup!$B$6,1,0)))</f>
        <v/>
      </c>
      <c r="K299" s="35" t="str">
        <f aca="false">IF($A299="","",MOD(MONTH($A299)-Setup!$B$6+12,12)+1)</f>
        <v/>
      </c>
      <c r="L299" s="36" t="str">
        <f aca="false">IF($A299="","",TEXT($A299,"MMM-YY"))</f>
        <v/>
      </c>
      <c r="M299" s="37" t="str">
        <f aca="false">IF($A299="","",IF($Q299=0,"UNMAPPED",INDEX(COA_Mapping!$C$7:$C$256,$Q299)))</f>
        <v/>
      </c>
      <c r="N299" s="38" t="str">
        <f aca="false">IF($A299="","",IF($Q299=0,"",INDEX(COA_Mapping!$E$7:$E$256,$Q299)))</f>
        <v/>
      </c>
      <c r="O299" s="38" t="n">
        <f aca="false">IF($A299="",1,IF($Q299=0,1,INDEX(COA_Mapping!$F$7:$F$256,$Q299)))</f>
        <v>1</v>
      </c>
      <c r="P299" s="34" t="str">
        <f aca="false">IF($A299="","",$I299*$O299)</f>
        <v/>
      </c>
      <c r="Q299" s="39" t="n">
        <f aca="false">IF($B299="",0,IFERROR(MATCH($B299,COA_Mapping!$A$7:$A$256,0),0))</f>
        <v>0</v>
      </c>
      <c r="R299" s="39" t="n">
        <f aca="false">IF($A299="",-1,IF($J299=Setup!$B$7,1,IF($J299=Setup!$B$9,0,-1)))</f>
        <v>-1</v>
      </c>
      <c r="S299" s="35" t="n">
        <f aca="false">IF(OR($A299="",$Q299=0,$R299=-1),0,$Q299*1000+$R299*100+$K299)</f>
        <v>0</v>
      </c>
      <c r="T299" s="37" t="str">
        <f aca="false">IF($A299="","",IF($B299="","NO ACCOUNT",IF($Q299=0,"UNMAPPED",IF($R299=-1,"OUTSIDE FY RANGE","OK"))))</f>
        <v/>
      </c>
      <c r="U299" s="40" t="str">
        <f aca="false">IF($A299="","",$B299&amp;"|"&amp;TEXT($A299,"yyyymmdd")&amp;"|"&amp;TEXT($I299,"0.00"))</f>
        <v/>
      </c>
      <c r="V299" s="35" t="str">
        <f aca="false">IF($A299="","",COUNTIF($U$8:$U$5007,$U299))</f>
        <v/>
      </c>
    </row>
    <row r="300" customFormat="false" ht="15" hidden="false" customHeight="false" outlineLevel="0" collapsed="false">
      <c r="A300" s="31"/>
      <c r="B300" s="32"/>
      <c r="C300" s="32"/>
      <c r="D300" s="32"/>
      <c r="E300" s="32"/>
      <c r="F300" s="32"/>
      <c r="G300" s="33"/>
      <c r="H300" s="33"/>
      <c r="I300" s="34" t="str">
        <f aca="false">IF($A300="","",$G300-$H300)</f>
        <v/>
      </c>
      <c r="J300" s="35" t="str">
        <f aca="false">IF($A300="","",IF(Setup!$B$6=1,YEAR($A300),YEAR($A300)+IF(MONTH($A300)&gt;=Setup!$B$6,1,0)))</f>
        <v/>
      </c>
      <c r="K300" s="35" t="str">
        <f aca="false">IF($A300="","",MOD(MONTH($A300)-Setup!$B$6+12,12)+1)</f>
        <v/>
      </c>
      <c r="L300" s="36" t="str">
        <f aca="false">IF($A300="","",TEXT($A300,"MMM-YY"))</f>
        <v/>
      </c>
      <c r="M300" s="37" t="str">
        <f aca="false">IF($A300="","",IF($Q300=0,"UNMAPPED",INDEX(COA_Mapping!$C$7:$C$256,$Q300)))</f>
        <v/>
      </c>
      <c r="N300" s="38" t="str">
        <f aca="false">IF($A300="","",IF($Q300=0,"",INDEX(COA_Mapping!$E$7:$E$256,$Q300)))</f>
        <v/>
      </c>
      <c r="O300" s="38" t="n">
        <f aca="false">IF($A300="",1,IF($Q300=0,1,INDEX(COA_Mapping!$F$7:$F$256,$Q300)))</f>
        <v>1</v>
      </c>
      <c r="P300" s="34" t="str">
        <f aca="false">IF($A300="","",$I300*$O300)</f>
        <v/>
      </c>
      <c r="Q300" s="39" t="n">
        <f aca="false">IF($B300="",0,IFERROR(MATCH($B300,COA_Mapping!$A$7:$A$256,0),0))</f>
        <v>0</v>
      </c>
      <c r="R300" s="39" t="n">
        <f aca="false">IF($A300="",-1,IF($J300=Setup!$B$7,1,IF($J300=Setup!$B$9,0,-1)))</f>
        <v>-1</v>
      </c>
      <c r="S300" s="35" t="n">
        <f aca="false">IF(OR($A300="",$Q300=0,$R300=-1),0,$Q300*1000+$R300*100+$K300)</f>
        <v>0</v>
      </c>
      <c r="T300" s="37" t="str">
        <f aca="false">IF($A300="","",IF($B300="","NO ACCOUNT",IF($Q300=0,"UNMAPPED",IF($R300=-1,"OUTSIDE FY RANGE","OK"))))</f>
        <v/>
      </c>
      <c r="U300" s="40" t="str">
        <f aca="false">IF($A300="","",$B300&amp;"|"&amp;TEXT($A300,"yyyymmdd")&amp;"|"&amp;TEXT($I300,"0.00"))</f>
        <v/>
      </c>
      <c r="V300" s="35" t="str">
        <f aca="false">IF($A300="","",COUNTIF($U$8:$U$5007,$U300))</f>
        <v/>
      </c>
    </row>
    <row r="301" customFormat="false" ht="15" hidden="false" customHeight="false" outlineLevel="0" collapsed="false">
      <c r="A301" s="31"/>
      <c r="B301" s="32"/>
      <c r="C301" s="32"/>
      <c r="D301" s="32"/>
      <c r="E301" s="32"/>
      <c r="F301" s="32"/>
      <c r="G301" s="33"/>
      <c r="H301" s="33"/>
      <c r="I301" s="34" t="str">
        <f aca="false">IF($A301="","",$G301-$H301)</f>
        <v/>
      </c>
      <c r="J301" s="35" t="str">
        <f aca="false">IF($A301="","",IF(Setup!$B$6=1,YEAR($A301),YEAR($A301)+IF(MONTH($A301)&gt;=Setup!$B$6,1,0)))</f>
        <v/>
      </c>
      <c r="K301" s="35" t="str">
        <f aca="false">IF($A301="","",MOD(MONTH($A301)-Setup!$B$6+12,12)+1)</f>
        <v/>
      </c>
      <c r="L301" s="36" t="str">
        <f aca="false">IF($A301="","",TEXT($A301,"MMM-YY"))</f>
        <v/>
      </c>
      <c r="M301" s="37" t="str">
        <f aca="false">IF($A301="","",IF($Q301=0,"UNMAPPED",INDEX(COA_Mapping!$C$7:$C$256,$Q301)))</f>
        <v/>
      </c>
      <c r="N301" s="38" t="str">
        <f aca="false">IF($A301="","",IF($Q301=0,"",INDEX(COA_Mapping!$E$7:$E$256,$Q301)))</f>
        <v/>
      </c>
      <c r="O301" s="38" t="n">
        <f aca="false">IF($A301="",1,IF($Q301=0,1,INDEX(COA_Mapping!$F$7:$F$256,$Q301)))</f>
        <v>1</v>
      </c>
      <c r="P301" s="34" t="str">
        <f aca="false">IF($A301="","",$I301*$O301)</f>
        <v/>
      </c>
      <c r="Q301" s="39" t="n">
        <f aca="false">IF($B301="",0,IFERROR(MATCH($B301,COA_Mapping!$A$7:$A$256,0),0))</f>
        <v>0</v>
      </c>
      <c r="R301" s="39" t="n">
        <f aca="false">IF($A301="",-1,IF($J301=Setup!$B$7,1,IF($J301=Setup!$B$9,0,-1)))</f>
        <v>-1</v>
      </c>
      <c r="S301" s="35" t="n">
        <f aca="false">IF(OR($A301="",$Q301=0,$R301=-1),0,$Q301*1000+$R301*100+$K301)</f>
        <v>0</v>
      </c>
      <c r="T301" s="37" t="str">
        <f aca="false">IF($A301="","",IF($B301="","NO ACCOUNT",IF($Q301=0,"UNMAPPED",IF($R301=-1,"OUTSIDE FY RANGE","OK"))))</f>
        <v/>
      </c>
      <c r="U301" s="40" t="str">
        <f aca="false">IF($A301="","",$B301&amp;"|"&amp;TEXT($A301,"yyyymmdd")&amp;"|"&amp;TEXT($I301,"0.00"))</f>
        <v/>
      </c>
      <c r="V301" s="35" t="str">
        <f aca="false">IF($A301="","",COUNTIF($U$8:$U$5007,$U301))</f>
        <v/>
      </c>
    </row>
    <row r="302" customFormat="false" ht="15" hidden="false" customHeight="false" outlineLevel="0" collapsed="false">
      <c r="A302" s="31"/>
      <c r="B302" s="32"/>
      <c r="C302" s="32"/>
      <c r="D302" s="32"/>
      <c r="E302" s="32"/>
      <c r="F302" s="32"/>
      <c r="G302" s="33"/>
      <c r="H302" s="33"/>
      <c r="I302" s="34" t="str">
        <f aca="false">IF($A302="","",$G302-$H302)</f>
        <v/>
      </c>
      <c r="J302" s="35" t="str">
        <f aca="false">IF($A302="","",IF(Setup!$B$6=1,YEAR($A302),YEAR($A302)+IF(MONTH($A302)&gt;=Setup!$B$6,1,0)))</f>
        <v/>
      </c>
      <c r="K302" s="35" t="str">
        <f aca="false">IF($A302="","",MOD(MONTH($A302)-Setup!$B$6+12,12)+1)</f>
        <v/>
      </c>
      <c r="L302" s="36" t="str">
        <f aca="false">IF($A302="","",TEXT($A302,"MMM-YY"))</f>
        <v/>
      </c>
      <c r="M302" s="37" t="str">
        <f aca="false">IF($A302="","",IF($Q302=0,"UNMAPPED",INDEX(COA_Mapping!$C$7:$C$256,$Q302)))</f>
        <v/>
      </c>
      <c r="N302" s="38" t="str">
        <f aca="false">IF($A302="","",IF($Q302=0,"",INDEX(COA_Mapping!$E$7:$E$256,$Q302)))</f>
        <v/>
      </c>
      <c r="O302" s="38" t="n">
        <f aca="false">IF($A302="",1,IF($Q302=0,1,INDEX(COA_Mapping!$F$7:$F$256,$Q302)))</f>
        <v>1</v>
      </c>
      <c r="P302" s="34" t="str">
        <f aca="false">IF($A302="","",$I302*$O302)</f>
        <v/>
      </c>
      <c r="Q302" s="39" t="n">
        <f aca="false">IF($B302="",0,IFERROR(MATCH($B302,COA_Mapping!$A$7:$A$256,0),0))</f>
        <v>0</v>
      </c>
      <c r="R302" s="39" t="n">
        <f aca="false">IF($A302="",-1,IF($J302=Setup!$B$7,1,IF($J302=Setup!$B$9,0,-1)))</f>
        <v>-1</v>
      </c>
      <c r="S302" s="35" t="n">
        <f aca="false">IF(OR($A302="",$Q302=0,$R302=-1),0,$Q302*1000+$R302*100+$K302)</f>
        <v>0</v>
      </c>
      <c r="T302" s="37" t="str">
        <f aca="false">IF($A302="","",IF($B302="","NO ACCOUNT",IF($Q302=0,"UNMAPPED",IF($R302=-1,"OUTSIDE FY RANGE","OK"))))</f>
        <v/>
      </c>
      <c r="U302" s="40" t="str">
        <f aca="false">IF($A302="","",$B302&amp;"|"&amp;TEXT($A302,"yyyymmdd")&amp;"|"&amp;TEXT($I302,"0.00"))</f>
        <v/>
      </c>
      <c r="V302" s="35" t="str">
        <f aca="false">IF($A302="","",COUNTIF($U$8:$U$5007,$U302))</f>
        <v/>
      </c>
    </row>
    <row r="303" customFormat="false" ht="15" hidden="false" customHeight="false" outlineLevel="0" collapsed="false">
      <c r="A303" s="31"/>
      <c r="B303" s="32"/>
      <c r="C303" s="32"/>
      <c r="D303" s="32"/>
      <c r="E303" s="32"/>
      <c r="F303" s="32"/>
      <c r="G303" s="33"/>
      <c r="H303" s="33"/>
      <c r="I303" s="34" t="str">
        <f aca="false">IF($A303="","",$G303-$H303)</f>
        <v/>
      </c>
      <c r="J303" s="35" t="str">
        <f aca="false">IF($A303="","",IF(Setup!$B$6=1,YEAR($A303),YEAR($A303)+IF(MONTH($A303)&gt;=Setup!$B$6,1,0)))</f>
        <v/>
      </c>
      <c r="K303" s="35" t="str">
        <f aca="false">IF($A303="","",MOD(MONTH($A303)-Setup!$B$6+12,12)+1)</f>
        <v/>
      </c>
      <c r="L303" s="36" t="str">
        <f aca="false">IF($A303="","",TEXT($A303,"MMM-YY"))</f>
        <v/>
      </c>
      <c r="M303" s="37" t="str">
        <f aca="false">IF($A303="","",IF($Q303=0,"UNMAPPED",INDEX(COA_Mapping!$C$7:$C$256,$Q303)))</f>
        <v/>
      </c>
      <c r="N303" s="38" t="str">
        <f aca="false">IF($A303="","",IF($Q303=0,"",INDEX(COA_Mapping!$E$7:$E$256,$Q303)))</f>
        <v/>
      </c>
      <c r="O303" s="38" t="n">
        <f aca="false">IF($A303="",1,IF($Q303=0,1,INDEX(COA_Mapping!$F$7:$F$256,$Q303)))</f>
        <v>1</v>
      </c>
      <c r="P303" s="34" t="str">
        <f aca="false">IF($A303="","",$I303*$O303)</f>
        <v/>
      </c>
      <c r="Q303" s="39" t="n">
        <f aca="false">IF($B303="",0,IFERROR(MATCH($B303,COA_Mapping!$A$7:$A$256,0),0))</f>
        <v>0</v>
      </c>
      <c r="R303" s="39" t="n">
        <f aca="false">IF($A303="",-1,IF($J303=Setup!$B$7,1,IF($J303=Setup!$B$9,0,-1)))</f>
        <v>-1</v>
      </c>
      <c r="S303" s="35" t="n">
        <f aca="false">IF(OR($A303="",$Q303=0,$R303=-1),0,$Q303*1000+$R303*100+$K303)</f>
        <v>0</v>
      </c>
      <c r="T303" s="37" t="str">
        <f aca="false">IF($A303="","",IF($B303="","NO ACCOUNT",IF($Q303=0,"UNMAPPED",IF($R303=-1,"OUTSIDE FY RANGE","OK"))))</f>
        <v/>
      </c>
      <c r="U303" s="40" t="str">
        <f aca="false">IF($A303="","",$B303&amp;"|"&amp;TEXT($A303,"yyyymmdd")&amp;"|"&amp;TEXT($I303,"0.00"))</f>
        <v/>
      </c>
      <c r="V303" s="35" t="str">
        <f aca="false">IF($A303="","",COUNTIF($U$8:$U$5007,$U303))</f>
        <v/>
      </c>
    </row>
    <row r="304" customFormat="false" ht="15" hidden="false" customHeight="false" outlineLevel="0" collapsed="false">
      <c r="A304" s="31"/>
      <c r="B304" s="32"/>
      <c r="C304" s="32"/>
      <c r="D304" s="32"/>
      <c r="E304" s="32"/>
      <c r="F304" s="32"/>
      <c r="G304" s="33"/>
      <c r="H304" s="33"/>
      <c r="I304" s="34" t="str">
        <f aca="false">IF($A304="","",$G304-$H304)</f>
        <v/>
      </c>
      <c r="J304" s="35" t="str">
        <f aca="false">IF($A304="","",IF(Setup!$B$6=1,YEAR($A304),YEAR($A304)+IF(MONTH($A304)&gt;=Setup!$B$6,1,0)))</f>
        <v/>
      </c>
      <c r="K304" s="35" t="str">
        <f aca="false">IF($A304="","",MOD(MONTH($A304)-Setup!$B$6+12,12)+1)</f>
        <v/>
      </c>
      <c r="L304" s="36" t="str">
        <f aca="false">IF($A304="","",TEXT($A304,"MMM-YY"))</f>
        <v/>
      </c>
      <c r="M304" s="37" t="str">
        <f aca="false">IF($A304="","",IF($Q304=0,"UNMAPPED",INDEX(COA_Mapping!$C$7:$C$256,$Q304)))</f>
        <v/>
      </c>
      <c r="N304" s="38" t="str">
        <f aca="false">IF($A304="","",IF($Q304=0,"",INDEX(COA_Mapping!$E$7:$E$256,$Q304)))</f>
        <v/>
      </c>
      <c r="O304" s="38" t="n">
        <f aca="false">IF($A304="",1,IF($Q304=0,1,INDEX(COA_Mapping!$F$7:$F$256,$Q304)))</f>
        <v>1</v>
      </c>
      <c r="P304" s="34" t="str">
        <f aca="false">IF($A304="","",$I304*$O304)</f>
        <v/>
      </c>
      <c r="Q304" s="39" t="n">
        <f aca="false">IF($B304="",0,IFERROR(MATCH($B304,COA_Mapping!$A$7:$A$256,0),0))</f>
        <v>0</v>
      </c>
      <c r="R304" s="39" t="n">
        <f aca="false">IF($A304="",-1,IF($J304=Setup!$B$7,1,IF($J304=Setup!$B$9,0,-1)))</f>
        <v>-1</v>
      </c>
      <c r="S304" s="35" t="n">
        <f aca="false">IF(OR($A304="",$Q304=0,$R304=-1),0,$Q304*1000+$R304*100+$K304)</f>
        <v>0</v>
      </c>
      <c r="T304" s="37" t="str">
        <f aca="false">IF($A304="","",IF($B304="","NO ACCOUNT",IF($Q304=0,"UNMAPPED",IF($R304=-1,"OUTSIDE FY RANGE","OK"))))</f>
        <v/>
      </c>
      <c r="U304" s="40" t="str">
        <f aca="false">IF($A304="","",$B304&amp;"|"&amp;TEXT($A304,"yyyymmdd")&amp;"|"&amp;TEXT($I304,"0.00"))</f>
        <v/>
      </c>
      <c r="V304" s="35" t="str">
        <f aca="false">IF($A304="","",COUNTIF($U$8:$U$5007,$U304))</f>
        <v/>
      </c>
    </row>
    <row r="305" customFormat="false" ht="15" hidden="false" customHeight="false" outlineLevel="0" collapsed="false">
      <c r="A305" s="31"/>
      <c r="B305" s="32"/>
      <c r="C305" s="32"/>
      <c r="D305" s="32"/>
      <c r="E305" s="32"/>
      <c r="F305" s="32"/>
      <c r="G305" s="33"/>
      <c r="H305" s="33"/>
      <c r="I305" s="34" t="str">
        <f aca="false">IF($A305="","",$G305-$H305)</f>
        <v/>
      </c>
      <c r="J305" s="35" t="str">
        <f aca="false">IF($A305="","",IF(Setup!$B$6=1,YEAR($A305),YEAR($A305)+IF(MONTH($A305)&gt;=Setup!$B$6,1,0)))</f>
        <v/>
      </c>
      <c r="K305" s="35" t="str">
        <f aca="false">IF($A305="","",MOD(MONTH($A305)-Setup!$B$6+12,12)+1)</f>
        <v/>
      </c>
      <c r="L305" s="36" t="str">
        <f aca="false">IF($A305="","",TEXT($A305,"MMM-YY"))</f>
        <v/>
      </c>
      <c r="M305" s="37" t="str">
        <f aca="false">IF($A305="","",IF($Q305=0,"UNMAPPED",INDEX(COA_Mapping!$C$7:$C$256,$Q305)))</f>
        <v/>
      </c>
      <c r="N305" s="38" t="str">
        <f aca="false">IF($A305="","",IF($Q305=0,"",INDEX(COA_Mapping!$E$7:$E$256,$Q305)))</f>
        <v/>
      </c>
      <c r="O305" s="38" t="n">
        <f aca="false">IF($A305="",1,IF($Q305=0,1,INDEX(COA_Mapping!$F$7:$F$256,$Q305)))</f>
        <v>1</v>
      </c>
      <c r="P305" s="34" t="str">
        <f aca="false">IF($A305="","",$I305*$O305)</f>
        <v/>
      </c>
      <c r="Q305" s="39" t="n">
        <f aca="false">IF($B305="",0,IFERROR(MATCH($B305,COA_Mapping!$A$7:$A$256,0),0))</f>
        <v>0</v>
      </c>
      <c r="R305" s="39" t="n">
        <f aca="false">IF($A305="",-1,IF($J305=Setup!$B$7,1,IF($J305=Setup!$B$9,0,-1)))</f>
        <v>-1</v>
      </c>
      <c r="S305" s="35" t="n">
        <f aca="false">IF(OR($A305="",$Q305=0,$R305=-1),0,$Q305*1000+$R305*100+$K305)</f>
        <v>0</v>
      </c>
      <c r="T305" s="37" t="str">
        <f aca="false">IF($A305="","",IF($B305="","NO ACCOUNT",IF($Q305=0,"UNMAPPED",IF($R305=-1,"OUTSIDE FY RANGE","OK"))))</f>
        <v/>
      </c>
      <c r="U305" s="40" t="str">
        <f aca="false">IF($A305="","",$B305&amp;"|"&amp;TEXT($A305,"yyyymmdd")&amp;"|"&amp;TEXT($I305,"0.00"))</f>
        <v/>
      </c>
      <c r="V305" s="35" t="str">
        <f aca="false">IF($A305="","",COUNTIF($U$8:$U$5007,$U305))</f>
        <v/>
      </c>
    </row>
    <row r="306" customFormat="false" ht="15" hidden="false" customHeight="false" outlineLevel="0" collapsed="false">
      <c r="A306" s="31"/>
      <c r="B306" s="32"/>
      <c r="C306" s="32"/>
      <c r="D306" s="32"/>
      <c r="E306" s="32"/>
      <c r="F306" s="32"/>
      <c r="G306" s="33"/>
      <c r="H306" s="33"/>
      <c r="I306" s="34" t="str">
        <f aca="false">IF($A306="","",$G306-$H306)</f>
        <v/>
      </c>
      <c r="J306" s="35" t="str">
        <f aca="false">IF($A306="","",IF(Setup!$B$6=1,YEAR($A306),YEAR($A306)+IF(MONTH($A306)&gt;=Setup!$B$6,1,0)))</f>
        <v/>
      </c>
      <c r="K306" s="35" t="str">
        <f aca="false">IF($A306="","",MOD(MONTH($A306)-Setup!$B$6+12,12)+1)</f>
        <v/>
      </c>
      <c r="L306" s="36" t="str">
        <f aca="false">IF($A306="","",TEXT($A306,"MMM-YY"))</f>
        <v/>
      </c>
      <c r="M306" s="37" t="str">
        <f aca="false">IF($A306="","",IF($Q306=0,"UNMAPPED",INDEX(COA_Mapping!$C$7:$C$256,$Q306)))</f>
        <v/>
      </c>
      <c r="N306" s="38" t="str">
        <f aca="false">IF($A306="","",IF($Q306=0,"",INDEX(COA_Mapping!$E$7:$E$256,$Q306)))</f>
        <v/>
      </c>
      <c r="O306" s="38" t="n">
        <f aca="false">IF($A306="",1,IF($Q306=0,1,INDEX(COA_Mapping!$F$7:$F$256,$Q306)))</f>
        <v>1</v>
      </c>
      <c r="P306" s="34" t="str">
        <f aca="false">IF($A306="","",$I306*$O306)</f>
        <v/>
      </c>
      <c r="Q306" s="39" t="n">
        <f aca="false">IF($B306="",0,IFERROR(MATCH($B306,COA_Mapping!$A$7:$A$256,0),0))</f>
        <v>0</v>
      </c>
      <c r="R306" s="39" t="n">
        <f aca="false">IF($A306="",-1,IF($J306=Setup!$B$7,1,IF($J306=Setup!$B$9,0,-1)))</f>
        <v>-1</v>
      </c>
      <c r="S306" s="35" t="n">
        <f aca="false">IF(OR($A306="",$Q306=0,$R306=-1),0,$Q306*1000+$R306*100+$K306)</f>
        <v>0</v>
      </c>
      <c r="T306" s="37" t="str">
        <f aca="false">IF($A306="","",IF($B306="","NO ACCOUNT",IF($Q306=0,"UNMAPPED",IF($R306=-1,"OUTSIDE FY RANGE","OK"))))</f>
        <v/>
      </c>
      <c r="U306" s="40" t="str">
        <f aca="false">IF($A306="","",$B306&amp;"|"&amp;TEXT($A306,"yyyymmdd")&amp;"|"&amp;TEXT($I306,"0.00"))</f>
        <v/>
      </c>
      <c r="V306" s="35" t="str">
        <f aca="false">IF($A306="","",COUNTIF($U$8:$U$5007,$U306))</f>
        <v/>
      </c>
    </row>
    <row r="307" customFormat="false" ht="15" hidden="false" customHeight="false" outlineLevel="0" collapsed="false">
      <c r="A307" s="31"/>
      <c r="B307" s="32"/>
      <c r="C307" s="32"/>
      <c r="D307" s="32"/>
      <c r="E307" s="32"/>
      <c r="F307" s="32"/>
      <c r="G307" s="33"/>
      <c r="H307" s="33"/>
      <c r="I307" s="34" t="str">
        <f aca="false">IF($A307="","",$G307-$H307)</f>
        <v/>
      </c>
      <c r="J307" s="35" t="str">
        <f aca="false">IF($A307="","",IF(Setup!$B$6=1,YEAR($A307),YEAR($A307)+IF(MONTH($A307)&gt;=Setup!$B$6,1,0)))</f>
        <v/>
      </c>
      <c r="K307" s="35" t="str">
        <f aca="false">IF($A307="","",MOD(MONTH($A307)-Setup!$B$6+12,12)+1)</f>
        <v/>
      </c>
      <c r="L307" s="36" t="str">
        <f aca="false">IF($A307="","",TEXT($A307,"MMM-YY"))</f>
        <v/>
      </c>
      <c r="M307" s="37" t="str">
        <f aca="false">IF($A307="","",IF($Q307=0,"UNMAPPED",INDEX(COA_Mapping!$C$7:$C$256,$Q307)))</f>
        <v/>
      </c>
      <c r="N307" s="38" t="str">
        <f aca="false">IF($A307="","",IF($Q307=0,"",INDEX(COA_Mapping!$E$7:$E$256,$Q307)))</f>
        <v/>
      </c>
      <c r="O307" s="38" t="n">
        <f aca="false">IF($A307="",1,IF($Q307=0,1,INDEX(COA_Mapping!$F$7:$F$256,$Q307)))</f>
        <v>1</v>
      </c>
      <c r="P307" s="34" t="str">
        <f aca="false">IF($A307="","",$I307*$O307)</f>
        <v/>
      </c>
      <c r="Q307" s="39" t="n">
        <f aca="false">IF($B307="",0,IFERROR(MATCH($B307,COA_Mapping!$A$7:$A$256,0),0))</f>
        <v>0</v>
      </c>
      <c r="R307" s="39" t="n">
        <f aca="false">IF($A307="",-1,IF($J307=Setup!$B$7,1,IF($J307=Setup!$B$9,0,-1)))</f>
        <v>-1</v>
      </c>
      <c r="S307" s="35" t="n">
        <f aca="false">IF(OR($A307="",$Q307=0,$R307=-1),0,$Q307*1000+$R307*100+$K307)</f>
        <v>0</v>
      </c>
      <c r="T307" s="37" t="str">
        <f aca="false">IF($A307="","",IF($B307="","NO ACCOUNT",IF($Q307=0,"UNMAPPED",IF($R307=-1,"OUTSIDE FY RANGE","OK"))))</f>
        <v/>
      </c>
      <c r="U307" s="40" t="str">
        <f aca="false">IF($A307="","",$B307&amp;"|"&amp;TEXT($A307,"yyyymmdd")&amp;"|"&amp;TEXT($I307,"0.00"))</f>
        <v/>
      </c>
      <c r="V307" s="35" t="str">
        <f aca="false">IF($A307="","",COUNTIF($U$8:$U$5007,$U307))</f>
        <v/>
      </c>
    </row>
    <row r="308" customFormat="false" ht="15" hidden="false" customHeight="false" outlineLevel="0" collapsed="false">
      <c r="A308" s="31"/>
      <c r="B308" s="32"/>
      <c r="C308" s="32"/>
      <c r="D308" s="32"/>
      <c r="E308" s="32"/>
      <c r="F308" s="32"/>
      <c r="G308" s="33"/>
      <c r="H308" s="33"/>
      <c r="I308" s="34" t="str">
        <f aca="false">IF($A308="","",$G308-$H308)</f>
        <v/>
      </c>
      <c r="J308" s="35" t="str">
        <f aca="false">IF($A308="","",IF(Setup!$B$6=1,YEAR($A308),YEAR($A308)+IF(MONTH($A308)&gt;=Setup!$B$6,1,0)))</f>
        <v/>
      </c>
      <c r="K308" s="35" t="str">
        <f aca="false">IF($A308="","",MOD(MONTH($A308)-Setup!$B$6+12,12)+1)</f>
        <v/>
      </c>
      <c r="L308" s="36" t="str">
        <f aca="false">IF($A308="","",TEXT($A308,"MMM-YY"))</f>
        <v/>
      </c>
      <c r="M308" s="37" t="str">
        <f aca="false">IF($A308="","",IF($Q308=0,"UNMAPPED",INDEX(COA_Mapping!$C$7:$C$256,$Q308)))</f>
        <v/>
      </c>
      <c r="N308" s="38" t="str">
        <f aca="false">IF($A308="","",IF($Q308=0,"",INDEX(COA_Mapping!$E$7:$E$256,$Q308)))</f>
        <v/>
      </c>
      <c r="O308" s="38" t="n">
        <f aca="false">IF($A308="",1,IF($Q308=0,1,INDEX(COA_Mapping!$F$7:$F$256,$Q308)))</f>
        <v>1</v>
      </c>
      <c r="P308" s="34" t="str">
        <f aca="false">IF($A308="","",$I308*$O308)</f>
        <v/>
      </c>
      <c r="Q308" s="39" t="n">
        <f aca="false">IF($B308="",0,IFERROR(MATCH($B308,COA_Mapping!$A$7:$A$256,0),0))</f>
        <v>0</v>
      </c>
      <c r="R308" s="39" t="n">
        <f aca="false">IF($A308="",-1,IF($J308=Setup!$B$7,1,IF($J308=Setup!$B$9,0,-1)))</f>
        <v>-1</v>
      </c>
      <c r="S308" s="35" t="n">
        <f aca="false">IF(OR($A308="",$Q308=0,$R308=-1),0,$Q308*1000+$R308*100+$K308)</f>
        <v>0</v>
      </c>
      <c r="T308" s="37" t="str">
        <f aca="false">IF($A308="","",IF($B308="","NO ACCOUNT",IF($Q308=0,"UNMAPPED",IF($R308=-1,"OUTSIDE FY RANGE","OK"))))</f>
        <v/>
      </c>
      <c r="U308" s="40" t="str">
        <f aca="false">IF($A308="","",$B308&amp;"|"&amp;TEXT($A308,"yyyymmdd")&amp;"|"&amp;TEXT($I308,"0.00"))</f>
        <v/>
      </c>
      <c r="V308" s="35" t="str">
        <f aca="false">IF($A308="","",COUNTIF($U$8:$U$5007,$U308))</f>
        <v/>
      </c>
    </row>
    <row r="309" customFormat="false" ht="15" hidden="false" customHeight="false" outlineLevel="0" collapsed="false">
      <c r="A309" s="31"/>
      <c r="B309" s="32"/>
      <c r="C309" s="32"/>
      <c r="D309" s="32"/>
      <c r="E309" s="32"/>
      <c r="F309" s="32"/>
      <c r="G309" s="33"/>
      <c r="H309" s="33"/>
      <c r="I309" s="34" t="str">
        <f aca="false">IF($A309="","",$G309-$H309)</f>
        <v/>
      </c>
      <c r="J309" s="35" t="str">
        <f aca="false">IF($A309="","",IF(Setup!$B$6=1,YEAR($A309),YEAR($A309)+IF(MONTH($A309)&gt;=Setup!$B$6,1,0)))</f>
        <v/>
      </c>
      <c r="K309" s="35" t="str">
        <f aca="false">IF($A309="","",MOD(MONTH($A309)-Setup!$B$6+12,12)+1)</f>
        <v/>
      </c>
      <c r="L309" s="36" t="str">
        <f aca="false">IF($A309="","",TEXT($A309,"MMM-YY"))</f>
        <v/>
      </c>
      <c r="M309" s="37" t="str">
        <f aca="false">IF($A309="","",IF($Q309=0,"UNMAPPED",INDEX(COA_Mapping!$C$7:$C$256,$Q309)))</f>
        <v/>
      </c>
      <c r="N309" s="38" t="str">
        <f aca="false">IF($A309="","",IF($Q309=0,"",INDEX(COA_Mapping!$E$7:$E$256,$Q309)))</f>
        <v/>
      </c>
      <c r="O309" s="38" t="n">
        <f aca="false">IF($A309="",1,IF($Q309=0,1,INDEX(COA_Mapping!$F$7:$F$256,$Q309)))</f>
        <v>1</v>
      </c>
      <c r="P309" s="34" t="str">
        <f aca="false">IF($A309="","",$I309*$O309)</f>
        <v/>
      </c>
      <c r="Q309" s="39" t="n">
        <f aca="false">IF($B309="",0,IFERROR(MATCH($B309,COA_Mapping!$A$7:$A$256,0),0))</f>
        <v>0</v>
      </c>
      <c r="R309" s="39" t="n">
        <f aca="false">IF($A309="",-1,IF($J309=Setup!$B$7,1,IF($J309=Setup!$B$9,0,-1)))</f>
        <v>-1</v>
      </c>
      <c r="S309" s="35" t="n">
        <f aca="false">IF(OR($A309="",$Q309=0,$R309=-1),0,$Q309*1000+$R309*100+$K309)</f>
        <v>0</v>
      </c>
      <c r="T309" s="37" t="str">
        <f aca="false">IF($A309="","",IF($B309="","NO ACCOUNT",IF($Q309=0,"UNMAPPED",IF($R309=-1,"OUTSIDE FY RANGE","OK"))))</f>
        <v/>
      </c>
      <c r="U309" s="40" t="str">
        <f aca="false">IF($A309="","",$B309&amp;"|"&amp;TEXT($A309,"yyyymmdd")&amp;"|"&amp;TEXT($I309,"0.00"))</f>
        <v/>
      </c>
      <c r="V309" s="35" t="str">
        <f aca="false">IF($A309="","",COUNTIF($U$8:$U$5007,$U309))</f>
        <v/>
      </c>
    </row>
    <row r="310" customFormat="false" ht="15" hidden="false" customHeight="false" outlineLevel="0" collapsed="false">
      <c r="A310" s="31"/>
      <c r="B310" s="32"/>
      <c r="C310" s="32"/>
      <c r="D310" s="32"/>
      <c r="E310" s="32"/>
      <c r="F310" s="32"/>
      <c r="G310" s="33"/>
      <c r="H310" s="33"/>
      <c r="I310" s="34" t="str">
        <f aca="false">IF($A310="","",$G310-$H310)</f>
        <v/>
      </c>
      <c r="J310" s="35" t="str">
        <f aca="false">IF($A310="","",IF(Setup!$B$6=1,YEAR($A310),YEAR($A310)+IF(MONTH($A310)&gt;=Setup!$B$6,1,0)))</f>
        <v/>
      </c>
      <c r="K310" s="35" t="str">
        <f aca="false">IF($A310="","",MOD(MONTH($A310)-Setup!$B$6+12,12)+1)</f>
        <v/>
      </c>
      <c r="L310" s="36" t="str">
        <f aca="false">IF($A310="","",TEXT($A310,"MMM-YY"))</f>
        <v/>
      </c>
      <c r="M310" s="37" t="str">
        <f aca="false">IF($A310="","",IF($Q310=0,"UNMAPPED",INDEX(COA_Mapping!$C$7:$C$256,$Q310)))</f>
        <v/>
      </c>
      <c r="N310" s="38" t="str">
        <f aca="false">IF($A310="","",IF($Q310=0,"",INDEX(COA_Mapping!$E$7:$E$256,$Q310)))</f>
        <v/>
      </c>
      <c r="O310" s="38" t="n">
        <f aca="false">IF($A310="",1,IF($Q310=0,1,INDEX(COA_Mapping!$F$7:$F$256,$Q310)))</f>
        <v>1</v>
      </c>
      <c r="P310" s="34" t="str">
        <f aca="false">IF($A310="","",$I310*$O310)</f>
        <v/>
      </c>
      <c r="Q310" s="39" t="n">
        <f aca="false">IF($B310="",0,IFERROR(MATCH($B310,COA_Mapping!$A$7:$A$256,0),0))</f>
        <v>0</v>
      </c>
      <c r="R310" s="39" t="n">
        <f aca="false">IF($A310="",-1,IF($J310=Setup!$B$7,1,IF($J310=Setup!$B$9,0,-1)))</f>
        <v>-1</v>
      </c>
      <c r="S310" s="35" t="n">
        <f aca="false">IF(OR($A310="",$Q310=0,$R310=-1),0,$Q310*1000+$R310*100+$K310)</f>
        <v>0</v>
      </c>
      <c r="T310" s="37" t="str">
        <f aca="false">IF($A310="","",IF($B310="","NO ACCOUNT",IF($Q310=0,"UNMAPPED",IF($R310=-1,"OUTSIDE FY RANGE","OK"))))</f>
        <v/>
      </c>
      <c r="U310" s="40" t="str">
        <f aca="false">IF($A310="","",$B310&amp;"|"&amp;TEXT($A310,"yyyymmdd")&amp;"|"&amp;TEXT($I310,"0.00"))</f>
        <v/>
      </c>
      <c r="V310" s="35" t="str">
        <f aca="false">IF($A310="","",COUNTIF($U$8:$U$5007,$U310))</f>
        <v/>
      </c>
    </row>
    <row r="311" customFormat="false" ht="15" hidden="false" customHeight="false" outlineLevel="0" collapsed="false">
      <c r="A311" s="31"/>
      <c r="B311" s="32"/>
      <c r="C311" s="32"/>
      <c r="D311" s="32"/>
      <c r="E311" s="32"/>
      <c r="F311" s="32"/>
      <c r="G311" s="33"/>
      <c r="H311" s="33"/>
      <c r="I311" s="34" t="str">
        <f aca="false">IF($A311="","",$G311-$H311)</f>
        <v/>
      </c>
      <c r="J311" s="35" t="str">
        <f aca="false">IF($A311="","",IF(Setup!$B$6=1,YEAR($A311),YEAR($A311)+IF(MONTH($A311)&gt;=Setup!$B$6,1,0)))</f>
        <v/>
      </c>
      <c r="K311" s="35" t="str">
        <f aca="false">IF($A311="","",MOD(MONTH($A311)-Setup!$B$6+12,12)+1)</f>
        <v/>
      </c>
      <c r="L311" s="36" t="str">
        <f aca="false">IF($A311="","",TEXT($A311,"MMM-YY"))</f>
        <v/>
      </c>
      <c r="M311" s="37" t="str">
        <f aca="false">IF($A311="","",IF($Q311=0,"UNMAPPED",INDEX(COA_Mapping!$C$7:$C$256,$Q311)))</f>
        <v/>
      </c>
      <c r="N311" s="38" t="str">
        <f aca="false">IF($A311="","",IF($Q311=0,"",INDEX(COA_Mapping!$E$7:$E$256,$Q311)))</f>
        <v/>
      </c>
      <c r="O311" s="38" t="n">
        <f aca="false">IF($A311="",1,IF($Q311=0,1,INDEX(COA_Mapping!$F$7:$F$256,$Q311)))</f>
        <v>1</v>
      </c>
      <c r="P311" s="34" t="str">
        <f aca="false">IF($A311="","",$I311*$O311)</f>
        <v/>
      </c>
      <c r="Q311" s="39" t="n">
        <f aca="false">IF($B311="",0,IFERROR(MATCH($B311,COA_Mapping!$A$7:$A$256,0),0))</f>
        <v>0</v>
      </c>
      <c r="R311" s="39" t="n">
        <f aca="false">IF($A311="",-1,IF($J311=Setup!$B$7,1,IF($J311=Setup!$B$9,0,-1)))</f>
        <v>-1</v>
      </c>
      <c r="S311" s="35" t="n">
        <f aca="false">IF(OR($A311="",$Q311=0,$R311=-1),0,$Q311*1000+$R311*100+$K311)</f>
        <v>0</v>
      </c>
      <c r="T311" s="37" t="str">
        <f aca="false">IF($A311="","",IF($B311="","NO ACCOUNT",IF($Q311=0,"UNMAPPED",IF($R311=-1,"OUTSIDE FY RANGE","OK"))))</f>
        <v/>
      </c>
      <c r="U311" s="40" t="str">
        <f aca="false">IF($A311="","",$B311&amp;"|"&amp;TEXT($A311,"yyyymmdd")&amp;"|"&amp;TEXT($I311,"0.00"))</f>
        <v/>
      </c>
      <c r="V311" s="35" t="str">
        <f aca="false">IF($A311="","",COUNTIF($U$8:$U$5007,$U311))</f>
        <v/>
      </c>
    </row>
    <row r="312" customFormat="false" ht="15" hidden="false" customHeight="false" outlineLevel="0" collapsed="false">
      <c r="A312" s="31"/>
      <c r="B312" s="32"/>
      <c r="C312" s="32"/>
      <c r="D312" s="32"/>
      <c r="E312" s="32"/>
      <c r="F312" s="32"/>
      <c r="G312" s="33"/>
      <c r="H312" s="33"/>
      <c r="I312" s="34" t="str">
        <f aca="false">IF($A312="","",$G312-$H312)</f>
        <v/>
      </c>
      <c r="J312" s="35" t="str">
        <f aca="false">IF($A312="","",IF(Setup!$B$6=1,YEAR($A312),YEAR($A312)+IF(MONTH($A312)&gt;=Setup!$B$6,1,0)))</f>
        <v/>
      </c>
      <c r="K312" s="35" t="str">
        <f aca="false">IF($A312="","",MOD(MONTH($A312)-Setup!$B$6+12,12)+1)</f>
        <v/>
      </c>
      <c r="L312" s="36" t="str">
        <f aca="false">IF($A312="","",TEXT($A312,"MMM-YY"))</f>
        <v/>
      </c>
      <c r="M312" s="37" t="str">
        <f aca="false">IF($A312="","",IF($Q312=0,"UNMAPPED",INDEX(COA_Mapping!$C$7:$C$256,$Q312)))</f>
        <v/>
      </c>
      <c r="N312" s="38" t="str">
        <f aca="false">IF($A312="","",IF($Q312=0,"",INDEX(COA_Mapping!$E$7:$E$256,$Q312)))</f>
        <v/>
      </c>
      <c r="O312" s="38" t="n">
        <f aca="false">IF($A312="",1,IF($Q312=0,1,INDEX(COA_Mapping!$F$7:$F$256,$Q312)))</f>
        <v>1</v>
      </c>
      <c r="P312" s="34" t="str">
        <f aca="false">IF($A312="","",$I312*$O312)</f>
        <v/>
      </c>
      <c r="Q312" s="39" t="n">
        <f aca="false">IF($B312="",0,IFERROR(MATCH($B312,COA_Mapping!$A$7:$A$256,0),0))</f>
        <v>0</v>
      </c>
      <c r="R312" s="39" t="n">
        <f aca="false">IF($A312="",-1,IF($J312=Setup!$B$7,1,IF($J312=Setup!$B$9,0,-1)))</f>
        <v>-1</v>
      </c>
      <c r="S312" s="35" t="n">
        <f aca="false">IF(OR($A312="",$Q312=0,$R312=-1),0,$Q312*1000+$R312*100+$K312)</f>
        <v>0</v>
      </c>
      <c r="T312" s="37" t="str">
        <f aca="false">IF($A312="","",IF($B312="","NO ACCOUNT",IF($Q312=0,"UNMAPPED",IF($R312=-1,"OUTSIDE FY RANGE","OK"))))</f>
        <v/>
      </c>
      <c r="U312" s="40" t="str">
        <f aca="false">IF($A312="","",$B312&amp;"|"&amp;TEXT($A312,"yyyymmdd")&amp;"|"&amp;TEXT($I312,"0.00"))</f>
        <v/>
      </c>
      <c r="V312" s="35" t="str">
        <f aca="false">IF($A312="","",COUNTIF($U$8:$U$5007,$U312))</f>
        <v/>
      </c>
    </row>
    <row r="313" customFormat="false" ht="15" hidden="false" customHeight="false" outlineLevel="0" collapsed="false">
      <c r="A313" s="31"/>
      <c r="B313" s="32"/>
      <c r="C313" s="32"/>
      <c r="D313" s="32"/>
      <c r="E313" s="32"/>
      <c r="F313" s="32"/>
      <c r="G313" s="33"/>
      <c r="H313" s="33"/>
      <c r="I313" s="34" t="str">
        <f aca="false">IF($A313="","",$G313-$H313)</f>
        <v/>
      </c>
      <c r="J313" s="35" t="str">
        <f aca="false">IF($A313="","",IF(Setup!$B$6=1,YEAR($A313),YEAR($A313)+IF(MONTH($A313)&gt;=Setup!$B$6,1,0)))</f>
        <v/>
      </c>
      <c r="K313" s="35" t="str">
        <f aca="false">IF($A313="","",MOD(MONTH($A313)-Setup!$B$6+12,12)+1)</f>
        <v/>
      </c>
      <c r="L313" s="36" t="str">
        <f aca="false">IF($A313="","",TEXT($A313,"MMM-YY"))</f>
        <v/>
      </c>
      <c r="M313" s="37" t="str">
        <f aca="false">IF($A313="","",IF($Q313=0,"UNMAPPED",INDEX(COA_Mapping!$C$7:$C$256,$Q313)))</f>
        <v/>
      </c>
      <c r="N313" s="38" t="str">
        <f aca="false">IF($A313="","",IF($Q313=0,"",INDEX(COA_Mapping!$E$7:$E$256,$Q313)))</f>
        <v/>
      </c>
      <c r="O313" s="38" t="n">
        <f aca="false">IF($A313="",1,IF($Q313=0,1,INDEX(COA_Mapping!$F$7:$F$256,$Q313)))</f>
        <v>1</v>
      </c>
      <c r="P313" s="34" t="str">
        <f aca="false">IF($A313="","",$I313*$O313)</f>
        <v/>
      </c>
      <c r="Q313" s="39" t="n">
        <f aca="false">IF($B313="",0,IFERROR(MATCH($B313,COA_Mapping!$A$7:$A$256,0),0))</f>
        <v>0</v>
      </c>
      <c r="R313" s="39" t="n">
        <f aca="false">IF($A313="",-1,IF($J313=Setup!$B$7,1,IF($J313=Setup!$B$9,0,-1)))</f>
        <v>-1</v>
      </c>
      <c r="S313" s="35" t="n">
        <f aca="false">IF(OR($A313="",$Q313=0,$R313=-1),0,$Q313*1000+$R313*100+$K313)</f>
        <v>0</v>
      </c>
      <c r="T313" s="37" t="str">
        <f aca="false">IF($A313="","",IF($B313="","NO ACCOUNT",IF($Q313=0,"UNMAPPED",IF($R313=-1,"OUTSIDE FY RANGE","OK"))))</f>
        <v/>
      </c>
      <c r="U313" s="40" t="str">
        <f aca="false">IF($A313="","",$B313&amp;"|"&amp;TEXT($A313,"yyyymmdd")&amp;"|"&amp;TEXT($I313,"0.00"))</f>
        <v/>
      </c>
      <c r="V313" s="35" t="str">
        <f aca="false">IF($A313="","",COUNTIF($U$8:$U$5007,$U313))</f>
        <v/>
      </c>
    </row>
    <row r="314" customFormat="false" ht="15" hidden="false" customHeight="false" outlineLevel="0" collapsed="false">
      <c r="A314" s="31"/>
      <c r="B314" s="32"/>
      <c r="C314" s="32"/>
      <c r="D314" s="32"/>
      <c r="E314" s="32"/>
      <c r="F314" s="32"/>
      <c r="G314" s="33"/>
      <c r="H314" s="33"/>
      <c r="I314" s="34" t="str">
        <f aca="false">IF($A314="","",$G314-$H314)</f>
        <v/>
      </c>
      <c r="J314" s="35" t="str">
        <f aca="false">IF($A314="","",IF(Setup!$B$6=1,YEAR($A314),YEAR($A314)+IF(MONTH($A314)&gt;=Setup!$B$6,1,0)))</f>
        <v/>
      </c>
      <c r="K314" s="35" t="str">
        <f aca="false">IF($A314="","",MOD(MONTH($A314)-Setup!$B$6+12,12)+1)</f>
        <v/>
      </c>
      <c r="L314" s="36" t="str">
        <f aca="false">IF($A314="","",TEXT($A314,"MMM-YY"))</f>
        <v/>
      </c>
      <c r="M314" s="37" t="str">
        <f aca="false">IF($A314="","",IF($Q314=0,"UNMAPPED",INDEX(COA_Mapping!$C$7:$C$256,$Q314)))</f>
        <v/>
      </c>
      <c r="N314" s="38" t="str">
        <f aca="false">IF($A314="","",IF($Q314=0,"",INDEX(COA_Mapping!$E$7:$E$256,$Q314)))</f>
        <v/>
      </c>
      <c r="O314" s="38" t="n">
        <f aca="false">IF($A314="",1,IF($Q314=0,1,INDEX(COA_Mapping!$F$7:$F$256,$Q314)))</f>
        <v>1</v>
      </c>
      <c r="P314" s="34" t="str">
        <f aca="false">IF($A314="","",$I314*$O314)</f>
        <v/>
      </c>
      <c r="Q314" s="39" t="n">
        <f aca="false">IF($B314="",0,IFERROR(MATCH($B314,COA_Mapping!$A$7:$A$256,0),0))</f>
        <v>0</v>
      </c>
      <c r="R314" s="39" t="n">
        <f aca="false">IF($A314="",-1,IF($J314=Setup!$B$7,1,IF($J314=Setup!$B$9,0,-1)))</f>
        <v>-1</v>
      </c>
      <c r="S314" s="35" t="n">
        <f aca="false">IF(OR($A314="",$Q314=0,$R314=-1),0,$Q314*1000+$R314*100+$K314)</f>
        <v>0</v>
      </c>
      <c r="T314" s="37" t="str">
        <f aca="false">IF($A314="","",IF($B314="","NO ACCOUNT",IF($Q314=0,"UNMAPPED",IF($R314=-1,"OUTSIDE FY RANGE","OK"))))</f>
        <v/>
      </c>
      <c r="U314" s="40" t="str">
        <f aca="false">IF($A314="","",$B314&amp;"|"&amp;TEXT($A314,"yyyymmdd")&amp;"|"&amp;TEXT($I314,"0.00"))</f>
        <v/>
      </c>
      <c r="V314" s="35" t="str">
        <f aca="false">IF($A314="","",COUNTIF($U$8:$U$5007,$U314))</f>
        <v/>
      </c>
    </row>
    <row r="315" customFormat="false" ht="15" hidden="false" customHeight="false" outlineLevel="0" collapsed="false">
      <c r="A315" s="31"/>
      <c r="B315" s="32"/>
      <c r="C315" s="32"/>
      <c r="D315" s="32"/>
      <c r="E315" s="32"/>
      <c r="F315" s="32"/>
      <c r="G315" s="33"/>
      <c r="H315" s="33"/>
      <c r="I315" s="34" t="str">
        <f aca="false">IF($A315="","",$G315-$H315)</f>
        <v/>
      </c>
      <c r="J315" s="35" t="str">
        <f aca="false">IF($A315="","",IF(Setup!$B$6=1,YEAR($A315),YEAR($A315)+IF(MONTH($A315)&gt;=Setup!$B$6,1,0)))</f>
        <v/>
      </c>
      <c r="K315" s="35" t="str">
        <f aca="false">IF($A315="","",MOD(MONTH($A315)-Setup!$B$6+12,12)+1)</f>
        <v/>
      </c>
      <c r="L315" s="36" t="str">
        <f aca="false">IF($A315="","",TEXT($A315,"MMM-YY"))</f>
        <v/>
      </c>
      <c r="M315" s="37" t="str">
        <f aca="false">IF($A315="","",IF($Q315=0,"UNMAPPED",INDEX(COA_Mapping!$C$7:$C$256,$Q315)))</f>
        <v/>
      </c>
      <c r="N315" s="38" t="str">
        <f aca="false">IF($A315="","",IF($Q315=0,"",INDEX(COA_Mapping!$E$7:$E$256,$Q315)))</f>
        <v/>
      </c>
      <c r="O315" s="38" t="n">
        <f aca="false">IF($A315="",1,IF($Q315=0,1,INDEX(COA_Mapping!$F$7:$F$256,$Q315)))</f>
        <v>1</v>
      </c>
      <c r="P315" s="34" t="str">
        <f aca="false">IF($A315="","",$I315*$O315)</f>
        <v/>
      </c>
      <c r="Q315" s="39" t="n">
        <f aca="false">IF($B315="",0,IFERROR(MATCH($B315,COA_Mapping!$A$7:$A$256,0),0))</f>
        <v>0</v>
      </c>
      <c r="R315" s="39" t="n">
        <f aca="false">IF($A315="",-1,IF($J315=Setup!$B$7,1,IF($J315=Setup!$B$9,0,-1)))</f>
        <v>-1</v>
      </c>
      <c r="S315" s="35" t="n">
        <f aca="false">IF(OR($A315="",$Q315=0,$R315=-1),0,$Q315*1000+$R315*100+$K315)</f>
        <v>0</v>
      </c>
      <c r="T315" s="37" t="str">
        <f aca="false">IF($A315="","",IF($B315="","NO ACCOUNT",IF($Q315=0,"UNMAPPED",IF($R315=-1,"OUTSIDE FY RANGE","OK"))))</f>
        <v/>
      </c>
      <c r="U315" s="40" t="str">
        <f aca="false">IF($A315="","",$B315&amp;"|"&amp;TEXT($A315,"yyyymmdd")&amp;"|"&amp;TEXT($I315,"0.00"))</f>
        <v/>
      </c>
      <c r="V315" s="35" t="str">
        <f aca="false">IF($A315="","",COUNTIF($U$8:$U$5007,$U315))</f>
        <v/>
      </c>
    </row>
    <row r="316" customFormat="false" ht="15" hidden="false" customHeight="false" outlineLevel="0" collapsed="false">
      <c r="A316" s="31"/>
      <c r="B316" s="32"/>
      <c r="C316" s="32"/>
      <c r="D316" s="32"/>
      <c r="E316" s="32"/>
      <c r="F316" s="32"/>
      <c r="G316" s="33"/>
      <c r="H316" s="33"/>
      <c r="I316" s="34" t="str">
        <f aca="false">IF($A316="","",$G316-$H316)</f>
        <v/>
      </c>
      <c r="J316" s="35" t="str">
        <f aca="false">IF($A316="","",IF(Setup!$B$6=1,YEAR($A316),YEAR($A316)+IF(MONTH($A316)&gt;=Setup!$B$6,1,0)))</f>
        <v/>
      </c>
      <c r="K316" s="35" t="str">
        <f aca="false">IF($A316="","",MOD(MONTH($A316)-Setup!$B$6+12,12)+1)</f>
        <v/>
      </c>
      <c r="L316" s="36" t="str">
        <f aca="false">IF($A316="","",TEXT($A316,"MMM-YY"))</f>
        <v/>
      </c>
      <c r="M316" s="37" t="str">
        <f aca="false">IF($A316="","",IF($Q316=0,"UNMAPPED",INDEX(COA_Mapping!$C$7:$C$256,$Q316)))</f>
        <v/>
      </c>
      <c r="N316" s="38" t="str">
        <f aca="false">IF($A316="","",IF($Q316=0,"",INDEX(COA_Mapping!$E$7:$E$256,$Q316)))</f>
        <v/>
      </c>
      <c r="O316" s="38" t="n">
        <f aca="false">IF($A316="",1,IF($Q316=0,1,INDEX(COA_Mapping!$F$7:$F$256,$Q316)))</f>
        <v>1</v>
      </c>
      <c r="P316" s="34" t="str">
        <f aca="false">IF($A316="","",$I316*$O316)</f>
        <v/>
      </c>
      <c r="Q316" s="39" t="n">
        <f aca="false">IF($B316="",0,IFERROR(MATCH($B316,COA_Mapping!$A$7:$A$256,0),0))</f>
        <v>0</v>
      </c>
      <c r="R316" s="39" t="n">
        <f aca="false">IF($A316="",-1,IF($J316=Setup!$B$7,1,IF($J316=Setup!$B$9,0,-1)))</f>
        <v>-1</v>
      </c>
      <c r="S316" s="35" t="n">
        <f aca="false">IF(OR($A316="",$Q316=0,$R316=-1),0,$Q316*1000+$R316*100+$K316)</f>
        <v>0</v>
      </c>
      <c r="T316" s="37" t="str">
        <f aca="false">IF($A316="","",IF($B316="","NO ACCOUNT",IF($Q316=0,"UNMAPPED",IF($R316=-1,"OUTSIDE FY RANGE","OK"))))</f>
        <v/>
      </c>
      <c r="U316" s="40" t="str">
        <f aca="false">IF($A316="","",$B316&amp;"|"&amp;TEXT($A316,"yyyymmdd")&amp;"|"&amp;TEXT($I316,"0.00"))</f>
        <v/>
      </c>
      <c r="V316" s="35" t="str">
        <f aca="false">IF($A316="","",COUNTIF($U$8:$U$5007,$U316))</f>
        <v/>
      </c>
    </row>
    <row r="317" customFormat="false" ht="15" hidden="false" customHeight="false" outlineLevel="0" collapsed="false">
      <c r="A317" s="31"/>
      <c r="B317" s="32"/>
      <c r="C317" s="32"/>
      <c r="D317" s="32"/>
      <c r="E317" s="32"/>
      <c r="F317" s="32"/>
      <c r="G317" s="33"/>
      <c r="H317" s="33"/>
      <c r="I317" s="34" t="str">
        <f aca="false">IF($A317="","",$G317-$H317)</f>
        <v/>
      </c>
      <c r="J317" s="35" t="str">
        <f aca="false">IF($A317="","",IF(Setup!$B$6=1,YEAR($A317),YEAR($A317)+IF(MONTH($A317)&gt;=Setup!$B$6,1,0)))</f>
        <v/>
      </c>
      <c r="K317" s="35" t="str">
        <f aca="false">IF($A317="","",MOD(MONTH($A317)-Setup!$B$6+12,12)+1)</f>
        <v/>
      </c>
      <c r="L317" s="36" t="str">
        <f aca="false">IF($A317="","",TEXT($A317,"MMM-YY"))</f>
        <v/>
      </c>
      <c r="M317" s="37" t="str">
        <f aca="false">IF($A317="","",IF($Q317=0,"UNMAPPED",INDEX(COA_Mapping!$C$7:$C$256,$Q317)))</f>
        <v/>
      </c>
      <c r="N317" s="38" t="str">
        <f aca="false">IF($A317="","",IF($Q317=0,"",INDEX(COA_Mapping!$E$7:$E$256,$Q317)))</f>
        <v/>
      </c>
      <c r="O317" s="38" t="n">
        <f aca="false">IF($A317="",1,IF($Q317=0,1,INDEX(COA_Mapping!$F$7:$F$256,$Q317)))</f>
        <v>1</v>
      </c>
      <c r="P317" s="34" t="str">
        <f aca="false">IF($A317="","",$I317*$O317)</f>
        <v/>
      </c>
      <c r="Q317" s="39" t="n">
        <f aca="false">IF($B317="",0,IFERROR(MATCH($B317,COA_Mapping!$A$7:$A$256,0),0))</f>
        <v>0</v>
      </c>
      <c r="R317" s="39" t="n">
        <f aca="false">IF($A317="",-1,IF($J317=Setup!$B$7,1,IF($J317=Setup!$B$9,0,-1)))</f>
        <v>-1</v>
      </c>
      <c r="S317" s="35" t="n">
        <f aca="false">IF(OR($A317="",$Q317=0,$R317=-1),0,$Q317*1000+$R317*100+$K317)</f>
        <v>0</v>
      </c>
      <c r="T317" s="37" t="str">
        <f aca="false">IF($A317="","",IF($B317="","NO ACCOUNT",IF($Q317=0,"UNMAPPED",IF($R317=-1,"OUTSIDE FY RANGE","OK"))))</f>
        <v/>
      </c>
      <c r="U317" s="40" t="str">
        <f aca="false">IF($A317="","",$B317&amp;"|"&amp;TEXT($A317,"yyyymmdd")&amp;"|"&amp;TEXT($I317,"0.00"))</f>
        <v/>
      </c>
      <c r="V317" s="35" t="str">
        <f aca="false">IF($A317="","",COUNTIF($U$8:$U$5007,$U317))</f>
        <v/>
      </c>
    </row>
    <row r="318" customFormat="false" ht="15" hidden="false" customHeight="false" outlineLevel="0" collapsed="false">
      <c r="A318" s="31"/>
      <c r="B318" s="32"/>
      <c r="C318" s="32"/>
      <c r="D318" s="32"/>
      <c r="E318" s="32"/>
      <c r="F318" s="32"/>
      <c r="G318" s="33"/>
      <c r="H318" s="33"/>
      <c r="I318" s="34" t="str">
        <f aca="false">IF($A318="","",$G318-$H318)</f>
        <v/>
      </c>
      <c r="J318" s="35" t="str">
        <f aca="false">IF($A318="","",IF(Setup!$B$6=1,YEAR($A318),YEAR($A318)+IF(MONTH($A318)&gt;=Setup!$B$6,1,0)))</f>
        <v/>
      </c>
      <c r="K318" s="35" t="str">
        <f aca="false">IF($A318="","",MOD(MONTH($A318)-Setup!$B$6+12,12)+1)</f>
        <v/>
      </c>
      <c r="L318" s="36" t="str">
        <f aca="false">IF($A318="","",TEXT($A318,"MMM-YY"))</f>
        <v/>
      </c>
      <c r="M318" s="37" t="str">
        <f aca="false">IF($A318="","",IF($Q318=0,"UNMAPPED",INDEX(COA_Mapping!$C$7:$C$256,$Q318)))</f>
        <v/>
      </c>
      <c r="N318" s="38" t="str">
        <f aca="false">IF($A318="","",IF($Q318=0,"",INDEX(COA_Mapping!$E$7:$E$256,$Q318)))</f>
        <v/>
      </c>
      <c r="O318" s="38" t="n">
        <f aca="false">IF($A318="",1,IF($Q318=0,1,INDEX(COA_Mapping!$F$7:$F$256,$Q318)))</f>
        <v>1</v>
      </c>
      <c r="P318" s="34" t="str">
        <f aca="false">IF($A318="","",$I318*$O318)</f>
        <v/>
      </c>
      <c r="Q318" s="39" t="n">
        <f aca="false">IF($B318="",0,IFERROR(MATCH($B318,COA_Mapping!$A$7:$A$256,0),0))</f>
        <v>0</v>
      </c>
      <c r="R318" s="39" t="n">
        <f aca="false">IF($A318="",-1,IF($J318=Setup!$B$7,1,IF($J318=Setup!$B$9,0,-1)))</f>
        <v>-1</v>
      </c>
      <c r="S318" s="35" t="n">
        <f aca="false">IF(OR($A318="",$Q318=0,$R318=-1),0,$Q318*1000+$R318*100+$K318)</f>
        <v>0</v>
      </c>
      <c r="T318" s="37" t="str">
        <f aca="false">IF($A318="","",IF($B318="","NO ACCOUNT",IF($Q318=0,"UNMAPPED",IF($R318=-1,"OUTSIDE FY RANGE","OK"))))</f>
        <v/>
      </c>
      <c r="U318" s="40" t="str">
        <f aca="false">IF($A318="","",$B318&amp;"|"&amp;TEXT($A318,"yyyymmdd")&amp;"|"&amp;TEXT($I318,"0.00"))</f>
        <v/>
      </c>
      <c r="V318" s="35" t="str">
        <f aca="false">IF($A318="","",COUNTIF($U$8:$U$5007,$U318))</f>
        <v/>
      </c>
    </row>
    <row r="319" customFormat="false" ht="15" hidden="false" customHeight="false" outlineLevel="0" collapsed="false">
      <c r="A319" s="31"/>
      <c r="B319" s="32"/>
      <c r="C319" s="32"/>
      <c r="D319" s="32"/>
      <c r="E319" s="32"/>
      <c r="F319" s="32"/>
      <c r="G319" s="33"/>
      <c r="H319" s="33"/>
      <c r="I319" s="34" t="str">
        <f aca="false">IF($A319="","",$G319-$H319)</f>
        <v/>
      </c>
      <c r="J319" s="35" t="str">
        <f aca="false">IF($A319="","",IF(Setup!$B$6=1,YEAR($A319),YEAR($A319)+IF(MONTH($A319)&gt;=Setup!$B$6,1,0)))</f>
        <v/>
      </c>
      <c r="K319" s="35" t="str">
        <f aca="false">IF($A319="","",MOD(MONTH($A319)-Setup!$B$6+12,12)+1)</f>
        <v/>
      </c>
      <c r="L319" s="36" t="str">
        <f aca="false">IF($A319="","",TEXT($A319,"MMM-YY"))</f>
        <v/>
      </c>
      <c r="M319" s="37" t="str">
        <f aca="false">IF($A319="","",IF($Q319=0,"UNMAPPED",INDEX(COA_Mapping!$C$7:$C$256,$Q319)))</f>
        <v/>
      </c>
      <c r="N319" s="38" t="str">
        <f aca="false">IF($A319="","",IF($Q319=0,"",INDEX(COA_Mapping!$E$7:$E$256,$Q319)))</f>
        <v/>
      </c>
      <c r="O319" s="38" t="n">
        <f aca="false">IF($A319="",1,IF($Q319=0,1,INDEX(COA_Mapping!$F$7:$F$256,$Q319)))</f>
        <v>1</v>
      </c>
      <c r="P319" s="34" t="str">
        <f aca="false">IF($A319="","",$I319*$O319)</f>
        <v/>
      </c>
      <c r="Q319" s="39" t="n">
        <f aca="false">IF($B319="",0,IFERROR(MATCH($B319,COA_Mapping!$A$7:$A$256,0),0))</f>
        <v>0</v>
      </c>
      <c r="R319" s="39" t="n">
        <f aca="false">IF($A319="",-1,IF($J319=Setup!$B$7,1,IF($J319=Setup!$B$9,0,-1)))</f>
        <v>-1</v>
      </c>
      <c r="S319" s="35" t="n">
        <f aca="false">IF(OR($A319="",$Q319=0,$R319=-1),0,$Q319*1000+$R319*100+$K319)</f>
        <v>0</v>
      </c>
      <c r="T319" s="37" t="str">
        <f aca="false">IF($A319="","",IF($B319="","NO ACCOUNT",IF($Q319=0,"UNMAPPED",IF($R319=-1,"OUTSIDE FY RANGE","OK"))))</f>
        <v/>
      </c>
      <c r="U319" s="40" t="str">
        <f aca="false">IF($A319="","",$B319&amp;"|"&amp;TEXT($A319,"yyyymmdd")&amp;"|"&amp;TEXT($I319,"0.00"))</f>
        <v/>
      </c>
      <c r="V319" s="35" t="str">
        <f aca="false">IF($A319="","",COUNTIF($U$8:$U$5007,$U319))</f>
        <v/>
      </c>
    </row>
    <row r="320" customFormat="false" ht="15" hidden="false" customHeight="false" outlineLevel="0" collapsed="false">
      <c r="A320" s="31"/>
      <c r="B320" s="32"/>
      <c r="C320" s="32"/>
      <c r="D320" s="32"/>
      <c r="E320" s="32"/>
      <c r="F320" s="32"/>
      <c r="G320" s="33"/>
      <c r="H320" s="33"/>
      <c r="I320" s="34" t="str">
        <f aca="false">IF($A320="","",$G320-$H320)</f>
        <v/>
      </c>
      <c r="J320" s="35" t="str">
        <f aca="false">IF($A320="","",IF(Setup!$B$6=1,YEAR($A320),YEAR($A320)+IF(MONTH($A320)&gt;=Setup!$B$6,1,0)))</f>
        <v/>
      </c>
      <c r="K320" s="35" t="str">
        <f aca="false">IF($A320="","",MOD(MONTH($A320)-Setup!$B$6+12,12)+1)</f>
        <v/>
      </c>
      <c r="L320" s="36" t="str">
        <f aca="false">IF($A320="","",TEXT($A320,"MMM-YY"))</f>
        <v/>
      </c>
      <c r="M320" s="37" t="str">
        <f aca="false">IF($A320="","",IF($Q320=0,"UNMAPPED",INDEX(COA_Mapping!$C$7:$C$256,$Q320)))</f>
        <v/>
      </c>
      <c r="N320" s="38" t="str">
        <f aca="false">IF($A320="","",IF($Q320=0,"",INDEX(COA_Mapping!$E$7:$E$256,$Q320)))</f>
        <v/>
      </c>
      <c r="O320" s="38" t="n">
        <f aca="false">IF($A320="",1,IF($Q320=0,1,INDEX(COA_Mapping!$F$7:$F$256,$Q320)))</f>
        <v>1</v>
      </c>
      <c r="P320" s="34" t="str">
        <f aca="false">IF($A320="","",$I320*$O320)</f>
        <v/>
      </c>
      <c r="Q320" s="39" t="n">
        <f aca="false">IF($B320="",0,IFERROR(MATCH($B320,COA_Mapping!$A$7:$A$256,0),0))</f>
        <v>0</v>
      </c>
      <c r="R320" s="39" t="n">
        <f aca="false">IF($A320="",-1,IF($J320=Setup!$B$7,1,IF($J320=Setup!$B$9,0,-1)))</f>
        <v>-1</v>
      </c>
      <c r="S320" s="35" t="n">
        <f aca="false">IF(OR($A320="",$Q320=0,$R320=-1),0,$Q320*1000+$R320*100+$K320)</f>
        <v>0</v>
      </c>
      <c r="T320" s="37" t="str">
        <f aca="false">IF($A320="","",IF($B320="","NO ACCOUNT",IF($Q320=0,"UNMAPPED",IF($R320=-1,"OUTSIDE FY RANGE","OK"))))</f>
        <v/>
      </c>
      <c r="U320" s="40" t="str">
        <f aca="false">IF($A320="","",$B320&amp;"|"&amp;TEXT($A320,"yyyymmdd")&amp;"|"&amp;TEXT($I320,"0.00"))</f>
        <v/>
      </c>
      <c r="V320" s="35" t="str">
        <f aca="false">IF($A320="","",COUNTIF($U$8:$U$5007,$U320))</f>
        <v/>
      </c>
    </row>
    <row r="321" customFormat="false" ht="15" hidden="false" customHeight="false" outlineLevel="0" collapsed="false">
      <c r="A321" s="31"/>
      <c r="B321" s="32"/>
      <c r="C321" s="32"/>
      <c r="D321" s="32"/>
      <c r="E321" s="32"/>
      <c r="F321" s="32"/>
      <c r="G321" s="33"/>
      <c r="H321" s="33"/>
      <c r="I321" s="34" t="str">
        <f aca="false">IF($A321="","",$G321-$H321)</f>
        <v/>
      </c>
      <c r="J321" s="35" t="str">
        <f aca="false">IF($A321="","",IF(Setup!$B$6=1,YEAR($A321),YEAR($A321)+IF(MONTH($A321)&gt;=Setup!$B$6,1,0)))</f>
        <v/>
      </c>
      <c r="K321" s="35" t="str">
        <f aca="false">IF($A321="","",MOD(MONTH($A321)-Setup!$B$6+12,12)+1)</f>
        <v/>
      </c>
      <c r="L321" s="36" t="str">
        <f aca="false">IF($A321="","",TEXT($A321,"MMM-YY"))</f>
        <v/>
      </c>
      <c r="M321" s="37" t="str">
        <f aca="false">IF($A321="","",IF($Q321=0,"UNMAPPED",INDEX(COA_Mapping!$C$7:$C$256,$Q321)))</f>
        <v/>
      </c>
      <c r="N321" s="38" t="str">
        <f aca="false">IF($A321="","",IF($Q321=0,"",INDEX(COA_Mapping!$E$7:$E$256,$Q321)))</f>
        <v/>
      </c>
      <c r="O321" s="38" t="n">
        <f aca="false">IF($A321="",1,IF($Q321=0,1,INDEX(COA_Mapping!$F$7:$F$256,$Q321)))</f>
        <v>1</v>
      </c>
      <c r="P321" s="34" t="str">
        <f aca="false">IF($A321="","",$I321*$O321)</f>
        <v/>
      </c>
      <c r="Q321" s="39" t="n">
        <f aca="false">IF($B321="",0,IFERROR(MATCH($B321,COA_Mapping!$A$7:$A$256,0),0))</f>
        <v>0</v>
      </c>
      <c r="R321" s="39" t="n">
        <f aca="false">IF($A321="",-1,IF($J321=Setup!$B$7,1,IF($J321=Setup!$B$9,0,-1)))</f>
        <v>-1</v>
      </c>
      <c r="S321" s="35" t="n">
        <f aca="false">IF(OR($A321="",$Q321=0,$R321=-1),0,$Q321*1000+$R321*100+$K321)</f>
        <v>0</v>
      </c>
      <c r="T321" s="37" t="str">
        <f aca="false">IF($A321="","",IF($B321="","NO ACCOUNT",IF($Q321=0,"UNMAPPED",IF($R321=-1,"OUTSIDE FY RANGE","OK"))))</f>
        <v/>
      </c>
      <c r="U321" s="40" t="str">
        <f aca="false">IF($A321="","",$B321&amp;"|"&amp;TEXT($A321,"yyyymmdd")&amp;"|"&amp;TEXT($I321,"0.00"))</f>
        <v/>
      </c>
      <c r="V321" s="35" t="str">
        <f aca="false">IF($A321="","",COUNTIF($U$8:$U$5007,$U321))</f>
        <v/>
      </c>
    </row>
    <row r="322" customFormat="false" ht="15" hidden="false" customHeight="false" outlineLevel="0" collapsed="false">
      <c r="A322" s="31"/>
      <c r="B322" s="32"/>
      <c r="C322" s="32"/>
      <c r="D322" s="32"/>
      <c r="E322" s="32"/>
      <c r="F322" s="32"/>
      <c r="G322" s="33"/>
      <c r="H322" s="33"/>
      <c r="I322" s="34" t="str">
        <f aca="false">IF($A322="","",$G322-$H322)</f>
        <v/>
      </c>
      <c r="J322" s="35" t="str">
        <f aca="false">IF($A322="","",IF(Setup!$B$6=1,YEAR($A322),YEAR($A322)+IF(MONTH($A322)&gt;=Setup!$B$6,1,0)))</f>
        <v/>
      </c>
      <c r="K322" s="35" t="str">
        <f aca="false">IF($A322="","",MOD(MONTH($A322)-Setup!$B$6+12,12)+1)</f>
        <v/>
      </c>
      <c r="L322" s="36" t="str">
        <f aca="false">IF($A322="","",TEXT($A322,"MMM-YY"))</f>
        <v/>
      </c>
      <c r="M322" s="37" t="str">
        <f aca="false">IF($A322="","",IF($Q322=0,"UNMAPPED",INDEX(COA_Mapping!$C$7:$C$256,$Q322)))</f>
        <v/>
      </c>
      <c r="N322" s="38" t="str">
        <f aca="false">IF($A322="","",IF($Q322=0,"",INDEX(COA_Mapping!$E$7:$E$256,$Q322)))</f>
        <v/>
      </c>
      <c r="O322" s="38" t="n">
        <f aca="false">IF($A322="",1,IF($Q322=0,1,INDEX(COA_Mapping!$F$7:$F$256,$Q322)))</f>
        <v>1</v>
      </c>
      <c r="P322" s="34" t="str">
        <f aca="false">IF($A322="","",$I322*$O322)</f>
        <v/>
      </c>
      <c r="Q322" s="39" t="n">
        <f aca="false">IF($B322="",0,IFERROR(MATCH($B322,COA_Mapping!$A$7:$A$256,0),0))</f>
        <v>0</v>
      </c>
      <c r="R322" s="39" t="n">
        <f aca="false">IF($A322="",-1,IF($J322=Setup!$B$7,1,IF($J322=Setup!$B$9,0,-1)))</f>
        <v>-1</v>
      </c>
      <c r="S322" s="35" t="n">
        <f aca="false">IF(OR($A322="",$Q322=0,$R322=-1),0,$Q322*1000+$R322*100+$K322)</f>
        <v>0</v>
      </c>
      <c r="T322" s="37" t="str">
        <f aca="false">IF($A322="","",IF($B322="","NO ACCOUNT",IF($Q322=0,"UNMAPPED",IF($R322=-1,"OUTSIDE FY RANGE","OK"))))</f>
        <v/>
      </c>
      <c r="U322" s="40" t="str">
        <f aca="false">IF($A322="","",$B322&amp;"|"&amp;TEXT($A322,"yyyymmdd")&amp;"|"&amp;TEXT($I322,"0.00"))</f>
        <v/>
      </c>
      <c r="V322" s="35" t="str">
        <f aca="false">IF($A322="","",COUNTIF($U$8:$U$5007,$U322))</f>
        <v/>
      </c>
    </row>
    <row r="323" customFormat="false" ht="15" hidden="false" customHeight="false" outlineLevel="0" collapsed="false">
      <c r="A323" s="31"/>
      <c r="B323" s="32"/>
      <c r="C323" s="32"/>
      <c r="D323" s="32"/>
      <c r="E323" s="32"/>
      <c r="F323" s="32"/>
      <c r="G323" s="33"/>
      <c r="H323" s="33"/>
      <c r="I323" s="34" t="str">
        <f aca="false">IF($A323="","",$G323-$H323)</f>
        <v/>
      </c>
      <c r="J323" s="35" t="str">
        <f aca="false">IF($A323="","",IF(Setup!$B$6=1,YEAR($A323),YEAR($A323)+IF(MONTH($A323)&gt;=Setup!$B$6,1,0)))</f>
        <v/>
      </c>
      <c r="K323" s="35" t="str">
        <f aca="false">IF($A323="","",MOD(MONTH($A323)-Setup!$B$6+12,12)+1)</f>
        <v/>
      </c>
      <c r="L323" s="36" t="str">
        <f aca="false">IF($A323="","",TEXT($A323,"MMM-YY"))</f>
        <v/>
      </c>
      <c r="M323" s="37" t="str">
        <f aca="false">IF($A323="","",IF($Q323=0,"UNMAPPED",INDEX(COA_Mapping!$C$7:$C$256,$Q323)))</f>
        <v/>
      </c>
      <c r="N323" s="38" t="str">
        <f aca="false">IF($A323="","",IF($Q323=0,"",INDEX(COA_Mapping!$E$7:$E$256,$Q323)))</f>
        <v/>
      </c>
      <c r="O323" s="38" t="n">
        <f aca="false">IF($A323="",1,IF($Q323=0,1,INDEX(COA_Mapping!$F$7:$F$256,$Q323)))</f>
        <v>1</v>
      </c>
      <c r="P323" s="34" t="str">
        <f aca="false">IF($A323="","",$I323*$O323)</f>
        <v/>
      </c>
      <c r="Q323" s="39" t="n">
        <f aca="false">IF($B323="",0,IFERROR(MATCH($B323,COA_Mapping!$A$7:$A$256,0),0))</f>
        <v>0</v>
      </c>
      <c r="R323" s="39" t="n">
        <f aca="false">IF($A323="",-1,IF($J323=Setup!$B$7,1,IF($J323=Setup!$B$9,0,-1)))</f>
        <v>-1</v>
      </c>
      <c r="S323" s="35" t="n">
        <f aca="false">IF(OR($A323="",$Q323=0,$R323=-1),0,$Q323*1000+$R323*100+$K323)</f>
        <v>0</v>
      </c>
      <c r="T323" s="37" t="str">
        <f aca="false">IF($A323="","",IF($B323="","NO ACCOUNT",IF($Q323=0,"UNMAPPED",IF($R323=-1,"OUTSIDE FY RANGE","OK"))))</f>
        <v/>
      </c>
      <c r="U323" s="40" t="str">
        <f aca="false">IF($A323="","",$B323&amp;"|"&amp;TEXT($A323,"yyyymmdd")&amp;"|"&amp;TEXT($I323,"0.00"))</f>
        <v/>
      </c>
      <c r="V323" s="35" t="str">
        <f aca="false">IF($A323="","",COUNTIF($U$8:$U$5007,$U323))</f>
        <v/>
      </c>
    </row>
    <row r="324" customFormat="false" ht="15" hidden="false" customHeight="false" outlineLevel="0" collapsed="false">
      <c r="A324" s="31"/>
      <c r="B324" s="32"/>
      <c r="C324" s="32"/>
      <c r="D324" s="32"/>
      <c r="E324" s="32"/>
      <c r="F324" s="32"/>
      <c r="G324" s="33"/>
      <c r="H324" s="33"/>
      <c r="I324" s="34" t="str">
        <f aca="false">IF($A324="","",$G324-$H324)</f>
        <v/>
      </c>
      <c r="J324" s="35" t="str">
        <f aca="false">IF($A324="","",IF(Setup!$B$6=1,YEAR($A324),YEAR($A324)+IF(MONTH($A324)&gt;=Setup!$B$6,1,0)))</f>
        <v/>
      </c>
      <c r="K324" s="35" t="str">
        <f aca="false">IF($A324="","",MOD(MONTH($A324)-Setup!$B$6+12,12)+1)</f>
        <v/>
      </c>
      <c r="L324" s="36" t="str">
        <f aca="false">IF($A324="","",TEXT($A324,"MMM-YY"))</f>
        <v/>
      </c>
      <c r="M324" s="37" t="str">
        <f aca="false">IF($A324="","",IF($Q324=0,"UNMAPPED",INDEX(COA_Mapping!$C$7:$C$256,$Q324)))</f>
        <v/>
      </c>
      <c r="N324" s="38" t="str">
        <f aca="false">IF($A324="","",IF($Q324=0,"",INDEX(COA_Mapping!$E$7:$E$256,$Q324)))</f>
        <v/>
      </c>
      <c r="O324" s="38" t="n">
        <f aca="false">IF($A324="",1,IF($Q324=0,1,INDEX(COA_Mapping!$F$7:$F$256,$Q324)))</f>
        <v>1</v>
      </c>
      <c r="P324" s="34" t="str">
        <f aca="false">IF($A324="","",$I324*$O324)</f>
        <v/>
      </c>
      <c r="Q324" s="39" t="n">
        <f aca="false">IF($B324="",0,IFERROR(MATCH($B324,COA_Mapping!$A$7:$A$256,0),0))</f>
        <v>0</v>
      </c>
      <c r="R324" s="39" t="n">
        <f aca="false">IF($A324="",-1,IF($J324=Setup!$B$7,1,IF($J324=Setup!$B$9,0,-1)))</f>
        <v>-1</v>
      </c>
      <c r="S324" s="35" t="n">
        <f aca="false">IF(OR($A324="",$Q324=0,$R324=-1),0,$Q324*1000+$R324*100+$K324)</f>
        <v>0</v>
      </c>
      <c r="T324" s="37" t="str">
        <f aca="false">IF($A324="","",IF($B324="","NO ACCOUNT",IF($Q324=0,"UNMAPPED",IF($R324=-1,"OUTSIDE FY RANGE","OK"))))</f>
        <v/>
      </c>
      <c r="U324" s="40" t="str">
        <f aca="false">IF($A324="","",$B324&amp;"|"&amp;TEXT($A324,"yyyymmdd")&amp;"|"&amp;TEXT($I324,"0.00"))</f>
        <v/>
      </c>
      <c r="V324" s="35" t="str">
        <f aca="false">IF($A324="","",COUNTIF($U$8:$U$5007,$U324))</f>
        <v/>
      </c>
    </row>
    <row r="325" customFormat="false" ht="15" hidden="false" customHeight="false" outlineLevel="0" collapsed="false">
      <c r="A325" s="31"/>
      <c r="B325" s="32"/>
      <c r="C325" s="32"/>
      <c r="D325" s="32"/>
      <c r="E325" s="32"/>
      <c r="F325" s="32"/>
      <c r="G325" s="33"/>
      <c r="H325" s="33"/>
      <c r="I325" s="34" t="str">
        <f aca="false">IF($A325="","",$G325-$H325)</f>
        <v/>
      </c>
      <c r="J325" s="35" t="str">
        <f aca="false">IF($A325="","",IF(Setup!$B$6=1,YEAR($A325),YEAR($A325)+IF(MONTH($A325)&gt;=Setup!$B$6,1,0)))</f>
        <v/>
      </c>
      <c r="K325" s="35" t="str">
        <f aca="false">IF($A325="","",MOD(MONTH($A325)-Setup!$B$6+12,12)+1)</f>
        <v/>
      </c>
      <c r="L325" s="36" t="str">
        <f aca="false">IF($A325="","",TEXT($A325,"MMM-YY"))</f>
        <v/>
      </c>
      <c r="M325" s="37" t="str">
        <f aca="false">IF($A325="","",IF($Q325=0,"UNMAPPED",INDEX(COA_Mapping!$C$7:$C$256,$Q325)))</f>
        <v/>
      </c>
      <c r="N325" s="38" t="str">
        <f aca="false">IF($A325="","",IF($Q325=0,"",INDEX(COA_Mapping!$E$7:$E$256,$Q325)))</f>
        <v/>
      </c>
      <c r="O325" s="38" t="n">
        <f aca="false">IF($A325="",1,IF($Q325=0,1,INDEX(COA_Mapping!$F$7:$F$256,$Q325)))</f>
        <v>1</v>
      </c>
      <c r="P325" s="34" t="str">
        <f aca="false">IF($A325="","",$I325*$O325)</f>
        <v/>
      </c>
      <c r="Q325" s="39" t="n">
        <f aca="false">IF($B325="",0,IFERROR(MATCH($B325,COA_Mapping!$A$7:$A$256,0),0))</f>
        <v>0</v>
      </c>
      <c r="R325" s="39" t="n">
        <f aca="false">IF($A325="",-1,IF($J325=Setup!$B$7,1,IF($J325=Setup!$B$9,0,-1)))</f>
        <v>-1</v>
      </c>
      <c r="S325" s="35" t="n">
        <f aca="false">IF(OR($A325="",$Q325=0,$R325=-1),0,$Q325*1000+$R325*100+$K325)</f>
        <v>0</v>
      </c>
      <c r="T325" s="37" t="str">
        <f aca="false">IF($A325="","",IF($B325="","NO ACCOUNT",IF($Q325=0,"UNMAPPED",IF($R325=-1,"OUTSIDE FY RANGE","OK"))))</f>
        <v/>
      </c>
      <c r="U325" s="40" t="str">
        <f aca="false">IF($A325="","",$B325&amp;"|"&amp;TEXT($A325,"yyyymmdd")&amp;"|"&amp;TEXT($I325,"0.00"))</f>
        <v/>
      </c>
      <c r="V325" s="35" t="str">
        <f aca="false">IF($A325="","",COUNTIF($U$8:$U$5007,$U325))</f>
        <v/>
      </c>
    </row>
    <row r="326" customFormat="false" ht="15" hidden="false" customHeight="false" outlineLevel="0" collapsed="false">
      <c r="A326" s="31"/>
      <c r="B326" s="32"/>
      <c r="C326" s="32"/>
      <c r="D326" s="32"/>
      <c r="E326" s="32"/>
      <c r="F326" s="32"/>
      <c r="G326" s="33"/>
      <c r="H326" s="33"/>
      <c r="I326" s="34" t="str">
        <f aca="false">IF($A326="","",$G326-$H326)</f>
        <v/>
      </c>
      <c r="J326" s="35" t="str">
        <f aca="false">IF($A326="","",IF(Setup!$B$6=1,YEAR($A326),YEAR($A326)+IF(MONTH($A326)&gt;=Setup!$B$6,1,0)))</f>
        <v/>
      </c>
      <c r="K326" s="35" t="str">
        <f aca="false">IF($A326="","",MOD(MONTH($A326)-Setup!$B$6+12,12)+1)</f>
        <v/>
      </c>
      <c r="L326" s="36" t="str">
        <f aca="false">IF($A326="","",TEXT($A326,"MMM-YY"))</f>
        <v/>
      </c>
      <c r="M326" s="37" t="str">
        <f aca="false">IF($A326="","",IF($Q326=0,"UNMAPPED",INDEX(COA_Mapping!$C$7:$C$256,$Q326)))</f>
        <v/>
      </c>
      <c r="N326" s="38" t="str">
        <f aca="false">IF($A326="","",IF($Q326=0,"",INDEX(COA_Mapping!$E$7:$E$256,$Q326)))</f>
        <v/>
      </c>
      <c r="O326" s="38" t="n">
        <f aca="false">IF($A326="",1,IF($Q326=0,1,INDEX(COA_Mapping!$F$7:$F$256,$Q326)))</f>
        <v>1</v>
      </c>
      <c r="P326" s="34" t="str">
        <f aca="false">IF($A326="","",$I326*$O326)</f>
        <v/>
      </c>
      <c r="Q326" s="39" t="n">
        <f aca="false">IF($B326="",0,IFERROR(MATCH($B326,COA_Mapping!$A$7:$A$256,0),0))</f>
        <v>0</v>
      </c>
      <c r="R326" s="39" t="n">
        <f aca="false">IF($A326="",-1,IF($J326=Setup!$B$7,1,IF($J326=Setup!$B$9,0,-1)))</f>
        <v>-1</v>
      </c>
      <c r="S326" s="35" t="n">
        <f aca="false">IF(OR($A326="",$Q326=0,$R326=-1),0,$Q326*1000+$R326*100+$K326)</f>
        <v>0</v>
      </c>
      <c r="T326" s="37" t="str">
        <f aca="false">IF($A326="","",IF($B326="","NO ACCOUNT",IF($Q326=0,"UNMAPPED",IF($R326=-1,"OUTSIDE FY RANGE","OK"))))</f>
        <v/>
      </c>
      <c r="U326" s="40" t="str">
        <f aca="false">IF($A326="","",$B326&amp;"|"&amp;TEXT($A326,"yyyymmdd")&amp;"|"&amp;TEXT($I326,"0.00"))</f>
        <v/>
      </c>
      <c r="V326" s="35" t="str">
        <f aca="false">IF($A326="","",COUNTIF($U$8:$U$5007,$U326))</f>
        <v/>
      </c>
    </row>
    <row r="327" customFormat="false" ht="15" hidden="false" customHeight="false" outlineLevel="0" collapsed="false">
      <c r="A327" s="31"/>
      <c r="B327" s="32"/>
      <c r="C327" s="32"/>
      <c r="D327" s="32"/>
      <c r="E327" s="32"/>
      <c r="F327" s="32"/>
      <c r="G327" s="33"/>
      <c r="H327" s="33"/>
      <c r="I327" s="34" t="str">
        <f aca="false">IF($A327="","",$G327-$H327)</f>
        <v/>
      </c>
      <c r="J327" s="35" t="str">
        <f aca="false">IF($A327="","",IF(Setup!$B$6=1,YEAR($A327),YEAR($A327)+IF(MONTH($A327)&gt;=Setup!$B$6,1,0)))</f>
        <v/>
      </c>
      <c r="K327" s="35" t="str">
        <f aca="false">IF($A327="","",MOD(MONTH($A327)-Setup!$B$6+12,12)+1)</f>
        <v/>
      </c>
      <c r="L327" s="36" t="str">
        <f aca="false">IF($A327="","",TEXT($A327,"MMM-YY"))</f>
        <v/>
      </c>
      <c r="M327" s="37" t="str">
        <f aca="false">IF($A327="","",IF($Q327=0,"UNMAPPED",INDEX(COA_Mapping!$C$7:$C$256,$Q327)))</f>
        <v/>
      </c>
      <c r="N327" s="38" t="str">
        <f aca="false">IF($A327="","",IF($Q327=0,"",INDEX(COA_Mapping!$E$7:$E$256,$Q327)))</f>
        <v/>
      </c>
      <c r="O327" s="38" t="n">
        <f aca="false">IF($A327="",1,IF($Q327=0,1,INDEX(COA_Mapping!$F$7:$F$256,$Q327)))</f>
        <v>1</v>
      </c>
      <c r="P327" s="34" t="str">
        <f aca="false">IF($A327="","",$I327*$O327)</f>
        <v/>
      </c>
      <c r="Q327" s="39" t="n">
        <f aca="false">IF($B327="",0,IFERROR(MATCH($B327,COA_Mapping!$A$7:$A$256,0),0))</f>
        <v>0</v>
      </c>
      <c r="R327" s="39" t="n">
        <f aca="false">IF($A327="",-1,IF($J327=Setup!$B$7,1,IF($J327=Setup!$B$9,0,-1)))</f>
        <v>-1</v>
      </c>
      <c r="S327" s="35" t="n">
        <f aca="false">IF(OR($A327="",$Q327=0,$R327=-1),0,$Q327*1000+$R327*100+$K327)</f>
        <v>0</v>
      </c>
      <c r="T327" s="37" t="str">
        <f aca="false">IF($A327="","",IF($B327="","NO ACCOUNT",IF($Q327=0,"UNMAPPED",IF($R327=-1,"OUTSIDE FY RANGE","OK"))))</f>
        <v/>
      </c>
      <c r="U327" s="40" t="str">
        <f aca="false">IF($A327="","",$B327&amp;"|"&amp;TEXT($A327,"yyyymmdd")&amp;"|"&amp;TEXT($I327,"0.00"))</f>
        <v/>
      </c>
      <c r="V327" s="35" t="str">
        <f aca="false">IF($A327="","",COUNTIF($U$8:$U$5007,$U327))</f>
        <v/>
      </c>
    </row>
    <row r="328" customFormat="false" ht="15" hidden="false" customHeight="false" outlineLevel="0" collapsed="false">
      <c r="A328" s="31"/>
      <c r="B328" s="32"/>
      <c r="C328" s="32"/>
      <c r="D328" s="32"/>
      <c r="E328" s="32"/>
      <c r="F328" s="32"/>
      <c r="G328" s="33"/>
      <c r="H328" s="33"/>
      <c r="I328" s="34" t="str">
        <f aca="false">IF($A328="","",$G328-$H328)</f>
        <v/>
      </c>
      <c r="J328" s="35" t="str">
        <f aca="false">IF($A328="","",IF(Setup!$B$6=1,YEAR($A328),YEAR($A328)+IF(MONTH($A328)&gt;=Setup!$B$6,1,0)))</f>
        <v/>
      </c>
      <c r="K328" s="35" t="str">
        <f aca="false">IF($A328="","",MOD(MONTH($A328)-Setup!$B$6+12,12)+1)</f>
        <v/>
      </c>
      <c r="L328" s="36" t="str">
        <f aca="false">IF($A328="","",TEXT($A328,"MMM-YY"))</f>
        <v/>
      </c>
      <c r="M328" s="37" t="str">
        <f aca="false">IF($A328="","",IF($Q328=0,"UNMAPPED",INDEX(COA_Mapping!$C$7:$C$256,$Q328)))</f>
        <v/>
      </c>
      <c r="N328" s="38" t="str">
        <f aca="false">IF($A328="","",IF($Q328=0,"",INDEX(COA_Mapping!$E$7:$E$256,$Q328)))</f>
        <v/>
      </c>
      <c r="O328" s="38" t="n">
        <f aca="false">IF($A328="",1,IF($Q328=0,1,INDEX(COA_Mapping!$F$7:$F$256,$Q328)))</f>
        <v>1</v>
      </c>
      <c r="P328" s="34" t="str">
        <f aca="false">IF($A328="","",$I328*$O328)</f>
        <v/>
      </c>
      <c r="Q328" s="39" t="n">
        <f aca="false">IF($B328="",0,IFERROR(MATCH($B328,COA_Mapping!$A$7:$A$256,0),0))</f>
        <v>0</v>
      </c>
      <c r="R328" s="39" t="n">
        <f aca="false">IF($A328="",-1,IF($J328=Setup!$B$7,1,IF($J328=Setup!$B$9,0,-1)))</f>
        <v>-1</v>
      </c>
      <c r="S328" s="35" t="n">
        <f aca="false">IF(OR($A328="",$Q328=0,$R328=-1),0,$Q328*1000+$R328*100+$K328)</f>
        <v>0</v>
      </c>
      <c r="T328" s="37" t="str">
        <f aca="false">IF($A328="","",IF($B328="","NO ACCOUNT",IF($Q328=0,"UNMAPPED",IF($R328=-1,"OUTSIDE FY RANGE","OK"))))</f>
        <v/>
      </c>
      <c r="U328" s="40" t="str">
        <f aca="false">IF($A328="","",$B328&amp;"|"&amp;TEXT($A328,"yyyymmdd")&amp;"|"&amp;TEXT($I328,"0.00"))</f>
        <v/>
      </c>
      <c r="V328" s="35" t="str">
        <f aca="false">IF($A328="","",COUNTIF($U$8:$U$5007,$U328))</f>
        <v/>
      </c>
    </row>
    <row r="329" customFormat="false" ht="15" hidden="false" customHeight="false" outlineLevel="0" collapsed="false">
      <c r="A329" s="31"/>
      <c r="B329" s="32"/>
      <c r="C329" s="32"/>
      <c r="D329" s="32"/>
      <c r="E329" s="32"/>
      <c r="F329" s="32"/>
      <c r="G329" s="33"/>
      <c r="H329" s="33"/>
      <c r="I329" s="34" t="str">
        <f aca="false">IF($A329="","",$G329-$H329)</f>
        <v/>
      </c>
      <c r="J329" s="35" t="str">
        <f aca="false">IF($A329="","",IF(Setup!$B$6=1,YEAR($A329),YEAR($A329)+IF(MONTH($A329)&gt;=Setup!$B$6,1,0)))</f>
        <v/>
      </c>
      <c r="K329" s="35" t="str">
        <f aca="false">IF($A329="","",MOD(MONTH($A329)-Setup!$B$6+12,12)+1)</f>
        <v/>
      </c>
      <c r="L329" s="36" t="str">
        <f aca="false">IF($A329="","",TEXT($A329,"MMM-YY"))</f>
        <v/>
      </c>
      <c r="M329" s="37" t="str">
        <f aca="false">IF($A329="","",IF($Q329=0,"UNMAPPED",INDEX(COA_Mapping!$C$7:$C$256,$Q329)))</f>
        <v/>
      </c>
      <c r="N329" s="38" t="str">
        <f aca="false">IF($A329="","",IF($Q329=0,"",INDEX(COA_Mapping!$E$7:$E$256,$Q329)))</f>
        <v/>
      </c>
      <c r="O329" s="38" t="n">
        <f aca="false">IF($A329="",1,IF($Q329=0,1,INDEX(COA_Mapping!$F$7:$F$256,$Q329)))</f>
        <v>1</v>
      </c>
      <c r="P329" s="34" t="str">
        <f aca="false">IF($A329="","",$I329*$O329)</f>
        <v/>
      </c>
      <c r="Q329" s="39" t="n">
        <f aca="false">IF($B329="",0,IFERROR(MATCH($B329,COA_Mapping!$A$7:$A$256,0),0))</f>
        <v>0</v>
      </c>
      <c r="R329" s="39" t="n">
        <f aca="false">IF($A329="",-1,IF($J329=Setup!$B$7,1,IF($J329=Setup!$B$9,0,-1)))</f>
        <v>-1</v>
      </c>
      <c r="S329" s="35" t="n">
        <f aca="false">IF(OR($A329="",$Q329=0,$R329=-1),0,$Q329*1000+$R329*100+$K329)</f>
        <v>0</v>
      </c>
      <c r="T329" s="37" t="str">
        <f aca="false">IF($A329="","",IF($B329="","NO ACCOUNT",IF($Q329=0,"UNMAPPED",IF($R329=-1,"OUTSIDE FY RANGE","OK"))))</f>
        <v/>
      </c>
      <c r="U329" s="40" t="str">
        <f aca="false">IF($A329="","",$B329&amp;"|"&amp;TEXT($A329,"yyyymmdd")&amp;"|"&amp;TEXT($I329,"0.00"))</f>
        <v/>
      </c>
      <c r="V329" s="35" t="str">
        <f aca="false">IF($A329="","",COUNTIF($U$8:$U$5007,$U329))</f>
        <v/>
      </c>
    </row>
    <row r="330" customFormat="false" ht="15" hidden="false" customHeight="false" outlineLevel="0" collapsed="false">
      <c r="A330" s="31"/>
      <c r="B330" s="32"/>
      <c r="C330" s="32"/>
      <c r="D330" s="32"/>
      <c r="E330" s="32"/>
      <c r="F330" s="32"/>
      <c r="G330" s="33"/>
      <c r="H330" s="33"/>
      <c r="I330" s="34" t="str">
        <f aca="false">IF($A330="","",$G330-$H330)</f>
        <v/>
      </c>
      <c r="J330" s="35" t="str">
        <f aca="false">IF($A330="","",IF(Setup!$B$6=1,YEAR($A330),YEAR($A330)+IF(MONTH($A330)&gt;=Setup!$B$6,1,0)))</f>
        <v/>
      </c>
      <c r="K330" s="35" t="str">
        <f aca="false">IF($A330="","",MOD(MONTH($A330)-Setup!$B$6+12,12)+1)</f>
        <v/>
      </c>
      <c r="L330" s="36" t="str">
        <f aca="false">IF($A330="","",TEXT($A330,"MMM-YY"))</f>
        <v/>
      </c>
      <c r="M330" s="37" t="str">
        <f aca="false">IF($A330="","",IF($Q330=0,"UNMAPPED",INDEX(COA_Mapping!$C$7:$C$256,$Q330)))</f>
        <v/>
      </c>
      <c r="N330" s="38" t="str">
        <f aca="false">IF($A330="","",IF($Q330=0,"",INDEX(COA_Mapping!$E$7:$E$256,$Q330)))</f>
        <v/>
      </c>
      <c r="O330" s="38" t="n">
        <f aca="false">IF($A330="",1,IF($Q330=0,1,INDEX(COA_Mapping!$F$7:$F$256,$Q330)))</f>
        <v>1</v>
      </c>
      <c r="P330" s="34" t="str">
        <f aca="false">IF($A330="","",$I330*$O330)</f>
        <v/>
      </c>
      <c r="Q330" s="39" t="n">
        <f aca="false">IF($B330="",0,IFERROR(MATCH($B330,COA_Mapping!$A$7:$A$256,0),0))</f>
        <v>0</v>
      </c>
      <c r="R330" s="39" t="n">
        <f aca="false">IF($A330="",-1,IF($J330=Setup!$B$7,1,IF($J330=Setup!$B$9,0,-1)))</f>
        <v>-1</v>
      </c>
      <c r="S330" s="35" t="n">
        <f aca="false">IF(OR($A330="",$Q330=0,$R330=-1),0,$Q330*1000+$R330*100+$K330)</f>
        <v>0</v>
      </c>
      <c r="T330" s="37" t="str">
        <f aca="false">IF($A330="","",IF($B330="","NO ACCOUNT",IF($Q330=0,"UNMAPPED",IF($R330=-1,"OUTSIDE FY RANGE","OK"))))</f>
        <v/>
      </c>
      <c r="U330" s="40" t="str">
        <f aca="false">IF($A330="","",$B330&amp;"|"&amp;TEXT($A330,"yyyymmdd")&amp;"|"&amp;TEXT($I330,"0.00"))</f>
        <v/>
      </c>
      <c r="V330" s="35" t="str">
        <f aca="false">IF($A330="","",COUNTIF($U$8:$U$5007,$U330))</f>
        <v/>
      </c>
    </row>
    <row r="331" customFormat="false" ht="15" hidden="false" customHeight="false" outlineLevel="0" collapsed="false">
      <c r="A331" s="31"/>
      <c r="B331" s="32"/>
      <c r="C331" s="32"/>
      <c r="D331" s="32"/>
      <c r="E331" s="32"/>
      <c r="F331" s="32"/>
      <c r="G331" s="33"/>
      <c r="H331" s="33"/>
      <c r="I331" s="34" t="str">
        <f aca="false">IF($A331="","",$G331-$H331)</f>
        <v/>
      </c>
      <c r="J331" s="35" t="str">
        <f aca="false">IF($A331="","",IF(Setup!$B$6=1,YEAR($A331),YEAR($A331)+IF(MONTH($A331)&gt;=Setup!$B$6,1,0)))</f>
        <v/>
      </c>
      <c r="K331" s="35" t="str">
        <f aca="false">IF($A331="","",MOD(MONTH($A331)-Setup!$B$6+12,12)+1)</f>
        <v/>
      </c>
      <c r="L331" s="36" t="str">
        <f aca="false">IF($A331="","",TEXT($A331,"MMM-YY"))</f>
        <v/>
      </c>
      <c r="M331" s="37" t="str">
        <f aca="false">IF($A331="","",IF($Q331=0,"UNMAPPED",INDEX(COA_Mapping!$C$7:$C$256,$Q331)))</f>
        <v/>
      </c>
      <c r="N331" s="38" t="str">
        <f aca="false">IF($A331="","",IF($Q331=0,"",INDEX(COA_Mapping!$E$7:$E$256,$Q331)))</f>
        <v/>
      </c>
      <c r="O331" s="38" t="n">
        <f aca="false">IF($A331="",1,IF($Q331=0,1,INDEX(COA_Mapping!$F$7:$F$256,$Q331)))</f>
        <v>1</v>
      </c>
      <c r="P331" s="34" t="str">
        <f aca="false">IF($A331="","",$I331*$O331)</f>
        <v/>
      </c>
      <c r="Q331" s="39" t="n">
        <f aca="false">IF($B331="",0,IFERROR(MATCH($B331,COA_Mapping!$A$7:$A$256,0),0))</f>
        <v>0</v>
      </c>
      <c r="R331" s="39" t="n">
        <f aca="false">IF($A331="",-1,IF($J331=Setup!$B$7,1,IF($J331=Setup!$B$9,0,-1)))</f>
        <v>-1</v>
      </c>
      <c r="S331" s="35" t="n">
        <f aca="false">IF(OR($A331="",$Q331=0,$R331=-1),0,$Q331*1000+$R331*100+$K331)</f>
        <v>0</v>
      </c>
      <c r="T331" s="37" t="str">
        <f aca="false">IF($A331="","",IF($B331="","NO ACCOUNT",IF($Q331=0,"UNMAPPED",IF($R331=-1,"OUTSIDE FY RANGE","OK"))))</f>
        <v/>
      </c>
      <c r="U331" s="40" t="str">
        <f aca="false">IF($A331="","",$B331&amp;"|"&amp;TEXT($A331,"yyyymmdd")&amp;"|"&amp;TEXT($I331,"0.00"))</f>
        <v/>
      </c>
      <c r="V331" s="35" t="str">
        <f aca="false">IF($A331="","",COUNTIF($U$8:$U$5007,$U331))</f>
        <v/>
      </c>
    </row>
    <row r="332" customFormat="false" ht="15" hidden="false" customHeight="false" outlineLevel="0" collapsed="false">
      <c r="A332" s="31"/>
      <c r="B332" s="32"/>
      <c r="C332" s="32"/>
      <c r="D332" s="32"/>
      <c r="E332" s="32"/>
      <c r="F332" s="32"/>
      <c r="G332" s="33"/>
      <c r="H332" s="33"/>
      <c r="I332" s="34" t="str">
        <f aca="false">IF($A332="","",$G332-$H332)</f>
        <v/>
      </c>
      <c r="J332" s="35" t="str">
        <f aca="false">IF($A332="","",IF(Setup!$B$6=1,YEAR($A332),YEAR($A332)+IF(MONTH($A332)&gt;=Setup!$B$6,1,0)))</f>
        <v/>
      </c>
      <c r="K332" s="35" t="str">
        <f aca="false">IF($A332="","",MOD(MONTH($A332)-Setup!$B$6+12,12)+1)</f>
        <v/>
      </c>
      <c r="L332" s="36" t="str">
        <f aca="false">IF($A332="","",TEXT($A332,"MMM-YY"))</f>
        <v/>
      </c>
      <c r="M332" s="37" t="str">
        <f aca="false">IF($A332="","",IF($Q332=0,"UNMAPPED",INDEX(COA_Mapping!$C$7:$C$256,$Q332)))</f>
        <v/>
      </c>
      <c r="N332" s="38" t="str">
        <f aca="false">IF($A332="","",IF($Q332=0,"",INDEX(COA_Mapping!$E$7:$E$256,$Q332)))</f>
        <v/>
      </c>
      <c r="O332" s="38" t="n">
        <f aca="false">IF($A332="",1,IF($Q332=0,1,INDEX(COA_Mapping!$F$7:$F$256,$Q332)))</f>
        <v>1</v>
      </c>
      <c r="P332" s="34" t="str">
        <f aca="false">IF($A332="","",$I332*$O332)</f>
        <v/>
      </c>
      <c r="Q332" s="39" t="n">
        <f aca="false">IF($B332="",0,IFERROR(MATCH($B332,COA_Mapping!$A$7:$A$256,0),0))</f>
        <v>0</v>
      </c>
      <c r="R332" s="39" t="n">
        <f aca="false">IF($A332="",-1,IF($J332=Setup!$B$7,1,IF($J332=Setup!$B$9,0,-1)))</f>
        <v>-1</v>
      </c>
      <c r="S332" s="35" t="n">
        <f aca="false">IF(OR($A332="",$Q332=0,$R332=-1),0,$Q332*1000+$R332*100+$K332)</f>
        <v>0</v>
      </c>
      <c r="T332" s="37" t="str">
        <f aca="false">IF($A332="","",IF($B332="","NO ACCOUNT",IF($Q332=0,"UNMAPPED",IF($R332=-1,"OUTSIDE FY RANGE","OK"))))</f>
        <v/>
      </c>
      <c r="U332" s="40" t="str">
        <f aca="false">IF($A332="","",$B332&amp;"|"&amp;TEXT($A332,"yyyymmdd")&amp;"|"&amp;TEXT($I332,"0.00"))</f>
        <v/>
      </c>
      <c r="V332" s="35" t="str">
        <f aca="false">IF($A332="","",COUNTIF($U$8:$U$5007,$U332))</f>
        <v/>
      </c>
    </row>
    <row r="333" customFormat="false" ht="15" hidden="false" customHeight="false" outlineLevel="0" collapsed="false">
      <c r="A333" s="31"/>
      <c r="B333" s="32"/>
      <c r="C333" s="32"/>
      <c r="D333" s="32"/>
      <c r="E333" s="32"/>
      <c r="F333" s="32"/>
      <c r="G333" s="33"/>
      <c r="H333" s="33"/>
      <c r="I333" s="34" t="str">
        <f aca="false">IF($A333="","",$G333-$H333)</f>
        <v/>
      </c>
      <c r="J333" s="35" t="str">
        <f aca="false">IF($A333="","",IF(Setup!$B$6=1,YEAR($A333),YEAR($A333)+IF(MONTH($A333)&gt;=Setup!$B$6,1,0)))</f>
        <v/>
      </c>
      <c r="K333" s="35" t="str">
        <f aca="false">IF($A333="","",MOD(MONTH($A333)-Setup!$B$6+12,12)+1)</f>
        <v/>
      </c>
      <c r="L333" s="36" t="str">
        <f aca="false">IF($A333="","",TEXT($A333,"MMM-YY"))</f>
        <v/>
      </c>
      <c r="M333" s="37" t="str">
        <f aca="false">IF($A333="","",IF($Q333=0,"UNMAPPED",INDEX(COA_Mapping!$C$7:$C$256,$Q333)))</f>
        <v/>
      </c>
      <c r="N333" s="38" t="str">
        <f aca="false">IF($A333="","",IF($Q333=0,"",INDEX(COA_Mapping!$E$7:$E$256,$Q333)))</f>
        <v/>
      </c>
      <c r="O333" s="38" t="n">
        <f aca="false">IF($A333="",1,IF($Q333=0,1,INDEX(COA_Mapping!$F$7:$F$256,$Q333)))</f>
        <v>1</v>
      </c>
      <c r="P333" s="34" t="str">
        <f aca="false">IF($A333="","",$I333*$O333)</f>
        <v/>
      </c>
      <c r="Q333" s="39" t="n">
        <f aca="false">IF($B333="",0,IFERROR(MATCH($B333,COA_Mapping!$A$7:$A$256,0),0))</f>
        <v>0</v>
      </c>
      <c r="R333" s="39" t="n">
        <f aca="false">IF($A333="",-1,IF($J333=Setup!$B$7,1,IF($J333=Setup!$B$9,0,-1)))</f>
        <v>-1</v>
      </c>
      <c r="S333" s="35" t="n">
        <f aca="false">IF(OR($A333="",$Q333=0,$R333=-1),0,$Q333*1000+$R333*100+$K333)</f>
        <v>0</v>
      </c>
      <c r="T333" s="37" t="str">
        <f aca="false">IF($A333="","",IF($B333="","NO ACCOUNT",IF($Q333=0,"UNMAPPED",IF($R333=-1,"OUTSIDE FY RANGE","OK"))))</f>
        <v/>
      </c>
      <c r="U333" s="40" t="str">
        <f aca="false">IF($A333="","",$B333&amp;"|"&amp;TEXT($A333,"yyyymmdd")&amp;"|"&amp;TEXT($I333,"0.00"))</f>
        <v/>
      </c>
      <c r="V333" s="35" t="str">
        <f aca="false">IF($A333="","",COUNTIF($U$8:$U$5007,$U333))</f>
        <v/>
      </c>
    </row>
    <row r="334" customFormat="false" ht="15" hidden="false" customHeight="false" outlineLevel="0" collapsed="false">
      <c r="A334" s="31"/>
      <c r="B334" s="32"/>
      <c r="C334" s="32"/>
      <c r="D334" s="32"/>
      <c r="E334" s="32"/>
      <c r="F334" s="32"/>
      <c r="G334" s="33"/>
      <c r="H334" s="33"/>
      <c r="I334" s="34" t="str">
        <f aca="false">IF($A334="","",$G334-$H334)</f>
        <v/>
      </c>
      <c r="J334" s="35" t="str">
        <f aca="false">IF($A334="","",IF(Setup!$B$6=1,YEAR($A334),YEAR($A334)+IF(MONTH($A334)&gt;=Setup!$B$6,1,0)))</f>
        <v/>
      </c>
      <c r="K334" s="35" t="str">
        <f aca="false">IF($A334="","",MOD(MONTH($A334)-Setup!$B$6+12,12)+1)</f>
        <v/>
      </c>
      <c r="L334" s="36" t="str">
        <f aca="false">IF($A334="","",TEXT($A334,"MMM-YY"))</f>
        <v/>
      </c>
      <c r="M334" s="37" t="str">
        <f aca="false">IF($A334="","",IF($Q334=0,"UNMAPPED",INDEX(COA_Mapping!$C$7:$C$256,$Q334)))</f>
        <v/>
      </c>
      <c r="N334" s="38" t="str">
        <f aca="false">IF($A334="","",IF($Q334=0,"",INDEX(COA_Mapping!$E$7:$E$256,$Q334)))</f>
        <v/>
      </c>
      <c r="O334" s="38" t="n">
        <f aca="false">IF($A334="",1,IF($Q334=0,1,INDEX(COA_Mapping!$F$7:$F$256,$Q334)))</f>
        <v>1</v>
      </c>
      <c r="P334" s="34" t="str">
        <f aca="false">IF($A334="","",$I334*$O334)</f>
        <v/>
      </c>
      <c r="Q334" s="39" t="n">
        <f aca="false">IF($B334="",0,IFERROR(MATCH($B334,COA_Mapping!$A$7:$A$256,0),0))</f>
        <v>0</v>
      </c>
      <c r="R334" s="39" t="n">
        <f aca="false">IF($A334="",-1,IF($J334=Setup!$B$7,1,IF($J334=Setup!$B$9,0,-1)))</f>
        <v>-1</v>
      </c>
      <c r="S334" s="35" t="n">
        <f aca="false">IF(OR($A334="",$Q334=0,$R334=-1),0,$Q334*1000+$R334*100+$K334)</f>
        <v>0</v>
      </c>
      <c r="T334" s="37" t="str">
        <f aca="false">IF($A334="","",IF($B334="","NO ACCOUNT",IF($Q334=0,"UNMAPPED",IF($R334=-1,"OUTSIDE FY RANGE","OK"))))</f>
        <v/>
      </c>
      <c r="U334" s="40" t="str">
        <f aca="false">IF($A334="","",$B334&amp;"|"&amp;TEXT($A334,"yyyymmdd")&amp;"|"&amp;TEXT($I334,"0.00"))</f>
        <v/>
      </c>
      <c r="V334" s="35" t="str">
        <f aca="false">IF($A334="","",COUNTIF($U$8:$U$5007,$U334))</f>
        <v/>
      </c>
    </row>
    <row r="335" customFormat="false" ht="15" hidden="false" customHeight="false" outlineLevel="0" collapsed="false">
      <c r="A335" s="31"/>
      <c r="B335" s="32"/>
      <c r="C335" s="32"/>
      <c r="D335" s="32"/>
      <c r="E335" s="32"/>
      <c r="F335" s="32"/>
      <c r="G335" s="33"/>
      <c r="H335" s="33"/>
      <c r="I335" s="34" t="str">
        <f aca="false">IF($A335="","",$G335-$H335)</f>
        <v/>
      </c>
      <c r="J335" s="35" t="str">
        <f aca="false">IF($A335="","",IF(Setup!$B$6=1,YEAR($A335),YEAR($A335)+IF(MONTH($A335)&gt;=Setup!$B$6,1,0)))</f>
        <v/>
      </c>
      <c r="K335" s="35" t="str">
        <f aca="false">IF($A335="","",MOD(MONTH($A335)-Setup!$B$6+12,12)+1)</f>
        <v/>
      </c>
      <c r="L335" s="36" t="str">
        <f aca="false">IF($A335="","",TEXT($A335,"MMM-YY"))</f>
        <v/>
      </c>
      <c r="M335" s="37" t="str">
        <f aca="false">IF($A335="","",IF($Q335=0,"UNMAPPED",INDEX(COA_Mapping!$C$7:$C$256,$Q335)))</f>
        <v/>
      </c>
      <c r="N335" s="38" t="str">
        <f aca="false">IF($A335="","",IF($Q335=0,"",INDEX(COA_Mapping!$E$7:$E$256,$Q335)))</f>
        <v/>
      </c>
      <c r="O335" s="38" t="n">
        <f aca="false">IF($A335="",1,IF($Q335=0,1,INDEX(COA_Mapping!$F$7:$F$256,$Q335)))</f>
        <v>1</v>
      </c>
      <c r="P335" s="34" t="str">
        <f aca="false">IF($A335="","",$I335*$O335)</f>
        <v/>
      </c>
      <c r="Q335" s="39" t="n">
        <f aca="false">IF($B335="",0,IFERROR(MATCH($B335,COA_Mapping!$A$7:$A$256,0),0))</f>
        <v>0</v>
      </c>
      <c r="R335" s="39" t="n">
        <f aca="false">IF($A335="",-1,IF($J335=Setup!$B$7,1,IF($J335=Setup!$B$9,0,-1)))</f>
        <v>-1</v>
      </c>
      <c r="S335" s="35" t="n">
        <f aca="false">IF(OR($A335="",$Q335=0,$R335=-1),0,$Q335*1000+$R335*100+$K335)</f>
        <v>0</v>
      </c>
      <c r="T335" s="37" t="str">
        <f aca="false">IF($A335="","",IF($B335="","NO ACCOUNT",IF($Q335=0,"UNMAPPED",IF($R335=-1,"OUTSIDE FY RANGE","OK"))))</f>
        <v/>
      </c>
      <c r="U335" s="40" t="str">
        <f aca="false">IF($A335="","",$B335&amp;"|"&amp;TEXT($A335,"yyyymmdd")&amp;"|"&amp;TEXT($I335,"0.00"))</f>
        <v/>
      </c>
      <c r="V335" s="35" t="str">
        <f aca="false">IF($A335="","",COUNTIF($U$8:$U$5007,$U335))</f>
        <v/>
      </c>
    </row>
    <row r="336" customFormat="false" ht="15" hidden="false" customHeight="false" outlineLevel="0" collapsed="false">
      <c r="A336" s="31"/>
      <c r="B336" s="32"/>
      <c r="C336" s="32"/>
      <c r="D336" s="32"/>
      <c r="E336" s="32"/>
      <c r="F336" s="32"/>
      <c r="G336" s="33"/>
      <c r="H336" s="33"/>
      <c r="I336" s="34" t="str">
        <f aca="false">IF($A336="","",$G336-$H336)</f>
        <v/>
      </c>
      <c r="J336" s="35" t="str">
        <f aca="false">IF($A336="","",IF(Setup!$B$6=1,YEAR($A336),YEAR($A336)+IF(MONTH($A336)&gt;=Setup!$B$6,1,0)))</f>
        <v/>
      </c>
      <c r="K336" s="35" t="str">
        <f aca="false">IF($A336="","",MOD(MONTH($A336)-Setup!$B$6+12,12)+1)</f>
        <v/>
      </c>
      <c r="L336" s="36" t="str">
        <f aca="false">IF($A336="","",TEXT($A336,"MMM-YY"))</f>
        <v/>
      </c>
      <c r="M336" s="37" t="str">
        <f aca="false">IF($A336="","",IF($Q336=0,"UNMAPPED",INDEX(COA_Mapping!$C$7:$C$256,$Q336)))</f>
        <v/>
      </c>
      <c r="N336" s="38" t="str">
        <f aca="false">IF($A336="","",IF($Q336=0,"",INDEX(COA_Mapping!$E$7:$E$256,$Q336)))</f>
        <v/>
      </c>
      <c r="O336" s="38" t="n">
        <f aca="false">IF($A336="",1,IF($Q336=0,1,INDEX(COA_Mapping!$F$7:$F$256,$Q336)))</f>
        <v>1</v>
      </c>
      <c r="P336" s="34" t="str">
        <f aca="false">IF($A336="","",$I336*$O336)</f>
        <v/>
      </c>
      <c r="Q336" s="39" t="n">
        <f aca="false">IF($B336="",0,IFERROR(MATCH($B336,COA_Mapping!$A$7:$A$256,0),0))</f>
        <v>0</v>
      </c>
      <c r="R336" s="39" t="n">
        <f aca="false">IF($A336="",-1,IF($J336=Setup!$B$7,1,IF($J336=Setup!$B$9,0,-1)))</f>
        <v>-1</v>
      </c>
      <c r="S336" s="35" t="n">
        <f aca="false">IF(OR($A336="",$Q336=0,$R336=-1),0,$Q336*1000+$R336*100+$K336)</f>
        <v>0</v>
      </c>
      <c r="T336" s="37" t="str">
        <f aca="false">IF($A336="","",IF($B336="","NO ACCOUNT",IF($Q336=0,"UNMAPPED",IF($R336=-1,"OUTSIDE FY RANGE","OK"))))</f>
        <v/>
      </c>
      <c r="U336" s="40" t="str">
        <f aca="false">IF($A336="","",$B336&amp;"|"&amp;TEXT($A336,"yyyymmdd")&amp;"|"&amp;TEXT($I336,"0.00"))</f>
        <v/>
      </c>
      <c r="V336" s="35" t="str">
        <f aca="false">IF($A336="","",COUNTIF($U$8:$U$5007,$U336))</f>
        <v/>
      </c>
    </row>
    <row r="337" customFormat="false" ht="15" hidden="false" customHeight="false" outlineLevel="0" collapsed="false">
      <c r="A337" s="31"/>
      <c r="B337" s="32"/>
      <c r="C337" s="32"/>
      <c r="D337" s="32"/>
      <c r="E337" s="32"/>
      <c r="F337" s="32"/>
      <c r="G337" s="33"/>
      <c r="H337" s="33"/>
      <c r="I337" s="34" t="str">
        <f aca="false">IF($A337="","",$G337-$H337)</f>
        <v/>
      </c>
      <c r="J337" s="35" t="str">
        <f aca="false">IF($A337="","",IF(Setup!$B$6=1,YEAR($A337),YEAR($A337)+IF(MONTH($A337)&gt;=Setup!$B$6,1,0)))</f>
        <v/>
      </c>
      <c r="K337" s="35" t="str">
        <f aca="false">IF($A337="","",MOD(MONTH($A337)-Setup!$B$6+12,12)+1)</f>
        <v/>
      </c>
      <c r="L337" s="36" t="str">
        <f aca="false">IF($A337="","",TEXT($A337,"MMM-YY"))</f>
        <v/>
      </c>
      <c r="M337" s="37" t="str">
        <f aca="false">IF($A337="","",IF($Q337=0,"UNMAPPED",INDEX(COA_Mapping!$C$7:$C$256,$Q337)))</f>
        <v/>
      </c>
      <c r="N337" s="38" t="str">
        <f aca="false">IF($A337="","",IF($Q337=0,"",INDEX(COA_Mapping!$E$7:$E$256,$Q337)))</f>
        <v/>
      </c>
      <c r="O337" s="38" t="n">
        <f aca="false">IF($A337="",1,IF($Q337=0,1,INDEX(COA_Mapping!$F$7:$F$256,$Q337)))</f>
        <v>1</v>
      </c>
      <c r="P337" s="34" t="str">
        <f aca="false">IF($A337="","",$I337*$O337)</f>
        <v/>
      </c>
      <c r="Q337" s="39" t="n">
        <f aca="false">IF($B337="",0,IFERROR(MATCH($B337,COA_Mapping!$A$7:$A$256,0),0))</f>
        <v>0</v>
      </c>
      <c r="R337" s="39" t="n">
        <f aca="false">IF($A337="",-1,IF($J337=Setup!$B$7,1,IF($J337=Setup!$B$9,0,-1)))</f>
        <v>-1</v>
      </c>
      <c r="S337" s="35" t="n">
        <f aca="false">IF(OR($A337="",$Q337=0,$R337=-1),0,$Q337*1000+$R337*100+$K337)</f>
        <v>0</v>
      </c>
      <c r="T337" s="37" t="str">
        <f aca="false">IF($A337="","",IF($B337="","NO ACCOUNT",IF($Q337=0,"UNMAPPED",IF($R337=-1,"OUTSIDE FY RANGE","OK"))))</f>
        <v/>
      </c>
      <c r="U337" s="40" t="str">
        <f aca="false">IF($A337="","",$B337&amp;"|"&amp;TEXT($A337,"yyyymmdd")&amp;"|"&amp;TEXT($I337,"0.00"))</f>
        <v/>
      </c>
      <c r="V337" s="35" t="str">
        <f aca="false">IF($A337="","",COUNTIF($U$8:$U$5007,$U337))</f>
        <v/>
      </c>
    </row>
    <row r="338" customFormat="false" ht="15" hidden="false" customHeight="false" outlineLevel="0" collapsed="false">
      <c r="A338" s="31"/>
      <c r="B338" s="32"/>
      <c r="C338" s="32"/>
      <c r="D338" s="32"/>
      <c r="E338" s="32"/>
      <c r="F338" s="32"/>
      <c r="G338" s="33"/>
      <c r="H338" s="33"/>
      <c r="I338" s="34" t="str">
        <f aca="false">IF($A338="","",$G338-$H338)</f>
        <v/>
      </c>
      <c r="J338" s="35" t="str">
        <f aca="false">IF($A338="","",IF(Setup!$B$6=1,YEAR($A338),YEAR($A338)+IF(MONTH($A338)&gt;=Setup!$B$6,1,0)))</f>
        <v/>
      </c>
      <c r="K338" s="35" t="str">
        <f aca="false">IF($A338="","",MOD(MONTH($A338)-Setup!$B$6+12,12)+1)</f>
        <v/>
      </c>
      <c r="L338" s="36" t="str">
        <f aca="false">IF($A338="","",TEXT($A338,"MMM-YY"))</f>
        <v/>
      </c>
      <c r="M338" s="37" t="str">
        <f aca="false">IF($A338="","",IF($Q338=0,"UNMAPPED",INDEX(COA_Mapping!$C$7:$C$256,$Q338)))</f>
        <v/>
      </c>
      <c r="N338" s="38" t="str">
        <f aca="false">IF($A338="","",IF($Q338=0,"",INDEX(COA_Mapping!$E$7:$E$256,$Q338)))</f>
        <v/>
      </c>
      <c r="O338" s="38" t="n">
        <f aca="false">IF($A338="",1,IF($Q338=0,1,INDEX(COA_Mapping!$F$7:$F$256,$Q338)))</f>
        <v>1</v>
      </c>
      <c r="P338" s="34" t="str">
        <f aca="false">IF($A338="","",$I338*$O338)</f>
        <v/>
      </c>
      <c r="Q338" s="39" t="n">
        <f aca="false">IF($B338="",0,IFERROR(MATCH($B338,COA_Mapping!$A$7:$A$256,0),0))</f>
        <v>0</v>
      </c>
      <c r="R338" s="39" t="n">
        <f aca="false">IF($A338="",-1,IF($J338=Setup!$B$7,1,IF($J338=Setup!$B$9,0,-1)))</f>
        <v>-1</v>
      </c>
      <c r="S338" s="35" t="n">
        <f aca="false">IF(OR($A338="",$Q338=0,$R338=-1),0,$Q338*1000+$R338*100+$K338)</f>
        <v>0</v>
      </c>
      <c r="T338" s="37" t="str">
        <f aca="false">IF($A338="","",IF($B338="","NO ACCOUNT",IF($Q338=0,"UNMAPPED",IF($R338=-1,"OUTSIDE FY RANGE","OK"))))</f>
        <v/>
      </c>
      <c r="U338" s="40" t="str">
        <f aca="false">IF($A338="","",$B338&amp;"|"&amp;TEXT($A338,"yyyymmdd")&amp;"|"&amp;TEXT($I338,"0.00"))</f>
        <v/>
      </c>
      <c r="V338" s="35" t="str">
        <f aca="false">IF($A338="","",COUNTIF($U$8:$U$5007,$U338))</f>
        <v/>
      </c>
    </row>
    <row r="339" customFormat="false" ht="15" hidden="false" customHeight="false" outlineLevel="0" collapsed="false">
      <c r="A339" s="31"/>
      <c r="B339" s="32"/>
      <c r="C339" s="32"/>
      <c r="D339" s="32"/>
      <c r="E339" s="32"/>
      <c r="F339" s="32"/>
      <c r="G339" s="33"/>
      <c r="H339" s="33"/>
      <c r="I339" s="34" t="str">
        <f aca="false">IF($A339="","",$G339-$H339)</f>
        <v/>
      </c>
      <c r="J339" s="35" t="str">
        <f aca="false">IF($A339="","",IF(Setup!$B$6=1,YEAR($A339),YEAR($A339)+IF(MONTH($A339)&gt;=Setup!$B$6,1,0)))</f>
        <v/>
      </c>
      <c r="K339" s="35" t="str">
        <f aca="false">IF($A339="","",MOD(MONTH($A339)-Setup!$B$6+12,12)+1)</f>
        <v/>
      </c>
      <c r="L339" s="36" t="str">
        <f aca="false">IF($A339="","",TEXT($A339,"MMM-YY"))</f>
        <v/>
      </c>
      <c r="M339" s="37" t="str">
        <f aca="false">IF($A339="","",IF($Q339=0,"UNMAPPED",INDEX(COA_Mapping!$C$7:$C$256,$Q339)))</f>
        <v/>
      </c>
      <c r="N339" s="38" t="str">
        <f aca="false">IF($A339="","",IF($Q339=0,"",INDEX(COA_Mapping!$E$7:$E$256,$Q339)))</f>
        <v/>
      </c>
      <c r="O339" s="38" t="n">
        <f aca="false">IF($A339="",1,IF($Q339=0,1,INDEX(COA_Mapping!$F$7:$F$256,$Q339)))</f>
        <v>1</v>
      </c>
      <c r="P339" s="34" t="str">
        <f aca="false">IF($A339="","",$I339*$O339)</f>
        <v/>
      </c>
      <c r="Q339" s="39" t="n">
        <f aca="false">IF($B339="",0,IFERROR(MATCH($B339,COA_Mapping!$A$7:$A$256,0),0))</f>
        <v>0</v>
      </c>
      <c r="R339" s="39" t="n">
        <f aca="false">IF($A339="",-1,IF($J339=Setup!$B$7,1,IF($J339=Setup!$B$9,0,-1)))</f>
        <v>-1</v>
      </c>
      <c r="S339" s="35" t="n">
        <f aca="false">IF(OR($A339="",$Q339=0,$R339=-1),0,$Q339*1000+$R339*100+$K339)</f>
        <v>0</v>
      </c>
      <c r="T339" s="37" t="str">
        <f aca="false">IF($A339="","",IF($B339="","NO ACCOUNT",IF($Q339=0,"UNMAPPED",IF($R339=-1,"OUTSIDE FY RANGE","OK"))))</f>
        <v/>
      </c>
      <c r="U339" s="40" t="str">
        <f aca="false">IF($A339="","",$B339&amp;"|"&amp;TEXT($A339,"yyyymmdd")&amp;"|"&amp;TEXT($I339,"0.00"))</f>
        <v/>
      </c>
      <c r="V339" s="35" t="str">
        <f aca="false">IF($A339="","",COUNTIF($U$8:$U$5007,$U339))</f>
        <v/>
      </c>
    </row>
    <row r="340" customFormat="false" ht="15" hidden="false" customHeight="false" outlineLevel="0" collapsed="false">
      <c r="A340" s="31"/>
      <c r="B340" s="32"/>
      <c r="C340" s="32"/>
      <c r="D340" s="32"/>
      <c r="E340" s="32"/>
      <c r="F340" s="32"/>
      <c r="G340" s="33"/>
      <c r="H340" s="33"/>
      <c r="I340" s="34" t="str">
        <f aca="false">IF($A340="","",$G340-$H340)</f>
        <v/>
      </c>
      <c r="J340" s="35" t="str">
        <f aca="false">IF($A340="","",IF(Setup!$B$6=1,YEAR($A340),YEAR($A340)+IF(MONTH($A340)&gt;=Setup!$B$6,1,0)))</f>
        <v/>
      </c>
      <c r="K340" s="35" t="str">
        <f aca="false">IF($A340="","",MOD(MONTH($A340)-Setup!$B$6+12,12)+1)</f>
        <v/>
      </c>
      <c r="L340" s="36" t="str">
        <f aca="false">IF($A340="","",TEXT($A340,"MMM-YY"))</f>
        <v/>
      </c>
      <c r="M340" s="37" t="str">
        <f aca="false">IF($A340="","",IF($Q340=0,"UNMAPPED",INDEX(COA_Mapping!$C$7:$C$256,$Q340)))</f>
        <v/>
      </c>
      <c r="N340" s="38" t="str">
        <f aca="false">IF($A340="","",IF($Q340=0,"",INDEX(COA_Mapping!$E$7:$E$256,$Q340)))</f>
        <v/>
      </c>
      <c r="O340" s="38" t="n">
        <f aca="false">IF($A340="",1,IF($Q340=0,1,INDEX(COA_Mapping!$F$7:$F$256,$Q340)))</f>
        <v>1</v>
      </c>
      <c r="P340" s="34" t="str">
        <f aca="false">IF($A340="","",$I340*$O340)</f>
        <v/>
      </c>
      <c r="Q340" s="39" t="n">
        <f aca="false">IF($B340="",0,IFERROR(MATCH($B340,COA_Mapping!$A$7:$A$256,0),0))</f>
        <v>0</v>
      </c>
      <c r="R340" s="39" t="n">
        <f aca="false">IF($A340="",-1,IF($J340=Setup!$B$7,1,IF($J340=Setup!$B$9,0,-1)))</f>
        <v>-1</v>
      </c>
      <c r="S340" s="35" t="n">
        <f aca="false">IF(OR($A340="",$Q340=0,$R340=-1),0,$Q340*1000+$R340*100+$K340)</f>
        <v>0</v>
      </c>
      <c r="T340" s="37" t="str">
        <f aca="false">IF($A340="","",IF($B340="","NO ACCOUNT",IF($Q340=0,"UNMAPPED",IF($R340=-1,"OUTSIDE FY RANGE","OK"))))</f>
        <v/>
      </c>
      <c r="U340" s="40" t="str">
        <f aca="false">IF($A340="","",$B340&amp;"|"&amp;TEXT($A340,"yyyymmdd")&amp;"|"&amp;TEXT($I340,"0.00"))</f>
        <v/>
      </c>
      <c r="V340" s="35" t="str">
        <f aca="false">IF($A340="","",COUNTIF($U$8:$U$5007,$U340))</f>
        <v/>
      </c>
    </row>
    <row r="341" customFormat="false" ht="15" hidden="false" customHeight="false" outlineLevel="0" collapsed="false">
      <c r="A341" s="31"/>
      <c r="B341" s="32"/>
      <c r="C341" s="32"/>
      <c r="D341" s="32"/>
      <c r="E341" s="32"/>
      <c r="F341" s="32"/>
      <c r="G341" s="33"/>
      <c r="H341" s="33"/>
      <c r="I341" s="34" t="str">
        <f aca="false">IF($A341="","",$G341-$H341)</f>
        <v/>
      </c>
      <c r="J341" s="35" t="str">
        <f aca="false">IF($A341="","",IF(Setup!$B$6=1,YEAR($A341),YEAR($A341)+IF(MONTH($A341)&gt;=Setup!$B$6,1,0)))</f>
        <v/>
      </c>
      <c r="K341" s="35" t="str">
        <f aca="false">IF($A341="","",MOD(MONTH($A341)-Setup!$B$6+12,12)+1)</f>
        <v/>
      </c>
      <c r="L341" s="36" t="str">
        <f aca="false">IF($A341="","",TEXT($A341,"MMM-YY"))</f>
        <v/>
      </c>
      <c r="M341" s="37" t="str">
        <f aca="false">IF($A341="","",IF($Q341=0,"UNMAPPED",INDEX(COA_Mapping!$C$7:$C$256,$Q341)))</f>
        <v/>
      </c>
      <c r="N341" s="38" t="str">
        <f aca="false">IF($A341="","",IF($Q341=0,"",INDEX(COA_Mapping!$E$7:$E$256,$Q341)))</f>
        <v/>
      </c>
      <c r="O341" s="38" t="n">
        <f aca="false">IF($A341="",1,IF($Q341=0,1,INDEX(COA_Mapping!$F$7:$F$256,$Q341)))</f>
        <v>1</v>
      </c>
      <c r="P341" s="34" t="str">
        <f aca="false">IF($A341="","",$I341*$O341)</f>
        <v/>
      </c>
      <c r="Q341" s="39" t="n">
        <f aca="false">IF($B341="",0,IFERROR(MATCH($B341,COA_Mapping!$A$7:$A$256,0),0))</f>
        <v>0</v>
      </c>
      <c r="R341" s="39" t="n">
        <f aca="false">IF($A341="",-1,IF($J341=Setup!$B$7,1,IF($J341=Setup!$B$9,0,-1)))</f>
        <v>-1</v>
      </c>
      <c r="S341" s="35" t="n">
        <f aca="false">IF(OR($A341="",$Q341=0,$R341=-1),0,$Q341*1000+$R341*100+$K341)</f>
        <v>0</v>
      </c>
      <c r="T341" s="37" t="str">
        <f aca="false">IF($A341="","",IF($B341="","NO ACCOUNT",IF($Q341=0,"UNMAPPED",IF($R341=-1,"OUTSIDE FY RANGE","OK"))))</f>
        <v/>
      </c>
      <c r="U341" s="40" t="str">
        <f aca="false">IF($A341="","",$B341&amp;"|"&amp;TEXT($A341,"yyyymmdd")&amp;"|"&amp;TEXT($I341,"0.00"))</f>
        <v/>
      </c>
      <c r="V341" s="35" t="str">
        <f aca="false">IF($A341="","",COUNTIF($U$8:$U$5007,$U341))</f>
        <v/>
      </c>
    </row>
    <row r="342" customFormat="false" ht="15" hidden="false" customHeight="false" outlineLevel="0" collapsed="false">
      <c r="A342" s="31"/>
      <c r="B342" s="32"/>
      <c r="C342" s="32"/>
      <c r="D342" s="32"/>
      <c r="E342" s="32"/>
      <c r="F342" s="32"/>
      <c r="G342" s="33"/>
      <c r="H342" s="33"/>
      <c r="I342" s="34" t="str">
        <f aca="false">IF($A342="","",$G342-$H342)</f>
        <v/>
      </c>
      <c r="J342" s="35" t="str">
        <f aca="false">IF($A342="","",IF(Setup!$B$6=1,YEAR($A342),YEAR($A342)+IF(MONTH($A342)&gt;=Setup!$B$6,1,0)))</f>
        <v/>
      </c>
      <c r="K342" s="35" t="str">
        <f aca="false">IF($A342="","",MOD(MONTH($A342)-Setup!$B$6+12,12)+1)</f>
        <v/>
      </c>
      <c r="L342" s="36" t="str">
        <f aca="false">IF($A342="","",TEXT($A342,"MMM-YY"))</f>
        <v/>
      </c>
      <c r="M342" s="37" t="str">
        <f aca="false">IF($A342="","",IF($Q342=0,"UNMAPPED",INDEX(COA_Mapping!$C$7:$C$256,$Q342)))</f>
        <v/>
      </c>
      <c r="N342" s="38" t="str">
        <f aca="false">IF($A342="","",IF($Q342=0,"",INDEX(COA_Mapping!$E$7:$E$256,$Q342)))</f>
        <v/>
      </c>
      <c r="O342" s="38" t="n">
        <f aca="false">IF($A342="",1,IF($Q342=0,1,INDEX(COA_Mapping!$F$7:$F$256,$Q342)))</f>
        <v>1</v>
      </c>
      <c r="P342" s="34" t="str">
        <f aca="false">IF($A342="","",$I342*$O342)</f>
        <v/>
      </c>
      <c r="Q342" s="39" t="n">
        <f aca="false">IF($B342="",0,IFERROR(MATCH($B342,COA_Mapping!$A$7:$A$256,0),0))</f>
        <v>0</v>
      </c>
      <c r="R342" s="39" t="n">
        <f aca="false">IF($A342="",-1,IF($J342=Setup!$B$7,1,IF($J342=Setup!$B$9,0,-1)))</f>
        <v>-1</v>
      </c>
      <c r="S342" s="35" t="n">
        <f aca="false">IF(OR($A342="",$Q342=0,$R342=-1),0,$Q342*1000+$R342*100+$K342)</f>
        <v>0</v>
      </c>
      <c r="T342" s="37" t="str">
        <f aca="false">IF($A342="","",IF($B342="","NO ACCOUNT",IF($Q342=0,"UNMAPPED",IF($R342=-1,"OUTSIDE FY RANGE","OK"))))</f>
        <v/>
      </c>
      <c r="U342" s="40" t="str">
        <f aca="false">IF($A342="","",$B342&amp;"|"&amp;TEXT($A342,"yyyymmdd")&amp;"|"&amp;TEXT($I342,"0.00"))</f>
        <v/>
      </c>
      <c r="V342" s="35" t="str">
        <f aca="false">IF($A342="","",COUNTIF($U$8:$U$5007,$U342))</f>
        <v/>
      </c>
    </row>
    <row r="343" customFormat="false" ht="15" hidden="false" customHeight="false" outlineLevel="0" collapsed="false">
      <c r="A343" s="31"/>
      <c r="B343" s="32"/>
      <c r="C343" s="32"/>
      <c r="D343" s="32"/>
      <c r="E343" s="32"/>
      <c r="F343" s="32"/>
      <c r="G343" s="33"/>
      <c r="H343" s="33"/>
      <c r="I343" s="34" t="str">
        <f aca="false">IF($A343="","",$G343-$H343)</f>
        <v/>
      </c>
      <c r="J343" s="35" t="str">
        <f aca="false">IF($A343="","",IF(Setup!$B$6=1,YEAR($A343),YEAR($A343)+IF(MONTH($A343)&gt;=Setup!$B$6,1,0)))</f>
        <v/>
      </c>
      <c r="K343" s="35" t="str">
        <f aca="false">IF($A343="","",MOD(MONTH($A343)-Setup!$B$6+12,12)+1)</f>
        <v/>
      </c>
      <c r="L343" s="36" t="str">
        <f aca="false">IF($A343="","",TEXT($A343,"MMM-YY"))</f>
        <v/>
      </c>
      <c r="M343" s="37" t="str">
        <f aca="false">IF($A343="","",IF($Q343=0,"UNMAPPED",INDEX(COA_Mapping!$C$7:$C$256,$Q343)))</f>
        <v/>
      </c>
      <c r="N343" s="38" t="str">
        <f aca="false">IF($A343="","",IF($Q343=0,"",INDEX(COA_Mapping!$E$7:$E$256,$Q343)))</f>
        <v/>
      </c>
      <c r="O343" s="38" t="n">
        <f aca="false">IF($A343="",1,IF($Q343=0,1,INDEX(COA_Mapping!$F$7:$F$256,$Q343)))</f>
        <v>1</v>
      </c>
      <c r="P343" s="34" t="str">
        <f aca="false">IF($A343="","",$I343*$O343)</f>
        <v/>
      </c>
      <c r="Q343" s="39" t="n">
        <f aca="false">IF($B343="",0,IFERROR(MATCH($B343,COA_Mapping!$A$7:$A$256,0),0))</f>
        <v>0</v>
      </c>
      <c r="R343" s="39" t="n">
        <f aca="false">IF($A343="",-1,IF($J343=Setup!$B$7,1,IF($J343=Setup!$B$9,0,-1)))</f>
        <v>-1</v>
      </c>
      <c r="S343" s="35" t="n">
        <f aca="false">IF(OR($A343="",$Q343=0,$R343=-1),0,$Q343*1000+$R343*100+$K343)</f>
        <v>0</v>
      </c>
      <c r="T343" s="37" t="str">
        <f aca="false">IF($A343="","",IF($B343="","NO ACCOUNT",IF($Q343=0,"UNMAPPED",IF($R343=-1,"OUTSIDE FY RANGE","OK"))))</f>
        <v/>
      </c>
      <c r="U343" s="40" t="str">
        <f aca="false">IF($A343="","",$B343&amp;"|"&amp;TEXT($A343,"yyyymmdd")&amp;"|"&amp;TEXT($I343,"0.00"))</f>
        <v/>
      </c>
      <c r="V343" s="35" t="str">
        <f aca="false">IF($A343="","",COUNTIF($U$8:$U$5007,$U343))</f>
        <v/>
      </c>
    </row>
    <row r="344" customFormat="false" ht="15" hidden="false" customHeight="false" outlineLevel="0" collapsed="false">
      <c r="A344" s="31"/>
      <c r="B344" s="32"/>
      <c r="C344" s="32"/>
      <c r="D344" s="32"/>
      <c r="E344" s="32"/>
      <c r="F344" s="32"/>
      <c r="G344" s="33"/>
      <c r="H344" s="33"/>
      <c r="I344" s="34" t="str">
        <f aca="false">IF($A344="","",$G344-$H344)</f>
        <v/>
      </c>
      <c r="J344" s="35" t="str">
        <f aca="false">IF($A344="","",IF(Setup!$B$6=1,YEAR($A344),YEAR($A344)+IF(MONTH($A344)&gt;=Setup!$B$6,1,0)))</f>
        <v/>
      </c>
      <c r="K344" s="35" t="str">
        <f aca="false">IF($A344="","",MOD(MONTH($A344)-Setup!$B$6+12,12)+1)</f>
        <v/>
      </c>
      <c r="L344" s="36" t="str">
        <f aca="false">IF($A344="","",TEXT($A344,"MMM-YY"))</f>
        <v/>
      </c>
      <c r="M344" s="37" t="str">
        <f aca="false">IF($A344="","",IF($Q344=0,"UNMAPPED",INDEX(COA_Mapping!$C$7:$C$256,$Q344)))</f>
        <v/>
      </c>
      <c r="N344" s="38" t="str">
        <f aca="false">IF($A344="","",IF($Q344=0,"",INDEX(COA_Mapping!$E$7:$E$256,$Q344)))</f>
        <v/>
      </c>
      <c r="O344" s="38" t="n">
        <f aca="false">IF($A344="",1,IF($Q344=0,1,INDEX(COA_Mapping!$F$7:$F$256,$Q344)))</f>
        <v>1</v>
      </c>
      <c r="P344" s="34" t="str">
        <f aca="false">IF($A344="","",$I344*$O344)</f>
        <v/>
      </c>
      <c r="Q344" s="39" t="n">
        <f aca="false">IF($B344="",0,IFERROR(MATCH($B344,COA_Mapping!$A$7:$A$256,0),0))</f>
        <v>0</v>
      </c>
      <c r="R344" s="39" t="n">
        <f aca="false">IF($A344="",-1,IF($J344=Setup!$B$7,1,IF($J344=Setup!$B$9,0,-1)))</f>
        <v>-1</v>
      </c>
      <c r="S344" s="35" t="n">
        <f aca="false">IF(OR($A344="",$Q344=0,$R344=-1),0,$Q344*1000+$R344*100+$K344)</f>
        <v>0</v>
      </c>
      <c r="T344" s="37" t="str">
        <f aca="false">IF($A344="","",IF($B344="","NO ACCOUNT",IF($Q344=0,"UNMAPPED",IF($R344=-1,"OUTSIDE FY RANGE","OK"))))</f>
        <v/>
      </c>
      <c r="U344" s="40" t="str">
        <f aca="false">IF($A344="","",$B344&amp;"|"&amp;TEXT($A344,"yyyymmdd")&amp;"|"&amp;TEXT($I344,"0.00"))</f>
        <v/>
      </c>
      <c r="V344" s="35" t="str">
        <f aca="false">IF($A344="","",COUNTIF($U$8:$U$5007,$U344))</f>
        <v/>
      </c>
    </row>
    <row r="345" customFormat="false" ht="15" hidden="false" customHeight="false" outlineLevel="0" collapsed="false">
      <c r="A345" s="31"/>
      <c r="B345" s="32"/>
      <c r="C345" s="32"/>
      <c r="D345" s="32"/>
      <c r="E345" s="32"/>
      <c r="F345" s="32"/>
      <c r="G345" s="33"/>
      <c r="H345" s="33"/>
      <c r="I345" s="34" t="str">
        <f aca="false">IF($A345="","",$G345-$H345)</f>
        <v/>
      </c>
      <c r="J345" s="35" t="str">
        <f aca="false">IF($A345="","",IF(Setup!$B$6=1,YEAR($A345),YEAR($A345)+IF(MONTH($A345)&gt;=Setup!$B$6,1,0)))</f>
        <v/>
      </c>
      <c r="K345" s="35" t="str">
        <f aca="false">IF($A345="","",MOD(MONTH($A345)-Setup!$B$6+12,12)+1)</f>
        <v/>
      </c>
      <c r="L345" s="36" t="str">
        <f aca="false">IF($A345="","",TEXT($A345,"MMM-YY"))</f>
        <v/>
      </c>
      <c r="M345" s="37" t="str">
        <f aca="false">IF($A345="","",IF($Q345=0,"UNMAPPED",INDEX(COA_Mapping!$C$7:$C$256,$Q345)))</f>
        <v/>
      </c>
      <c r="N345" s="38" t="str">
        <f aca="false">IF($A345="","",IF($Q345=0,"",INDEX(COA_Mapping!$E$7:$E$256,$Q345)))</f>
        <v/>
      </c>
      <c r="O345" s="38" t="n">
        <f aca="false">IF($A345="",1,IF($Q345=0,1,INDEX(COA_Mapping!$F$7:$F$256,$Q345)))</f>
        <v>1</v>
      </c>
      <c r="P345" s="34" t="str">
        <f aca="false">IF($A345="","",$I345*$O345)</f>
        <v/>
      </c>
      <c r="Q345" s="39" t="n">
        <f aca="false">IF($B345="",0,IFERROR(MATCH($B345,COA_Mapping!$A$7:$A$256,0),0))</f>
        <v>0</v>
      </c>
      <c r="R345" s="39" t="n">
        <f aca="false">IF($A345="",-1,IF($J345=Setup!$B$7,1,IF($J345=Setup!$B$9,0,-1)))</f>
        <v>-1</v>
      </c>
      <c r="S345" s="35" t="n">
        <f aca="false">IF(OR($A345="",$Q345=0,$R345=-1),0,$Q345*1000+$R345*100+$K345)</f>
        <v>0</v>
      </c>
      <c r="T345" s="37" t="str">
        <f aca="false">IF($A345="","",IF($B345="","NO ACCOUNT",IF($Q345=0,"UNMAPPED",IF($R345=-1,"OUTSIDE FY RANGE","OK"))))</f>
        <v/>
      </c>
      <c r="U345" s="40" t="str">
        <f aca="false">IF($A345="","",$B345&amp;"|"&amp;TEXT($A345,"yyyymmdd")&amp;"|"&amp;TEXT($I345,"0.00"))</f>
        <v/>
      </c>
      <c r="V345" s="35" t="str">
        <f aca="false">IF($A345="","",COUNTIF($U$8:$U$5007,$U345))</f>
        <v/>
      </c>
    </row>
    <row r="346" customFormat="false" ht="15" hidden="false" customHeight="false" outlineLevel="0" collapsed="false">
      <c r="A346" s="31"/>
      <c r="B346" s="32"/>
      <c r="C346" s="32"/>
      <c r="D346" s="32"/>
      <c r="E346" s="32"/>
      <c r="F346" s="32"/>
      <c r="G346" s="33"/>
      <c r="H346" s="33"/>
      <c r="I346" s="34" t="str">
        <f aca="false">IF($A346="","",$G346-$H346)</f>
        <v/>
      </c>
      <c r="J346" s="35" t="str">
        <f aca="false">IF($A346="","",IF(Setup!$B$6=1,YEAR($A346),YEAR($A346)+IF(MONTH($A346)&gt;=Setup!$B$6,1,0)))</f>
        <v/>
      </c>
      <c r="K346" s="35" t="str">
        <f aca="false">IF($A346="","",MOD(MONTH($A346)-Setup!$B$6+12,12)+1)</f>
        <v/>
      </c>
      <c r="L346" s="36" t="str">
        <f aca="false">IF($A346="","",TEXT($A346,"MMM-YY"))</f>
        <v/>
      </c>
      <c r="M346" s="37" t="str">
        <f aca="false">IF($A346="","",IF($Q346=0,"UNMAPPED",INDEX(COA_Mapping!$C$7:$C$256,$Q346)))</f>
        <v/>
      </c>
      <c r="N346" s="38" t="str">
        <f aca="false">IF($A346="","",IF($Q346=0,"",INDEX(COA_Mapping!$E$7:$E$256,$Q346)))</f>
        <v/>
      </c>
      <c r="O346" s="38" t="n">
        <f aca="false">IF($A346="",1,IF($Q346=0,1,INDEX(COA_Mapping!$F$7:$F$256,$Q346)))</f>
        <v>1</v>
      </c>
      <c r="P346" s="34" t="str">
        <f aca="false">IF($A346="","",$I346*$O346)</f>
        <v/>
      </c>
      <c r="Q346" s="39" t="n">
        <f aca="false">IF($B346="",0,IFERROR(MATCH($B346,COA_Mapping!$A$7:$A$256,0),0))</f>
        <v>0</v>
      </c>
      <c r="R346" s="39" t="n">
        <f aca="false">IF($A346="",-1,IF($J346=Setup!$B$7,1,IF($J346=Setup!$B$9,0,-1)))</f>
        <v>-1</v>
      </c>
      <c r="S346" s="35" t="n">
        <f aca="false">IF(OR($A346="",$Q346=0,$R346=-1),0,$Q346*1000+$R346*100+$K346)</f>
        <v>0</v>
      </c>
      <c r="T346" s="37" t="str">
        <f aca="false">IF($A346="","",IF($B346="","NO ACCOUNT",IF($Q346=0,"UNMAPPED",IF($R346=-1,"OUTSIDE FY RANGE","OK"))))</f>
        <v/>
      </c>
      <c r="U346" s="40" t="str">
        <f aca="false">IF($A346="","",$B346&amp;"|"&amp;TEXT($A346,"yyyymmdd")&amp;"|"&amp;TEXT($I346,"0.00"))</f>
        <v/>
      </c>
      <c r="V346" s="35" t="str">
        <f aca="false">IF($A346="","",COUNTIF($U$8:$U$5007,$U346))</f>
        <v/>
      </c>
    </row>
    <row r="347" customFormat="false" ht="15" hidden="false" customHeight="false" outlineLevel="0" collapsed="false">
      <c r="A347" s="31"/>
      <c r="B347" s="32"/>
      <c r="C347" s="32"/>
      <c r="D347" s="32"/>
      <c r="E347" s="32"/>
      <c r="F347" s="32"/>
      <c r="G347" s="33"/>
      <c r="H347" s="33"/>
      <c r="I347" s="34" t="str">
        <f aca="false">IF($A347="","",$G347-$H347)</f>
        <v/>
      </c>
      <c r="J347" s="35" t="str">
        <f aca="false">IF($A347="","",IF(Setup!$B$6=1,YEAR($A347),YEAR($A347)+IF(MONTH($A347)&gt;=Setup!$B$6,1,0)))</f>
        <v/>
      </c>
      <c r="K347" s="35" t="str">
        <f aca="false">IF($A347="","",MOD(MONTH($A347)-Setup!$B$6+12,12)+1)</f>
        <v/>
      </c>
      <c r="L347" s="36" t="str">
        <f aca="false">IF($A347="","",TEXT($A347,"MMM-YY"))</f>
        <v/>
      </c>
      <c r="M347" s="37" t="str">
        <f aca="false">IF($A347="","",IF($Q347=0,"UNMAPPED",INDEX(COA_Mapping!$C$7:$C$256,$Q347)))</f>
        <v/>
      </c>
      <c r="N347" s="38" t="str">
        <f aca="false">IF($A347="","",IF($Q347=0,"",INDEX(COA_Mapping!$E$7:$E$256,$Q347)))</f>
        <v/>
      </c>
      <c r="O347" s="38" t="n">
        <f aca="false">IF($A347="",1,IF($Q347=0,1,INDEX(COA_Mapping!$F$7:$F$256,$Q347)))</f>
        <v>1</v>
      </c>
      <c r="P347" s="34" t="str">
        <f aca="false">IF($A347="","",$I347*$O347)</f>
        <v/>
      </c>
      <c r="Q347" s="39" t="n">
        <f aca="false">IF($B347="",0,IFERROR(MATCH($B347,COA_Mapping!$A$7:$A$256,0),0))</f>
        <v>0</v>
      </c>
      <c r="R347" s="39" t="n">
        <f aca="false">IF($A347="",-1,IF($J347=Setup!$B$7,1,IF($J347=Setup!$B$9,0,-1)))</f>
        <v>-1</v>
      </c>
      <c r="S347" s="35" t="n">
        <f aca="false">IF(OR($A347="",$Q347=0,$R347=-1),0,$Q347*1000+$R347*100+$K347)</f>
        <v>0</v>
      </c>
      <c r="T347" s="37" t="str">
        <f aca="false">IF($A347="","",IF($B347="","NO ACCOUNT",IF($Q347=0,"UNMAPPED",IF($R347=-1,"OUTSIDE FY RANGE","OK"))))</f>
        <v/>
      </c>
      <c r="U347" s="40" t="str">
        <f aca="false">IF($A347="","",$B347&amp;"|"&amp;TEXT($A347,"yyyymmdd")&amp;"|"&amp;TEXT($I347,"0.00"))</f>
        <v/>
      </c>
      <c r="V347" s="35" t="str">
        <f aca="false">IF($A347="","",COUNTIF($U$8:$U$5007,$U347))</f>
        <v/>
      </c>
    </row>
    <row r="348" customFormat="false" ht="15" hidden="false" customHeight="false" outlineLevel="0" collapsed="false">
      <c r="A348" s="31"/>
      <c r="B348" s="32"/>
      <c r="C348" s="32"/>
      <c r="D348" s="32"/>
      <c r="E348" s="32"/>
      <c r="F348" s="32"/>
      <c r="G348" s="33"/>
      <c r="H348" s="33"/>
      <c r="I348" s="34" t="str">
        <f aca="false">IF($A348="","",$G348-$H348)</f>
        <v/>
      </c>
      <c r="J348" s="35" t="str">
        <f aca="false">IF($A348="","",IF(Setup!$B$6=1,YEAR($A348),YEAR($A348)+IF(MONTH($A348)&gt;=Setup!$B$6,1,0)))</f>
        <v/>
      </c>
      <c r="K348" s="35" t="str">
        <f aca="false">IF($A348="","",MOD(MONTH($A348)-Setup!$B$6+12,12)+1)</f>
        <v/>
      </c>
      <c r="L348" s="36" t="str">
        <f aca="false">IF($A348="","",TEXT($A348,"MMM-YY"))</f>
        <v/>
      </c>
      <c r="M348" s="37" t="str">
        <f aca="false">IF($A348="","",IF($Q348=0,"UNMAPPED",INDEX(COA_Mapping!$C$7:$C$256,$Q348)))</f>
        <v/>
      </c>
      <c r="N348" s="38" t="str">
        <f aca="false">IF($A348="","",IF($Q348=0,"",INDEX(COA_Mapping!$E$7:$E$256,$Q348)))</f>
        <v/>
      </c>
      <c r="O348" s="38" t="n">
        <f aca="false">IF($A348="",1,IF($Q348=0,1,INDEX(COA_Mapping!$F$7:$F$256,$Q348)))</f>
        <v>1</v>
      </c>
      <c r="P348" s="34" t="str">
        <f aca="false">IF($A348="","",$I348*$O348)</f>
        <v/>
      </c>
      <c r="Q348" s="39" t="n">
        <f aca="false">IF($B348="",0,IFERROR(MATCH($B348,COA_Mapping!$A$7:$A$256,0),0))</f>
        <v>0</v>
      </c>
      <c r="R348" s="39" t="n">
        <f aca="false">IF($A348="",-1,IF($J348=Setup!$B$7,1,IF($J348=Setup!$B$9,0,-1)))</f>
        <v>-1</v>
      </c>
      <c r="S348" s="35" t="n">
        <f aca="false">IF(OR($A348="",$Q348=0,$R348=-1),0,$Q348*1000+$R348*100+$K348)</f>
        <v>0</v>
      </c>
      <c r="T348" s="37" t="str">
        <f aca="false">IF($A348="","",IF($B348="","NO ACCOUNT",IF($Q348=0,"UNMAPPED",IF($R348=-1,"OUTSIDE FY RANGE","OK"))))</f>
        <v/>
      </c>
      <c r="U348" s="40" t="str">
        <f aca="false">IF($A348="","",$B348&amp;"|"&amp;TEXT($A348,"yyyymmdd")&amp;"|"&amp;TEXT($I348,"0.00"))</f>
        <v/>
      </c>
      <c r="V348" s="35" t="str">
        <f aca="false">IF($A348="","",COUNTIF($U$8:$U$5007,$U348))</f>
        <v/>
      </c>
    </row>
    <row r="349" customFormat="false" ht="15" hidden="false" customHeight="false" outlineLevel="0" collapsed="false">
      <c r="A349" s="31"/>
      <c r="B349" s="32"/>
      <c r="C349" s="32"/>
      <c r="D349" s="32"/>
      <c r="E349" s="32"/>
      <c r="F349" s="32"/>
      <c r="G349" s="33"/>
      <c r="H349" s="33"/>
      <c r="I349" s="34" t="str">
        <f aca="false">IF($A349="","",$G349-$H349)</f>
        <v/>
      </c>
      <c r="J349" s="35" t="str">
        <f aca="false">IF($A349="","",IF(Setup!$B$6=1,YEAR($A349),YEAR($A349)+IF(MONTH($A349)&gt;=Setup!$B$6,1,0)))</f>
        <v/>
      </c>
      <c r="K349" s="35" t="str">
        <f aca="false">IF($A349="","",MOD(MONTH($A349)-Setup!$B$6+12,12)+1)</f>
        <v/>
      </c>
      <c r="L349" s="36" t="str">
        <f aca="false">IF($A349="","",TEXT($A349,"MMM-YY"))</f>
        <v/>
      </c>
      <c r="M349" s="37" t="str">
        <f aca="false">IF($A349="","",IF($Q349=0,"UNMAPPED",INDEX(COA_Mapping!$C$7:$C$256,$Q349)))</f>
        <v/>
      </c>
      <c r="N349" s="38" t="str">
        <f aca="false">IF($A349="","",IF($Q349=0,"",INDEX(COA_Mapping!$E$7:$E$256,$Q349)))</f>
        <v/>
      </c>
      <c r="O349" s="38" t="n">
        <f aca="false">IF($A349="",1,IF($Q349=0,1,INDEX(COA_Mapping!$F$7:$F$256,$Q349)))</f>
        <v>1</v>
      </c>
      <c r="P349" s="34" t="str">
        <f aca="false">IF($A349="","",$I349*$O349)</f>
        <v/>
      </c>
      <c r="Q349" s="39" t="n">
        <f aca="false">IF($B349="",0,IFERROR(MATCH($B349,COA_Mapping!$A$7:$A$256,0),0))</f>
        <v>0</v>
      </c>
      <c r="R349" s="39" t="n">
        <f aca="false">IF($A349="",-1,IF($J349=Setup!$B$7,1,IF($J349=Setup!$B$9,0,-1)))</f>
        <v>-1</v>
      </c>
      <c r="S349" s="35" t="n">
        <f aca="false">IF(OR($A349="",$Q349=0,$R349=-1),0,$Q349*1000+$R349*100+$K349)</f>
        <v>0</v>
      </c>
      <c r="T349" s="37" t="str">
        <f aca="false">IF($A349="","",IF($B349="","NO ACCOUNT",IF($Q349=0,"UNMAPPED",IF($R349=-1,"OUTSIDE FY RANGE","OK"))))</f>
        <v/>
      </c>
      <c r="U349" s="40" t="str">
        <f aca="false">IF($A349="","",$B349&amp;"|"&amp;TEXT($A349,"yyyymmdd")&amp;"|"&amp;TEXT($I349,"0.00"))</f>
        <v/>
      </c>
      <c r="V349" s="35" t="str">
        <f aca="false">IF($A349="","",COUNTIF($U$8:$U$5007,$U349))</f>
        <v/>
      </c>
    </row>
    <row r="350" customFormat="false" ht="15" hidden="false" customHeight="false" outlineLevel="0" collapsed="false">
      <c r="A350" s="31"/>
      <c r="B350" s="32"/>
      <c r="C350" s="32"/>
      <c r="D350" s="32"/>
      <c r="E350" s="32"/>
      <c r="F350" s="32"/>
      <c r="G350" s="33"/>
      <c r="H350" s="33"/>
      <c r="I350" s="34" t="str">
        <f aca="false">IF($A350="","",$G350-$H350)</f>
        <v/>
      </c>
      <c r="J350" s="35" t="str">
        <f aca="false">IF($A350="","",IF(Setup!$B$6=1,YEAR($A350),YEAR($A350)+IF(MONTH($A350)&gt;=Setup!$B$6,1,0)))</f>
        <v/>
      </c>
      <c r="K350" s="35" t="str">
        <f aca="false">IF($A350="","",MOD(MONTH($A350)-Setup!$B$6+12,12)+1)</f>
        <v/>
      </c>
      <c r="L350" s="36" t="str">
        <f aca="false">IF($A350="","",TEXT($A350,"MMM-YY"))</f>
        <v/>
      </c>
      <c r="M350" s="37" t="str">
        <f aca="false">IF($A350="","",IF($Q350=0,"UNMAPPED",INDEX(COA_Mapping!$C$7:$C$256,$Q350)))</f>
        <v/>
      </c>
      <c r="N350" s="38" t="str">
        <f aca="false">IF($A350="","",IF($Q350=0,"",INDEX(COA_Mapping!$E$7:$E$256,$Q350)))</f>
        <v/>
      </c>
      <c r="O350" s="38" t="n">
        <f aca="false">IF($A350="",1,IF($Q350=0,1,INDEX(COA_Mapping!$F$7:$F$256,$Q350)))</f>
        <v>1</v>
      </c>
      <c r="P350" s="34" t="str">
        <f aca="false">IF($A350="","",$I350*$O350)</f>
        <v/>
      </c>
      <c r="Q350" s="39" t="n">
        <f aca="false">IF($B350="",0,IFERROR(MATCH($B350,COA_Mapping!$A$7:$A$256,0),0))</f>
        <v>0</v>
      </c>
      <c r="R350" s="39" t="n">
        <f aca="false">IF($A350="",-1,IF($J350=Setup!$B$7,1,IF($J350=Setup!$B$9,0,-1)))</f>
        <v>-1</v>
      </c>
      <c r="S350" s="35" t="n">
        <f aca="false">IF(OR($A350="",$Q350=0,$R350=-1),0,$Q350*1000+$R350*100+$K350)</f>
        <v>0</v>
      </c>
      <c r="T350" s="37" t="str">
        <f aca="false">IF($A350="","",IF($B350="","NO ACCOUNT",IF($Q350=0,"UNMAPPED",IF($R350=-1,"OUTSIDE FY RANGE","OK"))))</f>
        <v/>
      </c>
      <c r="U350" s="40" t="str">
        <f aca="false">IF($A350="","",$B350&amp;"|"&amp;TEXT($A350,"yyyymmdd")&amp;"|"&amp;TEXT($I350,"0.00"))</f>
        <v/>
      </c>
      <c r="V350" s="35" t="str">
        <f aca="false">IF($A350="","",COUNTIF($U$8:$U$5007,$U350))</f>
        <v/>
      </c>
    </row>
    <row r="351" customFormat="false" ht="15" hidden="false" customHeight="false" outlineLevel="0" collapsed="false">
      <c r="A351" s="31"/>
      <c r="B351" s="32"/>
      <c r="C351" s="32"/>
      <c r="D351" s="32"/>
      <c r="E351" s="32"/>
      <c r="F351" s="32"/>
      <c r="G351" s="33"/>
      <c r="H351" s="33"/>
      <c r="I351" s="34" t="str">
        <f aca="false">IF($A351="","",$G351-$H351)</f>
        <v/>
      </c>
      <c r="J351" s="35" t="str">
        <f aca="false">IF($A351="","",IF(Setup!$B$6=1,YEAR($A351),YEAR($A351)+IF(MONTH($A351)&gt;=Setup!$B$6,1,0)))</f>
        <v/>
      </c>
      <c r="K351" s="35" t="str">
        <f aca="false">IF($A351="","",MOD(MONTH($A351)-Setup!$B$6+12,12)+1)</f>
        <v/>
      </c>
      <c r="L351" s="36" t="str">
        <f aca="false">IF($A351="","",TEXT($A351,"MMM-YY"))</f>
        <v/>
      </c>
      <c r="M351" s="37" t="str">
        <f aca="false">IF($A351="","",IF($Q351=0,"UNMAPPED",INDEX(COA_Mapping!$C$7:$C$256,$Q351)))</f>
        <v/>
      </c>
      <c r="N351" s="38" t="str">
        <f aca="false">IF($A351="","",IF($Q351=0,"",INDEX(COA_Mapping!$E$7:$E$256,$Q351)))</f>
        <v/>
      </c>
      <c r="O351" s="38" t="n">
        <f aca="false">IF($A351="",1,IF($Q351=0,1,INDEX(COA_Mapping!$F$7:$F$256,$Q351)))</f>
        <v>1</v>
      </c>
      <c r="P351" s="34" t="str">
        <f aca="false">IF($A351="","",$I351*$O351)</f>
        <v/>
      </c>
      <c r="Q351" s="39" t="n">
        <f aca="false">IF($B351="",0,IFERROR(MATCH($B351,COA_Mapping!$A$7:$A$256,0),0))</f>
        <v>0</v>
      </c>
      <c r="R351" s="39" t="n">
        <f aca="false">IF($A351="",-1,IF($J351=Setup!$B$7,1,IF($J351=Setup!$B$9,0,-1)))</f>
        <v>-1</v>
      </c>
      <c r="S351" s="35" t="n">
        <f aca="false">IF(OR($A351="",$Q351=0,$R351=-1),0,$Q351*1000+$R351*100+$K351)</f>
        <v>0</v>
      </c>
      <c r="T351" s="37" t="str">
        <f aca="false">IF($A351="","",IF($B351="","NO ACCOUNT",IF($Q351=0,"UNMAPPED",IF($R351=-1,"OUTSIDE FY RANGE","OK"))))</f>
        <v/>
      </c>
      <c r="U351" s="40" t="str">
        <f aca="false">IF($A351="","",$B351&amp;"|"&amp;TEXT($A351,"yyyymmdd")&amp;"|"&amp;TEXT($I351,"0.00"))</f>
        <v/>
      </c>
      <c r="V351" s="35" t="str">
        <f aca="false">IF($A351="","",COUNTIF($U$8:$U$5007,$U351))</f>
        <v/>
      </c>
    </row>
    <row r="352" customFormat="false" ht="15" hidden="false" customHeight="false" outlineLevel="0" collapsed="false">
      <c r="A352" s="31"/>
      <c r="B352" s="32"/>
      <c r="C352" s="32"/>
      <c r="D352" s="32"/>
      <c r="E352" s="32"/>
      <c r="F352" s="32"/>
      <c r="G352" s="33"/>
      <c r="H352" s="33"/>
      <c r="I352" s="34" t="str">
        <f aca="false">IF($A352="","",$G352-$H352)</f>
        <v/>
      </c>
      <c r="J352" s="35" t="str">
        <f aca="false">IF($A352="","",IF(Setup!$B$6=1,YEAR($A352),YEAR($A352)+IF(MONTH($A352)&gt;=Setup!$B$6,1,0)))</f>
        <v/>
      </c>
      <c r="K352" s="35" t="str">
        <f aca="false">IF($A352="","",MOD(MONTH($A352)-Setup!$B$6+12,12)+1)</f>
        <v/>
      </c>
      <c r="L352" s="36" t="str">
        <f aca="false">IF($A352="","",TEXT($A352,"MMM-YY"))</f>
        <v/>
      </c>
      <c r="M352" s="37" t="str">
        <f aca="false">IF($A352="","",IF($Q352=0,"UNMAPPED",INDEX(COA_Mapping!$C$7:$C$256,$Q352)))</f>
        <v/>
      </c>
      <c r="N352" s="38" t="str">
        <f aca="false">IF($A352="","",IF($Q352=0,"",INDEX(COA_Mapping!$E$7:$E$256,$Q352)))</f>
        <v/>
      </c>
      <c r="O352" s="38" t="n">
        <f aca="false">IF($A352="",1,IF($Q352=0,1,INDEX(COA_Mapping!$F$7:$F$256,$Q352)))</f>
        <v>1</v>
      </c>
      <c r="P352" s="34" t="str">
        <f aca="false">IF($A352="","",$I352*$O352)</f>
        <v/>
      </c>
      <c r="Q352" s="39" t="n">
        <f aca="false">IF($B352="",0,IFERROR(MATCH($B352,COA_Mapping!$A$7:$A$256,0),0))</f>
        <v>0</v>
      </c>
      <c r="R352" s="39" t="n">
        <f aca="false">IF($A352="",-1,IF($J352=Setup!$B$7,1,IF($J352=Setup!$B$9,0,-1)))</f>
        <v>-1</v>
      </c>
      <c r="S352" s="35" t="n">
        <f aca="false">IF(OR($A352="",$Q352=0,$R352=-1),0,$Q352*1000+$R352*100+$K352)</f>
        <v>0</v>
      </c>
      <c r="T352" s="37" t="str">
        <f aca="false">IF($A352="","",IF($B352="","NO ACCOUNT",IF($Q352=0,"UNMAPPED",IF($R352=-1,"OUTSIDE FY RANGE","OK"))))</f>
        <v/>
      </c>
      <c r="U352" s="40" t="str">
        <f aca="false">IF($A352="","",$B352&amp;"|"&amp;TEXT($A352,"yyyymmdd")&amp;"|"&amp;TEXT($I352,"0.00"))</f>
        <v/>
      </c>
      <c r="V352" s="35" t="str">
        <f aca="false">IF($A352="","",COUNTIF($U$8:$U$5007,$U352))</f>
        <v/>
      </c>
    </row>
    <row r="353" customFormat="false" ht="15" hidden="false" customHeight="false" outlineLevel="0" collapsed="false">
      <c r="A353" s="31"/>
      <c r="B353" s="32"/>
      <c r="C353" s="32"/>
      <c r="D353" s="32"/>
      <c r="E353" s="32"/>
      <c r="F353" s="32"/>
      <c r="G353" s="33"/>
      <c r="H353" s="33"/>
      <c r="I353" s="34" t="str">
        <f aca="false">IF($A353="","",$G353-$H353)</f>
        <v/>
      </c>
      <c r="J353" s="35" t="str">
        <f aca="false">IF($A353="","",IF(Setup!$B$6=1,YEAR($A353),YEAR($A353)+IF(MONTH($A353)&gt;=Setup!$B$6,1,0)))</f>
        <v/>
      </c>
      <c r="K353" s="35" t="str">
        <f aca="false">IF($A353="","",MOD(MONTH($A353)-Setup!$B$6+12,12)+1)</f>
        <v/>
      </c>
      <c r="L353" s="36" t="str">
        <f aca="false">IF($A353="","",TEXT($A353,"MMM-YY"))</f>
        <v/>
      </c>
      <c r="M353" s="37" t="str">
        <f aca="false">IF($A353="","",IF($Q353=0,"UNMAPPED",INDEX(COA_Mapping!$C$7:$C$256,$Q353)))</f>
        <v/>
      </c>
      <c r="N353" s="38" t="str">
        <f aca="false">IF($A353="","",IF($Q353=0,"",INDEX(COA_Mapping!$E$7:$E$256,$Q353)))</f>
        <v/>
      </c>
      <c r="O353" s="38" t="n">
        <f aca="false">IF($A353="",1,IF($Q353=0,1,INDEX(COA_Mapping!$F$7:$F$256,$Q353)))</f>
        <v>1</v>
      </c>
      <c r="P353" s="34" t="str">
        <f aca="false">IF($A353="","",$I353*$O353)</f>
        <v/>
      </c>
      <c r="Q353" s="39" t="n">
        <f aca="false">IF($B353="",0,IFERROR(MATCH($B353,COA_Mapping!$A$7:$A$256,0),0))</f>
        <v>0</v>
      </c>
      <c r="R353" s="39" t="n">
        <f aca="false">IF($A353="",-1,IF($J353=Setup!$B$7,1,IF($J353=Setup!$B$9,0,-1)))</f>
        <v>-1</v>
      </c>
      <c r="S353" s="35" t="n">
        <f aca="false">IF(OR($A353="",$Q353=0,$R353=-1),0,$Q353*1000+$R353*100+$K353)</f>
        <v>0</v>
      </c>
      <c r="T353" s="37" t="str">
        <f aca="false">IF($A353="","",IF($B353="","NO ACCOUNT",IF($Q353=0,"UNMAPPED",IF($R353=-1,"OUTSIDE FY RANGE","OK"))))</f>
        <v/>
      </c>
      <c r="U353" s="40" t="str">
        <f aca="false">IF($A353="","",$B353&amp;"|"&amp;TEXT($A353,"yyyymmdd")&amp;"|"&amp;TEXT($I353,"0.00"))</f>
        <v/>
      </c>
      <c r="V353" s="35" t="str">
        <f aca="false">IF($A353="","",COUNTIF($U$8:$U$5007,$U353))</f>
        <v/>
      </c>
    </row>
    <row r="354" customFormat="false" ht="15" hidden="false" customHeight="false" outlineLevel="0" collapsed="false">
      <c r="A354" s="31"/>
      <c r="B354" s="32"/>
      <c r="C354" s="32"/>
      <c r="D354" s="32"/>
      <c r="E354" s="32"/>
      <c r="F354" s="32"/>
      <c r="G354" s="33"/>
      <c r="H354" s="33"/>
      <c r="I354" s="34" t="str">
        <f aca="false">IF($A354="","",$G354-$H354)</f>
        <v/>
      </c>
      <c r="J354" s="35" t="str">
        <f aca="false">IF($A354="","",IF(Setup!$B$6=1,YEAR($A354),YEAR($A354)+IF(MONTH($A354)&gt;=Setup!$B$6,1,0)))</f>
        <v/>
      </c>
      <c r="K354" s="35" t="str">
        <f aca="false">IF($A354="","",MOD(MONTH($A354)-Setup!$B$6+12,12)+1)</f>
        <v/>
      </c>
      <c r="L354" s="36" t="str">
        <f aca="false">IF($A354="","",TEXT($A354,"MMM-YY"))</f>
        <v/>
      </c>
      <c r="M354" s="37" t="str">
        <f aca="false">IF($A354="","",IF($Q354=0,"UNMAPPED",INDEX(COA_Mapping!$C$7:$C$256,$Q354)))</f>
        <v/>
      </c>
      <c r="N354" s="38" t="str">
        <f aca="false">IF($A354="","",IF($Q354=0,"",INDEX(COA_Mapping!$E$7:$E$256,$Q354)))</f>
        <v/>
      </c>
      <c r="O354" s="38" t="n">
        <f aca="false">IF($A354="",1,IF($Q354=0,1,INDEX(COA_Mapping!$F$7:$F$256,$Q354)))</f>
        <v>1</v>
      </c>
      <c r="P354" s="34" t="str">
        <f aca="false">IF($A354="","",$I354*$O354)</f>
        <v/>
      </c>
      <c r="Q354" s="39" t="n">
        <f aca="false">IF($B354="",0,IFERROR(MATCH($B354,COA_Mapping!$A$7:$A$256,0),0))</f>
        <v>0</v>
      </c>
      <c r="R354" s="39" t="n">
        <f aca="false">IF($A354="",-1,IF($J354=Setup!$B$7,1,IF($J354=Setup!$B$9,0,-1)))</f>
        <v>-1</v>
      </c>
      <c r="S354" s="35" t="n">
        <f aca="false">IF(OR($A354="",$Q354=0,$R354=-1),0,$Q354*1000+$R354*100+$K354)</f>
        <v>0</v>
      </c>
      <c r="T354" s="37" t="str">
        <f aca="false">IF($A354="","",IF($B354="","NO ACCOUNT",IF($Q354=0,"UNMAPPED",IF($R354=-1,"OUTSIDE FY RANGE","OK"))))</f>
        <v/>
      </c>
      <c r="U354" s="40" t="str">
        <f aca="false">IF($A354="","",$B354&amp;"|"&amp;TEXT($A354,"yyyymmdd")&amp;"|"&amp;TEXT($I354,"0.00"))</f>
        <v/>
      </c>
      <c r="V354" s="35" t="str">
        <f aca="false">IF($A354="","",COUNTIF($U$8:$U$5007,$U354))</f>
        <v/>
      </c>
    </row>
    <row r="355" customFormat="false" ht="15" hidden="false" customHeight="false" outlineLevel="0" collapsed="false">
      <c r="A355" s="31"/>
      <c r="B355" s="32"/>
      <c r="C355" s="32"/>
      <c r="D355" s="32"/>
      <c r="E355" s="32"/>
      <c r="F355" s="32"/>
      <c r="G355" s="33"/>
      <c r="H355" s="33"/>
      <c r="I355" s="34" t="str">
        <f aca="false">IF($A355="","",$G355-$H355)</f>
        <v/>
      </c>
      <c r="J355" s="35" t="str">
        <f aca="false">IF($A355="","",IF(Setup!$B$6=1,YEAR($A355),YEAR($A355)+IF(MONTH($A355)&gt;=Setup!$B$6,1,0)))</f>
        <v/>
      </c>
      <c r="K355" s="35" t="str">
        <f aca="false">IF($A355="","",MOD(MONTH($A355)-Setup!$B$6+12,12)+1)</f>
        <v/>
      </c>
      <c r="L355" s="36" t="str">
        <f aca="false">IF($A355="","",TEXT($A355,"MMM-YY"))</f>
        <v/>
      </c>
      <c r="M355" s="37" t="str">
        <f aca="false">IF($A355="","",IF($Q355=0,"UNMAPPED",INDEX(COA_Mapping!$C$7:$C$256,$Q355)))</f>
        <v/>
      </c>
      <c r="N355" s="38" t="str">
        <f aca="false">IF($A355="","",IF($Q355=0,"",INDEX(COA_Mapping!$E$7:$E$256,$Q355)))</f>
        <v/>
      </c>
      <c r="O355" s="38" t="n">
        <f aca="false">IF($A355="",1,IF($Q355=0,1,INDEX(COA_Mapping!$F$7:$F$256,$Q355)))</f>
        <v>1</v>
      </c>
      <c r="P355" s="34" t="str">
        <f aca="false">IF($A355="","",$I355*$O355)</f>
        <v/>
      </c>
      <c r="Q355" s="39" t="n">
        <f aca="false">IF($B355="",0,IFERROR(MATCH($B355,COA_Mapping!$A$7:$A$256,0),0))</f>
        <v>0</v>
      </c>
      <c r="R355" s="39" t="n">
        <f aca="false">IF($A355="",-1,IF($J355=Setup!$B$7,1,IF($J355=Setup!$B$9,0,-1)))</f>
        <v>-1</v>
      </c>
      <c r="S355" s="35" t="n">
        <f aca="false">IF(OR($A355="",$Q355=0,$R355=-1),0,$Q355*1000+$R355*100+$K355)</f>
        <v>0</v>
      </c>
      <c r="T355" s="37" t="str">
        <f aca="false">IF($A355="","",IF($B355="","NO ACCOUNT",IF($Q355=0,"UNMAPPED",IF($R355=-1,"OUTSIDE FY RANGE","OK"))))</f>
        <v/>
      </c>
      <c r="U355" s="40" t="str">
        <f aca="false">IF($A355="","",$B355&amp;"|"&amp;TEXT($A355,"yyyymmdd")&amp;"|"&amp;TEXT($I355,"0.00"))</f>
        <v/>
      </c>
      <c r="V355" s="35" t="str">
        <f aca="false">IF($A355="","",COUNTIF($U$8:$U$5007,$U355))</f>
        <v/>
      </c>
    </row>
    <row r="356" customFormat="false" ht="15" hidden="false" customHeight="false" outlineLevel="0" collapsed="false">
      <c r="A356" s="31"/>
      <c r="B356" s="32"/>
      <c r="C356" s="32"/>
      <c r="D356" s="32"/>
      <c r="E356" s="32"/>
      <c r="F356" s="32"/>
      <c r="G356" s="33"/>
      <c r="H356" s="33"/>
      <c r="I356" s="34" t="str">
        <f aca="false">IF($A356="","",$G356-$H356)</f>
        <v/>
      </c>
      <c r="J356" s="35" t="str">
        <f aca="false">IF($A356="","",IF(Setup!$B$6=1,YEAR($A356),YEAR($A356)+IF(MONTH($A356)&gt;=Setup!$B$6,1,0)))</f>
        <v/>
      </c>
      <c r="K356" s="35" t="str">
        <f aca="false">IF($A356="","",MOD(MONTH($A356)-Setup!$B$6+12,12)+1)</f>
        <v/>
      </c>
      <c r="L356" s="36" t="str">
        <f aca="false">IF($A356="","",TEXT($A356,"MMM-YY"))</f>
        <v/>
      </c>
      <c r="M356" s="37" t="str">
        <f aca="false">IF($A356="","",IF($Q356=0,"UNMAPPED",INDEX(COA_Mapping!$C$7:$C$256,$Q356)))</f>
        <v/>
      </c>
      <c r="N356" s="38" t="str">
        <f aca="false">IF($A356="","",IF($Q356=0,"",INDEX(COA_Mapping!$E$7:$E$256,$Q356)))</f>
        <v/>
      </c>
      <c r="O356" s="38" t="n">
        <f aca="false">IF($A356="",1,IF($Q356=0,1,INDEX(COA_Mapping!$F$7:$F$256,$Q356)))</f>
        <v>1</v>
      </c>
      <c r="P356" s="34" t="str">
        <f aca="false">IF($A356="","",$I356*$O356)</f>
        <v/>
      </c>
      <c r="Q356" s="39" t="n">
        <f aca="false">IF($B356="",0,IFERROR(MATCH($B356,COA_Mapping!$A$7:$A$256,0),0))</f>
        <v>0</v>
      </c>
      <c r="R356" s="39" t="n">
        <f aca="false">IF($A356="",-1,IF($J356=Setup!$B$7,1,IF($J356=Setup!$B$9,0,-1)))</f>
        <v>-1</v>
      </c>
      <c r="S356" s="35" t="n">
        <f aca="false">IF(OR($A356="",$Q356=0,$R356=-1),0,$Q356*1000+$R356*100+$K356)</f>
        <v>0</v>
      </c>
      <c r="T356" s="37" t="str">
        <f aca="false">IF($A356="","",IF($B356="","NO ACCOUNT",IF($Q356=0,"UNMAPPED",IF($R356=-1,"OUTSIDE FY RANGE","OK"))))</f>
        <v/>
      </c>
      <c r="U356" s="40" t="str">
        <f aca="false">IF($A356="","",$B356&amp;"|"&amp;TEXT($A356,"yyyymmdd")&amp;"|"&amp;TEXT($I356,"0.00"))</f>
        <v/>
      </c>
      <c r="V356" s="35" t="str">
        <f aca="false">IF($A356="","",COUNTIF($U$8:$U$5007,$U356))</f>
        <v/>
      </c>
    </row>
    <row r="357" customFormat="false" ht="15" hidden="false" customHeight="false" outlineLevel="0" collapsed="false">
      <c r="A357" s="31"/>
      <c r="B357" s="32"/>
      <c r="C357" s="32"/>
      <c r="D357" s="32"/>
      <c r="E357" s="32"/>
      <c r="F357" s="32"/>
      <c r="G357" s="33"/>
      <c r="H357" s="33"/>
      <c r="I357" s="34" t="str">
        <f aca="false">IF($A357="","",$G357-$H357)</f>
        <v/>
      </c>
      <c r="J357" s="35" t="str">
        <f aca="false">IF($A357="","",IF(Setup!$B$6=1,YEAR($A357),YEAR($A357)+IF(MONTH($A357)&gt;=Setup!$B$6,1,0)))</f>
        <v/>
      </c>
      <c r="K357" s="35" t="str">
        <f aca="false">IF($A357="","",MOD(MONTH($A357)-Setup!$B$6+12,12)+1)</f>
        <v/>
      </c>
      <c r="L357" s="36" t="str">
        <f aca="false">IF($A357="","",TEXT($A357,"MMM-YY"))</f>
        <v/>
      </c>
      <c r="M357" s="37" t="str">
        <f aca="false">IF($A357="","",IF($Q357=0,"UNMAPPED",INDEX(COA_Mapping!$C$7:$C$256,$Q357)))</f>
        <v/>
      </c>
      <c r="N357" s="38" t="str">
        <f aca="false">IF($A357="","",IF($Q357=0,"",INDEX(COA_Mapping!$E$7:$E$256,$Q357)))</f>
        <v/>
      </c>
      <c r="O357" s="38" t="n">
        <f aca="false">IF($A357="",1,IF($Q357=0,1,INDEX(COA_Mapping!$F$7:$F$256,$Q357)))</f>
        <v>1</v>
      </c>
      <c r="P357" s="34" t="str">
        <f aca="false">IF($A357="","",$I357*$O357)</f>
        <v/>
      </c>
      <c r="Q357" s="39" t="n">
        <f aca="false">IF($B357="",0,IFERROR(MATCH($B357,COA_Mapping!$A$7:$A$256,0),0))</f>
        <v>0</v>
      </c>
      <c r="R357" s="39" t="n">
        <f aca="false">IF($A357="",-1,IF($J357=Setup!$B$7,1,IF($J357=Setup!$B$9,0,-1)))</f>
        <v>-1</v>
      </c>
      <c r="S357" s="35" t="n">
        <f aca="false">IF(OR($A357="",$Q357=0,$R357=-1),0,$Q357*1000+$R357*100+$K357)</f>
        <v>0</v>
      </c>
      <c r="T357" s="37" t="str">
        <f aca="false">IF($A357="","",IF($B357="","NO ACCOUNT",IF($Q357=0,"UNMAPPED",IF($R357=-1,"OUTSIDE FY RANGE","OK"))))</f>
        <v/>
      </c>
      <c r="U357" s="40" t="str">
        <f aca="false">IF($A357="","",$B357&amp;"|"&amp;TEXT($A357,"yyyymmdd")&amp;"|"&amp;TEXT($I357,"0.00"))</f>
        <v/>
      </c>
      <c r="V357" s="35" t="str">
        <f aca="false">IF($A357="","",COUNTIF($U$8:$U$5007,$U357))</f>
        <v/>
      </c>
    </row>
    <row r="358" customFormat="false" ht="15" hidden="false" customHeight="false" outlineLevel="0" collapsed="false">
      <c r="A358" s="31"/>
      <c r="B358" s="32"/>
      <c r="C358" s="32"/>
      <c r="D358" s="32"/>
      <c r="E358" s="32"/>
      <c r="F358" s="32"/>
      <c r="G358" s="33"/>
      <c r="H358" s="33"/>
      <c r="I358" s="34" t="str">
        <f aca="false">IF($A358="","",$G358-$H358)</f>
        <v/>
      </c>
      <c r="J358" s="35" t="str">
        <f aca="false">IF($A358="","",IF(Setup!$B$6=1,YEAR($A358),YEAR($A358)+IF(MONTH($A358)&gt;=Setup!$B$6,1,0)))</f>
        <v/>
      </c>
      <c r="K358" s="35" t="str">
        <f aca="false">IF($A358="","",MOD(MONTH($A358)-Setup!$B$6+12,12)+1)</f>
        <v/>
      </c>
      <c r="L358" s="36" t="str">
        <f aca="false">IF($A358="","",TEXT($A358,"MMM-YY"))</f>
        <v/>
      </c>
      <c r="M358" s="37" t="str">
        <f aca="false">IF($A358="","",IF($Q358=0,"UNMAPPED",INDEX(COA_Mapping!$C$7:$C$256,$Q358)))</f>
        <v/>
      </c>
      <c r="N358" s="38" t="str">
        <f aca="false">IF($A358="","",IF($Q358=0,"",INDEX(COA_Mapping!$E$7:$E$256,$Q358)))</f>
        <v/>
      </c>
      <c r="O358" s="38" t="n">
        <f aca="false">IF($A358="",1,IF($Q358=0,1,INDEX(COA_Mapping!$F$7:$F$256,$Q358)))</f>
        <v>1</v>
      </c>
      <c r="P358" s="34" t="str">
        <f aca="false">IF($A358="","",$I358*$O358)</f>
        <v/>
      </c>
      <c r="Q358" s="39" t="n">
        <f aca="false">IF($B358="",0,IFERROR(MATCH($B358,COA_Mapping!$A$7:$A$256,0),0))</f>
        <v>0</v>
      </c>
      <c r="R358" s="39" t="n">
        <f aca="false">IF($A358="",-1,IF($J358=Setup!$B$7,1,IF($J358=Setup!$B$9,0,-1)))</f>
        <v>-1</v>
      </c>
      <c r="S358" s="35" t="n">
        <f aca="false">IF(OR($A358="",$Q358=0,$R358=-1),0,$Q358*1000+$R358*100+$K358)</f>
        <v>0</v>
      </c>
      <c r="T358" s="37" t="str">
        <f aca="false">IF($A358="","",IF($B358="","NO ACCOUNT",IF($Q358=0,"UNMAPPED",IF($R358=-1,"OUTSIDE FY RANGE","OK"))))</f>
        <v/>
      </c>
      <c r="U358" s="40" t="str">
        <f aca="false">IF($A358="","",$B358&amp;"|"&amp;TEXT($A358,"yyyymmdd")&amp;"|"&amp;TEXT($I358,"0.00"))</f>
        <v/>
      </c>
      <c r="V358" s="35" t="str">
        <f aca="false">IF($A358="","",COUNTIF($U$8:$U$5007,$U358))</f>
        <v/>
      </c>
    </row>
    <row r="359" customFormat="false" ht="15" hidden="false" customHeight="false" outlineLevel="0" collapsed="false">
      <c r="A359" s="31"/>
      <c r="B359" s="32"/>
      <c r="C359" s="32"/>
      <c r="D359" s="32"/>
      <c r="E359" s="32"/>
      <c r="F359" s="32"/>
      <c r="G359" s="33"/>
      <c r="H359" s="33"/>
      <c r="I359" s="34" t="str">
        <f aca="false">IF($A359="","",$G359-$H359)</f>
        <v/>
      </c>
      <c r="J359" s="35" t="str">
        <f aca="false">IF($A359="","",IF(Setup!$B$6=1,YEAR($A359),YEAR($A359)+IF(MONTH($A359)&gt;=Setup!$B$6,1,0)))</f>
        <v/>
      </c>
      <c r="K359" s="35" t="str">
        <f aca="false">IF($A359="","",MOD(MONTH($A359)-Setup!$B$6+12,12)+1)</f>
        <v/>
      </c>
      <c r="L359" s="36" t="str">
        <f aca="false">IF($A359="","",TEXT($A359,"MMM-YY"))</f>
        <v/>
      </c>
      <c r="M359" s="37" t="str">
        <f aca="false">IF($A359="","",IF($Q359=0,"UNMAPPED",INDEX(COA_Mapping!$C$7:$C$256,$Q359)))</f>
        <v/>
      </c>
      <c r="N359" s="38" t="str">
        <f aca="false">IF($A359="","",IF($Q359=0,"",INDEX(COA_Mapping!$E$7:$E$256,$Q359)))</f>
        <v/>
      </c>
      <c r="O359" s="38" t="n">
        <f aca="false">IF($A359="",1,IF($Q359=0,1,INDEX(COA_Mapping!$F$7:$F$256,$Q359)))</f>
        <v>1</v>
      </c>
      <c r="P359" s="34" t="str">
        <f aca="false">IF($A359="","",$I359*$O359)</f>
        <v/>
      </c>
      <c r="Q359" s="39" t="n">
        <f aca="false">IF($B359="",0,IFERROR(MATCH($B359,COA_Mapping!$A$7:$A$256,0),0))</f>
        <v>0</v>
      </c>
      <c r="R359" s="39" t="n">
        <f aca="false">IF($A359="",-1,IF($J359=Setup!$B$7,1,IF($J359=Setup!$B$9,0,-1)))</f>
        <v>-1</v>
      </c>
      <c r="S359" s="35" t="n">
        <f aca="false">IF(OR($A359="",$Q359=0,$R359=-1),0,$Q359*1000+$R359*100+$K359)</f>
        <v>0</v>
      </c>
      <c r="T359" s="37" t="str">
        <f aca="false">IF($A359="","",IF($B359="","NO ACCOUNT",IF($Q359=0,"UNMAPPED",IF($R359=-1,"OUTSIDE FY RANGE","OK"))))</f>
        <v/>
      </c>
      <c r="U359" s="40" t="str">
        <f aca="false">IF($A359="","",$B359&amp;"|"&amp;TEXT($A359,"yyyymmdd")&amp;"|"&amp;TEXT($I359,"0.00"))</f>
        <v/>
      </c>
      <c r="V359" s="35" t="str">
        <f aca="false">IF($A359="","",COUNTIF($U$8:$U$5007,$U359))</f>
        <v/>
      </c>
    </row>
    <row r="360" customFormat="false" ht="15" hidden="false" customHeight="false" outlineLevel="0" collapsed="false">
      <c r="A360" s="31"/>
      <c r="B360" s="32"/>
      <c r="C360" s="32"/>
      <c r="D360" s="32"/>
      <c r="E360" s="32"/>
      <c r="F360" s="32"/>
      <c r="G360" s="33"/>
      <c r="H360" s="33"/>
      <c r="I360" s="34" t="str">
        <f aca="false">IF($A360="","",$G360-$H360)</f>
        <v/>
      </c>
      <c r="J360" s="35" t="str">
        <f aca="false">IF($A360="","",IF(Setup!$B$6=1,YEAR($A360),YEAR($A360)+IF(MONTH($A360)&gt;=Setup!$B$6,1,0)))</f>
        <v/>
      </c>
      <c r="K360" s="35" t="str">
        <f aca="false">IF($A360="","",MOD(MONTH($A360)-Setup!$B$6+12,12)+1)</f>
        <v/>
      </c>
      <c r="L360" s="36" t="str">
        <f aca="false">IF($A360="","",TEXT($A360,"MMM-YY"))</f>
        <v/>
      </c>
      <c r="M360" s="37" t="str">
        <f aca="false">IF($A360="","",IF($Q360=0,"UNMAPPED",INDEX(COA_Mapping!$C$7:$C$256,$Q360)))</f>
        <v/>
      </c>
      <c r="N360" s="38" t="str">
        <f aca="false">IF($A360="","",IF($Q360=0,"",INDEX(COA_Mapping!$E$7:$E$256,$Q360)))</f>
        <v/>
      </c>
      <c r="O360" s="38" t="n">
        <f aca="false">IF($A360="",1,IF($Q360=0,1,INDEX(COA_Mapping!$F$7:$F$256,$Q360)))</f>
        <v>1</v>
      </c>
      <c r="P360" s="34" t="str">
        <f aca="false">IF($A360="","",$I360*$O360)</f>
        <v/>
      </c>
      <c r="Q360" s="39" t="n">
        <f aca="false">IF($B360="",0,IFERROR(MATCH($B360,COA_Mapping!$A$7:$A$256,0),0))</f>
        <v>0</v>
      </c>
      <c r="R360" s="39" t="n">
        <f aca="false">IF($A360="",-1,IF($J360=Setup!$B$7,1,IF($J360=Setup!$B$9,0,-1)))</f>
        <v>-1</v>
      </c>
      <c r="S360" s="35" t="n">
        <f aca="false">IF(OR($A360="",$Q360=0,$R360=-1),0,$Q360*1000+$R360*100+$K360)</f>
        <v>0</v>
      </c>
      <c r="T360" s="37" t="str">
        <f aca="false">IF($A360="","",IF($B360="","NO ACCOUNT",IF($Q360=0,"UNMAPPED",IF($R360=-1,"OUTSIDE FY RANGE","OK"))))</f>
        <v/>
      </c>
      <c r="U360" s="40" t="str">
        <f aca="false">IF($A360="","",$B360&amp;"|"&amp;TEXT($A360,"yyyymmdd")&amp;"|"&amp;TEXT($I360,"0.00"))</f>
        <v/>
      </c>
      <c r="V360" s="35" t="str">
        <f aca="false">IF($A360="","",COUNTIF($U$8:$U$5007,$U360))</f>
        <v/>
      </c>
    </row>
    <row r="361" customFormat="false" ht="15" hidden="false" customHeight="false" outlineLevel="0" collapsed="false">
      <c r="A361" s="31"/>
      <c r="B361" s="32"/>
      <c r="C361" s="32"/>
      <c r="D361" s="32"/>
      <c r="E361" s="32"/>
      <c r="F361" s="32"/>
      <c r="G361" s="33"/>
      <c r="H361" s="33"/>
      <c r="I361" s="34" t="str">
        <f aca="false">IF($A361="","",$G361-$H361)</f>
        <v/>
      </c>
      <c r="J361" s="35" t="str">
        <f aca="false">IF($A361="","",IF(Setup!$B$6=1,YEAR($A361),YEAR($A361)+IF(MONTH($A361)&gt;=Setup!$B$6,1,0)))</f>
        <v/>
      </c>
      <c r="K361" s="35" t="str">
        <f aca="false">IF($A361="","",MOD(MONTH($A361)-Setup!$B$6+12,12)+1)</f>
        <v/>
      </c>
      <c r="L361" s="36" t="str">
        <f aca="false">IF($A361="","",TEXT($A361,"MMM-YY"))</f>
        <v/>
      </c>
      <c r="M361" s="37" t="str">
        <f aca="false">IF($A361="","",IF($Q361=0,"UNMAPPED",INDEX(COA_Mapping!$C$7:$C$256,$Q361)))</f>
        <v/>
      </c>
      <c r="N361" s="38" t="str">
        <f aca="false">IF($A361="","",IF($Q361=0,"",INDEX(COA_Mapping!$E$7:$E$256,$Q361)))</f>
        <v/>
      </c>
      <c r="O361" s="38" t="n">
        <f aca="false">IF($A361="",1,IF($Q361=0,1,INDEX(COA_Mapping!$F$7:$F$256,$Q361)))</f>
        <v>1</v>
      </c>
      <c r="P361" s="34" t="str">
        <f aca="false">IF($A361="","",$I361*$O361)</f>
        <v/>
      </c>
      <c r="Q361" s="39" t="n">
        <f aca="false">IF($B361="",0,IFERROR(MATCH($B361,COA_Mapping!$A$7:$A$256,0),0))</f>
        <v>0</v>
      </c>
      <c r="R361" s="39" t="n">
        <f aca="false">IF($A361="",-1,IF($J361=Setup!$B$7,1,IF($J361=Setup!$B$9,0,-1)))</f>
        <v>-1</v>
      </c>
      <c r="S361" s="35" t="n">
        <f aca="false">IF(OR($A361="",$Q361=0,$R361=-1),0,$Q361*1000+$R361*100+$K361)</f>
        <v>0</v>
      </c>
      <c r="T361" s="37" t="str">
        <f aca="false">IF($A361="","",IF($B361="","NO ACCOUNT",IF($Q361=0,"UNMAPPED",IF($R361=-1,"OUTSIDE FY RANGE","OK"))))</f>
        <v/>
      </c>
      <c r="U361" s="40" t="str">
        <f aca="false">IF($A361="","",$B361&amp;"|"&amp;TEXT($A361,"yyyymmdd")&amp;"|"&amp;TEXT($I361,"0.00"))</f>
        <v/>
      </c>
      <c r="V361" s="35" t="str">
        <f aca="false">IF($A361="","",COUNTIF($U$8:$U$5007,$U361))</f>
        <v/>
      </c>
    </row>
    <row r="362" customFormat="false" ht="15" hidden="false" customHeight="false" outlineLevel="0" collapsed="false">
      <c r="A362" s="31"/>
      <c r="B362" s="32"/>
      <c r="C362" s="32"/>
      <c r="D362" s="32"/>
      <c r="E362" s="32"/>
      <c r="F362" s="32"/>
      <c r="G362" s="33"/>
      <c r="H362" s="33"/>
      <c r="I362" s="34" t="str">
        <f aca="false">IF($A362="","",$G362-$H362)</f>
        <v/>
      </c>
      <c r="J362" s="35" t="str">
        <f aca="false">IF($A362="","",IF(Setup!$B$6=1,YEAR($A362),YEAR($A362)+IF(MONTH($A362)&gt;=Setup!$B$6,1,0)))</f>
        <v/>
      </c>
      <c r="K362" s="35" t="str">
        <f aca="false">IF($A362="","",MOD(MONTH($A362)-Setup!$B$6+12,12)+1)</f>
        <v/>
      </c>
      <c r="L362" s="36" t="str">
        <f aca="false">IF($A362="","",TEXT($A362,"MMM-YY"))</f>
        <v/>
      </c>
      <c r="M362" s="37" t="str">
        <f aca="false">IF($A362="","",IF($Q362=0,"UNMAPPED",INDEX(COA_Mapping!$C$7:$C$256,$Q362)))</f>
        <v/>
      </c>
      <c r="N362" s="38" t="str">
        <f aca="false">IF($A362="","",IF($Q362=0,"",INDEX(COA_Mapping!$E$7:$E$256,$Q362)))</f>
        <v/>
      </c>
      <c r="O362" s="38" t="n">
        <f aca="false">IF($A362="",1,IF($Q362=0,1,INDEX(COA_Mapping!$F$7:$F$256,$Q362)))</f>
        <v>1</v>
      </c>
      <c r="P362" s="34" t="str">
        <f aca="false">IF($A362="","",$I362*$O362)</f>
        <v/>
      </c>
      <c r="Q362" s="39" t="n">
        <f aca="false">IF($B362="",0,IFERROR(MATCH($B362,COA_Mapping!$A$7:$A$256,0),0))</f>
        <v>0</v>
      </c>
      <c r="R362" s="39" t="n">
        <f aca="false">IF($A362="",-1,IF($J362=Setup!$B$7,1,IF($J362=Setup!$B$9,0,-1)))</f>
        <v>-1</v>
      </c>
      <c r="S362" s="35" t="n">
        <f aca="false">IF(OR($A362="",$Q362=0,$R362=-1),0,$Q362*1000+$R362*100+$K362)</f>
        <v>0</v>
      </c>
      <c r="T362" s="37" t="str">
        <f aca="false">IF($A362="","",IF($B362="","NO ACCOUNT",IF($Q362=0,"UNMAPPED",IF($R362=-1,"OUTSIDE FY RANGE","OK"))))</f>
        <v/>
      </c>
      <c r="U362" s="40" t="str">
        <f aca="false">IF($A362="","",$B362&amp;"|"&amp;TEXT($A362,"yyyymmdd")&amp;"|"&amp;TEXT($I362,"0.00"))</f>
        <v/>
      </c>
      <c r="V362" s="35" t="str">
        <f aca="false">IF($A362="","",COUNTIF($U$8:$U$5007,$U362))</f>
        <v/>
      </c>
    </row>
    <row r="363" customFormat="false" ht="15" hidden="false" customHeight="false" outlineLevel="0" collapsed="false">
      <c r="A363" s="31"/>
      <c r="B363" s="32"/>
      <c r="C363" s="32"/>
      <c r="D363" s="32"/>
      <c r="E363" s="32"/>
      <c r="F363" s="32"/>
      <c r="G363" s="33"/>
      <c r="H363" s="33"/>
      <c r="I363" s="34" t="str">
        <f aca="false">IF($A363="","",$G363-$H363)</f>
        <v/>
      </c>
      <c r="J363" s="35" t="str">
        <f aca="false">IF($A363="","",IF(Setup!$B$6=1,YEAR($A363),YEAR($A363)+IF(MONTH($A363)&gt;=Setup!$B$6,1,0)))</f>
        <v/>
      </c>
      <c r="K363" s="35" t="str">
        <f aca="false">IF($A363="","",MOD(MONTH($A363)-Setup!$B$6+12,12)+1)</f>
        <v/>
      </c>
      <c r="L363" s="36" t="str">
        <f aca="false">IF($A363="","",TEXT($A363,"MMM-YY"))</f>
        <v/>
      </c>
      <c r="M363" s="37" t="str">
        <f aca="false">IF($A363="","",IF($Q363=0,"UNMAPPED",INDEX(COA_Mapping!$C$7:$C$256,$Q363)))</f>
        <v/>
      </c>
      <c r="N363" s="38" t="str">
        <f aca="false">IF($A363="","",IF($Q363=0,"",INDEX(COA_Mapping!$E$7:$E$256,$Q363)))</f>
        <v/>
      </c>
      <c r="O363" s="38" t="n">
        <f aca="false">IF($A363="",1,IF($Q363=0,1,INDEX(COA_Mapping!$F$7:$F$256,$Q363)))</f>
        <v>1</v>
      </c>
      <c r="P363" s="34" t="str">
        <f aca="false">IF($A363="","",$I363*$O363)</f>
        <v/>
      </c>
      <c r="Q363" s="39" t="n">
        <f aca="false">IF($B363="",0,IFERROR(MATCH($B363,COA_Mapping!$A$7:$A$256,0),0))</f>
        <v>0</v>
      </c>
      <c r="R363" s="39" t="n">
        <f aca="false">IF($A363="",-1,IF($J363=Setup!$B$7,1,IF($J363=Setup!$B$9,0,-1)))</f>
        <v>-1</v>
      </c>
      <c r="S363" s="35" t="n">
        <f aca="false">IF(OR($A363="",$Q363=0,$R363=-1),0,$Q363*1000+$R363*100+$K363)</f>
        <v>0</v>
      </c>
      <c r="T363" s="37" t="str">
        <f aca="false">IF($A363="","",IF($B363="","NO ACCOUNT",IF($Q363=0,"UNMAPPED",IF($R363=-1,"OUTSIDE FY RANGE","OK"))))</f>
        <v/>
      </c>
      <c r="U363" s="40" t="str">
        <f aca="false">IF($A363="","",$B363&amp;"|"&amp;TEXT($A363,"yyyymmdd")&amp;"|"&amp;TEXT($I363,"0.00"))</f>
        <v/>
      </c>
      <c r="V363" s="35" t="str">
        <f aca="false">IF($A363="","",COUNTIF($U$8:$U$5007,$U363))</f>
        <v/>
      </c>
    </row>
    <row r="364" customFormat="false" ht="15" hidden="false" customHeight="false" outlineLevel="0" collapsed="false">
      <c r="A364" s="31"/>
      <c r="B364" s="32"/>
      <c r="C364" s="32"/>
      <c r="D364" s="32"/>
      <c r="E364" s="32"/>
      <c r="F364" s="32"/>
      <c r="G364" s="33"/>
      <c r="H364" s="33"/>
      <c r="I364" s="34" t="str">
        <f aca="false">IF($A364="","",$G364-$H364)</f>
        <v/>
      </c>
      <c r="J364" s="35" t="str">
        <f aca="false">IF($A364="","",IF(Setup!$B$6=1,YEAR($A364),YEAR($A364)+IF(MONTH($A364)&gt;=Setup!$B$6,1,0)))</f>
        <v/>
      </c>
      <c r="K364" s="35" t="str">
        <f aca="false">IF($A364="","",MOD(MONTH($A364)-Setup!$B$6+12,12)+1)</f>
        <v/>
      </c>
      <c r="L364" s="36" t="str">
        <f aca="false">IF($A364="","",TEXT($A364,"MMM-YY"))</f>
        <v/>
      </c>
      <c r="M364" s="37" t="str">
        <f aca="false">IF($A364="","",IF($Q364=0,"UNMAPPED",INDEX(COA_Mapping!$C$7:$C$256,$Q364)))</f>
        <v/>
      </c>
      <c r="N364" s="38" t="str">
        <f aca="false">IF($A364="","",IF($Q364=0,"",INDEX(COA_Mapping!$E$7:$E$256,$Q364)))</f>
        <v/>
      </c>
      <c r="O364" s="38" t="n">
        <f aca="false">IF($A364="",1,IF($Q364=0,1,INDEX(COA_Mapping!$F$7:$F$256,$Q364)))</f>
        <v>1</v>
      </c>
      <c r="P364" s="34" t="str">
        <f aca="false">IF($A364="","",$I364*$O364)</f>
        <v/>
      </c>
      <c r="Q364" s="39" t="n">
        <f aca="false">IF($B364="",0,IFERROR(MATCH($B364,COA_Mapping!$A$7:$A$256,0),0))</f>
        <v>0</v>
      </c>
      <c r="R364" s="39" t="n">
        <f aca="false">IF($A364="",-1,IF($J364=Setup!$B$7,1,IF($J364=Setup!$B$9,0,-1)))</f>
        <v>-1</v>
      </c>
      <c r="S364" s="35" t="n">
        <f aca="false">IF(OR($A364="",$Q364=0,$R364=-1),0,$Q364*1000+$R364*100+$K364)</f>
        <v>0</v>
      </c>
      <c r="T364" s="37" t="str">
        <f aca="false">IF($A364="","",IF($B364="","NO ACCOUNT",IF($Q364=0,"UNMAPPED",IF($R364=-1,"OUTSIDE FY RANGE","OK"))))</f>
        <v/>
      </c>
      <c r="U364" s="40" t="str">
        <f aca="false">IF($A364="","",$B364&amp;"|"&amp;TEXT($A364,"yyyymmdd")&amp;"|"&amp;TEXT($I364,"0.00"))</f>
        <v/>
      </c>
      <c r="V364" s="35" t="str">
        <f aca="false">IF($A364="","",COUNTIF($U$8:$U$5007,$U364))</f>
        <v/>
      </c>
    </row>
    <row r="365" customFormat="false" ht="15" hidden="false" customHeight="false" outlineLevel="0" collapsed="false">
      <c r="A365" s="31"/>
      <c r="B365" s="32"/>
      <c r="C365" s="32"/>
      <c r="D365" s="32"/>
      <c r="E365" s="32"/>
      <c r="F365" s="32"/>
      <c r="G365" s="33"/>
      <c r="H365" s="33"/>
      <c r="I365" s="34" t="str">
        <f aca="false">IF($A365="","",$G365-$H365)</f>
        <v/>
      </c>
      <c r="J365" s="35" t="str">
        <f aca="false">IF($A365="","",IF(Setup!$B$6=1,YEAR($A365),YEAR($A365)+IF(MONTH($A365)&gt;=Setup!$B$6,1,0)))</f>
        <v/>
      </c>
      <c r="K365" s="35" t="str">
        <f aca="false">IF($A365="","",MOD(MONTH($A365)-Setup!$B$6+12,12)+1)</f>
        <v/>
      </c>
      <c r="L365" s="36" t="str">
        <f aca="false">IF($A365="","",TEXT($A365,"MMM-YY"))</f>
        <v/>
      </c>
      <c r="M365" s="37" t="str">
        <f aca="false">IF($A365="","",IF($Q365=0,"UNMAPPED",INDEX(COA_Mapping!$C$7:$C$256,$Q365)))</f>
        <v/>
      </c>
      <c r="N365" s="38" t="str">
        <f aca="false">IF($A365="","",IF($Q365=0,"",INDEX(COA_Mapping!$E$7:$E$256,$Q365)))</f>
        <v/>
      </c>
      <c r="O365" s="38" t="n">
        <f aca="false">IF($A365="",1,IF($Q365=0,1,INDEX(COA_Mapping!$F$7:$F$256,$Q365)))</f>
        <v>1</v>
      </c>
      <c r="P365" s="34" t="str">
        <f aca="false">IF($A365="","",$I365*$O365)</f>
        <v/>
      </c>
      <c r="Q365" s="39" t="n">
        <f aca="false">IF($B365="",0,IFERROR(MATCH($B365,COA_Mapping!$A$7:$A$256,0),0))</f>
        <v>0</v>
      </c>
      <c r="R365" s="39" t="n">
        <f aca="false">IF($A365="",-1,IF($J365=Setup!$B$7,1,IF($J365=Setup!$B$9,0,-1)))</f>
        <v>-1</v>
      </c>
      <c r="S365" s="35" t="n">
        <f aca="false">IF(OR($A365="",$Q365=0,$R365=-1),0,$Q365*1000+$R365*100+$K365)</f>
        <v>0</v>
      </c>
      <c r="T365" s="37" t="str">
        <f aca="false">IF($A365="","",IF($B365="","NO ACCOUNT",IF($Q365=0,"UNMAPPED",IF($R365=-1,"OUTSIDE FY RANGE","OK"))))</f>
        <v/>
      </c>
      <c r="U365" s="40" t="str">
        <f aca="false">IF($A365="","",$B365&amp;"|"&amp;TEXT($A365,"yyyymmdd")&amp;"|"&amp;TEXT($I365,"0.00"))</f>
        <v/>
      </c>
      <c r="V365" s="35" t="str">
        <f aca="false">IF($A365="","",COUNTIF($U$8:$U$5007,$U365))</f>
        <v/>
      </c>
    </row>
    <row r="366" customFormat="false" ht="15" hidden="false" customHeight="false" outlineLevel="0" collapsed="false">
      <c r="A366" s="31"/>
      <c r="B366" s="32"/>
      <c r="C366" s="32"/>
      <c r="D366" s="32"/>
      <c r="E366" s="32"/>
      <c r="F366" s="32"/>
      <c r="G366" s="33"/>
      <c r="H366" s="33"/>
      <c r="I366" s="34" t="str">
        <f aca="false">IF($A366="","",$G366-$H366)</f>
        <v/>
      </c>
      <c r="J366" s="35" t="str">
        <f aca="false">IF($A366="","",IF(Setup!$B$6=1,YEAR($A366),YEAR($A366)+IF(MONTH($A366)&gt;=Setup!$B$6,1,0)))</f>
        <v/>
      </c>
      <c r="K366" s="35" t="str">
        <f aca="false">IF($A366="","",MOD(MONTH($A366)-Setup!$B$6+12,12)+1)</f>
        <v/>
      </c>
      <c r="L366" s="36" t="str">
        <f aca="false">IF($A366="","",TEXT($A366,"MMM-YY"))</f>
        <v/>
      </c>
      <c r="M366" s="37" t="str">
        <f aca="false">IF($A366="","",IF($Q366=0,"UNMAPPED",INDEX(COA_Mapping!$C$7:$C$256,$Q366)))</f>
        <v/>
      </c>
      <c r="N366" s="38" t="str">
        <f aca="false">IF($A366="","",IF($Q366=0,"",INDEX(COA_Mapping!$E$7:$E$256,$Q366)))</f>
        <v/>
      </c>
      <c r="O366" s="38" t="n">
        <f aca="false">IF($A366="",1,IF($Q366=0,1,INDEX(COA_Mapping!$F$7:$F$256,$Q366)))</f>
        <v>1</v>
      </c>
      <c r="P366" s="34" t="str">
        <f aca="false">IF($A366="","",$I366*$O366)</f>
        <v/>
      </c>
      <c r="Q366" s="39" t="n">
        <f aca="false">IF($B366="",0,IFERROR(MATCH($B366,COA_Mapping!$A$7:$A$256,0),0))</f>
        <v>0</v>
      </c>
      <c r="R366" s="39" t="n">
        <f aca="false">IF($A366="",-1,IF($J366=Setup!$B$7,1,IF($J366=Setup!$B$9,0,-1)))</f>
        <v>-1</v>
      </c>
      <c r="S366" s="35" t="n">
        <f aca="false">IF(OR($A366="",$Q366=0,$R366=-1),0,$Q366*1000+$R366*100+$K366)</f>
        <v>0</v>
      </c>
      <c r="T366" s="37" t="str">
        <f aca="false">IF($A366="","",IF($B366="","NO ACCOUNT",IF($Q366=0,"UNMAPPED",IF($R366=-1,"OUTSIDE FY RANGE","OK"))))</f>
        <v/>
      </c>
      <c r="U366" s="40" t="str">
        <f aca="false">IF($A366="","",$B366&amp;"|"&amp;TEXT($A366,"yyyymmdd")&amp;"|"&amp;TEXT($I366,"0.00"))</f>
        <v/>
      </c>
      <c r="V366" s="35" t="str">
        <f aca="false">IF($A366="","",COUNTIF($U$8:$U$5007,$U366))</f>
        <v/>
      </c>
    </row>
    <row r="367" customFormat="false" ht="15" hidden="false" customHeight="false" outlineLevel="0" collapsed="false">
      <c r="A367" s="31"/>
      <c r="B367" s="32"/>
      <c r="C367" s="32"/>
      <c r="D367" s="32"/>
      <c r="E367" s="32"/>
      <c r="F367" s="32"/>
      <c r="G367" s="33"/>
      <c r="H367" s="33"/>
      <c r="I367" s="34" t="str">
        <f aca="false">IF($A367="","",$G367-$H367)</f>
        <v/>
      </c>
      <c r="J367" s="35" t="str">
        <f aca="false">IF($A367="","",IF(Setup!$B$6=1,YEAR($A367),YEAR($A367)+IF(MONTH($A367)&gt;=Setup!$B$6,1,0)))</f>
        <v/>
      </c>
      <c r="K367" s="35" t="str">
        <f aca="false">IF($A367="","",MOD(MONTH($A367)-Setup!$B$6+12,12)+1)</f>
        <v/>
      </c>
      <c r="L367" s="36" t="str">
        <f aca="false">IF($A367="","",TEXT($A367,"MMM-YY"))</f>
        <v/>
      </c>
      <c r="M367" s="37" t="str">
        <f aca="false">IF($A367="","",IF($Q367=0,"UNMAPPED",INDEX(COA_Mapping!$C$7:$C$256,$Q367)))</f>
        <v/>
      </c>
      <c r="N367" s="38" t="str">
        <f aca="false">IF($A367="","",IF($Q367=0,"",INDEX(COA_Mapping!$E$7:$E$256,$Q367)))</f>
        <v/>
      </c>
      <c r="O367" s="38" t="n">
        <f aca="false">IF($A367="",1,IF($Q367=0,1,INDEX(COA_Mapping!$F$7:$F$256,$Q367)))</f>
        <v>1</v>
      </c>
      <c r="P367" s="34" t="str">
        <f aca="false">IF($A367="","",$I367*$O367)</f>
        <v/>
      </c>
      <c r="Q367" s="39" t="n">
        <f aca="false">IF($B367="",0,IFERROR(MATCH($B367,COA_Mapping!$A$7:$A$256,0),0))</f>
        <v>0</v>
      </c>
      <c r="R367" s="39" t="n">
        <f aca="false">IF($A367="",-1,IF($J367=Setup!$B$7,1,IF($J367=Setup!$B$9,0,-1)))</f>
        <v>-1</v>
      </c>
      <c r="S367" s="35" t="n">
        <f aca="false">IF(OR($A367="",$Q367=0,$R367=-1),0,$Q367*1000+$R367*100+$K367)</f>
        <v>0</v>
      </c>
      <c r="T367" s="37" t="str">
        <f aca="false">IF($A367="","",IF($B367="","NO ACCOUNT",IF($Q367=0,"UNMAPPED",IF($R367=-1,"OUTSIDE FY RANGE","OK"))))</f>
        <v/>
      </c>
      <c r="U367" s="40" t="str">
        <f aca="false">IF($A367="","",$B367&amp;"|"&amp;TEXT($A367,"yyyymmdd")&amp;"|"&amp;TEXT($I367,"0.00"))</f>
        <v/>
      </c>
      <c r="V367" s="35" t="str">
        <f aca="false">IF($A367="","",COUNTIF($U$8:$U$5007,$U367))</f>
        <v/>
      </c>
    </row>
    <row r="368" customFormat="false" ht="15" hidden="false" customHeight="false" outlineLevel="0" collapsed="false">
      <c r="A368" s="31"/>
      <c r="B368" s="32"/>
      <c r="C368" s="32"/>
      <c r="D368" s="32"/>
      <c r="E368" s="32"/>
      <c r="F368" s="32"/>
      <c r="G368" s="33"/>
      <c r="H368" s="33"/>
      <c r="I368" s="34" t="str">
        <f aca="false">IF($A368="","",$G368-$H368)</f>
        <v/>
      </c>
      <c r="J368" s="35" t="str">
        <f aca="false">IF($A368="","",IF(Setup!$B$6=1,YEAR($A368),YEAR($A368)+IF(MONTH($A368)&gt;=Setup!$B$6,1,0)))</f>
        <v/>
      </c>
      <c r="K368" s="35" t="str">
        <f aca="false">IF($A368="","",MOD(MONTH($A368)-Setup!$B$6+12,12)+1)</f>
        <v/>
      </c>
      <c r="L368" s="36" t="str">
        <f aca="false">IF($A368="","",TEXT($A368,"MMM-YY"))</f>
        <v/>
      </c>
      <c r="M368" s="37" t="str">
        <f aca="false">IF($A368="","",IF($Q368=0,"UNMAPPED",INDEX(COA_Mapping!$C$7:$C$256,$Q368)))</f>
        <v/>
      </c>
      <c r="N368" s="38" t="str">
        <f aca="false">IF($A368="","",IF($Q368=0,"",INDEX(COA_Mapping!$E$7:$E$256,$Q368)))</f>
        <v/>
      </c>
      <c r="O368" s="38" t="n">
        <f aca="false">IF($A368="",1,IF($Q368=0,1,INDEX(COA_Mapping!$F$7:$F$256,$Q368)))</f>
        <v>1</v>
      </c>
      <c r="P368" s="34" t="str">
        <f aca="false">IF($A368="","",$I368*$O368)</f>
        <v/>
      </c>
      <c r="Q368" s="39" t="n">
        <f aca="false">IF($B368="",0,IFERROR(MATCH($B368,COA_Mapping!$A$7:$A$256,0),0))</f>
        <v>0</v>
      </c>
      <c r="R368" s="39" t="n">
        <f aca="false">IF($A368="",-1,IF($J368=Setup!$B$7,1,IF($J368=Setup!$B$9,0,-1)))</f>
        <v>-1</v>
      </c>
      <c r="S368" s="35" t="n">
        <f aca="false">IF(OR($A368="",$Q368=0,$R368=-1),0,$Q368*1000+$R368*100+$K368)</f>
        <v>0</v>
      </c>
      <c r="T368" s="37" t="str">
        <f aca="false">IF($A368="","",IF($B368="","NO ACCOUNT",IF($Q368=0,"UNMAPPED",IF($R368=-1,"OUTSIDE FY RANGE","OK"))))</f>
        <v/>
      </c>
      <c r="U368" s="40" t="str">
        <f aca="false">IF($A368="","",$B368&amp;"|"&amp;TEXT($A368,"yyyymmdd")&amp;"|"&amp;TEXT($I368,"0.00"))</f>
        <v/>
      </c>
      <c r="V368" s="35" t="str">
        <f aca="false">IF($A368="","",COUNTIF($U$8:$U$5007,$U368))</f>
        <v/>
      </c>
    </row>
    <row r="369" customFormat="false" ht="15" hidden="false" customHeight="false" outlineLevel="0" collapsed="false">
      <c r="A369" s="31"/>
      <c r="B369" s="32"/>
      <c r="C369" s="32"/>
      <c r="D369" s="32"/>
      <c r="E369" s="32"/>
      <c r="F369" s="32"/>
      <c r="G369" s="33"/>
      <c r="H369" s="33"/>
      <c r="I369" s="34" t="str">
        <f aca="false">IF($A369="","",$G369-$H369)</f>
        <v/>
      </c>
      <c r="J369" s="35" t="str">
        <f aca="false">IF($A369="","",IF(Setup!$B$6=1,YEAR($A369),YEAR($A369)+IF(MONTH($A369)&gt;=Setup!$B$6,1,0)))</f>
        <v/>
      </c>
      <c r="K369" s="35" t="str">
        <f aca="false">IF($A369="","",MOD(MONTH($A369)-Setup!$B$6+12,12)+1)</f>
        <v/>
      </c>
      <c r="L369" s="36" t="str">
        <f aca="false">IF($A369="","",TEXT($A369,"MMM-YY"))</f>
        <v/>
      </c>
      <c r="M369" s="37" t="str">
        <f aca="false">IF($A369="","",IF($Q369=0,"UNMAPPED",INDEX(COA_Mapping!$C$7:$C$256,$Q369)))</f>
        <v/>
      </c>
      <c r="N369" s="38" t="str">
        <f aca="false">IF($A369="","",IF($Q369=0,"",INDEX(COA_Mapping!$E$7:$E$256,$Q369)))</f>
        <v/>
      </c>
      <c r="O369" s="38" t="n">
        <f aca="false">IF($A369="",1,IF($Q369=0,1,INDEX(COA_Mapping!$F$7:$F$256,$Q369)))</f>
        <v>1</v>
      </c>
      <c r="P369" s="34" t="str">
        <f aca="false">IF($A369="","",$I369*$O369)</f>
        <v/>
      </c>
      <c r="Q369" s="39" t="n">
        <f aca="false">IF($B369="",0,IFERROR(MATCH($B369,COA_Mapping!$A$7:$A$256,0),0))</f>
        <v>0</v>
      </c>
      <c r="R369" s="39" t="n">
        <f aca="false">IF($A369="",-1,IF($J369=Setup!$B$7,1,IF($J369=Setup!$B$9,0,-1)))</f>
        <v>-1</v>
      </c>
      <c r="S369" s="35" t="n">
        <f aca="false">IF(OR($A369="",$Q369=0,$R369=-1),0,$Q369*1000+$R369*100+$K369)</f>
        <v>0</v>
      </c>
      <c r="T369" s="37" t="str">
        <f aca="false">IF($A369="","",IF($B369="","NO ACCOUNT",IF($Q369=0,"UNMAPPED",IF($R369=-1,"OUTSIDE FY RANGE","OK"))))</f>
        <v/>
      </c>
      <c r="U369" s="40" t="str">
        <f aca="false">IF($A369="","",$B369&amp;"|"&amp;TEXT($A369,"yyyymmdd")&amp;"|"&amp;TEXT($I369,"0.00"))</f>
        <v/>
      </c>
      <c r="V369" s="35" t="str">
        <f aca="false">IF($A369="","",COUNTIF($U$8:$U$5007,$U369))</f>
        <v/>
      </c>
    </row>
    <row r="370" customFormat="false" ht="15" hidden="false" customHeight="false" outlineLevel="0" collapsed="false">
      <c r="A370" s="31"/>
      <c r="B370" s="32"/>
      <c r="C370" s="32"/>
      <c r="D370" s="32"/>
      <c r="E370" s="32"/>
      <c r="F370" s="32"/>
      <c r="G370" s="33"/>
      <c r="H370" s="33"/>
      <c r="I370" s="34" t="str">
        <f aca="false">IF($A370="","",$G370-$H370)</f>
        <v/>
      </c>
      <c r="J370" s="35" t="str">
        <f aca="false">IF($A370="","",IF(Setup!$B$6=1,YEAR($A370),YEAR($A370)+IF(MONTH($A370)&gt;=Setup!$B$6,1,0)))</f>
        <v/>
      </c>
      <c r="K370" s="35" t="str">
        <f aca="false">IF($A370="","",MOD(MONTH($A370)-Setup!$B$6+12,12)+1)</f>
        <v/>
      </c>
      <c r="L370" s="36" t="str">
        <f aca="false">IF($A370="","",TEXT($A370,"MMM-YY"))</f>
        <v/>
      </c>
      <c r="M370" s="37" t="str">
        <f aca="false">IF($A370="","",IF($Q370=0,"UNMAPPED",INDEX(COA_Mapping!$C$7:$C$256,$Q370)))</f>
        <v/>
      </c>
      <c r="N370" s="38" t="str">
        <f aca="false">IF($A370="","",IF($Q370=0,"",INDEX(COA_Mapping!$E$7:$E$256,$Q370)))</f>
        <v/>
      </c>
      <c r="O370" s="38" t="n">
        <f aca="false">IF($A370="",1,IF($Q370=0,1,INDEX(COA_Mapping!$F$7:$F$256,$Q370)))</f>
        <v>1</v>
      </c>
      <c r="P370" s="34" t="str">
        <f aca="false">IF($A370="","",$I370*$O370)</f>
        <v/>
      </c>
      <c r="Q370" s="39" t="n">
        <f aca="false">IF($B370="",0,IFERROR(MATCH($B370,COA_Mapping!$A$7:$A$256,0),0))</f>
        <v>0</v>
      </c>
      <c r="R370" s="39" t="n">
        <f aca="false">IF($A370="",-1,IF($J370=Setup!$B$7,1,IF($J370=Setup!$B$9,0,-1)))</f>
        <v>-1</v>
      </c>
      <c r="S370" s="35" t="n">
        <f aca="false">IF(OR($A370="",$Q370=0,$R370=-1),0,$Q370*1000+$R370*100+$K370)</f>
        <v>0</v>
      </c>
      <c r="T370" s="37" t="str">
        <f aca="false">IF($A370="","",IF($B370="","NO ACCOUNT",IF($Q370=0,"UNMAPPED",IF($R370=-1,"OUTSIDE FY RANGE","OK"))))</f>
        <v/>
      </c>
      <c r="U370" s="40" t="str">
        <f aca="false">IF($A370="","",$B370&amp;"|"&amp;TEXT($A370,"yyyymmdd")&amp;"|"&amp;TEXT($I370,"0.00"))</f>
        <v/>
      </c>
      <c r="V370" s="35" t="str">
        <f aca="false">IF($A370="","",COUNTIF($U$8:$U$5007,$U370))</f>
        <v/>
      </c>
    </row>
    <row r="371" customFormat="false" ht="15" hidden="false" customHeight="false" outlineLevel="0" collapsed="false">
      <c r="A371" s="31"/>
      <c r="B371" s="32"/>
      <c r="C371" s="32"/>
      <c r="D371" s="32"/>
      <c r="E371" s="32"/>
      <c r="F371" s="32"/>
      <c r="G371" s="33"/>
      <c r="H371" s="33"/>
      <c r="I371" s="34" t="str">
        <f aca="false">IF($A371="","",$G371-$H371)</f>
        <v/>
      </c>
      <c r="J371" s="35" t="str">
        <f aca="false">IF($A371="","",IF(Setup!$B$6=1,YEAR($A371),YEAR($A371)+IF(MONTH($A371)&gt;=Setup!$B$6,1,0)))</f>
        <v/>
      </c>
      <c r="K371" s="35" t="str">
        <f aca="false">IF($A371="","",MOD(MONTH($A371)-Setup!$B$6+12,12)+1)</f>
        <v/>
      </c>
      <c r="L371" s="36" t="str">
        <f aca="false">IF($A371="","",TEXT($A371,"MMM-YY"))</f>
        <v/>
      </c>
      <c r="M371" s="37" t="str">
        <f aca="false">IF($A371="","",IF($Q371=0,"UNMAPPED",INDEX(COA_Mapping!$C$7:$C$256,$Q371)))</f>
        <v/>
      </c>
      <c r="N371" s="38" t="str">
        <f aca="false">IF($A371="","",IF($Q371=0,"",INDEX(COA_Mapping!$E$7:$E$256,$Q371)))</f>
        <v/>
      </c>
      <c r="O371" s="38" t="n">
        <f aca="false">IF($A371="",1,IF($Q371=0,1,INDEX(COA_Mapping!$F$7:$F$256,$Q371)))</f>
        <v>1</v>
      </c>
      <c r="P371" s="34" t="str">
        <f aca="false">IF($A371="","",$I371*$O371)</f>
        <v/>
      </c>
      <c r="Q371" s="39" t="n">
        <f aca="false">IF($B371="",0,IFERROR(MATCH($B371,COA_Mapping!$A$7:$A$256,0),0))</f>
        <v>0</v>
      </c>
      <c r="R371" s="39" t="n">
        <f aca="false">IF($A371="",-1,IF($J371=Setup!$B$7,1,IF($J371=Setup!$B$9,0,-1)))</f>
        <v>-1</v>
      </c>
      <c r="S371" s="35" t="n">
        <f aca="false">IF(OR($A371="",$Q371=0,$R371=-1),0,$Q371*1000+$R371*100+$K371)</f>
        <v>0</v>
      </c>
      <c r="T371" s="37" t="str">
        <f aca="false">IF($A371="","",IF($B371="","NO ACCOUNT",IF($Q371=0,"UNMAPPED",IF($R371=-1,"OUTSIDE FY RANGE","OK"))))</f>
        <v/>
      </c>
      <c r="U371" s="40" t="str">
        <f aca="false">IF($A371="","",$B371&amp;"|"&amp;TEXT($A371,"yyyymmdd")&amp;"|"&amp;TEXT($I371,"0.00"))</f>
        <v/>
      </c>
      <c r="V371" s="35" t="str">
        <f aca="false">IF($A371="","",COUNTIF($U$8:$U$5007,$U371))</f>
        <v/>
      </c>
    </row>
    <row r="372" customFormat="false" ht="15" hidden="false" customHeight="false" outlineLevel="0" collapsed="false">
      <c r="A372" s="31"/>
      <c r="B372" s="32"/>
      <c r="C372" s="32"/>
      <c r="D372" s="32"/>
      <c r="E372" s="32"/>
      <c r="F372" s="32"/>
      <c r="G372" s="33"/>
      <c r="H372" s="33"/>
      <c r="I372" s="34" t="str">
        <f aca="false">IF($A372="","",$G372-$H372)</f>
        <v/>
      </c>
      <c r="J372" s="35" t="str">
        <f aca="false">IF($A372="","",IF(Setup!$B$6=1,YEAR($A372),YEAR($A372)+IF(MONTH($A372)&gt;=Setup!$B$6,1,0)))</f>
        <v/>
      </c>
      <c r="K372" s="35" t="str">
        <f aca="false">IF($A372="","",MOD(MONTH($A372)-Setup!$B$6+12,12)+1)</f>
        <v/>
      </c>
      <c r="L372" s="36" t="str">
        <f aca="false">IF($A372="","",TEXT($A372,"MMM-YY"))</f>
        <v/>
      </c>
      <c r="M372" s="37" t="str">
        <f aca="false">IF($A372="","",IF($Q372=0,"UNMAPPED",INDEX(COA_Mapping!$C$7:$C$256,$Q372)))</f>
        <v/>
      </c>
      <c r="N372" s="38" t="str">
        <f aca="false">IF($A372="","",IF($Q372=0,"",INDEX(COA_Mapping!$E$7:$E$256,$Q372)))</f>
        <v/>
      </c>
      <c r="O372" s="38" t="n">
        <f aca="false">IF($A372="",1,IF($Q372=0,1,INDEX(COA_Mapping!$F$7:$F$256,$Q372)))</f>
        <v>1</v>
      </c>
      <c r="P372" s="34" t="str">
        <f aca="false">IF($A372="","",$I372*$O372)</f>
        <v/>
      </c>
      <c r="Q372" s="39" t="n">
        <f aca="false">IF($B372="",0,IFERROR(MATCH($B372,COA_Mapping!$A$7:$A$256,0),0))</f>
        <v>0</v>
      </c>
      <c r="R372" s="39" t="n">
        <f aca="false">IF($A372="",-1,IF($J372=Setup!$B$7,1,IF($J372=Setup!$B$9,0,-1)))</f>
        <v>-1</v>
      </c>
      <c r="S372" s="35" t="n">
        <f aca="false">IF(OR($A372="",$Q372=0,$R372=-1),0,$Q372*1000+$R372*100+$K372)</f>
        <v>0</v>
      </c>
      <c r="T372" s="37" t="str">
        <f aca="false">IF($A372="","",IF($B372="","NO ACCOUNT",IF($Q372=0,"UNMAPPED",IF($R372=-1,"OUTSIDE FY RANGE","OK"))))</f>
        <v/>
      </c>
      <c r="U372" s="40" t="str">
        <f aca="false">IF($A372="","",$B372&amp;"|"&amp;TEXT($A372,"yyyymmdd")&amp;"|"&amp;TEXT($I372,"0.00"))</f>
        <v/>
      </c>
      <c r="V372" s="35" t="str">
        <f aca="false">IF($A372="","",COUNTIF($U$8:$U$5007,$U372))</f>
        <v/>
      </c>
    </row>
    <row r="373" customFormat="false" ht="15" hidden="false" customHeight="false" outlineLevel="0" collapsed="false">
      <c r="A373" s="31"/>
      <c r="B373" s="32"/>
      <c r="C373" s="32"/>
      <c r="D373" s="32"/>
      <c r="E373" s="32"/>
      <c r="F373" s="32"/>
      <c r="G373" s="33"/>
      <c r="H373" s="33"/>
      <c r="I373" s="34" t="str">
        <f aca="false">IF($A373="","",$G373-$H373)</f>
        <v/>
      </c>
      <c r="J373" s="35" t="str">
        <f aca="false">IF($A373="","",IF(Setup!$B$6=1,YEAR($A373),YEAR($A373)+IF(MONTH($A373)&gt;=Setup!$B$6,1,0)))</f>
        <v/>
      </c>
      <c r="K373" s="35" t="str">
        <f aca="false">IF($A373="","",MOD(MONTH($A373)-Setup!$B$6+12,12)+1)</f>
        <v/>
      </c>
      <c r="L373" s="36" t="str">
        <f aca="false">IF($A373="","",TEXT($A373,"MMM-YY"))</f>
        <v/>
      </c>
      <c r="M373" s="37" t="str">
        <f aca="false">IF($A373="","",IF($Q373=0,"UNMAPPED",INDEX(COA_Mapping!$C$7:$C$256,$Q373)))</f>
        <v/>
      </c>
      <c r="N373" s="38" t="str">
        <f aca="false">IF($A373="","",IF($Q373=0,"",INDEX(COA_Mapping!$E$7:$E$256,$Q373)))</f>
        <v/>
      </c>
      <c r="O373" s="38" t="n">
        <f aca="false">IF($A373="",1,IF($Q373=0,1,INDEX(COA_Mapping!$F$7:$F$256,$Q373)))</f>
        <v>1</v>
      </c>
      <c r="P373" s="34" t="str">
        <f aca="false">IF($A373="","",$I373*$O373)</f>
        <v/>
      </c>
      <c r="Q373" s="39" t="n">
        <f aca="false">IF($B373="",0,IFERROR(MATCH($B373,COA_Mapping!$A$7:$A$256,0),0))</f>
        <v>0</v>
      </c>
      <c r="R373" s="39" t="n">
        <f aca="false">IF($A373="",-1,IF($J373=Setup!$B$7,1,IF($J373=Setup!$B$9,0,-1)))</f>
        <v>-1</v>
      </c>
      <c r="S373" s="35" t="n">
        <f aca="false">IF(OR($A373="",$Q373=0,$R373=-1),0,$Q373*1000+$R373*100+$K373)</f>
        <v>0</v>
      </c>
      <c r="T373" s="37" t="str">
        <f aca="false">IF($A373="","",IF($B373="","NO ACCOUNT",IF($Q373=0,"UNMAPPED",IF($R373=-1,"OUTSIDE FY RANGE","OK"))))</f>
        <v/>
      </c>
      <c r="U373" s="40" t="str">
        <f aca="false">IF($A373="","",$B373&amp;"|"&amp;TEXT($A373,"yyyymmdd")&amp;"|"&amp;TEXT($I373,"0.00"))</f>
        <v/>
      </c>
      <c r="V373" s="35" t="str">
        <f aca="false">IF($A373="","",COUNTIF($U$8:$U$5007,$U373))</f>
        <v/>
      </c>
    </row>
    <row r="374" customFormat="false" ht="15" hidden="false" customHeight="false" outlineLevel="0" collapsed="false">
      <c r="A374" s="31"/>
      <c r="B374" s="32"/>
      <c r="C374" s="32"/>
      <c r="D374" s="32"/>
      <c r="E374" s="32"/>
      <c r="F374" s="32"/>
      <c r="G374" s="33"/>
      <c r="H374" s="33"/>
      <c r="I374" s="34" t="str">
        <f aca="false">IF($A374="","",$G374-$H374)</f>
        <v/>
      </c>
      <c r="J374" s="35" t="str">
        <f aca="false">IF($A374="","",IF(Setup!$B$6=1,YEAR($A374),YEAR($A374)+IF(MONTH($A374)&gt;=Setup!$B$6,1,0)))</f>
        <v/>
      </c>
      <c r="K374" s="35" t="str">
        <f aca="false">IF($A374="","",MOD(MONTH($A374)-Setup!$B$6+12,12)+1)</f>
        <v/>
      </c>
      <c r="L374" s="36" t="str">
        <f aca="false">IF($A374="","",TEXT($A374,"MMM-YY"))</f>
        <v/>
      </c>
      <c r="M374" s="37" t="str">
        <f aca="false">IF($A374="","",IF($Q374=0,"UNMAPPED",INDEX(COA_Mapping!$C$7:$C$256,$Q374)))</f>
        <v/>
      </c>
      <c r="N374" s="38" t="str">
        <f aca="false">IF($A374="","",IF($Q374=0,"",INDEX(COA_Mapping!$E$7:$E$256,$Q374)))</f>
        <v/>
      </c>
      <c r="O374" s="38" t="n">
        <f aca="false">IF($A374="",1,IF($Q374=0,1,INDEX(COA_Mapping!$F$7:$F$256,$Q374)))</f>
        <v>1</v>
      </c>
      <c r="P374" s="34" t="str">
        <f aca="false">IF($A374="","",$I374*$O374)</f>
        <v/>
      </c>
      <c r="Q374" s="39" t="n">
        <f aca="false">IF($B374="",0,IFERROR(MATCH($B374,COA_Mapping!$A$7:$A$256,0),0))</f>
        <v>0</v>
      </c>
      <c r="R374" s="39" t="n">
        <f aca="false">IF($A374="",-1,IF($J374=Setup!$B$7,1,IF($J374=Setup!$B$9,0,-1)))</f>
        <v>-1</v>
      </c>
      <c r="S374" s="35" t="n">
        <f aca="false">IF(OR($A374="",$Q374=0,$R374=-1),0,$Q374*1000+$R374*100+$K374)</f>
        <v>0</v>
      </c>
      <c r="T374" s="37" t="str">
        <f aca="false">IF($A374="","",IF($B374="","NO ACCOUNT",IF($Q374=0,"UNMAPPED",IF($R374=-1,"OUTSIDE FY RANGE","OK"))))</f>
        <v/>
      </c>
      <c r="U374" s="40" t="str">
        <f aca="false">IF($A374="","",$B374&amp;"|"&amp;TEXT($A374,"yyyymmdd")&amp;"|"&amp;TEXT($I374,"0.00"))</f>
        <v/>
      </c>
      <c r="V374" s="35" t="str">
        <f aca="false">IF($A374="","",COUNTIF($U$8:$U$5007,$U374))</f>
        <v/>
      </c>
    </row>
    <row r="375" customFormat="false" ht="15" hidden="false" customHeight="false" outlineLevel="0" collapsed="false">
      <c r="A375" s="31"/>
      <c r="B375" s="32"/>
      <c r="C375" s="32"/>
      <c r="D375" s="32"/>
      <c r="E375" s="32"/>
      <c r="F375" s="32"/>
      <c r="G375" s="33"/>
      <c r="H375" s="33"/>
      <c r="I375" s="34" t="str">
        <f aca="false">IF($A375="","",$G375-$H375)</f>
        <v/>
      </c>
      <c r="J375" s="35" t="str">
        <f aca="false">IF($A375="","",IF(Setup!$B$6=1,YEAR($A375),YEAR($A375)+IF(MONTH($A375)&gt;=Setup!$B$6,1,0)))</f>
        <v/>
      </c>
      <c r="K375" s="35" t="str">
        <f aca="false">IF($A375="","",MOD(MONTH($A375)-Setup!$B$6+12,12)+1)</f>
        <v/>
      </c>
      <c r="L375" s="36" t="str">
        <f aca="false">IF($A375="","",TEXT($A375,"MMM-YY"))</f>
        <v/>
      </c>
      <c r="M375" s="37" t="str">
        <f aca="false">IF($A375="","",IF($Q375=0,"UNMAPPED",INDEX(COA_Mapping!$C$7:$C$256,$Q375)))</f>
        <v/>
      </c>
      <c r="N375" s="38" t="str">
        <f aca="false">IF($A375="","",IF($Q375=0,"",INDEX(COA_Mapping!$E$7:$E$256,$Q375)))</f>
        <v/>
      </c>
      <c r="O375" s="38" t="n">
        <f aca="false">IF($A375="",1,IF($Q375=0,1,INDEX(COA_Mapping!$F$7:$F$256,$Q375)))</f>
        <v>1</v>
      </c>
      <c r="P375" s="34" t="str">
        <f aca="false">IF($A375="","",$I375*$O375)</f>
        <v/>
      </c>
      <c r="Q375" s="39" t="n">
        <f aca="false">IF($B375="",0,IFERROR(MATCH($B375,COA_Mapping!$A$7:$A$256,0),0))</f>
        <v>0</v>
      </c>
      <c r="R375" s="39" t="n">
        <f aca="false">IF($A375="",-1,IF($J375=Setup!$B$7,1,IF($J375=Setup!$B$9,0,-1)))</f>
        <v>-1</v>
      </c>
      <c r="S375" s="35" t="n">
        <f aca="false">IF(OR($A375="",$Q375=0,$R375=-1),0,$Q375*1000+$R375*100+$K375)</f>
        <v>0</v>
      </c>
      <c r="T375" s="37" t="str">
        <f aca="false">IF($A375="","",IF($B375="","NO ACCOUNT",IF($Q375=0,"UNMAPPED",IF($R375=-1,"OUTSIDE FY RANGE","OK"))))</f>
        <v/>
      </c>
      <c r="U375" s="40" t="str">
        <f aca="false">IF($A375="","",$B375&amp;"|"&amp;TEXT($A375,"yyyymmdd")&amp;"|"&amp;TEXT($I375,"0.00"))</f>
        <v/>
      </c>
      <c r="V375" s="35" t="str">
        <f aca="false">IF($A375="","",COUNTIF($U$8:$U$5007,$U375))</f>
        <v/>
      </c>
    </row>
    <row r="376" customFormat="false" ht="15" hidden="false" customHeight="false" outlineLevel="0" collapsed="false">
      <c r="A376" s="31"/>
      <c r="B376" s="32"/>
      <c r="C376" s="32"/>
      <c r="D376" s="32"/>
      <c r="E376" s="32"/>
      <c r="F376" s="32"/>
      <c r="G376" s="33"/>
      <c r="H376" s="33"/>
      <c r="I376" s="34" t="str">
        <f aca="false">IF($A376="","",$G376-$H376)</f>
        <v/>
      </c>
      <c r="J376" s="35" t="str">
        <f aca="false">IF($A376="","",IF(Setup!$B$6=1,YEAR($A376),YEAR($A376)+IF(MONTH($A376)&gt;=Setup!$B$6,1,0)))</f>
        <v/>
      </c>
      <c r="K376" s="35" t="str">
        <f aca="false">IF($A376="","",MOD(MONTH($A376)-Setup!$B$6+12,12)+1)</f>
        <v/>
      </c>
      <c r="L376" s="36" t="str">
        <f aca="false">IF($A376="","",TEXT($A376,"MMM-YY"))</f>
        <v/>
      </c>
      <c r="M376" s="37" t="str">
        <f aca="false">IF($A376="","",IF($Q376=0,"UNMAPPED",INDEX(COA_Mapping!$C$7:$C$256,$Q376)))</f>
        <v/>
      </c>
      <c r="N376" s="38" t="str">
        <f aca="false">IF($A376="","",IF($Q376=0,"",INDEX(COA_Mapping!$E$7:$E$256,$Q376)))</f>
        <v/>
      </c>
      <c r="O376" s="38" t="n">
        <f aca="false">IF($A376="",1,IF($Q376=0,1,INDEX(COA_Mapping!$F$7:$F$256,$Q376)))</f>
        <v>1</v>
      </c>
      <c r="P376" s="34" t="str">
        <f aca="false">IF($A376="","",$I376*$O376)</f>
        <v/>
      </c>
      <c r="Q376" s="39" t="n">
        <f aca="false">IF($B376="",0,IFERROR(MATCH($B376,COA_Mapping!$A$7:$A$256,0),0))</f>
        <v>0</v>
      </c>
      <c r="R376" s="39" t="n">
        <f aca="false">IF($A376="",-1,IF($J376=Setup!$B$7,1,IF($J376=Setup!$B$9,0,-1)))</f>
        <v>-1</v>
      </c>
      <c r="S376" s="35" t="n">
        <f aca="false">IF(OR($A376="",$Q376=0,$R376=-1),0,$Q376*1000+$R376*100+$K376)</f>
        <v>0</v>
      </c>
      <c r="T376" s="37" t="str">
        <f aca="false">IF($A376="","",IF($B376="","NO ACCOUNT",IF($Q376=0,"UNMAPPED",IF($R376=-1,"OUTSIDE FY RANGE","OK"))))</f>
        <v/>
      </c>
      <c r="U376" s="40" t="str">
        <f aca="false">IF($A376="","",$B376&amp;"|"&amp;TEXT($A376,"yyyymmdd")&amp;"|"&amp;TEXT($I376,"0.00"))</f>
        <v/>
      </c>
      <c r="V376" s="35" t="str">
        <f aca="false">IF($A376="","",COUNTIF($U$8:$U$5007,$U376))</f>
        <v/>
      </c>
    </row>
    <row r="377" customFormat="false" ht="15" hidden="false" customHeight="false" outlineLevel="0" collapsed="false">
      <c r="A377" s="31"/>
      <c r="B377" s="32"/>
      <c r="C377" s="32"/>
      <c r="D377" s="32"/>
      <c r="E377" s="32"/>
      <c r="F377" s="32"/>
      <c r="G377" s="33"/>
      <c r="H377" s="33"/>
      <c r="I377" s="34" t="str">
        <f aca="false">IF($A377="","",$G377-$H377)</f>
        <v/>
      </c>
      <c r="J377" s="35" t="str">
        <f aca="false">IF($A377="","",IF(Setup!$B$6=1,YEAR($A377),YEAR($A377)+IF(MONTH($A377)&gt;=Setup!$B$6,1,0)))</f>
        <v/>
      </c>
      <c r="K377" s="35" t="str">
        <f aca="false">IF($A377="","",MOD(MONTH($A377)-Setup!$B$6+12,12)+1)</f>
        <v/>
      </c>
      <c r="L377" s="36" t="str">
        <f aca="false">IF($A377="","",TEXT($A377,"MMM-YY"))</f>
        <v/>
      </c>
      <c r="M377" s="37" t="str">
        <f aca="false">IF($A377="","",IF($Q377=0,"UNMAPPED",INDEX(COA_Mapping!$C$7:$C$256,$Q377)))</f>
        <v/>
      </c>
      <c r="N377" s="38" t="str">
        <f aca="false">IF($A377="","",IF($Q377=0,"",INDEX(COA_Mapping!$E$7:$E$256,$Q377)))</f>
        <v/>
      </c>
      <c r="O377" s="38" t="n">
        <f aca="false">IF($A377="",1,IF($Q377=0,1,INDEX(COA_Mapping!$F$7:$F$256,$Q377)))</f>
        <v>1</v>
      </c>
      <c r="P377" s="34" t="str">
        <f aca="false">IF($A377="","",$I377*$O377)</f>
        <v/>
      </c>
      <c r="Q377" s="39" t="n">
        <f aca="false">IF($B377="",0,IFERROR(MATCH($B377,COA_Mapping!$A$7:$A$256,0),0))</f>
        <v>0</v>
      </c>
      <c r="R377" s="39" t="n">
        <f aca="false">IF($A377="",-1,IF($J377=Setup!$B$7,1,IF($J377=Setup!$B$9,0,-1)))</f>
        <v>-1</v>
      </c>
      <c r="S377" s="35" t="n">
        <f aca="false">IF(OR($A377="",$Q377=0,$R377=-1),0,$Q377*1000+$R377*100+$K377)</f>
        <v>0</v>
      </c>
      <c r="T377" s="37" t="str">
        <f aca="false">IF($A377="","",IF($B377="","NO ACCOUNT",IF($Q377=0,"UNMAPPED",IF($R377=-1,"OUTSIDE FY RANGE","OK"))))</f>
        <v/>
      </c>
      <c r="U377" s="40" t="str">
        <f aca="false">IF($A377="","",$B377&amp;"|"&amp;TEXT($A377,"yyyymmdd")&amp;"|"&amp;TEXT($I377,"0.00"))</f>
        <v/>
      </c>
      <c r="V377" s="35" t="str">
        <f aca="false">IF($A377="","",COUNTIF($U$8:$U$5007,$U377))</f>
        <v/>
      </c>
    </row>
    <row r="378" customFormat="false" ht="15" hidden="false" customHeight="false" outlineLevel="0" collapsed="false">
      <c r="A378" s="31"/>
      <c r="B378" s="32"/>
      <c r="C378" s="32"/>
      <c r="D378" s="32"/>
      <c r="E378" s="32"/>
      <c r="F378" s="32"/>
      <c r="G378" s="33"/>
      <c r="H378" s="33"/>
      <c r="I378" s="34" t="str">
        <f aca="false">IF($A378="","",$G378-$H378)</f>
        <v/>
      </c>
      <c r="J378" s="35" t="str">
        <f aca="false">IF($A378="","",IF(Setup!$B$6=1,YEAR($A378),YEAR($A378)+IF(MONTH($A378)&gt;=Setup!$B$6,1,0)))</f>
        <v/>
      </c>
      <c r="K378" s="35" t="str">
        <f aca="false">IF($A378="","",MOD(MONTH($A378)-Setup!$B$6+12,12)+1)</f>
        <v/>
      </c>
      <c r="L378" s="36" t="str">
        <f aca="false">IF($A378="","",TEXT($A378,"MMM-YY"))</f>
        <v/>
      </c>
      <c r="M378" s="37" t="str">
        <f aca="false">IF($A378="","",IF($Q378=0,"UNMAPPED",INDEX(COA_Mapping!$C$7:$C$256,$Q378)))</f>
        <v/>
      </c>
      <c r="N378" s="38" t="str">
        <f aca="false">IF($A378="","",IF($Q378=0,"",INDEX(COA_Mapping!$E$7:$E$256,$Q378)))</f>
        <v/>
      </c>
      <c r="O378" s="38" t="n">
        <f aca="false">IF($A378="",1,IF($Q378=0,1,INDEX(COA_Mapping!$F$7:$F$256,$Q378)))</f>
        <v>1</v>
      </c>
      <c r="P378" s="34" t="str">
        <f aca="false">IF($A378="","",$I378*$O378)</f>
        <v/>
      </c>
      <c r="Q378" s="39" t="n">
        <f aca="false">IF($B378="",0,IFERROR(MATCH($B378,COA_Mapping!$A$7:$A$256,0),0))</f>
        <v>0</v>
      </c>
      <c r="R378" s="39" t="n">
        <f aca="false">IF($A378="",-1,IF($J378=Setup!$B$7,1,IF($J378=Setup!$B$9,0,-1)))</f>
        <v>-1</v>
      </c>
      <c r="S378" s="35" t="n">
        <f aca="false">IF(OR($A378="",$Q378=0,$R378=-1),0,$Q378*1000+$R378*100+$K378)</f>
        <v>0</v>
      </c>
      <c r="T378" s="37" t="str">
        <f aca="false">IF($A378="","",IF($B378="","NO ACCOUNT",IF($Q378=0,"UNMAPPED",IF($R378=-1,"OUTSIDE FY RANGE","OK"))))</f>
        <v/>
      </c>
      <c r="U378" s="40" t="str">
        <f aca="false">IF($A378="","",$B378&amp;"|"&amp;TEXT($A378,"yyyymmdd")&amp;"|"&amp;TEXT($I378,"0.00"))</f>
        <v/>
      </c>
      <c r="V378" s="35" t="str">
        <f aca="false">IF($A378="","",COUNTIF($U$8:$U$5007,$U378))</f>
        <v/>
      </c>
    </row>
    <row r="379" customFormat="false" ht="15" hidden="false" customHeight="false" outlineLevel="0" collapsed="false">
      <c r="A379" s="31"/>
      <c r="B379" s="32"/>
      <c r="C379" s="32"/>
      <c r="D379" s="32"/>
      <c r="E379" s="32"/>
      <c r="F379" s="32"/>
      <c r="G379" s="33"/>
      <c r="H379" s="33"/>
      <c r="I379" s="34" t="str">
        <f aca="false">IF($A379="","",$G379-$H379)</f>
        <v/>
      </c>
      <c r="J379" s="35" t="str">
        <f aca="false">IF($A379="","",IF(Setup!$B$6=1,YEAR($A379),YEAR($A379)+IF(MONTH($A379)&gt;=Setup!$B$6,1,0)))</f>
        <v/>
      </c>
      <c r="K379" s="35" t="str">
        <f aca="false">IF($A379="","",MOD(MONTH($A379)-Setup!$B$6+12,12)+1)</f>
        <v/>
      </c>
      <c r="L379" s="36" t="str">
        <f aca="false">IF($A379="","",TEXT($A379,"MMM-YY"))</f>
        <v/>
      </c>
      <c r="M379" s="37" t="str">
        <f aca="false">IF($A379="","",IF($Q379=0,"UNMAPPED",INDEX(COA_Mapping!$C$7:$C$256,$Q379)))</f>
        <v/>
      </c>
      <c r="N379" s="38" t="str">
        <f aca="false">IF($A379="","",IF($Q379=0,"",INDEX(COA_Mapping!$E$7:$E$256,$Q379)))</f>
        <v/>
      </c>
      <c r="O379" s="38" t="n">
        <f aca="false">IF($A379="",1,IF($Q379=0,1,INDEX(COA_Mapping!$F$7:$F$256,$Q379)))</f>
        <v>1</v>
      </c>
      <c r="P379" s="34" t="str">
        <f aca="false">IF($A379="","",$I379*$O379)</f>
        <v/>
      </c>
      <c r="Q379" s="39" t="n">
        <f aca="false">IF($B379="",0,IFERROR(MATCH($B379,COA_Mapping!$A$7:$A$256,0),0))</f>
        <v>0</v>
      </c>
      <c r="R379" s="39" t="n">
        <f aca="false">IF($A379="",-1,IF($J379=Setup!$B$7,1,IF($J379=Setup!$B$9,0,-1)))</f>
        <v>-1</v>
      </c>
      <c r="S379" s="35" t="n">
        <f aca="false">IF(OR($A379="",$Q379=0,$R379=-1),0,$Q379*1000+$R379*100+$K379)</f>
        <v>0</v>
      </c>
      <c r="T379" s="37" t="str">
        <f aca="false">IF($A379="","",IF($B379="","NO ACCOUNT",IF($Q379=0,"UNMAPPED",IF($R379=-1,"OUTSIDE FY RANGE","OK"))))</f>
        <v/>
      </c>
      <c r="U379" s="40" t="str">
        <f aca="false">IF($A379="","",$B379&amp;"|"&amp;TEXT($A379,"yyyymmdd")&amp;"|"&amp;TEXT($I379,"0.00"))</f>
        <v/>
      </c>
      <c r="V379" s="35" t="str">
        <f aca="false">IF($A379="","",COUNTIF($U$8:$U$5007,$U379))</f>
        <v/>
      </c>
    </row>
    <row r="380" customFormat="false" ht="15" hidden="false" customHeight="false" outlineLevel="0" collapsed="false">
      <c r="A380" s="31"/>
      <c r="B380" s="32"/>
      <c r="C380" s="32"/>
      <c r="D380" s="32"/>
      <c r="E380" s="32"/>
      <c r="F380" s="32"/>
      <c r="G380" s="33"/>
      <c r="H380" s="33"/>
      <c r="I380" s="34" t="str">
        <f aca="false">IF($A380="","",$G380-$H380)</f>
        <v/>
      </c>
      <c r="J380" s="35" t="str">
        <f aca="false">IF($A380="","",IF(Setup!$B$6=1,YEAR($A380),YEAR($A380)+IF(MONTH($A380)&gt;=Setup!$B$6,1,0)))</f>
        <v/>
      </c>
      <c r="K380" s="35" t="str">
        <f aca="false">IF($A380="","",MOD(MONTH($A380)-Setup!$B$6+12,12)+1)</f>
        <v/>
      </c>
      <c r="L380" s="36" t="str">
        <f aca="false">IF($A380="","",TEXT($A380,"MMM-YY"))</f>
        <v/>
      </c>
      <c r="M380" s="37" t="str">
        <f aca="false">IF($A380="","",IF($Q380=0,"UNMAPPED",INDEX(COA_Mapping!$C$7:$C$256,$Q380)))</f>
        <v/>
      </c>
      <c r="N380" s="38" t="str">
        <f aca="false">IF($A380="","",IF($Q380=0,"",INDEX(COA_Mapping!$E$7:$E$256,$Q380)))</f>
        <v/>
      </c>
      <c r="O380" s="38" t="n">
        <f aca="false">IF($A380="",1,IF($Q380=0,1,INDEX(COA_Mapping!$F$7:$F$256,$Q380)))</f>
        <v>1</v>
      </c>
      <c r="P380" s="34" t="str">
        <f aca="false">IF($A380="","",$I380*$O380)</f>
        <v/>
      </c>
      <c r="Q380" s="39" t="n">
        <f aca="false">IF($B380="",0,IFERROR(MATCH($B380,COA_Mapping!$A$7:$A$256,0),0))</f>
        <v>0</v>
      </c>
      <c r="R380" s="39" t="n">
        <f aca="false">IF($A380="",-1,IF($J380=Setup!$B$7,1,IF($J380=Setup!$B$9,0,-1)))</f>
        <v>-1</v>
      </c>
      <c r="S380" s="35" t="n">
        <f aca="false">IF(OR($A380="",$Q380=0,$R380=-1),0,$Q380*1000+$R380*100+$K380)</f>
        <v>0</v>
      </c>
      <c r="T380" s="37" t="str">
        <f aca="false">IF($A380="","",IF($B380="","NO ACCOUNT",IF($Q380=0,"UNMAPPED",IF($R380=-1,"OUTSIDE FY RANGE","OK"))))</f>
        <v/>
      </c>
      <c r="U380" s="40" t="str">
        <f aca="false">IF($A380="","",$B380&amp;"|"&amp;TEXT($A380,"yyyymmdd")&amp;"|"&amp;TEXT($I380,"0.00"))</f>
        <v/>
      </c>
      <c r="V380" s="35" t="str">
        <f aca="false">IF($A380="","",COUNTIF($U$8:$U$5007,$U380))</f>
        <v/>
      </c>
    </row>
    <row r="381" customFormat="false" ht="15" hidden="false" customHeight="false" outlineLevel="0" collapsed="false">
      <c r="A381" s="31"/>
      <c r="B381" s="32"/>
      <c r="C381" s="32"/>
      <c r="D381" s="32"/>
      <c r="E381" s="32"/>
      <c r="F381" s="32"/>
      <c r="G381" s="33"/>
      <c r="H381" s="33"/>
      <c r="I381" s="34" t="str">
        <f aca="false">IF($A381="","",$G381-$H381)</f>
        <v/>
      </c>
      <c r="J381" s="35" t="str">
        <f aca="false">IF($A381="","",IF(Setup!$B$6=1,YEAR($A381),YEAR($A381)+IF(MONTH($A381)&gt;=Setup!$B$6,1,0)))</f>
        <v/>
      </c>
      <c r="K381" s="35" t="str">
        <f aca="false">IF($A381="","",MOD(MONTH($A381)-Setup!$B$6+12,12)+1)</f>
        <v/>
      </c>
      <c r="L381" s="36" t="str">
        <f aca="false">IF($A381="","",TEXT($A381,"MMM-YY"))</f>
        <v/>
      </c>
      <c r="M381" s="37" t="str">
        <f aca="false">IF($A381="","",IF($Q381=0,"UNMAPPED",INDEX(COA_Mapping!$C$7:$C$256,$Q381)))</f>
        <v/>
      </c>
      <c r="N381" s="38" t="str">
        <f aca="false">IF($A381="","",IF($Q381=0,"",INDEX(COA_Mapping!$E$7:$E$256,$Q381)))</f>
        <v/>
      </c>
      <c r="O381" s="38" t="n">
        <f aca="false">IF($A381="",1,IF($Q381=0,1,INDEX(COA_Mapping!$F$7:$F$256,$Q381)))</f>
        <v>1</v>
      </c>
      <c r="P381" s="34" t="str">
        <f aca="false">IF($A381="","",$I381*$O381)</f>
        <v/>
      </c>
      <c r="Q381" s="39" t="n">
        <f aca="false">IF($B381="",0,IFERROR(MATCH($B381,COA_Mapping!$A$7:$A$256,0),0))</f>
        <v>0</v>
      </c>
      <c r="R381" s="39" t="n">
        <f aca="false">IF($A381="",-1,IF($J381=Setup!$B$7,1,IF($J381=Setup!$B$9,0,-1)))</f>
        <v>-1</v>
      </c>
      <c r="S381" s="35" t="n">
        <f aca="false">IF(OR($A381="",$Q381=0,$R381=-1),0,$Q381*1000+$R381*100+$K381)</f>
        <v>0</v>
      </c>
      <c r="T381" s="37" t="str">
        <f aca="false">IF($A381="","",IF($B381="","NO ACCOUNT",IF($Q381=0,"UNMAPPED",IF($R381=-1,"OUTSIDE FY RANGE","OK"))))</f>
        <v/>
      </c>
      <c r="U381" s="40" t="str">
        <f aca="false">IF($A381="","",$B381&amp;"|"&amp;TEXT($A381,"yyyymmdd")&amp;"|"&amp;TEXT($I381,"0.00"))</f>
        <v/>
      </c>
      <c r="V381" s="35" t="str">
        <f aca="false">IF($A381="","",COUNTIF($U$8:$U$5007,$U381))</f>
        <v/>
      </c>
    </row>
    <row r="382" customFormat="false" ht="15" hidden="false" customHeight="false" outlineLevel="0" collapsed="false">
      <c r="A382" s="31"/>
      <c r="B382" s="32"/>
      <c r="C382" s="32"/>
      <c r="D382" s="32"/>
      <c r="E382" s="32"/>
      <c r="F382" s="32"/>
      <c r="G382" s="33"/>
      <c r="H382" s="33"/>
      <c r="I382" s="34" t="str">
        <f aca="false">IF($A382="","",$G382-$H382)</f>
        <v/>
      </c>
      <c r="J382" s="35" t="str">
        <f aca="false">IF($A382="","",IF(Setup!$B$6=1,YEAR($A382),YEAR($A382)+IF(MONTH($A382)&gt;=Setup!$B$6,1,0)))</f>
        <v/>
      </c>
      <c r="K382" s="35" t="str">
        <f aca="false">IF($A382="","",MOD(MONTH($A382)-Setup!$B$6+12,12)+1)</f>
        <v/>
      </c>
      <c r="L382" s="36" t="str">
        <f aca="false">IF($A382="","",TEXT($A382,"MMM-YY"))</f>
        <v/>
      </c>
      <c r="M382" s="37" t="str">
        <f aca="false">IF($A382="","",IF($Q382=0,"UNMAPPED",INDEX(COA_Mapping!$C$7:$C$256,$Q382)))</f>
        <v/>
      </c>
      <c r="N382" s="38" t="str">
        <f aca="false">IF($A382="","",IF($Q382=0,"",INDEX(COA_Mapping!$E$7:$E$256,$Q382)))</f>
        <v/>
      </c>
      <c r="O382" s="38" t="n">
        <f aca="false">IF($A382="",1,IF($Q382=0,1,INDEX(COA_Mapping!$F$7:$F$256,$Q382)))</f>
        <v>1</v>
      </c>
      <c r="P382" s="34" t="str">
        <f aca="false">IF($A382="","",$I382*$O382)</f>
        <v/>
      </c>
      <c r="Q382" s="39" t="n">
        <f aca="false">IF($B382="",0,IFERROR(MATCH($B382,COA_Mapping!$A$7:$A$256,0),0))</f>
        <v>0</v>
      </c>
      <c r="R382" s="39" t="n">
        <f aca="false">IF($A382="",-1,IF($J382=Setup!$B$7,1,IF($J382=Setup!$B$9,0,-1)))</f>
        <v>-1</v>
      </c>
      <c r="S382" s="35" t="n">
        <f aca="false">IF(OR($A382="",$Q382=0,$R382=-1),0,$Q382*1000+$R382*100+$K382)</f>
        <v>0</v>
      </c>
      <c r="T382" s="37" t="str">
        <f aca="false">IF($A382="","",IF($B382="","NO ACCOUNT",IF($Q382=0,"UNMAPPED",IF($R382=-1,"OUTSIDE FY RANGE","OK"))))</f>
        <v/>
      </c>
      <c r="U382" s="40" t="str">
        <f aca="false">IF($A382="","",$B382&amp;"|"&amp;TEXT($A382,"yyyymmdd")&amp;"|"&amp;TEXT($I382,"0.00"))</f>
        <v/>
      </c>
      <c r="V382" s="35" t="str">
        <f aca="false">IF($A382="","",COUNTIF($U$8:$U$5007,$U382))</f>
        <v/>
      </c>
    </row>
    <row r="383" customFormat="false" ht="15" hidden="false" customHeight="false" outlineLevel="0" collapsed="false">
      <c r="A383" s="31"/>
      <c r="B383" s="32"/>
      <c r="C383" s="32"/>
      <c r="D383" s="32"/>
      <c r="E383" s="32"/>
      <c r="F383" s="32"/>
      <c r="G383" s="33"/>
      <c r="H383" s="33"/>
      <c r="I383" s="34" t="str">
        <f aca="false">IF($A383="","",$G383-$H383)</f>
        <v/>
      </c>
      <c r="J383" s="35" t="str">
        <f aca="false">IF($A383="","",IF(Setup!$B$6=1,YEAR($A383),YEAR($A383)+IF(MONTH($A383)&gt;=Setup!$B$6,1,0)))</f>
        <v/>
      </c>
      <c r="K383" s="35" t="str">
        <f aca="false">IF($A383="","",MOD(MONTH($A383)-Setup!$B$6+12,12)+1)</f>
        <v/>
      </c>
      <c r="L383" s="36" t="str">
        <f aca="false">IF($A383="","",TEXT($A383,"MMM-YY"))</f>
        <v/>
      </c>
      <c r="M383" s="37" t="str">
        <f aca="false">IF($A383="","",IF($Q383=0,"UNMAPPED",INDEX(COA_Mapping!$C$7:$C$256,$Q383)))</f>
        <v/>
      </c>
      <c r="N383" s="38" t="str">
        <f aca="false">IF($A383="","",IF($Q383=0,"",INDEX(COA_Mapping!$E$7:$E$256,$Q383)))</f>
        <v/>
      </c>
      <c r="O383" s="38" t="n">
        <f aca="false">IF($A383="",1,IF($Q383=0,1,INDEX(COA_Mapping!$F$7:$F$256,$Q383)))</f>
        <v>1</v>
      </c>
      <c r="P383" s="34" t="str">
        <f aca="false">IF($A383="","",$I383*$O383)</f>
        <v/>
      </c>
      <c r="Q383" s="39" t="n">
        <f aca="false">IF($B383="",0,IFERROR(MATCH($B383,COA_Mapping!$A$7:$A$256,0),0))</f>
        <v>0</v>
      </c>
      <c r="R383" s="39" t="n">
        <f aca="false">IF($A383="",-1,IF($J383=Setup!$B$7,1,IF($J383=Setup!$B$9,0,-1)))</f>
        <v>-1</v>
      </c>
      <c r="S383" s="35" t="n">
        <f aca="false">IF(OR($A383="",$Q383=0,$R383=-1),0,$Q383*1000+$R383*100+$K383)</f>
        <v>0</v>
      </c>
      <c r="T383" s="37" t="str">
        <f aca="false">IF($A383="","",IF($B383="","NO ACCOUNT",IF($Q383=0,"UNMAPPED",IF($R383=-1,"OUTSIDE FY RANGE","OK"))))</f>
        <v/>
      </c>
      <c r="U383" s="40" t="str">
        <f aca="false">IF($A383="","",$B383&amp;"|"&amp;TEXT($A383,"yyyymmdd")&amp;"|"&amp;TEXT($I383,"0.00"))</f>
        <v/>
      </c>
      <c r="V383" s="35" t="str">
        <f aca="false">IF($A383="","",COUNTIF($U$8:$U$5007,$U383))</f>
        <v/>
      </c>
    </row>
    <row r="384" customFormat="false" ht="15" hidden="false" customHeight="false" outlineLevel="0" collapsed="false">
      <c r="A384" s="31"/>
      <c r="B384" s="32"/>
      <c r="C384" s="32"/>
      <c r="D384" s="32"/>
      <c r="E384" s="32"/>
      <c r="F384" s="32"/>
      <c r="G384" s="33"/>
      <c r="H384" s="33"/>
      <c r="I384" s="34" t="str">
        <f aca="false">IF($A384="","",$G384-$H384)</f>
        <v/>
      </c>
      <c r="J384" s="35" t="str">
        <f aca="false">IF($A384="","",IF(Setup!$B$6=1,YEAR($A384),YEAR($A384)+IF(MONTH($A384)&gt;=Setup!$B$6,1,0)))</f>
        <v/>
      </c>
      <c r="K384" s="35" t="str">
        <f aca="false">IF($A384="","",MOD(MONTH($A384)-Setup!$B$6+12,12)+1)</f>
        <v/>
      </c>
      <c r="L384" s="36" t="str">
        <f aca="false">IF($A384="","",TEXT($A384,"MMM-YY"))</f>
        <v/>
      </c>
      <c r="M384" s="37" t="str">
        <f aca="false">IF($A384="","",IF($Q384=0,"UNMAPPED",INDEX(COA_Mapping!$C$7:$C$256,$Q384)))</f>
        <v/>
      </c>
      <c r="N384" s="38" t="str">
        <f aca="false">IF($A384="","",IF($Q384=0,"",INDEX(COA_Mapping!$E$7:$E$256,$Q384)))</f>
        <v/>
      </c>
      <c r="O384" s="38" t="n">
        <f aca="false">IF($A384="",1,IF($Q384=0,1,INDEX(COA_Mapping!$F$7:$F$256,$Q384)))</f>
        <v>1</v>
      </c>
      <c r="P384" s="34" t="str">
        <f aca="false">IF($A384="","",$I384*$O384)</f>
        <v/>
      </c>
      <c r="Q384" s="39" t="n">
        <f aca="false">IF($B384="",0,IFERROR(MATCH($B384,COA_Mapping!$A$7:$A$256,0),0))</f>
        <v>0</v>
      </c>
      <c r="R384" s="39" t="n">
        <f aca="false">IF($A384="",-1,IF($J384=Setup!$B$7,1,IF($J384=Setup!$B$9,0,-1)))</f>
        <v>-1</v>
      </c>
      <c r="S384" s="35" t="n">
        <f aca="false">IF(OR($A384="",$Q384=0,$R384=-1),0,$Q384*1000+$R384*100+$K384)</f>
        <v>0</v>
      </c>
      <c r="T384" s="37" t="str">
        <f aca="false">IF($A384="","",IF($B384="","NO ACCOUNT",IF($Q384=0,"UNMAPPED",IF($R384=-1,"OUTSIDE FY RANGE","OK"))))</f>
        <v/>
      </c>
      <c r="U384" s="40" t="str">
        <f aca="false">IF($A384="","",$B384&amp;"|"&amp;TEXT($A384,"yyyymmdd")&amp;"|"&amp;TEXT($I384,"0.00"))</f>
        <v/>
      </c>
      <c r="V384" s="35" t="str">
        <f aca="false">IF($A384="","",COUNTIF($U$8:$U$5007,$U384))</f>
        <v/>
      </c>
    </row>
    <row r="385" customFormat="false" ht="15" hidden="false" customHeight="false" outlineLevel="0" collapsed="false">
      <c r="A385" s="31"/>
      <c r="B385" s="32"/>
      <c r="C385" s="32"/>
      <c r="D385" s="32"/>
      <c r="E385" s="32"/>
      <c r="F385" s="32"/>
      <c r="G385" s="33"/>
      <c r="H385" s="33"/>
      <c r="I385" s="34" t="str">
        <f aca="false">IF($A385="","",$G385-$H385)</f>
        <v/>
      </c>
      <c r="J385" s="35" t="str">
        <f aca="false">IF($A385="","",IF(Setup!$B$6=1,YEAR($A385),YEAR($A385)+IF(MONTH($A385)&gt;=Setup!$B$6,1,0)))</f>
        <v/>
      </c>
      <c r="K385" s="35" t="str">
        <f aca="false">IF($A385="","",MOD(MONTH($A385)-Setup!$B$6+12,12)+1)</f>
        <v/>
      </c>
      <c r="L385" s="36" t="str">
        <f aca="false">IF($A385="","",TEXT($A385,"MMM-YY"))</f>
        <v/>
      </c>
      <c r="M385" s="37" t="str">
        <f aca="false">IF($A385="","",IF($Q385=0,"UNMAPPED",INDEX(COA_Mapping!$C$7:$C$256,$Q385)))</f>
        <v/>
      </c>
      <c r="N385" s="38" t="str">
        <f aca="false">IF($A385="","",IF($Q385=0,"",INDEX(COA_Mapping!$E$7:$E$256,$Q385)))</f>
        <v/>
      </c>
      <c r="O385" s="38" t="n">
        <f aca="false">IF($A385="",1,IF($Q385=0,1,INDEX(COA_Mapping!$F$7:$F$256,$Q385)))</f>
        <v>1</v>
      </c>
      <c r="P385" s="34" t="str">
        <f aca="false">IF($A385="","",$I385*$O385)</f>
        <v/>
      </c>
      <c r="Q385" s="39" t="n">
        <f aca="false">IF($B385="",0,IFERROR(MATCH($B385,COA_Mapping!$A$7:$A$256,0),0))</f>
        <v>0</v>
      </c>
      <c r="R385" s="39" t="n">
        <f aca="false">IF($A385="",-1,IF($J385=Setup!$B$7,1,IF($J385=Setup!$B$9,0,-1)))</f>
        <v>-1</v>
      </c>
      <c r="S385" s="35" t="n">
        <f aca="false">IF(OR($A385="",$Q385=0,$R385=-1),0,$Q385*1000+$R385*100+$K385)</f>
        <v>0</v>
      </c>
      <c r="T385" s="37" t="str">
        <f aca="false">IF($A385="","",IF($B385="","NO ACCOUNT",IF($Q385=0,"UNMAPPED",IF($R385=-1,"OUTSIDE FY RANGE","OK"))))</f>
        <v/>
      </c>
      <c r="U385" s="40" t="str">
        <f aca="false">IF($A385="","",$B385&amp;"|"&amp;TEXT($A385,"yyyymmdd")&amp;"|"&amp;TEXT($I385,"0.00"))</f>
        <v/>
      </c>
      <c r="V385" s="35" t="str">
        <f aca="false">IF($A385="","",COUNTIF($U$8:$U$5007,$U385))</f>
        <v/>
      </c>
    </row>
    <row r="386" customFormat="false" ht="15" hidden="false" customHeight="false" outlineLevel="0" collapsed="false">
      <c r="A386" s="31"/>
      <c r="B386" s="32"/>
      <c r="C386" s="32"/>
      <c r="D386" s="32"/>
      <c r="E386" s="32"/>
      <c r="F386" s="32"/>
      <c r="G386" s="33"/>
      <c r="H386" s="33"/>
      <c r="I386" s="34" t="str">
        <f aca="false">IF($A386="","",$G386-$H386)</f>
        <v/>
      </c>
      <c r="J386" s="35" t="str">
        <f aca="false">IF($A386="","",IF(Setup!$B$6=1,YEAR($A386),YEAR($A386)+IF(MONTH($A386)&gt;=Setup!$B$6,1,0)))</f>
        <v/>
      </c>
      <c r="K386" s="35" t="str">
        <f aca="false">IF($A386="","",MOD(MONTH($A386)-Setup!$B$6+12,12)+1)</f>
        <v/>
      </c>
      <c r="L386" s="36" t="str">
        <f aca="false">IF($A386="","",TEXT($A386,"MMM-YY"))</f>
        <v/>
      </c>
      <c r="M386" s="37" t="str">
        <f aca="false">IF($A386="","",IF($Q386=0,"UNMAPPED",INDEX(COA_Mapping!$C$7:$C$256,$Q386)))</f>
        <v/>
      </c>
      <c r="N386" s="38" t="str">
        <f aca="false">IF($A386="","",IF($Q386=0,"",INDEX(COA_Mapping!$E$7:$E$256,$Q386)))</f>
        <v/>
      </c>
      <c r="O386" s="38" t="n">
        <f aca="false">IF($A386="",1,IF($Q386=0,1,INDEX(COA_Mapping!$F$7:$F$256,$Q386)))</f>
        <v>1</v>
      </c>
      <c r="P386" s="34" t="str">
        <f aca="false">IF($A386="","",$I386*$O386)</f>
        <v/>
      </c>
      <c r="Q386" s="39" t="n">
        <f aca="false">IF($B386="",0,IFERROR(MATCH($B386,COA_Mapping!$A$7:$A$256,0),0))</f>
        <v>0</v>
      </c>
      <c r="R386" s="39" t="n">
        <f aca="false">IF($A386="",-1,IF($J386=Setup!$B$7,1,IF($J386=Setup!$B$9,0,-1)))</f>
        <v>-1</v>
      </c>
      <c r="S386" s="35" t="n">
        <f aca="false">IF(OR($A386="",$Q386=0,$R386=-1),0,$Q386*1000+$R386*100+$K386)</f>
        <v>0</v>
      </c>
      <c r="T386" s="37" t="str">
        <f aca="false">IF($A386="","",IF($B386="","NO ACCOUNT",IF($Q386=0,"UNMAPPED",IF($R386=-1,"OUTSIDE FY RANGE","OK"))))</f>
        <v/>
      </c>
      <c r="U386" s="40" t="str">
        <f aca="false">IF($A386="","",$B386&amp;"|"&amp;TEXT($A386,"yyyymmdd")&amp;"|"&amp;TEXT($I386,"0.00"))</f>
        <v/>
      </c>
      <c r="V386" s="35" t="str">
        <f aca="false">IF($A386="","",COUNTIF($U$8:$U$5007,$U386))</f>
        <v/>
      </c>
    </row>
    <row r="387" customFormat="false" ht="15" hidden="false" customHeight="false" outlineLevel="0" collapsed="false">
      <c r="A387" s="31"/>
      <c r="B387" s="32"/>
      <c r="C387" s="32"/>
      <c r="D387" s="32"/>
      <c r="E387" s="32"/>
      <c r="F387" s="32"/>
      <c r="G387" s="33"/>
      <c r="H387" s="33"/>
      <c r="I387" s="34" t="str">
        <f aca="false">IF($A387="","",$G387-$H387)</f>
        <v/>
      </c>
      <c r="J387" s="35" t="str">
        <f aca="false">IF($A387="","",IF(Setup!$B$6=1,YEAR($A387),YEAR($A387)+IF(MONTH($A387)&gt;=Setup!$B$6,1,0)))</f>
        <v/>
      </c>
      <c r="K387" s="35" t="str">
        <f aca="false">IF($A387="","",MOD(MONTH($A387)-Setup!$B$6+12,12)+1)</f>
        <v/>
      </c>
      <c r="L387" s="36" t="str">
        <f aca="false">IF($A387="","",TEXT($A387,"MMM-YY"))</f>
        <v/>
      </c>
      <c r="M387" s="37" t="str">
        <f aca="false">IF($A387="","",IF($Q387=0,"UNMAPPED",INDEX(COA_Mapping!$C$7:$C$256,$Q387)))</f>
        <v/>
      </c>
      <c r="N387" s="38" t="str">
        <f aca="false">IF($A387="","",IF($Q387=0,"",INDEX(COA_Mapping!$E$7:$E$256,$Q387)))</f>
        <v/>
      </c>
      <c r="O387" s="38" t="n">
        <f aca="false">IF($A387="",1,IF($Q387=0,1,INDEX(COA_Mapping!$F$7:$F$256,$Q387)))</f>
        <v>1</v>
      </c>
      <c r="P387" s="34" t="str">
        <f aca="false">IF($A387="","",$I387*$O387)</f>
        <v/>
      </c>
      <c r="Q387" s="39" t="n">
        <f aca="false">IF($B387="",0,IFERROR(MATCH($B387,COA_Mapping!$A$7:$A$256,0),0))</f>
        <v>0</v>
      </c>
      <c r="R387" s="39" t="n">
        <f aca="false">IF($A387="",-1,IF($J387=Setup!$B$7,1,IF($J387=Setup!$B$9,0,-1)))</f>
        <v>-1</v>
      </c>
      <c r="S387" s="35" t="n">
        <f aca="false">IF(OR($A387="",$Q387=0,$R387=-1),0,$Q387*1000+$R387*100+$K387)</f>
        <v>0</v>
      </c>
      <c r="T387" s="37" t="str">
        <f aca="false">IF($A387="","",IF($B387="","NO ACCOUNT",IF($Q387=0,"UNMAPPED",IF($R387=-1,"OUTSIDE FY RANGE","OK"))))</f>
        <v/>
      </c>
      <c r="U387" s="40" t="str">
        <f aca="false">IF($A387="","",$B387&amp;"|"&amp;TEXT($A387,"yyyymmdd")&amp;"|"&amp;TEXT($I387,"0.00"))</f>
        <v/>
      </c>
      <c r="V387" s="35" t="str">
        <f aca="false">IF($A387="","",COUNTIF($U$8:$U$5007,$U387))</f>
        <v/>
      </c>
    </row>
    <row r="388" customFormat="false" ht="15" hidden="false" customHeight="false" outlineLevel="0" collapsed="false">
      <c r="A388" s="31"/>
      <c r="B388" s="32"/>
      <c r="C388" s="32"/>
      <c r="D388" s="32"/>
      <c r="E388" s="32"/>
      <c r="F388" s="32"/>
      <c r="G388" s="33"/>
      <c r="H388" s="33"/>
      <c r="I388" s="34" t="str">
        <f aca="false">IF($A388="","",$G388-$H388)</f>
        <v/>
      </c>
      <c r="J388" s="35" t="str">
        <f aca="false">IF($A388="","",IF(Setup!$B$6=1,YEAR($A388),YEAR($A388)+IF(MONTH($A388)&gt;=Setup!$B$6,1,0)))</f>
        <v/>
      </c>
      <c r="K388" s="35" t="str">
        <f aca="false">IF($A388="","",MOD(MONTH($A388)-Setup!$B$6+12,12)+1)</f>
        <v/>
      </c>
      <c r="L388" s="36" t="str">
        <f aca="false">IF($A388="","",TEXT($A388,"MMM-YY"))</f>
        <v/>
      </c>
      <c r="M388" s="37" t="str">
        <f aca="false">IF($A388="","",IF($Q388=0,"UNMAPPED",INDEX(COA_Mapping!$C$7:$C$256,$Q388)))</f>
        <v/>
      </c>
      <c r="N388" s="38" t="str">
        <f aca="false">IF($A388="","",IF($Q388=0,"",INDEX(COA_Mapping!$E$7:$E$256,$Q388)))</f>
        <v/>
      </c>
      <c r="O388" s="38" t="n">
        <f aca="false">IF($A388="",1,IF($Q388=0,1,INDEX(COA_Mapping!$F$7:$F$256,$Q388)))</f>
        <v>1</v>
      </c>
      <c r="P388" s="34" t="str">
        <f aca="false">IF($A388="","",$I388*$O388)</f>
        <v/>
      </c>
      <c r="Q388" s="39" t="n">
        <f aca="false">IF($B388="",0,IFERROR(MATCH($B388,COA_Mapping!$A$7:$A$256,0),0))</f>
        <v>0</v>
      </c>
      <c r="R388" s="39" t="n">
        <f aca="false">IF($A388="",-1,IF($J388=Setup!$B$7,1,IF($J388=Setup!$B$9,0,-1)))</f>
        <v>-1</v>
      </c>
      <c r="S388" s="35" t="n">
        <f aca="false">IF(OR($A388="",$Q388=0,$R388=-1),0,$Q388*1000+$R388*100+$K388)</f>
        <v>0</v>
      </c>
      <c r="T388" s="37" t="str">
        <f aca="false">IF($A388="","",IF($B388="","NO ACCOUNT",IF($Q388=0,"UNMAPPED",IF($R388=-1,"OUTSIDE FY RANGE","OK"))))</f>
        <v/>
      </c>
      <c r="U388" s="40" t="str">
        <f aca="false">IF($A388="","",$B388&amp;"|"&amp;TEXT($A388,"yyyymmdd")&amp;"|"&amp;TEXT($I388,"0.00"))</f>
        <v/>
      </c>
      <c r="V388" s="35" t="str">
        <f aca="false">IF($A388="","",COUNTIF($U$8:$U$5007,$U388))</f>
        <v/>
      </c>
    </row>
    <row r="389" customFormat="false" ht="15" hidden="false" customHeight="false" outlineLevel="0" collapsed="false">
      <c r="A389" s="31"/>
      <c r="B389" s="32"/>
      <c r="C389" s="32"/>
      <c r="D389" s="32"/>
      <c r="E389" s="32"/>
      <c r="F389" s="32"/>
      <c r="G389" s="33"/>
      <c r="H389" s="33"/>
      <c r="I389" s="34" t="str">
        <f aca="false">IF($A389="","",$G389-$H389)</f>
        <v/>
      </c>
      <c r="J389" s="35" t="str">
        <f aca="false">IF($A389="","",IF(Setup!$B$6=1,YEAR($A389),YEAR($A389)+IF(MONTH($A389)&gt;=Setup!$B$6,1,0)))</f>
        <v/>
      </c>
      <c r="K389" s="35" t="str">
        <f aca="false">IF($A389="","",MOD(MONTH($A389)-Setup!$B$6+12,12)+1)</f>
        <v/>
      </c>
      <c r="L389" s="36" t="str">
        <f aca="false">IF($A389="","",TEXT($A389,"MMM-YY"))</f>
        <v/>
      </c>
      <c r="M389" s="37" t="str">
        <f aca="false">IF($A389="","",IF($Q389=0,"UNMAPPED",INDEX(COA_Mapping!$C$7:$C$256,$Q389)))</f>
        <v/>
      </c>
      <c r="N389" s="38" t="str">
        <f aca="false">IF($A389="","",IF($Q389=0,"",INDEX(COA_Mapping!$E$7:$E$256,$Q389)))</f>
        <v/>
      </c>
      <c r="O389" s="38" t="n">
        <f aca="false">IF($A389="",1,IF($Q389=0,1,INDEX(COA_Mapping!$F$7:$F$256,$Q389)))</f>
        <v>1</v>
      </c>
      <c r="P389" s="34" t="str">
        <f aca="false">IF($A389="","",$I389*$O389)</f>
        <v/>
      </c>
      <c r="Q389" s="39" t="n">
        <f aca="false">IF($B389="",0,IFERROR(MATCH($B389,COA_Mapping!$A$7:$A$256,0),0))</f>
        <v>0</v>
      </c>
      <c r="R389" s="39" t="n">
        <f aca="false">IF($A389="",-1,IF($J389=Setup!$B$7,1,IF($J389=Setup!$B$9,0,-1)))</f>
        <v>-1</v>
      </c>
      <c r="S389" s="35" t="n">
        <f aca="false">IF(OR($A389="",$Q389=0,$R389=-1),0,$Q389*1000+$R389*100+$K389)</f>
        <v>0</v>
      </c>
      <c r="T389" s="37" t="str">
        <f aca="false">IF($A389="","",IF($B389="","NO ACCOUNT",IF($Q389=0,"UNMAPPED",IF($R389=-1,"OUTSIDE FY RANGE","OK"))))</f>
        <v/>
      </c>
      <c r="U389" s="40" t="str">
        <f aca="false">IF($A389="","",$B389&amp;"|"&amp;TEXT($A389,"yyyymmdd")&amp;"|"&amp;TEXT($I389,"0.00"))</f>
        <v/>
      </c>
      <c r="V389" s="35" t="str">
        <f aca="false">IF($A389="","",COUNTIF($U$8:$U$5007,$U389))</f>
        <v/>
      </c>
    </row>
    <row r="390" customFormat="false" ht="15" hidden="false" customHeight="false" outlineLevel="0" collapsed="false">
      <c r="A390" s="31"/>
      <c r="B390" s="32"/>
      <c r="C390" s="32"/>
      <c r="D390" s="32"/>
      <c r="E390" s="32"/>
      <c r="F390" s="32"/>
      <c r="G390" s="33"/>
      <c r="H390" s="33"/>
      <c r="I390" s="34" t="str">
        <f aca="false">IF($A390="","",$G390-$H390)</f>
        <v/>
      </c>
      <c r="J390" s="35" t="str">
        <f aca="false">IF($A390="","",IF(Setup!$B$6=1,YEAR($A390),YEAR($A390)+IF(MONTH($A390)&gt;=Setup!$B$6,1,0)))</f>
        <v/>
      </c>
      <c r="K390" s="35" t="str">
        <f aca="false">IF($A390="","",MOD(MONTH($A390)-Setup!$B$6+12,12)+1)</f>
        <v/>
      </c>
      <c r="L390" s="36" t="str">
        <f aca="false">IF($A390="","",TEXT($A390,"MMM-YY"))</f>
        <v/>
      </c>
      <c r="M390" s="37" t="str">
        <f aca="false">IF($A390="","",IF($Q390=0,"UNMAPPED",INDEX(COA_Mapping!$C$7:$C$256,$Q390)))</f>
        <v/>
      </c>
      <c r="N390" s="38" t="str">
        <f aca="false">IF($A390="","",IF($Q390=0,"",INDEX(COA_Mapping!$E$7:$E$256,$Q390)))</f>
        <v/>
      </c>
      <c r="O390" s="38" t="n">
        <f aca="false">IF($A390="",1,IF($Q390=0,1,INDEX(COA_Mapping!$F$7:$F$256,$Q390)))</f>
        <v>1</v>
      </c>
      <c r="P390" s="34" t="str">
        <f aca="false">IF($A390="","",$I390*$O390)</f>
        <v/>
      </c>
      <c r="Q390" s="39" t="n">
        <f aca="false">IF($B390="",0,IFERROR(MATCH($B390,COA_Mapping!$A$7:$A$256,0),0))</f>
        <v>0</v>
      </c>
      <c r="R390" s="39" t="n">
        <f aca="false">IF($A390="",-1,IF($J390=Setup!$B$7,1,IF($J390=Setup!$B$9,0,-1)))</f>
        <v>-1</v>
      </c>
      <c r="S390" s="35" t="n">
        <f aca="false">IF(OR($A390="",$Q390=0,$R390=-1),0,$Q390*1000+$R390*100+$K390)</f>
        <v>0</v>
      </c>
      <c r="T390" s="37" t="str">
        <f aca="false">IF($A390="","",IF($B390="","NO ACCOUNT",IF($Q390=0,"UNMAPPED",IF($R390=-1,"OUTSIDE FY RANGE","OK"))))</f>
        <v/>
      </c>
      <c r="U390" s="40" t="str">
        <f aca="false">IF($A390="","",$B390&amp;"|"&amp;TEXT($A390,"yyyymmdd")&amp;"|"&amp;TEXT($I390,"0.00"))</f>
        <v/>
      </c>
      <c r="V390" s="35" t="str">
        <f aca="false">IF($A390="","",COUNTIF($U$8:$U$5007,$U390))</f>
        <v/>
      </c>
    </row>
    <row r="391" customFormat="false" ht="15" hidden="false" customHeight="false" outlineLevel="0" collapsed="false">
      <c r="A391" s="31"/>
      <c r="B391" s="32"/>
      <c r="C391" s="32"/>
      <c r="D391" s="32"/>
      <c r="E391" s="32"/>
      <c r="F391" s="32"/>
      <c r="G391" s="33"/>
      <c r="H391" s="33"/>
      <c r="I391" s="34" t="str">
        <f aca="false">IF($A391="","",$G391-$H391)</f>
        <v/>
      </c>
      <c r="J391" s="35" t="str">
        <f aca="false">IF($A391="","",IF(Setup!$B$6=1,YEAR($A391),YEAR($A391)+IF(MONTH($A391)&gt;=Setup!$B$6,1,0)))</f>
        <v/>
      </c>
      <c r="K391" s="35" t="str">
        <f aca="false">IF($A391="","",MOD(MONTH($A391)-Setup!$B$6+12,12)+1)</f>
        <v/>
      </c>
      <c r="L391" s="36" t="str">
        <f aca="false">IF($A391="","",TEXT($A391,"MMM-YY"))</f>
        <v/>
      </c>
      <c r="M391" s="37" t="str">
        <f aca="false">IF($A391="","",IF($Q391=0,"UNMAPPED",INDEX(COA_Mapping!$C$7:$C$256,$Q391)))</f>
        <v/>
      </c>
      <c r="N391" s="38" t="str">
        <f aca="false">IF($A391="","",IF($Q391=0,"",INDEX(COA_Mapping!$E$7:$E$256,$Q391)))</f>
        <v/>
      </c>
      <c r="O391" s="38" t="n">
        <f aca="false">IF($A391="",1,IF($Q391=0,1,INDEX(COA_Mapping!$F$7:$F$256,$Q391)))</f>
        <v>1</v>
      </c>
      <c r="P391" s="34" t="str">
        <f aca="false">IF($A391="","",$I391*$O391)</f>
        <v/>
      </c>
      <c r="Q391" s="39" t="n">
        <f aca="false">IF($B391="",0,IFERROR(MATCH($B391,COA_Mapping!$A$7:$A$256,0),0))</f>
        <v>0</v>
      </c>
      <c r="R391" s="39" t="n">
        <f aca="false">IF($A391="",-1,IF($J391=Setup!$B$7,1,IF($J391=Setup!$B$9,0,-1)))</f>
        <v>-1</v>
      </c>
      <c r="S391" s="35" t="n">
        <f aca="false">IF(OR($A391="",$Q391=0,$R391=-1),0,$Q391*1000+$R391*100+$K391)</f>
        <v>0</v>
      </c>
      <c r="T391" s="37" t="str">
        <f aca="false">IF($A391="","",IF($B391="","NO ACCOUNT",IF($Q391=0,"UNMAPPED",IF($R391=-1,"OUTSIDE FY RANGE","OK"))))</f>
        <v/>
      </c>
      <c r="U391" s="40" t="str">
        <f aca="false">IF($A391="","",$B391&amp;"|"&amp;TEXT($A391,"yyyymmdd")&amp;"|"&amp;TEXT($I391,"0.00"))</f>
        <v/>
      </c>
      <c r="V391" s="35" t="str">
        <f aca="false">IF($A391="","",COUNTIF($U$8:$U$5007,$U391))</f>
        <v/>
      </c>
    </row>
    <row r="392" customFormat="false" ht="15" hidden="false" customHeight="false" outlineLevel="0" collapsed="false">
      <c r="A392" s="31"/>
      <c r="B392" s="32"/>
      <c r="C392" s="32"/>
      <c r="D392" s="32"/>
      <c r="E392" s="32"/>
      <c r="F392" s="32"/>
      <c r="G392" s="33"/>
      <c r="H392" s="33"/>
      <c r="I392" s="34" t="str">
        <f aca="false">IF($A392="","",$G392-$H392)</f>
        <v/>
      </c>
      <c r="J392" s="35" t="str">
        <f aca="false">IF($A392="","",IF(Setup!$B$6=1,YEAR($A392),YEAR($A392)+IF(MONTH($A392)&gt;=Setup!$B$6,1,0)))</f>
        <v/>
      </c>
      <c r="K392" s="35" t="str">
        <f aca="false">IF($A392="","",MOD(MONTH($A392)-Setup!$B$6+12,12)+1)</f>
        <v/>
      </c>
      <c r="L392" s="36" t="str">
        <f aca="false">IF($A392="","",TEXT($A392,"MMM-YY"))</f>
        <v/>
      </c>
      <c r="M392" s="37" t="str">
        <f aca="false">IF($A392="","",IF($Q392=0,"UNMAPPED",INDEX(COA_Mapping!$C$7:$C$256,$Q392)))</f>
        <v/>
      </c>
      <c r="N392" s="38" t="str">
        <f aca="false">IF($A392="","",IF($Q392=0,"",INDEX(COA_Mapping!$E$7:$E$256,$Q392)))</f>
        <v/>
      </c>
      <c r="O392" s="38" t="n">
        <f aca="false">IF($A392="",1,IF($Q392=0,1,INDEX(COA_Mapping!$F$7:$F$256,$Q392)))</f>
        <v>1</v>
      </c>
      <c r="P392" s="34" t="str">
        <f aca="false">IF($A392="","",$I392*$O392)</f>
        <v/>
      </c>
      <c r="Q392" s="39" t="n">
        <f aca="false">IF($B392="",0,IFERROR(MATCH($B392,COA_Mapping!$A$7:$A$256,0),0))</f>
        <v>0</v>
      </c>
      <c r="R392" s="39" t="n">
        <f aca="false">IF($A392="",-1,IF($J392=Setup!$B$7,1,IF($J392=Setup!$B$9,0,-1)))</f>
        <v>-1</v>
      </c>
      <c r="S392" s="35" t="n">
        <f aca="false">IF(OR($A392="",$Q392=0,$R392=-1),0,$Q392*1000+$R392*100+$K392)</f>
        <v>0</v>
      </c>
      <c r="T392" s="37" t="str">
        <f aca="false">IF($A392="","",IF($B392="","NO ACCOUNT",IF($Q392=0,"UNMAPPED",IF($R392=-1,"OUTSIDE FY RANGE","OK"))))</f>
        <v/>
      </c>
      <c r="U392" s="40" t="str">
        <f aca="false">IF($A392="","",$B392&amp;"|"&amp;TEXT($A392,"yyyymmdd")&amp;"|"&amp;TEXT($I392,"0.00"))</f>
        <v/>
      </c>
      <c r="V392" s="35" t="str">
        <f aca="false">IF($A392="","",COUNTIF($U$8:$U$5007,$U392))</f>
        <v/>
      </c>
    </row>
    <row r="393" customFormat="false" ht="15" hidden="false" customHeight="false" outlineLevel="0" collapsed="false">
      <c r="A393" s="31"/>
      <c r="B393" s="32"/>
      <c r="C393" s="32"/>
      <c r="D393" s="32"/>
      <c r="E393" s="32"/>
      <c r="F393" s="32"/>
      <c r="G393" s="33"/>
      <c r="H393" s="33"/>
      <c r="I393" s="34" t="str">
        <f aca="false">IF($A393="","",$G393-$H393)</f>
        <v/>
      </c>
      <c r="J393" s="35" t="str">
        <f aca="false">IF($A393="","",IF(Setup!$B$6=1,YEAR($A393),YEAR($A393)+IF(MONTH($A393)&gt;=Setup!$B$6,1,0)))</f>
        <v/>
      </c>
      <c r="K393" s="35" t="str">
        <f aca="false">IF($A393="","",MOD(MONTH($A393)-Setup!$B$6+12,12)+1)</f>
        <v/>
      </c>
      <c r="L393" s="36" t="str">
        <f aca="false">IF($A393="","",TEXT($A393,"MMM-YY"))</f>
        <v/>
      </c>
      <c r="M393" s="37" t="str">
        <f aca="false">IF($A393="","",IF($Q393=0,"UNMAPPED",INDEX(COA_Mapping!$C$7:$C$256,$Q393)))</f>
        <v/>
      </c>
      <c r="N393" s="38" t="str">
        <f aca="false">IF($A393="","",IF($Q393=0,"",INDEX(COA_Mapping!$E$7:$E$256,$Q393)))</f>
        <v/>
      </c>
      <c r="O393" s="38" t="n">
        <f aca="false">IF($A393="",1,IF($Q393=0,1,INDEX(COA_Mapping!$F$7:$F$256,$Q393)))</f>
        <v>1</v>
      </c>
      <c r="P393" s="34" t="str">
        <f aca="false">IF($A393="","",$I393*$O393)</f>
        <v/>
      </c>
      <c r="Q393" s="39" t="n">
        <f aca="false">IF($B393="",0,IFERROR(MATCH($B393,COA_Mapping!$A$7:$A$256,0),0))</f>
        <v>0</v>
      </c>
      <c r="R393" s="39" t="n">
        <f aca="false">IF($A393="",-1,IF($J393=Setup!$B$7,1,IF($J393=Setup!$B$9,0,-1)))</f>
        <v>-1</v>
      </c>
      <c r="S393" s="35" t="n">
        <f aca="false">IF(OR($A393="",$Q393=0,$R393=-1),0,$Q393*1000+$R393*100+$K393)</f>
        <v>0</v>
      </c>
      <c r="T393" s="37" t="str">
        <f aca="false">IF($A393="","",IF($B393="","NO ACCOUNT",IF($Q393=0,"UNMAPPED",IF($R393=-1,"OUTSIDE FY RANGE","OK"))))</f>
        <v/>
      </c>
      <c r="U393" s="40" t="str">
        <f aca="false">IF($A393="","",$B393&amp;"|"&amp;TEXT($A393,"yyyymmdd")&amp;"|"&amp;TEXT($I393,"0.00"))</f>
        <v/>
      </c>
      <c r="V393" s="35" t="str">
        <f aca="false">IF($A393="","",COUNTIF($U$8:$U$5007,$U393))</f>
        <v/>
      </c>
    </row>
    <row r="394" customFormat="false" ht="15" hidden="false" customHeight="false" outlineLevel="0" collapsed="false">
      <c r="A394" s="31"/>
      <c r="B394" s="32"/>
      <c r="C394" s="32"/>
      <c r="D394" s="32"/>
      <c r="E394" s="32"/>
      <c r="F394" s="32"/>
      <c r="G394" s="33"/>
      <c r="H394" s="33"/>
      <c r="I394" s="34" t="str">
        <f aca="false">IF($A394="","",$G394-$H394)</f>
        <v/>
      </c>
      <c r="J394" s="35" t="str">
        <f aca="false">IF($A394="","",IF(Setup!$B$6=1,YEAR($A394),YEAR($A394)+IF(MONTH($A394)&gt;=Setup!$B$6,1,0)))</f>
        <v/>
      </c>
      <c r="K394" s="35" t="str">
        <f aca="false">IF($A394="","",MOD(MONTH($A394)-Setup!$B$6+12,12)+1)</f>
        <v/>
      </c>
      <c r="L394" s="36" t="str">
        <f aca="false">IF($A394="","",TEXT($A394,"MMM-YY"))</f>
        <v/>
      </c>
      <c r="M394" s="37" t="str">
        <f aca="false">IF($A394="","",IF($Q394=0,"UNMAPPED",INDEX(COA_Mapping!$C$7:$C$256,$Q394)))</f>
        <v/>
      </c>
      <c r="N394" s="38" t="str">
        <f aca="false">IF($A394="","",IF($Q394=0,"",INDEX(COA_Mapping!$E$7:$E$256,$Q394)))</f>
        <v/>
      </c>
      <c r="O394" s="38" t="n">
        <f aca="false">IF($A394="",1,IF($Q394=0,1,INDEX(COA_Mapping!$F$7:$F$256,$Q394)))</f>
        <v>1</v>
      </c>
      <c r="P394" s="34" t="str">
        <f aca="false">IF($A394="","",$I394*$O394)</f>
        <v/>
      </c>
      <c r="Q394" s="39" t="n">
        <f aca="false">IF($B394="",0,IFERROR(MATCH($B394,COA_Mapping!$A$7:$A$256,0),0))</f>
        <v>0</v>
      </c>
      <c r="R394" s="39" t="n">
        <f aca="false">IF($A394="",-1,IF($J394=Setup!$B$7,1,IF($J394=Setup!$B$9,0,-1)))</f>
        <v>-1</v>
      </c>
      <c r="S394" s="35" t="n">
        <f aca="false">IF(OR($A394="",$Q394=0,$R394=-1),0,$Q394*1000+$R394*100+$K394)</f>
        <v>0</v>
      </c>
      <c r="T394" s="37" t="str">
        <f aca="false">IF($A394="","",IF($B394="","NO ACCOUNT",IF($Q394=0,"UNMAPPED",IF($R394=-1,"OUTSIDE FY RANGE","OK"))))</f>
        <v/>
      </c>
      <c r="U394" s="40" t="str">
        <f aca="false">IF($A394="","",$B394&amp;"|"&amp;TEXT($A394,"yyyymmdd")&amp;"|"&amp;TEXT($I394,"0.00"))</f>
        <v/>
      </c>
      <c r="V394" s="35" t="str">
        <f aca="false">IF($A394="","",COUNTIF($U$8:$U$5007,$U394))</f>
        <v/>
      </c>
    </row>
    <row r="395" customFormat="false" ht="15" hidden="false" customHeight="false" outlineLevel="0" collapsed="false">
      <c r="A395" s="31"/>
      <c r="B395" s="32"/>
      <c r="C395" s="32"/>
      <c r="D395" s="32"/>
      <c r="E395" s="32"/>
      <c r="F395" s="32"/>
      <c r="G395" s="33"/>
      <c r="H395" s="33"/>
      <c r="I395" s="34" t="str">
        <f aca="false">IF($A395="","",$G395-$H395)</f>
        <v/>
      </c>
      <c r="J395" s="35" t="str">
        <f aca="false">IF($A395="","",IF(Setup!$B$6=1,YEAR($A395),YEAR($A395)+IF(MONTH($A395)&gt;=Setup!$B$6,1,0)))</f>
        <v/>
      </c>
      <c r="K395" s="35" t="str">
        <f aca="false">IF($A395="","",MOD(MONTH($A395)-Setup!$B$6+12,12)+1)</f>
        <v/>
      </c>
      <c r="L395" s="36" t="str">
        <f aca="false">IF($A395="","",TEXT($A395,"MMM-YY"))</f>
        <v/>
      </c>
      <c r="M395" s="37" t="str">
        <f aca="false">IF($A395="","",IF($Q395=0,"UNMAPPED",INDEX(COA_Mapping!$C$7:$C$256,$Q395)))</f>
        <v/>
      </c>
      <c r="N395" s="38" t="str">
        <f aca="false">IF($A395="","",IF($Q395=0,"",INDEX(COA_Mapping!$E$7:$E$256,$Q395)))</f>
        <v/>
      </c>
      <c r="O395" s="38" t="n">
        <f aca="false">IF($A395="",1,IF($Q395=0,1,INDEX(COA_Mapping!$F$7:$F$256,$Q395)))</f>
        <v>1</v>
      </c>
      <c r="P395" s="34" t="str">
        <f aca="false">IF($A395="","",$I395*$O395)</f>
        <v/>
      </c>
      <c r="Q395" s="39" t="n">
        <f aca="false">IF($B395="",0,IFERROR(MATCH($B395,COA_Mapping!$A$7:$A$256,0),0))</f>
        <v>0</v>
      </c>
      <c r="R395" s="39" t="n">
        <f aca="false">IF($A395="",-1,IF($J395=Setup!$B$7,1,IF($J395=Setup!$B$9,0,-1)))</f>
        <v>-1</v>
      </c>
      <c r="S395" s="35" t="n">
        <f aca="false">IF(OR($A395="",$Q395=0,$R395=-1),0,$Q395*1000+$R395*100+$K395)</f>
        <v>0</v>
      </c>
      <c r="T395" s="37" t="str">
        <f aca="false">IF($A395="","",IF($B395="","NO ACCOUNT",IF($Q395=0,"UNMAPPED",IF($R395=-1,"OUTSIDE FY RANGE","OK"))))</f>
        <v/>
      </c>
      <c r="U395" s="40" t="str">
        <f aca="false">IF($A395="","",$B395&amp;"|"&amp;TEXT($A395,"yyyymmdd")&amp;"|"&amp;TEXT($I395,"0.00"))</f>
        <v/>
      </c>
      <c r="V395" s="35" t="str">
        <f aca="false">IF($A395="","",COUNTIF($U$8:$U$5007,$U395))</f>
        <v/>
      </c>
    </row>
    <row r="396" customFormat="false" ht="15" hidden="false" customHeight="false" outlineLevel="0" collapsed="false">
      <c r="A396" s="31"/>
      <c r="B396" s="32"/>
      <c r="C396" s="32"/>
      <c r="D396" s="32"/>
      <c r="E396" s="32"/>
      <c r="F396" s="32"/>
      <c r="G396" s="33"/>
      <c r="H396" s="33"/>
      <c r="I396" s="34" t="str">
        <f aca="false">IF($A396="","",$G396-$H396)</f>
        <v/>
      </c>
      <c r="J396" s="35" t="str">
        <f aca="false">IF($A396="","",IF(Setup!$B$6=1,YEAR($A396),YEAR($A396)+IF(MONTH($A396)&gt;=Setup!$B$6,1,0)))</f>
        <v/>
      </c>
      <c r="K396" s="35" t="str">
        <f aca="false">IF($A396="","",MOD(MONTH($A396)-Setup!$B$6+12,12)+1)</f>
        <v/>
      </c>
      <c r="L396" s="36" t="str">
        <f aca="false">IF($A396="","",TEXT($A396,"MMM-YY"))</f>
        <v/>
      </c>
      <c r="M396" s="37" t="str">
        <f aca="false">IF($A396="","",IF($Q396=0,"UNMAPPED",INDEX(COA_Mapping!$C$7:$C$256,$Q396)))</f>
        <v/>
      </c>
      <c r="N396" s="38" t="str">
        <f aca="false">IF($A396="","",IF($Q396=0,"",INDEX(COA_Mapping!$E$7:$E$256,$Q396)))</f>
        <v/>
      </c>
      <c r="O396" s="38" t="n">
        <f aca="false">IF($A396="",1,IF($Q396=0,1,INDEX(COA_Mapping!$F$7:$F$256,$Q396)))</f>
        <v>1</v>
      </c>
      <c r="P396" s="34" t="str">
        <f aca="false">IF($A396="","",$I396*$O396)</f>
        <v/>
      </c>
      <c r="Q396" s="39" t="n">
        <f aca="false">IF($B396="",0,IFERROR(MATCH($B396,COA_Mapping!$A$7:$A$256,0),0))</f>
        <v>0</v>
      </c>
      <c r="R396" s="39" t="n">
        <f aca="false">IF($A396="",-1,IF($J396=Setup!$B$7,1,IF($J396=Setup!$B$9,0,-1)))</f>
        <v>-1</v>
      </c>
      <c r="S396" s="35" t="n">
        <f aca="false">IF(OR($A396="",$Q396=0,$R396=-1),0,$Q396*1000+$R396*100+$K396)</f>
        <v>0</v>
      </c>
      <c r="T396" s="37" t="str">
        <f aca="false">IF($A396="","",IF($B396="","NO ACCOUNT",IF($Q396=0,"UNMAPPED",IF($R396=-1,"OUTSIDE FY RANGE","OK"))))</f>
        <v/>
      </c>
      <c r="U396" s="40" t="str">
        <f aca="false">IF($A396="","",$B396&amp;"|"&amp;TEXT($A396,"yyyymmdd")&amp;"|"&amp;TEXT($I396,"0.00"))</f>
        <v/>
      </c>
      <c r="V396" s="35" t="str">
        <f aca="false">IF($A396="","",COUNTIF($U$8:$U$5007,$U396))</f>
        <v/>
      </c>
    </row>
    <row r="397" customFormat="false" ht="15" hidden="false" customHeight="false" outlineLevel="0" collapsed="false">
      <c r="A397" s="31"/>
      <c r="B397" s="32"/>
      <c r="C397" s="32"/>
      <c r="D397" s="32"/>
      <c r="E397" s="32"/>
      <c r="F397" s="32"/>
      <c r="G397" s="33"/>
      <c r="H397" s="33"/>
      <c r="I397" s="34" t="str">
        <f aca="false">IF($A397="","",$G397-$H397)</f>
        <v/>
      </c>
      <c r="J397" s="35" t="str">
        <f aca="false">IF($A397="","",IF(Setup!$B$6=1,YEAR($A397),YEAR($A397)+IF(MONTH($A397)&gt;=Setup!$B$6,1,0)))</f>
        <v/>
      </c>
      <c r="K397" s="35" t="str">
        <f aca="false">IF($A397="","",MOD(MONTH($A397)-Setup!$B$6+12,12)+1)</f>
        <v/>
      </c>
      <c r="L397" s="36" t="str">
        <f aca="false">IF($A397="","",TEXT($A397,"MMM-YY"))</f>
        <v/>
      </c>
      <c r="M397" s="37" t="str">
        <f aca="false">IF($A397="","",IF($Q397=0,"UNMAPPED",INDEX(COA_Mapping!$C$7:$C$256,$Q397)))</f>
        <v/>
      </c>
      <c r="N397" s="38" t="str">
        <f aca="false">IF($A397="","",IF($Q397=0,"",INDEX(COA_Mapping!$E$7:$E$256,$Q397)))</f>
        <v/>
      </c>
      <c r="O397" s="38" t="n">
        <f aca="false">IF($A397="",1,IF($Q397=0,1,INDEX(COA_Mapping!$F$7:$F$256,$Q397)))</f>
        <v>1</v>
      </c>
      <c r="P397" s="34" t="str">
        <f aca="false">IF($A397="","",$I397*$O397)</f>
        <v/>
      </c>
      <c r="Q397" s="39" t="n">
        <f aca="false">IF($B397="",0,IFERROR(MATCH($B397,COA_Mapping!$A$7:$A$256,0),0))</f>
        <v>0</v>
      </c>
      <c r="R397" s="39" t="n">
        <f aca="false">IF($A397="",-1,IF($J397=Setup!$B$7,1,IF($J397=Setup!$B$9,0,-1)))</f>
        <v>-1</v>
      </c>
      <c r="S397" s="35" t="n">
        <f aca="false">IF(OR($A397="",$Q397=0,$R397=-1),0,$Q397*1000+$R397*100+$K397)</f>
        <v>0</v>
      </c>
      <c r="T397" s="37" t="str">
        <f aca="false">IF($A397="","",IF($B397="","NO ACCOUNT",IF($Q397=0,"UNMAPPED",IF($R397=-1,"OUTSIDE FY RANGE","OK"))))</f>
        <v/>
      </c>
      <c r="U397" s="40" t="str">
        <f aca="false">IF($A397="","",$B397&amp;"|"&amp;TEXT($A397,"yyyymmdd")&amp;"|"&amp;TEXT($I397,"0.00"))</f>
        <v/>
      </c>
      <c r="V397" s="35" t="str">
        <f aca="false">IF($A397="","",COUNTIF($U$8:$U$5007,$U397))</f>
        <v/>
      </c>
    </row>
    <row r="398" customFormat="false" ht="15" hidden="false" customHeight="false" outlineLevel="0" collapsed="false">
      <c r="A398" s="31"/>
      <c r="B398" s="32"/>
      <c r="C398" s="32"/>
      <c r="D398" s="32"/>
      <c r="E398" s="32"/>
      <c r="F398" s="32"/>
      <c r="G398" s="33"/>
      <c r="H398" s="33"/>
      <c r="I398" s="34" t="str">
        <f aca="false">IF($A398="","",$G398-$H398)</f>
        <v/>
      </c>
      <c r="J398" s="35" t="str">
        <f aca="false">IF($A398="","",IF(Setup!$B$6=1,YEAR($A398),YEAR($A398)+IF(MONTH($A398)&gt;=Setup!$B$6,1,0)))</f>
        <v/>
      </c>
      <c r="K398" s="35" t="str">
        <f aca="false">IF($A398="","",MOD(MONTH($A398)-Setup!$B$6+12,12)+1)</f>
        <v/>
      </c>
      <c r="L398" s="36" t="str">
        <f aca="false">IF($A398="","",TEXT($A398,"MMM-YY"))</f>
        <v/>
      </c>
      <c r="M398" s="37" t="str">
        <f aca="false">IF($A398="","",IF($Q398=0,"UNMAPPED",INDEX(COA_Mapping!$C$7:$C$256,$Q398)))</f>
        <v/>
      </c>
      <c r="N398" s="38" t="str">
        <f aca="false">IF($A398="","",IF($Q398=0,"",INDEX(COA_Mapping!$E$7:$E$256,$Q398)))</f>
        <v/>
      </c>
      <c r="O398" s="38" t="n">
        <f aca="false">IF($A398="",1,IF($Q398=0,1,INDEX(COA_Mapping!$F$7:$F$256,$Q398)))</f>
        <v>1</v>
      </c>
      <c r="P398" s="34" t="str">
        <f aca="false">IF($A398="","",$I398*$O398)</f>
        <v/>
      </c>
      <c r="Q398" s="39" t="n">
        <f aca="false">IF($B398="",0,IFERROR(MATCH($B398,COA_Mapping!$A$7:$A$256,0),0))</f>
        <v>0</v>
      </c>
      <c r="R398" s="39" t="n">
        <f aca="false">IF($A398="",-1,IF($J398=Setup!$B$7,1,IF($J398=Setup!$B$9,0,-1)))</f>
        <v>-1</v>
      </c>
      <c r="S398" s="35" t="n">
        <f aca="false">IF(OR($A398="",$Q398=0,$R398=-1),0,$Q398*1000+$R398*100+$K398)</f>
        <v>0</v>
      </c>
      <c r="T398" s="37" t="str">
        <f aca="false">IF($A398="","",IF($B398="","NO ACCOUNT",IF($Q398=0,"UNMAPPED",IF($R398=-1,"OUTSIDE FY RANGE","OK"))))</f>
        <v/>
      </c>
      <c r="U398" s="40" t="str">
        <f aca="false">IF($A398="","",$B398&amp;"|"&amp;TEXT($A398,"yyyymmdd")&amp;"|"&amp;TEXT($I398,"0.00"))</f>
        <v/>
      </c>
      <c r="V398" s="35" t="str">
        <f aca="false">IF($A398="","",COUNTIF($U$8:$U$5007,$U398))</f>
        <v/>
      </c>
    </row>
    <row r="399" customFormat="false" ht="15" hidden="false" customHeight="false" outlineLevel="0" collapsed="false">
      <c r="A399" s="31"/>
      <c r="B399" s="32"/>
      <c r="C399" s="32"/>
      <c r="D399" s="32"/>
      <c r="E399" s="32"/>
      <c r="F399" s="32"/>
      <c r="G399" s="33"/>
      <c r="H399" s="33"/>
      <c r="I399" s="34" t="str">
        <f aca="false">IF($A399="","",$G399-$H399)</f>
        <v/>
      </c>
      <c r="J399" s="35" t="str">
        <f aca="false">IF($A399="","",IF(Setup!$B$6=1,YEAR($A399),YEAR($A399)+IF(MONTH($A399)&gt;=Setup!$B$6,1,0)))</f>
        <v/>
      </c>
      <c r="K399" s="35" t="str">
        <f aca="false">IF($A399="","",MOD(MONTH($A399)-Setup!$B$6+12,12)+1)</f>
        <v/>
      </c>
      <c r="L399" s="36" t="str">
        <f aca="false">IF($A399="","",TEXT($A399,"MMM-YY"))</f>
        <v/>
      </c>
      <c r="M399" s="37" t="str">
        <f aca="false">IF($A399="","",IF($Q399=0,"UNMAPPED",INDEX(COA_Mapping!$C$7:$C$256,$Q399)))</f>
        <v/>
      </c>
      <c r="N399" s="38" t="str">
        <f aca="false">IF($A399="","",IF($Q399=0,"",INDEX(COA_Mapping!$E$7:$E$256,$Q399)))</f>
        <v/>
      </c>
      <c r="O399" s="38" t="n">
        <f aca="false">IF($A399="",1,IF($Q399=0,1,INDEX(COA_Mapping!$F$7:$F$256,$Q399)))</f>
        <v>1</v>
      </c>
      <c r="P399" s="34" t="str">
        <f aca="false">IF($A399="","",$I399*$O399)</f>
        <v/>
      </c>
      <c r="Q399" s="39" t="n">
        <f aca="false">IF($B399="",0,IFERROR(MATCH($B399,COA_Mapping!$A$7:$A$256,0),0))</f>
        <v>0</v>
      </c>
      <c r="R399" s="39" t="n">
        <f aca="false">IF($A399="",-1,IF($J399=Setup!$B$7,1,IF($J399=Setup!$B$9,0,-1)))</f>
        <v>-1</v>
      </c>
      <c r="S399" s="35" t="n">
        <f aca="false">IF(OR($A399="",$Q399=0,$R399=-1),0,$Q399*1000+$R399*100+$K399)</f>
        <v>0</v>
      </c>
      <c r="T399" s="37" t="str">
        <f aca="false">IF($A399="","",IF($B399="","NO ACCOUNT",IF($Q399=0,"UNMAPPED",IF($R399=-1,"OUTSIDE FY RANGE","OK"))))</f>
        <v/>
      </c>
      <c r="U399" s="40" t="str">
        <f aca="false">IF($A399="","",$B399&amp;"|"&amp;TEXT($A399,"yyyymmdd")&amp;"|"&amp;TEXT($I399,"0.00"))</f>
        <v/>
      </c>
      <c r="V399" s="35" t="str">
        <f aca="false">IF($A399="","",COUNTIF($U$8:$U$5007,$U399))</f>
        <v/>
      </c>
    </row>
    <row r="400" customFormat="false" ht="15" hidden="false" customHeight="false" outlineLevel="0" collapsed="false">
      <c r="A400" s="31"/>
      <c r="B400" s="32"/>
      <c r="C400" s="32"/>
      <c r="D400" s="32"/>
      <c r="E400" s="32"/>
      <c r="F400" s="32"/>
      <c r="G400" s="33"/>
      <c r="H400" s="33"/>
      <c r="I400" s="34" t="str">
        <f aca="false">IF($A400="","",$G400-$H400)</f>
        <v/>
      </c>
      <c r="J400" s="35" t="str">
        <f aca="false">IF($A400="","",IF(Setup!$B$6=1,YEAR($A400),YEAR($A400)+IF(MONTH($A400)&gt;=Setup!$B$6,1,0)))</f>
        <v/>
      </c>
      <c r="K400" s="35" t="str">
        <f aca="false">IF($A400="","",MOD(MONTH($A400)-Setup!$B$6+12,12)+1)</f>
        <v/>
      </c>
      <c r="L400" s="36" t="str">
        <f aca="false">IF($A400="","",TEXT($A400,"MMM-YY"))</f>
        <v/>
      </c>
      <c r="M400" s="37" t="str">
        <f aca="false">IF($A400="","",IF($Q400=0,"UNMAPPED",INDEX(COA_Mapping!$C$7:$C$256,$Q400)))</f>
        <v/>
      </c>
      <c r="N400" s="38" t="str">
        <f aca="false">IF($A400="","",IF($Q400=0,"",INDEX(COA_Mapping!$E$7:$E$256,$Q400)))</f>
        <v/>
      </c>
      <c r="O400" s="38" t="n">
        <f aca="false">IF($A400="",1,IF($Q400=0,1,INDEX(COA_Mapping!$F$7:$F$256,$Q400)))</f>
        <v>1</v>
      </c>
      <c r="P400" s="34" t="str">
        <f aca="false">IF($A400="","",$I400*$O400)</f>
        <v/>
      </c>
      <c r="Q400" s="39" t="n">
        <f aca="false">IF($B400="",0,IFERROR(MATCH($B400,COA_Mapping!$A$7:$A$256,0),0))</f>
        <v>0</v>
      </c>
      <c r="R400" s="39" t="n">
        <f aca="false">IF($A400="",-1,IF($J400=Setup!$B$7,1,IF($J400=Setup!$B$9,0,-1)))</f>
        <v>-1</v>
      </c>
      <c r="S400" s="35" t="n">
        <f aca="false">IF(OR($A400="",$Q400=0,$R400=-1),0,$Q400*1000+$R400*100+$K400)</f>
        <v>0</v>
      </c>
      <c r="T400" s="37" t="str">
        <f aca="false">IF($A400="","",IF($B400="","NO ACCOUNT",IF($Q400=0,"UNMAPPED",IF($R400=-1,"OUTSIDE FY RANGE","OK"))))</f>
        <v/>
      </c>
      <c r="U400" s="40" t="str">
        <f aca="false">IF($A400="","",$B400&amp;"|"&amp;TEXT($A400,"yyyymmdd")&amp;"|"&amp;TEXT($I400,"0.00"))</f>
        <v/>
      </c>
      <c r="V400" s="35" t="str">
        <f aca="false">IF($A400="","",COUNTIF($U$8:$U$5007,$U400))</f>
        <v/>
      </c>
    </row>
    <row r="401" customFormat="false" ht="15" hidden="false" customHeight="false" outlineLevel="0" collapsed="false">
      <c r="A401" s="31"/>
      <c r="B401" s="32"/>
      <c r="C401" s="32"/>
      <c r="D401" s="32"/>
      <c r="E401" s="32"/>
      <c r="F401" s="32"/>
      <c r="G401" s="33"/>
      <c r="H401" s="33"/>
      <c r="I401" s="34" t="str">
        <f aca="false">IF($A401="","",$G401-$H401)</f>
        <v/>
      </c>
      <c r="J401" s="35" t="str">
        <f aca="false">IF($A401="","",IF(Setup!$B$6=1,YEAR($A401),YEAR($A401)+IF(MONTH($A401)&gt;=Setup!$B$6,1,0)))</f>
        <v/>
      </c>
      <c r="K401" s="35" t="str">
        <f aca="false">IF($A401="","",MOD(MONTH($A401)-Setup!$B$6+12,12)+1)</f>
        <v/>
      </c>
      <c r="L401" s="36" t="str">
        <f aca="false">IF($A401="","",TEXT($A401,"MMM-YY"))</f>
        <v/>
      </c>
      <c r="M401" s="37" t="str">
        <f aca="false">IF($A401="","",IF($Q401=0,"UNMAPPED",INDEX(COA_Mapping!$C$7:$C$256,$Q401)))</f>
        <v/>
      </c>
      <c r="N401" s="38" t="str">
        <f aca="false">IF($A401="","",IF($Q401=0,"",INDEX(COA_Mapping!$E$7:$E$256,$Q401)))</f>
        <v/>
      </c>
      <c r="O401" s="38" t="n">
        <f aca="false">IF($A401="",1,IF($Q401=0,1,INDEX(COA_Mapping!$F$7:$F$256,$Q401)))</f>
        <v>1</v>
      </c>
      <c r="P401" s="34" t="str">
        <f aca="false">IF($A401="","",$I401*$O401)</f>
        <v/>
      </c>
      <c r="Q401" s="39" t="n">
        <f aca="false">IF($B401="",0,IFERROR(MATCH($B401,COA_Mapping!$A$7:$A$256,0),0))</f>
        <v>0</v>
      </c>
      <c r="R401" s="39" t="n">
        <f aca="false">IF($A401="",-1,IF($J401=Setup!$B$7,1,IF($J401=Setup!$B$9,0,-1)))</f>
        <v>-1</v>
      </c>
      <c r="S401" s="35" t="n">
        <f aca="false">IF(OR($A401="",$Q401=0,$R401=-1),0,$Q401*1000+$R401*100+$K401)</f>
        <v>0</v>
      </c>
      <c r="T401" s="37" t="str">
        <f aca="false">IF($A401="","",IF($B401="","NO ACCOUNT",IF($Q401=0,"UNMAPPED",IF($R401=-1,"OUTSIDE FY RANGE","OK"))))</f>
        <v/>
      </c>
      <c r="U401" s="40" t="str">
        <f aca="false">IF($A401="","",$B401&amp;"|"&amp;TEXT($A401,"yyyymmdd")&amp;"|"&amp;TEXT($I401,"0.00"))</f>
        <v/>
      </c>
      <c r="V401" s="35" t="str">
        <f aca="false">IF($A401="","",COUNTIF($U$8:$U$5007,$U401))</f>
        <v/>
      </c>
    </row>
    <row r="402" customFormat="false" ht="15" hidden="false" customHeight="false" outlineLevel="0" collapsed="false">
      <c r="A402" s="31"/>
      <c r="B402" s="32"/>
      <c r="C402" s="32"/>
      <c r="D402" s="32"/>
      <c r="E402" s="32"/>
      <c r="F402" s="32"/>
      <c r="G402" s="33"/>
      <c r="H402" s="33"/>
      <c r="I402" s="34" t="str">
        <f aca="false">IF($A402="","",$G402-$H402)</f>
        <v/>
      </c>
      <c r="J402" s="35" t="str">
        <f aca="false">IF($A402="","",IF(Setup!$B$6=1,YEAR($A402),YEAR($A402)+IF(MONTH($A402)&gt;=Setup!$B$6,1,0)))</f>
        <v/>
      </c>
      <c r="K402" s="35" t="str">
        <f aca="false">IF($A402="","",MOD(MONTH($A402)-Setup!$B$6+12,12)+1)</f>
        <v/>
      </c>
      <c r="L402" s="36" t="str">
        <f aca="false">IF($A402="","",TEXT($A402,"MMM-YY"))</f>
        <v/>
      </c>
      <c r="M402" s="37" t="str">
        <f aca="false">IF($A402="","",IF($Q402=0,"UNMAPPED",INDEX(COA_Mapping!$C$7:$C$256,$Q402)))</f>
        <v/>
      </c>
      <c r="N402" s="38" t="str">
        <f aca="false">IF($A402="","",IF($Q402=0,"",INDEX(COA_Mapping!$E$7:$E$256,$Q402)))</f>
        <v/>
      </c>
      <c r="O402" s="38" t="n">
        <f aca="false">IF($A402="",1,IF($Q402=0,1,INDEX(COA_Mapping!$F$7:$F$256,$Q402)))</f>
        <v>1</v>
      </c>
      <c r="P402" s="34" t="str">
        <f aca="false">IF($A402="","",$I402*$O402)</f>
        <v/>
      </c>
      <c r="Q402" s="39" t="n">
        <f aca="false">IF($B402="",0,IFERROR(MATCH($B402,COA_Mapping!$A$7:$A$256,0),0))</f>
        <v>0</v>
      </c>
      <c r="R402" s="39" t="n">
        <f aca="false">IF($A402="",-1,IF($J402=Setup!$B$7,1,IF($J402=Setup!$B$9,0,-1)))</f>
        <v>-1</v>
      </c>
      <c r="S402" s="35" t="n">
        <f aca="false">IF(OR($A402="",$Q402=0,$R402=-1),0,$Q402*1000+$R402*100+$K402)</f>
        <v>0</v>
      </c>
      <c r="T402" s="37" t="str">
        <f aca="false">IF($A402="","",IF($B402="","NO ACCOUNT",IF($Q402=0,"UNMAPPED",IF($R402=-1,"OUTSIDE FY RANGE","OK"))))</f>
        <v/>
      </c>
      <c r="U402" s="40" t="str">
        <f aca="false">IF($A402="","",$B402&amp;"|"&amp;TEXT($A402,"yyyymmdd")&amp;"|"&amp;TEXT($I402,"0.00"))</f>
        <v/>
      </c>
      <c r="V402" s="35" t="str">
        <f aca="false">IF($A402="","",COUNTIF($U$8:$U$5007,$U402))</f>
        <v/>
      </c>
    </row>
    <row r="403" customFormat="false" ht="15" hidden="false" customHeight="false" outlineLevel="0" collapsed="false">
      <c r="A403" s="31"/>
      <c r="B403" s="32"/>
      <c r="C403" s="32"/>
      <c r="D403" s="32"/>
      <c r="E403" s="32"/>
      <c r="F403" s="32"/>
      <c r="G403" s="33"/>
      <c r="H403" s="33"/>
      <c r="I403" s="34" t="str">
        <f aca="false">IF($A403="","",$G403-$H403)</f>
        <v/>
      </c>
      <c r="J403" s="35" t="str">
        <f aca="false">IF($A403="","",IF(Setup!$B$6=1,YEAR($A403),YEAR($A403)+IF(MONTH($A403)&gt;=Setup!$B$6,1,0)))</f>
        <v/>
      </c>
      <c r="K403" s="35" t="str">
        <f aca="false">IF($A403="","",MOD(MONTH($A403)-Setup!$B$6+12,12)+1)</f>
        <v/>
      </c>
      <c r="L403" s="36" t="str">
        <f aca="false">IF($A403="","",TEXT($A403,"MMM-YY"))</f>
        <v/>
      </c>
      <c r="M403" s="37" t="str">
        <f aca="false">IF($A403="","",IF($Q403=0,"UNMAPPED",INDEX(COA_Mapping!$C$7:$C$256,$Q403)))</f>
        <v/>
      </c>
      <c r="N403" s="38" t="str">
        <f aca="false">IF($A403="","",IF($Q403=0,"",INDEX(COA_Mapping!$E$7:$E$256,$Q403)))</f>
        <v/>
      </c>
      <c r="O403" s="38" t="n">
        <f aca="false">IF($A403="",1,IF($Q403=0,1,INDEX(COA_Mapping!$F$7:$F$256,$Q403)))</f>
        <v>1</v>
      </c>
      <c r="P403" s="34" t="str">
        <f aca="false">IF($A403="","",$I403*$O403)</f>
        <v/>
      </c>
      <c r="Q403" s="39" t="n">
        <f aca="false">IF($B403="",0,IFERROR(MATCH($B403,COA_Mapping!$A$7:$A$256,0),0))</f>
        <v>0</v>
      </c>
      <c r="R403" s="39" t="n">
        <f aca="false">IF($A403="",-1,IF($J403=Setup!$B$7,1,IF($J403=Setup!$B$9,0,-1)))</f>
        <v>-1</v>
      </c>
      <c r="S403" s="35" t="n">
        <f aca="false">IF(OR($A403="",$Q403=0,$R403=-1),0,$Q403*1000+$R403*100+$K403)</f>
        <v>0</v>
      </c>
      <c r="T403" s="37" t="str">
        <f aca="false">IF($A403="","",IF($B403="","NO ACCOUNT",IF($Q403=0,"UNMAPPED",IF($R403=-1,"OUTSIDE FY RANGE","OK"))))</f>
        <v/>
      </c>
      <c r="U403" s="40" t="str">
        <f aca="false">IF($A403="","",$B403&amp;"|"&amp;TEXT($A403,"yyyymmdd")&amp;"|"&amp;TEXT($I403,"0.00"))</f>
        <v/>
      </c>
      <c r="V403" s="35" t="str">
        <f aca="false">IF($A403="","",COUNTIF($U$8:$U$5007,$U403))</f>
        <v/>
      </c>
    </row>
    <row r="404" customFormat="false" ht="15" hidden="false" customHeight="false" outlineLevel="0" collapsed="false">
      <c r="A404" s="31"/>
      <c r="B404" s="32"/>
      <c r="C404" s="32"/>
      <c r="D404" s="32"/>
      <c r="E404" s="32"/>
      <c r="F404" s="32"/>
      <c r="G404" s="33"/>
      <c r="H404" s="33"/>
      <c r="I404" s="34" t="str">
        <f aca="false">IF($A404="","",$G404-$H404)</f>
        <v/>
      </c>
      <c r="J404" s="35" t="str">
        <f aca="false">IF($A404="","",IF(Setup!$B$6=1,YEAR($A404),YEAR($A404)+IF(MONTH($A404)&gt;=Setup!$B$6,1,0)))</f>
        <v/>
      </c>
      <c r="K404" s="35" t="str">
        <f aca="false">IF($A404="","",MOD(MONTH($A404)-Setup!$B$6+12,12)+1)</f>
        <v/>
      </c>
      <c r="L404" s="36" t="str">
        <f aca="false">IF($A404="","",TEXT($A404,"MMM-YY"))</f>
        <v/>
      </c>
      <c r="M404" s="37" t="str">
        <f aca="false">IF($A404="","",IF($Q404=0,"UNMAPPED",INDEX(COA_Mapping!$C$7:$C$256,$Q404)))</f>
        <v/>
      </c>
      <c r="N404" s="38" t="str">
        <f aca="false">IF($A404="","",IF($Q404=0,"",INDEX(COA_Mapping!$E$7:$E$256,$Q404)))</f>
        <v/>
      </c>
      <c r="O404" s="38" t="n">
        <f aca="false">IF($A404="",1,IF($Q404=0,1,INDEX(COA_Mapping!$F$7:$F$256,$Q404)))</f>
        <v>1</v>
      </c>
      <c r="P404" s="34" t="str">
        <f aca="false">IF($A404="","",$I404*$O404)</f>
        <v/>
      </c>
      <c r="Q404" s="39" t="n">
        <f aca="false">IF($B404="",0,IFERROR(MATCH($B404,COA_Mapping!$A$7:$A$256,0),0))</f>
        <v>0</v>
      </c>
      <c r="R404" s="39" t="n">
        <f aca="false">IF($A404="",-1,IF($J404=Setup!$B$7,1,IF($J404=Setup!$B$9,0,-1)))</f>
        <v>-1</v>
      </c>
      <c r="S404" s="35" t="n">
        <f aca="false">IF(OR($A404="",$Q404=0,$R404=-1),0,$Q404*1000+$R404*100+$K404)</f>
        <v>0</v>
      </c>
      <c r="T404" s="37" t="str">
        <f aca="false">IF($A404="","",IF($B404="","NO ACCOUNT",IF($Q404=0,"UNMAPPED",IF($R404=-1,"OUTSIDE FY RANGE","OK"))))</f>
        <v/>
      </c>
      <c r="U404" s="40" t="str">
        <f aca="false">IF($A404="","",$B404&amp;"|"&amp;TEXT($A404,"yyyymmdd")&amp;"|"&amp;TEXT($I404,"0.00"))</f>
        <v/>
      </c>
      <c r="V404" s="35" t="str">
        <f aca="false">IF($A404="","",COUNTIF($U$8:$U$5007,$U404))</f>
        <v/>
      </c>
    </row>
    <row r="405" customFormat="false" ht="15" hidden="false" customHeight="false" outlineLevel="0" collapsed="false">
      <c r="A405" s="31"/>
      <c r="B405" s="32"/>
      <c r="C405" s="32"/>
      <c r="D405" s="32"/>
      <c r="E405" s="32"/>
      <c r="F405" s="32"/>
      <c r="G405" s="33"/>
      <c r="H405" s="33"/>
      <c r="I405" s="34" t="str">
        <f aca="false">IF($A405="","",$G405-$H405)</f>
        <v/>
      </c>
      <c r="J405" s="35" t="str">
        <f aca="false">IF($A405="","",IF(Setup!$B$6=1,YEAR($A405),YEAR($A405)+IF(MONTH($A405)&gt;=Setup!$B$6,1,0)))</f>
        <v/>
      </c>
      <c r="K405" s="35" t="str">
        <f aca="false">IF($A405="","",MOD(MONTH($A405)-Setup!$B$6+12,12)+1)</f>
        <v/>
      </c>
      <c r="L405" s="36" t="str">
        <f aca="false">IF($A405="","",TEXT($A405,"MMM-YY"))</f>
        <v/>
      </c>
      <c r="M405" s="37" t="str">
        <f aca="false">IF($A405="","",IF($Q405=0,"UNMAPPED",INDEX(COA_Mapping!$C$7:$C$256,$Q405)))</f>
        <v/>
      </c>
      <c r="N405" s="38" t="str">
        <f aca="false">IF($A405="","",IF($Q405=0,"",INDEX(COA_Mapping!$E$7:$E$256,$Q405)))</f>
        <v/>
      </c>
      <c r="O405" s="38" t="n">
        <f aca="false">IF($A405="",1,IF($Q405=0,1,INDEX(COA_Mapping!$F$7:$F$256,$Q405)))</f>
        <v>1</v>
      </c>
      <c r="P405" s="34" t="str">
        <f aca="false">IF($A405="","",$I405*$O405)</f>
        <v/>
      </c>
      <c r="Q405" s="39" t="n">
        <f aca="false">IF($B405="",0,IFERROR(MATCH($B405,COA_Mapping!$A$7:$A$256,0),0))</f>
        <v>0</v>
      </c>
      <c r="R405" s="39" t="n">
        <f aca="false">IF($A405="",-1,IF($J405=Setup!$B$7,1,IF($J405=Setup!$B$9,0,-1)))</f>
        <v>-1</v>
      </c>
      <c r="S405" s="35" t="n">
        <f aca="false">IF(OR($A405="",$Q405=0,$R405=-1),0,$Q405*1000+$R405*100+$K405)</f>
        <v>0</v>
      </c>
      <c r="T405" s="37" t="str">
        <f aca="false">IF($A405="","",IF($B405="","NO ACCOUNT",IF($Q405=0,"UNMAPPED",IF($R405=-1,"OUTSIDE FY RANGE","OK"))))</f>
        <v/>
      </c>
      <c r="U405" s="40" t="str">
        <f aca="false">IF($A405="","",$B405&amp;"|"&amp;TEXT($A405,"yyyymmdd")&amp;"|"&amp;TEXT($I405,"0.00"))</f>
        <v/>
      </c>
      <c r="V405" s="35" t="str">
        <f aca="false">IF($A405="","",COUNTIF($U$8:$U$5007,$U405))</f>
        <v/>
      </c>
    </row>
    <row r="406" customFormat="false" ht="15" hidden="false" customHeight="false" outlineLevel="0" collapsed="false">
      <c r="A406" s="31"/>
      <c r="B406" s="32"/>
      <c r="C406" s="32"/>
      <c r="D406" s="32"/>
      <c r="E406" s="32"/>
      <c r="F406" s="32"/>
      <c r="G406" s="33"/>
      <c r="H406" s="33"/>
      <c r="I406" s="34" t="str">
        <f aca="false">IF($A406="","",$G406-$H406)</f>
        <v/>
      </c>
      <c r="J406" s="35" t="str">
        <f aca="false">IF($A406="","",IF(Setup!$B$6=1,YEAR($A406),YEAR($A406)+IF(MONTH($A406)&gt;=Setup!$B$6,1,0)))</f>
        <v/>
      </c>
      <c r="K406" s="35" t="str">
        <f aca="false">IF($A406="","",MOD(MONTH($A406)-Setup!$B$6+12,12)+1)</f>
        <v/>
      </c>
      <c r="L406" s="36" t="str">
        <f aca="false">IF($A406="","",TEXT($A406,"MMM-YY"))</f>
        <v/>
      </c>
      <c r="M406" s="37" t="str">
        <f aca="false">IF($A406="","",IF($Q406=0,"UNMAPPED",INDEX(COA_Mapping!$C$7:$C$256,$Q406)))</f>
        <v/>
      </c>
      <c r="N406" s="38" t="str">
        <f aca="false">IF($A406="","",IF($Q406=0,"",INDEX(COA_Mapping!$E$7:$E$256,$Q406)))</f>
        <v/>
      </c>
      <c r="O406" s="38" t="n">
        <f aca="false">IF($A406="",1,IF($Q406=0,1,INDEX(COA_Mapping!$F$7:$F$256,$Q406)))</f>
        <v>1</v>
      </c>
      <c r="P406" s="34" t="str">
        <f aca="false">IF($A406="","",$I406*$O406)</f>
        <v/>
      </c>
      <c r="Q406" s="39" t="n">
        <f aca="false">IF($B406="",0,IFERROR(MATCH($B406,COA_Mapping!$A$7:$A$256,0),0))</f>
        <v>0</v>
      </c>
      <c r="R406" s="39" t="n">
        <f aca="false">IF($A406="",-1,IF($J406=Setup!$B$7,1,IF($J406=Setup!$B$9,0,-1)))</f>
        <v>-1</v>
      </c>
      <c r="S406" s="35" t="n">
        <f aca="false">IF(OR($A406="",$Q406=0,$R406=-1),0,$Q406*1000+$R406*100+$K406)</f>
        <v>0</v>
      </c>
      <c r="T406" s="37" t="str">
        <f aca="false">IF($A406="","",IF($B406="","NO ACCOUNT",IF($Q406=0,"UNMAPPED",IF($R406=-1,"OUTSIDE FY RANGE","OK"))))</f>
        <v/>
      </c>
      <c r="U406" s="40" t="str">
        <f aca="false">IF($A406="","",$B406&amp;"|"&amp;TEXT($A406,"yyyymmdd")&amp;"|"&amp;TEXT($I406,"0.00"))</f>
        <v/>
      </c>
      <c r="V406" s="35" t="str">
        <f aca="false">IF($A406="","",COUNTIF($U$8:$U$5007,$U406))</f>
        <v/>
      </c>
    </row>
    <row r="407" customFormat="false" ht="15" hidden="false" customHeight="false" outlineLevel="0" collapsed="false">
      <c r="A407" s="31"/>
      <c r="B407" s="32"/>
      <c r="C407" s="32"/>
      <c r="D407" s="32"/>
      <c r="E407" s="32"/>
      <c r="F407" s="32"/>
      <c r="G407" s="33"/>
      <c r="H407" s="33"/>
      <c r="I407" s="34" t="str">
        <f aca="false">IF($A407="","",$G407-$H407)</f>
        <v/>
      </c>
      <c r="J407" s="35" t="str">
        <f aca="false">IF($A407="","",IF(Setup!$B$6=1,YEAR($A407),YEAR($A407)+IF(MONTH($A407)&gt;=Setup!$B$6,1,0)))</f>
        <v/>
      </c>
      <c r="K407" s="35" t="str">
        <f aca="false">IF($A407="","",MOD(MONTH($A407)-Setup!$B$6+12,12)+1)</f>
        <v/>
      </c>
      <c r="L407" s="36" t="str">
        <f aca="false">IF($A407="","",TEXT($A407,"MMM-YY"))</f>
        <v/>
      </c>
      <c r="M407" s="37" t="str">
        <f aca="false">IF($A407="","",IF($Q407=0,"UNMAPPED",INDEX(COA_Mapping!$C$7:$C$256,$Q407)))</f>
        <v/>
      </c>
      <c r="N407" s="38" t="str">
        <f aca="false">IF($A407="","",IF($Q407=0,"",INDEX(COA_Mapping!$E$7:$E$256,$Q407)))</f>
        <v/>
      </c>
      <c r="O407" s="38" t="n">
        <f aca="false">IF($A407="",1,IF($Q407=0,1,INDEX(COA_Mapping!$F$7:$F$256,$Q407)))</f>
        <v>1</v>
      </c>
      <c r="P407" s="34" t="str">
        <f aca="false">IF($A407="","",$I407*$O407)</f>
        <v/>
      </c>
      <c r="Q407" s="39" t="n">
        <f aca="false">IF($B407="",0,IFERROR(MATCH($B407,COA_Mapping!$A$7:$A$256,0),0))</f>
        <v>0</v>
      </c>
      <c r="R407" s="39" t="n">
        <f aca="false">IF($A407="",-1,IF($J407=Setup!$B$7,1,IF($J407=Setup!$B$9,0,-1)))</f>
        <v>-1</v>
      </c>
      <c r="S407" s="35" t="n">
        <f aca="false">IF(OR($A407="",$Q407=0,$R407=-1),0,$Q407*1000+$R407*100+$K407)</f>
        <v>0</v>
      </c>
      <c r="T407" s="37" t="str">
        <f aca="false">IF($A407="","",IF($B407="","NO ACCOUNT",IF($Q407=0,"UNMAPPED",IF($R407=-1,"OUTSIDE FY RANGE","OK"))))</f>
        <v/>
      </c>
      <c r="U407" s="40" t="str">
        <f aca="false">IF($A407="","",$B407&amp;"|"&amp;TEXT($A407,"yyyymmdd")&amp;"|"&amp;TEXT($I407,"0.00"))</f>
        <v/>
      </c>
      <c r="V407" s="35" t="str">
        <f aca="false">IF($A407="","",COUNTIF($U$8:$U$5007,$U407))</f>
        <v/>
      </c>
    </row>
    <row r="408" customFormat="false" ht="15" hidden="false" customHeight="false" outlineLevel="0" collapsed="false">
      <c r="A408" s="31"/>
      <c r="B408" s="32"/>
      <c r="C408" s="32"/>
      <c r="D408" s="32"/>
      <c r="E408" s="32"/>
      <c r="F408" s="32"/>
      <c r="G408" s="33"/>
      <c r="H408" s="33"/>
      <c r="I408" s="34" t="str">
        <f aca="false">IF($A408="","",$G408-$H408)</f>
        <v/>
      </c>
      <c r="J408" s="35" t="str">
        <f aca="false">IF($A408="","",IF(Setup!$B$6=1,YEAR($A408),YEAR($A408)+IF(MONTH($A408)&gt;=Setup!$B$6,1,0)))</f>
        <v/>
      </c>
      <c r="K408" s="35" t="str">
        <f aca="false">IF($A408="","",MOD(MONTH($A408)-Setup!$B$6+12,12)+1)</f>
        <v/>
      </c>
      <c r="L408" s="36" t="str">
        <f aca="false">IF($A408="","",TEXT($A408,"MMM-YY"))</f>
        <v/>
      </c>
      <c r="M408" s="37" t="str">
        <f aca="false">IF($A408="","",IF($Q408=0,"UNMAPPED",INDEX(COA_Mapping!$C$7:$C$256,$Q408)))</f>
        <v/>
      </c>
      <c r="N408" s="38" t="str">
        <f aca="false">IF($A408="","",IF($Q408=0,"",INDEX(COA_Mapping!$E$7:$E$256,$Q408)))</f>
        <v/>
      </c>
      <c r="O408" s="38" t="n">
        <f aca="false">IF($A408="",1,IF($Q408=0,1,INDEX(COA_Mapping!$F$7:$F$256,$Q408)))</f>
        <v>1</v>
      </c>
      <c r="P408" s="34" t="str">
        <f aca="false">IF($A408="","",$I408*$O408)</f>
        <v/>
      </c>
      <c r="Q408" s="39" t="n">
        <f aca="false">IF($B408="",0,IFERROR(MATCH($B408,COA_Mapping!$A$7:$A$256,0),0))</f>
        <v>0</v>
      </c>
      <c r="R408" s="39" t="n">
        <f aca="false">IF($A408="",-1,IF($J408=Setup!$B$7,1,IF($J408=Setup!$B$9,0,-1)))</f>
        <v>-1</v>
      </c>
      <c r="S408" s="35" t="n">
        <f aca="false">IF(OR($A408="",$Q408=0,$R408=-1),0,$Q408*1000+$R408*100+$K408)</f>
        <v>0</v>
      </c>
      <c r="T408" s="37" t="str">
        <f aca="false">IF($A408="","",IF($B408="","NO ACCOUNT",IF($Q408=0,"UNMAPPED",IF($R408=-1,"OUTSIDE FY RANGE","OK"))))</f>
        <v/>
      </c>
      <c r="U408" s="40" t="str">
        <f aca="false">IF($A408="","",$B408&amp;"|"&amp;TEXT($A408,"yyyymmdd")&amp;"|"&amp;TEXT($I408,"0.00"))</f>
        <v/>
      </c>
      <c r="V408" s="35" t="str">
        <f aca="false">IF($A408="","",COUNTIF($U$8:$U$5007,$U408))</f>
        <v/>
      </c>
    </row>
    <row r="409" customFormat="false" ht="15" hidden="false" customHeight="false" outlineLevel="0" collapsed="false">
      <c r="A409" s="31"/>
      <c r="B409" s="32"/>
      <c r="C409" s="32"/>
      <c r="D409" s="32"/>
      <c r="E409" s="32"/>
      <c r="F409" s="32"/>
      <c r="G409" s="33"/>
      <c r="H409" s="33"/>
      <c r="I409" s="34" t="str">
        <f aca="false">IF($A409="","",$G409-$H409)</f>
        <v/>
      </c>
      <c r="J409" s="35" t="str">
        <f aca="false">IF($A409="","",IF(Setup!$B$6=1,YEAR($A409),YEAR($A409)+IF(MONTH($A409)&gt;=Setup!$B$6,1,0)))</f>
        <v/>
      </c>
      <c r="K409" s="35" t="str">
        <f aca="false">IF($A409="","",MOD(MONTH($A409)-Setup!$B$6+12,12)+1)</f>
        <v/>
      </c>
      <c r="L409" s="36" t="str">
        <f aca="false">IF($A409="","",TEXT($A409,"MMM-YY"))</f>
        <v/>
      </c>
      <c r="M409" s="37" t="str">
        <f aca="false">IF($A409="","",IF($Q409=0,"UNMAPPED",INDEX(COA_Mapping!$C$7:$C$256,$Q409)))</f>
        <v/>
      </c>
      <c r="N409" s="38" t="str">
        <f aca="false">IF($A409="","",IF($Q409=0,"",INDEX(COA_Mapping!$E$7:$E$256,$Q409)))</f>
        <v/>
      </c>
      <c r="O409" s="38" t="n">
        <f aca="false">IF($A409="",1,IF($Q409=0,1,INDEX(COA_Mapping!$F$7:$F$256,$Q409)))</f>
        <v>1</v>
      </c>
      <c r="P409" s="34" t="str">
        <f aca="false">IF($A409="","",$I409*$O409)</f>
        <v/>
      </c>
      <c r="Q409" s="39" t="n">
        <f aca="false">IF($B409="",0,IFERROR(MATCH($B409,COA_Mapping!$A$7:$A$256,0),0))</f>
        <v>0</v>
      </c>
      <c r="R409" s="39" t="n">
        <f aca="false">IF($A409="",-1,IF($J409=Setup!$B$7,1,IF($J409=Setup!$B$9,0,-1)))</f>
        <v>-1</v>
      </c>
      <c r="S409" s="35" t="n">
        <f aca="false">IF(OR($A409="",$Q409=0,$R409=-1),0,$Q409*1000+$R409*100+$K409)</f>
        <v>0</v>
      </c>
      <c r="T409" s="37" t="str">
        <f aca="false">IF($A409="","",IF($B409="","NO ACCOUNT",IF($Q409=0,"UNMAPPED",IF($R409=-1,"OUTSIDE FY RANGE","OK"))))</f>
        <v/>
      </c>
      <c r="U409" s="40" t="str">
        <f aca="false">IF($A409="","",$B409&amp;"|"&amp;TEXT($A409,"yyyymmdd")&amp;"|"&amp;TEXT($I409,"0.00"))</f>
        <v/>
      </c>
      <c r="V409" s="35" t="str">
        <f aca="false">IF($A409="","",COUNTIF($U$8:$U$5007,$U409))</f>
        <v/>
      </c>
    </row>
    <row r="410" customFormat="false" ht="15" hidden="false" customHeight="false" outlineLevel="0" collapsed="false">
      <c r="A410" s="31"/>
      <c r="B410" s="32"/>
      <c r="C410" s="32"/>
      <c r="D410" s="32"/>
      <c r="E410" s="32"/>
      <c r="F410" s="32"/>
      <c r="G410" s="33"/>
      <c r="H410" s="33"/>
      <c r="I410" s="34" t="str">
        <f aca="false">IF($A410="","",$G410-$H410)</f>
        <v/>
      </c>
      <c r="J410" s="35" t="str">
        <f aca="false">IF($A410="","",IF(Setup!$B$6=1,YEAR($A410),YEAR($A410)+IF(MONTH($A410)&gt;=Setup!$B$6,1,0)))</f>
        <v/>
      </c>
      <c r="K410" s="35" t="str">
        <f aca="false">IF($A410="","",MOD(MONTH($A410)-Setup!$B$6+12,12)+1)</f>
        <v/>
      </c>
      <c r="L410" s="36" t="str">
        <f aca="false">IF($A410="","",TEXT($A410,"MMM-YY"))</f>
        <v/>
      </c>
      <c r="M410" s="37" t="str">
        <f aca="false">IF($A410="","",IF($Q410=0,"UNMAPPED",INDEX(COA_Mapping!$C$7:$C$256,$Q410)))</f>
        <v/>
      </c>
      <c r="N410" s="38" t="str">
        <f aca="false">IF($A410="","",IF($Q410=0,"",INDEX(COA_Mapping!$E$7:$E$256,$Q410)))</f>
        <v/>
      </c>
      <c r="O410" s="38" t="n">
        <f aca="false">IF($A410="",1,IF($Q410=0,1,INDEX(COA_Mapping!$F$7:$F$256,$Q410)))</f>
        <v>1</v>
      </c>
      <c r="P410" s="34" t="str">
        <f aca="false">IF($A410="","",$I410*$O410)</f>
        <v/>
      </c>
      <c r="Q410" s="39" t="n">
        <f aca="false">IF($B410="",0,IFERROR(MATCH($B410,COA_Mapping!$A$7:$A$256,0),0))</f>
        <v>0</v>
      </c>
      <c r="R410" s="39" t="n">
        <f aca="false">IF($A410="",-1,IF($J410=Setup!$B$7,1,IF($J410=Setup!$B$9,0,-1)))</f>
        <v>-1</v>
      </c>
      <c r="S410" s="35" t="n">
        <f aca="false">IF(OR($A410="",$Q410=0,$R410=-1),0,$Q410*1000+$R410*100+$K410)</f>
        <v>0</v>
      </c>
      <c r="T410" s="37" t="str">
        <f aca="false">IF($A410="","",IF($B410="","NO ACCOUNT",IF($Q410=0,"UNMAPPED",IF($R410=-1,"OUTSIDE FY RANGE","OK"))))</f>
        <v/>
      </c>
      <c r="U410" s="40" t="str">
        <f aca="false">IF($A410="","",$B410&amp;"|"&amp;TEXT($A410,"yyyymmdd")&amp;"|"&amp;TEXT($I410,"0.00"))</f>
        <v/>
      </c>
      <c r="V410" s="35" t="str">
        <f aca="false">IF($A410="","",COUNTIF($U$8:$U$5007,$U410))</f>
        <v/>
      </c>
    </row>
    <row r="411" customFormat="false" ht="15" hidden="false" customHeight="false" outlineLevel="0" collapsed="false">
      <c r="A411" s="31"/>
      <c r="B411" s="32"/>
      <c r="C411" s="32"/>
      <c r="D411" s="32"/>
      <c r="E411" s="32"/>
      <c r="F411" s="32"/>
      <c r="G411" s="33"/>
      <c r="H411" s="33"/>
      <c r="I411" s="34" t="str">
        <f aca="false">IF($A411="","",$G411-$H411)</f>
        <v/>
      </c>
      <c r="J411" s="35" t="str">
        <f aca="false">IF($A411="","",IF(Setup!$B$6=1,YEAR($A411),YEAR($A411)+IF(MONTH($A411)&gt;=Setup!$B$6,1,0)))</f>
        <v/>
      </c>
      <c r="K411" s="35" t="str">
        <f aca="false">IF($A411="","",MOD(MONTH($A411)-Setup!$B$6+12,12)+1)</f>
        <v/>
      </c>
      <c r="L411" s="36" t="str">
        <f aca="false">IF($A411="","",TEXT($A411,"MMM-YY"))</f>
        <v/>
      </c>
      <c r="M411" s="37" t="str">
        <f aca="false">IF($A411="","",IF($Q411=0,"UNMAPPED",INDEX(COA_Mapping!$C$7:$C$256,$Q411)))</f>
        <v/>
      </c>
      <c r="N411" s="38" t="str">
        <f aca="false">IF($A411="","",IF($Q411=0,"",INDEX(COA_Mapping!$E$7:$E$256,$Q411)))</f>
        <v/>
      </c>
      <c r="O411" s="38" t="n">
        <f aca="false">IF($A411="",1,IF($Q411=0,1,INDEX(COA_Mapping!$F$7:$F$256,$Q411)))</f>
        <v>1</v>
      </c>
      <c r="P411" s="34" t="str">
        <f aca="false">IF($A411="","",$I411*$O411)</f>
        <v/>
      </c>
      <c r="Q411" s="39" t="n">
        <f aca="false">IF($B411="",0,IFERROR(MATCH($B411,COA_Mapping!$A$7:$A$256,0),0))</f>
        <v>0</v>
      </c>
      <c r="R411" s="39" t="n">
        <f aca="false">IF($A411="",-1,IF($J411=Setup!$B$7,1,IF($J411=Setup!$B$9,0,-1)))</f>
        <v>-1</v>
      </c>
      <c r="S411" s="35" t="n">
        <f aca="false">IF(OR($A411="",$Q411=0,$R411=-1),0,$Q411*1000+$R411*100+$K411)</f>
        <v>0</v>
      </c>
      <c r="T411" s="37" t="str">
        <f aca="false">IF($A411="","",IF($B411="","NO ACCOUNT",IF($Q411=0,"UNMAPPED",IF($R411=-1,"OUTSIDE FY RANGE","OK"))))</f>
        <v/>
      </c>
      <c r="U411" s="40" t="str">
        <f aca="false">IF($A411="","",$B411&amp;"|"&amp;TEXT($A411,"yyyymmdd")&amp;"|"&amp;TEXT($I411,"0.00"))</f>
        <v/>
      </c>
      <c r="V411" s="35" t="str">
        <f aca="false">IF($A411="","",COUNTIF($U$8:$U$5007,$U411))</f>
        <v/>
      </c>
    </row>
    <row r="412" customFormat="false" ht="15" hidden="false" customHeight="false" outlineLevel="0" collapsed="false">
      <c r="A412" s="31"/>
      <c r="B412" s="32"/>
      <c r="C412" s="32"/>
      <c r="D412" s="32"/>
      <c r="E412" s="32"/>
      <c r="F412" s="32"/>
      <c r="G412" s="33"/>
      <c r="H412" s="33"/>
      <c r="I412" s="34" t="str">
        <f aca="false">IF($A412="","",$G412-$H412)</f>
        <v/>
      </c>
      <c r="J412" s="35" t="str">
        <f aca="false">IF($A412="","",IF(Setup!$B$6=1,YEAR($A412),YEAR($A412)+IF(MONTH($A412)&gt;=Setup!$B$6,1,0)))</f>
        <v/>
      </c>
      <c r="K412" s="35" t="str">
        <f aca="false">IF($A412="","",MOD(MONTH($A412)-Setup!$B$6+12,12)+1)</f>
        <v/>
      </c>
      <c r="L412" s="36" t="str">
        <f aca="false">IF($A412="","",TEXT($A412,"MMM-YY"))</f>
        <v/>
      </c>
      <c r="M412" s="37" t="str">
        <f aca="false">IF($A412="","",IF($Q412=0,"UNMAPPED",INDEX(COA_Mapping!$C$7:$C$256,$Q412)))</f>
        <v/>
      </c>
      <c r="N412" s="38" t="str">
        <f aca="false">IF($A412="","",IF($Q412=0,"",INDEX(COA_Mapping!$E$7:$E$256,$Q412)))</f>
        <v/>
      </c>
      <c r="O412" s="38" t="n">
        <f aca="false">IF($A412="",1,IF($Q412=0,1,INDEX(COA_Mapping!$F$7:$F$256,$Q412)))</f>
        <v>1</v>
      </c>
      <c r="P412" s="34" t="str">
        <f aca="false">IF($A412="","",$I412*$O412)</f>
        <v/>
      </c>
      <c r="Q412" s="39" t="n">
        <f aca="false">IF($B412="",0,IFERROR(MATCH($B412,COA_Mapping!$A$7:$A$256,0),0))</f>
        <v>0</v>
      </c>
      <c r="R412" s="39" t="n">
        <f aca="false">IF($A412="",-1,IF($J412=Setup!$B$7,1,IF($J412=Setup!$B$9,0,-1)))</f>
        <v>-1</v>
      </c>
      <c r="S412" s="35" t="n">
        <f aca="false">IF(OR($A412="",$Q412=0,$R412=-1),0,$Q412*1000+$R412*100+$K412)</f>
        <v>0</v>
      </c>
      <c r="T412" s="37" t="str">
        <f aca="false">IF($A412="","",IF($B412="","NO ACCOUNT",IF($Q412=0,"UNMAPPED",IF($R412=-1,"OUTSIDE FY RANGE","OK"))))</f>
        <v/>
      </c>
      <c r="U412" s="40" t="str">
        <f aca="false">IF($A412="","",$B412&amp;"|"&amp;TEXT($A412,"yyyymmdd")&amp;"|"&amp;TEXT($I412,"0.00"))</f>
        <v/>
      </c>
      <c r="V412" s="35" t="str">
        <f aca="false">IF($A412="","",COUNTIF($U$8:$U$5007,$U412))</f>
        <v/>
      </c>
    </row>
    <row r="413" customFormat="false" ht="15" hidden="false" customHeight="false" outlineLevel="0" collapsed="false">
      <c r="A413" s="31"/>
      <c r="B413" s="32"/>
      <c r="C413" s="32"/>
      <c r="D413" s="32"/>
      <c r="E413" s="32"/>
      <c r="F413" s="32"/>
      <c r="G413" s="33"/>
      <c r="H413" s="33"/>
      <c r="I413" s="34" t="str">
        <f aca="false">IF($A413="","",$G413-$H413)</f>
        <v/>
      </c>
      <c r="J413" s="35" t="str">
        <f aca="false">IF($A413="","",IF(Setup!$B$6=1,YEAR($A413),YEAR($A413)+IF(MONTH($A413)&gt;=Setup!$B$6,1,0)))</f>
        <v/>
      </c>
      <c r="K413" s="35" t="str">
        <f aca="false">IF($A413="","",MOD(MONTH($A413)-Setup!$B$6+12,12)+1)</f>
        <v/>
      </c>
      <c r="L413" s="36" t="str">
        <f aca="false">IF($A413="","",TEXT($A413,"MMM-YY"))</f>
        <v/>
      </c>
      <c r="M413" s="37" t="str">
        <f aca="false">IF($A413="","",IF($Q413=0,"UNMAPPED",INDEX(COA_Mapping!$C$7:$C$256,$Q413)))</f>
        <v/>
      </c>
      <c r="N413" s="38" t="str">
        <f aca="false">IF($A413="","",IF($Q413=0,"",INDEX(COA_Mapping!$E$7:$E$256,$Q413)))</f>
        <v/>
      </c>
      <c r="O413" s="38" t="n">
        <f aca="false">IF($A413="",1,IF($Q413=0,1,INDEX(COA_Mapping!$F$7:$F$256,$Q413)))</f>
        <v>1</v>
      </c>
      <c r="P413" s="34" t="str">
        <f aca="false">IF($A413="","",$I413*$O413)</f>
        <v/>
      </c>
      <c r="Q413" s="39" t="n">
        <f aca="false">IF($B413="",0,IFERROR(MATCH($B413,COA_Mapping!$A$7:$A$256,0),0))</f>
        <v>0</v>
      </c>
      <c r="R413" s="39" t="n">
        <f aca="false">IF($A413="",-1,IF($J413=Setup!$B$7,1,IF($J413=Setup!$B$9,0,-1)))</f>
        <v>-1</v>
      </c>
      <c r="S413" s="35" t="n">
        <f aca="false">IF(OR($A413="",$Q413=0,$R413=-1),0,$Q413*1000+$R413*100+$K413)</f>
        <v>0</v>
      </c>
      <c r="T413" s="37" t="str">
        <f aca="false">IF($A413="","",IF($B413="","NO ACCOUNT",IF($Q413=0,"UNMAPPED",IF($R413=-1,"OUTSIDE FY RANGE","OK"))))</f>
        <v/>
      </c>
      <c r="U413" s="40" t="str">
        <f aca="false">IF($A413="","",$B413&amp;"|"&amp;TEXT($A413,"yyyymmdd")&amp;"|"&amp;TEXT($I413,"0.00"))</f>
        <v/>
      </c>
      <c r="V413" s="35" t="str">
        <f aca="false">IF($A413="","",COUNTIF($U$8:$U$5007,$U413))</f>
        <v/>
      </c>
    </row>
    <row r="414" customFormat="false" ht="15" hidden="false" customHeight="false" outlineLevel="0" collapsed="false">
      <c r="A414" s="31"/>
      <c r="B414" s="32"/>
      <c r="C414" s="32"/>
      <c r="D414" s="32"/>
      <c r="E414" s="32"/>
      <c r="F414" s="32"/>
      <c r="G414" s="33"/>
      <c r="H414" s="33"/>
      <c r="I414" s="34" t="str">
        <f aca="false">IF($A414="","",$G414-$H414)</f>
        <v/>
      </c>
      <c r="J414" s="35" t="str">
        <f aca="false">IF($A414="","",IF(Setup!$B$6=1,YEAR($A414),YEAR($A414)+IF(MONTH($A414)&gt;=Setup!$B$6,1,0)))</f>
        <v/>
      </c>
      <c r="K414" s="35" t="str">
        <f aca="false">IF($A414="","",MOD(MONTH($A414)-Setup!$B$6+12,12)+1)</f>
        <v/>
      </c>
      <c r="L414" s="36" t="str">
        <f aca="false">IF($A414="","",TEXT($A414,"MMM-YY"))</f>
        <v/>
      </c>
      <c r="M414" s="37" t="str">
        <f aca="false">IF($A414="","",IF($Q414=0,"UNMAPPED",INDEX(COA_Mapping!$C$7:$C$256,$Q414)))</f>
        <v/>
      </c>
      <c r="N414" s="38" t="str">
        <f aca="false">IF($A414="","",IF($Q414=0,"",INDEX(COA_Mapping!$E$7:$E$256,$Q414)))</f>
        <v/>
      </c>
      <c r="O414" s="38" t="n">
        <f aca="false">IF($A414="",1,IF($Q414=0,1,INDEX(COA_Mapping!$F$7:$F$256,$Q414)))</f>
        <v>1</v>
      </c>
      <c r="P414" s="34" t="str">
        <f aca="false">IF($A414="","",$I414*$O414)</f>
        <v/>
      </c>
      <c r="Q414" s="39" t="n">
        <f aca="false">IF($B414="",0,IFERROR(MATCH($B414,COA_Mapping!$A$7:$A$256,0),0))</f>
        <v>0</v>
      </c>
      <c r="R414" s="39" t="n">
        <f aca="false">IF($A414="",-1,IF($J414=Setup!$B$7,1,IF($J414=Setup!$B$9,0,-1)))</f>
        <v>-1</v>
      </c>
      <c r="S414" s="35" t="n">
        <f aca="false">IF(OR($A414="",$Q414=0,$R414=-1),0,$Q414*1000+$R414*100+$K414)</f>
        <v>0</v>
      </c>
      <c r="T414" s="37" t="str">
        <f aca="false">IF($A414="","",IF($B414="","NO ACCOUNT",IF($Q414=0,"UNMAPPED",IF($R414=-1,"OUTSIDE FY RANGE","OK"))))</f>
        <v/>
      </c>
      <c r="U414" s="40" t="str">
        <f aca="false">IF($A414="","",$B414&amp;"|"&amp;TEXT($A414,"yyyymmdd")&amp;"|"&amp;TEXT($I414,"0.00"))</f>
        <v/>
      </c>
      <c r="V414" s="35" t="str">
        <f aca="false">IF($A414="","",COUNTIF($U$8:$U$5007,$U414))</f>
        <v/>
      </c>
    </row>
    <row r="415" customFormat="false" ht="15" hidden="false" customHeight="false" outlineLevel="0" collapsed="false">
      <c r="A415" s="31"/>
      <c r="B415" s="32"/>
      <c r="C415" s="32"/>
      <c r="D415" s="32"/>
      <c r="E415" s="32"/>
      <c r="F415" s="32"/>
      <c r="G415" s="33"/>
      <c r="H415" s="33"/>
      <c r="I415" s="34" t="str">
        <f aca="false">IF($A415="","",$G415-$H415)</f>
        <v/>
      </c>
      <c r="J415" s="35" t="str">
        <f aca="false">IF($A415="","",IF(Setup!$B$6=1,YEAR($A415),YEAR($A415)+IF(MONTH($A415)&gt;=Setup!$B$6,1,0)))</f>
        <v/>
      </c>
      <c r="K415" s="35" t="str">
        <f aca="false">IF($A415="","",MOD(MONTH($A415)-Setup!$B$6+12,12)+1)</f>
        <v/>
      </c>
      <c r="L415" s="36" t="str">
        <f aca="false">IF($A415="","",TEXT($A415,"MMM-YY"))</f>
        <v/>
      </c>
      <c r="M415" s="37" t="str">
        <f aca="false">IF($A415="","",IF($Q415=0,"UNMAPPED",INDEX(COA_Mapping!$C$7:$C$256,$Q415)))</f>
        <v/>
      </c>
      <c r="N415" s="38" t="str">
        <f aca="false">IF($A415="","",IF($Q415=0,"",INDEX(COA_Mapping!$E$7:$E$256,$Q415)))</f>
        <v/>
      </c>
      <c r="O415" s="38" t="n">
        <f aca="false">IF($A415="",1,IF($Q415=0,1,INDEX(COA_Mapping!$F$7:$F$256,$Q415)))</f>
        <v>1</v>
      </c>
      <c r="P415" s="34" t="str">
        <f aca="false">IF($A415="","",$I415*$O415)</f>
        <v/>
      </c>
      <c r="Q415" s="39" t="n">
        <f aca="false">IF($B415="",0,IFERROR(MATCH($B415,COA_Mapping!$A$7:$A$256,0),0))</f>
        <v>0</v>
      </c>
      <c r="R415" s="39" t="n">
        <f aca="false">IF($A415="",-1,IF($J415=Setup!$B$7,1,IF($J415=Setup!$B$9,0,-1)))</f>
        <v>-1</v>
      </c>
      <c r="S415" s="35" t="n">
        <f aca="false">IF(OR($A415="",$Q415=0,$R415=-1),0,$Q415*1000+$R415*100+$K415)</f>
        <v>0</v>
      </c>
      <c r="T415" s="37" t="str">
        <f aca="false">IF($A415="","",IF($B415="","NO ACCOUNT",IF($Q415=0,"UNMAPPED",IF($R415=-1,"OUTSIDE FY RANGE","OK"))))</f>
        <v/>
      </c>
      <c r="U415" s="40" t="str">
        <f aca="false">IF($A415="","",$B415&amp;"|"&amp;TEXT($A415,"yyyymmdd")&amp;"|"&amp;TEXT($I415,"0.00"))</f>
        <v/>
      </c>
      <c r="V415" s="35" t="str">
        <f aca="false">IF($A415="","",COUNTIF($U$8:$U$5007,$U415))</f>
        <v/>
      </c>
    </row>
    <row r="416" customFormat="false" ht="15" hidden="false" customHeight="false" outlineLevel="0" collapsed="false">
      <c r="A416" s="31"/>
      <c r="B416" s="32"/>
      <c r="C416" s="32"/>
      <c r="D416" s="32"/>
      <c r="E416" s="32"/>
      <c r="F416" s="32"/>
      <c r="G416" s="33"/>
      <c r="H416" s="33"/>
      <c r="I416" s="34" t="str">
        <f aca="false">IF($A416="","",$G416-$H416)</f>
        <v/>
      </c>
      <c r="J416" s="35" t="str">
        <f aca="false">IF($A416="","",IF(Setup!$B$6=1,YEAR($A416),YEAR($A416)+IF(MONTH($A416)&gt;=Setup!$B$6,1,0)))</f>
        <v/>
      </c>
      <c r="K416" s="35" t="str">
        <f aca="false">IF($A416="","",MOD(MONTH($A416)-Setup!$B$6+12,12)+1)</f>
        <v/>
      </c>
      <c r="L416" s="36" t="str">
        <f aca="false">IF($A416="","",TEXT($A416,"MMM-YY"))</f>
        <v/>
      </c>
      <c r="M416" s="37" t="str">
        <f aca="false">IF($A416="","",IF($Q416=0,"UNMAPPED",INDEX(COA_Mapping!$C$7:$C$256,$Q416)))</f>
        <v/>
      </c>
      <c r="N416" s="38" t="str">
        <f aca="false">IF($A416="","",IF($Q416=0,"",INDEX(COA_Mapping!$E$7:$E$256,$Q416)))</f>
        <v/>
      </c>
      <c r="O416" s="38" t="n">
        <f aca="false">IF($A416="",1,IF($Q416=0,1,INDEX(COA_Mapping!$F$7:$F$256,$Q416)))</f>
        <v>1</v>
      </c>
      <c r="P416" s="34" t="str">
        <f aca="false">IF($A416="","",$I416*$O416)</f>
        <v/>
      </c>
      <c r="Q416" s="39" t="n">
        <f aca="false">IF($B416="",0,IFERROR(MATCH($B416,COA_Mapping!$A$7:$A$256,0),0))</f>
        <v>0</v>
      </c>
      <c r="R416" s="39" t="n">
        <f aca="false">IF($A416="",-1,IF($J416=Setup!$B$7,1,IF($J416=Setup!$B$9,0,-1)))</f>
        <v>-1</v>
      </c>
      <c r="S416" s="35" t="n">
        <f aca="false">IF(OR($A416="",$Q416=0,$R416=-1),0,$Q416*1000+$R416*100+$K416)</f>
        <v>0</v>
      </c>
      <c r="T416" s="37" t="str">
        <f aca="false">IF($A416="","",IF($B416="","NO ACCOUNT",IF($Q416=0,"UNMAPPED",IF($R416=-1,"OUTSIDE FY RANGE","OK"))))</f>
        <v/>
      </c>
      <c r="U416" s="40" t="str">
        <f aca="false">IF($A416="","",$B416&amp;"|"&amp;TEXT($A416,"yyyymmdd")&amp;"|"&amp;TEXT($I416,"0.00"))</f>
        <v/>
      </c>
      <c r="V416" s="35" t="str">
        <f aca="false">IF($A416="","",COUNTIF($U$8:$U$5007,$U416))</f>
        <v/>
      </c>
    </row>
    <row r="417" customFormat="false" ht="15" hidden="false" customHeight="false" outlineLevel="0" collapsed="false">
      <c r="A417" s="31"/>
      <c r="B417" s="32"/>
      <c r="C417" s="32"/>
      <c r="D417" s="32"/>
      <c r="E417" s="32"/>
      <c r="F417" s="32"/>
      <c r="G417" s="33"/>
      <c r="H417" s="33"/>
      <c r="I417" s="34" t="str">
        <f aca="false">IF($A417="","",$G417-$H417)</f>
        <v/>
      </c>
      <c r="J417" s="35" t="str">
        <f aca="false">IF($A417="","",IF(Setup!$B$6=1,YEAR($A417),YEAR($A417)+IF(MONTH($A417)&gt;=Setup!$B$6,1,0)))</f>
        <v/>
      </c>
      <c r="K417" s="35" t="str">
        <f aca="false">IF($A417="","",MOD(MONTH($A417)-Setup!$B$6+12,12)+1)</f>
        <v/>
      </c>
      <c r="L417" s="36" t="str">
        <f aca="false">IF($A417="","",TEXT($A417,"MMM-YY"))</f>
        <v/>
      </c>
      <c r="M417" s="37" t="str">
        <f aca="false">IF($A417="","",IF($Q417=0,"UNMAPPED",INDEX(COA_Mapping!$C$7:$C$256,$Q417)))</f>
        <v/>
      </c>
      <c r="N417" s="38" t="str">
        <f aca="false">IF($A417="","",IF($Q417=0,"",INDEX(COA_Mapping!$E$7:$E$256,$Q417)))</f>
        <v/>
      </c>
      <c r="O417" s="38" t="n">
        <f aca="false">IF($A417="",1,IF($Q417=0,1,INDEX(COA_Mapping!$F$7:$F$256,$Q417)))</f>
        <v>1</v>
      </c>
      <c r="P417" s="34" t="str">
        <f aca="false">IF($A417="","",$I417*$O417)</f>
        <v/>
      </c>
      <c r="Q417" s="39" t="n">
        <f aca="false">IF($B417="",0,IFERROR(MATCH($B417,COA_Mapping!$A$7:$A$256,0),0))</f>
        <v>0</v>
      </c>
      <c r="R417" s="39" t="n">
        <f aca="false">IF($A417="",-1,IF($J417=Setup!$B$7,1,IF($J417=Setup!$B$9,0,-1)))</f>
        <v>-1</v>
      </c>
      <c r="S417" s="35" t="n">
        <f aca="false">IF(OR($A417="",$Q417=0,$R417=-1),0,$Q417*1000+$R417*100+$K417)</f>
        <v>0</v>
      </c>
      <c r="T417" s="37" t="str">
        <f aca="false">IF($A417="","",IF($B417="","NO ACCOUNT",IF($Q417=0,"UNMAPPED",IF($R417=-1,"OUTSIDE FY RANGE","OK"))))</f>
        <v/>
      </c>
      <c r="U417" s="40" t="str">
        <f aca="false">IF($A417="","",$B417&amp;"|"&amp;TEXT($A417,"yyyymmdd")&amp;"|"&amp;TEXT($I417,"0.00"))</f>
        <v/>
      </c>
      <c r="V417" s="35" t="str">
        <f aca="false">IF($A417="","",COUNTIF($U$8:$U$5007,$U417))</f>
        <v/>
      </c>
    </row>
    <row r="418" customFormat="false" ht="15" hidden="false" customHeight="false" outlineLevel="0" collapsed="false">
      <c r="A418" s="31"/>
      <c r="B418" s="32"/>
      <c r="C418" s="32"/>
      <c r="D418" s="32"/>
      <c r="E418" s="32"/>
      <c r="F418" s="32"/>
      <c r="G418" s="33"/>
      <c r="H418" s="33"/>
      <c r="I418" s="34" t="str">
        <f aca="false">IF($A418="","",$G418-$H418)</f>
        <v/>
      </c>
      <c r="J418" s="35" t="str">
        <f aca="false">IF($A418="","",IF(Setup!$B$6=1,YEAR($A418),YEAR($A418)+IF(MONTH($A418)&gt;=Setup!$B$6,1,0)))</f>
        <v/>
      </c>
      <c r="K418" s="35" t="str">
        <f aca="false">IF($A418="","",MOD(MONTH($A418)-Setup!$B$6+12,12)+1)</f>
        <v/>
      </c>
      <c r="L418" s="36" t="str">
        <f aca="false">IF($A418="","",TEXT($A418,"MMM-YY"))</f>
        <v/>
      </c>
      <c r="M418" s="37" t="str">
        <f aca="false">IF($A418="","",IF($Q418=0,"UNMAPPED",INDEX(COA_Mapping!$C$7:$C$256,$Q418)))</f>
        <v/>
      </c>
      <c r="N418" s="38" t="str">
        <f aca="false">IF($A418="","",IF($Q418=0,"",INDEX(COA_Mapping!$E$7:$E$256,$Q418)))</f>
        <v/>
      </c>
      <c r="O418" s="38" t="n">
        <f aca="false">IF($A418="",1,IF($Q418=0,1,INDEX(COA_Mapping!$F$7:$F$256,$Q418)))</f>
        <v>1</v>
      </c>
      <c r="P418" s="34" t="str">
        <f aca="false">IF($A418="","",$I418*$O418)</f>
        <v/>
      </c>
      <c r="Q418" s="39" t="n">
        <f aca="false">IF($B418="",0,IFERROR(MATCH($B418,COA_Mapping!$A$7:$A$256,0),0))</f>
        <v>0</v>
      </c>
      <c r="R418" s="39" t="n">
        <f aca="false">IF($A418="",-1,IF($J418=Setup!$B$7,1,IF($J418=Setup!$B$9,0,-1)))</f>
        <v>-1</v>
      </c>
      <c r="S418" s="35" t="n">
        <f aca="false">IF(OR($A418="",$Q418=0,$R418=-1),0,$Q418*1000+$R418*100+$K418)</f>
        <v>0</v>
      </c>
      <c r="T418" s="37" t="str">
        <f aca="false">IF($A418="","",IF($B418="","NO ACCOUNT",IF($Q418=0,"UNMAPPED",IF($R418=-1,"OUTSIDE FY RANGE","OK"))))</f>
        <v/>
      </c>
      <c r="U418" s="40" t="str">
        <f aca="false">IF($A418="","",$B418&amp;"|"&amp;TEXT($A418,"yyyymmdd")&amp;"|"&amp;TEXT($I418,"0.00"))</f>
        <v/>
      </c>
      <c r="V418" s="35" t="str">
        <f aca="false">IF($A418="","",COUNTIF($U$8:$U$5007,$U418))</f>
        <v/>
      </c>
    </row>
    <row r="419" customFormat="false" ht="15" hidden="false" customHeight="false" outlineLevel="0" collapsed="false">
      <c r="A419" s="31"/>
      <c r="B419" s="32"/>
      <c r="C419" s="32"/>
      <c r="D419" s="32"/>
      <c r="E419" s="32"/>
      <c r="F419" s="32"/>
      <c r="G419" s="33"/>
      <c r="H419" s="33"/>
      <c r="I419" s="34" t="str">
        <f aca="false">IF($A419="","",$G419-$H419)</f>
        <v/>
      </c>
      <c r="J419" s="35" t="str">
        <f aca="false">IF($A419="","",IF(Setup!$B$6=1,YEAR($A419),YEAR($A419)+IF(MONTH($A419)&gt;=Setup!$B$6,1,0)))</f>
        <v/>
      </c>
      <c r="K419" s="35" t="str">
        <f aca="false">IF($A419="","",MOD(MONTH($A419)-Setup!$B$6+12,12)+1)</f>
        <v/>
      </c>
      <c r="L419" s="36" t="str">
        <f aca="false">IF($A419="","",TEXT($A419,"MMM-YY"))</f>
        <v/>
      </c>
      <c r="M419" s="37" t="str">
        <f aca="false">IF($A419="","",IF($Q419=0,"UNMAPPED",INDEX(COA_Mapping!$C$7:$C$256,$Q419)))</f>
        <v/>
      </c>
      <c r="N419" s="38" t="str">
        <f aca="false">IF($A419="","",IF($Q419=0,"",INDEX(COA_Mapping!$E$7:$E$256,$Q419)))</f>
        <v/>
      </c>
      <c r="O419" s="38" t="n">
        <f aca="false">IF($A419="",1,IF($Q419=0,1,INDEX(COA_Mapping!$F$7:$F$256,$Q419)))</f>
        <v>1</v>
      </c>
      <c r="P419" s="34" t="str">
        <f aca="false">IF($A419="","",$I419*$O419)</f>
        <v/>
      </c>
      <c r="Q419" s="39" t="n">
        <f aca="false">IF($B419="",0,IFERROR(MATCH($B419,COA_Mapping!$A$7:$A$256,0),0))</f>
        <v>0</v>
      </c>
      <c r="R419" s="39" t="n">
        <f aca="false">IF($A419="",-1,IF($J419=Setup!$B$7,1,IF($J419=Setup!$B$9,0,-1)))</f>
        <v>-1</v>
      </c>
      <c r="S419" s="35" t="n">
        <f aca="false">IF(OR($A419="",$Q419=0,$R419=-1),0,$Q419*1000+$R419*100+$K419)</f>
        <v>0</v>
      </c>
      <c r="T419" s="37" t="str">
        <f aca="false">IF($A419="","",IF($B419="","NO ACCOUNT",IF($Q419=0,"UNMAPPED",IF($R419=-1,"OUTSIDE FY RANGE","OK"))))</f>
        <v/>
      </c>
      <c r="U419" s="40" t="str">
        <f aca="false">IF($A419="","",$B419&amp;"|"&amp;TEXT($A419,"yyyymmdd")&amp;"|"&amp;TEXT($I419,"0.00"))</f>
        <v/>
      </c>
      <c r="V419" s="35" t="str">
        <f aca="false">IF($A419="","",COUNTIF($U$8:$U$5007,$U419))</f>
        <v/>
      </c>
    </row>
    <row r="420" customFormat="false" ht="15" hidden="false" customHeight="false" outlineLevel="0" collapsed="false">
      <c r="A420" s="31"/>
      <c r="B420" s="32"/>
      <c r="C420" s="32"/>
      <c r="D420" s="32"/>
      <c r="E420" s="32"/>
      <c r="F420" s="32"/>
      <c r="G420" s="33"/>
      <c r="H420" s="33"/>
      <c r="I420" s="34" t="str">
        <f aca="false">IF($A420="","",$G420-$H420)</f>
        <v/>
      </c>
      <c r="J420" s="35" t="str">
        <f aca="false">IF($A420="","",IF(Setup!$B$6=1,YEAR($A420),YEAR($A420)+IF(MONTH($A420)&gt;=Setup!$B$6,1,0)))</f>
        <v/>
      </c>
      <c r="K420" s="35" t="str">
        <f aca="false">IF($A420="","",MOD(MONTH($A420)-Setup!$B$6+12,12)+1)</f>
        <v/>
      </c>
      <c r="L420" s="36" t="str">
        <f aca="false">IF($A420="","",TEXT($A420,"MMM-YY"))</f>
        <v/>
      </c>
      <c r="M420" s="37" t="str">
        <f aca="false">IF($A420="","",IF($Q420=0,"UNMAPPED",INDEX(COA_Mapping!$C$7:$C$256,$Q420)))</f>
        <v/>
      </c>
      <c r="N420" s="38" t="str">
        <f aca="false">IF($A420="","",IF($Q420=0,"",INDEX(COA_Mapping!$E$7:$E$256,$Q420)))</f>
        <v/>
      </c>
      <c r="O420" s="38" t="n">
        <f aca="false">IF($A420="",1,IF($Q420=0,1,INDEX(COA_Mapping!$F$7:$F$256,$Q420)))</f>
        <v>1</v>
      </c>
      <c r="P420" s="34" t="str">
        <f aca="false">IF($A420="","",$I420*$O420)</f>
        <v/>
      </c>
      <c r="Q420" s="39" t="n">
        <f aca="false">IF($B420="",0,IFERROR(MATCH($B420,COA_Mapping!$A$7:$A$256,0),0))</f>
        <v>0</v>
      </c>
      <c r="R420" s="39" t="n">
        <f aca="false">IF($A420="",-1,IF($J420=Setup!$B$7,1,IF($J420=Setup!$B$9,0,-1)))</f>
        <v>-1</v>
      </c>
      <c r="S420" s="35" t="n">
        <f aca="false">IF(OR($A420="",$Q420=0,$R420=-1),0,$Q420*1000+$R420*100+$K420)</f>
        <v>0</v>
      </c>
      <c r="T420" s="37" t="str">
        <f aca="false">IF($A420="","",IF($B420="","NO ACCOUNT",IF($Q420=0,"UNMAPPED",IF($R420=-1,"OUTSIDE FY RANGE","OK"))))</f>
        <v/>
      </c>
      <c r="U420" s="40" t="str">
        <f aca="false">IF($A420="","",$B420&amp;"|"&amp;TEXT($A420,"yyyymmdd")&amp;"|"&amp;TEXT($I420,"0.00"))</f>
        <v/>
      </c>
      <c r="V420" s="35" t="str">
        <f aca="false">IF($A420="","",COUNTIF($U$8:$U$5007,$U420))</f>
        <v/>
      </c>
    </row>
    <row r="421" customFormat="false" ht="15" hidden="false" customHeight="false" outlineLevel="0" collapsed="false">
      <c r="A421" s="31"/>
      <c r="B421" s="32"/>
      <c r="C421" s="32"/>
      <c r="D421" s="32"/>
      <c r="E421" s="32"/>
      <c r="F421" s="32"/>
      <c r="G421" s="33"/>
      <c r="H421" s="33"/>
      <c r="I421" s="34" t="str">
        <f aca="false">IF($A421="","",$G421-$H421)</f>
        <v/>
      </c>
      <c r="J421" s="35" t="str">
        <f aca="false">IF($A421="","",IF(Setup!$B$6=1,YEAR($A421),YEAR($A421)+IF(MONTH($A421)&gt;=Setup!$B$6,1,0)))</f>
        <v/>
      </c>
      <c r="K421" s="35" t="str">
        <f aca="false">IF($A421="","",MOD(MONTH($A421)-Setup!$B$6+12,12)+1)</f>
        <v/>
      </c>
      <c r="L421" s="36" t="str">
        <f aca="false">IF($A421="","",TEXT($A421,"MMM-YY"))</f>
        <v/>
      </c>
      <c r="M421" s="37" t="str">
        <f aca="false">IF($A421="","",IF($Q421=0,"UNMAPPED",INDEX(COA_Mapping!$C$7:$C$256,$Q421)))</f>
        <v/>
      </c>
      <c r="N421" s="38" t="str">
        <f aca="false">IF($A421="","",IF($Q421=0,"",INDEX(COA_Mapping!$E$7:$E$256,$Q421)))</f>
        <v/>
      </c>
      <c r="O421" s="38" t="n">
        <f aca="false">IF($A421="",1,IF($Q421=0,1,INDEX(COA_Mapping!$F$7:$F$256,$Q421)))</f>
        <v>1</v>
      </c>
      <c r="P421" s="34" t="str">
        <f aca="false">IF($A421="","",$I421*$O421)</f>
        <v/>
      </c>
      <c r="Q421" s="39" t="n">
        <f aca="false">IF($B421="",0,IFERROR(MATCH($B421,COA_Mapping!$A$7:$A$256,0),0))</f>
        <v>0</v>
      </c>
      <c r="R421" s="39" t="n">
        <f aca="false">IF($A421="",-1,IF($J421=Setup!$B$7,1,IF($J421=Setup!$B$9,0,-1)))</f>
        <v>-1</v>
      </c>
      <c r="S421" s="35" t="n">
        <f aca="false">IF(OR($A421="",$Q421=0,$R421=-1),0,$Q421*1000+$R421*100+$K421)</f>
        <v>0</v>
      </c>
      <c r="T421" s="37" t="str">
        <f aca="false">IF($A421="","",IF($B421="","NO ACCOUNT",IF($Q421=0,"UNMAPPED",IF($R421=-1,"OUTSIDE FY RANGE","OK"))))</f>
        <v/>
      </c>
      <c r="U421" s="40" t="str">
        <f aca="false">IF($A421="","",$B421&amp;"|"&amp;TEXT($A421,"yyyymmdd")&amp;"|"&amp;TEXT($I421,"0.00"))</f>
        <v/>
      </c>
      <c r="V421" s="35" t="str">
        <f aca="false">IF($A421="","",COUNTIF($U$8:$U$5007,$U421))</f>
        <v/>
      </c>
    </row>
    <row r="422" customFormat="false" ht="15" hidden="false" customHeight="false" outlineLevel="0" collapsed="false">
      <c r="A422" s="31"/>
      <c r="B422" s="32"/>
      <c r="C422" s="32"/>
      <c r="D422" s="32"/>
      <c r="E422" s="32"/>
      <c r="F422" s="32"/>
      <c r="G422" s="33"/>
      <c r="H422" s="33"/>
      <c r="I422" s="34" t="str">
        <f aca="false">IF($A422="","",$G422-$H422)</f>
        <v/>
      </c>
      <c r="J422" s="35" t="str">
        <f aca="false">IF($A422="","",IF(Setup!$B$6=1,YEAR($A422),YEAR($A422)+IF(MONTH($A422)&gt;=Setup!$B$6,1,0)))</f>
        <v/>
      </c>
      <c r="K422" s="35" t="str">
        <f aca="false">IF($A422="","",MOD(MONTH($A422)-Setup!$B$6+12,12)+1)</f>
        <v/>
      </c>
      <c r="L422" s="36" t="str">
        <f aca="false">IF($A422="","",TEXT($A422,"MMM-YY"))</f>
        <v/>
      </c>
      <c r="M422" s="37" t="str">
        <f aca="false">IF($A422="","",IF($Q422=0,"UNMAPPED",INDEX(COA_Mapping!$C$7:$C$256,$Q422)))</f>
        <v/>
      </c>
      <c r="N422" s="38" t="str">
        <f aca="false">IF($A422="","",IF($Q422=0,"",INDEX(COA_Mapping!$E$7:$E$256,$Q422)))</f>
        <v/>
      </c>
      <c r="O422" s="38" t="n">
        <f aca="false">IF($A422="",1,IF($Q422=0,1,INDEX(COA_Mapping!$F$7:$F$256,$Q422)))</f>
        <v>1</v>
      </c>
      <c r="P422" s="34" t="str">
        <f aca="false">IF($A422="","",$I422*$O422)</f>
        <v/>
      </c>
      <c r="Q422" s="39" t="n">
        <f aca="false">IF($B422="",0,IFERROR(MATCH($B422,COA_Mapping!$A$7:$A$256,0),0))</f>
        <v>0</v>
      </c>
      <c r="R422" s="39" t="n">
        <f aca="false">IF($A422="",-1,IF($J422=Setup!$B$7,1,IF($J422=Setup!$B$9,0,-1)))</f>
        <v>-1</v>
      </c>
      <c r="S422" s="35" t="n">
        <f aca="false">IF(OR($A422="",$Q422=0,$R422=-1),0,$Q422*1000+$R422*100+$K422)</f>
        <v>0</v>
      </c>
      <c r="T422" s="37" t="str">
        <f aca="false">IF($A422="","",IF($B422="","NO ACCOUNT",IF($Q422=0,"UNMAPPED",IF($R422=-1,"OUTSIDE FY RANGE","OK"))))</f>
        <v/>
      </c>
      <c r="U422" s="40" t="str">
        <f aca="false">IF($A422="","",$B422&amp;"|"&amp;TEXT($A422,"yyyymmdd")&amp;"|"&amp;TEXT($I422,"0.00"))</f>
        <v/>
      </c>
      <c r="V422" s="35" t="str">
        <f aca="false">IF($A422="","",COUNTIF($U$8:$U$5007,$U422))</f>
        <v/>
      </c>
    </row>
    <row r="423" customFormat="false" ht="15" hidden="false" customHeight="false" outlineLevel="0" collapsed="false">
      <c r="A423" s="31"/>
      <c r="B423" s="32"/>
      <c r="C423" s="32"/>
      <c r="D423" s="32"/>
      <c r="E423" s="32"/>
      <c r="F423" s="32"/>
      <c r="G423" s="33"/>
      <c r="H423" s="33"/>
      <c r="I423" s="34" t="str">
        <f aca="false">IF($A423="","",$G423-$H423)</f>
        <v/>
      </c>
      <c r="J423" s="35" t="str">
        <f aca="false">IF($A423="","",IF(Setup!$B$6=1,YEAR($A423),YEAR($A423)+IF(MONTH($A423)&gt;=Setup!$B$6,1,0)))</f>
        <v/>
      </c>
      <c r="K423" s="35" t="str">
        <f aca="false">IF($A423="","",MOD(MONTH($A423)-Setup!$B$6+12,12)+1)</f>
        <v/>
      </c>
      <c r="L423" s="36" t="str">
        <f aca="false">IF($A423="","",TEXT($A423,"MMM-YY"))</f>
        <v/>
      </c>
      <c r="M423" s="37" t="str">
        <f aca="false">IF($A423="","",IF($Q423=0,"UNMAPPED",INDEX(COA_Mapping!$C$7:$C$256,$Q423)))</f>
        <v/>
      </c>
      <c r="N423" s="38" t="str">
        <f aca="false">IF($A423="","",IF($Q423=0,"",INDEX(COA_Mapping!$E$7:$E$256,$Q423)))</f>
        <v/>
      </c>
      <c r="O423" s="38" t="n">
        <f aca="false">IF($A423="",1,IF($Q423=0,1,INDEX(COA_Mapping!$F$7:$F$256,$Q423)))</f>
        <v>1</v>
      </c>
      <c r="P423" s="34" t="str">
        <f aca="false">IF($A423="","",$I423*$O423)</f>
        <v/>
      </c>
      <c r="Q423" s="39" t="n">
        <f aca="false">IF($B423="",0,IFERROR(MATCH($B423,COA_Mapping!$A$7:$A$256,0),0))</f>
        <v>0</v>
      </c>
      <c r="R423" s="39" t="n">
        <f aca="false">IF($A423="",-1,IF($J423=Setup!$B$7,1,IF($J423=Setup!$B$9,0,-1)))</f>
        <v>-1</v>
      </c>
      <c r="S423" s="35" t="n">
        <f aca="false">IF(OR($A423="",$Q423=0,$R423=-1),0,$Q423*1000+$R423*100+$K423)</f>
        <v>0</v>
      </c>
      <c r="T423" s="37" t="str">
        <f aca="false">IF($A423="","",IF($B423="","NO ACCOUNT",IF($Q423=0,"UNMAPPED",IF($R423=-1,"OUTSIDE FY RANGE","OK"))))</f>
        <v/>
      </c>
      <c r="U423" s="40" t="str">
        <f aca="false">IF($A423="","",$B423&amp;"|"&amp;TEXT($A423,"yyyymmdd")&amp;"|"&amp;TEXT($I423,"0.00"))</f>
        <v/>
      </c>
      <c r="V423" s="35" t="str">
        <f aca="false">IF($A423="","",COUNTIF($U$8:$U$5007,$U423))</f>
        <v/>
      </c>
    </row>
    <row r="424" customFormat="false" ht="15" hidden="false" customHeight="false" outlineLevel="0" collapsed="false">
      <c r="A424" s="31"/>
      <c r="B424" s="32"/>
      <c r="C424" s="32"/>
      <c r="D424" s="32"/>
      <c r="E424" s="32"/>
      <c r="F424" s="32"/>
      <c r="G424" s="33"/>
      <c r="H424" s="33"/>
      <c r="I424" s="34" t="str">
        <f aca="false">IF($A424="","",$G424-$H424)</f>
        <v/>
      </c>
      <c r="J424" s="35" t="str">
        <f aca="false">IF($A424="","",IF(Setup!$B$6=1,YEAR($A424),YEAR($A424)+IF(MONTH($A424)&gt;=Setup!$B$6,1,0)))</f>
        <v/>
      </c>
      <c r="K424" s="35" t="str">
        <f aca="false">IF($A424="","",MOD(MONTH($A424)-Setup!$B$6+12,12)+1)</f>
        <v/>
      </c>
      <c r="L424" s="36" t="str">
        <f aca="false">IF($A424="","",TEXT($A424,"MMM-YY"))</f>
        <v/>
      </c>
      <c r="M424" s="37" t="str">
        <f aca="false">IF($A424="","",IF($Q424=0,"UNMAPPED",INDEX(COA_Mapping!$C$7:$C$256,$Q424)))</f>
        <v/>
      </c>
      <c r="N424" s="38" t="str">
        <f aca="false">IF($A424="","",IF($Q424=0,"",INDEX(COA_Mapping!$E$7:$E$256,$Q424)))</f>
        <v/>
      </c>
      <c r="O424" s="38" t="n">
        <f aca="false">IF($A424="",1,IF($Q424=0,1,INDEX(COA_Mapping!$F$7:$F$256,$Q424)))</f>
        <v>1</v>
      </c>
      <c r="P424" s="34" t="str">
        <f aca="false">IF($A424="","",$I424*$O424)</f>
        <v/>
      </c>
      <c r="Q424" s="39" t="n">
        <f aca="false">IF($B424="",0,IFERROR(MATCH($B424,COA_Mapping!$A$7:$A$256,0),0))</f>
        <v>0</v>
      </c>
      <c r="R424" s="39" t="n">
        <f aca="false">IF($A424="",-1,IF($J424=Setup!$B$7,1,IF($J424=Setup!$B$9,0,-1)))</f>
        <v>-1</v>
      </c>
      <c r="S424" s="35" t="n">
        <f aca="false">IF(OR($A424="",$Q424=0,$R424=-1),0,$Q424*1000+$R424*100+$K424)</f>
        <v>0</v>
      </c>
      <c r="T424" s="37" t="str">
        <f aca="false">IF($A424="","",IF($B424="","NO ACCOUNT",IF($Q424=0,"UNMAPPED",IF($R424=-1,"OUTSIDE FY RANGE","OK"))))</f>
        <v/>
      </c>
      <c r="U424" s="40" t="str">
        <f aca="false">IF($A424="","",$B424&amp;"|"&amp;TEXT($A424,"yyyymmdd")&amp;"|"&amp;TEXT($I424,"0.00"))</f>
        <v/>
      </c>
      <c r="V424" s="35" t="str">
        <f aca="false">IF($A424="","",COUNTIF($U$8:$U$5007,$U424))</f>
        <v/>
      </c>
    </row>
    <row r="425" customFormat="false" ht="15" hidden="false" customHeight="false" outlineLevel="0" collapsed="false">
      <c r="A425" s="31"/>
      <c r="B425" s="32"/>
      <c r="C425" s="32"/>
      <c r="D425" s="32"/>
      <c r="E425" s="32"/>
      <c r="F425" s="32"/>
      <c r="G425" s="33"/>
      <c r="H425" s="33"/>
      <c r="I425" s="34" t="str">
        <f aca="false">IF($A425="","",$G425-$H425)</f>
        <v/>
      </c>
      <c r="J425" s="35" t="str">
        <f aca="false">IF($A425="","",IF(Setup!$B$6=1,YEAR($A425),YEAR($A425)+IF(MONTH($A425)&gt;=Setup!$B$6,1,0)))</f>
        <v/>
      </c>
      <c r="K425" s="35" t="str">
        <f aca="false">IF($A425="","",MOD(MONTH($A425)-Setup!$B$6+12,12)+1)</f>
        <v/>
      </c>
      <c r="L425" s="36" t="str">
        <f aca="false">IF($A425="","",TEXT($A425,"MMM-YY"))</f>
        <v/>
      </c>
      <c r="M425" s="37" t="str">
        <f aca="false">IF($A425="","",IF($Q425=0,"UNMAPPED",INDEX(COA_Mapping!$C$7:$C$256,$Q425)))</f>
        <v/>
      </c>
      <c r="N425" s="38" t="str">
        <f aca="false">IF($A425="","",IF($Q425=0,"",INDEX(COA_Mapping!$E$7:$E$256,$Q425)))</f>
        <v/>
      </c>
      <c r="O425" s="38" t="n">
        <f aca="false">IF($A425="",1,IF($Q425=0,1,INDEX(COA_Mapping!$F$7:$F$256,$Q425)))</f>
        <v>1</v>
      </c>
      <c r="P425" s="34" t="str">
        <f aca="false">IF($A425="","",$I425*$O425)</f>
        <v/>
      </c>
      <c r="Q425" s="39" t="n">
        <f aca="false">IF($B425="",0,IFERROR(MATCH($B425,COA_Mapping!$A$7:$A$256,0),0))</f>
        <v>0</v>
      </c>
      <c r="R425" s="39" t="n">
        <f aca="false">IF($A425="",-1,IF($J425=Setup!$B$7,1,IF($J425=Setup!$B$9,0,-1)))</f>
        <v>-1</v>
      </c>
      <c r="S425" s="35" t="n">
        <f aca="false">IF(OR($A425="",$Q425=0,$R425=-1),0,$Q425*1000+$R425*100+$K425)</f>
        <v>0</v>
      </c>
      <c r="T425" s="37" t="str">
        <f aca="false">IF($A425="","",IF($B425="","NO ACCOUNT",IF($Q425=0,"UNMAPPED",IF($R425=-1,"OUTSIDE FY RANGE","OK"))))</f>
        <v/>
      </c>
      <c r="U425" s="40" t="str">
        <f aca="false">IF($A425="","",$B425&amp;"|"&amp;TEXT($A425,"yyyymmdd")&amp;"|"&amp;TEXT($I425,"0.00"))</f>
        <v/>
      </c>
      <c r="V425" s="35" t="str">
        <f aca="false">IF($A425="","",COUNTIF($U$8:$U$5007,$U425))</f>
        <v/>
      </c>
    </row>
    <row r="426" customFormat="false" ht="15" hidden="false" customHeight="false" outlineLevel="0" collapsed="false">
      <c r="A426" s="31"/>
      <c r="B426" s="32"/>
      <c r="C426" s="32"/>
      <c r="D426" s="32"/>
      <c r="E426" s="32"/>
      <c r="F426" s="32"/>
      <c r="G426" s="33"/>
      <c r="H426" s="33"/>
      <c r="I426" s="34" t="str">
        <f aca="false">IF($A426="","",$G426-$H426)</f>
        <v/>
      </c>
      <c r="J426" s="35" t="str">
        <f aca="false">IF($A426="","",IF(Setup!$B$6=1,YEAR($A426),YEAR($A426)+IF(MONTH($A426)&gt;=Setup!$B$6,1,0)))</f>
        <v/>
      </c>
      <c r="K426" s="35" t="str">
        <f aca="false">IF($A426="","",MOD(MONTH($A426)-Setup!$B$6+12,12)+1)</f>
        <v/>
      </c>
      <c r="L426" s="36" t="str">
        <f aca="false">IF($A426="","",TEXT($A426,"MMM-YY"))</f>
        <v/>
      </c>
      <c r="M426" s="37" t="str">
        <f aca="false">IF($A426="","",IF($Q426=0,"UNMAPPED",INDEX(COA_Mapping!$C$7:$C$256,$Q426)))</f>
        <v/>
      </c>
      <c r="N426" s="38" t="str">
        <f aca="false">IF($A426="","",IF($Q426=0,"",INDEX(COA_Mapping!$E$7:$E$256,$Q426)))</f>
        <v/>
      </c>
      <c r="O426" s="38" t="n">
        <f aca="false">IF($A426="",1,IF($Q426=0,1,INDEX(COA_Mapping!$F$7:$F$256,$Q426)))</f>
        <v>1</v>
      </c>
      <c r="P426" s="34" t="str">
        <f aca="false">IF($A426="","",$I426*$O426)</f>
        <v/>
      </c>
      <c r="Q426" s="39" t="n">
        <f aca="false">IF($B426="",0,IFERROR(MATCH($B426,COA_Mapping!$A$7:$A$256,0),0))</f>
        <v>0</v>
      </c>
      <c r="R426" s="39" t="n">
        <f aca="false">IF($A426="",-1,IF($J426=Setup!$B$7,1,IF($J426=Setup!$B$9,0,-1)))</f>
        <v>-1</v>
      </c>
      <c r="S426" s="35" t="n">
        <f aca="false">IF(OR($A426="",$Q426=0,$R426=-1),0,$Q426*1000+$R426*100+$K426)</f>
        <v>0</v>
      </c>
      <c r="T426" s="37" t="str">
        <f aca="false">IF($A426="","",IF($B426="","NO ACCOUNT",IF($Q426=0,"UNMAPPED",IF($R426=-1,"OUTSIDE FY RANGE","OK"))))</f>
        <v/>
      </c>
      <c r="U426" s="40" t="str">
        <f aca="false">IF($A426="","",$B426&amp;"|"&amp;TEXT($A426,"yyyymmdd")&amp;"|"&amp;TEXT($I426,"0.00"))</f>
        <v/>
      </c>
      <c r="V426" s="35" t="str">
        <f aca="false">IF($A426="","",COUNTIF($U$8:$U$5007,$U426))</f>
        <v/>
      </c>
    </row>
    <row r="427" customFormat="false" ht="15" hidden="false" customHeight="false" outlineLevel="0" collapsed="false">
      <c r="A427" s="31"/>
      <c r="B427" s="32"/>
      <c r="C427" s="32"/>
      <c r="D427" s="32"/>
      <c r="E427" s="32"/>
      <c r="F427" s="32"/>
      <c r="G427" s="33"/>
      <c r="H427" s="33"/>
      <c r="I427" s="34" t="str">
        <f aca="false">IF($A427="","",$G427-$H427)</f>
        <v/>
      </c>
      <c r="J427" s="35" t="str">
        <f aca="false">IF($A427="","",IF(Setup!$B$6=1,YEAR($A427),YEAR($A427)+IF(MONTH($A427)&gt;=Setup!$B$6,1,0)))</f>
        <v/>
      </c>
      <c r="K427" s="35" t="str">
        <f aca="false">IF($A427="","",MOD(MONTH($A427)-Setup!$B$6+12,12)+1)</f>
        <v/>
      </c>
      <c r="L427" s="36" t="str">
        <f aca="false">IF($A427="","",TEXT($A427,"MMM-YY"))</f>
        <v/>
      </c>
      <c r="M427" s="37" t="str">
        <f aca="false">IF($A427="","",IF($Q427=0,"UNMAPPED",INDEX(COA_Mapping!$C$7:$C$256,$Q427)))</f>
        <v/>
      </c>
      <c r="N427" s="38" t="str">
        <f aca="false">IF($A427="","",IF($Q427=0,"",INDEX(COA_Mapping!$E$7:$E$256,$Q427)))</f>
        <v/>
      </c>
      <c r="O427" s="38" t="n">
        <f aca="false">IF($A427="",1,IF($Q427=0,1,INDEX(COA_Mapping!$F$7:$F$256,$Q427)))</f>
        <v>1</v>
      </c>
      <c r="P427" s="34" t="str">
        <f aca="false">IF($A427="","",$I427*$O427)</f>
        <v/>
      </c>
      <c r="Q427" s="39" t="n">
        <f aca="false">IF($B427="",0,IFERROR(MATCH($B427,COA_Mapping!$A$7:$A$256,0),0))</f>
        <v>0</v>
      </c>
      <c r="R427" s="39" t="n">
        <f aca="false">IF($A427="",-1,IF($J427=Setup!$B$7,1,IF($J427=Setup!$B$9,0,-1)))</f>
        <v>-1</v>
      </c>
      <c r="S427" s="35" t="n">
        <f aca="false">IF(OR($A427="",$Q427=0,$R427=-1),0,$Q427*1000+$R427*100+$K427)</f>
        <v>0</v>
      </c>
      <c r="T427" s="37" t="str">
        <f aca="false">IF($A427="","",IF($B427="","NO ACCOUNT",IF($Q427=0,"UNMAPPED",IF($R427=-1,"OUTSIDE FY RANGE","OK"))))</f>
        <v/>
      </c>
      <c r="U427" s="40" t="str">
        <f aca="false">IF($A427="","",$B427&amp;"|"&amp;TEXT($A427,"yyyymmdd")&amp;"|"&amp;TEXT($I427,"0.00"))</f>
        <v/>
      </c>
      <c r="V427" s="35" t="str">
        <f aca="false">IF($A427="","",COUNTIF($U$8:$U$5007,$U427))</f>
        <v/>
      </c>
    </row>
    <row r="428" customFormat="false" ht="15" hidden="false" customHeight="false" outlineLevel="0" collapsed="false">
      <c r="A428" s="31"/>
      <c r="B428" s="32"/>
      <c r="C428" s="32"/>
      <c r="D428" s="32"/>
      <c r="E428" s="32"/>
      <c r="F428" s="32"/>
      <c r="G428" s="33"/>
      <c r="H428" s="33"/>
      <c r="I428" s="34" t="str">
        <f aca="false">IF($A428="","",$G428-$H428)</f>
        <v/>
      </c>
      <c r="J428" s="35" t="str">
        <f aca="false">IF($A428="","",IF(Setup!$B$6=1,YEAR($A428),YEAR($A428)+IF(MONTH($A428)&gt;=Setup!$B$6,1,0)))</f>
        <v/>
      </c>
      <c r="K428" s="35" t="str">
        <f aca="false">IF($A428="","",MOD(MONTH($A428)-Setup!$B$6+12,12)+1)</f>
        <v/>
      </c>
      <c r="L428" s="36" t="str">
        <f aca="false">IF($A428="","",TEXT($A428,"MMM-YY"))</f>
        <v/>
      </c>
      <c r="M428" s="37" t="str">
        <f aca="false">IF($A428="","",IF($Q428=0,"UNMAPPED",INDEX(COA_Mapping!$C$7:$C$256,$Q428)))</f>
        <v/>
      </c>
      <c r="N428" s="38" t="str">
        <f aca="false">IF($A428="","",IF($Q428=0,"",INDEX(COA_Mapping!$E$7:$E$256,$Q428)))</f>
        <v/>
      </c>
      <c r="O428" s="38" t="n">
        <f aca="false">IF($A428="",1,IF($Q428=0,1,INDEX(COA_Mapping!$F$7:$F$256,$Q428)))</f>
        <v>1</v>
      </c>
      <c r="P428" s="34" t="str">
        <f aca="false">IF($A428="","",$I428*$O428)</f>
        <v/>
      </c>
      <c r="Q428" s="39" t="n">
        <f aca="false">IF($B428="",0,IFERROR(MATCH($B428,COA_Mapping!$A$7:$A$256,0),0))</f>
        <v>0</v>
      </c>
      <c r="R428" s="39" t="n">
        <f aca="false">IF($A428="",-1,IF($J428=Setup!$B$7,1,IF($J428=Setup!$B$9,0,-1)))</f>
        <v>-1</v>
      </c>
      <c r="S428" s="35" t="n">
        <f aca="false">IF(OR($A428="",$Q428=0,$R428=-1),0,$Q428*1000+$R428*100+$K428)</f>
        <v>0</v>
      </c>
      <c r="T428" s="37" t="str">
        <f aca="false">IF($A428="","",IF($B428="","NO ACCOUNT",IF($Q428=0,"UNMAPPED",IF($R428=-1,"OUTSIDE FY RANGE","OK"))))</f>
        <v/>
      </c>
      <c r="U428" s="40" t="str">
        <f aca="false">IF($A428="","",$B428&amp;"|"&amp;TEXT($A428,"yyyymmdd")&amp;"|"&amp;TEXT($I428,"0.00"))</f>
        <v/>
      </c>
      <c r="V428" s="35" t="str">
        <f aca="false">IF($A428="","",COUNTIF($U$8:$U$5007,$U428))</f>
        <v/>
      </c>
    </row>
    <row r="429" customFormat="false" ht="15" hidden="false" customHeight="false" outlineLevel="0" collapsed="false">
      <c r="A429" s="31"/>
      <c r="B429" s="32"/>
      <c r="C429" s="32"/>
      <c r="D429" s="32"/>
      <c r="E429" s="32"/>
      <c r="F429" s="32"/>
      <c r="G429" s="33"/>
      <c r="H429" s="33"/>
      <c r="I429" s="34" t="str">
        <f aca="false">IF($A429="","",$G429-$H429)</f>
        <v/>
      </c>
      <c r="J429" s="35" t="str">
        <f aca="false">IF($A429="","",IF(Setup!$B$6=1,YEAR($A429),YEAR($A429)+IF(MONTH($A429)&gt;=Setup!$B$6,1,0)))</f>
        <v/>
      </c>
      <c r="K429" s="35" t="str">
        <f aca="false">IF($A429="","",MOD(MONTH($A429)-Setup!$B$6+12,12)+1)</f>
        <v/>
      </c>
      <c r="L429" s="36" t="str">
        <f aca="false">IF($A429="","",TEXT($A429,"MMM-YY"))</f>
        <v/>
      </c>
      <c r="M429" s="37" t="str">
        <f aca="false">IF($A429="","",IF($Q429=0,"UNMAPPED",INDEX(COA_Mapping!$C$7:$C$256,$Q429)))</f>
        <v/>
      </c>
      <c r="N429" s="38" t="str">
        <f aca="false">IF($A429="","",IF($Q429=0,"",INDEX(COA_Mapping!$E$7:$E$256,$Q429)))</f>
        <v/>
      </c>
      <c r="O429" s="38" t="n">
        <f aca="false">IF($A429="",1,IF($Q429=0,1,INDEX(COA_Mapping!$F$7:$F$256,$Q429)))</f>
        <v>1</v>
      </c>
      <c r="P429" s="34" t="str">
        <f aca="false">IF($A429="","",$I429*$O429)</f>
        <v/>
      </c>
      <c r="Q429" s="39" t="n">
        <f aca="false">IF($B429="",0,IFERROR(MATCH($B429,COA_Mapping!$A$7:$A$256,0),0))</f>
        <v>0</v>
      </c>
      <c r="R429" s="39" t="n">
        <f aca="false">IF($A429="",-1,IF($J429=Setup!$B$7,1,IF($J429=Setup!$B$9,0,-1)))</f>
        <v>-1</v>
      </c>
      <c r="S429" s="35" t="n">
        <f aca="false">IF(OR($A429="",$Q429=0,$R429=-1),0,$Q429*1000+$R429*100+$K429)</f>
        <v>0</v>
      </c>
      <c r="T429" s="37" t="str">
        <f aca="false">IF($A429="","",IF($B429="","NO ACCOUNT",IF($Q429=0,"UNMAPPED",IF($R429=-1,"OUTSIDE FY RANGE","OK"))))</f>
        <v/>
      </c>
      <c r="U429" s="40" t="str">
        <f aca="false">IF($A429="","",$B429&amp;"|"&amp;TEXT($A429,"yyyymmdd")&amp;"|"&amp;TEXT($I429,"0.00"))</f>
        <v/>
      </c>
      <c r="V429" s="35" t="str">
        <f aca="false">IF($A429="","",COUNTIF($U$8:$U$5007,$U429))</f>
        <v/>
      </c>
    </row>
    <row r="430" customFormat="false" ht="15" hidden="false" customHeight="false" outlineLevel="0" collapsed="false">
      <c r="A430" s="31"/>
      <c r="B430" s="32"/>
      <c r="C430" s="32"/>
      <c r="D430" s="32"/>
      <c r="E430" s="32"/>
      <c r="F430" s="32"/>
      <c r="G430" s="33"/>
      <c r="H430" s="33"/>
      <c r="I430" s="34" t="str">
        <f aca="false">IF($A430="","",$G430-$H430)</f>
        <v/>
      </c>
      <c r="J430" s="35" t="str">
        <f aca="false">IF($A430="","",IF(Setup!$B$6=1,YEAR($A430),YEAR($A430)+IF(MONTH($A430)&gt;=Setup!$B$6,1,0)))</f>
        <v/>
      </c>
      <c r="K430" s="35" t="str">
        <f aca="false">IF($A430="","",MOD(MONTH($A430)-Setup!$B$6+12,12)+1)</f>
        <v/>
      </c>
      <c r="L430" s="36" t="str">
        <f aca="false">IF($A430="","",TEXT($A430,"MMM-YY"))</f>
        <v/>
      </c>
      <c r="M430" s="37" t="str">
        <f aca="false">IF($A430="","",IF($Q430=0,"UNMAPPED",INDEX(COA_Mapping!$C$7:$C$256,$Q430)))</f>
        <v/>
      </c>
      <c r="N430" s="38" t="str">
        <f aca="false">IF($A430="","",IF($Q430=0,"",INDEX(COA_Mapping!$E$7:$E$256,$Q430)))</f>
        <v/>
      </c>
      <c r="O430" s="38" t="n">
        <f aca="false">IF($A430="",1,IF($Q430=0,1,INDEX(COA_Mapping!$F$7:$F$256,$Q430)))</f>
        <v>1</v>
      </c>
      <c r="P430" s="34" t="str">
        <f aca="false">IF($A430="","",$I430*$O430)</f>
        <v/>
      </c>
      <c r="Q430" s="39" t="n">
        <f aca="false">IF($B430="",0,IFERROR(MATCH($B430,COA_Mapping!$A$7:$A$256,0),0))</f>
        <v>0</v>
      </c>
      <c r="R430" s="39" t="n">
        <f aca="false">IF($A430="",-1,IF($J430=Setup!$B$7,1,IF($J430=Setup!$B$9,0,-1)))</f>
        <v>-1</v>
      </c>
      <c r="S430" s="35" t="n">
        <f aca="false">IF(OR($A430="",$Q430=0,$R430=-1),0,$Q430*1000+$R430*100+$K430)</f>
        <v>0</v>
      </c>
      <c r="T430" s="37" t="str">
        <f aca="false">IF($A430="","",IF($B430="","NO ACCOUNT",IF($Q430=0,"UNMAPPED",IF($R430=-1,"OUTSIDE FY RANGE","OK"))))</f>
        <v/>
      </c>
      <c r="U430" s="40" t="str">
        <f aca="false">IF($A430="","",$B430&amp;"|"&amp;TEXT($A430,"yyyymmdd")&amp;"|"&amp;TEXT($I430,"0.00"))</f>
        <v/>
      </c>
      <c r="V430" s="35" t="str">
        <f aca="false">IF($A430="","",COUNTIF($U$8:$U$5007,$U430))</f>
        <v/>
      </c>
    </row>
    <row r="431" customFormat="false" ht="15" hidden="false" customHeight="false" outlineLevel="0" collapsed="false">
      <c r="A431" s="31"/>
      <c r="B431" s="32"/>
      <c r="C431" s="32"/>
      <c r="D431" s="32"/>
      <c r="E431" s="32"/>
      <c r="F431" s="32"/>
      <c r="G431" s="33"/>
      <c r="H431" s="33"/>
      <c r="I431" s="34" t="str">
        <f aca="false">IF($A431="","",$G431-$H431)</f>
        <v/>
      </c>
      <c r="J431" s="35" t="str">
        <f aca="false">IF($A431="","",IF(Setup!$B$6=1,YEAR($A431),YEAR($A431)+IF(MONTH($A431)&gt;=Setup!$B$6,1,0)))</f>
        <v/>
      </c>
      <c r="K431" s="35" t="str">
        <f aca="false">IF($A431="","",MOD(MONTH($A431)-Setup!$B$6+12,12)+1)</f>
        <v/>
      </c>
      <c r="L431" s="36" t="str">
        <f aca="false">IF($A431="","",TEXT($A431,"MMM-YY"))</f>
        <v/>
      </c>
      <c r="M431" s="37" t="str">
        <f aca="false">IF($A431="","",IF($Q431=0,"UNMAPPED",INDEX(COA_Mapping!$C$7:$C$256,$Q431)))</f>
        <v/>
      </c>
      <c r="N431" s="38" t="str">
        <f aca="false">IF($A431="","",IF($Q431=0,"",INDEX(COA_Mapping!$E$7:$E$256,$Q431)))</f>
        <v/>
      </c>
      <c r="O431" s="38" t="n">
        <f aca="false">IF($A431="",1,IF($Q431=0,1,INDEX(COA_Mapping!$F$7:$F$256,$Q431)))</f>
        <v>1</v>
      </c>
      <c r="P431" s="34" t="str">
        <f aca="false">IF($A431="","",$I431*$O431)</f>
        <v/>
      </c>
      <c r="Q431" s="39" t="n">
        <f aca="false">IF($B431="",0,IFERROR(MATCH($B431,COA_Mapping!$A$7:$A$256,0),0))</f>
        <v>0</v>
      </c>
      <c r="R431" s="39" t="n">
        <f aca="false">IF($A431="",-1,IF($J431=Setup!$B$7,1,IF($J431=Setup!$B$9,0,-1)))</f>
        <v>-1</v>
      </c>
      <c r="S431" s="35" t="n">
        <f aca="false">IF(OR($A431="",$Q431=0,$R431=-1),0,$Q431*1000+$R431*100+$K431)</f>
        <v>0</v>
      </c>
      <c r="T431" s="37" t="str">
        <f aca="false">IF($A431="","",IF($B431="","NO ACCOUNT",IF($Q431=0,"UNMAPPED",IF($R431=-1,"OUTSIDE FY RANGE","OK"))))</f>
        <v/>
      </c>
      <c r="U431" s="40" t="str">
        <f aca="false">IF($A431="","",$B431&amp;"|"&amp;TEXT($A431,"yyyymmdd")&amp;"|"&amp;TEXT($I431,"0.00"))</f>
        <v/>
      </c>
      <c r="V431" s="35" t="str">
        <f aca="false">IF($A431="","",COUNTIF($U$8:$U$5007,$U431))</f>
        <v/>
      </c>
    </row>
    <row r="432" customFormat="false" ht="15" hidden="false" customHeight="false" outlineLevel="0" collapsed="false">
      <c r="A432" s="31"/>
      <c r="B432" s="32"/>
      <c r="C432" s="32"/>
      <c r="D432" s="32"/>
      <c r="E432" s="32"/>
      <c r="F432" s="32"/>
      <c r="G432" s="33"/>
      <c r="H432" s="33"/>
      <c r="I432" s="34" t="str">
        <f aca="false">IF($A432="","",$G432-$H432)</f>
        <v/>
      </c>
      <c r="J432" s="35" t="str">
        <f aca="false">IF($A432="","",IF(Setup!$B$6=1,YEAR($A432),YEAR($A432)+IF(MONTH($A432)&gt;=Setup!$B$6,1,0)))</f>
        <v/>
      </c>
      <c r="K432" s="35" t="str">
        <f aca="false">IF($A432="","",MOD(MONTH($A432)-Setup!$B$6+12,12)+1)</f>
        <v/>
      </c>
      <c r="L432" s="36" t="str">
        <f aca="false">IF($A432="","",TEXT($A432,"MMM-YY"))</f>
        <v/>
      </c>
      <c r="M432" s="37" t="str">
        <f aca="false">IF($A432="","",IF($Q432=0,"UNMAPPED",INDEX(COA_Mapping!$C$7:$C$256,$Q432)))</f>
        <v/>
      </c>
      <c r="N432" s="38" t="str">
        <f aca="false">IF($A432="","",IF($Q432=0,"",INDEX(COA_Mapping!$E$7:$E$256,$Q432)))</f>
        <v/>
      </c>
      <c r="O432" s="38" t="n">
        <f aca="false">IF($A432="",1,IF($Q432=0,1,INDEX(COA_Mapping!$F$7:$F$256,$Q432)))</f>
        <v>1</v>
      </c>
      <c r="P432" s="34" t="str">
        <f aca="false">IF($A432="","",$I432*$O432)</f>
        <v/>
      </c>
      <c r="Q432" s="39" t="n">
        <f aca="false">IF($B432="",0,IFERROR(MATCH($B432,COA_Mapping!$A$7:$A$256,0),0))</f>
        <v>0</v>
      </c>
      <c r="R432" s="39" t="n">
        <f aca="false">IF($A432="",-1,IF($J432=Setup!$B$7,1,IF($J432=Setup!$B$9,0,-1)))</f>
        <v>-1</v>
      </c>
      <c r="S432" s="35" t="n">
        <f aca="false">IF(OR($A432="",$Q432=0,$R432=-1),0,$Q432*1000+$R432*100+$K432)</f>
        <v>0</v>
      </c>
      <c r="T432" s="37" t="str">
        <f aca="false">IF($A432="","",IF($B432="","NO ACCOUNT",IF($Q432=0,"UNMAPPED",IF($R432=-1,"OUTSIDE FY RANGE","OK"))))</f>
        <v/>
      </c>
      <c r="U432" s="40" t="str">
        <f aca="false">IF($A432="","",$B432&amp;"|"&amp;TEXT($A432,"yyyymmdd")&amp;"|"&amp;TEXT($I432,"0.00"))</f>
        <v/>
      </c>
      <c r="V432" s="35" t="str">
        <f aca="false">IF($A432="","",COUNTIF($U$8:$U$5007,$U432))</f>
        <v/>
      </c>
    </row>
    <row r="433" customFormat="false" ht="15" hidden="false" customHeight="false" outlineLevel="0" collapsed="false">
      <c r="A433" s="31"/>
      <c r="B433" s="32"/>
      <c r="C433" s="32"/>
      <c r="D433" s="32"/>
      <c r="E433" s="32"/>
      <c r="F433" s="32"/>
      <c r="G433" s="33"/>
      <c r="H433" s="33"/>
      <c r="I433" s="34" t="str">
        <f aca="false">IF($A433="","",$G433-$H433)</f>
        <v/>
      </c>
      <c r="J433" s="35" t="str">
        <f aca="false">IF($A433="","",IF(Setup!$B$6=1,YEAR($A433),YEAR($A433)+IF(MONTH($A433)&gt;=Setup!$B$6,1,0)))</f>
        <v/>
      </c>
      <c r="K433" s="35" t="str">
        <f aca="false">IF($A433="","",MOD(MONTH($A433)-Setup!$B$6+12,12)+1)</f>
        <v/>
      </c>
      <c r="L433" s="36" t="str">
        <f aca="false">IF($A433="","",TEXT($A433,"MMM-YY"))</f>
        <v/>
      </c>
      <c r="M433" s="37" t="str">
        <f aca="false">IF($A433="","",IF($Q433=0,"UNMAPPED",INDEX(COA_Mapping!$C$7:$C$256,$Q433)))</f>
        <v/>
      </c>
      <c r="N433" s="38" t="str">
        <f aca="false">IF($A433="","",IF($Q433=0,"",INDEX(COA_Mapping!$E$7:$E$256,$Q433)))</f>
        <v/>
      </c>
      <c r="O433" s="38" t="n">
        <f aca="false">IF($A433="",1,IF($Q433=0,1,INDEX(COA_Mapping!$F$7:$F$256,$Q433)))</f>
        <v>1</v>
      </c>
      <c r="P433" s="34" t="str">
        <f aca="false">IF($A433="","",$I433*$O433)</f>
        <v/>
      </c>
      <c r="Q433" s="39" t="n">
        <f aca="false">IF($B433="",0,IFERROR(MATCH($B433,COA_Mapping!$A$7:$A$256,0),0))</f>
        <v>0</v>
      </c>
      <c r="R433" s="39" t="n">
        <f aca="false">IF($A433="",-1,IF($J433=Setup!$B$7,1,IF($J433=Setup!$B$9,0,-1)))</f>
        <v>-1</v>
      </c>
      <c r="S433" s="35" t="n">
        <f aca="false">IF(OR($A433="",$Q433=0,$R433=-1),0,$Q433*1000+$R433*100+$K433)</f>
        <v>0</v>
      </c>
      <c r="T433" s="37" t="str">
        <f aca="false">IF($A433="","",IF($B433="","NO ACCOUNT",IF($Q433=0,"UNMAPPED",IF($R433=-1,"OUTSIDE FY RANGE","OK"))))</f>
        <v/>
      </c>
      <c r="U433" s="40" t="str">
        <f aca="false">IF($A433="","",$B433&amp;"|"&amp;TEXT($A433,"yyyymmdd")&amp;"|"&amp;TEXT($I433,"0.00"))</f>
        <v/>
      </c>
      <c r="V433" s="35" t="str">
        <f aca="false">IF($A433="","",COUNTIF($U$8:$U$5007,$U433))</f>
        <v/>
      </c>
    </row>
    <row r="434" customFormat="false" ht="15" hidden="false" customHeight="false" outlineLevel="0" collapsed="false">
      <c r="A434" s="31"/>
      <c r="B434" s="32"/>
      <c r="C434" s="32"/>
      <c r="D434" s="32"/>
      <c r="E434" s="32"/>
      <c r="F434" s="32"/>
      <c r="G434" s="33"/>
      <c r="H434" s="33"/>
      <c r="I434" s="34" t="str">
        <f aca="false">IF($A434="","",$G434-$H434)</f>
        <v/>
      </c>
      <c r="J434" s="35" t="str">
        <f aca="false">IF($A434="","",IF(Setup!$B$6=1,YEAR($A434),YEAR($A434)+IF(MONTH($A434)&gt;=Setup!$B$6,1,0)))</f>
        <v/>
      </c>
      <c r="K434" s="35" t="str">
        <f aca="false">IF($A434="","",MOD(MONTH($A434)-Setup!$B$6+12,12)+1)</f>
        <v/>
      </c>
      <c r="L434" s="36" t="str">
        <f aca="false">IF($A434="","",TEXT($A434,"MMM-YY"))</f>
        <v/>
      </c>
      <c r="M434" s="37" t="str">
        <f aca="false">IF($A434="","",IF($Q434=0,"UNMAPPED",INDEX(COA_Mapping!$C$7:$C$256,$Q434)))</f>
        <v/>
      </c>
      <c r="N434" s="38" t="str">
        <f aca="false">IF($A434="","",IF($Q434=0,"",INDEX(COA_Mapping!$E$7:$E$256,$Q434)))</f>
        <v/>
      </c>
      <c r="O434" s="38" t="n">
        <f aca="false">IF($A434="",1,IF($Q434=0,1,INDEX(COA_Mapping!$F$7:$F$256,$Q434)))</f>
        <v>1</v>
      </c>
      <c r="P434" s="34" t="str">
        <f aca="false">IF($A434="","",$I434*$O434)</f>
        <v/>
      </c>
      <c r="Q434" s="39" t="n">
        <f aca="false">IF($B434="",0,IFERROR(MATCH($B434,COA_Mapping!$A$7:$A$256,0),0))</f>
        <v>0</v>
      </c>
      <c r="R434" s="39" t="n">
        <f aca="false">IF($A434="",-1,IF($J434=Setup!$B$7,1,IF($J434=Setup!$B$9,0,-1)))</f>
        <v>-1</v>
      </c>
      <c r="S434" s="35" t="n">
        <f aca="false">IF(OR($A434="",$Q434=0,$R434=-1),0,$Q434*1000+$R434*100+$K434)</f>
        <v>0</v>
      </c>
      <c r="T434" s="37" t="str">
        <f aca="false">IF($A434="","",IF($B434="","NO ACCOUNT",IF($Q434=0,"UNMAPPED",IF($R434=-1,"OUTSIDE FY RANGE","OK"))))</f>
        <v/>
      </c>
      <c r="U434" s="40" t="str">
        <f aca="false">IF($A434="","",$B434&amp;"|"&amp;TEXT($A434,"yyyymmdd")&amp;"|"&amp;TEXT($I434,"0.00"))</f>
        <v/>
      </c>
      <c r="V434" s="35" t="str">
        <f aca="false">IF($A434="","",COUNTIF($U$8:$U$5007,$U434))</f>
        <v/>
      </c>
    </row>
    <row r="435" customFormat="false" ht="15" hidden="false" customHeight="false" outlineLevel="0" collapsed="false">
      <c r="A435" s="31"/>
      <c r="B435" s="32"/>
      <c r="C435" s="32"/>
      <c r="D435" s="32"/>
      <c r="E435" s="32"/>
      <c r="F435" s="32"/>
      <c r="G435" s="33"/>
      <c r="H435" s="33"/>
      <c r="I435" s="34" t="str">
        <f aca="false">IF($A435="","",$G435-$H435)</f>
        <v/>
      </c>
      <c r="J435" s="35" t="str">
        <f aca="false">IF($A435="","",IF(Setup!$B$6=1,YEAR($A435),YEAR($A435)+IF(MONTH($A435)&gt;=Setup!$B$6,1,0)))</f>
        <v/>
      </c>
      <c r="K435" s="35" t="str">
        <f aca="false">IF($A435="","",MOD(MONTH($A435)-Setup!$B$6+12,12)+1)</f>
        <v/>
      </c>
      <c r="L435" s="36" t="str">
        <f aca="false">IF($A435="","",TEXT($A435,"MMM-YY"))</f>
        <v/>
      </c>
      <c r="M435" s="37" t="str">
        <f aca="false">IF($A435="","",IF($Q435=0,"UNMAPPED",INDEX(COA_Mapping!$C$7:$C$256,$Q435)))</f>
        <v/>
      </c>
      <c r="N435" s="38" t="str">
        <f aca="false">IF($A435="","",IF($Q435=0,"",INDEX(COA_Mapping!$E$7:$E$256,$Q435)))</f>
        <v/>
      </c>
      <c r="O435" s="38" t="n">
        <f aca="false">IF($A435="",1,IF($Q435=0,1,INDEX(COA_Mapping!$F$7:$F$256,$Q435)))</f>
        <v>1</v>
      </c>
      <c r="P435" s="34" t="str">
        <f aca="false">IF($A435="","",$I435*$O435)</f>
        <v/>
      </c>
      <c r="Q435" s="39" t="n">
        <f aca="false">IF($B435="",0,IFERROR(MATCH($B435,COA_Mapping!$A$7:$A$256,0),0))</f>
        <v>0</v>
      </c>
      <c r="R435" s="39" t="n">
        <f aca="false">IF($A435="",-1,IF($J435=Setup!$B$7,1,IF($J435=Setup!$B$9,0,-1)))</f>
        <v>-1</v>
      </c>
      <c r="S435" s="35" t="n">
        <f aca="false">IF(OR($A435="",$Q435=0,$R435=-1),0,$Q435*1000+$R435*100+$K435)</f>
        <v>0</v>
      </c>
      <c r="T435" s="37" t="str">
        <f aca="false">IF($A435="","",IF($B435="","NO ACCOUNT",IF($Q435=0,"UNMAPPED",IF($R435=-1,"OUTSIDE FY RANGE","OK"))))</f>
        <v/>
      </c>
      <c r="U435" s="40" t="str">
        <f aca="false">IF($A435="","",$B435&amp;"|"&amp;TEXT($A435,"yyyymmdd")&amp;"|"&amp;TEXT($I435,"0.00"))</f>
        <v/>
      </c>
      <c r="V435" s="35" t="str">
        <f aca="false">IF($A435="","",COUNTIF($U$8:$U$5007,$U435))</f>
        <v/>
      </c>
    </row>
    <row r="436" customFormat="false" ht="15" hidden="false" customHeight="false" outlineLevel="0" collapsed="false">
      <c r="A436" s="31"/>
      <c r="B436" s="32"/>
      <c r="C436" s="32"/>
      <c r="D436" s="32"/>
      <c r="E436" s="32"/>
      <c r="F436" s="32"/>
      <c r="G436" s="33"/>
      <c r="H436" s="33"/>
      <c r="I436" s="34" t="str">
        <f aca="false">IF($A436="","",$G436-$H436)</f>
        <v/>
      </c>
      <c r="J436" s="35" t="str">
        <f aca="false">IF($A436="","",IF(Setup!$B$6=1,YEAR($A436),YEAR($A436)+IF(MONTH($A436)&gt;=Setup!$B$6,1,0)))</f>
        <v/>
      </c>
      <c r="K436" s="35" t="str">
        <f aca="false">IF($A436="","",MOD(MONTH($A436)-Setup!$B$6+12,12)+1)</f>
        <v/>
      </c>
      <c r="L436" s="36" t="str">
        <f aca="false">IF($A436="","",TEXT($A436,"MMM-YY"))</f>
        <v/>
      </c>
      <c r="M436" s="37" t="str">
        <f aca="false">IF($A436="","",IF($Q436=0,"UNMAPPED",INDEX(COA_Mapping!$C$7:$C$256,$Q436)))</f>
        <v/>
      </c>
      <c r="N436" s="38" t="str">
        <f aca="false">IF($A436="","",IF($Q436=0,"",INDEX(COA_Mapping!$E$7:$E$256,$Q436)))</f>
        <v/>
      </c>
      <c r="O436" s="38" t="n">
        <f aca="false">IF($A436="",1,IF($Q436=0,1,INDEX(COA_Mapping!$F$7:$F$256,$Q436)))</f>
        <v>1</v>
      </c>
      <c r="P436" s="34" t="str">
        <f aca="false">IF($A436="","",$I436*$O436)</f>
        <v/>
      </c>
      <c r="Q436" s="39" t="n">
        <f aca="false">IF($B436="",0,IFERROR(MATCH($B436,COA_Mapping!$A$7:$A$256,0),0))</f>
        <v>0</v>
      </c>
      <c r="R436" s="39" t="n">
        <f aca="false">IF($A436="",-1,IF($J436=Setup!$B$7,1,IF($J436=Setup!$B$9,0,-1)))</f>
        <v>-1</v>
      </c>
      <c r="S436" s="35" t="n">
        <f aca="false">IF(OR($A436="",$Q436=0,$R436=-1),0,$Q436*1000+$R436*100+$K436)</f>
        <v>0</v>
      </c>
      <c r="T436" s="37" t="str">
        <f aca="false">IF($A436="","",IF($B436="","NO ACCOUNT",IF($Q436=0,"UNMAPPED",IF($R436=-1,"OUTSIDE FY RANGE","OK"))))</f>
        <v/>
      </c>
      <c r="U436" s="40" t="str">
        <f aca="false">IF($A436="","",$B436&amp;"|"&amp;TEXT($A436,"yyyymmdd")&amp;"|"&amp;TEXT($I436,"0.00"))</f>
        <v/>
      </c>
      <c r="V436" s="35" t="str">
        <f aca="false">IF($A436="","",COUNTIF($U$8:$U$5007,$U436))</f>
        <v/>
      </c>
    </row>
    <row r="437" customFormat="false" ht="15" hidden="false" customHeight="false" outlineLevel="0" collapsed="false">
      <c r="A437" s="31"/>
      <c r="B437" s="32"/>
      <c r="C437" s="32"/>
      <c r="D437" s="32"/>
      <c r="E437" s="32"/>
      <c r="F437" s="32"/>
      <c r="G437" s="33"/>
      <c r="H437" s="33"/>
      <c r="I437" s="34" t="str">
        <f aca="false">IF($A437="","",$G437-$H437)</f>
        <v/>
      </c>
      <c r="J437" s="35" t="str">
        <f aca="false">IF($A437="","",IF(Setup!$B$6=1,YEAR($A437),YEAR($A437)+IF(MONTH($A437)&gt;=Setup!$B$6,1,0)))</f>
        <v/>
      </c>
      <c r="K437" s="35" t="str">
        <f aca="false">IF($A437="","",MOD(MONTH($A437)-Setup!$B$6+12,12)+1)</f>
        <v/>
      </c>
      <c r="L437" s="36" t="str">
        <f aca="false">IF($A437="","",TEXT($A437,"MMM-YY"))</f>
        <v/>
      </c>
      <c r="M437" s="37" t="str">
        <f aca="false">IF($A437="","",IF($Q437=0,"UNMAPPED",INDEX(COA_Mapping!$C$7:$C$256,$Q437)))</f>
        <v/>
      </c>
      <c r="N437" s="38" t="str">
        <f aca="false">IF($A437="","",IF($Q437=0,"",INDEX(COA_Mapping!$E$7:$E$256,$Q437)))</f>
        <v/>
      </c>
      <c r="O437" s="38" t="n">
        <f aca="false">IF($A437="",1,IF($Q437=0,1,INDEX(COA_Mapping!$F$7:$F$256,$Q437)))</f>
        <v>1</v>
      </c>
      <c r="P437" s="34" t="str">
        <f aca="false">IF($A437="","",$I437*$O437)</f>
        <v/>
      </c>
      <c r="Q437" s="39" t="n">
        <f aca="false">IF($B437="",0,IFERROR(MATCH($B437,COA_Mapping!$A$7:$A$256,0),0))</f>
        <v>0</v>
      </c>
      <c r="R437" s="39" t="n">
        <f aca="false">IF($A437="",-1,IF($J437=Setup!$B$7,1,IF($J437=Setup!$B$9,0,-1)))</f>
        <v>-1</v>
      </c>
      <c r="S437" s="35" t="n">
        <f aca="false">IF(OR($A437="",$Q437=0,$R437=-1),0,$Q437*1000+$R437*100+$K437)</f>
        <v>0</v>
      </c>
      <c r="T437" s="37" t="str">
        <f aca="false">IF($A437="","",IF($B437="","NO ACCOUNT",IF($Q437=0,"UNMAPPED",IF($R437=-1,"OUTSIDE FY RANGE","OK"))))</f>
        <v/>
      </c>
      <c r="U437" s="40" t="str">
        <f aca="false">IF($A437="","",$B437&amp;"|"&amp;TEXT($A437,"yyyymmdd")&amp;"|"&amp;TEXT($I437,"0.00"))</f>
        <v/>
      </c>
      <c r="V437" s="35" t="str">
        <f aca="false">IF($A437="","",COUNTIF($U$8:$U$5007,$U437))</f>
        <v/>
      </c>
    </row>
    <row r="438" customFormat="false" ht="15" hidden="false" customHeight="false" outlineLevel="0" collapsed="false">
      <c r="A438" s="31"/>
      <c r="B438" s="32"/>
      <c r="C438" s="32"/>
      <c r="D438" s="32"/>
      <c r="E438" s="32"/>
      <c r="F438" s="32"/>
      <c r="G438" s="33"/>
      <c r="H438" s="33"/>
      <c r="I438" s="34" t="str">
        <f aca="false">IF($A438="","",$G438-$H438)</f>
        <v/>
      </c>
      <c r="J438" s="35" t="str">
        <f aca="false">IF($A438="","",IF(Setup!$B$6=1,YEAR($A438),YEAR($A438)+IF(MONTH($A438)&gt;=Setup!$B$6,1,0)))</f>
        <v/>
      </c>
      <c r="K438" s="35" t="str">
        <f aca="false">IF($A438="","",MOD(MONTH($A438)-Setup!$B$6+12,12)+1)</f>
        <v/>
      </c>
      <c r="L438" s="36" t="str">
        <f aca="false">IF($A438="","",TEXT($A438,"MMM-YY"))</f>
        <v/>
      </c>
      <c r="M438" s="37" t="str">
        <f aca="false">IF($A438="","",IF($Q438=0,"UNMAPPED",INDEX(COA_Mapping!$C$7:$C$256,$Q438)))</f>
        <v/>
      </c>
      <c r="N438" s="38" t="str">
        <f aca="false">IF($A438="","",IF($Q438=0,"",INDEX(COA_Mapping!$E$7:$E$256,$Q438)))</f>
        <v/>
      </c>
      <c r="O438" s="38" t="n">
        <f aca="false">IF($A438="",1,IF($Q438=0,1,INDEX(COA_Mapping!$F$7:$F$256,$Q438)))</f>
        <v>1</v>
      </c>
      <c r="P438" s="34" t="str">
        <f aca="false">IF($A438="","",$I438*$O438)</f>
        <v/>
      </c>
      <c r="Q438" s="39" t="n">
        <f aca="false">IF($B438="",0,IFERROR(MATCH($B438,COA_Mapping!$A$7:$A$256,0),0))</f>
        <v>0</v>
      </c>
      <c r="R438" s="39" t="n">
        <f aca="false">IF($A438="",-1,IF($J438=Setup!$B$7,1,IF($J438=Setup!$B$9,0,-1)))</f>
        <v>-1</v>
      </c>
      <c r="S438" s="35" t="n">
        <f aca="false">IF(OR($A438="",$Q438=0,$R438=-1),0,$Q438*1000+$R438*100+$K438)</f>
        <v>0</v>
      </c>
      <c r="T438" s="37" t="str">
        <f aca="false">IF($A438="","",IF($B438="","NO ACCOUNT",IF($Q438=0,"UNMAPPED",IF($R438=-1,"OUTSIDE FY RANGE","OK"))))</f>
        <v/>
      </c>
      <c r="U438" s="40" t="str">
        <f aca="false">IF($A438="","",$B438&amp;"|"&amp;TEXT($A438,"yyyymmdd")&amp;"|"&amp;TEXT($I438,"0.00"))</f>
        <v/>
      </c>
      <c r="V438" s="35" t="str">
        <f aca="false">IF($A438="","",COUNTIF($U$8:$U$5007,$U438))</f>
        <v/>
      </c>
    </row>
    <row r="439" customFormat="false" ht="15" hidden="false" customHeight="false" outlineLevel="0" collapsed="false">
      <c r="A439" s="31"/>
      <c r="B439" s="32"/>
      <c r="C439" s="32"/>
      <c r="D439" s="32"/>
      <c r="E439" s="32"/>
      <c r="F439" s="32"/>
      <c r="G439" s="33"/>
      <c r="H439" s="33"/>
      <c r="I439" s="34" t="str">
        <f aca="false">IF($A439="","",$G439-$H439)</f>
        <v/>
      </c>
      <c r="J439" s="35" t="str">
        <f aca="false">IF($A439="","",IF(Setup!$B$6=1,YEAR($A439),YEAR($A439)+IF(MONTH($A439)&gt;=Setup!$B$6,1,0)))</f>
        <v/>
      </c>
      <c r="K439" s="35" t="str">
        <f aca="false">IF($A439="","",MOD(MONTH($A439)-Setup!$B$6+12,12)+1)</f>
        <v/>
      </c>
      <c r="L439" s="36" t="str">
        <f aca="false">IF($A439="","",TEXT($A439,"MMM-YY"))</f>
        <v/>
      </c>
      <c r="M439" s="37" t="str">
        <f aca="false">IF($A439="","",IF($Q439=0,"UNMAPPED",INDEX(COA_Mapping!$C$7:$C$256,$Q439)))</f>
        <v/>
      </c>
      <c r="N439" s="38" t="str">
        <f aca="false">IF($A439="","",IF($Q439=0,"",INDEX(COA_Mapping!$E$7:$E$256,$Q439)))</f>
        <v/>
      </c>
      <c r="O439" s="38" t="n">
        <f aca="false">IF($A439="",1,IF($Q439=0,1,INDEX(COA_Mapping!$F$7:$F$256,$Q439)))</f>
        <v>1</v>
      </c>
      <c r="P439" s="34" t="str">
        <f aca="false">IF($A439="","",$I439*$O439)</f>
        <v/>
      </c>
      <c r="Q439" s="39" t="n">
        <f aca="false">IF($B439="",0,IFERROR(MATCH($B439,COA_Mapping!$A$7:$A$256,0),0))</f>
        <v>0</v>
      </c>
      <c r="R439" s="39" t="n">
        <f aca="false">IF($A439="",-1,IF($J439=Setup!$B$7,1,IF($J439=Setup!$B$9,0,-1)))</f>
        <v>-1</v>
      </c>
      <c r="S439" s="35" t="n">
        <f aca="false">IF(OR($A439="",$Q439=0,$R439=-1),0,$Q439*1000+$R439*100+$K439)</f>
        <v>0</v>
      </c>
      <c r="T439" s="37" t="str">
        <f aca="false">IF($A439="","",IF($B439="","NO ACCOUNT",IF($Q439=0,"UNMAPPED",IF($R439=-1,"OUTSIDE FY RANGE","OK"))))</f>
        <v/>
      </c>
      <c r="U439" s="40" t="str">
        <f aca="false">IF($A439="","",$B439&amp;"|"&amp;TEXT($A439,"yyyymmdd")&amp;"|"&amp;TEXT($I439,"0.00"))</f>
        <v/>
      </c>
      <c r="V439" s="35" t="str">
        <f aca="false">IF($A439="","",COUNTIF($U$8:$U$5007,$U439))</f>
        <v/>
      </c>
    </row>
    <row r="440" customFormat="false" ht="15" hidden="false" customHeight="false" outlineLevel="0" collapsed="false">
      <c r="A440" s="31"/>
      <c r="B440" s="32"/>
      <c r="C440" s="32"/>
      <c r="D440" s="32"/>
      <c r="E440" s="32"/>
      <c r="F440" s="32"/>
      <c r="G440" s="33"/>
      <c r="H440" s="33"/>
      <c r="I440" s="34" t="str">
        <f aca="false">IF($A440="","",$G440-$H440)</f>
        <v/>
      </c>
      <c r="J440" s="35" t="str">
        <f aca="false">IF($A440="","",IF(Setup!$B$6=1,YEAR($A440),YEAR($A440)+IF(MONTH($A440)&gt;=Setup!$B$6,1,0)))</f>
        <v/>
      </c>
      <c r="K440" s="35" t="str">
        <f aca="false">IF($A440="","",MOD(MONTH($A440)-Setup!$B$6+12,12)+1)</f>
        <v/>
      </c>
      <c r="L440" s="36" t="str">
        <f aca="false">IF($A440="","",TEXT($A440,"MMM-YY"))</f>
        <v/>
      </c>
      <c r="M440" s="37" t="str">
        <f aca="false">IF($A440="","",IF($Q440=0,"UNMAPPED",INDEX(COA_Mapping!$C$7:$C$256,$Q440)))</f>
        <v/>
      </c>
      <c r="N440" s="38" t="str">
        <f aca="false">IF($A440="","",IF($Q440=0,"",INDEX(COA_Mapping!$E$7:$E$256,$Q440)))</f>
        <v/>
      </c>
      <c r="O440" s="38" t="n">
        <f aca="false">IF($A440="",1,IF($Q440=0,1,INDEX(COA_Mapping!$F$7:$F$256,$Q440)))</f>
        <v>1</v>
      </c>
      <c r="P440" s="34" t="str">
        <f aca="false">IF($A440="","",$I440*$O440)</f>
        <v/>
      </c>
      <c r="Q440" s="39" t="n">
        <f aca="false">IF($B440="",0,IFERROR(MATCH($B440,COA_Mapping!$A$7:$A$256,0),0))</f>
        <v>0</v>
      </c>
      <c r="R440" s="39" t="n">
        <f aca="false">IF($A440="",-1,IF($J440=Setup!$B$7,1,IF($J440=Setup!$B$9,0,-1)))</f>
        <v>-1</v>
      </c>
      <c r="S440" s="35" t="n">
        <f aca="false">IF(OR($A440="",$Q440=0,$R440=-1),0,$Q440*1000+$R440*100+$K440)</f>
        <v>0</v>
      </c>
      <c r="T440" s="37" t="str">
        <f aca="false">IF($A440="","",IF($B440="","NO ACCOUNT",IF($Q440=0,"UNMAPPED",IF($R440=-1,"OUTSIDE FY RANGE","OK"))))</f>
        <v/>
      </c>
      <c r="U440" s="40" t="str">
        <f aca="false">IF($A440="","",$B440&amp;"|"&amp;TEXT($A440,"yyyymmdd")&amp;"|"&amp;TEXT($I440,"0.00"))</f>
        <v/>
      </c>
      <c r="V440" s="35" t="str">
        <f aca="false">IF($A440="","",COUNTIF($U$8:$U$5007,$U440))</f>
        <v/>
      </c>
    </row>
    <row r="441" customFormat="false" ht="15" hidden="false" customHeight="false" outlineLevel="0" collapsed="false">
      <c r="A441" s="31"/>
      <c r="B441" s="32"/>
      <c r="C441" s="32"/>
      <c r="D441" s="32"/>
      <c r="E441" s="32"/>
      <c r="F441" s="32"/>
      <c r="G441" s="33"/>
      <c r="H441" s="33"/>
      <c r="I441" s="34" t="str">
        <f aca="false">IF($A441="","",$G441-$H441)</f>
        <v/>
      </c>
      <c r="J441" s="35" t="str">
        <f aca="false">IF($A441="","",IF(Setup!$B$6=1,YEAR($A441),YEAR($A441)+IF(MONTH($A441)&gt;=Setup!$B$6,1,0)))</f>
        <v/>
      </c>
      <c r="K441" s="35" t="str">
        <f aca="false">IF($A441="","",MOD(MONTH($A441)-Setup!$B$6+12,12)+1)</f>
        <v/>
      </c>
      <c r="L441" s="36" t="str">
        <f aca="false">IF($A441="","",TEXT($A441,"MMM-YY"))</f>
        <v/>
      </c>
      <c r="M441" s="37" t="str">
        <f aca="false">IF($A441="","",IF($Q441=0,"UNMAPPED",INDEX(COA_Mapping!$C$7:$C$256,$Q441)))</f>
        <v/>
      </c>
      <c r="N441" s="38" t="str">
        <f aca="false">IF($A441="","",IF($Q441=0,"",INDEX(COA_Mapping!$E$7:$E$256,$Q441)))</f>
        <v/>
      </c>
      <c r="O441" s="38" t="n">
        <f aca="false">IF($A441="",1,IF($Q441=0,1,INDEX(COA_Mapping!$F$7:$F$256,$Q441)))</f>
        <v>1</v>
      </c>
      <c r="P441" s="34" t="str">
        <f aca="false">IF($A441="","",$I441*$O441)</f>
        <v/>
      </c>
      <c r="Q441" s="39" t="n">
        <f aca="false">IF($B441="",0,IFERROR(MATCH($B441,COA_Mapping!$A$7:$A$256,0),0))</f>
        <v>0</v>
      </c>
      <c r="R441" s="39" t="n">
        <f aca="false">IF($A441="",-1,IF($J441=Setup!$B$7,1,IF($J441=Setup!$B$9,0,-1)))</f>
        <v>-1</v>
      </c>
      <c r="S441" s="35" t="n">
        <f aca="false">IF(OR($A441="",$Q441=0,$R441=-1),0,$Q441*1000+$R441*100+$K441)</f>
        <v>0</v>
      </c>
      <c r="T441" s="37" t="str">
        <f aca="false">IF($A441="","",IF($B441="","NO ACCOUNT",IF($Q441=0,"UNMAPPED",IF($R441=-1,"OUTSIDE FY RANGE","OK"))))</f>
        <v/>
      </c>
      <c r="U441" s="40" t="str">
        <f aca="false">IF($A441="","",$B441&amp;"|"&amp;TEXT($A441,"yyyymmdd")&amp;"|"&amp;TEXT($I441,"0.00"))</f>
        <v/>
      </c>
      <c r="V441" s="35" t="str">
        <f aca="false">IF($A441="","",COUNTIF($U$8:$U$5007,$U441))</f>
        <v/>
      </c>
    </row>
    <row r="442" customFormat="false" ht="15" hidden="false" customHeight="false" outlineLevel="0" collapsed="false">
      <c r="A442" s="31"/>
      <c r="B442" s="32"/>
      <c r="C442" s="32"/>
      <c r="D442" s="32"/>
      <c r="E442" s="32"/>
      <c r="F442" s="32"/>
      <c r="G442" s="33"/>
      <c r="H442" s="33"/>
      <c r="I442" s="34" t="str">
        <f aca="false">IF($A442="","",$G442-$H442)</f>
        <v/>
      </c>
      <c r="J442" s="35" t="str">
        <f aca="false">IF($A442="","",IF(Setup!$B$6=1,YEAR($A442),YEAR($A442)+IF(MONTH($A442)&gt;=Setup!$B$6,1,0)))</f>
        <v/>
      </c>
      <c r="K442" s="35" t="str">
        <f aca="false">IF($A442="","",MOD(MONTH($A442)-Setup!$B$6+12,12)+1)</f>
        <v/>
      </c>
      <c r="L442" s="36" t="str">
        <f aca="false">IF($A442="","",TEXT($A442,"MMM-YY"))</f>
        <v/>
      </c>
      <c r="M442" s="37" t="str">
        <f aca="false">IF($A442="","",IF($Q442=0,"UNMAPPED",INDEX(COA_Mapping!$C$7:$C$256,$Q442)))</f>
        <v/>
      </c>
      <c r="N442" s="38" t="str">
        <f aca="false">IF($A442="","",IF($Q442=0,"",INDEX(COA_Mapping!$E$7:$E$256,$Q442)))</f>
        <v/>
      </c>
      <c r="O442" s="38" t="n">
        <f aca="false">IF($A442="",1,IF($Q442=0,1,INDEX(COA_Mapping!$F$7:$F$256,$Q442)))</f>
        <v>1</v>
      </c>
      <c r="P442" s="34" t="str">
        <f aca="false">IF($A442="","",$I442*$O442)</f>
        <v/>
      </c>
      <c r="Q442" s="39" t="n">
        <f aca="false">IF($B442="",0,IFERROR(MATCH($B442,COA_Mapping!$A$7:$A$256,0),0))</f>
        <v>0</v>
      </c>
      <c r="R442" s="39" t="n">
        <f aca="false">IF($A442="",-1,IF($J442=Setup!$B$7,1,IF($J442=Setup!$B$9,0,-1)))</f>
        <v>-1</v>
      </c>
      <c r="S442" s="35" t="n">
        <f aca="false">IF(OR($A442="",$Q442=0,$R442=-1),0,$Q442*1000+$R442*100+$K442)</f>
        <v>0</v>
      </c>
      <c r="T442" s="37" t="str">
        <f aca="false">IF($A442="","",IF($B442="","NO ACCOUNT",IF($Q442=0,"UNMAPPED",IF($R442=-1,"OUTSIDE FY RANGE","OK"))))</f>
        <v/>
      </c>
      <c r="U442" s="40" t="str">
        <f aca="false">IF($A442="","",$B442&amp;"|"&amp;TEXT($A442,"yyyymmdd")&amp;"|"&amp;TEXT($I442,"0.00"))</f>
        <v/>
      </c>
      <c r="V442" s="35" t="str">
        <f aca="false">IF($A442="","",COUNTIF($U$8:$U$5007,$U442))</f>
        <v/>
      </c>
    </row>
    <row r="443" customFormat="false" ht="15" hidden="false" customHeight="false" outlineLevel="0" collapsed="false">
      <c r="A443" s="31"/>
      <c r="B443" s="32"/>
      <c r="C443" s="32"/>
      <c r="D443" s="32"/>
      <c r="E443" s="32"/>
      <c r="F443" s="32"/>
      <c r="G443" s="33"/>
      <c r="H443" s="33"/>
      <c r="I443" s="34" t="str">
        <f aca="false">IF($A443="","",$G443-$H443)</f>
        <v/>
      </c>
      <c r="J443" s="35" t="str">
        <f aca="false">IF($A443="","",IF(Setup!$B$6=1,YEAR($A443),YEAR($A443)+IF(MONTH($A443)&gt;=Setup!$B$6,1,0)))</f>
        <v/>
      </c>
      <c r="K443" s="35" t="str">
        <f aca="false">IF($A443="","",MOD(MONTH($A443)-Setup!$B$6+12,12)+1)</f>
        <v/>
      </c>
      <c r="L443" s="36" t="str">
        <f aca="false">IF($A443="","",TEXT($A443,"MMM-YY"))</f>
        <v/>
      </c>
      <c r="M443" s="37" t="str">
        <f aca="false">IF($A443="","",IF($Q443=0,"UNMAPPED",INDEX(COA_Mapping!$C$7:$C$256,$Q443)))</f>
        <v/>
      </c>
      <c r="N443" s="38" t="str">
        <f aca="false">IF($A443="","",IF($Q443=0,"",INDEX(COA_Mapping!$E$7:$E$256,$Q443)))</f>
        <v/>
      </c>
      <c r="O443" s="38" t="n">
        <f aca="false">IF($A443="",1,IF($Q443=0,1,INDEX(COA_Mapping!$F$7:$F$256,$Q443)))</f>
        <v>1</v>
      </c>
      <c r="P443" s="34" t="str">
        <f aca="false">IF($A443="","",$I443*$O443)</f>
        <v/>
      </c>
      <c r="Q443" s="39" t="n">
        <f aca="false">IF($B443="",0,IFERROR(MATCH($B443,COA_Mapping!$A$7:$A$256,0),0))</f>
        <v>0</v>
      </c>
      <c r="R443" s="39" t="n">
        <f aca="false">IF($A443="",-1,IF($J443=Setup!$B$7,1,IF($J443=Setup!$B$9,0,-1)))</f>
        <v>-1</v>
      </c>
      <c r="S443" s="35" t="n">
        <f aca="false">IF(OR($A443="",$Q443=0,$R443=-1),0,$Q443*1000+$R443*100+$K443)</f>
        <v>0</v>
      </c>
      <c r="T443" s="37" t="str">
        <f aca="false">IF($A443="","",IF($B443="","NO ACCOUNT",IF($Q443=0,"UNMAPPED",IF($R443=-1,"OUTSIDE FY RANGE","OK"))))</f>
        <v/>
      </c>
      <c r="U443" s="40" t="str">
        <f aca="false">IF($A443="","",$B443&amp;"|"&amp;TEXT($A443,"yyyymmdd")&amp;"|"&amp;TEXT($I443,"0.00"))</f>
        <v/>
      </c>
      <c r="V443" s="35" t="str">
        <f aca="false">IF($A443="","",COUNTIF($U$8:$U$5007,$U443))</f>
        <v/>
      </c>
    </row>
    <row r="444" customFormat="false" ht="15" hidden="false" customHeight="false" outlineLevel="0" collapsed="false">
      <c r="A444" s="31"/>
      <c r="B444" s="32"/>
      <c r="C444" s="32"/>
      <c r="D444" s="32"/>
      <c r="E444" s="32"/>
      <c r="F444" s="32"/>
      <c r="G444" s="33"/>
      <c r="H444" s="33"/>
      <c r="I444" s="34" t="str">
        <f aca="false">IF($A444="","",$G444-$H444)</f>
        <v/>
      </c>
      <c r="J444" s="35" t="str">
        <f aca="false">IF($A444="","",IF(Setup!$B$6=1,YEAR($A444),YEAR($A444)+IF(MONTH($A444)&gt;=Setup!$B$6,1,0)))</f>
        <v/>
      </c>
      <c r="K444" s="35" t="str">
        <f aca="false">IF($A444="","",MOD(MONTH($A444)-Setup!$B$6+12,12)+1)</f>
        <v/>
      </c>
      <c r="L444" s="36" t="str">
        <f aca="false">IF($A444="","",TEXT($A444,"MMM-YY"))</f>
        <v/>
      </c>
      <c r="M444" s="37" t="str">
        <f aca="false">IF($A444="","",IF($Q444=0,"UNMAPPED",INDEX(COA_Mapping!$C$7:$C$256,$Q444)))</f>
        <v/>
      </c>
      <c r="N444" s="38" t="str">
        <f aca="false">IF($A444="","",IF($Q444=0,"",INDEX(COA_Mapping!$E$7:$E$256,$Q444)))</f>
        <v/>
      </c>
      <c r="O444" s="38" t="n">
        <f aca="false">IF($A444="",1,IF($Q444=0,1,INDEX(COA_Mapping!$F$7:$F$256,$Q444)))</f>
        <v>1</v>
      </c>
      <c r="P444" s="34" t="str">
        <f aca="false">IF($A444="","",$I444*$O444)</f>
        <v/>
      </c>
      <c r="Q444" s="39" t="n">
        <f aca="false">IF($B444="",0,IFERROR(MATCH($B444,COA_Mapping!$A$7:$A$256,0),0))</f>
        <v>0</v>
      </c>
      <c r="R444" s="39" t="n">
        <f aca="false">IF($A444="",-1,IF($J444=Setup!$B$7,1,IF($J444=Setup!$B$9,0,-1)))</f>
        <v>-1</v>
      </c>
      <c r="S444" s="35" t="n">
        <f aca="false">IF(OR($A444="",$Q444=0,$R444=-1),0,$Q444*1000+$R444*100+$K444)</f>
        <v>0</v>
      </c>
      <c r="T444" s="37" t="str">
        <f aca="false">IF($A444="","",IF($B444="","NO ACCOUNT",IF($Q444=0,"UNMAPPED",IF($R444=-1,"OUTSIDE FY RANGE","OK"))))</f>
        <v/>
      </c>
      <c r="U444" s="40" t="str">
        <f aca="false">IF($A444="","",$B444&amp;"|"&amp;TEXT($A444,"yyyymmdd")&amp;"|"&amp;TEXT($I444,"0.00"))</f>
        <v/>
      </c>
      <c r="V444" s="35" t="str">
        <f aca="false">IF($A444="","",COUNTIF($U$8:$U$5007,$U444))</f>
        <v/>
      </c>
    </row>
    <row r="445" customFormat="false" ht="15" hidden="false" customHeight="false" outlineLevel="0" collapsed="false">
      <c r="A445" s="31"/>
      <c r="B445" s="32"/>
      <c r="C445" s="32"/>
      <c r="D445" s="32"/>
      <c r="E445" s="32"/>
      <c r="F445" s="32"/>
      <c r="G445" s="33"/>
      <c r="H445" s="33"/>
      <c r="I445" s="34" t="str">
        <f aca="false">IF($A445="","",$G445-$H445)</f>
        <v/>
      </c>
      <c r="J445" s="35" t="str">
        <f aca="false">IF($A445="","",IF(Setup!$B$6=1,YEAR($A445),YEAR($A445)+IF(MONTH($A445)&gt;=Setup!$B$6,1,0)))</f>
        <v/>
      </c>
      <c r="K445" s="35" t="str">
        <f aca="false">IF($A445="","",MOD(MONTH($A445)-Setup!$B$6+12,12)+1)</f>
        <v/>
      </c>
      <c r="L445" s="36" t="str">
        <f aca="false">IF($A445="","",TEXT($A445,"MMM-YY"))</f>
        <v/>
      </c>
      <c r="M445" s="37" t="str">
        <f aca="false">IF($A445="","",IF($Q445=0,"UNMAPPED",INDEX(COA_Mapping!$C$7:$C$256,$Q445)))</f>
        <v/>
      </c>
      <c r="N445" s="38" t="str">
        <f aca="false">IF($A445="","",IF($Q445=0,"",INDEX(COA_Mapping!$E$7:$E$256,$Q445)))</f>
        <v/>
      </c>
      <c r="O445" s="38" t="n">
        <f aca="false">IF($A445="",1,IF($Q445=0,1,INDEX(COA_Mapping!$F$7:$F$256,$Q445)))</f>
        <v>1</v>
      </c>
      <c r="P445" s="34" t="str">
        <f aca="false">IF($A445="","",$I445*$O445)</f>
        <v/>
      </c>
      <c r="Q445" s="39" t="n">
        <f aca="false">IF($B445="",0,IFERROR(MATCH($B445,COA_Mapping!$A$7:$A$256,0),0))</f>
        <v>0</v>
      </c>
      <c r="R445" s="39" t="n">
        <f aca="false">IF($A445="",-1,IF($J445=Setup!$B$7,1,IF($J445=Setup!$B$9,0,-1)))</f>
        <v>-1</v>
      </c>
      <c r="S445" s="35" t="n">
        <f aca="false">IF(OR($A445="",$Q445=0,$R445=-1),0,$Q445*1000+$R445*100+$K445)</f>
        <v>0</v>
      </c>
      <c r="T445" s="37" t="str">
        <f aca="false">IF($A445="","",IF($B445="","NO ACCOUNT",IF($Q445=0,"UNMAPPED",IF($R445=-1,"OUTSIDE FY RANGE","OK"))))</f>
        <v/>
      </c>
      <c r="U445" s="40" t="str">
        <f aca="false">IF($A445="","",$B445&amp;"|"&amp;TEXT($A445,"yyyymmdd")&amp;"|"&amp;TEXT($I445,"0.00"))</f>
        <v/>
      </c>
      <c r="V445" s="35" t="str">
        <f aca="false">IF($A445="","",COUNTIF($U$8:$U$5007,$U445))</f>
        <v/>
      </c>
    </row>
    <row r="446" customFormat="false" ht="15" hidden="false" customHeight="false" outlineLevel="0" collapsed="false">
      <c r="A446" s="31"/>
      <c r="B446" s="32"/>
      <c r="C446" s="32"/>
      <c r="D446" s="32"/>
      <c r="E446" s="32"/>
      <c r="F446" s="32"/>
      <c r="G446" s="33"/>
      <c r="H446" s="33"/>
      <c r="I446" s="34" t="str">
        <f aca="false">IF($A446="","",$G446-$H446)</f>
        <v/>
      </c>
      <c r="J446" s="35" t="str">
        <f aca="false">IF($A446="","",IF(Setup!$B$6=1,YEAR($A446),YEAR($A446)+IF(MONTH($A446)&gt;=Setup!$B$6,1,0)))</f>
        <v/>
      </c>
      <c r="K446" s="35" t="str">
        <f aca="false">IF($A446="","",MOD(MONTH($A446)-Setup!$B$6+12,12)+1)</f>
        <v/>
      </c>
      <c r="L446" s="36" t="str">
        <f aca="false">IF($A446="","",TEXT($A446,"MMM-YY"))</f>
        <v/>
      </c>
      <c r="M446" s="37" t="str">
        <f aca="false">IF($A446="","",IF($Q446=0,"UNMAPPED",INDEX(COA_Mapping!$C$7:$C$256,$Q446)))</f>
        <v/>
      </c>
      <c r="N446" s="38" t="str">
        <f aca="false">IF($A446="","",IF($Q446=0,"",INDEX(COA_Mapping!$E$7:$E$256,$Q446)))</f>
        <v/>
      </c>
      <c r="O446" s="38" t="n">
        <f aca="false">IF($A446="",1,IF($Q446=0,1,INDEX(COA_Mapping!$F$7:$F$256,$Q446)))</f>
        <v>1</v>
      </c>
      <c r="P446" s="34" t="str">
        <f aca="false">IF($A446="","",$I446*$O446)</f>
        <v/>
      </c>
      <c r="Q446" s="39" t="n">
        <f aca="false">IF($B446="",0,IFERROR(MATCH($B446,COA_Mapping!$A$7:$A$256,0),0))</f>
        <v>0</v>
      </c>
      <c r="R446" s="39" t="n">
        <f aca="false">IF($A446="",-1,IF($J446=Setup!$B$7,1,IF($J446=Setup!$B$9,0,-1)))</f>
        <v>-1</v>
      </c>
      <c r="S446" s="35" t="n">
        <f aca="false">IF(OR($A446="",$Q446=0,$R446=-1),0,$Q446*1000+$R446*100+$K446)</f>
        <v>0</v>
      </c>
      <c r="T446" s="37" t="str">
        <f aca="false">IF($A446="","",IF($B446="","NO ACCOUNT",IF($Q446=0,"UNMAPPED",IF($R446=-1,"OUTSIDE FY RANGE","OK"))))</f>
        <v/>
      </c>
      <c r="U446" s="40" t="str">
        <f aca="false">IF($A446="","",$B446&amp;"|"&amp;TEXT($A446,"yyyymmdd")&amp;"|"&amp;TEXT($I446,"0.00"))</f>
        <v/>
      </c>
      <c r="V446" s="35" t="str">
        <f aca="false">IF($A446="","",COUNTIF($U$8:$U$5007,$U446))</f>
        <v/>
      </c>
    </row>
    <row r="447" customFormat="false" ht="15" hidden="false" customHeight="false" outlineLevel="0" collapsed="false">
      <c r="A447" s="31"/>
      <c r="B447" s="32"/>
      <c r="C447" s="32"/>
      <c r="D447" s="32"/>
      <c r="E447" s="32"/>
      <c r="F447" s="32"/>
      <c r="G447" s="33"/>
      <c r="H447" s="33"/>
      <c r="I447" s="34" t="str">
        <f aca="false">IF($A447="","",$G447-$H447)</f>
        <v/>
      </c>
      <c r="J447" s="35" t="str">
        <f aca="false">IF($A447="","",IF(Setup!$B$6=1,YEAR($A447),YEAR($A447)+IF(MONTH($A447)&gt;=Setup!$B$6,1,0)))</f>
        <v/>
      </c>
      <c r="K447" s="35" t="str">
        <f aca="false">IF($A447="","",MOD(MONTH($A447)-Setup!$B$6+12,12)+1)</f>
        <v/>
      </c>
      <c r="L447" s="36" t="str">
        <f aca="false">IF($A447="","",TEXT($A447,"MMM-YY"))</f>
        <v/>
      </c>
      <c r="M447" s="37" t="str">
        <f aca="false">IF($A447="","",IF($Q447=0,"UNMAPPED",INDEX(COA_Mapping!$C$7:$C$256,$Q447)))</f>
        <v/>
      </c>
      <c r="N447" s="38" t="str">
        <f aca="false">IF($A447="","",IF($Q447=0,"",INDEX(COA_Mapping!$E$7:$E$256,$Q447)))</f>
        <v/>
      </c>
      <c r="O447" s="38" t="n">
        <f aca="false">IF($A447="",1,IF($Q447=0,1,INDEX(COA_Mapping!$F$7:$F$256,$Q447)))</f>
        <v>1</v>
      </c>
      <c r="P447" s="34" t="str">
        <f aca="false">IF($A447="","",$I447*$O447)</f>
        <v/>
      </c>
      <c r="Q447" s="39" t="n">
        <f aca="false">IF($B447="",0,IFERROR(MATCH($B447,COA_Mapping!$A$7:$A$256,0),0))</f>
        <v>0</v>
      </c>
      <c r="R447" s="39" t="n">
        <f aca="false">IF($A447="",-1,IF($J447=Setup!$B$7,1,IF($J447=Setup!$B$9,0,-1)))</f>
        <v>-1</v>
      </c>
      <c r="S447" s="35" t="n">
        <f aca="false">IF(OR($A447="",$Q447=0,$R447=-1),0,$Q447*1000+$R447*100+$K447)</f>
        <v>0</v>
      </c>
      <c r="T447" s="37" t="str">
        <f aca="false">IF($A447="","",IF($B447="","NO ACCOUNT",IF($Q447=0,"UNMAPPED",IF($R447=-1,"OUTSIDE FY RANGE","OK"))))</f>
        <v/>
      </c>
      <c r="U447" s="40" t="str">
        <f aca="false">IF($A447="","",$B447&amp;"|"&amp;TEXT($A447,"yyyymmdd")&amp;"|"&amp;TEXT($I447,"0.00"))</f>
        <v/>
      </c>
      <c r="V447" s="35" t="str">
        <f aca="false">IF($A447="","",COUNTIF($U$8:$U$5007,$U447))</f>
        <v/>
      </c>
    </row>
    <row r="448" customFormat="false" ht="15" hidden="false" customHeight="false" outlineLevel="0" collapsed="false">
      <c r="A448" s="31"/>
      <c r="B448" s="32"/>
      <c r="C448" s="32"/>
      <c r="D448" s="32"/>
      <c r="E448" s="32"/>
      <c r="F448" s="32"/>
      <c r="G448" s="33"/>
      <c r="H448" s="33"/>
      <c r="I448" s="34" t="str">
        <f aca="false">IF($A448="","",$G448-$H448)</f>
        <v/>
      </c>
      <c r="J448" s="35" t="str">
        <f aca="false">IF($A448="","",IF(Setup!$B$6=1,YEAR($A448),YEAR($A448)+IF(MONTH($A448)&gt;=Setup!$B$6,1,0)))</f>
        <v/>
      </c>
      <c r="K448" s="35" t="str">
        <f aca="false">IF($A448="","",MOD(MONTH($A448)-Setup!$B$6+12,12)+1)</f>
        <v/>
      </c>
      <c r="L448" s="36" t="str">
        <f aca="false">IF($A448="","",TEXT($A448,"MMM-YY"))</f>
        <v/>
      </c>
      <c r="M448" s="37" t="str">
        <f aca="false">IF($A448="","",IF($Q448=0,"UNMAPPED",INDEX(COA_Mapping!$C$7:$C$256,$Q448)))</f>
        <v/>
      </c>
      <c r="N448" s="38" t="str">
        <f aca="false">IF($A448="","",IF($Q448=0,"",INDEX(COA_Mapping!$E$7:$E$256,$Q448)))</f>
        <v/>
      </c>
      <c r="O448" s="38" t="n">
        <f aca="false">IF($A448="",1,IF($Q448=0,1,INDEX(COA_Mapping!$F$7:$F$256,$Q448)))</f>
        <v>1</v>
      </c>
      <c r="P448" s="34" t="str">
        <f aca="false">IF($A448="","",$I448*$O448)</f>
        <v/>
      </c>
      <c r="Q448" s="39" t="n">
        <f aca="false">IF($B448="",0,IFERROR(MATCH($B448,COA_Mapping!$A$7:$A$256,0),0))</f>
        <v>0</v>
      </c>
      <c r="R448" s="39" t="n">
        <f aca="false">IF($A448="",-1,IF($J448=Setup!$B$7,1,IF($J448=Setup!$B$9,0,-1)))</f>
        <v>-1</v>
      </c>
      <c r="S448" s="35" t="n">
        <f aca="false">IF(OR($A448="",$Q448=0,$R448=-1),0,$Q448*1000+$R448*100+$K448)</f>
        <v>0</v>
      </c>
      <c r="T448" s="37" t="str">
        <f aca="false">IF($A448="","",IF($B448="","NO ACCOUNT",IF($Q448=0,"UNMAPPED",IF($R448=-1,"OUTSIDE FY RANGE","OK"))))</f>
        <v/>
      </c>
      <c r="U448" s="40" t="str">
        <f aca="false">IF($A448="","",$B448&amp;"|"&amp;TEXT($A448,"yyyymmdd")&amp;"|"&amp;TEXT($I448,"0.00"))</f>
        <v/>
      </c>
      <c r="V448" s="35" t="str">
        <f aca="false">IF($A448="","",COUNTIF($U$8:$U$5007,$U448))</f>
        <v/>
      </c>
    </row>
    <row r="449" customFormat="false" ht="15" hidden="false" customHeight="false" outlineLevel="0" collapsed="false">
      <c r="A449" s="31"/>
      <c r="B449" s="32"/>
      <c r="C449" s="32"/>
      <c r="D449" s="32"/>
      <c r="E449" s="32"/>
      <c r="F449" s="32"/>
      <c r="G449" s="33"/>
      <c r="H449" s="33"/>
      <c r="I449" s="34" t="str">
        <f aca="false">IF($A449="","",$G449-$H449)</f>
        <v/>
      </c>
      <c r="J449" s="35" t="str">
        <f aca="false">IF($A449="","",IF(Setup!$B$6=1,YEAR($A449),YEAR($A449)+IF(MONTH($A449)&gt;=Setup!$B$6,1,0)))</f>
        <v/>
      </c>
      <c r="K449" s="35" t="str">
        <f aca="false">IF($A449="","",MOD(MONTH($A449)-Setup!$B$6+12,12)+1)</f>
        <v/>
      </c>
      <c r="L449" s="36" t="str">
        <f aca="false">IF($A449="","",TEXT($A449,"MMM-YY"))</f>
        <v/>
      </c>
      <c r="M449" s="37" t="str">
        <f aca="false">IF($A449="","",IF($Q449=0,"UNMAPPED",INDEX(COA_Mapping!$C$7:$C$256,$Q449)))</f>
        <v/>
      </c>
      <c r="N449" s="38" t="str">
        <f aca="false">IF($A449="","",IF($Q449=0,"",INDEX(COA_Mapping!$E$7:$E$256,$Q449)))</f>
        <v/>
      </c>
      <c r="O449" s="38" t="n">
        <f aca="false">IF($A449="",1,IF($Q449=0,1,INDEX(COA_Mapping!$F$7:$F$256,$Q449)))</f>
        <v>1</v>
      </c>
      <c r="P449" s="34" t="str">
        <f aca="false">IF($A449="","",$I449*$O449)</f>
        <v/>
      </c>
      <c r="Q449" s="39" t="n">
        <f aca="false">IF($B449="",0,IFERROR(MATCH($B449,COA_Mapping!$A$7:$A$256,0),0))</f>
        <v>0</v>
      </c>
      <c r="R449" s="39" t="n">
        <f aca="false">IF($A449="",-1,IF($J449=Setup!$B$7,1,IF($J449=Setup!$B$9,0,-1)))</f>
        <v>-1</v>
      </c>
      <c r="S449" s="35" t="n">
        <f aca="false">IF(OR($A449="",$Q449=0,$R449=-1),0,$Q449*1000+$R449*100+$K449)</f>
        <v>0</v>
      </c>
      <c r="T449" s="37" t="str">
        <f aca="false">IF($A449="","",IF($B449="","NO ACCOUNT",IF($Q449=0,"UNMAPPED",IF($R449=-1,"OUTSIDE FY RANGE","OK"))))</f>
        <v/>
      </c>
      <c r="U449" s="40" t="str">
        <f aca="false">IF($A449="","",$B449&amp;"|"&amp;TEXT($A449,"yyyymmdd")&amp;"|"&amp;TEXT($I449,"0.00"))</f>
        <v/>
      </c>
      <c r="V449" s="35" t="str">
        <f aca="false">IF($A449="","",COUNTIF($U$8:$U$5007,$U449))</f>
        <v/>
      </c>
    </row>
    <row r="450" customFormat="false" ht="15" hidden="false" customHeight="false" outlineLevel="0" collapsed="false">
      <c r="A450" s="31"/>
      <c r="B450" s="32"/>
      <c r="C450" s="32"/>
      <c r="D450" s="32"/>
      <c r="E450" s="32"/>
      <c r="F450" s="32"/>
      <c r="G450" s="33"/>
      <c r="H450" s="33"/>
      <c r="I450" s="34" t="str">
        <f aca="false">IF($A450="","",$G450-$H450)</f>
        <v/>
      </c>
      <c r="J450" s="35" t="str">
        <f aca="false">IF($A450="","",IF(Setup!$B$6=1,YEAR($A450),YEAR($A450)+IF(MONTH($A450)&gt;=Setup!$B$6,1,0)))</f>
        <v/>
      </c>
      <c r="K450" s="35" t="str">
        <f aca="false">IF($A450="","",MOD(MONTH($A450)-Setup!$B$6+12,12)+1)</f>
        <v/>
      </c>
      <c r="L450" s="36" t="str">
        <f aca="false">IF($A450="","",TEXT($A450,"MMM-YY"))</f>
        <v/>
      </c>
      <c r="M450" s="37" t="str">
        <f aca="false">IF($A450="","",IF($Q450=0,"UNMAPPED",INDEX(COA_Mapping!$C$7:$C$256,$Q450)))</f>
        <v/>
      </c>
      <c r="N450" s="38" t="str">
        <f aca="false">IF($A450="","",IF($Q450=0,"",INDEX(COA_Mapping!$E$7:$E$256,$Q450)))</f>
        <v/>
      </c>
      <c r="O450" s="38" t="n">
        <f aca="false">IF($A450="",1,IF($Q450=0,1,INDEX(COA_Mapping!$F$7:$F$256,$Q450)))</f>
        <v>1</v>
      </c>
      <c r="P450" s="34" t="str">
        <f aca="false">IF($A450="","",$I450*$O450)</f>
        <v/>
      </c>
      <c r="Q450" s="39" t="n">
        <f aca="false">IF($B450="",0,IFERROR(MATCH($B450,COA_Mapping!$A$7:$A$256,0),0))</f>
        <v>0</v>
      </c>
      <c r="R450" s="39" t="n">
        <f aca="false">IF($A450="",-1,IF($J450=Setup!$B$7,1,IF($J450=Setup!$B$9,0,-1)))</f>
        <v>-1</v>
      </c>
      <c r="S450" s="35" t="n">
        <f aca="false">IF(OR($A450="",$Q450=0,$R450=-1),0,$Q450*1000+$R450*100+$K450)</f>
        <v>0</v>
      </c>
      <c r="T450" s="37" t="str">
        <f aca="false">IF($A450="","",IF($B450="","NO ACCOUNT",IF($Q450=0,"UNMAPPED",IF($R450=-1,"OUTSIDE FY RANGE","OK"))))</f>
        <v/>
      </c>
      <c r="U450" s="40" t="str">
        <f aca="false">IF($A450="","",$B450&amp;"|"&amp;TEXT($A450,"yyyymmdd")&amp;"|"&amp;TEXT($I450,"0.00"))</f>
        <v/>
      </c>
      <c r="V450" s="35" t="str">
        <f aca="false">IF($A450="","",COUNTIF($U$8:$U$5007,$U450))</f>
        <v/>
      </c>
    </row>
    <row r="451" customFormat="false" ht="15" hidden="false" customHeight="false" outlineLevel="0" collapsed="false">
      <c r="A451" s="31"/>
      <c r="B451" s="32"/>
      <c r="C451" s="32"/>
      <c r="D451" s="32"/>
      <c r="E451" s="32"/>
      <c r="F451" s="32"/>
      <c r="G451" s="33"/>
      <c r="H451" s="33"/>
      <c r="I451" s="34" t="str">
        <f aca="false">IF($A451="","",$G451-$H451)</f>
        <v/>
      </c>
      <c r="J451" s="35" t="str">
        <f aca="false">IF($A451="","",IF(Setup!$B$6=1,YEAR($A451),YEAR($A451)+IF(MONTH($A451)&gt;=Setup!$B$6,1,0)))</f>
        <v/>
      </c>
      <c r="K451" s="35" t="str">
        <f aca="false">IF($A451="","",MOD(MONTH($A451)-Setup!$B$6+12,12)+1)</f>
        <v/>
      </c>
      <c r="L451" s="36" t="str">
        <f aca="false">IF($A451="","",TEXT($A451,"MMM-YY"))</f>
        <v/>
      </c>
      <c r="M451" s="37" t="str">
        <f aca="false">IF($A451="","",IF($Q451=0,"UNMAPPED",INDEX(COA_Mapping!$C$7:$C$256,$Q451)))</f>
        <v/>
      </c>
      <c r="N451" s="38" t="str">
        <f aca="false">IF($A451="","",IF($Q451=0,"",INDEX(COA_Mapping!$E$7:$E$256,$Q451)))</f>
        <v/>
      </c>
      <c r="O451" s="38" t="n">
        <f aca="false">IF($A451="",1,IF($Q451=0,1,INDEX(COA_Mapping!$F$7:$F$256,$Q451)))</f>
        <v>1</v>
      </c>
      <c r="P451" s="34" t="str">
        <f aca="false">IF($A451="","",$I451*$O451)</f>
        <v/>
      </c>
      <c r="Q451" s="39" t="n">
        <f aca="false">IF($B451="",0,IFERROR(MATCH($B451,COA_Mapping!$A$7:$A$256,0),0))</f>
        <v>0</v>
      </c>
      <c r="R451" s="39" t="n">
        <f aca="false">IF($A451="",-1,IF($J451=Setup!$B$7,1,IF($J451=Setup!$B$9,0,-1)))</f>
        <v>-1</v>
      </c>
      <c r="S451" s="35" t="n">
        <f aca="false">IF(OR($A451="",$Q451=0,$R451=-1),0,$Q451*1000+$R451*100+$K451)</f>
        <v>0</v>
      </c>
      <c r="T451" s="37" t="str">
        <f aca="false">IF($A451="","",IF($B451="","NO ACCOUNT",IF($Q451=0,"UNMAPPED",IF($R451=-1,"OUTSIDE FY RANGE","OK"))))</f>
        <v/>
      </c>
      <c r="U451" s="40" t="str">
        <f aca="false">IF($A451="","",$B451&amp;"|"&amp;TEXT($A451,"yyyymmdd")&amp;"|"&amp;TEXT($I451,"0.00"))</f>
        <v/>
      </c>
      <c r="V451" s="35" t="str">
        <f aca="false">IF($A451="","",COUNTIF($U$8:$U$5007,$U451))</f>
        <v/>
      </c>
    </row>
    <row r="452" customFormat="false" ht="15" hidden="false" customHeight="false" outlineLevel="0" collapsed="false">
      <c r="A452" s="31"/>
      <c r="B452" s="32"/>
      <c r="C452" s="32"/>
      <c r="D452" s="32"/>
      <c r="E452" s="32"/>
      <c r="F452" s="32"/>
      <c r="G452" s="33"/>
      <c r="H452" s="33"/>
      <c r="I452" s="34" t="str">
        <f aca="false">IF($A452="","",$G452-$H452)</f>
        <v/>
      </c>
      <c r="J452" s="35" t="str">
        <f aca="false">IF($A452="","",IF(Setup!$B$6=1,YEAR($A452),YEAR($A452)+IF(MONTH($A452)&gt;=Setup!$B$6,1,0)))</f>
        <v/>
      </c>
      <c r="K452" s="35" t="str">
        <f aca="false">IF($A452="","",MOD(MONTH($A452)-Setup!$B$6+12,12)+1)</f>
        <v/>
      </c>
      <c r="L452" s="36" t="str">
        <f aca="false">IF($A452="","",TEXT($A452,"MMM-YY"))</f>
        <v/>
      </c>
      <c r="M452" s="37" t="str">
        <f aca="false">IF($A452="","",IF($Q452=0,"UNMAPPED",INDEX(COA_Mapping!$C$7:$C$256,$Q452)))</f>
        <v/>
      </c>
      <c r="N452" s="38" t="str">
        <f aca="false">IF($A452="","",IF($Q452=0,"",INDEX(COA_Mapping!$E$7:$E$256,$Q452)))</f>
        <v/>
      </c>
      <c r="O452" s="38" t="n">
        <f aca="false">IF($A452="",1,IF($Q452=0,1,INDEX(COA_Mapping!$F$7:$F$256,$Q452)))</f>
        <v>1</v>
      </c>
      <c r="P452" s="34" t="str">
        <f aca="false">IF($A452="","",$I452*$O452)</f>
        <v/>
      </c>
      <c r="Q452" s="39" t="n">
        <f aca="false">IF($B452="",0,IFERROR(MATCH($B452,COA_Mapping!$A$7:$A$256,0),0))</f>
        <v>0</v>
      </c>
      <c r="R452" s="39" t="n">
        <f aca="false">IF($A452="",-1,IF($J452=Setup!$B$7,1,IF($J452=Setup!$B$9,0,-1)))</f>
        <v>-1</v>
      </c>
      <c r="S452" s="35" t="n">
        <f aca="false">IF(OR($A452="",$Q452=0,$R452=-1),0,$Q452*1000+$R452*100+$K452)</f>
        <v>0</v>
      </c>
      <c r="T452" s="37" t="str">
        <f aca="false">IF($A452="","",IF($B452="","NO ACCOUNT",IF($Q452=0,"UNMAPPED",IF($R452=-1,"OUTSIDE FY RANGE","OK"))))</f>
        <v/>
      </c>
      <c r="U452" s="40" t="str">
        <f aca="false">IF($A452="","",$B452&amp;"|"&amp;TEXT($A452,"yyyymmdd")&amp;"|"&amp;TEXT($I452,"0.00"))</f>
        <v/>
      </c>
      <c r="V452" s="35" t="str">
        <f aca="false">IF($A452="","",COUNTIF($U$8:$U$5007,$U452))</f>
        <v/>
      </c>
    </row>
    <row r="453" customFormat="false" ht="15" hidden="false" customHeight="false" outlineLevel="0" collapsed="false">
      <c r="A453" s="31"/>
      <c r="B453" s="32"/>
      <c r="C453" s="32"/>
      <c r="D453" s="32"/>
      <c r="E453" s="32"/>
      <c r="F453" s="32"/>
      <c r="G453" s="33"/>
      <c r="H453" s="33"/>
      <c r="I453" s="34" t="str">
        <f aca="false">IF($A453="","",$G453-$H453)</f>
        <v/>
      </c>
      <c r="J453" s="35" t="str">
        <f aca="false">IF($A453="","",IF(Setup!$B$6=1,YEAR($A453),YEAR($A453)+IF(MONTH($A453)&gt;=Setup!$B$6,1,0)))</f>
        <v/>
      </c>
      <c r="K453" s="35" t="str">
        <f aca="false">IF($A453="","",MOD(MONTH($A453)-Setup!$B$6+12,12)+1)</f>
        <v/>
      </c>
      <c r="L453" s="36" t="str">
        <f aca="false">IF($A453="","",TEXT($A453,"MMM-YY"))</f>
        <v/>
      </c>
      <c r="M453" s="37" t="str">
        <f aca="false">IF($A453="","",IF($Q453=0,"UNMAPPED",INDEX(COA_Mapping!$C$7:$C$256,$Q453)))</f>
        <v/>
      </c>
      <c r="N453" s="38" t="str">
        <f aca="false">IF($A453="","",IF($Q453=0,"",INDEX(COA_Mapping!$E$7:$E$256,$Q453)))</f>
        <v/>
      </c>
      <c r="O453" s="38" t="n">
        <f aca="false">IF($A453="",1,IF($Q453=0,1,INDEX(COA_Mapping!$F$7:$F$256,$Q453)))</f>
        <v>1</v>
      </c>
      <c r="P453" s="34" t="str">
        <f aca="false">IF($A453="","",$I453*$O453)</f>
        <v/>
      </c>
      <c r="Q453" s="39" t="n">
        <f aca="false">IF($B453="",0,IFERROR(MATCH($B453,COA_Mapping!$A$7:$A$256,0),0))</f>
        <v>0</v>
      </c>
      <c r="R453" s="39" t="n">
        <f aca="false">IF($A453="",-1,IF($J453=Setup!$B$7,1,IF($J453=Setup!$B$9,0,-1)))</f>
        <v>-1</v>
      </c>
      <c r="S453" s="35" t="n">
        <f aca="false">IF(OR($A453="",$Q453=0,$R453=-1),0,$Q453*1000+$R453*100+$K453)</f>
        <v>0</v>
      </c>
      <c r="T453" s="37" t="str">
        <f aca="false">IF($A453="","",IF($B453="","NO ACCOUNT",IF($Q453=0,"UNMAPPED",IF($R453=-1,"OUTSIDE FY RANGE","OK"))))</f>
        <v/>
      </c>
      <c r="U453" s="40" t="str">
        <f aca="false">IF($A453="","",$B453&amp;"|"&amp;TEXT($A453,"yyyymmdd")&amp;"|"&amp;TEXT($I453,"0.00"))</f>
        <v/>
      </c>
      <c r="V453" s="35" t="str">
        <f aca="false">IF($A453="","",COUNTIF($U$8:$U$5007,$U453))</f>
        <v/>
      </c>
    </row>
    <row r="454" customFormat="false" ht="15" hidden="false" customHeight="false" outlineLevel="0" collapsed="false">
      <c r="A454" s="31"/>
      <c r="B454" s="32"/>
      <c r="C454" s="32"/>
      <c r="D454" s="32"/>
      <c r="E454" s="32"/>
      <c r="F454" s="32"/>
      <c r="G454" s="33"/>
      <c r="H454" s="33"/>
      <c r="I454" s="34" t="str">
        <f aca="false">IF($A454="","",$G454-$H454)</f>
        <v/>
      </c>
      <c r="J454" s="35" t="str">
        <f aca="false">IF($A454="","",IF(Setup!$B$6=1,YEAR($A454),YEAR($A454)+IF(MONTH($A454)&gt;=Setup!$B$6,1,0)))</f>
        <v/>
      </c>
      <c r="K454" s="35" t="str">
        <f aca="false">IF($A454="","",MOD(MONTH($A454)-Setup!$B$6+12,12)+1)</f>
        <v/>
      </c>
      <c r="L454" s="36" t="str">
        <f aca="false">IF($A454="","",TEXT($A454,"MMM-YY"))</f>
        <v/>
      </c>
      <c r="M454" s="37" t="str">
        <f aca="false">IF($A454="","",IF($Q454=0,"UNMAPPED",INDEX(COA_Mapping!$C$7:$C$256,$Q454)))</f>
        <v/>
      </c>
      <c r="N454" s="38" t="str">
        <f aca="false">IF($A454="","",IF($Q454=0,"",INDEX(COA_Mapping!$E$7:$E$256,$Q454)))</f>
        <v/>
      </c>
      <c r="O454" s="38" t="n">
        <f aca="false">IF($A454="",1,IF($Q454=0,1,INDEX(COA_Mapping!$F$7:$F$256,$Q454)))</f>
        <v>1</v>
      </c>
      <c r="P454" s="34" t="str">
        <f aca="false">IF($A454="","",$I454*$O454)</f>
        <v/>
      </c>
      <c r="Q454" s="39" t="n">
        <f aca="false">IF($B454="",0,IFERROR(MATCH($B454,COA_Mapping!$A$7:$A$256,0),0))</f>
        <v>0</v>
      </c>
      <c r="R454" s="39" t="n">
        <f aca="false">IF($A454="",-1,IF($J454=Setup!$B$7,1,IF($J454=Setup!$B$9,0,-1)))</f>
        <v>-1</v>
      </c>
      <c r="S454" s="35" t="n">
        <f aca="false">IF(OR($A454="",$Q454=0,$R454=-1),0,$Q454*1000+$R454*100+$K454)</f>
        <v>0</v>
      </c>
      <c r="T454" s="37" t="str">
        <f aca="false">IF($A454="","",IF($B454="","NO ACCOUNT",IF($Q454=0,"UNMAPPED",IF($R454=-1,"OUTSIDE FY RANGE","OK"))))</f>
        <v/>
      </c>
      <c r="U454" s="40" t="str">
        <f aca="false">IF($A454="","",$B454&amp;"|"&amp;TEXT($A454,"yyyymmdd")&amp;"|"&amp;TEXT($I454,"0.00"))</f>
        <v/>
      </c>
      <c r="V454" s="35" t="str">
        <f aca="false">IF($A454="","",COUNTIF($U$8:$U$5007,$U454))</f>
        <v/>
      </c>
    </row>
    <row r="455" customFormat="false" ht="15" hidden="false" customHeight="false" outlineLevel="0" collapsed="false">
      <c r="A455" s="31"/>
      <c r="B455" s="32"/>
      <c r="C455" s="32"/>
      <c r="D455" s="32"/>
      <c r="E455" s="32"/>
      <c r="F455" s="32"/>
      <c r="G455" s="33"/>
      <c r="H455" s="33"/>
      <c r="I455" s="34" t="str">
        <f aca="false">IF($A455="","",$G455-$H455)</f>
        <v/>
      </c>
      <c r="J455" s="35" t="str">
        <f aca="false">IF($A455="","",IF(Setup!$B$6=1,YEAR($A455),YEAR($A455)+IF(MONTH($A455)&gt;=Setup!$B$6,1,0)))</f>
        <v/>
      </c>
      <c r="K455" s="35" t="str">
        <f aca="false">IF($A455="","",MOD(MONTH($A455)-Setup!$B$6+12,12)+1)</f>
        <v/>
      </c>
      <c r="L455" s="36" t="str">
        <f aca="false">IF($A455="","",TEXT($A455,"MMM-YY"))</f>
        <v/>
      </c>
      <c r="M455" s="37" t="str">
        <f aca="false">IF($A455="","",IF($Q455=0,"UNMAPPED",INDEX(COA_Mapping!$C$7:$C$256,$Q455)))</f>
        <v/>
      </c>
      <c r="N455" s="38" t="str">
        <f aca="false">IF($A455="","",IF($Q455=0,"",INDEX(COA_Mapping!$E$7:$E$256,$Q455)))</f>
        <v/>
      </c>
      <c r="O455" s="38" t="n">
        <f aca="false">IF($A455="",1,IF($Q455=0,1,INDEX(COA_Mapping!$F$7:$F$256,$Q455)))</f>
        <v>1</v>
      </c>
      <c r="P455" s="34" t="str">
        <f aca="false">IF($A455="","",$I455*$O455)</f>
        <v/>
      </c>
      <c r="Q455" s="39" t="n">
        <f aca="false">IF($B455="",0,IFERROR(MATCH($B455,COA_Mapping!$A$7:$A$256,0),0))</f>
        <v>0</v>
      </c>
      <c r="R455" s="39" t="n">
        <f aca="false">IF($A455="",-1,IF($J455=Setup!$B$7,1,IF($J455=Setup!$B$9,0,-1)))</f>
        <v>-1</v>
      </c>
      <c r="S455" s="35" t="n">
        <f aca="false">IF(OR($A455="",$Q455=0,$R455=-1),0,$Q455*1000+$R455*100+$K455)</f>
        <v>0</v>
      </c>
      <c r="T455" s="37" t="str">
        <f aca="false">IF($A455="","",IF($B455="","NO ACCOUNT",IF($Q455=0,"UNMAPPED",IF($R455=-1,"OUTSIDE FY RANGE","OK"))))</f>
        <v/>
      </c>
      <c r="U455" s="40" t="str">
        <f aca="false">IF($A455="","",$B455&amp;"|"&amp;TEXT($A455,"yyyymmdd")&amp;"|"&amp;TEXT($I455,"0.00"))</f>
        <v/>
      </c>
      <c r="V455" s="35" t="str">
        <f aca="false">IF($A455="","",COUNTIF($U$8:$U$5007,$U455))</f>
        <v/>
      </c>
    </row>
    <row r="456" customFormat="false" ht="15" hidden="false" customHeight="false" outlineLevel="0" collapsed="false">
      <c r="A456" s="31"/>
      <c r="B456" s="32"/>
      <c r="C456" s="32"/>
      <c r="D456" s="32"/>
      <c r="E456" s="32"/>
      <c r="F456" s="32"/>
      <c r="G456" s="33"/>
      <c r="H456" s="33"/>
      <c r="I456" s="34" t="str">
        <f aca="false">IF($A456="","",$G456-$H456)</f>
        <v/>
      </c>
      <c r="J456" s="35" t="str">
        <f aca="false">IF($A456="","",IF(Setup!$B$6=1,YEAR($A456),YEAR($A456)+IF(MONTH($A456)&gt;=Setup!$B$6,1,0)))</f>
        <v/>
      </c>
      <c r="K456" s="35" t="str">
        <f aca="false">IF($A456="","",MOD(MONTH($A456)-Setup!$B$6+12,12)+1)</f>
        <v/>
      </c>
      <c r="L456" s="36" t="str">
        <f aca="false">IF($A456="","",TEXT($A456,"MMM-YY"))</f>
        <v/>
      </c>
      <c r="M456" s="37" t="str">
        <f aca="false">IF($A456="","",IF($Q456=0,"UNMAPPED",INDEX(COA_Mapping!$C$7:$C$256,$Q456)))</f>
        <v/>
      </c>
      <c r="N456" s="38" t="str">
        <f aca="false">IF($A456="","",IF($Q456=0,"",INDEX(COA_Mapping!$E$7:$E$256,$Q456)))</f>
        <v/>
      </c>
      <c r="O456" s="38" t="n">
        <f aca="false">IF($A456="",1,IF($Q456=0,1,INDEX(COA_Mapping!$F$7:$F$256,$Q456)))</f>
        <v>1</v>
      </c>
      <c r="P456" s="34" t="str">
        <f aca="false">IF($A456="","",$I456*$O456)</f>
        <v/>
      </c>
      <c r="Q456" s="39" t="n">
        <f aca="false">IF($B456="",0,IFERROR(MATCH($B456,COA_Mapping!$A$7:$A$256,0),0))</f>
        <v>0</v>
      </c>
      <c r="R456" s="39" t="n">
        <f aca="false">IF($A456="",-1,IF($J456=Setup!$B$7,1,IF($J456=Setup!$B$9,0,-1)))</f>
        <v>-1</v>
      </c>
      <c r="S456" s="35" t="n">
        <f aca="false">IF(OR($A456="",$Q456=0,$R456=-1),0,$Q456*1000+$R456*100+$K456)</f>
        <v>0</v>
      </c>
      <c r="T456" s="37" t="str">
        <f aca="false">IF($A456="","",IF($B456="","NO ACCOUNT",IF($Q456=0,"UNMAPPED",IF($R456=-1,"OUTSIDE FY RANGE","OK"))))</f>
        <v/>
      </c>
      <c r="U456" s="40" t="str">
        <f aca="false">IF($A456="","",$B456&amp;"|"&amp;TEXT($A456,"yyyymmdd")&amp;"|"&amp;TEXT($I456,"0.00"))</f>
        <v/>
      </c>
      <c r="V456" s="35" t="str">
        <f aca="false">IF($A456="","",COUNTIF($U$8:$U$5007,$U456))</f>
        <v/>
      </c>
    </row>
    <row r="457" customFormat="false" ht="15" hidden="false" customHeight="false" outlineLevel="0" collapsed="false">
      <c r="A457" s="31"/>
      <c r="B457" s="32"/>
      <c r="C457" s="32"/>
      <c r="D457" s="32"/>
      <c r="E457" s="32"/>
      <c r="F457" s="32"/>
      <c r="G457" s="33"/>
      <c r="H457" s="33"/>
      <c r="I457" s="34" t="str">
        <f aca="false">IF($A457="","",$G457-$H457)</f>
        <v/>
      </c>
      <c r="J457" s="35" t="str">
        <f aca="false">IF($A457="","",IF(Setup!$B$6=1,YEAR($A457),YEAR($A457)+IF(MONTH($A457)&gt;=Setup!$B$6,1,0)))</f>
        <v/>
      </c>
      <c r="K457" s="35" t="str">
        <f aca="false">IF($A457="","",MOD(MONTH($A457)-Setup!$B$6+12,12)+1)</f>
        <v/>
      </c>
      <c r="L457" s="36" t="str">
        <f aca="false">IF($A457="","",TEXT($A457,"MMM-YY"))</f>
        <v/>
      </c>
      <c r="M457" s="37" t="str">
        <f aca="false">IF($A457="","",IF($Q457=0,"UNMAPPED",INDEX(COA_Mapping!$C$7:$C$256,$Q457)))</f>
        <v/>
      </c>
      <c r="N457" s="38" t="str">
        <f aca="false">IF($A457="","",IF($Q457=0,"",INDEX(COA_Mapping!$E$7:$E$256,$Q457)))</f>
        <v/>
      </c>
      <c r="O457" s="38" t="n">
        <f aca="false">IF($A457="",1,IF($Q457=0,1,INDEX(COA_Mapping!$F$7:$F$256,$Q457)))</f>
        <v>1</v>
      </c>
      <c r="P457" s="34" t="str">
        <f aca="false">IF($A457="","",$I457*$O457)</f>
        <v/>
      </c>
      <c r="Q457" s="39" t="n">
        <f aca="false">IF($B457="",0,IFERROR(MATCH($B457,COA_Mapping!$A$7:$A$256,0),0))</f>
        <v>0</v>
      </c>
      <c r="R457" s="39" t="n">
        <f aca="false">IF($A457="",-1,IF($J457=Setup!$B$7,1,IF($J457=Setup!$B$9,0,-1)))</f>
        <v>-1</v>
      </c>
      <c r="S457" s="35" t="n">
        <f aca="false">IF(OR($A457="",$Q457=0,$R457=-1),0,$Q457*1000+$R457*100+$K457)</f>
        <v>0</v>
      </c>
      <c r="T457" s="37" t="str">
        <f aca="false">IF($A457="","",IF($B457="","NO ACCOUNT",IF($Q457=0,"UNMAPPED",IF($R457=-1,"OUTSIDE FY RANGE","OK"))))</f>
        <v/>
      </c>
      <c r="U457" s="40" t="str">
        <f aca="false">IF($A457="","",$B457&amp;"|"&amp;TEXT($A457,"yyyymmdd")&amp;"|"&amp;TEXT($I457,"0.00"))</f>
        <v/>
      </c>
      <c r="V457" s="35" t="str">
        <f aca="false">IF($A457="","",COUNTIF($U$8:$U$5007,$U457))</f>
        <v/>
      </c>
    </row>
    <row r="458" customFormat="false" ht="15" hidden="false" customHeight="false" outlineLevel="0" collapsed="false">
      <c r="A458" s="31"/>
      <c r="B458" s="32"/>
      <c r="C458" s="32"/>
      <c r="D458" s="32"/>
      <c r="E458" s="32"/>
      <c r="F458" s="32"/>
      <c r="G458" s="33"/>
      <c r="H458" s="33"/>
      <c r="I458" s="34" t="str">
        <f aca="false">IF($A458="","",$G458-$H458)</f>
        <v/>
      </c>
      <c r="J458" s="35" t="str">
        <f aca="false">IF($A458="","",IF(Setup!$B$6=1,YEAR($A458),YEAR($A458)+IF(MONTH($A458)&gt;=Setup!$B$6,1,0)))</f>
        <v/>
      </c>
      <c r="K458" s="35" t="str">
        <f aca="false">IF($A458="","",MOD(MONTH($A458)-Setup!$B$6+12,12)+1)</f>
        <v/>
      </c>
      <c r="L458" s="36" t="str">
        <f aca="false">IF($A458="","",TEXT($A458,"MMM-YY"))</f>
        <v/>
      </c>
      <c r="M458" s="37" t="str">
        <f aca="false">IF($A458="","",IF($Q458=0,"UNMAPPED",INDEX(COA_Mapping!$C$7:$C$256,$Q458)))</f>
        <v/>
      </c>
      <c r="N458" s="38" t="str">
        <f aca="false">IF($A458="","",IF($Q458=0,"",INDEX(COA_Mapping!$E$7:$E$256,$Q458)))</f>
        <v/>
      </c>
      <c r="O458" s="38" t="n">
        <f aca="false">IF($A458="",1,IF($Q458=0,1,INDEX(COA_Mapping!$F$7:$F$256,$Q458)))</f>
        <v>1</v>
      </c>
      <c r="P458" s="34" t="str">
        <f aca="false">IF($A458="","",$I458*$O458)</f>
        <v/>
      </c>
      <c r="Q458" s="39" t="n">
        <f aca="false">IF($B458="",0,IFERROR(MATCH($B458,COA_Mapping!$A$7:$A$256,0),0))</f>
        <v>0</v>
      </c>
      <c r="R458" s="39" t="n">
        <f aca="false">IF($A458="",-1,IF($J458=Setup!$B$7,1,IF($J458=Setup!$B$9,0,-1)))</f>
        <v>-1</v>
      </c>
      <c r="S458" s="35" t="n">
        <f aca="false">IF(OR($A458="",$Q458=0,$R458=-1),0,$Q458*1000+$R458*100+$K458)</f>
        <v>0</v>
      </c>
      <c r="T458" s="37" t="str">
        <f aca="false">IF($A458="","",IF($B458="","NO ACCOUNT",IF($Q458=0,"UNMAPPED",IF($R458=-1,"OUTSIDE FY RANGE","OK"))))</f>
        <v/>
      </c>
      <c r="U458" s="40" t="str">
        <f aca="false">IF($A458="","",$B458&amp;"|"&amp;TEXT($A458,"yyyymmdd")&amp;"|"&amp;TEXT($I458,"0.00"))</f>
        <v/>
      </c>
      <c r="V458" s="35" t="str">
        <f aca="false">IF($A458="","",COUNTIF($U$8:$U$5007,$U458))</f>
        <v/>
      </c>
    </row>
    <row r="459" customFormat="false" ht="15" hidden="false" customHeight="false" outlineLevel="0" collapsed="false">
      <c r="A459" s="31"/>
      <c r="B459" s="32"/>
      <c r="C459" s="32"/>
      <c r="D459" s="32"/>
      <c r="E459" s="32"/>
      <c r="F459" s="32"/>
      <c r="G459" s="33"/>
      <c r="H459" s="33"/>
      <c r="I459" s="34" t="str">
        <f aca="false">IF($A459="","",$G459-$H459)</f>
        <v/>
      </c>
      <c r="J459" s="35" t="str">
        <f aca="false">IF($A459="","",IF(Setup!$B$6=1,YEAR($A459),YEAR($A459)+IF(MONTH($A459)&gt;=Setup!$B$6,1,0)))</f>
        <v/>
      </c>
      <c r="K459" s="35" t="str">
        <f aca="false">IF($A459="","",MOD(MONTH($A459)-Setup!$B$6+12,12)+1)</f>
        <v/>
      </c>
      <c r="L459" s="36" t="str">
        <f aca="false">IF($A459="","",TEXT($A459,"MMM-YY"))</f>
        <v/>
      </c>
      <c r="M459" s="37" t="str">
        <f aca="false">IF($A459="","",IF($Q459=0,"UNMAPPED",INDEX(COA_Mapping!$C$7:$C$256,$Q459)))</f>
        <v/>
      </c>
      <c r="N459" s="38" t="str">
        <f aca="false">IF($A459="","",IF($Q459=0,"",INDEX(COA_Mapping!$E$7:$E$256,$Q459)))</f>
        <v/>
      </c>
      <c r="O459" s="38" t="n">
        <f aca="false">IF($A459="",1,IF($Q459=0,1,INDEX(COA_Mapping!$F$7:$F$256,$Q459)))</f>
        <v>1</v>
      </c>
      <c r="P459" s="34" t="str">
        <f aca="false">IF($A459="","",$I459*$O459)</f>
        <v/>
      </c>
      <c r="Q459" s="39" t="n">
        <f aca="false">IF($B459="",0,IFERROR(MATCH($B459,COA_Mapping!$A$7:$A$256,0),0))</f>
        <v>0</v>
      </c>
      <c r="R459" s="39" t="n">
        <f aca="false">IF($A459="",-1,IF($J459=Setup!$B$7,1,IF($J459=Setup!$B$9,0,-1)))</f>
        <v>-1</v>
      </c>
      <c r="S459" s="35" t="n">
        <f aca="false">IF(OR($A459="",$Q459=0,$R459=-1),0,$Q459*1000+$R459*100+$K459)</f>
        <v>0</v>
      </c>
      <c r="T459" s="37" t="str">
        <f aca="false">IF($A459="","",IF($B459="","NO ACCOUNT",IF($Q459=0,"UNMAPPED",IF($R459=-1,"OUTSIDE FY RANGE","OK"))))</f>
        <v/>
      </c>
      <c r="U459" s="40" t="str">
        <f aca="false">IF($A459="","",$B459&amp;"|"&amp;TEXT($A459,"yyyymmdd")&amp;"|"&amp;TEXT($I459,"0.00"))</f>
        <v/>
      </c>
      <c r="V459" s="35" t="str">
        <f aca="false">IF($A459="","",COUNTIF($U$8:$U$5007,$U459))</f>
        <v/>
      </c>
    </row>
    <row r="460" customFormat="false" ht="15" hidden="false" customHeight="false" outlineLevel="0" collapsed="false">
      <c r="A460" s="31"/>
      <c r="B460" s="32"/>
      <c r="C460" s="32"/>
      <c r="D460" s="32"/>
      <c r="E460" s="32"/>
      <c r="F460" s="32"/>
      <c r="G460" s="33"/>
      <c r="H460" s="33"/>
      <c r="I460" s="34" t="str">
        <f aca="false">IF($A460="","",$G460-$H460)</f>
        <v/>
      </c>
      <c r="J460" s="35" t="str">
        <f aca="false">IF($A460="","",IF(Setup!$B$6=1,YEAR($A460),YEAR($A460)+IF(MONTH($A460)&gt;=Setup!$B$6,1,0)))</f>
        <v/>
      </c>
      <c r="K460" s="35" t="str">
        <f aca="false">IF($A460="","",MOD(MONTH($A460)-Setup!$B$6+12,12)+1)</f>
        <v/>
      </c>
      <c r="L460" s="36" t="str">
        <f aca="false">IF($A460="","",TEXT($A460,"MMM-YY"))</f>
        <v/>
      </c>
      <c r="M460" s="37" t="str">
        <f aca="false">IF($A460="","",IF($Q460=0,"UNMAPPED",INDEX(COA_Mapping!$C$7:$C$256,$Q460)))</f>
        <v/>
      </c>
      <c r="N460" s="38" t="str">
        <f aca="false">IF($A460="","",IF($Q460=0,"",INDEX(COA_Mapping!$E$7:$E$256,$Q460)))</f>
        <v/>
      </c>
      <c r="O460" s="38" t="n">
        <f aca="false">IF($A460="",1,IF($Q460=0,1,INDEX(COA_Mapping!$F$7:$F$256,$Q460)))</f>
        <v>1</v>
      </c>
      <c r="P460" s="34" t="str">
        <f aca="false">IF($A460="","",$I460*$O460)</f>
        <v/>
      </c>
      <c r="Q460" s="39" t="n">
        <f aca="false">IF($B460="",0,IFERROR(MATCH($B460,COA_Mapping!$A$7:$A$256,0),0))</f>
        <v>0</v>
      </c>
      <c r="R460" s="39" t="n">
        <f aca="false">IF($A460="",-1,IF($J460=Setup!$B$7,1,IF($J460=Setup!$B$9,0,-1)))</f>
        <v>-1</v>
      </c>
      <c r="S460" s="35" t="n">
        <f aca="false">IF(OR($A460="",$Q460=0,$R460=-1),0,$Q460*1000+$R460*100+$K460)</f>
        <v>0</v>
      </c>
      <c r="T460" s="37" t="str">
        <f aca="false">IF($A460="","",IF($B460="","NO ACCOUNT",IF($Q460=0,"UNMAPPED",IF($R460=-1,"OUTSIDE FY RANGE","OK"))))</f>
        <v/>
      </c>
      <c r="U460" s="40" t="str">
        <f aca="false">IF($A460="","",$B460&amp;"|"&amp;TEXT($A460,"yyyymmdd")&amp;"|"&amp;TEXT($I460,"0.00"))</f>
        <v/>
      </c>
      <c r="V460" s="35" t="str">
        <f aca="false">IF($A460="","",COUNTIF($U$8:$U$5007,$U460))</f>
        <v/>
      </c>
    </row>
    <row r="461" customFormat="false" ht="15" hidden="false" customHeight="false" outlineLevel="0" collapsed="false">
      <c r="A461" s="31"/>
      <c r="B461" s="32"/>
      <c r="C461" s="32"/>
      <c r="D461" s="32"/>
      <c r="E461" s="32"/>
      <c r="F461" s="32"/>
      <c r="G461" s="33"/>
      <c r="H461" s="33"/>
      <c r="I461" s="34" t="str">
        <f aca="false">IF($A461="","",$G461-$H461)</f>
        <v/>
      </c>
      <c r="J461" s="35" t="str">
        <f aca="false">IF($A461="","",IF(Setup!$B$6=1,YEAR($A461),YEAR($A461)+IF(MONTH($A461)&gt;=Setup!$B$6,1,0)))</f>
        <v/>
      </c>
      <c r="K461" s="35" t="str">
        <f aca="false">IF($A461="","",MOD(MONTH($A461)-Setup!$B$6+12,12)+1)</f>
        <v/>
      </c>
      <c r="L461" s="36" t="str">
        <f aca="false">IF($A461="","",TEXT($A461,"MMM-YY"))</f>
        <v/>
      </c>
      <c r="M461" s="37" t="str">
        <f aca="false">IF($A461="","",IF($Q461=0,"UNMAPPED",INDEX(COA_Mapping!$C$7:$C$256,$Q461)))</f>
        <v/>
      </c>
      <c r="N461" s="38" t="str">
        <f aca="false">IF($A461="","",IF($Q461=0,"",INDEX(COA_Mapping!$E$7:$E$256,$Q461)))</f>
        <v/>
      </c>
      <c r="O461" s="38" t="n">
        <f aca="false">IF($A461="",1,IF($Q461=0,1,INDEX(COA_Mapping!$F$7:$F$256,$Q461)))</f>
        <v>1</v>
      </c>
      <c r="P461" s="34" t="str">
        <f aca="false">IF($A461="","",$I461*$O461)</f>
        <v/>
      </c>
      <c r="Q461" s="39" t="n">
        <f aca="false">IF($B461="",0,IFERROR(MATCH($B461,COA_Mapping!$A$7:$A$256,0),0))</f>
        <v>0</v>
      </c>
      <c r="R461" s="39" t="n">
        <f aca="false">IF($A461="",-1,IF($J461=Setup!$B$7,1,IF($J461=Setup!$B$9,0,-1)))</f>
        <v>-1</v>
      </c>
      <c r="S461" s="35" t="n">
        <f aca="false">IF(OR($A461="",$Q461=0,$R461=-1),0,$Q461*1000+$R461*100+$K461)</f>
        <v>0</v>
      </c>
      <c r="T461" s="37" t="str">
        <f aca="false">IF($A461="","",IF($B461="","NO ACCOUNT",IF($Q461=0,"UNMAPPED",IF($R461=-1,"OUTSIDE FY RANGE","OK"))))</f>
        <v/>
      </c>
      <c r="U461" s="40" t="str">
        <f aca="false">IF($A461="","",$B461&amp;"|"&amp;TEXT($A461,"yyyymmdd")&amp;"|"&amp;TEXT($I461,"0.00"))</f>
        <v/>
      </c>
      <c r="V461" s="35" t="str">
        <f aca="false">IF($A461="","",COUNTIF($U$8:$U$5007,$U461))</f>
        <v/>
      </c>
    </row>
    <row r="462" customFormat="false" ht="15" hidden="false" customHeight="false" outlineLevel="0" collapsed="false">
      <c r="A462" s="31"/>
      <c r="B462" s="32"/>
      <c r="C462" s="32"/>
      <c r="D462" s="32"/>
      <c r="E462" s="32"/>
      <c r="F462" s="32"/>
      <c r="G462" s="33"/>
      <c r="H462" s="33"/>
      <c r="I462" s="34" t="str">
        <f aca="false">IF($A462="","",$G462-$H462)</f>
        <v/>
      </c>
      <c r="J462" s="35" t="str">
        <f aca="false">IF($A462="","",IF(Setup!$B$6=1,YEAR($A462),YEAR($A462)+IF(MONTH($A462)&gt;=Setup!$B$6,1,0)))</f>
        <v/>
      </c>
      <c r="K462" s="35" t="str">
        <f aca="false">IF($A462="","",MOD(MONTH($A462)-Setup!$B$6+12,12)+1)</f>
        <v/>
      </c>
      <c r="L462" s="36" t="str">
        <f aca="false">IF($A462="","",TEXT($A462,"MMM-YY"))</f>
        <v/>
      </c>
      <c r="M462" s="37" t="str">
        <f aca="false">IF($A462="","",IF($Q462=0,"UNMAPPED",INDEX(COA_Mapping!$C$7:$C$256,$Q462)))</f>
        <v/>
      </c>
      <c r="N462" s="38" t="str">
        <f aca="false">IF($A462="","",IF($Q462=0,"",INDEX(COA_Mapping!$E$7:$E$256,$Q462)))</f>
        <v/>
      </c>
      <c r="O462" s="38" t="n">
        <f aca="false">IF($A462="",1,IF($Q462=0,1,INDEX(COA_Mapping!$F$7:$F$256,$Q462)))</f>
        <v>1</v>
      </c>
      <c r="P462" s="34" t="str">
        <f aca="false">IF($A462="","",$I462*$O462)</f>
        <v/>
      </c>
      <c r="Q462" s="39" t="n">
        <f aca="false">IF($B462="",0,IFERROR(MATCH($B462,COA_Mapping!$A$7:$A$256,0),0))</f>
        <v>0</v>
      </c>
      <c r="R462" s="39" t="n">
        <f aca="false">IF($A462="",-1,IF($J462=Setup!$B$7,1,IF($J462=Setup!$B$9,0,-1)))</f>
        <v>-1</v>
      </c>
      <c r="S462" s="35" t="n">
        <f aca="false">IF(OR($A462="",$Q462=0,$R462=-1),0,$Q462*1000+$R462*100+$K462)</f>
        <v>0</v>
      </c>
      <c r="T462" s="37" t="str">
        <f aca="false">IF($A462="","",IF($B462="","NO ACCOUNT",IF($Q462=0,"UNMAPPED",IF($R462=-1,"OUTSIDE FY RANGE","OK"))))</f>
        <v/>
      </c>
      <c r="U462" s="40" t="str">
        <f aca="false">IF($A462="","",$B462&amp;"|"&amp;TEXT($A462,"yyyymmdd")&amp;"|"&amp;TEXT($I462,"0.00"))</f>
        <v/>
      </c>
      <c r="V462" s="35" t="str">
        <f aca="false">IF($A462="","",COUNTIF($U$8:$U$5007,$U462))</f>
        <v/>
      </c>
    </row>
    <row r="463" customFormat="false" ht="15" hidden="false" customHeight="false" outlineLevel="0" collapsed="false">
      <c r="A463" s="31"/>
      <c r="B463" s="32"/>
      <c r="C463" s="32"/>
      <c r="D463" s="32"/>
      <c r="E463" s="32"/>
      <c r="F463" s="32"/>
      <c r="G463" s="33"/>
      <c r="H463" s="33"/>
      <c r="I463" s="34" t="str">
        <f aca="false">IF($A463="","",$G463-$H463)</f>
        <v/>
      </c>
      <c r="J463" s="35" t="str">
        <f aca="false">IF($A463="","",IF(Setup!$B$6=1,YEAR($A463),YEAR($A463)+IF(MONTH($A463)&gt;=Setup!$B$6,1,0)))</f>
        <v/>
      </c>
      <c r="K463" s="35" t="str">
        <f aca="false">IF($A463="","",MOD(MONTH($A463)-Setup!$B$6+12,12)+1)</f>
        <v/>
      </c>
      <c r="L463" s="36" t="str">
        <f aca="false">IF($A463="","",TEXT($A463,"MMM-YY"))</f>
        <v/>
      </c>
      <c r="M463" s="37" t="str">
        <f aca="false">IF($A463="","",IF($Q463=0,"UNMAPPED",INDEX(COA_Mapping!$C$7:$C$256,$Q463)))</f>
        <v/>
      </c>
      <c r="N463" s="38" t="str">
        <f aca="false">IF($A463="","",IF($Q463=0,"",INDEX(COA_Mapping!$E$7:$E$256,$Q463)))</f>
        <v/>
      </c>
      <c r="O463" s="38" t="n">
        <f aca="false">IF($A463="",1,IF($Q463=0,1,INDEX(COA_Mapping!$F$7:$F$256,$Q463)))</f>
        <v>1</v>
      </c>
      <c r="P463" s="34" t="str">
        <f aca="false">IF($A463="","",$I463*$O463)</f>
        <v/>
      </c>
      <c r="Q463" s="39" t="n">
        <f aca="false">IF($B463="",0,IFERROR(MATCH($B463,COA_Mapping!$A$7:$A$256,0),0))</f>
        <v>0</v>
      </c>
      <c r="R463" s="39" t="n">
        <f aca="false">IF($A463="",-1,IF($J463=Setup!$B$7,1,IF($J463=Setup!$B$9,0,-1)))</f>
        <v>-1</v>
      </c>
      <c r="S463" s="35" t="n">
        <f aca="false">IF(OR($A463="",$Q463=0,$R463=-1),0,$Q463*1000+$R463*100+$K463)</f>
        <v>0</v>
      </c>
      <c r="T463" s="37" t="str">
        <f aca="false">IF($A463="","",IF($B463="","NO ACCOUNT",IF($Q463=0,"UNMAPPED",IF($R463=-1,"OUTSIDE FY RANGE","OK"))))</f>
        <v/>
      </c>
      <c r="U463" s="40" t="str">
        <f aca="false">IF($A463="","",$B463&amp;"|"&amp;TEXT($A463,"yyyymmdd")&amp;"|"&amp;TEXT($I463,"0.00"))</f>
        <v/>
      </c>
      <c r="V463" s="35" t="str">
        <f aca="false">IF($A463="","",COUNTIF($U$8:$U$5007,$U463))</f>
        <v/>
      </c>
    </row>
    <row r="464" customFormat="false" ht="15" hidden="false" customHeight="false" outlineLevel="0" collapsed="false">
      <c r="A464" s="31"/>
      <c r="B464" s="32"/>
      <c r="C464" s="32"/>
      <c r="D464" s="32"/>
      <c r="E464" s="32"/>
      <c r="F464" s="32"/>
      <c r="G464" s="33"/>
      <c r="H464" s="33"/>
      <c r="I464" s="34" t="str">
        <f aca="false">IF($A464="","",$G464-$H464)</f>
        <v/>
      </c>
      <c r="J464" s="35" t="str">
        <f aca="false">IF($A464="","",IF(Setup!$B$6=1,YEAR($A464),YEAR($A464)+IF(MONTH($A464)&gt;=Setup!$B$6,1,0)))</f>
        <v/>
      </c>
      <c r="K464" s="35" t="str">
        <f aca="false">IF($A464="","",MOD(MONTH($A464)-Setup!$B$6+12,12)+1)</f>
        <v/>
      </c>
      <c r="L464" s="36" t="str">
        <f aca="false">IF($A464="","",TEXT($A464,"MMM-YY"))</f>
        <v/>
      </c>
      <c r="M464" s="37" t="str">
        <f aca="false">IF($A464="","",IF($Q464=0,"UNMAPPED",INDEX(COA_Mapping!$C$7:$C$256,$Q464)))</f>
        <v/>
      </c>
      <c r="N464" s="38" t="str">
        <f aca="false">IF($A464="","",IF($Q464=0,"",INDEX(COA_Mapping!$E$7:$E$256,$Q464)))</f>
        <v/>
      </c>
      <c r="O464" s="38" t="n">
        <f aca="false">IF($A464="",1,IF($Q464=0,1,INDEX(COA_Mapping!$F$7:$F$256,$Q464)))</f>
        <v>1</v>
      </c>
      <c r="P464" s="34" t="str">
        <f aca="false">IF($A464="","",$I464*$O464)</f>
        <v/>
      </c>
      <c r="Q464" s="39" t="n">
        <f aca="false">IF($B464="",0,IFERROR(MATCH($B464,COA_Mapping!$A$7:$A$256,0),0))</f>
        <v>0</v>
      </c>
      <c r="R464" s="39" t="n">
        <f aca="false">IF($A464="",-1,IF($J464=Setup!$B$7,1,IF($J464=Setup!$B$9,0,-1)))</f>
        <v>-1</v>
      </c>
      <c r="S464" s="35" t="n">
        <f aca="false">IF(OR($A464="",$Q464=0,$R464=-1),0,$Q464*1000+$R464*100+$K464)</f>
        <v>0</v>
      </c>
      <c r="T464" s="37" t="str">
        <f aca="false">IF($A464="","",IF($B464="","NO ACCOUNT",IF($Q464=0,"UNMAPPED",IF($R464=-1,"OUTSIDE FY RANGE","OK"))))</f>
        <v/>
      </c>
      <c r="U464" s="40" t="str">
        <f aca="false">IF($A464="","",$B464&amp;"|"&amp;TEXT($A464,"yyyymmdd")&amp;"|"&amp;TEXT($I464,"0.00"))</f>
        <v/>
      </c>
      <c r="V464" s="35" t="str">
        <f aca="false">IF($A464="","",COUNTIF($U$8:$U$5007,$U464))</f>
        <v/>
      </c>
    </row>
    <row r="465" customFormat="false" ht="15" hidden="false" customHeight="false" outlineLevel="0" collapsed="false">
      <c r="A465" s="31"/>
      <c r="B465" s="32"/>
      <c r="C465" s="32"/>
      <c r="D465" s="32"/>
      <c r="E465" s="32"/>
      <c r="F465" s="32"/>
      <c r="G465" s="33"/>
      <c r="H465" s="33"/>
      <c r="I465" s="34" t="str">
        <f aca="false">IF($A465="","",$G465-$H465)</f>
        <v/>
      </c>
      <c r="J465" s="35" t="str">
        <f aca="false">IF($A465="","",IF(Setup!$B$6=1,YEAR($A465),YEAR($A465)+IF(MONTH($A465)&gt;=Setup!$B$6,1,0)))</f>
        <v/>
      </c>
      <c r="K465" s="35" t="str">
        <f aca="false">IF($A465="","",MOD(MONTH($A465)-Setup!$B$6+12,12)+1)</f>
        <v/>
      </c>
      <c r="L465" s="36" t="str">
        <f aca="false">IF($A465="","",TEXT($A465,"MMM-YY"))</f>
        <v/>
      </c>
      <c r="M465" s="37" t="str">
        <f aca="false">IF($A465="","",IF($Q465=0,"UNMAPPED",INDEX(COA_Mapping!$C$7:$C$256,$Q465)))</f>
        <v/>
      </c>
      <c r="N465" s="38" t="str">
        <f aca="false">IF($A465="","",IF($Q465=0,"",INDEX(COA_Mapping!$E$7:$E$256,$Q465)))</f>
        <v/>
      </c>
      <c r="O465" s="38" t="n">
        <f aca="false">IF($A465="",1,IF($Q465=0,1,INDEX(COA_Mapping!$F$7:$F$256,$Q465)))</f>
        <v>1</v>
      </c>
      <c r="P465" s="34" t="str">
        <f aca="false">IF($A465="","",$I465*$O465)</f>
        <v/>
      </c>
      <c r="Q465" s="39" t="n">
        <f aca="false">IF($B465="",0,IFERROR(MATCH($B465,COA_Mapping!$A$7:$A$256,0),0))</f>
        <v>0</v>
      </c>
      <c r="R465" s="39" t="n">
        <f aca="false">IF($A465="",-1,IF($J465=Setup!$B$7,1,IF($J465=Setup!$B$9,0,-1)))</f>
        <v>-1</v>
      </c>
      <c r="S465" s="35" t="n">
        <f aca="false">IF(OR($A465="",$Q465=0,$R465=-1),0,$Q465*1000+$R465*100+$K465)</f>
        <v>0</v>
      </c>
      <c r="T465" s="37" t="str">
        <f aca="false">IF($A465="","",IF($B465="","NO ACCOUNT",IF($Q465=0,"UNMAPPED",IF($R465=-1,"OUTSIDE FY RANGE","OK"))))</f>
        <v/>
      </c>
      <c r="U465" s="40" t="str">
        <f aca="false">IF($A465="","",$B465&amp;"|"&amp;TEXT($A465,"yyyymmdd")&amp;"|"&amp;TEXT($I465,"0.00"))</f>
        <v/>
      </c>
      <c r="V465" s="35" t="str">
        <f aca="false">IF($A465="","",COUNTIF($U$8:$U$5007,$U465))</f>
        <v/>
      </c>
    </row>
    <row r="466" customFormat="false" ht="15" hidden="false" customHeight="false" outlineLevel="0" collapsed="false">
      <c r="A466" s="31"/>
      <c r="B466" s="32"/>
      <c r="C466" s="32"/>
      <c r="D466" s="32"/>
      <c r="E466" s="32"/>
      <c r="F466" s="32"/>
      <c r="G466" s="33"/>
      <c r="H466" s="33"/>
      <c r="I466" s="34" t="str">
        <f aca="false">IF($A466="","",$G466-$H466)</f>
        <v/>
      </c>
      <c r="J466" s="35" t="str">
        <f aca="false">IF($A466="","",IF(Setup!$B$6=1,YEAR($A466),YEAR($A466)+IF(MONTH($A466)&gt;=Setup!$B$6,1,0)))</f>
        <v/>
      </c>
      <c r="K466" s="35" t="str">
        <f aca="false">IF($A466="","",MOD(MONTH($A466)-Setup!$B$6+12,12)+1)</f>
        <v/>
      </c>
      <c r="L466" s="36" t="str">
        <f aca="false">IF($A466="","",TEXT($A466,"MMM-YY"))</f>
        <v/>
      </c>
      <c r="M466" s="37" t="str">
        <f aca="false">IF($A466="","",IF($Q466=0,"UNMAPPED",INDEX(COA_Mapping!$C$7:$C$256,$Q466)))</f>
        <v/>
      </c>
      <c r="N466" s="38" t="str">
        <f aca="false">IF($A466="","",IF($Q466=0,"",INDEX(COA_Mapping!$E$7:$E$256,$Q466)))</f>
        <v/>
      </c>
      <c r="O466" s="38" t="n">
        <f aca="false">IF($A466="",1,IF($Q466=0,1,INDEX(COA_Mapping!$F$7:$F$256,$Q466)))</f>
        <v>1</v>
      </c>
      <c r="P466" s="34" t="str">
        <f aca="false">IF($A466="","",$I466*$O466)</f>
        <v/>
      </c>
      <c r="Q466" s="39" t="n">
        <f aca="false">IF($B466="",0,IFERROR(MATCH($B466,COA_Mapping!$A$7:$A$256,0),0))</f>
        <v>0</v>
      </c>
      <c r="R466" s="39" t="n">
        <f aca="false">IF($A466="",-1,IF($J466=Setup!$B$7,1,IF($J466=Setup!$B$9,0,-1)))</f>
        <v>-1</v>
      </c>
      <c r="S466" s="35" t="n">
        <f aca="false">IF(OR($A466="",$Q466=0,$R466=-1),0,$Q466*1000+$R466*100+$K466)</f>
        <v>0</v>
      </c>
      <c r="T466" s="37" t="str">
        <f aca="false">IF($A466="","",IF($B466="","NO ACCOUNT",IF($Q466=0,"UNMAPPED",IF($R466=-1,"OUTSIDE FY RANGE","OK"))))</f>
        <v/>
      </c>
      <c r="U466" s="40" t="str">
        <f aca="false">IF($A466="","",$B466&amp;"|"&amp;TEXT($A466,"yyyymmdd")&amp;"|"&amp;TEXT($I466,"0.00"))</f>
        <v/>
      </c>
      <c r="V466" s="35" t="str">
        <f aca="false">IF($A466="","",COUNTIF($U$8:$U$5007,$U466))</f>
        <v/>
      </c>
    </row>
    <row r="467" customFormat="false" ht="15" hidden="false" customHeight="false" outlineLevel="0" collapsed="false">
      <c r="A467" s="31"/>
      <c r="B467" s="32"/>
      <c r="C467" s="32"/>
      <c r="D467" s="32"/>
      <c r="E467" s="32"/>
      <c r="F467" s="32"/>
      <c r="G467" s="33"/>
      <c r="H467" s="33"/>
      <c r="I467" s="34" t="str">
        <f aca="false">IF($A467="","",$G467-$H467)</f>
        <v/>
      </c>
      <c r="J467" s="35" t="str">
        <f aca="false">IF($A467="","",IF(Setup!$B$6=1,YEAR($A467),YEAR($A467)+IF(MONTH($A467)&gt;=Setup!$B$6,1,0)))</f>
        <v/>
      </c>
      <c r="K467" s="35" t="str">
        <f aca="false">IF($A467="","",MOD(MONTH($A467)-Setup!$B$6+12,12)+1)</f>
        <v/>
      </c>
      <c r="L467" s="36" t="str">
        <f aca="false">IF($A467="","",TEXT($A467,"MMM-YY"))</f>
        <v/>
      </c>
      <c r="M467" s="37" t="str">
        <f aca="false">IF($A467="","",IF($Q467=0,"UNMAPPED",INDEX(COA_Mapping!$C$7:$C$256,$Q467)))</f>
        <v/>
      </c>
      <c r="N467" s="38" t="str">
        <f aca="false">IF($A467="","",IF($Q467=0,"",INDEX(COA_Mapping!$E$7:$E$256,$Q467)))</f>
        <v/>
      </c>
      <c r="O467" s="38" t="n">
        <f aca="false">IF($A467="",1,IF($Q467=0,1,INDEX(COA_Mapping!$F$7:$F$256,$Q467)))</f>
        <v>1</v>
      </c>
      <c r="P467" s="34" t="str">
        <f aca="false">IF($A467="","",$I467*$O467)</f>
        <v/>
      </c>
      <c r="Q467" s="39" t="n">
        <f aca="false">IF($B467="",0,IFERROR(MATCH($B467,COA_Mapping!$A$7:$A$256,0),0))</f>
        <v>0</v>
      </c>
      <c r="R467" s="39" t="n">
        <f aca="false">IF($A467="",-1,IF($J467=Setup!$B$7,1,IF($J467=Setup!$B$9,0,-1)))</f>
        <v>-1</v>
      </c>
      <c r="S467" s="35" t="n">
        <f aca="false">IF(OR($A467="",$Q467=0,$R467=-1),0,$Q467*1000+$R467*100+$K467)</f>
        <v>0</v>
      </c>
      <c r="T467" s="37" t="str">
        <f aca="false">IF($A467="","",IF($B467="","NO ACCOUNT",IF($Q467=0,"UNMAPPED",IF($R467=-1,"OUTSIDE FY RANGE","OK"))))</f>
        <v/>
      </c>
      <c r="U467" s="40" t="str">
        <f aca="false">IF($A467="","",$B467&amp;"|"&amp;TEXT($A467,"yyyymmdd")&amp;"|"&amp;TEXT($I467,"0.00"))</f>
        <v/>
      </c>
      <c r="V467" s="35" t="str">
        <f aca="false">IF($A467="","",COUNTIF($U$8:$U$5007,$U467))</f>
        <v/>
      </c>
    </row>
    <row r="468" customFormat="false" ht="15" hidden="false" customHeight="false" outlineLevel="0" collapsed="false">
      <c r="A468" s="31"/>
      <c r="B468" s="32"/>
      <c r="C468" s="32"/>
      <c r="D468" s="32"/>
      <c r="E468" s="32"/>
      <c r="F468" s="32"/>
      <c r="G468" s="33"/>
      <c r="H468" s="33"/>
      <c r="I468" s="34" t="str">
        <f aca="false">IF($A468="","",$G468-$H468)</f>
        <v/>
      </c>
      <c r="J468" s="35" t="str">
        <f aca="false">IF($A468="","",IF(Setup!$B$6=1,YEAR($A468),YEAR($A468)+IF(MONTH($A468)&gt;=Setup!$B$6,1,0)))</f>
        <v/>
      </c>
      <c r="K468" s="35" t="str">
        <f aca="false">IF($A468="","",MOD(MONTH($A468)-Setup!$B$6+12,12)+1)</f>
        <v/>
      </c>
      <c r="L468" s="36" t="str">
        <f aca="false">IF($A468="","",TEXT($A468,"MMM-YY"))</f>
        <v/>
      </c>
      <c r="M468" s="37" t="str">
        <f aca="false">IF($A468="","",IF($Q468=0,"UNMAPPED",INDEX(COA_Mapping!$C$7:$C$256,$Q468)))</f>
        <v/>
      </c>
      <c r="N468" s="38" t="str">
        <f aca="false">IF($A468="","",IF($Q468=0,"",INDEX(COA_Mapping!$E$7:$E$256,$Q468)))</f>
        <v/>
      </c>
      <c r="O468" s="38" t="n">
        <f aca="false">IF($A468="",1,IF($Q468=0,1,INDEX(COA_Mapping!$F$7:$F$256,$Q468)))</f>
        <v>1</v>
      </c>
      <c r="P468" s="34" t="str">
        <f aca="false">IF($A468="","",$I468*$O468)</f>
        <v/>
      </c>
      <c r="Q468" s="39" t="n">
        <f aca="false">IF($B468="",0,IFERROR(MATCH($B468,COA_Mapping!$A$7:$A$256,0),0))</f>
        <v>0</v>
      </c>
      <c r="R468" s="39" t="n">
        <f aca="false">IF($A468="",-1,IF($J468=Setup!$B$7,1,IF($J468=Setup!$B$9,0,-1)))</f>
        <v>-1</v>
      </c>
      <c r="S468" s="35" t="n">
        <f aca="false">IF(OR($A468="",$Q468=0,$R468=-1),0,$Q468*1000+$R468*100+$K468)</f>
        <v>0</v>
      </c>
      <c r="T468" s="37" t="str">
        <f aca="false">IF($A468="","",IF($B468="","NO ACCOUNT",IF($Q468=0,"UNMAPPED",IF($R468=-1,"OUTSIDE FY RANGE","OK"))))</f>
        <v/>
      </c>
      <c r="U468" s="40" t="str">
        <f aca="false">IF($A468="","",$B468&amp;"|"&amp;TEXT($A468,"yyyymmdd")&amp;"|"&amp;TEXT($I468,"0.00"))</f>
        <v/>
      </c>
      <c r="V468" s="35" t="str">
        <f aca="false">IF($A468="","",COUNTIF($U$8:$U$5007,$U468))</f>
        <v/>
      </c>
    </row>
    <row r="469" customFormat="false" ht="15" hidden="false" customHeight="false" outlineLevel="0" collapsed="false">
      <c r="A469" s="31"/>
      <c r="B469" s="32"/>
      <c r="C469" s="32"/>
      <c r="D469" s="32"/>
      <c r="E469" s="32"/>
      <c r="F469" s="32"/>
      <c r="G469" s="33"/>
      <c r="H469" s="33"/>
      <c r="I469" s="34" t="str">
        <f aca="false">IF($A469="","",$G469-$H469)</f>
        <v/>
      </c>
      <c r="J469" s="35" t="str">
        <f aca="false">IF($A469="","",IF(Setup!$B$6=1,YEAR($A469),YEAR($A469)+IF(MONTH($A469)&gt;=Setup!$B$6,1,0)))</f>
        <v/>
      </c>
      <c r="K469" s="35" t="str">
        <f aca="false">IF($A469="","",MOD(MONTH($A469)-Setup!$B$6+12,12)+1)</f>
        <v/>
      </c>
      <c r="L469" s="36" t="str">
        <f aca="false">IF($A469="","",TEXT($A469,"MMM-YY"))</f>
        <v/>
      </c>
      <c r="M469" s="37" t="str">
        <f aca="false">IF($A469="","",IF($Q469=0,"UNMAPPED",INDEX(COA_Mapping!$C$7:$C$256,$Q469)))</f>
        <v/>
      </c>
      <c r="N469" s="38" t="str">
        <f aca="false">IF($A469="","",IF($Q469=0,"",INDEX(COA_Mapping!$E$7:$E$256,$Q469)))</f>
        <v/>
      </c>
      <c r="O469" s="38" t="n">
        <f aca="false">IF($A469="",1,IF($Q469=0,1,INDEX(COA_Mapping!$F$7:$F$256,$Q469)))</f>
        <v>1</v>
      </c>
      <c r="P469" s="34" t="str">
        <f aca="false">IF($A469="","",$I469*$O469)</f>
        <v/>
      </c>
      <c r="Q469" s="39" t="n">
        <f aca="false">IF($B469="",0,IFERROR(MATCH($B469,COA_Mapping!$A$7:$A$256,0),0))</f>
        <v>0</v>
      </c>
      <c r="R469" s="39" t="n">
        <f aca="false">IF($A469="",-1,IF($J469=Setup!$B$7,1,IF($J469=Setup!$B$9,0,-1)))</f>
        <v>-1</v>
      </c>
      <c r="S469" s="35" t="n">
        <f aca="false">IF(OR($A469="",$Q469=0,$R469=-1),0,$Q469*1000+$R469*100+$K469)</f>
        <v>0</v>
      </c>
      <c r="T469" s="37" t="str">
        <f aca="false">IF($A469="","",IF($B469="","NO ACCOUNT",IF($Q469=0,"UNMAPPED",IF($R469=-1,"OUTSIDE FY RANGE","OK"))))</f>
        <v/>
      </c>
      <c r="U469" s="40" t="str">
        <f aca="false">IF($A469="","",$B469&amp;"|"&amp;TEXT($A469,"yyyymmdd")&amp;"|"&amp;TEXT($I469,"0.00"))</f>
        <v/>
      </c>
      <c r="V469" s="35" t="str">
        <f aca="false">IF($A469="","",COUNTIF($U$8:$U$5007,$U469))</f>
        <v/>
      </c>
    </row>
    <row r="470" customFormat="false" ht="15" hidden="false" customHeight="false" outlineLevel="0" collapsed="false">
      <c r="A470" s="31"/>
      <c r="B470" s="32"/>
      <c r="C470" s="32"/>
      <c r="D470" s="32"/>
      <c r="E470" s="32"/>
      <c r="F470" s="32"/>
      <c r="G470" s="33"/>
      <c r="H470" s="33"/>
      <c r="I470" s="34" t="str">
        <f aca="false">IF($A470="","",$G470-$H470)</f>
        <v/>
      </c>
      <c r="J470" s="35" t="str">
        <f aca="false">IF($A470="","",IF(Setup!$B$6=1,YEAR($A470),YEAR($A470)+IF(MONTH($A470)&gt;=Setup!$B$6,1,0)))</f>
        <v/>
      </c>
      <c r="K470" s="35" t="str">
        <f aca="false">IF($A470="","",MOD(MONTH($A470)-Setup!$B$6+12,12)+1)</f>
        <v/>
      </c>
      <c r="L470" s="36" t="str">
        <f aca="false">IF($A470="","",TEXT($A470,"MMM-YY"))</f>
        <v/>
      </c>
      <c r="M470" s="37" t="str">
        <f aca="false">IF($A470="","",IF($Q470=0,"UNMAPPED",INDEX(COA_Mapping!$C$7:$C$256,$Q470)))</f>
        <v/>
      </c>
      <c r="N470" s="38" t="str">
        <f aca="false">IF($A470="","",IF($Q470=0,"",INDEX(COA_Mapping!$E$7:$E$256,$Q470)))</f>
        <v/>
      </c>
      <c r="O470" s="38" t="n">
        <f aca="false">IF($A470="",1,IF($Q470=0,1,INDEX(COA_Mapping!$F$7:$F$256,$Q470)))</f>
        <v>1</v>
      </c>
      <c r="P470" s="34" t="str">
        <f aca="false">IF($A470="","",$I470*$O470)</f>
        <v/>
      </c>
      <c r="Q470" s="39" t="n">
        <f aca="false">IF($B470="",0,IFERROR(MATCH($B470,COA_Mapping!$A$7:$A$256,0),0))</f>
        <v>0</v>
      </c>
      <c r="R470" s="39" t="n">
        <f aca="false">IF($A470="",-1,IF($J470=Setup!$B$7,1,IF($J470=Setup!$B$9,0,-1)))</f>
        <v>-1</v>
      </c>
      <c r="S470" s="35" t="n">
        <f aca="false">IF(OR($A470="",$Q470=0,$R470=-1),0,$Q470*1000+$R470*100+$K470)</f>
        <v>0</v>
      </c>
      <c r="T470" s="37" t="str">
        <f aca="false">IF($A470="","",IF($B470="","NO ACCOUNT",IF($Q470=0,"UNMAPPED",IF($R470=-1,"OUTSIDE FY RANGE","OK"))))</f>
        <v/>
      </c>
      <c r="U470" s="40" t="str">
        <f aca="false">IF($A470="","",$B470&amp;"|"&amp;TEXT($A470,"yyyymmdd")&amp;"|"&amp;TEXT($I470,"0.00"))</f>
        <v/>
      </c>
      <c r="V470" s="35" t="str">
        <f aca="false">IF($A470="","",COUNTIF($U$8:$U$5007,$U470))</f>
        <v/>
      </c>
    </row>
    <row r="471" customFormat="false" ht="15" hidden="false" customHeight="false" outlineLevel="0" collapsed="false">
      <c r="A471" s="31"/>
      <c r="B471" s="32"/>
      <c r="C471" s="32"/>
      <c r="D471" s="32"/>
      <c r="E471" s="32"/>
      <c r="F471" s="32"/>
      <c r="G471" s="33"/>
      <c r="H471" s="33"/>
      <c r="I471" s="34" t="str">
        <f aca="false">IF($A471="","",$G471-$H471)</f>
        <v/>
      </c>
      <c r="J471" s="35" t="str">
        <f aca="false">IF($A471="","",IF(Setup!$B$6=1,YEAR($A471),YEAR($A471)+IF(MONTH($A471)&gt;=Setup!$B$6,1,0)))</f>
        <v/>
      </c>
      <c r="K471" s="35" t="str">
        <f aca="false">IF($A471="","",MOD(MONTH($A471)-Setup!$B$6+12,12)+1)</f>
        <v/>
      </c>
      <c r="L471" s="36" t="str">
        <f aca="false">IF($A471="","",TEXT($A471,"MMM-YY"))</f>
        <v/>
      </c>
      <c r="M471" s="37" t="str">
        <f aca="false">IF($A471="","",IF($Q471=0,"UNMAPPED",INDEX(COA_Mapping!$C$7:$C$256,$Q471)))</f>
        <v/>
      </c>
      <c r="N471" s="38" t="str">
        <f aca="false">IF($A471="","",IF($Q471=0,"",INDEX(COA_Mapping!$E$7:$E$256,$Q471)))</f>
        <v/>
      </c>
      <c r="O471" s="38" t="n">
        <f aca="false">IF($A471="",1,IF($Q471=0,1,INDEX(COA_Mapping!$F$7:$F$256,$Q471)))</f>
        <v>1</v>
      </c>
      <c r="P471" s="34" t="str">
        <f aca="false">IF($A471="","",$I471*$O471)</f>
        <v/>
      </c>
      <c r="Q471" s="39" t="n">
        <f aca="false">IF($B471="",0,IFERROR(MATCH($B471,COA_Mapping!$A$7:$A$256,0),0))</f>
        <v>0</v>
      </c>
      <c r="R471" s="39" t="n">
        <f aca="false">IF($A471="",-1,IF($J471=Setup!$B$7,1,IF($J471=Setup!$B$9,0,-1)))</f>
        <v>-1</v>
      </c>
      <c r="S471" s="35" t="n">
        <f aca="false">IF(OR($A471="",$Q471=0,$R471=-1),0,$Q471*1000+$R471*100+$K471)</f>
        <v>0</v>
      </c>
      <c r="T471" s="37" t="str">
        <f aca="false">IF($A471="","",IF($B471="","NO ACCOUNT",IF($Q471=0,"UNMAPPED",IF($R471=-1,"OUTSIDE FY RANGE","OK"))))</f>
        <v/>
      </c>
      <c r="U471" s="40" t="str">
        <f aca="false">IF($A471="","",$B471&amp;"|"&amp;TEXT($A471,"yyyymmdd")&amp;"|"&amp;TEXT($I471,"0.00"))</f>
        <v/>
      </c>
      <c r="V471" s="35" t="str">
        <f aca="false">IF($A471="","",COUNTIF($U$8:$U$5007,$U471))</f>
        <v/>
      </c>
    </row>
    <row r="472" customFormat="false" ht="15" hidden="false" customHeight="false" outlineLevel="0" collapsed="false">
      <c r="A472" s="31"/>
      <c r="B472" s="32"/>
      <c r="C472" s="32"/>
      <c r="D472" s="32"/>
      <c r="E472" s="32"/>
      <c r="F472" s="32"/>
      <c r="G472" s="33"/>
      <c r="H472" s="33"/>
      <c r="I472" s="34" t="str">
        <f aca="false">IF($A472="","",$G472-$H472)</f>
        <v/>
      </c>
      <c r="J472" s="35" t="str">
        <f aca="false">IF($A472="","",IF(Setup!$B$6=1,YEAR($A472),YEAR($A472)+IF(MONTH($A472)&gt;=Setup!$B$6,1,0)))</f>
        <v/>
      </c>
      <c r="K472" s="35" t="str">
        <f aca="false">IF($A472="","",MOD(MONTH($A472)-Setup!$B$6+12,12)+1)</f>
        <v/>
      </c>
      <c r="L472" s="36" t="str">
        <f aca="false">IF($A472="","",TEXT($A472,"MMM-YY"))</f>
        <v/>
      </c>
      <c r="M472" s="37" t="str">
        <f aca="false">IF($A472="","",IF($Q472=0,"UNMAPPED",INDEX(COA_Mapping!$C$7:$C$256,$Q472)))</f>
        <v/>
      </c>
      <c r="N472" s="38" t="str">
        <f aca="false">IF($A472="","",IF($Q472=0,"",INDEX(COA_Mapping!$E$7:$E$256,$Q472)))</f>
        <v/>
      </c>
      <c r="O472" s="38" t="n">
        <f aca="false">IF($A472="",1,IF($Q472=0,1,INDEX(COA_Mapping!$F$7:$F$256,$Q472)))</f>
        <v>1</v>
      </c>
      <c r="P472" s="34" t="str">
        <f aca="false">IF($A472="","",$I472*$O472)</f>
        <v/>
      </c>
      <c r="Q472" s="39" t="n">
        <f aca="false">IF($B472="",0,IFERROR(MATCH($B472,COA_Mapping!$A$7:$A$256,0),0))</f>
        <v>0</v>
      </c>
      <c r="R472" s="39" t="n">
        <f aca="false">IF($A472="",-1,IF($J472=Setup!$B$7,1,IF($J472=Setup!$B$9,0,-1)))</f>
        <v>-1</v>
      </c>
      <c r="S472" s="35" t="n">
        <f aca="false">IF(OR($A472="",$Q472=0,$R472=-1),0,$Q472*1000+$R472*100+$K472)</f>
        <v>0</v>
      </c>
      <c r="T472" s="37" t="str">
        <f aca="false">IF($A472="","",IF($B472="","NO ACCOUNT",IF($Q472=0,"UNMAPPED",IF($R472=-1,"OUTSIDE FY RANGE","OK"))))</f>
        <v/>
      </c>
      <c r="U472" s="40" t="str">
        <f aca="false">IF($A472="","",$B472&amp;"|"&amp;TEXT($A472,"yyyymmdd")&amp;"|"&amp;TEXT($I472,"0.00"))</f>
        <v/>
      </c>
      <c r="V472" s="35" t="str">
        <f aca="false">IF($A472="","",COUNTIF($U$8:$U$5007,$U472))</f>
        <v/>
      </c>
    </row>
    <row r="473" customFormat="false" ht="15" hidden="false" customHeight="false" outlineLevel="0" collapsed="false">
      <c r="A473" s="31"/>
      <c r="B473" s="32"/>
      <c r="C473" s="32"/>
      <c r="D473" s="32"/>
      <c r="E473" s="32"/>
      <c r="F473" s="32"/>
      <c r="G473" s="33"/>
      <c r="H473" s="33"/>
      <c r="I473" s="34" t="str">
        <f aca="false">IF($A473="","",$G473-$H473)</f>
        <v/>
      </c>
      <c r="J473" s="35" t="str">
        <f aca="false">IF($A473="","",IF(Setup!$B$6=1,YEAR($A473),YEAR($A473)+IF(MONTH($A473)&gt;=Setup!$B$6,1,0)))</f>
        <v/>
      </c>
      <c r="K473" s="35" t="str">
        <f aca="false">IF($A473="","",MOD(MONTH($A473)-Setup!$B$6+12,12)+1)</f>
        <v/>
      </c>
      <c r="L473" s="36" t="str">
        <f aca="false">IF($A473="","",TEXT($A473,"MMM-YY"))</f>
        <v/>
      </c>
      <c r="M473" s="37" t="str">
        <f aca="false">IF($A473="","",IF($Q473=0,"UNMAPPED",INDEX(COA_Mapping!$C$7:$C$256,$Q473)))</f>
        <v/>
      </c>
      <c r="N473" s="38" t="str">
        <f aca="false">IF($A473="","",IF($Q473=0,"",INDEX(COA_Mapping!$E$7:$E$256,$Q473)))</f>
        <v/>
      </c>
      <c r="O473" s="38" t="n">
        <f aca="false">IF($A473="",1,IF($Q473=0,1,INDEX(COA_Mapping!$F$7:$F$256,$Q473)))</f>
        <v>1</v>
      </c>
      <c r="P473" s="34" t="str">
        <f aca="false">IF($A473="","",$I473*$O473)</f>
        <v/>
      </c>
      <c r="Q473" s="39" t="n">
        <f aca="false">IF($B473="",0,IFERROR(MATCH($B473,COA_Mapping!$A$7:$A$256,0),0))</f>
        <v>0</v>
      </c>
      <c r="R473" s="39" t="n">
        <f aca="false">IF($A473="",-1,IF($J473=Setup!$B$7,1,IF($J473=Setup!$B$9,0,-1)))</f>
        <v>-1</v>
      </c>
      <c r="S473" s="35" t="n">
        <f aca="false">IF(OR($A473="",$Q473=0,$R473=-1),0,$Q473*1000+$R473*100+$K473)</f>
        <v>0</v>
      </c>
      <c r="T473" s="37" t="str">
        <f aca="false">IF($A473="","",IF($B473="","NO ACCOUNT",IF($Q473=0,"UNMAPPED",IF($R473=-1,"OUTSIDE FY RANGE","OK"))))</f>
        <v/>
      </c>
      <c r="U473" s="40" t="str">
        <f aca="false">IF($A473="","",$B473&amp;"|"&amp;TEXT($A473,"yyyymmdd")&amp;"|"&amp;TEXT($I473,"0.00"))</f>
        <v/>
      </c>
      <c r="V473" s="35" t="str">
        <f aca="false">IF($A473="","",COUNTIF($U$8:$U$5007,$U473))</f>
        <v/>
      </c>
    </row>
    <row r="474" customFormat="false" ht="15" hidden="false" customHeight="false" outlineLevel="0" collapsed="false">
      <c r="A474" s="31"/>
      <c r="B474" s="32"/>
      <c r="C474" s="32"/>
      <c r="D474" s="32"/>
      <c r="E474" s="32"/>
      <c r="F474" s="32"/>
      <c r="G474" s="33"/>
      <c r="H474" s="33"/>
      <c r="I474" s="34" t="str">
        <f aca="false">IF($A474="","",$G474-$H474)</f>
        <v/>
      </c>
      <c r="J474" s="35" t="str">
        <f aca="false">IF($A474="","",IF(Setup!$B$6=1,YEAR($A474),YEAR($A474)+IF(MONTH($A474)&gt;=Setup!$B$6,1,0)))</f>
        <v/>
      </c>
      <c r="K474" s="35" t="str">
        <f aca="false">IF($A474="","",MOD(MONTH($A474)-Setup!$B$6+12,12)+1)</f>
        <v/>
      </c>
      <c r="L474" s="36" t="str">
        <f aca="false">IF($A474="","",TEXT($A474,"MMM-YY"))</f>
        <v/>
      </c>
      <c r="M474" s="37" t="str">
        <f aca="false">IF($A474="","",IF($Q474=0,"UNMAPPED",INDEX(COA_Mapping!$C$7:$C$256,$Q474)))</f>
        <v/>
      </c>
      <c r="N474" s="38" t="str">
        <f aca="false">IF($A474="","",IF($Q474=0,"",INDEX(COA_Mapping!$E$7:$E$256,$Q474)))</f>
        <v/>
      </c>
      <c r="O474" s="38" t="n">
        <f aca="false">IF($A474="",1,IF($Q474=0,1,INDEX(COA_Mapping!$F$7:$F$256,$Q474)))</f>
        <v>1</v>
      </c>
      <c r="P474" s="34" t="str">
        <f aca="false">IF($A474="","",$I474*$O474)</f>
        <v/>
      </c>
      <c r="Q474" s="39" t="n">
        <f aca="false">IF($B474="",0,IFERROR(MATCH($B474,COA_Mapping!$A$7:$A$256,0),0))</f>
        <v>0</v>
      </c>
      <c r="R474" s="39" t="n">
        <f aca="false">IF($A474="",-1,IF($J474=Setup!$B$7,1,IF($J474=Setup!$B$9,0,-1)))</f>
        <v>-1</v>
      </c>
      <c r="S474" s="35" t="n">
        <f aca="false">IF(OR($A474="",$Q474=0,$R474=-1),0,$Q474*1000+$R474*100+$K474)</f>
        <v>0</v>
      </c>
      <c r="T474" s="37" t="str">
        <f aca="false">IF($A474="","",IF($B474="","NO ACCOUNT",IF($Q474=0,"UNMAPPED",IF($R474=-1,"OUTSIDE FY RANGE","OK"))))</f>
        <v/>
      </c>
      <c r="U474" s="40" t="str">
        <f aca="false">IF($A474="","",$B474&amp;"|"&amp;TEXT($A474,"yyyymmdd")&amp;"|"&amp;TEXT($I474,"0.00"))</f>
        <v/>
      </c>
      <c r="V474" s="35" t="str">
        <f aca="false">IF($A474="","",COUNTIF($U$8:$U$5007,$U474))</f>
        <v/>
      </c>
    </row>
    <row r="475" customFormat="false" ht="15" hidden="false" customHeight="false" outlineLevel="0" collapsed="false">
      <c r="A475" s="31"/>
      <c r="B475" s="32"/>
      <c r="C475" s="32"/>
      <c r="D475" s="32"/>
      <c r="E475" s="32"/>
      <c r="F475" s="32"/>
      <c r="G475" s="33"/>
      <c r="H475" s="33"/>
      <c r="I475" s="34" t="str">
        <f aca="false">IF($A475="","",$G475-$H475)</f>
        <v/>
      </c>
      <c r="J475" s="35" t="str">
        <f aca="false">IF($A475="","",IF(Setup!$B$6=1,YEAR($A475),YEAR($A475)+IF(MONTH($A475)&gt;=Setup!$B$6,1,0)))</f>
        <v/>
      </c>
      <c r="K475" s="35" t="str">
        <f aca="false">IF($A475="","",MOD(MONTH($A475)-Setup!$B$6+12,12)+1)</f>
        <v/>
      </c>
      <c r="L475" s="36" t="str">
        <f aca="false">IF($A475="","",TEXT($A475,"MMM-YY"))</f>
        <v/>
      </c>
      <c r="M475" s="37" t="str">
        <f aca="false">IF($A475="","",IF($Q475=0,"UNMAPPED",INDEX(COA_Mapping!$C$7:$C$256,$Q475)))</f>
        <v/>
      </c>
      <c r="N475" s="38" t="str">
        <f aca="false">IF($A475="","",IF($Q475=0,"",INDEX(COA_Mapping!$E$7:$E$256,$Q475)))</f>
        <v/>
      </c>
      <c r="O475" s="38" t="n">
        <f aca="false">IF($A475="",1,IF($Q475=0,1,INDEX(COA_Mapping!$F$7:$F$256,$Q475)))</f>
        <v>1</v>
      </c>
      <c r="P475" s="34" t="str">
        <f aca="false">IF($A475="","",$I475*$O475)</f>
        <v/>
      </c>
      <c r="Q475" s="39" t="n">
        <f aca="false">IF($B475="",0,IFERROR(MATCH($B475,COA_Mapping!$A$7:$A$256,0),0))</f>
        <v>0</v>
      </c>
      <c r="R475" s="39" t="n">
        <f aca="false">IF($A475="",-1,IF($J475=Setup!$B$7,1,IF($J475=Setup!$B$9,0,-1)))</f>
        <v>-1</v>
      </c>
      <c r="S475" s="35" t="n">
        <f aca="false">IF(OR($A475="",$Q475=0,$R475=-1),0,$Q475*1000+$R475*100+$K475)</f>
        <v>0</v>
      </c>
      <c r="T475" s="37" t="str">
        <f aca="false">IF($A475="","",IF($B475="","NO ACCOUNT",IF($Q475=0,"UNMAPPED",IF($R475=-1,"OUTSIDE FY RANGE","OK"))))</f>
        <v/>
      </c>
      <c r="U475" s="40" t="str">
        <f aca="false">IF($A475="","",$B475&amp;"|"&amp;TEXT($A475,"yyyymmdd")&amp;"|"&amp;TEXT($I475,"0.00"))</f>
        <v/>
      </c>
      <c r="V475" s="35" t="str">
        <f aca="false">IF($A475="","",COUNTIF($U$8:$U$5007,$U475))</f>
        <v/>
      </c>
    </row>
    <row r="476" customFormat="false" ht="15" hidden="false" customHeight="false" outlineLevel="0" collapsed="false">
      <c r="A476" s="31"/>
      <c r="B476" s="32"/>
      <c r="C476" s="32"/>
      <c r="D476" s="32"/>
      <c r="E476" s="32"/>
      <c r="F476" s="32"/>
      <c r="G476" s="33"/>
      <c r="H476" s="33"/>
      <c r="I476" s="34" t="str">
        <f aca="false">IF($A476="","",$G476-$H476)</f>
        <v/>
      </c>
      <c r="J476" s="35" t="str">
        <f aca="false">IF($A476="","",IF(Setup!$B$6=1,YEAR($A476),YEAR($A476)+IF(MONTH($A476)&gt;=Setup!$B$6,1,0)))</f>
        <v/>
      </c>
      <c r="K476" s="35" t="str">
        <f aca="false">IF($A476="","",MOD(MONTH($A476)-Setup!$B$6+12,12)+1)</f>
        <v/>
      </c>
      <c r="L476" s="36" t="str">
        <f aca="false">IF($A476="","",TEXT($A476,"MMM-YY"))</f>
        <v/>
      </c>
      <c r="M476" s="37" t="str">
        <f aca="false">IF($A476="","",IF($Q476=0,"UNMAPPED",INDEX(COA_Mapping!$C$7:$C$256,$Q476)))</f>
        <v/>
      </c>
      <c r="N476" s="38" t="str">
        <f aca="false">IF($A476="","",IF($Q476=0,"",INDEX(COA_Mapping!$E$7:$E$256,$Q476)))</f>
        <v/>
      </c>
      <c r="O476" s="38" t="n">
        <f aca="false">IF($A476="",1,IF($Q476=0,1,INDEX(COA_Mapping!$F$7:$F$256,$Q476)))</f>
        <v>1</v>
      </c>
      <c r="P476" s="34" t="str">
        <f aca="false">IF($A476="","",$I476*$O476)</f>
        <v/>
      </c>
      <c r="Q476" s="39" t="n">
        <f aca="false">IF($B476="",0,IFERROR(MATCH($B476,COA_Mapping!$A$7:$A$256,0),0))</f>
        <v>0</v>
      </c>
      <c r="R476" s="39" t="n">
        <f aca="false">IF($A476="",-1,IF($J476=Setup!$B$7,1,IF($J476=Setup!$B$9,0,-1)))</f>
        <v>-1</v>
      </c>
      <c r="S476" s="35" t="n">
        <f aca="false">IF(OR($A476="",$Q476=0,$R476=-1),0,$Q476*1000+$R476*100+$K476)</f>
        <v>0</v>
      </c>
      <c r="T476" s="37" t="str">
        <f aca="false">IF($A476="","",IF($B476="","NO ACCOUNT",IF($Q476=0,"UNMAPPED",IF($R476=-1,"OUTSIDE FY RANGE","OK"))))</f>
        <v/>
      </c>
      <c r="U476" s="40" t="str">
        <f aca="false">IF($A476="","",$B476&amp;"|"&amp;TEXT($A476,"yyyymmdd")&amp;"|"&amp;TEXT($I476,"0.00"))</f>
        <v/>
      </c>
      <c r="V476" s="35" t="str">
        <f aca="false">IF($A476="","",COUNTIF($U$8:$U$5007,$U476))</f>
        <v/>
      </c>
    </row>
    <row r="477" customFormat="false" ht="15" hidden="false" customHeight="false" outlineLevel="0" collapsed="false">
      <c r="A477" s="31"/>
      <c r="B477" s="32"/>
      <c r="C477" s="32"/>
      <c r="D477" s="32"/>
      <c r="E477" s="32"/>
      <c r="F477" s="32"/>
      <c r="G477" s="33"/>
      <c r="H477" s="33"/>
      <c r="I477" s="34" t="str">
        <f aca="false">IF($A477="","",$G477-$H477)</f>
        <v/>
      </c>
      <c r="J477" s="35" t="str">
        <f aca="false">IF($A477="","",IF(Setup!$B$6=1,YEAR($A477),YEAR($A477)+IF(MONTH($A477)&gt;=Setup!$B$6,1,0)))</f>
        <v/>
      </c>
      <c r="K477" s="35" t="str">
        <f aca="false">IF($A477="","",MOD(MONTH($A477)-Setup!$B$6+12,12)+1)</f>
        <v/>
      </c>
      <c r="L477" s="36" t="str">
        <f aca="false">IF($A477="","",TEXT($A477,"MMM-YY"))</f>
        <v/>
      </c>
      <c r="M477" s="37" t="str">
        <f aca="false">IF($A477="","",IF($Q477=0,"UNMAPPED",INDEX(COA_Mapping!$C$7:$C$256,$Q477)))</f>
        <v/>
      </c>
      <c r="N477" s="38" t="str">
        <f aca="false">IF($A477="","",IF($Q477=0,"",INDEX(COA_Mapping!$E$7:$E$256,$Q477)))</f>
        <v/>
      </c>
      <c r="O477" s="38" t="n">
        <f aca="false">IF($A477="",1,IF($Q477=0,1,INDEX(COA_Mapping!$F$7:$F$256,$Q477)))</f>
        <v>1</v>
      </c>
      <c r="P477" s="34" t="str">
        <f aca="false">IF($A477="","",$I477*$O477)</f>
        <v/>
      </c>
      <c r="Q477" s="39" t="n">
        <f aca="false">IF($B477="",0,IFERROR(MATCH($B477,COA_Mapping!$A$7:$A$256,0),0))</f>
        <v>0</v>
      </c>
      <c r="R477" s="39" t="n">
        <f aca="false">IF($A477="",-1,IF($J477=Setup!$B$7,1,IF($J477=Setup!$B$9,0,-1)))</f>
        <v>-1</v>
      </c>
      <c r="S477" s="35" t="n">
        <f aca="false">IF(OR($A477="",$Q477=0,$R477=-1),0,$Q477*1000+$R477*100+$K477)</f>
        <v>0</v>
      </c>
      <c r="T477" s="37" t="str">
        <f aca="false">IF($A477="","",IF($B477="","NO ACCOUNT",IF($Q477=0,"UNMAPPED",IF($R477=-1,"OUTSIDE FY RANGE","OK"))))</f>
        <v/>
      </c>
      <c r="U477" s="40" t="str">
        <f aca="false">IF($A477="","",$B477&amp;"|"&amp;TEXT($A477,"yyyymmdd")&amp;"|"&amp;TEXT($I477,"0.00"))</f>
        <v/>
      </c>
      <c r="V477" s="35" t="str">
        <f aca="false">IF($A477="","",COUNTIF($U$8:$U$5007,$U477))</f>
        <v/>
      </c>
    </row>
    <row r="478" customFormat="false" ht="15" hidden="false" customHeight="false" outlineLevel="0" collapsed="false">
      <c r="A478" s="31"/>
      <c r="B478" s="32"/>
      <c r="C478" s="32"/>
      <c r="D478" s="32"/>
      <c r="E478" s="32"/>
      <c r="F478" s="32"/>
      <c r="G478" s="33"/>
      <c r="H478" s="33"/>
      <c r="I478" s="34" t="str">
        <f aca="false">IF($A478="","",$G478-$H478)</f>
        <v/>
      </c>
      <c r="J478" s="35" t="str">
        <f aca="false">IF($A478="","",IF(Setup!$B$6=1,YEAR($A478),YEAR($A478)+IF(MONTH($A478)&gt;=Setup!$B$6,1,0)))</f>
        <v/>
      </c>
      <c r="K478" s="35" t="str">
        <f aca="false">IF($A478="","",MOD(MONTH($A478)-Setup!$B$6+12,12)+1)</f>
        <v/>
      </c>
      <c r="L478" s="36" t="str">
        <f aca="false">IF($A478="","",TEXT($A478,"MMM-YY"))</f>
        <v/>
      </c>
      <c r="M478" s="37" t="str">
        <f aca="false">IF($A478="","",IF($Q478=0,"UNMAPPED",INDEX(COA_Mapping!$C$7:$C$256,$Q478)))</f>
        <v/>
      </c>
      <c r="N478" s="38" t="str">
        <f aca="false">IF($A478="","",IF($Q478=0,"",INDEX(COA_Mapping!$E$7:$E$256,$Q478)))</f>
        <v/>
      </c>
      <c r="O478" s="38" t="n">
        <f aca="false">IF($A478="",1,IF($Q478=0,1,INDEX(COA_Mapping!$F$7:$F$256,$Q478)))</f>
        <v>1</v>
      </c>
      <c r="P478" s="34" t="str">
        <f aca="false">IF($A478="","",$I478*$O478)</f>
        <v/>
      </c>
      <c r="Q478" s="39" t="n">
        <f aca="false">IF($B478="",0,IFERROR(MATCH($B478,COA_Mapping!$A$7:$A$256,0),0))</f>
        <v>0</v>
      </c>
      <c r="R478" s="39" t="n">
        <f aca="false">IF($A478="",-1,IF($J478=Setup!$B$7,1,IF($J478=Setup!$B$9,0,-1)))</f>
        <v>-1</v>
      </c>
      <c r="S478" s="35" t="n">
        <f aca="false">IF(OR($A478="",$Q478=0,$R478=-1),0,$Q478*1000+$R478*100+$K478)</f>
        <v>0</v>
      </c>
      <c r="T478" s="37" t="str">
        <f aca="false">IF($A478="","",IF($B478="","NO ACCOUNT",IF($Q478=0,"UNMAPPED",IF($R478=-1,"OUTSIDE FY RANGE","OK"))))</f>
        <v/>
      </c>
      <c r="U478" s="40" t="str">
        <f aca="false">IF($A478="","",$B478&amp;"|"&amp;TEXT($A478,"yyyymmdd")&amp;"|"&amp;TEXT($I478,"0.00"))</f>
        <v/>
      </c>
      <c r="V478" s="35" t="str">
        <f aca="false">IF($A478="","",COUNTIF($U$8:$U$5007,$U478))</f>
        <v/>
      </c>
    </row>
    <row r="479" customFormat="false" ht="15" hidden="false" customHeight="false" outlineLevel="0" collapsed="false">
      <c r="A479" s="31"/>
      <c r="B479" s="32"/>
      <c r="C479" s="32"/>
      <c r="D479" s="32"/>
      <c r="E479" s="32"/>
      <c r="F479" s="32"/>
      <c r="G479" s="33"/>
      <c r="H479" s="33"/>
      <c r="I479" s="34" t="str">
        <f aca="false">IF($A479="","",$G479-$H479)</f>
        <v/>
      </c>
      <c r="J479" s="35" t="str">
        <f aca="false">IF($A479="","",IF(Setup!$B$6=1,YEAR($A479),YEAR($A479)+IF(MONTH($A479)&gt;=Setup!$B$6,1,0)))</f>
        <v/>
      </c>
      <c r="K479" s="35" t="str">
        <f aca="false">IF($A479="","",MOD(MONTH($A479)-Setup!$B$6+12,12)+1)</f>
        <v/>
      </c>
      <c r="L479" s="36" t="str">
        <f aca="false">IF($A479="","",TEXT($A479,"MMM-YY"))</f>
        <v/>
      </c>
      <c r="M479" s="37" t="str">
        <f aca="false">IF($A479="","",IF($Q479=0,"UNMAPPED",INDEX(COA_Mapping!$C$7:$C$256,$Q479)))</f>
        <v/>
      </c>
      <c r="N479" s="38" t="str">
        <f aca="false">IF($A479="","",IF($Q479=0,"",INDEX(COA_Mapping!$E$7:$E$256,$Q479)))</f>
        <v/>
      </c>
      <c r="O479" s="38" t="n">
        <f aca="false">IF($A479="",1,IF($Q479=0,1,INDEX(COA_Mapping!$F$7:$F$256,$Q479)))</f>
        <v>1</v>
      </c>
      <c r="P479" s="34" t="str">
        <f aca="false">IF($A479="","",$I479*$O479)</f>
        <v/>
      </c>
      <c r="Q479" s="39" t="n">
        <f aca="false">IF($B479="",0,IFERROR(MATCH($B479,COA_Mapping!$A$7:$A$256,0),0))</f>
        <v>0</v>
      </c>
      <c r="R479" s="39" t="n">
        <f aca="false">IF($A479="",-1,IF($J479=Setup!$B$7,1,IF($J479=Setup!$B$9,0,-1)))</f>
        <v>-1</v>
      </c>
      <c r="S479" s="35" t="n">
        <f aca="false">IF(OR($A479="",$Q479=0,$R479=-1),0,$Q479*1000+$R479*100+$K479)</f>
        <v>0</v>
      </c>
      <c r="T479" s="37" t="str">
        <f aca="false">IF($A479="","",IF($B479="","NO ACCOUNT",IF($Q479=0,"UNMAPPED",IF($R479=-1,"OUTSIDE FY RANGE","OK"))))</f>
        <v/>
      </c>
      <c r="U479" s="40" t="str">
        <f aca="false">IF($A479="","",$B479&amp;"|"&amp;TEXT($A479,"yyyymmdd")&amp;"|"&amp;TEXT($I479,"0.00"))</f>
        <v/>
      </c>
      <c r="V479" s="35" t="str">
        <f aca="false">IF($A479="","",COUNTIF($U$8:$U$5007,$U479))</f>
        <v/>
      </c>
    </row>
    <row r="480" customFormat="false" ht="15" hidden="false" customHeight="false" outlineLevel="0" collapsed="false">
      <c r="A480" s="31"/>
      <c r="B480" s="32"/>
      <c r="C480" s="32"/>
      <c r="D480" s="32"/>
      <c r="E480" s="32"/>
      <c r="F480" s="32"/>
      <c r="G480" s="33"/>
      <c r="H480" s="33"/>
      <c r="I480" s="34" t="str">
        <f aca="false">IF($A480="","",$G480-$H480)</f>
        <v/>
      </c>
      <c r="J480" s="35" t="str">
        <f aca="false">IF($A480="","",IF(Setup!$B$6=1,YEAR($A480),YEAR($A480)+IF(MONTH($A480)&gt;=Setup!$B$6,1,0)))</f>
        <v/>
      </c>
      <c r="K480" s="35" t="str">
        <f aca="false">IF($A480="","",MOD(MONTH($A480)-Setup!$B$6+12,12)+1)</f>
        <v/>
      </c>
      <c r="L480" s="36" t="str">
        <f aca="false">IF($A480="","",TEXT($A480,"MMM-YY"))</f>
        <v/>
      </c>
      <c r="M480" s="37" t="str">
        <f aca="false">IF($A480="","",IF($Q480=0,"UNMAPPED",INDEX(COA_Mapping!$C$7:$C$256,$Q480)))</f>
        <v/>
      </c>
      <c r="N480" s="38" t="str">
        <f aca="false">IF($A480="","",IF($Q480=0,"",INDEX(COA_Mapping!$E$7:$E$256,$Q480)))</f>
        <v/>
      </c>
      <c r="O480" s="38" t="n">
        <f aca="false">IF($A480="",1,IF($Q480=0,1,INDEX(COA_Mapping!$F$7:$F$256,$Q480)))</f>
        <v>1</v>
      </c>
      <c r="P480" s="34" t="str">
        <f aca="false">IF($A480="","",$I480*$O480)</f>
        <v/>
      </c>
      <c r="Q480" s="39" t="n">
        <f aca="false">IF($B480="",0,IFERROR(MATCH($B480,COA_Mapping!$A$7:$A$256,0),0))</f>
        <v>0</v>
      </c>
      <c r="R480" s="39" t="n">
        <f aca="false">IF($A480="",-1,IF($J480=Setup!$B$7,1,IF($J480=Setup!$B$9,0,-1)))</f>
        <v>-1</v>
      </c>
      <c r="S480" s="35" t="n">
        <f aca="false">IF(OR($A480="",$Q480=0,$R480=-1),0,$Q480*1000+$R480*100+$K480)</f>
        <v>0</v>
      </c>
      <c r="T480" s="37" t="str">
        <f aca="false">IF($A480="","",IF($B480="","NO ACCOUNT",IF($Q480=0,"UNMAPPED",IF($R480=-1,"OUTSIDE FY RANGE","OK"))))</f>
        <v/>
      </c>
      <c r="U480" s="40" t="str">
        <f aca="false">IF($A480="","",$B480&amp;"|"&amp;TEXT($A480,"yyyymmdd")&amp;"|"&amp;TEXT($I480,"0.00"))</f>
        <v/>
      </c>
      <c r="V480" s="35" t="str">
        <f aca="false">IF($A480="","",COUNTIF($U$8:$U$5007,$U480))</f>
        <v/>
      </c>
    </row>
    <row r="481" customFormat="false" ht="15" hidden="false" customHeight="false" outlineLevel="0" collapsed="false">
      <c r="A481" s="31"/>
      <c r="B481" s="32"/>
      <c r="C481" s="32"/>
      <c r="D481" s="32"/>
      <c r="E481" s="32"/>
      <c r="F481" s="32"/>
      <c r="G481" s="33"/>
      <c r="H481" s="33"/>
      <c r="I481" s="34" t="str">
        <f aca="false">IF($A481="","",$G481-$H481)</f>
        <v/>
      </c>
      <c r="J481" s="35" t="str">
        <f aca="false">IF($A481="","",IF(Setup!$B$6=1,YEAR($A481),YEAR($A481)+IF(MONTH($A481)&gt;=Setup!$B$6,1,0)))</f>
        <v/>
      </c>
      <c r="K481" s="35" t="str">
        <f aca="false">IF($A481="","",MOD(MONTH($A481)-Setup!$B$6+12,12)+1)</f>
        <v/>
      </c>
      <c r="L481" s="36" t="str">
        <f aca="false">IF($A481="","",TEXT($A481,"MMM-YY"))</f>
        <v/>
      </c>
      <c r="M481" s="37" t="str">
        <f aca="false">IF($A481="","",IF($Q481=0,"UNMAPPED",INDEX(COA_Mapping!$C$7:$C$256,$Q481)))</f>
        <v/>
      </c>
      <c r="N481" s="38" t="str">
        <f aca="false">IF($A481="","",IF($Q481=0,"",INDEX(COA_Mapping!$E$7:$E$256,$Q481)))</f>
        <v/>
      </c>
      <c r="O481" s="38" t="n">
        <f aca="false">IF($A481="",1,IF($Q481=0,1,INDEX(COA_Mapping!$F$7:$F$256,$Q481)))</f>
        <v>1</v>
      </c>
      <c r="P481" s="34" t="str">
        <f aca="false">IF($A481="","",$I481*$O481)</f>
        <v/>
      </c>
      <c r="Q481" s="39" t="n">
        <f aca="false">IF($B481="",0,IFERROR(MATCH($B481,COA_Mapping!$A$7:$A$256,0),0))</f>
        <v>0</v>
      </c>
      <c r="R481" s="39" t="n">
        <f aca="false">IF($A481="",-1,IF($J481=Setup!$B$7,1,IF($J481=Setup!$B$9,0,-1)))</f>
        <v>-1</v>
      </c>
      <c r="S481" s="35" t="n">
        <f aca="false">IF(OR($A481="",$Q481=0,$R481=-1),0,$Q481*1000+$R481*100+$K481)</f>
        <v>0</v>
      </c>
      <c r="T481" s="37" t="str">
        <f aca="false">IF($A481="","",IF($B481="","NO ACCOUNT",IF($Q481=0,"UNMAPPED",IF($R481=-1,"OUTSIDE FY RANGE","OK"))))</f>
        <v/>
      </c>
      <c r="U481" s="40" t="str">
        <f aca="false">IF($A481="","",$B481&amp;"|"&amp;TEXT($A481,"yyyymmdd")&amp;"|"&amp;TEXT($I481,"0.00"))</f>
        <v/>
      </c>
      <c r="V481" s="35" t="str">
        <f aca="false">IF($A481="","",COUNTIF($U$8:$U$5007,$U481))</f>
        <v/>
      </c>
    </row>
    <row r="482" customFormat="false" ht="15" hidden="false" customHeight="false" outlineLevel="0" collapsed="false">
      <c r="A482" s="31"/>
      <c r="B482" s="32"/>
      <c r="C482" s="32"/>
      <c r="D482" s="32"/>
      <c r="E482" s="32"/>
      <c r="F482" s="32"/>
      <c r="G482" s="33"/>
      <c r="H482" s="33"/>
      <c r="I482" s="34" t="str">
        <f aca="false">IF($A482="","",$G482-$H482)</f>
        <v/>
      </c>
      <c r="J482" s="35" t="str">
        <f aca="false">IF($A482="","",IF(Setup!$B$6=1,YEAR($A482),YEAR($A482)+IF(MONTH($A482)&gt;=Setup!$B$6,1,0)))</f>
        <v/>
      </c>
      <c r="K482" s="35" t="str">
        <f aca="false">IF($A482="","",MOD(MONTH($A482)-Setup!$B$6+12,12)+1)</f>
        <v/>
      </c>
      <c r="L482" s="36" t="str">
        <f aca="false">IF($A482="","",TEXT($A482,"MMM-YY"))</f>
        <v/>
      </c>
      <c r="M482" s="37" t="str">
        <f aca="false">IF($A482="","",IF($Q482=0,"UNMAPPED",INDEX(COA_Mapping!$C$7:$C$256,$Q482)))</f>
        <v/>
      </c>
      <c r="N482" s="38" t="str">
        <f aca="false">IF($A482="","",IF($Q482=0,"",INDEX(COA_Mapping!$E$7:$E$256,$Q482)))</f>
        <v/>
      </c>
      <c r="O482" s="38" t="n">
        <f aca="false">IF($A482="",1,IF($Q482=0,1,INDEX(COA_Mapping!$F$7:$F$256,$Q482)))</f>
        <v>1</v>
      </c>
      <c r="P482" s="34" t="str">
        <f aca="false">IF($A482="","",$I482*$O482)</f>
        <v/>
      </c>
      <c r="Q482" s="39" t="n">
        <f aca="false">IF($B482="",0,IFERROR(MATCH($B482,COA_Mapping!$A$7:$A$256,0),0))</f>
        <v>0</v>
      </c>
      <c r="R482" s="39" t="n">
        <f aca="false">IF($A482="",-1,IF($J482=Setup!$B$7,1,IF($J482=Setup!$B$9,0,-1)))</f>
        <v>-1</v>
      </c>
      <c r="S482" s="35" t="n">
        <f aca="false">IF(OR($A482="",$Q482=0,$R482=-1),0,$Q482*1000+$R482*100+$K482)</f>
        <v>0</v>
      </c>
      <c r="T482" s="37" t="str">
        <f aca="false">IF($A482="","",IF($B482="","NO ACCOUNT",IF($Q482=0,"UNMAPPED",IF($R482=-1,"OUTSIDE FY RANGE","OK"))))</f>
        <v/>
      </c>
      <c r="U482" s="40" t="str">
        <f aca="false">IF($A482="","",$B482&amp;"|"&amp;TEXT($A482,"yyyymmdd")&amp;"|"&amp;TEXT($I482,"0.00"))</f>
        <v/>
      </c>
      <c r="V482" s="35" t="str">
        <f aca="false">IF($A482="","",COUNTIF($U$8:$U$5007,$U482))</f>
        <v/>
      </c>
    </row>
    <row r="483" customFormat="false" ht="15" hidden="false" customHeight="false" outlineLevel="0" collapsed="false">
      <c r="A483" s="31"/>
      <c r="B483" s="32"/>
      <c r="C483" s="32"/>
      <c r="D483" s="32"/>
      <c r="E483" s="32"/>
      <c r="F483" s="32"/>
      <c r="G483" s="33"/>
      <c r="H483" s="33"/>
      <c r="I483" s="34" t="str">
        <f aca="false">IF($A483="","",$G483-$H483)</f>
        <v/>
      </c>
      <c r="J483" s="35" t="str">
        <f aca="false">IF($A483="","",IF(Setup!$B$6=1,YEAR($A483),YEAR($A483)+IF(MONTH($A483)&gt;=Setup!$B$6,1,0)))</f>
        <v/>
      </c>
      <c r="K483" s="35" t="str">
        <f aca="false">IF($A483="","",MOD(MONTH($A483)-Setup!$B$6+12,12)+1)</f>
        <v/>
      </c>
      <c r="L483" s="36" t="str">
        <f aca="false">IF($A483="","",TEXT($A483,"MMM-YY"))</f>
        <v/>
      </c>
      <c r="M483" s="37" t="str">
        <f aca="false">IF($A483="","",IF($Q483=0,"UNMAPPED",INDEX(COA_Mapping!$C$7:$C$256,$Q483)))</f>
        <v/>
      </c>
      <c r="N483" s="38" t="str">
        <f aca="false">IF($A483="","",IF($Q483=0,"",INDEX(COA_Mapping!$E$7:$E$256,$Q483)))</f>
        <v/>
      </c>
      <c r="O483" s="38" t="n">
        <f aca="false">IF($A483="",1,IF($Q483=0,1,INDEX(COA_Mapping!$F$7:$F$256,$Q483)))</f>
        <v>1</v>
      </c>
      <c r="P483" s="34" t="str">
        <f aca="false">IF($A483="","",$I483*$O483)</f>
        <v/>
      </c>
      <c r="Q483" s="39" t="n">
        <f aca="false">IF($B483="",0,IFERROR(MATCH($B483,COA_Mapping!$A$7:$A$256,0),0))</f>
        <v>0</v>
      </c>
      <c r="R483" s="39" t="n">
        <f aca="false">IF($A483="",-1,IF($J483=Setup!$B$7,1,IF($J483=Setup!$B$9,0,-1)))</f>
        <v>-1</v>
      </c>
      <c r="S483" s="35" t="n">
        <f aca="false">IF(OR($A483="",$Q483=0,$R483=-1),0,$Q483*1000+$R483*100+$K483)</f>
        <v>0</v>
      </c>
      <c r="T483" s="37" t="str">
        <f aca="false">IF($A483="","",IF($B483="","NO ACCOUNT",IF($Q483=0,"UNMAPPED",IF($R483=-1,"OUTSIDE FY RANGE","OK"))))</f>
        <v/>
      </c>
      <c r="U483" s="40" t="str">
        <f aca="false">IF($A483="","",$B483&amp;"|"&amp;TEXT($A483,"yyyymmdd")&amp;"|"&amp;TEXT($I483,"0.00"))</f>
        <v/>
      </c>
      <c r="V483" s="35" t="str">
        <f aca="false">IF($A483="","",COUNTIF($U$8:$U$5007,$U483))</f>
        <v/>
      </c>
    </row>
    <row r="484" customFormat="false" ht="15" hidden="false" customHeight="false" outlineLevel="0" collapsed="false">
      <c r="A484" s="31"/>
      <c r="B484" s="32"/>
      <c r="C484" s="32"/>
      <c r="D484" s="32"/>
      <c r="E484" s="32"/>
      <c r="F484" s="32"/>
      <c r="G484" s="33"/>
      <c r="H484" s="33"/>
      <c r="I484" s="34" t="str">
        <f aca="false">IF($A484="","",$G484-$H484)</f>
        <v/>
      </c>
      <c r="J484" s="35" t="str">
        <f aca="false">IF($A484="","",IF(Setup!$B$6=1,YEAR($A484),YEAR($A484)+IF(MONTH($A484)&gt;=Setup!$B$6,1,0)))</f>
        <v/>
      </c>
      <c r="K484" s="35" t="str">
        <f aca="false">IF($A484="","",MOD(MONTH($A484)-Setup!$B$6+12,12)+1)</f>
        <v/>
      </c>
      <c r="L484" s="36" t="str">
        <f aca="false">IF($A484="","",TEXT($A484,"MMM-YY"))</f>
        <v/>
      </c>
      <c r="M484" s="37" t="str">
        <f aca="false">IF($A484="","",IF($Q484=0,"UNMAPPED",INDEX(COA_Mapping!$C$7:$C$256,$Q484)))</f>
        <v/>
      </c>
      <c r="N484" s="38" t="str">
        <f aca="false">IF($A484="","",IF($Q484=0,"",INDEX(COA_Mapping!$E$7:$E$256,$Q484)))</f>
        <v/>
      </c>
      <c r="O484" s="38" t="n">
        <f aca="false">IF($A484="",1,IF($Q484=0,1,INDEX(COA_Mapping!$F$7:$F$256,$Q484)))</f>
        <v>1</v>
      </c>
      <c r="P484" s="34" t="str">
        <f aca="false">IF($A484="","",$I484*$O484)</f>
        <v/>
      </c>
      <c r="Q484" s="39" t="n">
        <f aca="false">IF($B484="",0,IFERROR(MATCH($B484,COA_Mapping!$A$7:$A$256,0),0))</f>
        <v>0</v>
      </c>
      <c r="R484" s="39" t="n">
        <f aca="false">IF($A484="",-1,IF($J484=Setup!$B$7,1,IF($J484=Setup!$B$9,0,-1)))</f>
        <v>-1</v>
      </c>
      <c r="S484" s="35" t="n">
        <f aca="false">IF(OR($A484="",$Q484=0,$R484=-1),0,$Q484*1000+$R484*100+$K484)</f>
        <v>0</v>
      </c>
      <c r="T484" s="37" t="str">
        <f aca="false">IF($A484="","",IF($B484="","NO ACCOUNT",IF($Q484=0,"UNMAPPED",IF($R484=-1,"OUTSIDE FY RANGE","OK"))))</f>
        <v/>
      </c>
      <c r="U484" s="40" t="str">
        <f aca="false">IF($A484="","",$B484&amp;"|"&amp;TEXT($A484,"yyyymmdd")&amp;"|"&amp;TEXT($I484,"0.00"))</f>
        <v/>
      </c>
      <c r="V484" s="35" t="str">
        <f aca="false">IF($A484="","",COUNTIF($U$8:$U$5007,$U484))</f>
        <v/>
      </c>
    </row>
    <row r="485" customFormat="false" ht="15" hidden="false" customHeight="false" outlineLevel="0" collapsed="false">
      <c r="A485" s="31"/>
      <c r="B485" s="32"/>
      <c r="C485" s="32"/>
      <c r="D485" s="32"/>
      <c r="E485" s="32"/>
      <c r="F485" s="32"/>
      <c r="G485" s="33"/>
      <c r="H485" s="33"/>
      <c r="I485" s="34" t="str">
        <f aca="false">IF($A485="","",$G485-$H485)</f>
        <v/>
      </c>
      <c r="J485" s="35" t="str">
        <f aca="false">IF($A485="","",IF(Setup!$B$6=1,YEAR($A485),YEAR($A485)+IF(MONTH($A485)&gt;=Setup!$B$6,1,0)))</f>
        <v/>
      </c>
      <c r="K485" s="35" t="str">
        <f aca="false">IF($A485="","",MOD(MONTH($A485)-Setup!$B$6+12,12)+1)</f>
        <v/>
      </c>
      <c r="L485" s="36" t="str">
        <f aca="false">IF($A485="","",TEXT($A485,"MMM-YY"))</f>
        <v/>
      </c>
      <c r="M485" s="37" t="str">
        <f aca="false">IF($A485="","",IF($Q485=0,"UNMAPPED",INDEX(COA_Mapping!$C$7:$C$256,$Q485)))</f>
        <v/>
      </c>
      <c r="N485" s="38" t="str">
        <f aca="false">IF($A485="","",IF($Q485=0,"",INDEX(COA_Mapping!$E$7:$E$256,$Q485)))</f>
        <v/>
      </c>
      <c r="O485" s="38" t="n">
        <f aca="false">IF($A485="",1,IF($Q485=0,1,INDEX(COA_Mapping!$F$7:$F$256,$Q485)))</f>
        <v>1</v>
      </c>
      <c r="P485" s="34" t="str">
        <f aca="false">IF($A485="","",$I485*$O485)</f>
        <v/>
      </c>
      <c r="Q485" s="39" t="n">
        <f aca="false">IF($B485="",0,IFERROR(MATCH($B485,COA_Mapping!$A$7:$A$256,0),0))</f>
        <v>0</v>
      </c>
      <c r="R485" s="39" t="n">
        <f aca="false">IF($A485="",-1,IF($J485=Setup!$B$7,1,IF($J485=Setup!$B$9,0,-1)))</f>
        <v>-1</v>
      </c>
      <c r="S485" s="35" t="n">
        <f aca="false">IF(OR($A485="",$Q485=0,$R485=-1),0,$Q485*1000+$R485*100+$K485)</f>
        <v>0</v>
      </c>
      <c r="T485" s="37" t="str">
        <f aca="false">IF($A485="","",IF($B485="","NO ACCOUNT",IF($Q485=0,"UNMAPPED",IF($R485=-1,"OUTSIDE FY RANGE","OK"))))</f>
        <v/>
      </c>
      <c r="U485" s="40" t="str">
        <f aca="false">IF($A485="","",$B485&amp;"|"&amp;TEXT($A485,"yyyymmdd")&amp;"|"&amp;TEXT($I485,"0.00"))</f>
        <v/>
      </c>
      <c r="V485" s="35" t="str">
        <f aca="false">IF($A485="","",COUNTIF($U$8:$U$5007,$U485))</f>
        <v/>
      </c>
    </row>
    <row r="486" customFormat="false" ht="15" hidden="false" customHeight="false" outlineLevel="0" collapsed="false">
      <c r="A486" s="31"/>
      <c r="B486" s="32"/>
      <c r="C486" s="32"/>
      <c r="D486" s="32"/>
      <c r="E486" s="32"/>
      <c r="F486" s="32"/>
      <c r="G486" s="33"/>
      <c r="H486" s="33"/>
      <c r="I486" s="34" t="str">
        <f aca="false">IF($A486="","",$G486-$H486)</f>
        <v/>
      </c>
      <c r="J486" s="35" t="str">
        <f aca="false">IF($A486="","",IF(Setup!$B$6=1,YEAR($A486),YEAR($A486)+IF(MONTH($A486)&gt;=Setup!$B$6,1,0)))</f>
        <v/>
      </c>
      <c r="K486" s="35" t="str">
        <f aca="false">IF($A486="","",MOD(MONTH($A486)-Setup!$B$6+12,12)+1)</f>
        <v/>
      </c>
      <c r="L486" s="36" t="str">
        <f aca="false">IF($A486="","",TEXT($A486,"MMM-YY"))</f>
        <v/>
      </c>
      <c r="M486" s="37" t="str">
        <f aca="false">IF($A486="","",IF($Q486=0,"UNMAPPED",INDEX(COA_Mapping!$C$7:$C$256,$Q486)))</f>
        <v/>
      </c>
      <c r="N486" s="38" t="str">
        <f aca="false">IF($A486="","",IF($Q486=0,"",INDEX(COA_Mapping!$E$7:$E$256,$Q486)))</f>
        <v/>
      </c>
      <c r="O486" s="38" t="n">
        <f aca="false">IF($A486="",1,IF($Q486=0,1,INDEX(COA_Mapping!$F$7:$F$256,$Q486)))</f>
        <v>1</v>
      </c>
      <c r="P486" s="34" t="str">
        <f aca="false">IF($A486="","",$I486*$O486)</f>
        <v/>
      </c>
      <c r="Q486" s="39" t="n">
        <f aca="false">IF($B486="",0,IFERROR(MATCH($B486,COA_Mapping!$A$7:$A$256,0),0))</f>
        <v>0</v>
      </c>
      <c r="R486" s="39" t="n">
        <f aca="false">IF($A486="",-1,IF($J486=Setup!$B$7,1,IF($J486=Setup!$B$9,0,-1)))</f>
        <v>-1</v>
      </c>
      <c r="S486" s="35" t="n">
        <f aca="false">IF(OR($A486="",$Q486=0,$R486=-1),0,$Q486*1000+$R486*100+$K486)</f>
        <v>0</v>
      </c>
      <c r="T486" s="37" t="str">
        <f aca="false">IF($A486="","",IF($B486="","NO ACCOUNT",IF($Q486=0,"UNMAPPED",IF($R486=-1,"OUTSIDE FY RANGE","OK"))))</f>
        <v/>
      </c>
      <c r="U486" s="40" t="str">
        <f aca="false">IF($A486="","",$B486&amp;"|"&amp;TEXT($A486,"yyyymmdd")&amp;"|"&amp;TEXT($I486,"0.00"))</f>
        <v/>
      </c>
      <c r="V486" s="35" t="str">
        <f aca="false">IF($A486="","",COUNTIF($U$8:$U$5007,$U486))</f>
        <v/>
      </c>
    </row>
    <row r="487" customFormat="false" ht="15" hidden="false" customHeight="false" outlineLevel="0" collapsed="false">
      <c r="A487" s="31"/>
      <c r="B487" s="32"/>
      <c r="C487" s="32"/>
      <c r="D487" s="32"/>
      <c r="E487" s="32"/>
      <c r="F487" s="32"/>
      <c r="G487" s="33"/>
      <c r="H487" s="33"/>
      <c r="I487" s="34" t="str">
        <f aca="false">IF($A487="","",$G487-$H487)</f>
        <v/>
      </c>
      <c r="J487" s="35" t="str">
        <f aca="false">IF($A487="","",IF(Setup!$B$6=1,YEAR($A487),YEAR($A487)+IF(MONTH($A487)&gt;=Setup!$B$6,1,0)))</f>
        <v/>
      </c>
      <c r="K487" s="35" t="str">
        <f aca="false">IF($A487="","",MOD(MONTH($A487)-Setup!$B$6+12,12)+1)</f>
        <v/>
      </c>
      <c r="L487" s="36" t="str">
        <f aca="false">IF($A487="","",TEXT($A487,"MMM-YY"))</f>
        <v/>
      </c>
      <c r="M487" s="37" t="str">
        <f aca="false">IF($A487="","",IF($Q487=0,"UNMAPPED",INDEX(COA_Mapping!$C$7:$C$256,$Q487)))</f>
        <v/>
      </c>
      <c r="N487" s="38" t="str">
        <f aca="false">IF($A487="","",IF($Q487=0,"",INDEX(COA_Mapping!$E$7:$E$256,$Q487)))</f>
        <v/>
      </c>
      <c r="O487" s="38" t="n">
        <f aca="false">IF($A487="",1,IF($Q487=0,1,INDEX(COA_Mapping!$F$7:$F$256,$Q487)))</f>
        <v>1</v>
      </c>
      <c r="P487" s="34" t="str">
        <f aca="false">IF($A487="","",$I487*$O487)</f>
        <v/>
      </c>
      <c r="Q487" s="39" t="n">
        <f aca="false">IF($B487="",0,IFERROR(MATCH($B487,COA_Mapping!$A$7:$A$256,0),0))</f>
        <v>0</v>
      </c>
      <c r="R487" s="39" t="n">
        <f aca="false">IF($A487="",-1,IF($J487=Setup!$B$7,1,IF($J487=Setup!$B$9,0,-1)))</f>
        <v>-1</v>
      </c>
      <c r="S487" s="35" t="n">
        <f aca="false">IF(OR($A487="",$Q487=0,$R487=-1),0,$Q487*1000+$R487*100+$K487)</f>
        <v>0</v>
      </c>
      <c r="T487" s="37" t="str">
        <f aca="false">IF($A487="","",IF($B487="","NO ACCOUNT",IF($Q487=0,"UNMAPPED",IF($R487=-1,"OUTSIDE FY RANGE","OK"))))</f>
        <v/>
      </c>
      <c r="U487" s="40" t="str">
        <f aca="false">IF($A487="","",$B487&amp;"|"&amp;TEXT($A487,"yyyymmdd")&amp;"|"&amp;TEXT($I487,"0.00"))</f>
        <v/>
      </c>
      <c r="V487" s="35" t="str">
        <f aca="false">IF($A487="","",COUNTIF($U$8:$U$5007,$U487))</f>
        <v/>
      </c>
    </row>
    <row r="488" customFormat="false" ht="15" hidden="false" customHeight="false" outlineLevel="0" collapsed="false">
      <c r="A488" s="31"/>
      <c r="B488" s="32"/>
      <c r="C488" s="32"/>
      <c r="D488" s="32"/>
      <c r="E488" s="32"/>
      <c r="F488" s="32"/>
      <c r="G488" s="33"/>
      <c r="H488" s="33"/>
      <c r="I488" s="34" t="str">
        <f aca="false">IF($A488="","",$G488-$H488)</f>
        <v/>
      </c>
      <c r="J488" s="35" t="str">
        <f aca="false">IF($A488="","",IF(Setup!$B$6=1,YEAR($A488),YEAR($A488)+IF(MONTH($A488)&gt;=Setup!$B$6,1,0)))</f>
        <v/>
      </c>
      <c r="K488" s="35" t="str">
        <f aca="false">IF($A488="","",MOD(MONTH($A488)-Setup!$B$6+12,12)+1)</f>
        <v/>
      </c>
      <c r="L488" s="36" t="str">
        <f aca="false">IF($A488="","",TEXT($A488,"MMM-YY"))</f>
        <v/>
      </c>
      <c r="M488" s="37" t="str">
        <f aca="false">IF($A488="","",IF($Q488=0,"UNMAPPED",INDEX(COA_Mapping!$C$7:$C$256,$Q488)))</f>
        <v/>
      </c>
      <c r="N488" s="38" t="str">
        <f aca="false">IF($A488="","",IF($Q488=0,"",INDEX(COA_Mapping!$E$7:$E$256,$Q488)))</f>
        <v/>
      </c>
      <c r="O488" s="38" t="n">
        <f aca="false">IF($A488="",1,IF($Q488=0,1,INDEX(COA_Mapping!$F$7:$F$256,$Q488)))</f>
        <v>1</v>
      </c>
      <c r="P488" s="34" t="str">
        <f aca="false">IF($A488="","",$I488*$O488)</f>
        <v/>
      </c>
      <c r="Q488" s="39" t="n">
        <f aca="false">IF($B488="",0,IFERROR(MATCH($B488,COA_Mapping!$A$7:$A$256,0),0))</f>
        <v>0</v>
      </c>
      <c r="R488" s="39" t="n">
        <f aca="false">IF($A488="",-1,IF($J488=Setup!$B$7,1,IF($J488=Setup!$B$9,0,-1)))</f>
        <v>-1</v>
      </c>
      <c r="S488" s="35" t="n">
        <f aca="false">IF(OR($A488="",$Q488=0,$R488=-1),0,$Q488*1000+$R488*100+$K488)</f>
        <v>0</v>
      </c>
      <c r="T488" s="37" t="str">
        <f aca="false">IF($A488="","",IF($B488="","NO ACCOUNT",IF($Q488=0,"UNMAPPED",IF($R488=-1,"OUTSIDE FY RANGE","OK"))))</f>
        <v/>
      </c>
      <c r="U488" s="40" t="str">
        <f aca="false">IF($A488="","",$B488&amp;"|"&amp;TEXT($A488,"yyyymmdd")&amp;"|"&amp;TEXT($I488,"0.00"))</f>
        <v/>
      </c>
      <c r="V488" s="35" t="str">
        <f aca="false">IF($A488="","",COUNTIF($U$8:$U$5007,$U488))</f>
        <v/>
      </c>
    </row>
    <row r="489" customFormat="false" ht="15" hidden="false" customHeight="false" outlineLevel="0" collapsed="false">
      <c r="A489" s="31"/>
      <c r="B489" s="32"/>
      <c r="C489" s="32"/>
      <c r="D489" s="32"/>
      <c r="E489" s="32"/>
      <c r="F489" s="32"/>
      <c r="G489" s="33"/>
      <c r="H489" s="33"/>
      <c r="I489" s="34" t="str">
        <f aca="false">IF($A489="","",$G489-$H489)</f>
        <v/>
      </c>
      <c r="J489" s="35" t="str">
        <f aca="false">IF($A489="","",IF(Setup!$B$6=1,YEAR($A489),YEAR($A489)+IF(MONTH($A489)&gt;=Setup!$B$6,1,0)))</f>
        <v/>
      </c>
      <c r="K489" s="35" t="str">
        <f aca="false">IF($A489="","",MOD(MONTH($A489)-Setup!$B$6+12,12)+1)</f>
        <v/>
      </c>
      <c r="L489" s="36" t="str">
        <f aca="false">IF($A489="","",TEXT($A489,"MMM-YY"))</f>
        <v/>
      </c>
      <c r="M489" s="37" t="str">
        <f aca="false">IF($A489="","",IF($Q489=0,"UNMAPPED",INDEX(COA_Mapping!$C$7:$C$256,$Q489)))</f>
        <v/>
      </c>
      <c r="N489" s="38" t="str">
        <f aca="false">IF($A489="","",IF($Q489=0,"",INDEX(COA_Mapping!$E$7:$E$256,$Q489)))</f>
        <v/>
      </c>
      <c r="O489" s="38" t="n">
        <f aca="false">IF($A489="",1,IF($Q489=0,1,INDEX(COA_Mapping!$F$7:$F$256,$Q489)))</f>
        <v>1</v>
      </c>
      <c r="P489" s="34" t="str">
        <f aca="false">IF($A489="","",$I489*$O489)</f>
        <v/>
      </c>
      <c r="Q489" s="39" t="n">
        <f aca="false">IF($B489="",0,IFERROR(MATCH($B489,COA_Mapping!$A$7:$A$256,0),0))</f>
        <v>0</v>
      </c>
      <c r="R489" s="39" t="n">
        <f aca="false">IF($A489="",-1,IF($J489=Setup!$B$7,1,IF($J489=Setup!$B$9,0,-1)))</f>
        <v>-1</v>
      </c>
      <c r="S489" s="35" t="n">
        <f aca="false">IF(OR($A489="",$Q489=0,$R489=-1),0,$Q489*1000+$R489*100+$K489)</f>
        <v>0</v>
      </c>
      <c r="T489" s="37" t="str">
        <f aca="false">IF($A489="","",IF($B489="","NO ACCOUNT",IF($Q489=0,"UNMAPPED",IF($R489=-1,"OUTSIDE FY RANGE","OK"))))</f>
        <v/>
      </c>
      <c r="U489" s="40" t="str">
        <f aca="false">IF($A489="","",$B489&amp;"|"&amp;TEXT($A489,"yyyymmdd")&amp;"|"&amp;TEXT($I489,"0.00"))</f>
        <v/>
      </c>
      <c r="V489" s="35" t="str">
        <f aca="false">IF($A489="","",COUNTIF($U$8:$U$5007,$U489))</f>
        <v/>
      </c>
    </row>
    <row r="490" customFormat="false" ht="15" hidden="false" customHeight="false" outlineLevel="0" collapsed="false">
      <c r="A490" s="31"/>
      <c r="B490" s="32"/>
      <c r="C490" s="32"/>
      <c r="D490" s="32"/>
      <c r="E490" s="32"/>
      <c r="F490" s="32"/>
      <c r="G490" s="33"/>
      <c r="H490" s="33"/>
      <c r="I490" s="34" t="str">
        <f aca="false">IF($A490="","",$G490-$H490)</f>
        <v/>
      </c>
      <c r="J490" s="35" t="str">
        <f aca="false">IF($A490="","",IF(Setup!$B$6=1,YEAR($A490),YEAR($A490)+IF(MONTH($A490)&gt;=Setup!$B$6,1,0)))</f>
        <v/>
      </c>
      <c r="K490" s="35" t="str">
        <f aca="false">IF($A490="","",MOD(MONTH($A490)-Setup!$B$6+12,12)+1)</f>
        <v/>
      </c>
      <c r="L490" s="36" t="str">
        <f aca="false">IF($A490="","",TEXT($A490,"MMM-YY"))</f>
        <v/>
      </c>
      <c r="M490" s="37" t="str">
        <f aca="false">IF($A490="","",IF($Q490=0,"UNMAPPED",INDEX(COA_Mapping!$C$7:$C$256,$Q490)))</f>
        <v/>
      </c>
      <c r="N490" s="38" t="str">
        <f aca="false">IF($A490="","",IF($Q490=0,"",INDEX(COA_Mapping!$E$7:$E$256,$Q490)))</f>
        <v/>
      </c>
      <c r="O490" s="38" t="n">
        <f aca="false">IF($A490="",1,IF($Q490=0,1,INDEX(COA_Mapping!$F$7:$F$256,$Q490)))</f>
        <v>1</v>
      </c>
      <c r="P490" s="34" t="str">
        <f aca="false">IF($A490="","",$I490*$O490)</f>
        <v/>
      </c>
      <c r="Q490" s="39" t="n">
        <f aca="false">IF($B490="",0,IFERROR(MATCH($B490,COA_Mapping!$A$7:$A$256,0),0))</f>
        <v>0</v>
      </c>
      <c r="R490" s="39" t="n">
        <f aca="false">IF($A490="",-1,IF($J490=Setup!$B$7,1,IF($J490=Setup!$B$9,0,-1)))</f>
        <v>-1</v>
      </c>
      <c r="S490" s="35" t="n">
        <f aca="false">IF(OR($A490="",$Q490=0,$R490=-1),0,$Q490*1000+$R490*100+$K490)</f>
        <v>0</v>
      </c>
      <c r="T490" s="37" t="str">
        <f aca="false">IF($A490="","",IF($B490="","NO ACCOUNT",IF($Q490=0,"UNMAPPED",IF($R490=-1,"OUTSIDE FY RANGE","OK"))))</f>
        <v/>
      </c>
      <c r="U490" s="40" t="str">
        <f aca="false">IF($A490="","",$B490&amp;"|"&amp;TEXT($A490,"yyyymmdd")&amp;"|"&amp;TEXT($I490,"0.00"))</f>
        <v/>
      </c>
      <c r="V490" s="35" t="str">
        <f aca="false">IF($A490="","",COUNTIF($U$8:$U$5007,$U490))</f>
        <v/>
      </c>
    </row>
    <row r="491" customFormat="false" ht="15" hidden="false" customHeight="false" outlineLevel="0" collapsed="false">
      <c r="A491" s="31"/>
      <c r="B491" s="32"/>
      <c r="C491" s="32"/>
      <c r="D491" s="32"/>
      <c r="E491" s="32"/>
      <c r="F491" s="32"/>
      <c r="G491" s="33"/>
      <c r="H491" s="33"/>
      <c r="I491" s="34" t="str">
        <f aca="false">IF($A491="","",$G491-$H491)</f>
        <v/>
      </c>
      <c r="J491" s="35" t="str">
        <f aca="false">IF($A491="","",IF(Setup!$B$6=1,YEAR($A491),YEAR($A491)+IF(MONTH($A491)&gt;=Setup!$B$6,1,0)))</f>
        <v/>
      </c>
      <c r="K491" s="35" t="str">
        <f aca="false">IF($A491="","",MOD(MONTH($A491)-Setup!$B$6+12,12)+1)</f>
        <v/>
      </c>
      <c r="L491" s="36" t="str">
        <f aca="false">IF($A491="","",TEXT($A491,"MMM-YY"))</f>
        <v/>
      </c>
      <c r="M491" s="37" t="str">
        <f aca="false">IF($A491="","",IF($Q491=0,"UNMAPPED",INDEX(COA_Mapping!$C$7:$C$256,$Q491)))</f>
        <v/>
      </c>
      <c r="N491" s="38" t="str">
        <f aca="false">IF($A491="","",IF($Q491=0,"",INDEX(COA_Mapping!$E$7:$E$256,$Q491)))</f>
        <v/>
      </c>
      <c r="O491" s="38" t="n">
        <f aca="false">IF($A491="",1,IF($Q491=0,1,INDEX(COA_Mapping!$F$7:$F$256,$Q491)))</f>
        <v>1</v>
      </c>
      <c r="P491" s="34" t="str">
        <f aca="false">IF($A491="","",$I491*$O491)</f>
        <v/>
      </c>
      <c r="Q491" s="39" t="n">
        <f aca="false">IF($B491="",0,IFERROR(MATCH($B491,COA_Mapping!$A$7:$A$256,0),0))</f>
        <v>0</v>
      </c>
      <c r="R491" s="39" t="n">
        <f aca="false">IF($A491="",-1,IF($J491=Setup!$B$7,1,IF($J491=Setup!$B$9,0,-1)))</f>
        <v>-1</v>
      </c>
      <c r="S491" s="35" t="n">
        <f aca="false">IF(OR($A491="",$Q491=0,$R491=-1),0,$Q491*1000+$R491*100+$K491)</f>
        <v>0</v>
      </c>
      <c r="T491" s="37" t="str">
        <f aca="false">IF($A491="","",IF($B491="","NO ACCOUNT",IF($Q491=0,"UNMAPPED",IF($R491=-1,"OUTSIDE FY RANGE","OK"))))</f>
        <v/>
      </c>
      <c r="U491" s="40" t="str">
        <f aca="false">IF($A491="","",$B491&amp;"|"&amp;TEXT($A491,"yyyymmdd")&amp;"|"&amp;TEXT($I491,"0.00"))</f>
        <v/>
      </c>
      <c r="V491" s="35" t="str">
        <f aca="false">IF($A491="","",COUNTIF($U$8:$U$5007,$U491))</f>
        <v/>
      </c>
    </row>
    <row r="492" customFormat="false" ht="15" hidden="false" customHeight="false" outlineLevel="0" collapsed="false">
      <c r="A492" s="31"/>
      <c r="B492" s="32"/>
      <c r="C492" s="32"/>
      <c r="D492" s="32"/>
      <c r="E492" s="32"/>
      <c r="F492" s="32"/>
      <c r="G492" s="33"/>
      <c r="H492" s="33"/>
      <c r="I492" s="34" t="str">
        <f aca="false">IF($A492="","",$G492-$H492)</f>
        <v/>
      </c>
      <c r="J492" s="35" t="str">
        <f aca="false">IF($A492="","",IF(Setup!$B$6=1,YEAR($A492),YEAR($A492)+IF(MONTH($A492)&gt;=Setup!$B$6,1,0)))</f>
        <v/>
      </c>
      <c r="K492" s="35" t="str">
        <f aca="false">IF($A492="","",MOD(MONTH($A492)-Setup!$B$6+12,12)+1)</f>
        <v/>
      </c>
      <c r="L492" s="36" t="str">
        <f aca="false">IF($A492="","",TEXT($A492,"MMM-YY"))</f>
        <v/>
      </c>
      <c r="M492" s="37" t="str">
        <f aca="false">IF($A492="","",IF($Q492=0,"UNMAPPED",INDEX(COA_Mapping!$C$7:$C$256,$Q492)))</f>
        <v/>
      </c>
      <c r="N492" s="38" t="str">
        <f aca="false">IF($A492="","",IF($Q492=0,"",INDEX(COA_Mapping!$E$7:$E$256,$Q492)))</f>
        <v/>
      </c>
      <c r="O492" s="38" t="n">
        <f aca="false">IF($A492="",1,IF($Q492=0,1,INDEX(COA_Mapping!$F$7:$F$256,$Q492)))</f>
        <v>1</v>
      </c>
      <c r="P492" s="34" t="str">
        <f aca="false">IF($A492="","",$I492*$O492)</f>
        <v/>
      </c>
      <c r="Q492" s="39" t="n">
        <f aca="false">IF($B492="",0,IFERROR(MATCH($B492,COA_Mapping!$A$7:$A$256,0),0))</f>
        <v>0</v>
      </c>
      <c r="R492" s="39" t="n">
        <f aca="false">IF($A492="",-1,IF($J492=Setup!$B$7,1,IF($J492=Setup!$B$9,0,-1)))</f>
        <v>-1</v>
      </c>
      <c r="S492" s="35" t="n">
        <f aca="false">IF(OR($A492="",$Q492=0,$R492=-1),0,$Q492*1000+$R492*100+$K492)</f>
        <v>0</v>
      </c>
      <c r="T492" s="37" t="str">
        <f aca="false">IF($A492="","",IF($B492="","NO ACCOUNT",IF($Q492=0,"UNMAPPED",IF($R492=-1,"OUTSIDE FY RANGE","OK"))))</f>
        <v/>
      </c>
      <c r="U492" s="40" t="str">
        <f aca="false">IF($A492="","",$B492&amp;"|"&amp;TEXT($A492,"yyyymmdd")&amp;"|"&amp;TEXT($I492,"0.00"))</f>
        <v/>
      </c>
      <c r="V492" s="35" t="str">
        <f aca="false">IF($A492="","",COUNTIF($U$8:$U$5007,$U492))</f>
        <v/>
      </c>
    </row>
    <row r="493" customFormat="false" ht="15" hidden="false" customHeight="false" outlineLevel="0" collapsed="false">
      <c r="A493" s="31"/>
      <c r="B493" s="32"/>
      <c r="C493" s="32"/>
      <c r="D493" s="32"/>
      <c r="E493" s="32"/>
      <c r="F493" s="32"/>
      <c r="G493" s="33"/>
      <c r="H493" s="33"/>
      <c r="I493" s="34" t="str">
        <f aca="false">IF($A493="","",$G493-$H493)</f>
        <v/>
      </c>
      <c r="J493" s="35" t="str">
        <f aca="false">IF($A493="","",IF(Setup!$B$6=1,YEAR($A493),YEAR($A493)+IF(MONTH($A493)&gt;=Setup!$B$6,1,0)))</f>
        <v/>
      </c>
      <c r="K493" s="35" t="str">
        <f aca="false">IF($A493="","",MOD(MONTH($A493)-Setup!$B$6+12,12)+1)</f>
        <v/>
      </c>
      <c r="L493" s="36" t="str">
        <f aca="false">IF($A493="","",TEXT($A493,"MMM-YY"))</f>
        <v/>
      </c>
      <c r="M493" s="37" t="str">
        <f aca="false">IF($A493="","",IF($Q493=0,"UNMAPPED",INDEX(COA_Mapping!$C$7:$C$256,$Q493)))</f>
        <v/>
      </c>
      <c r="N493" s="38" t="str">
        <f aca="false">IF($A493="","",IF($Q493=0,"",INDEX(COA_Mapping!$E$7:$E$256,$Q493)))</f>
        <v/>
      </c>
      <c r="O493" s="38" t="n">
        <f aca="false">IF($A493="",1,IF($Q493=0,1,INDEX(COA_Mapping!$F$7:$F$256,$Q493)))</f>
        <v>1</v>
      </c>
      <c r="P493" s="34" t="str">
        <f aca="false">IF($A493="","",$I493*$O493)</f>
        <v/>
      </c>
      <c r="Q493" s="39" t="n">
        <f aca="false">IF($B493="",0,IFERROR(MATCH($B493,COA_Mapping!$A$7:$A$256,0),0))</f>
        <v>0</v>
      </c>
      <c r="R493" s="39" t="n">
        <f aca="false">IF($A493="",-1,IF($J493=Setup!$B$7,1,IF($J493=Setup!$B$9,0,-1)))</f>
        <v>-1</v>
      </c>
      <c r="S493" s="35" t="n">
        <f aca="false">IF(OR($A493="",$Q493=0,$R493=-1),0,$Q493*1000+$R493*100+$K493)</f>
        <v>0</v>
      </c>
      <c r="T493" s="37" t="str">
        <f aca="false">IF($A493="","",IF($B493="","NO ACCOUNT",IF($Q493=0,"UNMAPPED",IF($R493=-1,"OUTSIDE FY RANGE","OK"))))</f>
        <v/>
      </c>
      <c r="U493" s="40" t="str">
        <f aca="false">IF($A493="","",$B493&amp;"|"&amp;TEXT($A493,"yyyymmdd")&amp;"|"&amp;TEXT($I493,"0.00"))</f>
        <v/>
      </c>
      <c r="V493" s="35" t="str">
        <f aca="false">IF($A493="","",COUNTIF($U$8:$U$5007,$U493))</f>
        <v/>
      </c>
    </row>
    <row r="494" customFormat="false" ht="15" hidden="false" customHeight="false" outlineLevel="0" collapsed="false">
      <c r="A494" s="31"/>
      <c r="B494" s="32"/>
      <c r="C494" s="32"/>
      <c r="D494" s="32"/>
      <c r="E494" s="32"/>
      <c r="F494" s="32"/>
      <c r="G494" s="33"/>
      <c r="H494" s="33"/>
      <c r="I494" s="34" t="str">
        <f aca="false">IF($A494="","",$G494-$H494)</f>
        <v/>
      </c>
      <c r="J494" s="35" t="str">
        <f aca="false">IF($A494="","",IF(Setup!$B$6=1,YEAR($A494),YEAR($A494)+IF(MONTH($A494)&gt;=Setup!$B$6,1,0)))</f>
        <v/>
      </c>
      <c r="K494" s="35" t="str">
        <f aca="false">IF($A494="","",MOD(MONTH($A494)-Setup!$B$6+12,12)+1)</f>
        <v/>
      </c>
      <c r="L494" s="36" t="str">
        <f aca="false">IF($A494="","",TEXT($A494,"MMM-YY"))</f>
        <v/>
      </c>
      <c r="M494" s="37" t="str">
        <f aca="false">IF($A494="","",IF($Q494=0,"UNMAPPED",INDEX(COA_Mapping!$C$7:$C$256,$Q494)))</f>
        <v/>
      </c>
      <c r="N494" s="38" t="str">
        <f aca="false">IF($A494="","",IF($Q494=0,"",INDEX(COA_Mapping!$E$7:$E$256,$Q494)))</f>
        <v/>
      </c>
      <c r="O494" s="38" t="n">
        <f aca="false">IF($A494="",1,IF($Q494=0,1,INDEX(COA_Mapping!$F$7:$F$256,$Q494)))</f>
        <v>1</v>
      </c>
      <c r="P494" s="34" t="str">
        <f aca="false">IF($A494="","",$I494*$O494)</f>
        <v/>
      </c>
      <c r="Q494" s="39" t="n">
        <f aca="false">IF($B494="",0,IFERROR(MATCH($B494,COA_Mapping!$A$7:$A$256,0),0))</f>
        <v>0</v>
      </c>
      <c r="R494" s="39" t="n">
        <f aca="false">IF($A494="",-1,IF($J494=Setup!$B$7,1,IF($J494=Setup!$B$9,0,-1)))</f>
        <v>-1</v>
      </c>
      <c r="S494" s="35" t="n">
        <f aca="false">IF(OR($A494="",$Q494=0,$R494=-1),0,$Q494*1000+$R494*100+$K494)</f>
        <v>0</v>
      </c>
      <c r="T494" s="37" t="str">
        <f aca="false">IF($A494="","",IF($B494="","NO ACCOUNT",IF($Q494=0,"UNMAPPED",IF($R494=-1,"OUTSIDE FY RANGE","OK"))))</f>
        <v/>
      </c>
      <c r="U494" s="40" t="str">
        <f aca="false">IF($A494="","",$B494&amp;"|"&amp;TEXT($A494,"yyyymmdd")&amp;"|"&amp;TEXT($I494,"0.00"))</f>
        <v/>
      </c>
      <c r="V494" s="35" t="str">
        <f aca="false">IF($A494="","",COUNTIF($U$8:$U$5007,$U494))</f>
        <v/>
      </c>
    </row>
    <row r="495" customFormat="false" ht="15" hidden="false" customHeight="false" outlineLevel="0" collapsed="false">
      <c r="A495" s="31"/>
      <c r="B495" s="32"/>
      <c r="C495" s="32"/>
      <c r="D495" s="32"/>
      <c r="E495" s="32"/>
      <c r="F495" s="32"/>
      <c r="G495" s="33"/>
      <c r="H495" s="33"/>
      <c r="I495" s="34" t="str">
        <f aca="false">IF($A495="","",$G495-$H495)</f>
        <v/>
      </c>
      <c r="J495" s="35" t="str">
        <f aca="false">IF($A495="","",IF(Setup!$B$6=1,YEAR($A495),YEAR($A495)+IF(MONTH($A495)&gt;=Setup!$B$6,1,0)))</f>
        <v/>
      </c>
      <c r="K495" s="35" t="str">
        <f aca="false">IF($A495="","",MOD(MONTH($A495)-Setup!$B$6+12,12)+1)</f>
        <v/>
      </c>
      <c r="L495" s="36" t="str">
        <f aca="false">IF($A495="","",TEXT($A495,"MMM-YY"))</f>
        <v/>
      </c>
      <c r="M495" s="37" t="str">
        <f aca="false">IF($A495="","",IF($Q495=0,"UNMAPPED",INDEX(COA_Mapping!$C$7:$C$256,$Q495)))</f>
        <v/>
      </c>
      <c r="N495" s="38" t="str">
        <f aca="false">IF($A495="","",IF($Q495=0,"",INDEX(COA_Mapping!$E$7:$E$256,$Q495)))</f>
        <v/>
      </c>
      <c r="O495" s="38" t="n">
        <f aca="false">IF($A495="",1,IF($Q495=0,1,INDEX(COA_Mapping!$F$7:$F$256,$Q495)))</f>
        <v>1</v>
      </c>
      <c r="P495" s="34" t="str">
        <f aca="false">IF($A495="","",$I495*$O495)</f>
        <v/>
      </c>
      <c r="Q495" s="39" t="n">
        <f aca="false">IF($B495="",0,IFERROR(MATCH($B495,COA_Mapping!$A$7:$A$256,0),0))</f>
        <v>0</v>
      </c>
      <c r="R495" s="39" t="n">
        <f aca="false">IF($A495="",-1,IF($J495=Setup!$B$7,1,IF($J495=Setup!$B$9,0,-1)))</f>
        <v>-1</v>
      </c>
      <c r="S495" s="35" t="n">
        <f aca="false">IF(OR($A495="",$Q495=0,$R495=-1),0,$Q495*1000+$R495*100+$K495)</f>
        <v>0</v>
      </c>
      <c r="T495" s="37" t="str">
        <f aca="false">IF($A495="","",IF($B495="","NO ACCOUNT",IF($Q495=0,"UNMAPPED",IF($R495=-1,"OUTSIDE FY RANGE","OK"))))</f>
        <v/>
      </c>
      <c r="U495" s="40" t="str">
        <f aca="false">IF($A495="","",$B495&amp;"|"&amp;TEXT($A495,"yyyymmdd")&amp;"|"&amp;TEXT($I495,"0.00"))</f>
        <v/>
      </c>
      <c r="V495" s="35" t="str">
        <f aca="false">IF($A495="","",COUNTIF($U$8:$U$5007,$U495))</f>
        <v/>
      </c>
    </row>
    <row r="496" customFormat="false" ht="15" hidden="false" customHeight="false" outlineLevel="0" collapsed="false">
      <c r="A496" s="31"/>
      <c r="B496" s="32"/>
      <c r="C496" s="32"/>
      <c r="D496" s="32"/>
      <c r="E496" s="32"/>
      <c r="F496" s="32"/>
      <c r="G496" s="33"/>
      <c r="H496" s="33"/>
      <c r="I496" s="34" t="str">
        <f aca="false">IF($A496="","",$G496-$H496)</f>
        <v/>
      </c>
      <c r="J496" s="35" t="str">
        <f aca="false">IF($A496="","",IF(Setup!$B$6=1,YEAR($A496),YEAR($A496)+IF(MONTH($A496)&gt;=Setup!$B$6,1,0)))</f>
        <v/>
      </c>
      <c r="K496" s="35" t="str">
        <f aca="false">IF($A496="","",MOD(MONTH($A496)-Setup!$B$6+12,12)+1)</f>
        <v/>
      </c>
      <c r="L496" s="36" t="str">
        <f aca="false">IF($A496="","",TEXT($A496,"MMM-YY"))</f>
        <v/>
      </c>
      <c r="M496" s="37" t="str">
        <f aca="false">IF($A496="","",IF($Q496=0,"UNMAPPED",INDEX(COA_Mapping!$C$7:$C$256,$Q496)))</f>
        <v/>
      </c>
      <c r="N496" s="38" t="str">
        <f aca="false">IF($A496="","",IF($Q496=0,"",INDEX(COA_Mapping!$E$7:$E$256,$Q496)))</f>
        <v/>
      </c>
      <c r="O496" s="38" t="n">
        <f aca="false">IF($A496="",1,IF($Q496=0,1,INDEX(COA_Mapping!$F$7:$F$256,$Q496)))</f>
        <v>1</v>
      </c>
      <c r="P496" s="34" t="str">
        <f aca="false">IF($A496="","",$I496*$O496)</f>
        <v/>
      </c>
      <c r="Q496" s="39" t="n">
        <f aca="false">IF($B496="",0,IFERROR(MATCH($B496,COA_Mapping!$A$7:$A$256,0),0))</f>
        <v>0</v>
      </c>
      <c r="R496" s="39" t="n">
        <f aca="false">IF($A496="",-1,IF($J496=Setup!$B$7,1,IF($J496=Setup!$B$9,0,-1)))</f>
        <v>-1</v>
      </c>
      <c r="S496" s="35" t="n">
        <f aca="false">IF(OR($A496="",$Q496=0,$R496=-1),0,$Q496*1000+$R496*100+$K496)</f>
        <v>0</v>
      </c>
      <c r="T496" s="37" t="str">
        <f aca="false">IF($A496="","",IF($B496="","NO ACCOUNT",IF($Q496=0,"UNMAPPED",IF($R496=-1,"OUTSIDE FY RANGE","OK"))))</f>
        <v/>
      </c>
      <c r="U496" s="40" t="str">
        <f aca="false">IF($A496="","",$B496&amp;"|"&amp;TEXT($A496,"yyyymmdd")&amp;"|"&amp;TEXT($I496,"0.00"))</f>
        <v/>
      </c>
      <c r="V496" s="35" t="str">
        <f aca="false">IF($A496="","",COUNTIF($U$8:$U$5007,$U496))</f>
        <v/>
      </c>
    </row>
    <row r="497" customFormat="false" ht="15" hidden="false" customHeight="false" outlineLevel="0" collapsed="false">
      <c r="A497" s="31"/>
      <c r="B497" s="32"/>
      <c r="C497" s="32"/>
      <c r="D497" s="32"/>
      <c r="E497" s="32"/>
      <c r="F497" s="32"/>
      <c r="G497" s="33"/>
      <c r="H497" s="33"/>
      <c r="I497" s="34" t="str">
        <f aca="false">IF($A497="","",$G497-$H497)</f>
        <v/>
      </c>
      <c r="J497" s="35" t="str">
        <f aca="false">IF($A497="","",IF(Setup!$B$6=1,YEAR($A497),YEAR($A497)+IF(MONTH($A497)&gt;=Setup!$B$6,1,0)))</f>
        <v/>
      </c>
      <c r="K497" s="35" t="str">
        <f aca="false">IF($A497="","",MOD(MONTH($A497)-Setup!$B$6+12,12)+1)</f>
        <v/>
      </c>
      <c r="L497" s="36" t="str">
        <f aca="false">IF($A497="","",TEXT($A497,"MMM-YY"))</f>
        <v/>
      </c>
      <c r="M497" s="37" t="str">
        <f aca="false">IF($A497="","",IF($Q497=0,"UNMAPPED",INDEX(COA_Mapping!$C$7:$C$256,$Q497)))</f>
        <v/>
      </c>
      <c r="N497" s="38" t="str">
        <f aca="false">IF($A497="","",IF($Q497=0,"",INDEX(COA_Mapping!$E$7:$E$256,$Q497)))</f>
        <v/>
      </c>
      <c r="O497" s="38" t="n">
        <f aca="false">IF($A497="",1,IF($Q497=0,1,INDEX(COA_Mapping!$F$7:$F$256,$Q497)))</f>
        <v>1</v>
      </c>
      <c r="P497" s="34" t="str">
        <f aca="false">IF($A497="","",$I497*$O497)</f>
        <v/>
      </c>
      <c r="Q497" s="39" t="n">
        <f aca="false">IF($B497="",0,IFERROR(MATCH($B497,COA_Mapping!$A$7:$A$256,0),0))</f>
        <v>0</v>
      </c>
      <c r="R497" s="39" t="n">
        <f aca="false">IF($A497="",-1,IF($J497=Setup!$B$7,1,IF($J497=Setup!$B$9,0,-1)))</f>
        <v>-1</v>
      </c>
      <c r="S497" s="35" t="n">
        <f aca="false">IF(OR($A497="",$Q497=0,$R497=-1),0,$Q497*1000+$R497*100+$K497)</f>
        <v>0</v>
      </c>
      <c r="T497" s="37" t="str">
        <f aca="false">IF($A497="","",IF($B497="","NO ACCOUNT",IF($Q497=0,"UNMAPPED",IF($R497=-1,"OUTSIDE FY RANGE","OK"))))</f>
        <v/>
      </c>
      <c r="U497" s="40" t="str">
        <f aca="false">IF($A497="","",$B497&amp;"|"&amp;TEXT($A497,"yyyymmdd")&amp;"|"&amp;TEXT($I497,"0.00"))</f>
        <v/>
      </c>
      <c r="V497" s="35" t="str">
        <f aca="false">IF($A497="","",COUNTIF($U$8:$U$5007,$U497))</f>
        <v/>
      </c>
    </row>
    <row r="498" customFormat="false" ht="15" hidden="false" customHeight="false" outlineLevel="0" collapsed="false">
      <c r="A498" s="31"/>
      <c r="B498" s="32"/>
      <c r="C498" s="32"/>
      <c r="D498" s="32"/>
      <c r="E498" s="32"/>
      <c r="F498" s="32"/>
      <c r="G498" s="33"/>
      <c r="H498" s="33"/>
      <c r="I498" s="34" t="str">
        <f aca="false">IF($A498="","",$G498-$H498)</f>
        <v/>
      </c>
      <c r="J498" s="35" t="str">
        <f aca="false">IF($A498="","",IF(Setup!$B$6=1,YEAR($A498),YEAR($A498)+IF(MONTH($A498)&gt;=Setup!$B$6,1,0)))</f>
        <v/>
      </c>
      <c r="K498" s="35" t="str">
        <f aca="false">IF($A498="","",MOD(MONTH($A498)-Setup!$B$6+12,12)+1)</f>
        <v/>
      </c>
      <c r="L498" s="36" t="str">
        <f aca="false">IF($A498="","",TEXT($A498,"MMM-YY"))</f>
        <v/>
      </c>
      <c r="M498" s="37" t="str">
        <f aca="false">IF($A498="","",IF($Q498=0,"UNMAPPED",INDEX(COA_Mapping!$C$7:$C$256,$Q498)))</f>
        <v/>
      </c>
      <c r="N498" s="38" t="str">
        <f aca="false">IF($A498="","",IF($Q498=0,"",INDEX(COA_Mapping!$E$7:$E$256,$Q498)))</f>
        <v/>
      </c>
      <c r="O498" s="38" t="n">
        <f aca="false">IF($A498="",1,IF($Q498=0,1,INDEX(COA_Mapping!$F$7:$F$256,$Q498)))</f>
        <v>1</v>
      </c>
      <c r="P498" s="34" t="str">
        <f aca="false">IF($A498="","",$I498*$O498)</f>
        <v/>
      </c>
      <c r="Q498" s="39" t="n">
        <f aca="false">IF($B498="",0,IFERROR(MATCH($B498,COA_Mapping!$A$7:$A$256,0),0))</f>
        <v>0</v>
      </c>
      <c r="R498" s="39" t="n">
        <f aca="false">IF($A498="",-1,IF($J498=Setup!$B$7,1,IF($J498=Setup!$B$9,0,-1)))</f>
        <v>-1</v>
      </c>
      <c r="S498" s="35" t="n">
        <f aca="false">IF(OR($A498="",$Q498=0,$R498=-1),0,$Q498*1000+$R498*100+$K498)</f>
        <v>0</v>
      </c>
      <c r="T498" s="37" t="str">
        <f aca="false">IF($A498="","",IF($B498="","NO ACCOUNT",IF($Q498=0,"UNMAPPED",IF($R498=-1,"OUTSIDE FY RANGE","OK"))))</f>
        <v/>
      </c>
      <c r="U498" s="40" t="str">
        <f aca="false">IF($A498="","",$B498&amp;"|"&amp;TEXT($A498,"yyyymmdd")&amp;"|"&amp;TEXT($I498,"0.00"))</f>
        <v/>
      </c>
      <c r="V498" s="35" t="str">
        <f aca="false">IF($A498="","",COUNTIF($U$8:$U$5007,$U498))</f>
        <v/>
      </c>
    </row>
    <row r="499" customFormat="false" ht="15" hidden="false" customHeight="false" outlineLevel="0" collapsed="false">
      <c r="A499" s="31"/>
      <c r="B499" s="32"/>
      <c r="C499" s="32"/>
      <c r="D499" s="32"/>
      <c r="E499" s="32"/>
      <c r="F499" s="32"/>
      <c r="G499" s="33"/>
      <c r="H499" s="33"/>
      <c r="I499" s="34" t="str">
        <f aca="false">IF($A499="","",$G499-$H499)</f>
        <v/>
      </c>
      <c r="J499" s="35" t="str">
        <f aca="false">IF($A499="","",IF(Setup!$B$6=1,YEAR($A499),YEAR($A499)+IF(MONTH($A499)&gt;=Setup!$B$6,1,0)))</f>
        <v/>
      </c>
      <c r="K499" s="35" t="str">
        <f aca="false">IF($A499="","",MOD(MONTH($A499)-Setup!$B$6+12,12)+1)</f>
        <v/>
      </c>
      <c r="L499" s="36" t="str">
        <f aca="false">IF($A499="","",TEXT($A499,"MMM-YY"))</f>
        <v/>
      </c>
      <c r="M499" s="37" t="str">
        <f aca="false">IF($A499="","",IF($Q499=0,"UNMAPPED",INDEX(COA_Mapping!$C$7:$C$256,$Q499)))</f>
        <v/>
      </c>
      <c r="N499" s="38" t="str">
        <f aca="false">IF($A499="","",IF($Q499=0,"",INDEX(COA_Mapping!$E$7:$E$256,$Q499)))</f>
        <v/>
      </c>
      <c r="O499" s="38" t="n">
        <f aca="false">IF($A499="",1,IF($Q499=0,1,INDEX(COA_Mapping!$F$7:$F$256,$Q499)))</f>
        <v>1</v>
      </c>
      <c r="P499" s="34" t="str">
        <f aca="false">IF($A499="","",$I499*$O499)</f>
        <v/>
      </c>
      <c r="Q499" s="39" t="n">
        <f aca="false">IF($B499="",0,IFERROR(MATCH($B499,COA_Mapping!$A$7:$A$256,0),0))</f>
        <v>0</v>
      </c>
      <c r="R499" s="39" t="n">
        <f aca="false">IF($A499="",-1,IF($J499=Setup!$B$7,1,IF($J499=Setup!$B$9,0,-1)))</f>
        <v>-1</v>
      </c>
      <c r="S499" s="35" t="n">
        <f aca="false">IF(OR($A499="",$Q499=0,$R499=-1),0,$Q499*1000+$R499*100+$K499)</f>
        <v>0</v>
      </c>
      <c r="T499" s="37" t="str">
        <f aca="false">IF($A499="","",IF($B499="","NO ACCOUNT",IF($Q499=0,"UNMAPPED",IF($R499=-1,"OUTSIDE FY RANGE","OK"))))</f>
        <v/>
      </c>
      <c r="U499" s="40" t="str">
        <f aca="false">IF($A499="","",$B499&amp;"|"&amp;TEXT($A499,"yyyymmdd")&amp;"|"&amp;TEXT($I499,"0.00"))</f>
        <v/>
      </c>
      <c r="V499" s="35" t="str">
        <f aca="false">IF($A499="","",COUNTIF($U$8:$U$5007,$U499))</f>
        <v/>
      </c>
    </row>
    <row r="500" customFormat="false" ht="15" hidden="false" customHeight="false" outlineLevel="0" collapsed="false">
      <c r="A500" s="31"/>
      <c r="B500" s="32"/>
      <c r="C500" s="32"/>
      <c r="D500" s="32"/>
      <c r="E500" s="32"/>
      <c r="F500" s="32"/>
      <c r="G500" s="33"/>
      <c r="H500" s="33"/>
      <c r="I500" s="34" t="str">
        <f aca="false">IF($A500="","",$G500-$H500)</f>
        <v/>
      </c>
      <c r="J500" s="35" t="str">
        <f aca="false">IF($A500="","",IF(Setup!$B$6=1,YEAR($A500),YEAR($A500)+IF(MONTH($A500)&gt;=Setup!$B$6,1,0)))</f>
        <v/>
      </c>
      <c r="K500" s="35" t="str">
        <f aca="false">IF($A500="","",MOD(MONTH($A500)-Setup!$B$6+12,12)+1)</f>
        <v/>
      </c>
      <c r="L500" s="36" t="str">
        <f aca="false">IF($A500="","",TEXT($A500,"MMM-YY"))</f>
        <v/>
      </c>
      <c r="M500" s="37" t="str">
        <f aca="false">IF($A500="","",IF($Q500=0,"UNMAPPED",INDEX(COA_Mapping!$C$7:$C$256,$Q500)))</f>
        <v/>
      </c>
      <c r="N500" s="38" t="str">
        <f aca="false">IF($A500="","",IF($Q500=0,"",INDEX(COA_Mapping!$E$7:$E$256,$Q500)))</f>
        <v/>
      </c>
      <c r="O500" s="38" t="n">
        <f aca="false">IF($A500="",1,IF($Q500=0,1,INDEX(COA_Mapping!$F$7:$F$256,$Q500)))</f>
        <v>1</v>
      </c>
      <c r="P500" s="34" t="str">
        <f aca="false">IF($A500="","",$I500*$O500)</f>
        <v/>
      </c>
      <c r="Q500" s="39" t="n">
        <f aca="false">IF($B500="",0,IFERROR(MATCH($B500,COA_Mapping!$A$7:$A$256,0),0))</f>
        <v>0</v>
      </c>
      <c r="R500" s="39" t="n">
        <f aca="false">IF($A500="",-1,IF($J500=Setup!$B$7,1,IF($J500=Setup!$B$9,0,-1)))</f>
        <v>-1</v>
      </c>
      <c r="S500" s="35" t="n">
        <f aca="false">IF(OR($A500="",$Q500=0,$R500=-1),0,$Q500*1000+$R500*100+$K500)</f>
        <v>0</v>
      </c>
      <c r="T500" s="37" t="str">
        <f aca="false">IF($A500="","",IF($B500="","NO ACCOUNT",IF($Q500=0,"UNMAPPED",IF($R500=-1,"OUTSIDE FY RANGE","OK"))))</f>
        <v/>
      </c>
      <c r="U500" s="40" t="str">
        <f aca="false">IF($A500="","",$B500&amp;"|"&amp;TEXT($A500,"yyyymmdd")&amp;"|"&amp;TEXT($I500,"0.00"))</f>
        <v/>
      </c>
      <c r="V500" s="35" t="str">
        <f aca="false">IF($A500="","",COUNTIF($U$8:$U$5007,$U500))</f>
        <v/>
      </c>
    </row>
    <row r="501" customFormat="false" ht="15" hidden="false" customHeight="false" outlineLevel="0" collapsed="false">
      <c r="A501" s="31"/>
      <c r="B501" s="32"/>
      <c r="C501" s="32"/>
      <c r="D501" s="32"/>
      <c r="E501" s="32"/>
      <c r="F501" s="32"/>
      <c r="G501" s="33"/>
      <c r="H501" s="33"/>
      <c r="I501" s="34" t="str">
        <f aca="false">IF($A501="","",$G501-$H501)</f>
        <v/>
      </c>
      <c r="J501" s="35" t="str">
        <f aca="false">IF($A501="","",IF(Setup!$B$6=1,YEAR($A501),YEAR($A501)+IF(MONTH($A501)&gt;=Setup!$B$6,1,0)))</f>
        <v/>
      </c>
      <c r="K501" s="35" t="str">
        <f aca="false">IF($A501="","",MOD(MONTH($A501)-Setup!$B$6+12,12)+1)</f>
        <v/>
      </c>
      <c r="L501" s="36" t="str">
        <f aca="false">IF($A501="","",TEXT($A501,"MMM-YY"))</f>
        <v/>
      </c>
      <c r="M501" s="37" t="str">
        <f aca="false">IF($A501="","",IF($Q501=0,"UNMAPPED",INDEX(COA_Mapping!$C$7:$C$256,$Q501)))</f>
        <v/>
      </c>
      <c r="N501" s="38" t="str">
        <f aca="false">IF($A501="","",IF($Q501=0,"",INDEX(COA_Mapping!$E$7:$E$256,$Q501)))</f>
        <v/>
      </c>
      <c r="O501" s="38" t="n">
        <f aca="false">IF($A501="",1,IF($Q501=0,1,INDEX(COA_Mapping!$F$7:$F$256,$Q501)))</f>
        <v>1</v>
      </c>
      <c r="P501" s="34" t="str">
        <f aca="false">IF($A501="","",$I501*$O501)</f>
        <v/>
      </c>
      <c r="Q501" s="39" t="n">
        <f aca="false">IF($B501="",0,IFERROR(MATCH($B501,COA_Mapping!$A$7:$A$256,0),0))</f>
        <v>0</v>
      </c>
      <c r="R501" s="39" t="n">
        <f aca="false">IF($A501="",-1,IF($J501=Setup!$B$7,1,IF($J501=Setup!$B$9,0,-1)))</f>
        <v>-1</v>
      </c>
      <c r="S501" s="35" t="n">
        <f aca="false">IF(OR($A501="",$Q501=0,$R501=-1),0,$Q501*1000+$R501*100+$K501)</f>
        <v>0</v>
      </c>
      <c r="T501" s="37" t="str">
        <f aca="false">IF($A501="","",IF($B501="","NO ACCOUNT",IF($Q501=0,"UNMAPPED",IF($R501=-1,"OUTSIDE FY RANGE","OK"))))</f>
        <v/>
      </c>
      <c r="U501" s="40" t="str">
        <f aca="false">IF($A501="","",$B501&amp;"|"&amp;TEXT($A501,"yyyymmdd")&amp;"|"&amp;TEXT($I501,"0.00"))</f>
        <v/>
      </c>
      <c r="V501" s="35" t="str">
        <f aca="false">IF($A501="","",COUNTIF($U$8:$U$5007,$U501))</f>
        <v/>
      </c>
    </row>
    <row r="502" customFormat="false" ht="15" hidden="false" customHeight="false" outlineLevel="0" collapsed="false">
      <c r="A502" s="31"/>
      <c r="B502" s="32"/>
      <c r="C502" s="32"/>
      <c r="D502" s="32"/>
      <c r="E502" s="32"/>
      <c r="F502" s="32"/>
      <c r="G502" s="33"/>
      <c r="H502" s="33"/>
      <c r="I502" s="34" t="str">
        <f aca="false">IF($A502="","",$G502-$H502)</f>
        <v/>
      </c>
      <c r="J502" s="35" t="str">
        <f aca="false">IF($A502="","",IF(Setup!$B$6=1,YEAR($A502),YEAR($A502)+IF(MONTH($A502)&gt;=Setup!$B$6,1,0)))</f>
        <v/>
      </c>
      <c r="K502" s="35" t="str">
        <f aca="false">IF($A502="","",MOD(MONTH($A502)-Setup!$B$6+12,12)+1)</f>
        <v/>
      </c>
      <c r="L502" s="36" t="str">
        <f aca="false">IF($A502="","",TEXT($A502,"MMM-YY"))</f>
        <v/>
      </c>
      <c r="M502" s="37" t="str">
        <f aca="false">IF($A502="","",IF($Q502=0,"UNMAPPED",INDEX(COA_Mapping!$C$7:$C$256,$Q502)))</f>
        <v/>
      </c>
      <c r="N502" s="38" t="str">
        <f aca="false">IF($A502="","",IF($Q502=0,"",INDEX(COA_Mapping!$E$7:$E$256,$Q502)))</f>
        <v/>
      </c>
      <c r="O502" s="38" t="n">
        <f aca="false">IF($A502="",1,IF($Q502=0,1,INDEX(COA_Mapping!$F$7:$F$256,$Q502)))</f>
        <v>1</v>
      </c>
      <c r="P502" s="34" t="str">
        <f aca="false">IF($A502="","",$I502*$O502)</f>
        <v/>
      </c>
      <c r="Q502" s="39" t="n">
        <f aca="false">IF($B502="",0,IFERROR(MATCH($B502,COA_Mapping!$A$7:$A$256,0),0))</f>
        <v>0</v>
      </c>
      <c r="R502" s="39" t="n">
        <f aca="false">IF($A502="",-1,IF($J502=Setup!$B$7,1,IF($J502=Setup!$B$9,0,-1)))</f>
        <v>-1</v>
      </c>
      <c r="S502" s="35" t="n">
        <f aca="false">IF(OR($A502="",$Q502=0,$R502=-1),0,$Q502*1000+$R502*100+$K502)</f>
        <v>0</v>
      </c>
      <c r="T502" s="37" t="str">
        <f aca="false">IF($A502="","",IF($B502="","NO ACCOUNT",IF($Q502=0,"UNMAPPED",IF($R502=-1,"OUTSIDE FY RANGE","OK"))))</f>
        <v/>
      </c>
      <c r="U502" s="40" t="str">
        <f aca="false">IF($A502="","",$B502&amp;"|"&amp;TEXT($A502,"yyyymmdd")&amp;"|"&amp;TEXT($I502,"0.00"))</f>
        <v/>
      </c>
      <c r="V502" s="35" t="str">
        <f aca="false">IF($A502="","",COUNTIF($U$8:$U$5007,$U502))</f>
        <v/>
      </c>
    </row>
    <row r="503" customFormat="false" ht="15" hidden="false" customHeight="false" outlineLevel="0" collapsed="false">
      <c r="A503" s="31"/>
      <c r="B503" s="32"/>
      <c r="C503" s="32"/>
      <c r="D503" s="32"/>
      <c r="E503" s="32"/>
      <c r="F503" s="32"/>
      <c r="G503" s="33"/>
      <c r="H503" s="33"/>
      <c r="I503" s="34" t="str">
        <f aca="false">IF($A503="","",$G503-$H503)</f>
        <v/>
      </c>
      <c r="J503" s="35" t="str">
        <f aca="false">IF($A503="","",IF(Setup!$B$6=1,YEAR($A503),YEAR($A503)+IF(MONTH($A503)&gt;=Setup!$B$6,1,0)))</f>
        <v/>
      </c>
      <c r="K503" s="35" t="str">
        <f aca="false">IF($A503="","",MOD(MONTH($A503)-Setup!$B$6+12,12)+1)</f>
        <v/>
      </c>
      <c r="L503" s="36" t="str">
        <f aca="false">IF($A503="","",TEXT($A503,"MMM-YY"))</f>
        <v/>
      </c>
      <c r="M503" s="37" t="str">
        <f aca="false">IF($A503="","",IF($Q503=0,"UNMAPPED",INDEX(COA_Mapping!$C$7:$C$256,$Q503)))</f>
        <v/>
      </c>
      <c r="N503" s="38" t="str">
        <f aca="false">IF($A503="","",IF($Q503=0,"",INDEX(COA_Mapping!$E$7:$E$256,$Q503)))</f>
        <v/>
      </c>
      <c r="O503" s="38" t="n">
        <f aca="false">IF($A503="",1,IF($Q503=0,1,INDEX(COA_Mapping!$F$7:$F$256,$Q503)))</f>
        <v>1</v>
      </c>
      <c r="P503" s="34" t="str">
        <f aca="false">IF($A503="","",$I503*$O503)</f>
        <v/>
      </c>
      <c r="Q503" s="39" t="n">
        <f aca="false">IF($B503="",0,IFERROR(MATCH($B503,COA_Mapping!$A$7:$A$256,0),0))</f>
        <v>0</v>
      </c>
      <c r="R503" s="39" t="n">
        <f aca="false">IF($A503="",-1,IF($J503=Setup!$B$7,1,IF($J503=Setup!$B$9,0,-1)))</f>
        <v>-1</v>
      </c>
      <c r="S503" s="35" t="n">
        <f aca="false">IF(OR($A503="",$Q503=0,$R503=-1),0,$Q503*1000+$R503*100+$K503)</f>
        <v>0</v>
      </c>
      <c r="T503" s="37" t="str">
        <f aca="false">IF($A503="","",IF($B503="","NO ACCOUNT",IF($Q503=0,"UNMAPPED",IF($R503=-1,"OUTSIDE FY RANGE","OK"))))</f>
        <v/>
      </c>
      <c r="U503" s="40" t="str">
        <f aca="false">IF($A503="","",$B503&amp;"|"&amp;TEXT($A503,"yyyymmdd")&amp;"|"&amp;TEXT($I503,"0.00"))</f>
        <v/>
      </c>
      <c r="V503" s="35" t="str">
        <f aca="false">IF($A503="","",COUNTIF($U$8:$U$5007,$U503))</f>
        <v/>
      </c>
    </row>
    <row r="504" customFormat="false" ht="15" hidden="false" customHeight="false" outlineLevel="0" collapsed="false">
      <c r="A504" s="31"/>
      <c r="B504" s="32"/>
      <c r="C504" s="32"/>
      <c r="D504" s="32"/>
      <c r="E504" s="32"/>
      <c r="F504" s="32"/>
      <c r="G504" s="33"/>
      <c r="H504" s="33"/>
      <c r="I504" s="34" t="str">
        <f aca="false">IF($A504="","",$G504-$H504)</f>
        <v/>
      </c>
      <c r="J504" s="35" t="str">
        <f aca="false">IF($A504="","",IF(Setup!$B$6=1,YEAR($A504),YEAR($A504)+IF(MONTH($A504)&gt;=Setup!$B$6,1,0)))</f>
        <v/>
      </c>
      <c r="K504" s="35" t="str">
        <f aca="false">IF($A504="","",MOD(MONTH($A504)-Setup!$B$6+12,12)+1)</f>
        <v/>
      </c>
      <c r="L504" s="36" t="str">
        <f aca="false">IF($A504="","",TEXT($A504,"MMM-YY"))</f>
        <v/>
      </c>
      <c r="M504" s="37" t="str">
        <f aca="false">IF($A504="","",IF($Q504=0,"UNMAPPED",INDEX(COA_Mapping!$C$7:$C$256,$Q504)))</f>
        <v/>
      </c>
      <c r="N504" s="38" t="str">
        <f aca="false">IF($A504="","",IF($Q504=0,"",INDEX(COA_Mapping!$E$7:$E$256,$Q504)))</f>
        <v/>
      </c>
      <c r="O504" s="38" t="n">
        <f aca="false">IF($A504="",1,IF($Q504=0,1,INDEX(COA_Mapping!$F$7:$F$256,$Q504)))</f>
        <v>1</v>
      </c>
      <c r="P504" s="34" t="str">
        <f aca="false">IF($A504="","",$I504*$O504)</f>
        <v/>
      </c>
      <c r="Q504" s="39" t="n">
        <f aca="false">IF($B504="",0,IFERROR(MATCH($B504,COA_Mapping!$A$7:$A$256,0),0))</f>
        <v>0</v>
      </c>
      <c r="R504" s="39" t="n">
        <f aca="false">IF($A504="",-1,IF($J504=Setup!$B$7,1,IF($J504=Setup!$B$9,0,-1)))</f>
        <v>-1</v>
      </c>
      <c r="S504" s="35" t="n">
        <f aca="false">IF(OR($A504="",$Q504=0,$R504=-1),0,$Q504*1000+$R504*100+$K504)</f>
        <v>0</v>
      </c>
      <c r="T504" s="37" t="str">
        <f aca="false">IF($A504="","",IF($B504="","NO ACCOUNT",IF($Q504=0,"UNMAPPED",IF($R504=-1,"OUTSIDE FY RANGE","OK"))))</f>
        <v/>
      </c>
      <c r="U504" s="40" t="str">
        <f aca="false">IF($A504="","",$B504&amp;"|"&amp;TEXT($A504,"yyyymmdd")&amp;"|"&amp;TEXT($I504,"0.00"))</f>
        <v/>
      </c>
      <c r="V504" s="35" t="str">
        <f aca="false">IF($A504="","",COUNTIF($U$8:$U$5007,$U504))</f>
        <v/>
      </c>
    </row>
    <row r="505" customFormat="false" ht="15" hidden="false" customHeight="false" outlineLevel="0" collapsed="false">
      <c r="A505" s="31"/>
      <c r="B505" s="32"/>
      <c r="C505" s="32"/>
      <c r="D505" s="32"/>
      <c r="E505" s="32"/>
      <c r="F505" s="32"/>
      <c r="G505" s="33"/>
      <c r="H505" s="33"/>
      <c r="I505" s="34" t="str">
        <f aca="false">IF($A505="","",$G505-$H505)</f>
        <v/>
      </c>
      <c r="J505" s="35" t="str">
        <f aca="false">IF($A505="","",IF(Setup!$B$6=1,YEAR($A505),YEAR($A505)+IF(MONTH($A505)&gt;=Setup!$B$6,1,0)))</f>
        <v/>
      </c>
      <c r="K505" s="35" t="str">
        <f aca="false">IF($A505="","",MOD(MONTH($A505)-Setup!$B$6+12,12)+1)</f>
        <v/>
      </c>
      <c r="L505" s="36" t="str">
        <f aca="false">IF($A505="","",TEXT($A505,"MMM-YY"))</f>
        <v/>
      </c>
      <c r="M505" s="37" t="str">
        <f aca="false">IF($A505="","",IF($Q505=0,"UNMAPPED",INDEX(COA_Mapping!$C$7:$C$256,$Q505)))</f>
        <v/>
      </c>
      <c r="N505" s="38" t="str">
        <f aca="false">IF($A505="","",IF($Q505=0,"",INDEX(COA_Mapping!$E$7:$E$256,$Q505)))</f>
        <v/>
      </c>
      <c r="O505" s="38" t="n">
        <f aca="false">IF($A505="",1,IF($Q505=0,1,INDEX(COA_Mapping!$F$7:$F$256,$Q505)))</f>
        <v>1</v>
      </c>
      <c r="P505" s="34" t="str">
        <f aca="false">IF($A505="","",$I505*$O505)</f>
        <v/>
      </c>
      <c r="Q505" s="39" t="n">
        <f aca="false">IF($B505="",0,IFERROR(MATCH($B505,COA_Mapping!$A$7:$A$256,0),0))</f>
        <v>0</v>
      </c>
      <c r="R505" s="39" t="n">
        <f aca="false">IF($A505="",-1,IF($J505=Setup!$B$7,1,IF($J505=Setup!$B$9,0,-1)))</f>
        <v>-1</v>
      </c>
      <c r="S505" s="35" t="n">
        <f aca="false">IF(OR($A505="",$Q505=0,$R505=-1),0,$Q505*1000+$R505*100+$K505)</f>
        <v>0</v>
      </c>
      <c r="T505" s="37" t="str">
        <f aca="false">IF($A505="","",IF($B505="","NO ACCOUNT",IF($Q505=0,"UNMAPPED",IF($R505=-1,"OUTSIDE FY RANGE","OK"))))</f>
        <v/>
      </c>
      <c r="U505" s="40" t="str">
        <f aca="false">IF($A505="","",$B505&amp;"|"&amp;TEXT($A505,"yyyymmdd")&amp;"|"&amp;TEXT($I505,"0.00"))</f>
        <v/>
      </c>
      <c r="V505" s="35" t="str">
        <f aca="false">IF($A505="","",COUNTIF($U$8:$U$5007,$U505))</f>
        <v/>
      </c>
    </row>
    <row r="506" customFormat="false" ht="15" hidden="false" customHeight="false" outlineLevel="0" collapsed="false">
      <c r="A506" s="31"/>
      <c r="B506" s="32"/>
      <c r="C506" s="32"/>
      <c r="D506" s="32"/>
      <c r="E506" s="32"/>
      <c r="F506" s="32"/>
      <c r="G506" s="33"/>
      <c r="H506" s="33"/>
      <c r="I506" s="34" t="str">
        <f aca="false">IF($A506="","",$G506-$H506)</f>
        <v/>
      </c>
      <c r="J506" s="35" t="str">
        <f aca="false">IF($A506="","",IF(Setup!$B$6=1,YEAR($A506),YEAR($A506)+IF(MONTH($A506)&gt;=Setup!$B$6,1,0)))</f>
        <v/>
      </c>
      <c r="K506" s="35" t="str">
        <f aca="false">IF($A506="","",MOD(MONTH($A506)-Setup!$B$6+12,12)+1)</f>
        <v/>
      </c>
      <c r="L506" s="36" t="str">
        <f aca="false">IF($A506="","",TEXT($A506,"MMM-YY"))</f>
        <v/>
      </c>
      <c r="M506" s="37" t="str">
        <f aca="false">IF($A506="","",IF($Q506=0,"UNMAPPED",INDEX(COA_Mapping!$C$7:$C$256,$Q506)))</f>
        <v/>
      </c>
      <c r="N506" s="38" t="str">
        <f aca="false">IF($A506="","",IF($Q506=0,"",INDEX(COA_Mapping!$E$7:$E$256,$Q506)))</f>
        <v/>
      </c>
      <c r="O506" s="38" t="n">
        <f aca="false">IF($A506="",1,IF($Q506=0,1,INDEX(COA_Mapping!$F$7:$F$256,$Q506)))</f>
        <v>1</v>
      </c>
      <c r="P506" s="34" t="str">
        <f aca="false">IF($A506="","",$I506*$O506)</f>
        <v/>
      </c>
      <c r="Q506" s="39" t="n">
        <f aca="false">IF($B506="",0,IFERROR(MATCH($B506,COA_Mapping!$A$7:$A$256,0),0))</f>
        <v>0</v>
      </c>
      <c r="R506" s="39" t="n">
        <f aca="false">IF($A506="",-1,IF($J506=Setup!$B$7,1,IF($J506=Setup!$B$9,0,-1)))</f>
        <v>-1</v>
      </c>
      <c r="S506" s="35" t="n">
        <f aca="false">IF(OR($A506="",$Q506=0,$R506=-1),0,$Q506*1000+$R506*100+$K506)</f>
        <v>0</v>
      </c>
      <c r="T506" s="37" t="str">
        <f aca="false">IF($A506="","",IF($B506="","NO ACCOUNT",IF($Q506=0,"UNMAPPED",IF($R506=-1,"OUTSIDE FY RANGE","OK"))))</f>
        <v/>
      </c>
      <c r="U506" s="40" t="str">
        <f aca="false">IF($A506="","",$B506&amp;"|"&amp;TEXT($A506,"yyyymmdd")&amp;"|"&amp;TEXT($I506,"0.00"))</f>
        <v/>
      </c>
      <c r="V506" s="35" t="str">
        <f aca="false">IF($A506="","",COUNTIF($U$8:$U$5007,$U506))</f>
        <v/>
      </c>
    </row>
    <row r="507" customFormat="false" ht="15" hidden="false" customHeight="false" outlineLevel="0" collapsed="false">
      <c r="A507" s="31"/>
      <c r="B507" s="32"/>
      <c r="C507" s="32"/>
      <c r="D507" s="32"/>
      <c r="E507" s="32"/>
      <c r="F507" s="32"/>
      <c r="G507" s="33"/>
      <c r="H507" s="33"/>
      <c r="I507" s="34" t="str">
        <f aca="false">IF($A507="","",$G507-$H507)</f>
        <v/>
      </c>
      <c r="J507" s="35" t="str">
        <f aca="false">IF($A507="","",IF(Setup!$B$6=1,YEAR($A507),YEAR($A507)+IF(MONTH($A507)&gt;=Setup!$B$6,1,0)))</f>
        <v/>
      </c>
      <c r="K507" s="35" t="str">
        <f aca="false">IF($A507="","",MOD(MONTH($A507)-Setup!$B$6+12,12)+1)</f>
        <v/>
      </c>
      <c r="L507" s="36" t="str">
        <f aca="false">IF($A507="","",TEXT($A507,"MMM-YY"))</f>
        <v/>
      </c>
      <c r="M507" s="37" t="str">
        <f aca="false">IF($A507="","",IF($Q507=0,"UNMAPPED",INDEX(COA_Mapping!$C$7:$C$256,$Q507)))</f>
        <v/>
      </c>
      <c r="N507" s="38" t="str">
        <f aca="false">IF($A507="","",IF($Q507=0,"",INDEX(COA_Mapping!$E$7:$E$256,$Q507)))</f>
        <v/>
      </c>
      <c r="O507" s="38" t="n">
        <f aca="false">IF($A507="",1,IF($Q507=0,1,INDEX(COA_Mapping!$F$7:$F$256,$Q507)))</f>
        <v>1</v>
      </c>
      <c r="P507" s="34" t="str">
        <f aca="false">IF($A507="","",$I507*$O507)</f>
        <v/>
      </c>
      <c r="Q507" s="39" t="n">
        <f aca="false">IF($B507="",0,IFERROR(MATCH($B507,COA_Mapping!$A$7:$A$256,0),0))</f>
        <v>0</v>
      </c>
      <c r="R507" s="39" t="n">
        <f aca="false">IF($A507="",-1,IF($J507=Setup!$B$7,1,IF($J507=Setup!$B$9,0,-1)))</f>
        <v>-1</v>
      </c>
      <c r="S507" s="35" t="n">
        <f aca="false">IF(OR($A507="",$Q507=0,$R507=-1),0,$Q507*1000+$R507*100+$K507)</f>
        <v>0</v>
      </c>
      <c r="T507" s="37" t="str">
        <f aca="false">IF($A507="","",IF($B507="","NO ACCOUNT",IF($Q507=0,"UNMAPPED",IF($R507=-1,"OUTSIDE FY RANGE","OK"))))</f>
        <v/>
      </c>
      <c r="U507" s="40" t="str">
        <f aca="false">IF($A507="","",$B507&amp;"|"&amp;TEXT($A507,"yyyymmdd")&amp;"|"&amp;TEXT($I507,"0.00"))</f>
        <v/>
      </c>
      <c r="V507" s="35" t="str">
        <f aca="false">IF($A507="","",COUNTIF($U$8:$U$5007,$U507))</f>
        <v/>
      </c>
    </row>
    <row r="508" customFormat="false" ht="15" hidden="false" customHeight="false" outlineLevel="0" collapsed="false">
      <c r="A508" s="31"/>
      <c r="B508" s="32"/>
      <c r="C508" s="32"/>
      <c r="D508" s="32"/>
      <c r="E508" s="32"/>
      <c r="F508" s="32"/>
      <c r="G508" s="33"/>
      <c r="H508" s="33"/>
      <c r="I508" s="34" t="str">
        <f aca="false">IF($A508="","",$G508-$H508)</f>
        <v/>
      </c>
      <c r="J508" s="35" t="str">
        <f aca="false">IF($A508="","",IF(Setup!$B$6=1,YEAR($A508),YEAR($A508)+IF(MONTH($A508)&gt;=Setup!$B$6,1,0)))</f>
        <v/>
      </c>
      <c r="K508" s="35" t="str">
        <f aca="false">IF($A508="","",MOD(MONTH($A508)-Setup!$B$6+12,12)+1)</f>
        <v/>
      </c>
      <c r="L508" s="36" t="str">
        <f aca="false">IF($A508="","",TEXT($A508,"MMM-YY"))</f>
        <v/>
      </c>
      <c r="M508" s="37" t="str">
        <f aca="false">IF($A508="","",IF($Q508=0,"UNMAPPED",INDEX(COA_Mapping!$C$7:$C$256,$Q508)))</f>
        <v/>
      </c>
      <c r="N508" s="38" t="str">
        <f aca="false">IF($A508="","",IF($Q508=0,"",INDEX(COA_Mapping!$E$7:$E$256,$Q508)))</f>
        <v/>
      </c>
      <c r="O508" s="38" t="n">
        <f aca="false">IF($A508="",1,IF($Q508=0,1,INDEX(COA_Mapping!$F$7:$F$256,$Q508)))</f>
        <v>1</v>
      </c>
      <c r="P508" s="34" t="str">
        <f aca="false">IF($A508="","",$I508*$O508)</f>
        <v/>
      </c>
      <c r="Q508" s="39" t="n">
        <f aca="false">IF($B508="",0,IFERROR(MATCH($B508,COA_Mapping!$A$7:$A$256,0),0))</f>
        <v>0</v>
      </c>
      <c r="R508" s="39" t="n">
        <f aca="false">IF($A508="",-1,IF($J508=Setup!$B$7,1,IF($J508=Setup!$B$9,0,-1)))</f>
        <v>-1</v>
      </c>
      <c r="S508" s="35" t="n">
        <f aca="false">IF(OR($A508="",$Q508=0,$R508=-1),0,$Q508*1000+$R508*100+$K508)</f>
        <v>0</v>
      </c>
      <c r="T508" s="37" t="str">
        <f aca="false">IF($A508="","",IF($B508="","NO ACCOUNT",IF($Q508=0,"UNMAPPED",IF($R508=-1,"OUTSIDE FY RANGE","OK"))))</f>
        <v/>
      </c>
      <c r="U508" s="40" t="str">
        <f aca="false">IF($A508="","",$B508&amp;"|"&amp;TEXT($A508,"yyyymmdd")&amp;"|"&amp;TEXT($I508,"0.00"))</f>
        <v/>
      </c>
      <c r="V508" s="35" t="str">
        <f aca="false">IF($A508="","",COUNTIF($U$8:$U$5007,$U508))</f>
        <v/>
      </c>
    </row>
    <row r="509" customFormat="false" ht="15" hidden="false" customHeight="false" outlineLevel="0" collapsed="false">
      <c r="A509" s="31"/>
      <c r="B509" s="32"/>
      <c r="C509" s="32"/>
      <c r="D509" s="32"/>
      <c r="E509" s="32"/>
      <c r="F509" s="32"/>
      <c r="G509" s="33"/>
      <c r="H509" s="33"/>
      <c r="I509" s="34" t="str">
        <f aca="false">IF($A509="","",$G509-$H509)</f>
        <v/>
      </c>
      <c r="J509" s="35" t="str">
        <f aca="false">IF($A509="","",IF(Setup!$B$6=1,YEAR($A509),YEAR($A509)+IF(MONTH($A509)&gt;=Setup!$B$6,1,0)))</f>
        <v/>
      </c>
      <c r="K509" s="35" t="str">
        <f aca="false">IF($A509="","",MOD(MONTH($A509)-Setup!$B$6+12,12)+1)</f>
        <v/>
      </c>
      <c r="L509" s="36" t="str">
        <f aca="false">IF($A509="","",TEXT($A509,"MMM-YY"))</f>
        <v/>
      </c>
      <c r="M509" s="37" t="str">
        <f aca="false">IF($A509="","",IF($Q509=0,"UNMAPPED",INDEX(COA_Mapping!$C$7:$C$256,$Q509)))</f>
        <v/>
      </c>
      <c r="N509" s="38" t="str">
        <f aca="false">IF($A509="","",IF($Q509=0,"",INDEX(COA_Mapping!$E$7:$E$256,$Q509)))</f>
        <v/>
      </c>
      <c r="O509" s="38" t="n">
        <f aca="false">IF($A509="",1,IF($Q509=0,1,INDEX(COA_Mapping!$F$7:$F$256,$Q509)))</f>
        <v>1</v>
      </c>
      <c r="P509" s="34" t="str">
        <f aca="false">IF($A509="","",$I509*$O509)</f>
        <v/>
      </c>
      <c r="Q509" s="39" t="n">
        <f aca="false">IF($B509="",0,IFERROR(MATCH($B509,COA_Mapping!$A$7:$A$256,0),0))</f>
        <v>0</v>
      </c>
      <c r="R509" s="39" t="n">
        <f aca="false">IF($A509="",-1,IF($J509=Setup!$B$7,1,IF($J509=Setup!$B$9,0,-1)))</f>
        <v>-1</v>
      </c>
      <c r="S509" s="35" t="n">
        <f aca="false">IF(OR($A509="",$Q509=0,$R509=-1),0,$Q509*1000+$R509*100+$K509)</f>
        <v>0</v>
      </c>
      <c r="T509" s="37" t="str">
        <f aca="false">IF($A509="","",IF($B509="","NO ACCOUNT",IF($Q509=0,"UNMAPPED",IF($R509=-1,"OUTSIDE FY RANGE","OK"))))</f>
        <v/>
      </c>
      <c r="U509" s="40" t="str">
        <f aca="false">IF($A509="","",$B509&amp;"|"&amp;TEXT($A509,"yyyymmdd")&amp;"|"&amp;TEXT($I509,"0.00"))</f>
        <v/>
      </c>
      <c r="V509" s="35" t="str">
        <f aca="false">IF($A509="","",COUNTIF($U$8:$U$5007,$U509))</f>
        <v/>
      </c>
    </row>
    <row r="510" customFormat="false" ht="15" hidden="false" customHeight="false" outlineLevel="0" collapsed="false">
      <c r="A510" s="31"/>
      <c r="B510" s="32"/>
      <c r="C510" s="32"/>
      <c r="D510" s="32"/>
      <c r="E510" s="32"/>
      <c r="F510" s="32"/>
      <c r="G510" s="33"/>
      <c r="H510" s="33"/>
      <c r="I510" s="34" t="str">
        <f aca="false">IF($A510="","",$G510-$H510)</f>
        <v/>
      </c>
      <c r="J510" s="35" t="str">
        <f aca="false">IF($A510="","",IF(Setup!$B$6=1,YEAR($A510),YEAR($A510)+IF(MONTH($A510)&gt;=Setup!$B$6,1,0)))</f>
        <v/>
      </c>
      <c r="K510" s="35" t="str">
        <f aca="false">IF($A510="","",MOD(MONTH($A510)-Setup!$B$6+12,12)+1)</f>
        <v/>
      </c>
      <c r="L510" s="36" t="str">
        <f aca="false">IF($A510="","",TEXT($A510,"MMM-YY"))</f>
        <v/>
      </c>
      <c r="M510" s="37" t="str">
        <f aca="false">IF($A510="","",IF($Q510=0,"UNMAPPED",INDEX(COA_Mapping!$C$7:$C$256,$Q510)))</f>
        <v/>
      </c>
      <c r="N510" s="38" t="str">
        <f aca="false">IF($A510="","",IF($Q510=0,"",INDEX(COA_Mapping!$E$7:$E$256,$Q510)))</f>
        <v/>
      </c>
      <c r="O510" s="38" t="n">
        <f aca="false">IF($A510="",1,IF($Q510=0,1,INDEX(COA_Mapping!$F$7:$F$256,$Q510)))</f>
        <v>1</v>
      </c>
      <c r="P510" s="34" t="str">
        <f aca="false">IF($A510="","",$I510*$O510)</f>
        <v/>
      </c>
      <c r="Q510" s="39" t="n">
        <f aca="false">IF($B510="",0,IFERROR(MATCH($B510,COA_Mapping!$A$7:$A$256,0),0))</f>
        <v>0</v>
      </c>
      <c r="R510" s="39" t="n">
        <f aca="false">IF($A510="",-1,IF($J510=Setup!$B$7,1,IF($J510=Setup!$B$9,0,-1)))</f>
        <v>-1</v>
      </c>
      <c r="S510" s="35" t="n">
        <f aca="false">IF(OR($A510="",$Q510=0,$R510=-1),0,$Q510*1000+$R510*100+$K510)</f>
        <v>0</v>
      </c>
      <c r="T510" s="37" t="str">
        <f aca="false">IF($A510="","",IF($B510="","NO ACCOUNT",IF($Q510=0,"UNMAPPED",IF($R510=-1,"OUTSIDE FY RANGE","OK"))))</f>
        <v/>
      </c>
      <c r="U510" s="40" t="str">
        <f aca="false">IF($A510="","",$B510&amp;"|"&amp;TEXT($A510,"yyyymmdd")&amp;"|"&amp;TEXT($I510,"0.00"))</f>
        <v/>
      </c>
      <c r="V510" s="35" t="str">
        <f aca="false">IF($A510="","",COUNTIF($U$8:$U$5007,$U510))</f>
        <v/>
      </c>
    </row>
    <row r="511" customFormat="false" ht="15" hidden="false" customHeight="false" outlineLevel="0" collapsed="false">
      <c r="A511" s="31"/>
      <c r="B511" s="32"/>
      <c r="C511" s="32"/>
      <c r="D511" s="32"/>
      <c r="E511" s="32"/>
      <c r="F511" s="32"/>
      <c r="G511" s="33"/>
      <c r="H511" s="33"/>
      <c r="I511" s="34" t="str">
        <f aca="false">IF($A511="","",$G511-$H511)</f>
        <v/>
      </c>
      <c r="J511" s="35" t="str">
        <f aca="false">IF($A511="","",IF(Setup!$B$6=1,YEAR($A511),YEAR($A511)+IF(MONTH($A511)&gt;=Setup!$B$6,1,0)))</f>
        <v/>
      </c>
      <c r="K511" s="35" t="str">
        <f aca="false">IF($A511="","",MOD(MONTH($A511)-Setup!$B$6+12,12)+1)</f>
        <v/>
      </c>
      <c r="L511" s="36" t="str">
        <f aca="false">IF($A511="","",TEXT($A511,"MMM-YY"))</f>
        <v/>
      </c>
      <c r="M511" s="37" t="str">
        <f aca="false">IF($A511="","",IF($Q511=0,"UNMAPPED",INDEX(COA_Mapping!$C$7:$C$256,$Q511)))</f>
        <v/>
      </c>
      <c r="N511" s="38" t="str">
        <f aca="false">IF($A511="","",IF($Q511=0,"",INDEX(COA_Mapping!$E$7:$E$256,$Q511)))</f>
        <v/>
      </c>
      <c r="O511" s="38" t="n">
        <f aca="false">IF($A511="",1,IF($Q511=0,1,INDEX(COA_Mapping!$F$7:$F$256,$Q511)))</f>
        <v>1</v>
      </c>
      <c r="P511" s="34" t="str">
        <f aca="false">IF($A511="","",$I511*$O511)</f>
        <v/>
      </c>
      <c r="Q511" s="39" t="n">
        <f aca="false">IF($B511="",0,IFERROR(MATCH($B511,COA_Mapping!$A$7:$A$256,0),0))</f>
        <v>0</v>
      </c>
      <c r="R511" s="39" t="n">
        <f aca="false">IF($A511="",-1,IF($J511=Setup!$B$7,1,IF($J511=Setup!$B$9,0,-1)))</f>
        <v>-1</v>
      </c>
      <c r="S511" s="35" t="n">
        <f aca="false">IF(OR($A511="",$Q511=0,$R511=-1),0,$Q511*1000+$R511*100+$K511)</f>
        <v>0</v>
      </c>
      <c r="T511" s="37" t="str">
        <f aca="false">IF($A511="","",IF($B511="","NO ACCOUNT",IF($Q511=0,"UNMAPPED",IF($R511=-1,"OUTSIDE FY RANGE","OK"))))</f>
        <v/>
      </c>
      <c r="U511" s="40" t="str">
        <f aca="false">IF($A511="","",$B511&amp;"|"&amp;TEXT($A511,"yyyymmdd")&amp;"|"&amp;TEXT($I511,"0.00"))</f>
        <v/>
      </c>
      <c r="V511" s="35" t="str">
        <f aca="false">IF($A511="","",COUNTIF($U$8:$U$5007,$U511))</f>
        <v/>
      </c>
    </row>
    <row r="512" customFormat="false" ht="15" hidden="false" customHeight="false" outlineLevel="0" collapsed="false">
      <c r="A512" s="31"/>
      <c r="B512" s="32"/>
      <c r="C512" s="32"/>
      <c r="D512" s="32"/>
      <c r="E512" s="32"/>
      <c r="F512" s="32"/>
      <c r="G512" s="33"/>
      <c r="H512" s="33"/>
      <c r="I512" s="34" t="str">
        <f aca="false">IF($A512="","",$G512-$H512)</f>
        <v/>
      </c>
      <c r="J512" s="35" t="str">
        <f aca="false">IF($A512="","",IF(Setup!$B$6=1,YEAR($A512),YEAR($A512)+IF(MONTH($A512)&gt;=Setup!$B$6,1,0)))</f>
        <v/>
      </c>
      <c r="K512" s="35" t="str">
        <f aca="false">IF($A512="","",MOD(MONTH($A512)-Setup!$B$6+12,12)+1)</f>
        <v/>
      </c>
      <c r="L512" s="36" t="str">
        <f aca="false">IF($A512="","",TEXT($A512,"MMM-YY"))</f>
        <v/>
      </c>
      <c r="M512" s="37" t="str">
        <f aca="false">IF($A512="","",IF($Q512=0,"UNMAPPED",INDEX(COA_Mapping!$C$7:$C$256,$Q512)))</f>
        <v/>
      </c>
      <c r="N512" s="38" t="str">
        <f aca="false">IF($A512="","",IF($Q512=0,"",INDEX(COA_Mapping!$E$7:$E$256,$Q512)))</f>
        <v/>
      </c>
      <c r="O512" s="38" t="n">
        <f aca="false">IF($A512="",1,IF($Q512=0,1,INDEX(COA_Mapping!$F$7:$F$256,$Q512)))</f>
        <v>1</v>
      </c>
      <c r="P512" s="34" t="str">
        <f aca="false">IF($A512="","",$I512*$O512)</f>
        <v/>
      </c>
      <c r="Q512" s="39" t="n">
        <f aca="false">IF($B512="",0,IFERROR(MATCH($B512,COA_Mapping!$A$7:$A$256,0),0))</f>
        <v>0</v>
      </c>
      <c r="R512" s="39" t="n">
        <f aca="false">IF($A512="",-1,IF($J512=Setup!$B$7,1,IF($J512=Setup!$B$9,0,-1)))</f>
        <v>-1</v>
      </c>
      <c r="S512" s="35" t="n">
        <f aca="false">IF(OR($A512="",$Q512=0,$R512=-1),0,$Q512*1000+$R512*100+$K512)</f>
        <v>0</v>
      </c>
      <c r="T512" s="37" t="str">
        <f aca="false">IF($A512="","",IF($B512="","NO ACCOUNT",IF($Q512=0,"UNMAPPED",IF($R512=-1,"OUTSIDE FY RANGE","OK"))))</f>
        <v/>
      </c>
      <c r="U512" s="40" t="str">
        <f aca="false">IF($A512="","",$B512&amp;"|"&amp;TEXT($A512,"yyyymmdd")&amp;"|"&amp;TEXT($I512,"0.00"))</f>
        <v/>
      </c>
      <c r="V512" s="35" t="str">
        <f aca="false">IF($A512="","",COUNTIF($U$8:$U$5007,$U512))</f>
        <v/>
      </c>
    </row>
    <row r="513" customFormat="false" ht="15" hidden="false" customHeight="false" outlineLevel="0" collapsed="false">
      <c r="A513" s="31"/>
      <c r="B513" s="32"/>
      <c r="C513" s="32"/>
      <c r="D513" s="32"/>
      <c r="E513" s="32"/>
      <c r="F513" s="32"/>
      <c r="G513" s="33"/>
      <c r="H513" s="33"/>
      <c r="I513" s="34" t="str">
        <f aca="false">IF($A513="","",$G513-$H513)</f>
        <v/>
      </c>
      <c r="J513" s="35" t="str">
        <f aca="false">IF($A513="","",IF(Setup!$B$6=1,YEAR($A513),YEAR($A513)+IF(MONTH($A513)&gt;=Setup!$B$6,1,0)))</f>
        <v/>
      </c>
      <c r="K513" s="35" t="str">
        <f aca="false">IF($A513="","",MOD(MONTH($A513)-Setup!$B$6+12,12)+1)</f>
        <v/>
      </c>
      <c r="L513" s="36" t="str">
        <f aca="false">IF($A513="","",TEXT($A513,"MMM-YY"))</f>
        <v/>
      </c>
      <c r="M513" s="37" t="str">
        <f aca="false">IF($A513="","",IF($Q513=0,"UNMAPPED",INDEX(COA_Mapping!$C$7:$C$256,$Q513)))</f>
        <v/>
      </c>
      <c r="N513" s="38" t="str">
        <f aca="false">IF($A513="","",IF($Q513=0,"",INDEX(COA_Mapping!$E$7:$E$256,$Q513)))</f>
        <v/>
      </c>
      <c r="O513" s="38" t="n">
        <f aca="false">IF($A513="",1,IF($Q513=0,1,INDEX(COA_Mapping!$F$7:$F$256,$Q513)))</f>
        <v>1</v>
      </c>
      <c r="P513" s="34" t="str">
        <f aca="false">IF($A513="","",$I513*$O513)</f>
        <v/>
      </c>
      <c r="Q513" s="39" t="n">
        <f aca="false">IF($B513="",0,IFERROR(MATCH($B513,COA_Mapping!$A$7:$A$256,0),0))</f>
        <v>0</v>
      </c>
      <c r="R513" s="39" t="n">
        <f aca="false">IF($A513="",-1,IF($J513=Setup!$B$7,1,IF($J513=Setup!$B$9,0,-1)))</f>
        <v>-1</v>
      </c>
      <c r="S513" s="35" t="n">
        <f aca="false">IF(OR($A513="",$Q513=0,$R513=-1),0,$Q513*1000+$R513*100+$K513)</f>
        <v>0</v>
      </c>
      <c r="T513" s="37" t="str">
        <f aca="false">IF($A513="","",IF($B513="","NO ACCOUNT",IF($Q513=0,"UNMAPPED",IF($R513=-1,"OUTSIDE FY RANGE","OK"))))</f>
        <v/>
      </c>
      <c r="U513" s="40" t="str">
        <f aca="false">IF($A513="","",$B513&amp;"|"&amp;TEXT($A513,"yyyymmdd")&amp;"|"&amp;TEXT($I513,"0.00"))</f>
        <v/>
      </c>
      <c r="V513" s="35" t="str">
        <f aca="false">IF($A513="","",COUNTIF($U$8:$U$5007,$U513))</f>
        <v/>
      </c>
    </row>
    <row r="514" customFormat="false" ht="15" hidden="false" customHeight="false" outlineLevel="0" collapsed="false">
      <c r="A514" s="31"/>
      <c r="B514" s="32"/>
      <c r="C514" s="32"/>
      <c r="D514" s="32"/>
      <c r="E514" s="32"/>
      <c r="F514" s="32"/>
      <c r="G514" s="33"/>
      <c r="H514" s="33"/>
      <c r="I514" s="34" t="str">
        <f aca="false">IF($A514="","",$G514-$H514)</f>
        <v/>
      </c>
      <c r="J514" s="35" t="str">
        <f aca="false">IF($A514="","",IF(Setup!$B$6=1,YEAR($A514),YEAR($A514)+IF(MONTH($A514)&gt;=Setup!$B$6,1,0)))</f>
        <v/>
      </c>
      <c r="K514" s="35" t="str">
        <f aca="false">IF($A514="","",MOD(MONTH($A514)-Setup!$B$6+12,12)+1)</f>
        <v/>
      </c>
      <c r="L514" s="36" t="str">
        <f aca="false">IF($A514="","",TEXT($A514,"MMM-YY"))</f>
        <v/>
      </c>
      <c r="M514" s="37" t="str">
        <f aca="false">IF($A514="","",IF($Q514=0,"UNMAPPED",INDEX(COA_Mapping!$C$7:$C$256,$Q514)))</f>
        <v/>
      </c>
      <c r="N514" s="38" t="str">
        <f aca="false">IF($A514="","",IF($Q514=0,"",INDEX(COA_Mapping!$E$7:$E$256,$Q514)))</f>
        <v/>
      </c>
      <c r="O514" s="38" t="n">
        <f aca="false">IF($A514="",1,IF($Q514=0,1,INDEX(COA_Mapping!$F$7:$F$256,$Q514)))</f>
        <v>1</v>
      </c>
      <c r="P514" s="34" t="str">
        <f aca="false">IF($A514="","",$I514*$O514)</f>
        <v/>
      </c>
      <c r="Q514" s="39" t="n">
        <f aca="false">IF($B514="",0,IFERROR(MATCH($B514,COA_Mapping!$A$7:$A$256,0),0))</f>
        <v>0</v>
      </c>
      <c r="R514" s="39" t="n">
        <f aca="false">IF($A514="",-1,IF($J514=Setup!$B$7,1,IF($J514=Setup!$B$9,0,-1)))</f>
        <v>-1</v>
      </c>
      <c r="S514" s="35" t="n">
        <f aca="false">IF(OR($A514="",$Q514=0,$R514=-1),0,$Q514*1000+$R514*100+$K514)</f>
        <v>0</v>
      </c>
      <c r="T514" s="37" t="str">
        <f aca="false">IF($A514="","",IF($B514="","NO ACCOUNT",IF($Q514=0,"UNMAPPED",IF($R514=-1,"OUTSIDE FY RANGE","OK"))))</f>
        <v/>
      </c>
      <c r="U514" s="40" t="str">
        <f aca="false">IF($A514="","",$B514&amp;"|"&amp;TEXT($A514,"yyyymmdd")&amp;"|"&amp;TEXT($I514,"0.00"))</f>
        <v/>
      </c>
      <c r="V514" s="35" t="str">
        <f aca="false">IF($A514="","",COUNTIF($U$8:$U$5007,$U514))</f>
        <v/>
      </c>
    </row>
    <row r="515" customFormat="false" ht="15" hidden="false" customHeight="false" outlineLevel="0" collapsed="false">
      <c r="A515" s="31"/>
      <c r="B515" s="32"/>
      <c r="C515" s="32"/>
      <c r="D515" s="32"/>
      <c r="E515" s="32"/>
      <c r="F515" s="32"/>
      <c r="G515" s="33"/>
      <c r="H515" s="33"/>
      <c r="I515" s="34" t="str">
        <f aca="false">IF($A515="","",$G515-$H515)</f>
        <v/>
      </c>
      <c r="J515" s="35" t="str">
        <f aca="false">IF($A515="","",IF(Setup!$B$6=1,YEAR($A515),YEAR($A515)+IF(MONTH($A515)&gt;=Setup!$B$6,1,0)))</f>
        <v/>
      </c>
      <c r="K515" s="35" t="str">
        <f aca="false">IF($A515="","",MOD(MONTH($A515)-Setup!$B$6+12,12)+1)</f>
        <v/>
      </c>
      <c r="L515" s="36" t="str">
        <f aca="false">IF($A515="","",TEXT($A515,"MMM-YY"))</f>
        <v/>
      </c>
      <c r="M515" s="37" t="str">
        <f aca="false">IF($A515="","",IF($Q515=0,"UNMAPPED",INDEX(COA_Mapping!$C$7:$C$256,$Q515)))</f>
        <v/>
      </c>
      <c r="N515" s="38" t="str">
        <f aca="false">IF($A515="","",IF($Q515=0,"",INDEX(COA_Mapping!$E$7:$E$256,$Q515)))</f>
        <v/>
      </c>
      <c r="O515" s="38" t="n">
        <f aca="false">IF($A515="",1,IF($Q515=0,1,INDEX(COA_Mapping!$F$7:$F$256,$Q515)))</f>
        <v>1</v>
      </c>
      <c r="P515" s="34" t="str">
        <f aca="false">IF($A515="","",$I515*$O515)</f>
        <v/>
      </c>
      <c r="Q515" s="39" t="n">
        <f aca="false">IF($B515="",0,IFERROR(MATCH($B515,COA_Mapping!$A$7:$A$256,0),0))</f>
        <v>0</v>
      </c>
      <c r="R515" s="39" t="n">
        <f aca="false">IF($A515="",-1,IF($J515=Setup!$B$7,1,IF($J515=Setup!$B$9,0,-1)))</f>
        <v>-1</v>
      </c>
      <c r="S515" s="35" t="n">
        <f aca="false">IF(OR($A515="",$Q515=0,$R515=-1),0,$Q515*1000+$R515*100+$K515)</f>
        <v>0</v>
      </c>
      <c r="T515" s="37" t="str">
        <f aca="false">IF($A515="","",IF($B515="","NO ACCOUNT",IF($Q515=0,"UNMAPPED",IF($R515=-1,"OUTSIDE FY RANGE","OK"))))</f>
        <v/>
      </c>
      <c r="U515" s="40" t="str">
        <f aca="false">IF($A515="","",$B515&amp;"|"&amp;TEXT($A515,"yyyymmdd")&amp;"|"&amp;TEXT($I515,"0.00"))</f>
        <v/>
      </c>
      <c r="V515" s="35" t="str">
        <f aca="false">IF($A515="","",COUNTIF($U$8:$U$5007,$U515))</f>
        <v/>
      </c>
    </row>
    <row r="516" customFormat="false" ht="15" hidden="false" customHeight="false" outlineLevel="0" collapsed="false">
      <c r="A516" s="31"/>
      <c r="B516" s="32"/>
      <c r="C516" s="32"/>
      <c r="D516" s="32"/>
      <c r="E516" s="32"/>
      <c r="F516" s="32"/>
      <c r="G516" s="33"/>
      <c r="H516" s="33"/>
      <c r="I516" s="34" t="str">
        <f aca="false">IF($A516="","",$G516-$H516)</f>
        <v/>
      </c>
      <c r="J516" s="35" t="str">
        <f aca="false">IF($A516="","",IF(Setup!$B$6=1,YEAR($A516),YEAR($A516)+IF(MONTH($A516)&gt;=Setup!$B$6,1,0)))</f>
        <v/>
      </c>
      <c r="K516" s="35" t="str">
        <f aca="false">IF($A516="","",MOD(MONTH($A516)-Setup!$B$6+12,12)+1)</f>
        <v/>
      </c>
      <c r="L516" s="36" t="str">
        <f aca="false">IF($A516="","",TEXT($A516,"MMM-YY"))</f>
        <v/>
      </c>
      <c r="M516" s="37" t="str">
        <f aca="false">IF($A516="","",IF($Q516=0,"UNMAPPED",INDEX(COA_Mapping!$C$7:$C$256,$Q516)))</f>
        <v/>
      </c>
      <c r="N516" s="38" t="str">
        <f aca="false">IF($A516="","",IF($Q516=0,"",INDEX(COA_Mapping!$E$7:$E$256,$Q516)))</f>
        <v/>
      </c>
      <c r="O516" s="38" t="n">
        <f aca="false">IF($A516="",1,IF($Q516=0,1,INDEX(COA_Mapping!$F$7:$F$256,$Q516)))</f>
        <v>1</v>
      </c>
      <c r="P516" s="34" t="str">
        <f aca="false">IF($A516="","",$I516*$O516)</f>
        <v/>
      </c>
      <c r="Q516" s="39" t="n">
        <f aca="false">IF($B516="",0,IFERROR(MATCH($B516,COA_Mapping!$A$7:$A$256,0),0))</f>
        <v>0</v>
      </c>
      <c r="R516" s="39" t="n">
        <f aca="false">IF($A516="",-1,IF($J516=Setup!$B$7,1,IF($J516=Setup!$B$9,0,-1)))</f>
        <v>-1</v>
      </c>
      <c r="S516" s="35" t="n">
        <f aca="false">IF(OR($A516="",$Q516=0,$R516=-1),0,$Q516*1000+$R516*100+$K516)</f>
        <v>0</v>
      </c>
      <c r="T516" s="37" t="str">
        <f aca="false">IF($A516="","",IF($B516="","NO ACCOUNT",IF($Q516=0,"UNMAPPED",IF($R516=-1,"OUTSIDE FY RANGE","OK"))))</f>
        <v/>
      </c>
      <c r="U516" s="40" t="str">
        <f aca="false">IF($A516="","",$B516&amp;"|"&amp;TEXT($A516,"yyyymmdd")&amp;"|"&amp;TEXT($I516,"0.00"))</f>
        <v/>
      </c>
      <c r="V516" s="35" t="str">
        <f aca="false">IF($A516="","",COUNTIF($U$8:$U$5007,$U516))</f>
        <v/>
      </c>
    </row>
    <row r="517" customFormat="false" ht="15" hidden="false" customHeight="false" outlineLevel="0" collapsed="false">
      <c r="A517" s="31"/>
      <c r="B517" s="32"/>
      <c r="C517" s="32"/>
      <c r="D517" s="32"/>
      <c r="E517" s="32"/>
      <c r="F517" s="32"/>
      <c r="G517" s="33"/>
      <c r="H517" s="33"/>
      <c r="I517" s="34" t="str">
        <f aca="false">IF($A517="","",$G517-$H517)</f>
        <v/>
      </c>
      <c r="J517" s="35" t="str">
        <f aca="false">IF($A517="","",IF(Setup!$B$6=1,YEAR($A517),YEAR($A517)+IF(MONTH($A517)&gt;=Setup!$B$6,1,0)))</f>
        <v/>
      </c>
      <c r="K517" s="35" t="str">
        <f aca="false">IF($A517="","",MOD(MONTH($A517)-Setup!$B$6+12,12)+1)</f>
        <v/>
      </c>
      <c r="L517" s="36" t="str">
        <f aca="false">IF($A517="","",TEXT($A517,"MMM-YY"))</f>
        <v/>
      </c>
      <c r="M517" s="37" t="str">
        <f aca="false">IF($A517="","",IF($Q517=0,"UNMAPPED",INDEX(COA_Mapping!$C$7:$C$256,$Q517)))</f>
        <v/>
      </c>
      <c r="N517" s="38" t="str">
        <f aca="false">IF($A517="","",IF($Q517=0,"",INDEX(COA_Mapping!$E$7:$E$256,$Q517)))</f>
        <v/>
      </c>
      <c r="O517" s="38" t="n">
        <f aca="false">IF($A517="",1,IF($Q517=0,1,INDEX(COA_Mapping!$F$7:$F$256,$Q517)))</f>
        <v>1</v>
      </c>
      <c r="P517" s="34" t="str">
        <f aca="false">IF($A517="","",$I517*$O517)</f>
        <v/>
      </c>
      <c r="Q517" s="39" t="n">
        <f aca="false">IF($B517="",0,IFERROR(MATCH($B517,COA_Mapping!$A$7:$A$256,0),0))</f>
        <v>0</v>
      </c>
      <c r="R517" s="39" t="n">
        <f aca="false">IF($A517="",-1,IF($J517=Setup!$B$7,1,IF($J517=Setup!$B$9,0,-1)))</f>
        <v>-1</v>
      </c>
      <c r="S517" s="35" t="n">
        <f aca="false">IF(OR($A517="",$Q517=0,$R517=-1),0,$Q517*1000+$R517*100+$K517)</f>
        <v>0</v>
      </c>
      <c r="T517" s="37" t="str">
        <f aca="false">IF($A517="","",IF($B517="","NO ACCOUNT",IF($Q517=0,"UNMAPPED",IF($R517=-1,"OUTSIDE FY RANGE","OK"))))</f>
        <v/>
      </c>
      <c r="U517" s="40" t="str">
        <f aca="false">IF($A517="","",$B517&amp;"|"&amp;TEXT($A517,"yyyymmdd")&amp;"|"&amp;TEXT($I517,"0.00"))</f>
        <v/>
      </c>
      <c r="V517" s="35" t="str">
        <f aca="false">IF($A517="","",COUNTIF($U$8:$U$5007,$U517))</f>
        <v/>
      </c>
    </row>
    <row r="518" customFormat="false" ht="15" hidden="false" customHeight="false" outlineLevel="0" collapsed="false">
      <c r="A518" s="31"/>
      <c r="B518" s="32"/>
      <c r="C518" s="32"/>
      <c r="D518" s="32"/>
      <c r="E518" s="32"/>
      <c r="F518" s="32"/>
      <c r="G518" s="33"/>
      <c r="H518" s="33"/>
      <c r="I518" s="34" t="str">
        <f aca="false">IF($A518="","",$G518-$H518)</f>
        <v/>
      </c>
      <c r="J518" s="35" t="str">
        <f aca="false">IF($A518="","",IF(Setup!$B$6=1,YEAR($A518),YEAR($A518)+IF(MONTH($A518)&gt;=Setup!$B$6,1,0)))</f>
        <v/>
      </c>
      <c r="K518" s="35" t="str">
        <f aca="false">IF($A518="","",MOD(MONTH($A518)-Setup!$B$6+12,12)+1)</f>
        <v/>
      </c>
      <c r="L518" s="36" t="str">
        <f aca="false">IF($A518="","",TEXT($A518,"MMM-YY"))</f>
        <v/>
      </c>
      <c r="M518" s="37" t="str">
        <f aca="false">IF($A518="","",IF($Q518=0,"UNMAPPED",INDEX(COA_Mapping!$C$7:$C$256,$Q518)))</f>
        <v/>
      </c>
      <c r="N518" s="38" t="str">
        <f aca="false">IF($A518="","",IF($Q518=0,"",INDEX(COA_Mapping!$E$7:$E$256,$Q518)))</f>
        <v/>
      </c>
      <c r="O518" s="38" t="n">
        <f aca="false">IF($A518="",1,IF($Q518=0,1,INDEX(COA_Mapping!$F$7:$F$256,$Q518)))</f>
        <v>1</v>
      </c>
      <c r="P518" s="34" t="str">
        <f aca="false">IF($A518="","",$I518*$O518)</f>
        <v/>
      </c>
      <c r="Q518" s="39" t="n">
        <f aca="false">IF($B518="",0,IFERROR(MATCH($B518,COA_Mapping!$A$7:$A$256,0),0))</f>
        <v>0</v>
      </c>
      <c r="R518" s="39" t="n">
        <f aca="false">IF($A518="",-1,IF($J518=Setup!$B$7,1,IF($J518=Setup!$B$9,0,-1)))</f>
        <v>-1</v>
      </c>
      <c r="S518" s="35" t="n">
        <f aca="false">IF(OR($A518="",$Q518=0,$R518=-1),0,$Q518*1000+$R518*100+$K518)</f>
        <v>0</v>
      </c>
      <c r="T518" s="37" t="str">
        <f aca="false">IF($A518="","",IF($B518="","NO ACCOUNT",IF($Q518=0,"UNMAPPED",IF($R518=-1,"OUTSIDE FY RANGE","OK"))))</f>
        <v/>
      </c>
      <c r="U518" s="40" t="str">
        <f aca="false">IF($A518="","",$B518&amp;"|"&amp;TEXT($A518,"yyyymmdd")&amp;"|"&amp;TEXT($I518,"0.00"))</f>
        <v/>
      </c>
      <c r="V518" s="35" t="str">
        <f aca="false">IF($A518="","",COUNTIF($U$8:$U$5007,$U518))</f>
        <v/>
      </c>
    </row>
    <row r="519" customFormat="false" ht="15" hidden="false" customHeight="false" outlineLevel="0" collapsed="false">
      <c r="A519" s="31"/>
      <c r="B519" s="32"/>
      <c r="C519" s="32"/>
      <c r="D519" s="32"/>
      <c r="E519" s="32"/>
      <c r="F519" s="32"/>
      <c r="G519" s="33"/>
      <c r="H519" s="33"/>
      <c r="I519" s="34" t="str">
        <f aca="false">IF($A519="","",$G519-$H519)</f>
        <v/>
      </c>
      <c r="J519" s="35" t="str">
        <f aca="false">IF($A519="","",IF(Setup!$B$6=1,YEAR($A519),YEAR($A519)+IF(MONTH($A519)&gt;=Setup!$B$6,1,0)))</f>
        <v/>
      </c>
      <c r="K519" s="35" t="str">
        <f aca="false">IF($A519="","",MOD(MONTH($A519)-Setup!$B$6+12,12)+1)</f>
        <v/>
      </c>
      <c r="L519" s="36" t="str">
        <f aca="false">IF($A519="","",TEXT($A519,"MMM-YY"))</f>
        <v/>
      </c>
      <c r="M519" s="37" t="str">
        <f aca="false">IF($A519="","",IF($Q519=0,"UNMAPPED",INDEX(COA_Mapping!$C$7:$C$256,$Q519)))</f>
        <v/>
      </c>
      <c r="N519" s="38" t="str">
        <f aca="false">IF($A519="","",IF($Q519=0,"",INDEX(COA_Mapping!$E$7:$E$256,$Q519)))</f>
        <v/>
      </c>
      <c r="O519" s="38" t="n">
        <f aca="false">IF($A519="",1,IF($Q519=0,1,INDEX(COA_Mapping!$F$7:$F$256,$Q519)))</f>
        <v>1</v>
      </c>
      <c r="P519" s="34" t="str">
        <f aca="false">IF($A519="","",$I519*$O519)</f>
        <v/>
      </c>
      <c r="Q519" s="39" t="n">
        <f aca="false">IF($B519="",0,IFERROR(MATCH($B519,COA_Mapping!$A$7:$A$256,0),0))</f>
        <v>0</v>
      </c>
      <c r="R519" s="39" t="n">
        <f aca="false">IF($A519="",-1,IF($J519=Setup!$B$7,1,IF($J519=Setup!$B$9,0,-1)))</f>
        <v>-1</v>
      </c>
      <c r="S519" s="35" t="n">
        <f aca="false">IF(OR($A519="",$Q519=0,$R519=-1),0,$Q519*1000+$R519*100+$K519)</f>
        <v>0</v>
      </c>
      <c r="T519" s="37" t="str">
        <f aca="false">IF($A519="","",IF($B519="","NO ACCOUNT",IF($Q519=0,"UNMAPPED",IF($R519=-1,"OUTSIDE FY RANGE","OK"))))</f>
        <v/>
      </c>
      <c r="U519" s="40" t="str">
        <f aca="false">IF($A519="","",$B519&amp;"|"&amp;TEXT($A519,"yyyymmdd")&amp;"|"&amp;TEXT($I519,"0.00"))</f>
        <v/>
      </c>
      <c r="V519" s="35" t="str">
        <f aca="false">IF($A519="","",COUNTIF($U$8:$U$5007,$U519))</f>
        <v/>
      </c>
    </row>
    <row r="520" customFormat="false" ht="15" hidden="false" customHeight="false" outlineLevel="0" collapsed="false">
      <c r="A520" s="31"/>
      <c r="B520" s="32"/>
      <c r="C520" s="32"/>
      <c r="D520" s="32"/>
      <c r="E520" s="32"/>
      <c r="F520" s="32"/>
      <c r="G520" s="33"/>
      <c r="H520" s="33"/>
      <c r="I520" s="34" t="str">
        <f aca="false">IF($A520="","",$G520-$H520)</f>
        <v/>
      </c>
      <c r="J520" s="35" t="str">
        <f aca="false">IF($A520="","",IF(Setup!$B$6=1,YEAR($A520),YEAR($A520)+IF(MONTH($A520)&gt;=Setup!$B$6,1,0)))</f>
        <v/>
      </c>
      <c r="K520" s="35" t="str">
        <f aca="false">IF($A520="","",MOD(MONTH($A520)-Setup!$B$6+12,12)+1)</f>
        <v/>
      </c>
      <c r="L520" s="36" t="str">
        <f aca="false">IF($A520="","",TEXT($A520,"MMM-YY"))</f>
        <v/>
      </c>
      <c r="M520" s="37" t="str">
        <f aca="false">IF($A520="","",IF($Q520=0,"UNMAPPED",INDEX(COA_Mapping!$C$7:$C$256,$Q520)))</f>
        <v/>
      </c>
      <c r="N520" s="38" t="str">
        <f aca="false">IF($A520="","",IF($Q520=0,"",INDEX(COA_Mapping!$E$7:$E$256,$Q520)))</f>
        <v/>
      </c>
      <c r="O520" s="38" t="n">
        <f aca="false">IF($A520="",1,IF($Q520=0,1,INDEX(COA_Mapping!$F$7:$F$256,$Q520)))</f>
        <v>1</v>
      </c>
      <c r="P520" s="34" t="str">
        <f aca="false">IF($A520="","",$I520*$O520)</f>
        <v/>
      </c>
      <c r="Q520" s="39" t="n">
        <f aca="false">IF($B520="",0,IFERROR(MATCH($B520,COA_Mapping!$A$7:$A$256,0),0))</f>
        <v>0</v>
      </c>
      <c r="R520" s="39" t="n">
        <f aca="false">IF($A520="",-1,IF($J520=Setup!$B$7,1,IF($J520=Setup!$B$9,0,-1)))</f>
        <v>-1</v>
      </c>
      <c r="S520" s="35" t="n">
        <f aca="false">IF(OR($A520="",$Q520=0,$R520=-1),0,$Q520*1000+$R520*100+$K520)</f>
        <v>0</v>
      </c>
      <c r="T520" s="37" t="str">
        <f aca="false">IF($A520="","",IF($B520="","NO ACCOUNT",IF($Q520=0,"UNMAPPED",IF($R520=-1,"OUTSIDE FY RANGE","OK"))))</f>
        <v/>
      </c>
      <c r="U520" s="40" t="str">
        <f aca="false">IF($A520="","",$B520&amp;"|"&amp;TEXT($A520,"yyyymmdd")&amp;"|"&amp;TEXT($I520,"0.00"))</f>
        <v/>
      </c>
      <c r="V520" s="35" t="str">
        <f aca="false">IF($A520="","",COUNTIF($U$8:$U$5007,$U520))</f>
        <v/>
      </c>
    </row>
    <row r="521" customFormat="false" ht="15" hidden="false" customHeight="false" outlineLevel="0" collapsed="false">
      <c r="A521" s="31"/>
      <c r="B521" s="32"/>
      <c r="C521" s="32"/>
      <c r="D521" s="32"/>
      <c r="E521" s="32"/>
      <c r="F521" s="32"/>
      <c r="G521" s="33"/>
      <c r="H521" s="33"/>
      <c r="I521" s="34" t="str">
        <f aca="false">IF($A521="","",$G521-$H521)</f>
        <v/>
      </c>
      <c r="J521" s="35" t="str">
        <f aca="false">IF($A521="","",IF(Setup!$B$6=1,YEAR($A521),YEAR($A521)+IF(MONTH($A521)&gt;=Setup!$B$6,1,0)))</f>
        <v/>
      </c>
      <c r="K521" s="35" t="str">
        <f aca="false">IF($A521="","",MOD(MONTH($A521)-Setup!$B$6+12,12)+1)</f>
        <v/>
      </c>
      <c r="L521" s="36" t="str">
        <f aca="false">IF($A521="","",TEXT($A521,"MMM-YY"))</f>
        <v/>
      </c>
      <c r="M521" s="37" t="str">
        <f aca="false">IF($A521="","",IF($Q521=0,"UNMAPPED",INDEX(COA_Mapping!$C$7:$C$256,$Q521)))</f>
        <v/>
      </c>
      <c r="N521" s="38" t="str">
        <f aca="false">IF($A521="","",IF($Q521=0,"",INDEX(COA_Mapping!$E$7:$E$256,$Q521)))</f>
        <v/>
      </c>
      <c r="O521" s="38" t="n">
        <f aca="false">IF($A521="",1,IF($Q521=0,1,INDEX(COA_Mapping!$F$7:$F$256,$Q521)))</f>
        <v>1</v>
      </c>
      <c r="P521" s="34" t="str">
        <f aca="false">IF($A521="","",$I521*$O521)</f>
        <v/>
      </c>
      <c r="Q521" s="39" t="n">
        <f aca="false">IF($B521="",0,IFERROR(MATCH($B521,COA_Mapping!$A$7:$A$256,0),0))</f>
        <v>0</v>
      </c>
      <c r="R521" s="39" t="n">
        <f aca="false">IF($A521="",-1,IF($J521=Setup!$B$7,1,IF($J521=Setup!$B$9,0,-1)))</f>
        <v>-1</v>
      </c>
      <c r="S521" s="35" t="n">
        <f aca="false">IF(OR($A521="",$Q521=0,$R521=-1),0,$Q521*1000+$R521*100+$K521)</f>
        <v>0</v>
      </c>
      <c r="T521" s="37" t="str">
        <f aca="false">IF($A521="","",IF($B521="","NO ACCOUNT",IF($Q521=0,"UNMAPPED",IF($R521=-1,"OUTSIDE FY RANGE","OK"))))</f>
        <v/>
      </c>
      <c r="U521" s="40" t="str">
        <f aca="false">IF($A521="","",$B521&amp;"|"&amp;TEXT($A521,"yyyymmdd")&amp;"|"&amp;TEXT($I521,"0.00"))</f>
        <v/>
      </c>
      <c r="V521" s="35" t="str">
        <f aca="false">IF($A521="","",COUNTIF($U$8:$U$5007,$U521))</f>
        <v/>
      </c>
    </row>
    <row r="522" customFormat="false" ht="15" hidden="false" customHeight="false" outlineLevel="0" collapsed="false">
      <c r="A522" s="31"/>
      <c r="B522" s="32"/>
      <c r="C522" s="32"/>
      <c r="D522" s="32"/>
      <c r="E522" s="32"/>
      <c r="F522" s="32"/>
      <c r="G522" s="33"/>
      <c r="H522" s="33"/>
      <c r="I522" s="34" t="str">
        <f aca="false">IF($A522="","",$G522-$H522)</f>
        <v/>
      </c>
      <c r="J522" s="35" t="str">
        <f aca="false">IF($A522="","",IF(Setup!$B$6=1,YEAR($A522),YEAR($A522)+IF(MONTH($A522)&gt;=Setup!$B$6,1,0)))</f>
        <v/>
      </c>
      <c r="K522" s="35" t="str">
        <f aca="false">IF($A522="","",MOD(MONTH($A522)-Setup!$B$6+12,12)+1)</f>
        <v/>
      </c>
      <c r="L522" s="36" t="str">
        <f aca="false">IF($A522="","",TEXT($A522,"MMM-YY"))</f>
        <v/>
      </c>
      <c r="M522" s="37" t="str">
        <f aca="false">IF($A522="","",IF($Q522=0,"UNMAPPED",INDEX(COA_Mapping!$C$7:$C$256,$Q522)))</f>
        <v/>
      </c>
      <c r="N522" s="38" t="str">
        <f aca="false">IF($A522="","",IF($Q522=0,"",INDEX(COA_Mapping!$E$7:$E$256,$Q522)))</f>
        <v/>
      </c>
      <c r="O522" s="38" t="n">
        <f aca="false">IF($A522="",1,IF($Q522=0,1,INDEX(COA_Mapping!$F$7:$F$256,$Q522)))</f>
        <v>1</v>
      </c>
      <c r="P522" s="34" t="str">
        <f aca="false">IF($A522="","",$I522*$O522)</f>
        <v/>
      </c>
      <c r="Q522" s="39" t="n">
        <f aca="false">IF($B522="",0,IFERROR(MATCH($B522,COA_Mapping!$A$7:$A$256,0),0))</f>
        <v>0</v>
      </c>
      <c r="R522" s="39" t="n">
        <f aca="false">IF($A522="",-1,IF($J522=Setup!$B$7,1,IF($J522=Setup!$B$9,0,-1)))</f>
        <v>-1</v>
      </c>
      <c r="S522" s="35" t="n">
        <f aca="false">IF(OR($A522="",$Q522=0,$R522=-1),0,$Q522*1000+$R522*100+$K522)</f>
        <v>0</v>
      </c>
      <c r="T522" s="37" t="str">
        <f aca="false">IF($A522="","",IF($B522="","NO ACCOUNT",IF($Q522=0,"UNMAPPED",IF($R522=-1,"OUTSIDE FY RANGE","OK"))))</f>
        <v/>
      </c>
      <c r="U522" s="40" t="str">
        <f aca="false">IF($A522="","",$B522&amp;"|"&amp;TEXT($A522,"yyyymmdd")&amp;"|"&amp;TEXT($I522,"0.00"))</f>
        <v/>
      </c>
      <c r="V522" s="35" t="str">
        <f aca="false">IF($A522="","",COUNTIF($U$8:$U$5007,$U522))</f>
        <v/>
      </c>
    </row>
    <row r="523" customFormat="false" ht="15" hidden="false" customHeight="false" outlineLevel="0" collapsed="false">
      <c r="A523" s="31"/>
      <c r="B523" s="32"/>
      <c r="C523" s="32"/>
      <c r="D523" s="32"/>
      <c r="E523" s="32"/>
      <c r="F523" s="32"/>
      <c r="G523" s="33"/>
      <c r="H523" s="33"/>
      <c r="I523" s="34" t="str">
        <f aca="false">IF($A523="","",$G523-$H523)</f>
        <v/>
      </c>
      <c r="J523" s="35" t="str">
        <f aca="false">IF($A523="","",IF(Setup!$B$6=1,YEAR($A523),YEAR($A523)+IF(MONTH($A523)&gt;=Setup!$B$6,1,0)))</f>
        <v/>
      </c>
      <c r="K523" s="35" t="str">
        <f aca="false">IF($A523="","",MOD(MONTH($A523)-Setup!$B$6+12,12)+1)</f>
        <v/>
      </c>
      <c r="L523" s="36" t="str">
        <f aca="false">IF($A523="","",TEXT($A523,"MMM-YY"))</f>
        <v/>
      </c>
      <c r="M523" s="37" t="str">
        <f aca="false">IF($A523="","",IF($Q523=0,"UNMAPPED",INDEX(COA_Mapping!$C$7:$C$256,$Q523)))</f>
        <v/>
      </c>
      <c r="N523" s="38" t="str">
        <f aca="false">IF($A523="","",IF($Q523=0,"",INDEX(COA_Mapping!$E$7:$E$256,$Q523)))</f>
        <v/>
      </c>
      <c r="O523" s="38" t="n">
        <f aca="false">IF($A523="",1,IF($Q523=0,1,INDEX(COA_Mapping!$F$7:$F$256,$Q523)))</f>
        <v>1</v>
      </c>
      <c r="P523" s="34" t="str">
        <f aca="false">IF($A523="","",$I523*$O523)</f>
        <v/>
      </c>
      <c r="Q523" s="39" t="n">
        <f aca="false">IF($B523="",0,IFERROR(MATCH($B523,COA_Mapping!$A$7:$A$256,0),0))</f>
        <v>0</v>
      </c>
      <c r="R523" s="39" t="n">
        <f aca="false">IF($A523="",-1,IF($J523=Setup!$B$7,1,IF($J523=Setup!$B$9,0,-1)))</f>
        <v>-1</v>
      </c>
      <c r="S523" s="35" t="n">
        <f aca="false">IF(OR($A523="",$Q523=0,$R523=-1),0,$Q523*1000+$R523*100+$K523)</f>
        <v>0</v>
      </c>
      <c r="T523" s="37" t="str">
        <f aca="false">IF($A523="","",IF($B523="","NO ACCOUNT",IF($Q523=0,"UNMAPPED",IF($R523=-1,"OUTSIDE FY RANGE","OK"))))</f>
        <v/>
      </c>
      <c r="U523" s="40" t="str">
        <f aca="false">IF($A523="","",$B523&amp;"|"&amp;TEXT($A523,"yyyymmdd")&amp;"|"&amp;TEXT($I523,"0.00"))</f>
        <v/>
      </c>
      <c r="V523" s="35" t="str">
        <f aca="false">IF($A523="","",COUNTIF($U$8:$U$5007,$U523))</f>
        <v/>
      </c>
    </row>
    <row r="524" customFormat="false" ht="15" hidden="false" customHeight="false" outlineLevel="0" collapsed="false">
      <c r="A524" s="31"/>
      <c r="B524" s="32"/>
      <c r="C524" s="32"/>
      <c r="D524" s="32"/>
      <c r="E524" s="32"/>
      <c r="F524" s="32"/>
      <c r="G524" s="33"/>
      <c r="H524" s="33"/>
      <c r="I524" s="34" t="str">
        <f aca="false">IF($A524="","",$G524-$H524)</f>
        <v/>
      </c>
      <c r="J524" s="35" t="str">
        <f aca="false">IF($A524="","",IF(Setup!$B$6=1,YEAR($A524),YEAR($A524)+IF(MONTH($A524)&gt;=Setup!$B$6,1,0)))</f>
        <v/>
      </c>
      <c r="K524" s="35" t="str">
        <f aca="false">IF($A524="","",MOD(MONTH($A524)-Setup!$B$6+12,12)+1)</f>
        <v/>
      </c>
      <c r="L524" s="36" t="str">
        <f aca="false">IF($A524="","",TEXT($A524,"MMM-YY"))</f>
        <v/>
      </c>
      <c r="M524" s="37" t="str">
        <f aca="false">IF($A524="","",IF($Q524=0,"UNMAPPED",INDEX(COA_Mapping!$C$7:$C$256,$Q524)))</f>
        <v/>
      </c>
      <c r="N524" s="38" t="str">
        <f aca="false">IF($A524="","",IF($Q524=0,"",INDEX(COA_Mapping!$E$7:$E$256,$Q524)))</f>
        <v/>
      </c>
      <c r="O524" s="38" t="n">
        <f aca="false">IF($A524="",1,IF($Q524=0,1,INDEX(COA_Mapping!$F$7:$F$256,$Q524)))</f>
        <v>1</v>
      </c>
      <c r="P524" s="34" t="str">
        <f aca="false">IF($A524="","",$I524*$O524)</f>
        <v/>
      </c>
      <c r="Q524" s="39" t="n">
        <f aca="false">IF($B524="",0,IFERROR(MATCH($B524,COA_Mapping!$A$7:$A$256,0),0))</f>
        <v>0</v>
      </c>
      <c r="R524" s="39" t="n">
        <f aca="false">IF($A524="",-1,IF($J524=Setup!$B$7,1,IF($J524=Setup!$B$9,0,-1)))</f>
        <v>-1</v>
      </c>
      <c r="S524" s="35" t="n">
        <f aca="false">IF(OR($A524="",$Q524=0,$R524=-1),0,$Q524*1000+$R524*100+$K524)</f>
        <v>0</v>
      </c>
      <c r="T524" s="37" t="str">
        <f aca="false">IF($A524="","",IF($B524="","NO ACCOUNT",IF($Q524=0,"UNMAPPED",IF($R524=-1,"OUTSIDE FY RANGE","OK"))))</f>
        <v/>
      </c>
      <c r="U524" s="40" t="str">
        <f aca="false">IF($A524="","",$B524&amp;"|"&amp;TEXT($A524,"yyyymmdd")&amp;"|"&amp;TEXT($I524,"0.00"))</f>
        <v/>
      </c>
      <c r="V524" s="35" t="str">
        <f aca="false">IF($A524="","",COUNTIF($U$8:$U$5007,$U524))</f>
        <v/>
      </c>
    </row>
    <row r="525" customFormat="false" ht="15" hidden="false" customHeight="false" outlineLevel="0" collapsed="false">
      <c r="A525" s="31"/>
      <c r="B525" s="32"/>
      <c r="C525" s="32"/>
      <c r="D525" s="32"/>
      <c r="E525" s="32"/>
      <c r="F525" s="32"/>
      <c r="G525" s="33"/>
      <c r="H525" s="33"/>
      <c r="I525" s="34" t="str">
        <f aca="false">IF($A525="","",$G525-$H525)</f>
        <v/>
      </c>
      <c r="J525" s="35" t="str">
        <f aca="false">IF($A525="","",IF(Setup!$B$6=1,YEAR($A525),YEAR($A525)+IF(MONTH($A525)&gt;=Setup!$B$6,1,0)))</f>
        <v/>
      </c>
      <c r="K525" s="35" t="str">
        <f aca="false">IF($A525="","",MOD(MONTH($A525)-Setup!$B$6+12,12)+1)</f>
        <v/>
      </c>
      <c r="L525" s="36" t="str">
        <f aca="false">IF($A525="","",TEXT($A525,"MMM-YY"))</f>
        <v/>
      </c>
      <c r="M525" s="37" t="str">
        <f aca="false">IF($A525="","",IF($Q525=0,"UNMAPPED",INDEX(COA_Mapping!$C$7:$C$256,$Q525)))</f>
        <v/>
      </c>
      <c r="N525" s="38" t="str">
        <f aca="false">IF($A525="","",IF($Q525=0,"",INDEX(COA_Mapping!$E$7:$E$256,$Q525)))</f>
        <v/>
      </c>
      <c r="O525" s="38" t="n">
        <f aca="false">IF($A525="",1,IF($Q525=0,1,INDEX(COA_Mapping!$F$7:$F$256,$Q525)))</f>
        <v>1</v>
      </c>
      <c r="P525" s="34" t="str">
        <f aca="false">IF($A525="","",$I525*$O525)</f>
        <v/>
      </c>
      <c r="Q525" s="39" t="n">
        <f aca="false">IF($B525="",0,IFERROR(MATCH($B525,COA_Mapping!$A$7:$A$256,0),0))</f>
        <v>0</v>
      </c>
      <c r="R525" s="39" t="n">
        <f aca="false">IF($A525="",-1,IF($J525=Setup!$B$7,1,IF($J525=Setup!$B$9,0,-1)))</f>
        <v>-1</v>
      </c>
      <c r="S525" s="35" t="n">
        <f aca="false">IF(OR($A525="",$Q525=0,$R525=-1),0,$Q525*1000+$R525*100+$K525)</f>
        <v>0</v>
      </c>
      <c r="T525" s="37" t="str">
        <f aca="false">IF($A525="","",IF($B525="","NO ACCOUNT",IF($Q525=0,"UNMAPPED",IF($R525=-1,"OUTSIDE FY RANGE","OK"))))</f>
        <v/>
      </c>
      <c r="U525" s="40" t="str">
        <f aca="false">IF($A525="","",$B525&amp;"|"&amp;TEXT($A525,"yyyymmdd")&amp;"|"&amp;TEXT($I525,"0.00"))</f>
        <v/>
      </c>
      <c r="V525" s="35" t="str">
        <f aca="false">IF($A525="","",COUNTIF($U$8:$U$5007,$U525))</f>
        <v/>
      </c>
    </row>
    <row r="526" customFormat="false" ht="15" hidden="false" customHeight="false" outlineLevel="0" collapsed="false">
      <c r="A526" s="31"/>
      <c r="B526" s="32"/>
      <c r="C526" s="32"/>
      <c r="D526" s="32"/>
      <c r="E526" s="32"/>
      <c r="F526" s="32"/>
      <c r="G526" s="33"/>
      <c r="H526" s="33"/>
      <c r="I526" s="34" t="str">
        <f aca="false">IF($A526="","",$G526-$H526)</f>
        <v/>
      </c>
      <c r="J526" s="35" t="str">
        <f aca="false">IF($A526="","",IF(Setup!$B$6=1,YEAR($A526),YEAR($A526)+IF(MONTH($A526)&gt;=Setup!$B$6,1,0)))</f>
        <v/>
      </c>
      <c r="K526" s="35" t="str">
        <f aca="false">IF($A526="","",MOD(MONTH($A526)-Setup!$B$6+12,12)+1)</f>
        <v/>
      </c>
      <c r="L526" s="36" t="str">
        <f aca="false">IF($A526="","",TEXT($A526,"MMM-YY"))</f>
        <v/>
      </c>
      <c r="M526" s="37" t="str">
        <f aca="false">IF($A526="","",IF($Q526=0,"UNMAPPED",INDEX(COA_Mapping!$C$7:$C$256,$Q526)))</f>
        <v/>
      </c>
      <c r="N526" s="38" t="str">
        <f aca="false">IF($A526="","",IF($Q526=0,"",INDEX(COA_Mapping!$E$7:$E$256,$Q526)))</f>
        <v/>
      </c>
      <c r="O526" s="38" t="n">
        <f aca="false">IF($A526="",1,IF($Q526=0,1,INDEX(COA_Mapping!$F$7:$F$256,$Q526)))</f>
        <v>1</v>
      </c>
      <c r="P526" s="34" t="str">
        <f aca="false">IF($A526="","",$I526*$O526)</f>
        <v/>
      </c>
      <c r="Q526" s="39" t="n">
        <f aca="false">IF($B526="",0,IFERROR(MATCH($B526,COA_Mapping!$A$7:$A$256,0),0))</f>
        <v>0</v>
      </c>
      <c r="R526" s="39" t="n">
        <f aca="false">IF($A526="",-1,IF($J526=Setup!$B$7,1,IF($J526=Setup!$B$9,0,-1)))</f>
        <v>-1</v>
      </c>
      <c r="S526" s="35" t="n">
        <f aca="false">IF(OR($A526="",$Q526=0,$R526=-1),0,$Q526*1000+$R526*100+$K526)</f>
        <v>0</v>
      </c>
      <c r="T526" s="37" t="str">
        <f aca="false">IF($A526="","",IF($B526="","NO ACCOUNT",IF($Q526=0,"UNMAPPED",IF($R526=-1,"OUTSIDE FY RANGE","OK"))))</f>
        <v/>
      </c>
      <c r="U526" s="40" t="str">
        <f aca="false">IF($A526="","",$B526&amp;"|"&amp;TEXT($A526,"yyyymmdd")&amp;"|"&amp;TEXT($I526,"0.00"))</f>
        <v/>
      </c>
      <c r="V526" s="35" t="str">
        <f aca="false">IF($A526="","",COUNTIF($U$8:$U$5007,$U526))</f>
        <v/>
      </c>
    </row>
    <row r="527" customFormat="false" ht="15" hidden="false" customHeight="false" outlineLevel="0" collapsed="false">
      <c r="A527" s="31"/>
      <c r="B527" s="32"/>
      <c r="C527" s="32"/>
      <c r="D527" s="32"/>
      <c r="E527" s="32"/>
      <c r="F527" s="32"/>
      <c r="G527" s="33"/>
      <c r="H527" s="33"/>
      <c r="I527" s="34" t="str">
        <f aca="false">IF($A527="","",$G527-$H527)</f>
        <v/>
      </c>
      <c r="J527" s="35" t="str">
        <f aca="false">IF($A527="","",IF(Setup!$B$6=1,YEAR($A527),YEAR($A527)+IF(MONTH($A527)&gt;=Setup!$B$6,1,0)))</f>
        <v/>
      </c>
      <c r="K527" s="35" t="str">
        <f aca="false">IF($A527="","",MOD(MONTH($A527)-Setup!$B$6+12,12)+1)</f>
        <v/>
      </c>
      <c r="L527" s="36" t="str">
        <f aca="false">IF($A527="","",TEXT($A527,"MMM-YY"))</f>
        <v/>
      </c>
      <c r="M527" s="37" t="str">
        <f aca="false">IF($A527="","",IF($Q527=0,"UNMAPPED",INDEX(COA_Mapping!$C$7:$C$256,$Q527)))</f>
        <v/>
      </c>
      <c r="N527" s="38" t="str">
        <f aca="false">IF($A527="","",IF($Q527=0,"",INDEX(COA_Mapping!$E$7:$E$256,$Q527)))</f>
        <v/>
      </c>
      <c r="O527" s="38" t="n">
        <f aca="false">IF($A527="",1,IF($Q527=0,1,INDEX(COA_Mapping!$F$7:$F$256,$Q527)))</f>
        <v>1</v>
      </c>
      <c r="P527" s="34" t="str">
        <f aca="false">IF($A527="","",$I527*$O527)</f>
        <v/>
      </c>
      <c r="Q527" s="39" t="n">
        <f aca="false">IF($B527="",0,IFERROR(MATCH($B527,COA_Mapping!$A$7:$A$256,0),0))</f>
        <v>0</v>
      </c>
      <c r="R527" s="39" t="n">
        <f aca="false">IF($A527="",-1,IF($J527=Setup!$B$7,1,IF($J527=Setup!$B$9,0,-1)))</f>
        <v>-1</v>
      </c>
      <c r="S527" s="35" t="n">
        <f aca="false">IF(OR($A527="",$Q527=0,$R527=-1),0,$Q527*1000+$R527*100+$K527)</f>
        <v>0</v>
      </c>
      <c r="T527" s="37" t="str">
        <f aca="false">IF($A527="","",IF($B527="","NO ACCOUNT",IF($Q527=0,"UNMAPPED",IF($R527=-1,"OUTSIDE FY RANGE","OK"))))</f>
        <v/>
      </c>
      <c r="U527" s="40" t="str">
        <f aca="false">IF($A527="","",$B527&amp;"|"&amp;TEXT($A527,"yyyymmdd")&amp;"|"&amp;TEXT($I527,"0.00"))</f>
        <v/>
      </c>
      <c r="V527" s="35" t="str">
        <f aca="false">IF($A527="","",COUNTIF($U$8:$U$5007,$U527))</f>
        <v/>
      </c>
    </row>
    <row r="528" customFormat="false" ht="15" hidden="false" customHeight="false" outlineLevel="0" collapsed="false">
      <c r="A528" s="31"/>
      <c r="B528" s="32"/>
      <c r="C528" s="32"/>
      <c r="D528" s="32"/>
      <c r="E528" s="32"/>
      <c r="F528" s="32"/>
      <c r="G528" s="33"/>
      <c r="H528" s="33"/>
      <c r="I528" s="34" t="str">
        <f aca="false">IF($A528="","",$G528-$H528)</f>
        <v/>
      </c>
      <c r="J528" s="35" t="str">
        <f aca="false">IF($A528="","",IF(Setup!$B$6=1,YEAR($A528),YEAR($A528)+IF(MONTH($A528)&gt;=Setup!$B$6,1,0)))</f>
        <v/>
      </c>
      <c r="K528" s="35" t="str">
        <f aca="false">IF($A528="","",MOD(MONTH($A528)-Setup!$B$6+12,12)+1)</f>
        <v/>
      </c>
      <c r="L528" s="36" t="str">
        <f aca="false">IF($A528="","",TEXT($A528,"MMM-YY"))</f>
        <v/>
      </c>
      <c r="M528" s="37" t="str">
        <f aca="false">IF($A528="","",IF($Q528=0,"UNMAPPED",INDEX(COA_Mapping!$C$7:$C$256,$Q528)))</f>
        <v/>
      </c>
      <c r="N528" s="38" t="str">
        <f aca="false">IF($A528="","",IF($Q528=0,"",INDEX(COA_Mapping!$E$7:$E$256,$Q528)))</f>
        <v/>
      </c>
      <c r="O528" s="38" t="n">
        <f aca="false">IF($A528="",1,IF($Q528=0,1,INDEX(COA_Mapping!$F$7:$F$256,$Q528)))</f>
        <v>1</v>
      </c>
      <c r="P528" s="34" t="str">
        <f aca="false">IF($A528="","",$I528*$O528)</f>
        <v/>
      </c>
      <c r="Q528" s="39" t="n">
        <f aca="false">IF($B528="",0,IFERROR(MATCH($B528,COA_Mapping!$A$7:$A$256,0),0))</f>
        <v>0</v>
      </c>
      <c r="R528" s="39" t="n">
        <f aca="false">IF($A528="",-1,IF($J528=Setup!$B$7,1,IF($J528=Setup!$B$9,0,-1)))</f>
        <v>-1</v>
      </c>
      <c r="S528" s="35" t="n">
        <f aca="false">IF(OR($A528="",$Q528=0,$R528=-1),0,$Q528*1000+$R528*100+$K528)</f>
        <v>0</v>
      </c>
      <c r="T528" s="37" t="str">
        <f aca="false">IF($A528="","",IF($B528="","NO ACCOUNT",IF($Q528=0,"UNMAPPED",IF($R528=-1,"OUTSIDE FY RANGE","OK"))))</f>
        <v/>
      </c>
      <c r="U528" s="40" t="str">
        <f aca="false">IF($A528="","",$B528&amp;"|"&amp;TEXT($A528,"yyyymmdd")&amp;"|"&amp;TEXT($I528,"0.00"))</f>
        <v/>
      </c>
      <c r="V528" s="35" t="str">
        <f aca="false">IF($A528="","",COUNTIF($U$8:$U$5007,$U528))</f>
        <v/>
      </c>
    </row>
    <row r="529" customFormat="false" ht="15" hidden="false" customHeight="false" outlineLevel="0" collapsed="false">
      <c r="A529" s="31"/>
      <c r="B529" s="32"/>
      <c r="C529" s="32"/>
      <c r="D529" s="32"/>
      <c r="E529" s="32"/>
      <c r="F529" s="32"/>
      <c r="G529" s="33"/>
      <c r="H529" s="33"/>
      <c r="I529" s="34" t="str">
        <f aca="false">IF($A529="","",$G529-$H529)</f>
        <v/>
      </c>
      <c r="J529" s="35" t="str">
        <f aca="false">IF($A529="","",IF(Setup!$B$6=1,YEAR($A529),YEAR($A529)+IF(MONTH($A529)&gt;=Setup!$B$6,1,0)))</f>
        <v/>
      </c>
      <c r="K529" s="35" t="str">
        <f aca="false">IF($A529="","",MOD(MONTH($A529)-Setup!$B$6+12,12)+1)</f>
        <v/>
      </c>
      <c r="L529" s="36" t="str">
        <f aca="false">IF($A529="","",TEXT($A529,"MMM-YY"))</f>
        <v/>
      </c>
      <c r="M529" s="37" t="str">
        <f aca="false">IF($A529="","",IF($Q529=0,"UNMAPPED",INDEX(COA_Mapping!$C$7:$C$256,$Q529)))</f>
        <v/>
      </c>
      <c r="N529" s="38" t="str">
        <f aca="false">IF($A529="","",IF($Q529=0,"",INDEX(COA_Mapping!$E$7:$E$256,$Q529)))</f>
        <v/>
      </c>
      <c r="O529" s="38" t="n">
        <f aca="false">IF($A529="",1,IF($Q529=0,1,INDEX(COA_Mapping!$F$7:$F$256,$Q529)))</f>
        <v>1</v>
      </c>
      <c r="P529" s="34" t="str">
        <f aca="false">IF($A529="","",$I529*$O529)</f>
        <v/>
      </c>
      <c r="Q529" s="39" t="n">
        <f aca="false">IF($B529="",0,IFERROR(MATCH($B529,COA_Mapping!$A$7:$A$256,0),0))</f>
        <v>0</v>
      </c>
      <c r="R529" s="39" t="n">
        <f aca="false">IF($A529="",-1,IF($J529=Setup!$B$7,1,IF($J529=Setup!$B$9,0,-1)))</f>
        <v>-1</v>
      </c>
      <c r="S529" s="35" t="n">
        <f aca="false">IF(OR($A529="",$Q529=0,$R529=-1),0,$Q529*1000+$R529*100+$K529)</f>
        <v>0</v>
      </c>
      <c r="T529" s="37" t="str">
        <f aca="false">IF($A529="","",IF($B529="","NO ACCOUNT",IF($Q529=0,"UNMAPPED",IF($R529=-1,"OUTSIDE FY RANGE","OK"))))</f>
        <v/>
      </c>
      <c r="U529" s="40" t="str">
        <f aca="false">IF($A529="","",$B529&amp;"|"&amp;TEXT($A529,"yyyymmdd")&amp;"|"&amp;TEXT($I529,"0.00"))</f>
        <v/>
      </c>
      <c r="V529" s="35" t="str">
        <f aca="false">IF($A529="","",COUNTIF($U$8:$U$5007,$U529))</f>
        <v/>
      </c>
    </row>
    <row r="530" customFormat="false" ht="15" hidden="false" customHeight="false" outlineLevel="0" collapsed="false">
      <c r="A530" s="31"/>
      <c r="B530" s="32"/>
      <c r="C530" s="32"/>
      <c r="D530" s="32"/>
      <c r="E530" s="32"/>
      <c r="F530" s="32"/>
      <c r="G530" s="33"/>
      <c r="H530" s="33"/>
      <c r="I530" s="34" t="str">
        <f aca="false">IF($A530="","",$G530-$H530)</f>
        <v/>
      </c>
      <c r="J530" s="35" t="str">
        <f aca="false">IF($A530="","",IF(Setup!$B$6=1,YEAR($A530),YEAR($A530)+IF(MONTH($A530)&gt;=Setup!$B$6,1,0)))</f>
        <v/>
      </c>
      <c r="K530" s="35" t="str">
        <f aca="false">IF($A530="","",MOD(MONTH($A530)-Setup!$B$6+12,12)+1)</f>
        <v/>
      </c>
      <c r="L530" s="36" t="str">
        <f aca="false">IF($A530="","",TEXT($A530,"MMM-YY"))</f>
        <v/>
      </c>
      <c r="M530" s="37" t="str">
        <f aca="false">IF($A530="","",IF($Q530=0,"UNMAPPED",INDEX(COA_Mapping!$C$7:$C$256,$Q530)))</f>
        <v/>
      </c>
      <c r="N530" s="38" t="str">
        <f aca="false">IF($A530="","",IF($Q530=0,"",INDEX(COA_Mapping!$E$7:$E$256,$Q530)))</f>
        <v/>
      </c>
      <c r="O530" s="38" t="n">
        <f aca="false">IF($A530="",1,IF($Q530=0,1,INDEX(COA_Mapping!$F$7:$F$256,$Q530)))</f>
        <v>1</v>
      </c>
      <c r="P530" s="34" t="str">
        <f aca="false">IF($A530="","",$I530*$O530)</f>
        <v/>
      </c>
      <c r="Q530" s="39" t="n">
        <f aca="false">IF($B530="",0,IFERROR(MATCH($B530,COA_Mapping!$A$7:$A$256,0),0))</f>
        <v>0</v>
      </c>
      <c r="R530" s="39" t="n">
        <f aca="false">IF($A530="",-1,IF($J530=Setup!$B$7,1,IF($J530=Setup!$B$9,0,-1)))</f>
        <v>-1</v>
      </c>
      <c r="S530" s="35" t="n">
        <f aca="false">IF(OR($A530="",$Q530=0,$R530=-1),0,$Q530*1000+$R530*100+$K530)</f>
        <v>0</v>
      </c>
      <c r="T530" s="37" t="str">
        <f aca="false">IF($A530="","",IF($B530="","NO ACCOUNT",IF($Q530=0,"UNMAPPED",IF($R530=-1,"OUTSIDE FY RANGE","OK"))))</f>
        <v/>
      </c>
      <c r="U530" s="40" t="str">
        <f aca="false">IF($A530="","",$B530&amp;"|"&amp;TEXT($A530,"yyyymmdd")&amp;"|"&amp;TEXT($I530,"0.00"))</f>
        <v/>
      </c>
      <c r="V530" s="35" t="str">
        <f aca="false">IF($A530="","",COUNTIF($U$8:$U$5007,$U530))</f>
        <v/>
      </c>
    </row>
    <row r="531" customFormat="false" ht="15" hidden="false" customHeight="false" outlineLevel="0" collapsed="false">
      <c r="A531" s="31"/>
      <c r="B531" s="32"/>
      <c r="C531" s="32"/>
      <c r="D531" s="32"/>
      <c r="E531" s="32"/>
      <c r="F531" s="32"/>
      <c r="G531" s="33"/>
      <c r="H531" s="33"/>
      <c r="I531" s="34" t="str">
        <f aca="false">IF($A531="","",$G531-$H531)</f>
        <v/>
      </c>
      <c r="J531" s="35" t="str">
        <f aca="false">IF($A531="","",IF(Setup!$B$6=1,YEAR($A531),YEAR($A531)+IF(MONTH($A531)&gt;=Setup!$B$6,1,0)))</f>
        <v/>
      </c>
      <c r="K531" s="35" t="str">
        <f aca="false">IF($A531="","",MOD(MONTH($A531)-Setup!$B$6+12,12)+1)</f>
        <v/>
      </c>
      <c r="L531" s="36" t="str">
        <f aca="false">IF($A531="","",TEXT($A531,"MMM-YY"))</f>
        <v/>
      </c>
      <c r="M531" s="37" t="str">
        <f aca="false">IF($A531="","",IF($Q531=0,"UNMAPPED",INDEX(COA_Mapping!$C$7:$C$256,$Q531)))</f>
        <v/>
      </c>
      <c r="N531" s="38" t="str">
        <f aca="false">IF($A531="","",IF($Q531=0,"",INDEX(COA_Mapping!$E$7:$E$256,$Q531)))</f>
        <v/>
      </c>
      <c r="O531" s="38" t="n">
        <f aca="false">IF($A531="",1,IF($Q531=0,1,INDEX(COA_Mapping!$F$7:$F$256,$Q531)))</f>
        <v>1</v>
      </c>
      <c r="P531" s="34" t="str">
        <f aca="false">IF($A531="","",$I531*$O531)</f>
        <v/>
      </c>
      <c r="Q531" s="39" t="n">
        <f aca="false">IF($B531="",0,IFERROR(MATCH($B531,COA_Mapping!$A$7:$A$256,0),0))</f>
        <v>0</v>
      </c>
      <c r="R531" s="39" t="n">
        <f aca="false">IF($A531="",-1,IF($J531=Setup!$B$7,1,IF($J531=Setup!$B$9,0,-1)))</f>
        <v>-1</v>
      </c>
      <c r="S531" s="35" t="n">
        <f aca="false">IF(OR($A531="",$Q531=0,$R531=-1),0,$Q531*1000+$R531*100+$K531)</f>
        <v>0</v>
      </c>
      <c r="T531" s="37" t="str">
        <f aca="false">IF($A531="","",IF($B531="","NO ACCOUNT",IF($Q531=0,"UNMAPPED",IF($R531=-1,"OUTSIDE FY RANGE","OK"))))</f>
        <v/>
      </c>
      <c r="U531" s="40" t="str">
        <f aca="false">IF($A531="","",$B531&amp;"|"&amp;TEXT($A531,"yyyymmdd")&amp;"|"&amp;TEXT($I531,"0.00"))</f>
        <v/>
      </c>
      <c r="V531" s="35" t="str">
        <f aca="false">IF($A531="","",COUNTIF($U$8:$U$5007,$U531))</f>
        <v/>
      </c>
    </row>
    <row r="532" customFormat="false" ht="15" hidden="false" customHeight="false" outlineLevel="0" collapsed="false">
      <c r="A532" s="31"/>
      <c r="B532" s="32"/>
      <c r="C532" s="32"/>
      <c r="D532" s="32"/>
      <c r="E532" s="32"/>
      <c r="F532" s="32"/>
      <c r="G532" s="33"/>
      <c r="H532" s="33"/>
      <c r="I532" s="34" t="str">
        <f aca="false">IF($A532="","",$G532-$H532)</f>
        <v/>
      </c>
      <c r="J532" s="35" t="str">
        <f aca="false">IF($A532="","",IF(Setup!$B$6=1,YEAR($A532),YEAR($A532)+IF(MONTH($A532)&gt;=Setup!$B$6,1,0)))</f>
        <v/>
      </c>
      <c r="K532" s="35" t="str">
        <f aca="false">IF($A532="","",MOD(MONTH($A532)-Setup!$B$6+12,12)+1)</f>
        <v/>
      </c>
      <c r="L532" s="36" t="str">
        <f aca="false">IF($A532="","",TEXT($A532,"MMM-YY"))</f>
        <v/>
      </c>
      <c r="M532" s="37" t="str">
        <f aca="false">IF($A532="","",IF($Q532=0,"UNMAPPED",INDEX(COA_Mapping!$C$7:$C$256,$Q532)))</f>
        <v/>
      </c>
      <c r="N532" s="38" t="str">
        <f aca="false">IF($A532="","",IF($Q532=0,"",INDEX(COA_Mapping!$E$7:$E$256,$Q532)))</f>
        <v/>
      </c>
      <c r="O532" s="38" t="n">
        <f aca="false">IF($A532="",1,IF($Q532=0,1,INDEX(COA_Mapping!$F$7:$F$256,$Q532)))</f>
        <v>1</v>
      </c>
      <c r="P532" s="34" t="str">
        <f aca="false">IF($A532="","",$I532*$O532)</f>
        <v/>
      </c>
      <c r="Q532" s="39" t="n">
        <f aca="false">IF($B532="",0,IFERROR(MATCH($B532,COA_Mapping!$A$7:$A$256,0),0))</f>
        <v>0</v>
      </c>
      <c r="R532" s="39" t="n">
        <f aca="false">IF($A532="",-1,IF($J532=Setup!$B$7,1,IF($J532=Setup!$B$9,0,-1)))</f>
        <v>-1</v>
      </c>
      <c r="S532" s="35" t="n">
        <f aca="false">IF(OR($A532="",$Q532=0,$R532=-1),0,$Q532*1000+$R532*100+$K532)</f>
        <v>0</v>
      </c>
      <c r="T532" s="37" t="str">
        <f aca="false">IF($A532="","",IF($B532="","NO ACCOUNT",IF($Q532=0,"UNMAPPED",IF($R532=-1,"OUTSIDE FY RANGE","OK"))))</f>
        <v/>
      </c>
      <c r="U532" s="40" t="str">
        <f aca="false">IF($A532="","",$B532&amp;"|"&amp;TEXT($A532,"yyyymmdd")&amp;"|"&amp;TEXT($I532,"0.00"))</f>
        <v/>
      </c>
      <c r="V532" s="35" t="str">
        <f aca="false">IF($A532="","",COUNTIF($U$8:$U$5007,$U532))</f>
        <v/>
      </c>
    </row>
    <row r="533" customFormat="false" ht="15" hidden="false" customHeight="false" outlineLevel="0" collapsed="false">
      <c r="A533" s="31"/>
      <c r="B533" s="32"/>
      <c r="C533" s="32"/>
      <c r="D533" s="32"/>
      <c r="E533" s="32"/>
      <c r="F533" s="32"/>
      <c r="G533" s="33"/>
      <c r="H533" s="33"/>
      <c r="I533" s="34" t="str">
        <f aca="false">IF($A533="","",$G533-$H533)</f>
        <v/>
      </c>
      <c r="J533" s="35" t="str">
        <f aca="false">IF($A533="","",IF(Setup!$B$6=1,YEAR($A533),YEAR($A533)+IF(MONTH($A533)&gt;=Setup!$B$6,1,0)))</f>
        <v/>
      </c>
      <c r="K533" s="35" t="str">
        <f aca="false">IF($A533="","",MOD(MONTH($A533)-Setup!$B$6+12,12)+1)</f>
        <v/>
      </c>
      <c r="L533" s="36" t="str">
        <f aca="false">IF($A533="","",TEXT($A533,"MMM-YY"))</f>
        <v/>
      </c>
      <c r="M533" s="37" t="str">
        <f aca="false">IF($A533="","",IF($Q533=0,"UNMAPPED",INDEX(COA_Mapping!$C$7:$C$256,$Q533)))</f>
        <v/>
      </c>
      <c r="N533" s="38" t="str">
        <f aca="false">IF($A533="","",IF($Q533=0,"",INDEX(COA_Mapping!$E$7:$E$256,$Q533)))</f>
        <v/>
      </c>
      <c r="O533" s="38" t="n">
        <f aca="false">IF($A533="",1,IF($Q533=0,1,INDEX(COA_Mapping!$F$7:$F$256,$Q533)))</f>
        <v>1</v>
      </c>
      <c r="P533" s="34" t="str">
        <f aca="false">IF($A533="","",$I533*$O533)</f>
        <v/>
      </c>
      <c r="Q533" s="39" t="n">
        <f aca="false">IF($B533="",0,IFERROR(MATCH($B533,COA_Mapping!$A$7:$A$256,0),0))</f>
        <v>0</v>
      </c>
      <c r="R533" s="39" t="n">
        <f aca="false">IF($A533="",-1,IF($J533=Setup!$B$7,1,IF($J533=Setup!$B$9,0,-1)))</f>
        <v>-1</v>
      </c>
      <c r="S533" s="35" t="n">
        <f aca="false">IF(OR($A533="",$Q533=0,$R533=-1),0,$Q533*1000+$R533*100+$K533)</f>
        <v>0</v>
      </c>
      <c r="T533" s="37" t="str">
        <f aca="false">IF($A533="","",IF($B533="","NO ACCOUNT",IF($Q533=0,"UNMAPPED",IF($R533=-1,"OUTSIDE FY RANGE","OK"))))</f>
        <v/>
      </c>
      <c r="U533" s="40" t="str">
        <f aca="false">IF($A533="","",$B533&amp;"|"&amp;TEXT($A533,"yyyymmdd")&amp;"|"&amp;TEXT($I533,"0.00"))</f>
        <v/>
      </c>
      <c r="V533" s="35" t="str">
        <f aca="false">IF($A533="","",COUNTIF($U$8:$U$5007,$U533))</f>
        <v/>
      </c>
    </row>
    <row r="534" customFormat="false" ht="15" hidden="false" customHeight="false" outlineLevel="0" collapsed="false">
      <c r="A534" s="31"/>
      <c r="B534" s="32"/>
      <c r="C534" s="32"/>
      <c r="D534" s="32"/>
      <c r="E534" s="32"/>
      <c r="F534" s="32"/>
      <c r="G534" s="33"/>
      <c r="H534" s="33"/>
      <c r="I534" s="34" t="str">
        <f aca="false">IF($A534="","",$G534-$H534)</f>
        <v/>
      </c>
      <c r="J534" s="35" t="str">
        <f aca="false">IF($A534="","",IF(Setup!$B$6=1,YEAR($A534),YEAR($A534)+IF(MONTH($A534)&gt;=Setup!$B$6,1,0)))</f>
        <v/>
      </c>
      <c r="K534" s="35" t="str">
        <f aca="false">IF($A534="","",MOD(MONTH($A534)-Setup!$B$6+12,12)+1)</f>
        <v/>
      </c>
      <c r="L534" s="36" t="str">
        <f aca="false">IF($A534="","",TEXT($A534,"MMM-YY"))</f>
        <v/>
      </c>
      <c r="M534" s="37" t="str">
        <f aca="false">IF($A534="","",IF($Q534=0,"UNMAPPED",INDEX(COA_Mapping!$C$7:$C$256,$Q534)))</f>
        <v/>
      </c>
      <c r="N534" s="38" t="str">
        <f aca="false">IF($A534="","",IF($Q534=0,"",INDEX(COA_Mapping!$E$7:$E$256,$Q534)))</f>
        <v/>
      </c>
      <c r="O534" s="38" t="n">
        <f aca="false">IF($A534="",1,IF($Q534=0,1,INDEX(COA_Mapping!$F$7:$F$256,$Q534)))</f>
        <v>1</v>
      </c>
      <c r="P534" s="34" t="str">
        <f aca="false">IF($A534="","",$I534*$O534)</f>
        <v/>
      </c>
      <c r="Q534" s="39" t="n">
        <f aca="false">IF($B534="",0,IFERROR(MATCH($B534,COA_Mapping!$A$7:$A$256,0),0))</f>
        <v>0</v>
      </c>
      <c r="R534" s="39" t="n">
        <f aca="false">IF($A534="",-1,IF($J534=Setup!$B$7,1,IF($J534=Setup!$B$9,0,-1)))</f>
        <v>-1</v>
      </c>
      <c r="S534" s="35" t="n">
        <f aca="false">IF(OR($A534="",$Q534=0,$R534=-1),0,$Q534*1000+$R534*100+$K534)</f>
        <v>0</v>
      </c>
      <c r="T534" s="37" t="str">
        <f aca="false">IF($A534="","",IF($B534="","NO ACCOUNT",IF($Q534=0,"UNMAPPED",IF($R534=-1,"OUTSIDE FY RANGE","OK"))))</f>
        <v/>
      </c>
      <c r="U534" s="40" t="str">
        <f aca="false">IF($A534="","",$B534&amp;"|"&amp;TEXT($A534,"yyyymmdd")&amp;"|"&amp;TEXT($I534,"0.00"))</f>
        <v/>
      </c>
      <c r="V534" s="35" t="str">
        <f aca="false">IF($A534="","",COUNTIF($U$8:$U$5007,$U534))</f>
        <v/>
      </c>
    </row>
    <row r="535" customFormat="false" ht="15" hidden="false" customHeight="false" outlineLevel="0" collapsed="false">
      <c r="A535" s="31"/>
      <c r="B535" s="32"/>
      <c r="C535" s="32"/>
      <c r="D535" s="32"/>
      <c r="E535" s="32"/>
      <c r="F535" s="32"/>
      <c r="G535" s="33"/>
      <c r="H535" s="33"/>
      <c r="I535" s="34" t="str">
        <f aca="false">IF($A535="","",$G535-$H535)</f>
        <v/>
      </c>
      <c r="J535" s="35" t="str">
        <f aca="false">IF($A535="","",IF(Setup!$B$6=1,YEAR($A535),YEAR($A535)+IF(MONTH($A535)&gt;=Setup!$B$6,1,0)))</f>
        <v/>
      </c>
      <c r="K535" s="35" t="str">
        <f aca="false">IF($A535="","",MOD(MONTH($A535)-Setup!$B$6+12,12)+1)</f>
        <v/>
      </c>
      <c r="L535" s="36" t="str">
        <f aca="false">IF($A535="","",TEXT($A535,"MMM-YY"))</f>
        <v/>
      </c>
      <c r="M535" s="37" t="str">
        <f aca="false">IF($A535="","",IF($Q535=0,"UNMAPPED",INDEX(COA_Mapping!$C$7:$C$256,$Q535)))</f>
        <v/>
      </c>
      <c r="N535" s="38" t="str">
        <f aca="false">IF($A535="","",IF($Q535=0,"",INDEX(COA_Mapping!$E$7:$E$256,$Q535)))</f>
        <v/>
      </c>
      <c r="O535" s="38" t="n">
        <f aca="false">IF($A535="",1,IF($Q535=0,1,INDEX(COA_Mapping!$F$7:$F$256,$Q535)))</f>
        <v>1</v>
      </c>
      <c r="P535" s="34" t="str">
        <f aca="false">IF($A535="","",$I535*$O535)</f>
        <v/>
      </c>
      <c r="Q535" s="39" t="n">
        <f aca="false">IF($B535="",0,IFERROR(MATCH($B535,COA_Mapping!$A$7:$A$256,0),0))</f>
        <v>0</v>
      </c>
      <c r="R535" s="39" t="n">
        <f aca="false">IF($A535="",-1,IF($J535=Setup!$B$7,1,IF($J535=Setup!$B$9,0,-1)))</f>
        <v>-1</v>
      </c>
      <c r="S535" s="35" t="n">
        <f aca="false">IF(OR($A535="",$Q535=0,$R535=-1),0,$Q535*1000+$R535*100+$K535)</f>
        <v>0</v>
      </c>
      <c r="T535" s="37" t="str">
        <f aca="false">IF($A535="","",IF($B535="","NO ACCOUNT",IF($Q535=0,"UNMAPPED",IF($R535=-1,"OUTSIDE FY RANGE","OK"))))</f>
        <v/>
      </c>
      <c r="U535" s="40" t="str">
        <f aca="false">IF($A535="","",$B535&amp;"|"&amp;TEXT($A535,"yyyymmdd")&amp;"|"&amp;TEXT($I535,"0.00"))</f>
        <v/>
      </c>
      <c r="V535" s="35" t="str">
        <f aca="false">IF($A535="","",COUNTIF($U$8:$U$5007,$U535))</f>
        <v/>
      </c>
    </row>
    <row r="536" customFormat="false" ht="15" hidden="false" customHeight="false" outlineLevel="0" collapsed="false">
      <c r="A536" s="31"/>
      <c r="B536" s="32"/>
      <c r="C536" s="32"/>
      <c r="D536" s="32"/>
      <c r="E536" s="32"/>
      <c r="F536" s="32"/>
      <c r="G536" s="33"/>
      <c r="H536" s="33"/>
      <c r="I536" s="34" t="str">
        <f aca="false">IF($A536="","",$G536-$H536)</f>
        <v/>
      </c>
      <c r="J536" s="35" t="str">
        <f aca="false">IF($A536="","",IF(Setup!$B$6=1,YEAR($A536),YEAR($A536)+IF(MONTH($A536)&gt;=Setup!$B$6,1,0)))</f>
        <v/>
      </c>
      <c r="K536" s="35" t="str">
        <f aca="false">IF($A536="","",MOD(MONTH($A536)-Setup!$B$6+12,12)+1)</f>
        <v/>
      </c>
      <c r="L536" s="36" t="str">
        <f aca="false">IF($A536="","",TEXT($A536,"MMM-YY"))</f>
        <v/>
      </c>
      <c r="M536" s="37" t="str">
        <f aca="false">IF($A536="","",IF($Q536=0,"UNMAPPED",INDEX(COA_Mapping!$C$7:$C$256,$Q536)))</f>
        <v/>
      </c>
      <c r="N536" s="38" t="str">
        <f aca="false">IF($A536="","",IF($Q536=0,"",INDEX(COA_Mapping!$E$7:$E$256,$Q536)))</f>
        <v/>
      </c>
      <c r="O536" s="38" t="n">
        <f aca="false">IF($A536="",1,IF($Q536=0,1,INDEX(COA_Mapping!$F$7:$F$256,$Q536)))</f>
        <v>1</v>
      </c>
      <c r="P536" s="34" t="str">
        <f aca="false">IF($A536="","",$I536*$O536)</f>
        <v/>
      </c>
      <c r="Q536" s="39" t="n">
        <f aca="false">IF($B536="",0,IFERROR(MATCH($B536,COA_Mapping!$A$7:$A$256,0),0))</f>
        <v>0</v>
      </c>
      <c r="R536" s="39" t="n">
        <f aca="false">IF($A536="",-1,IF($J536=Setup!$B$7,1,IF($J536=Setup!$B$9,0,-1)))</f>
        <v>-1</v>
      </c>
      <c r="S536" s="35" t="n">
        <f aca="false">IF(OR($A536="",$Q536=0,$R536=-1),0,$Q536*1000+$R536*100+$K536)</f>
        <v>0</v>
      </c>
      <c r="T536" s="37" t="str">
        <f aca="false">IF($A536="","",IF($B536="","NO ACCOUNT",IF($Q536=0,"UNMAPPED",IF($R536=-1,"OUTSIDE FY RANGE","OK"))))</f>
        <v/>
      </c>
      <c r="U536" s="40" t="str">
        <f aca="false">IF($A536="","",$B536&amp;"|"&amp;TEXT($A536,"yyyymmdd")&amp;"|"&amp;TEXT($I536,"0.00"))</f>
        <v/>
      </c>
      <c r="V536" s="35" t="str">
        <f aca="false">IF($A536="","",COUNTIF($U$8:$U$5007,$U536))</f>
        <v/>
      </c>
    </row>
    <row r="537" customFormat="false" ht="15" hidden="false" customHeight="false" outlineLevel="0" collapsed="false">
      <c r="A537" s="31"/>
      <c r="B537" s="32"/>
      <c r="C537" s="32"/>
      <c r="D537" s="32"/>
      <c r="E537" s="32"/>
      <c r="F537" s="32"/>
      <c r="G537" s="33"/>
      <c r="H537" s="33"/>
      <c r="I537" s="34" t="str">
        <f aca="false">IF($A537="","",$G537-$H537)</f>
        <v/>
      </c>
      <c r="J537" s="35" t="str">
        <f aca="false">IF($A537="","",IF(Setup!$B$6=1,YEAR($A537),YEAR($A537)+IF(MONTH($A537)&gt;=Setup!$B$6,1,0)))</f>
        <v/>
      </c>
      <c r="K537" s="35" t="str">
        <f aca="false">IF($A537="","",MOD(MONTH($A537)-Setup!$B$6+12,12)+1)</f>
        <v/>
      </c>
      <c r="L537" s="36" t="str">
        <f aca="false">IF($A537="","",TEXT($A537,"MMM-YY"))</f>
        <v/>
      </c>
      <c r="M537" s="37" t="str">
        <f aca="false">IF($A537="","",IF($Q537=0,"UNMAPPED",INDEX(COA_Mapping!$C$7:$C$256,$Q537)))</f>
        <v/>
      </c>
      <c r="N537" s="38" t="str">
        <f aca="false">IF($A537="","",IF($Q537=0,"",INDEX(COA_Mapping!$E$7:$E$256,$Q537)))</f>
        <v/>
      </c>
      <c r="O537" s="38" t="n">
        <f aca="false">IF($A537="",1,IF($Q537=0,1,INDEX(COA_Mapping!$F$7:$F$256,$Q537)))</f>
        <v>1</v>
      </c>
      <c r="P537" s="34" t="str">
        <f aca="false">IF($A537="","",$I537*$O537)</f>
        <v/>
      </c>
      <c r="Q537" s="39" t="n">
        <f aca="false">IF($B537="",0,IFERROR(MATCH($B537,COA_Mapping!$A$7:$A$256,0),0))</f>
        <v>0</v>
      </c>
      <c r="R537" s="39" t="n">
        <f aca="false">IF($A537="",-1,IF($J537=Setup!$B$7,1,IF($J537=Setup!$B$9,0,-1)))</f>
        <v>-1</v>
      </c>
      <c r="S537" s="35" t="n">
        <f aca="false">IF(OR($A537="",$Q537=0,$R537=-1),0,$Q537*1000+$R537*100+$K537)</f>
        <v>0</v>
      </c>
      <c r="T537" s="37" t="str">
        <f aca="false">IF($A537="","",IF($B537="","NO ACCOUNT",IF($Q537=0,"UNMAPPED",IF($R537=-1,"OUTSIDE FY RANGE","OK"))))</f>
        <v/>
      </c>
      <c r="U537" s="40" t="str">
        <f aca="false">IF($A537="","",$B537&amp;"|"&amp;TEXT($A537,"yyyymmdd")&amp;"|"&amp;TEXT($I537,"0.00"))</f>
        <v/>
      </c>
      <c r="V537" s="35" t="str">
        <f aca="false">IF($A537="","",COUNTIF($U$8:$U$5007,$U537))</f>
        <v/>
      </c>
    </row>
    <row r="538" customFormat="false" ht="15" hidden="false" customHeight="false" outlineLevel="0" collapsed="false">
      <c r="A538" s="31"/>
      <c r="B538" s="32"/>
      <c r="C538" s="32"/>
      <c r="D538" s="32"/>
      <c r="E538" s="32"/>
      <c r="F538" s="32"/>
      <c r="G538" s="33"/>
      <c r="H538" s="33"/>
      <c r="I538" s="34" t="str">
        <f aca="false">IF($A538="","",$G538-$H538)</f>
        <v/>
      </c>
      <c r="J538" s="35" t="str">
        <f aca="false">IF($A538="","",IF(Setup!$B$6=1,YEAR($A538),YEAR($A538)+IF(MONTH($A538)&gt;=Setup!$B$6,1,0)))</f>
        <v/>
      </c>
      <c r="K538" s="35" t="str">
        <f aca="false">IF($A538="","",MOD(MONTH($A538)-Setup!$B$6+12,12)+1)</f>
        <v/>
      </c>
      <c r="L538" s="36" t="str">
        <f aca="false">IF($A538="","",TEXT($A538,"MMM-YY"))</f>
        <v/>
      </c>
      <c r="M538" s="37" t="str">
        <f aca="false">IF($A538="","",IF($Q538=0,"UNMAPPED",INDEX(COA_Mapping!$C$7:$C$256,$Q538)))</f>
        <v/>
      </c>
      <c r="N538" s="38" t="str">
        <f aca="false">IF($A538="","",IF($Q538=0,"",INDEX(COA_Mapping!$E$7:$E$256,$Q538)))</f>
        <v/>
      </c>
      <c r="O538" s="38" t="n">
        <f aca="false">IF($A538="",1,IF($Q538=0,1,INDEX(COA_Mapping!$F$7:$F$256,$Q538)))</f>
        <v>1</v>
      </c>
      <c r="P538" s="34" t="str">
        <f aca="false">IF($A538="","",$I538*$O538)</f>
        <v/>
      </c>
      <c r="Q538" s="39" t="n">
        <f aca="false">IF($B538="",0,IFERROR(MATCH($B538,COA_Mapping!$A$7:$A$256,0),0))</f>
        <v>0</v>
      </c>
      <c r="R538" s="39" t="n">
        <f aca="false">IF($A538="",-1,IF($J538=Setup!$B$7,1,IF($J538=Setup!$B$9,0,-1)))</f>
        <v>-1</v>
      </c>
      <c r="S538" s="35" t="n">
        <f aca="false">IF(OR($A538="",$Q538=0,$R538=-1),0,$Q538*1000+$R538*100+$K538)</f>
        <v>0</v>
      </c>
      <c r="T538" s="37" t="str">
        <f aca="false">IF($A538="","",IF($B538="","NO ACCOUNT",IF($Q538=0,"UNMAPPED",IF($R538=-1,"OUTSIDE FY RANGE","OK"))))</f>
        <v/>
      </c>
      <c r="U538" s="40" t="str">
        <f aca="false">IF($A538="","",$B538&amp;"|"&amp;TEXT($A538,"yyyymmdd")&amp;"|"&amp;TEXT($I538,"0.00"))</f>
        <v/>
      </c>
      <c r="V538" s="35" t="str">
        <f aca="false">IF($A538="","",COUNTIF($U$8:$U$5007,$U538))</f>
        <v/>
      </c>
    </row>
    <row r="539" customFormat="false" ht="15" hidden="false" customHeight="false" outlineLevel="0" collapsed="false">
      <c r="A539" s="31"/>
      <c r="B539" s="32"/>
      <c r="C539" s="32"/>
      <c r="D539" s="32"/>
      <c r="E539" s="32"/>
      <c r="F539" s="32"/>
      <c r="G539" s="33"/>
      <c r="H539" s="33"/>
      <c r="I539" s="34" t="str">
        <f aca="false">IF($A539="","",$G539-$H539)</f>
        <v/>
      </c>
      <c r="J539" s="35" t="str">
        <f aca="false">IF($A539="","",IF(Setup!$B$6=1,YEAR($A539),YEAR($A539)+IF(MONTH($A539)&gt;=Setup!$B$6,1,0)))</f>
        <v/>
      </c>
      <c r="K539" s="35" t="str">
        <f aca="false">IF($A539="","",MOD(MONTH($A539)-Setup!$B$6+12,12)+1)</f>
        <v/>
      </c>
      <c r="L539" s="36" t="str">
        <f aca="false">IF($A539="","",TEXT($A539,"MMM-YY"))</f>
        <v/>
      </c>
      <c r="M539" s="37" t="str">
        <f aca="false">IF($A539="","",IF($Q539=0,"UNMAPPED",INDEX(COA_Mapping!$C$7:$C$256,$Q539)))</f>
        <v/>
      </c>
      <c r="N539" s="38" t="str">
        <f aca="false">IF($A539="","",IF($Q539=0,"",INDEX(COA_Mapping!$E$7:$E$256,$Q539)))</f>
        <v/>
      </c>
      <c r="O539" s="38" t="n">
        <f aca="false">IF($A539="",1,IF($Q539=0,1,INDEX(COA_Mapping!$F$7:$F$256,$Q539)))</f>
        <v>1</v>
      </c>
      <c r="P539" s="34" t="str">
        <f aca="false">IF($A539="","",$I539*$O539)</f>
        <v/>
      </c>
      <c r="Q539" s="39" t="n">
        <f aca="false">IF($B539="",0,IFERROR(MATCH($B539,COA_Mapping!$A$7:$A$256,0),0))</f>
        <v>0</v>
      </c>
      <c r="R539" s="39" t="n">
        <f aca="false">IF($A539="",-1,IF($J539=Setup!$B$7,1,IF($J539=Setup!$B$9,0,-1)))</f>
        <v>-1</v>
      </c>
      <c r="S539" s="35" t="n">
        <f aca="false">IF(OR($A539="",$Q539=0,$R539=-1),0,$Q539*1000+$R539*100+$K539)</f>
        <v>0</v>
      </c>
      <c r="T539" s="37" t="str">
        <f aca="false">IF($A539="","",IF($B539="","NO ACCOUNT",IF($Q539=0,"UNMAPPED",IF($R539=-1,"OUTSIDE FY RANGE","OK"))))</f>
        <v/>
      </c>
      <c r="U539" s="40" t="str">
        <f aca="false">IF($A539="","",$B539&amp;"|"&amp;TEXT($A539,"yyyymmdd")&amp;"|"&amp;TEXT($I539,"0.00"))</f>
        <v/>
      </c>
      <c r="V539" s="35" t="str">
        <f aca="false">IF($A539="","",COUNTIF($U$8:$U$5007,$U539))</f>
        <v/>
      </c>
    </row>
    <row r="540" customFormat="false" ht="15" hidden="false" customHeight="false" outlineLevel="0" collapsed="false">
      <c r="A540" s="31"/>
      <c r="B540" s="32"/>
      <c r="C540" s="32"/>
      <c r="D540" s="32"/>
      <c r="E540" s="32"/>
      <c r="F540" s="32"/>
      <c r="G540" s="33"/>
      <c r="H540" s="33"/>
      <c r="I540" s="34" t="str">
        <f aca="false">IF($A540="","",$G540-$H540)</f>
        <v/>
      </c>
      <c r="J540" s="35" t="str">
        <f aca="false">IF($A540="","",IF(Setup!$B$6=1,YEAR($A540),YEAR($A540)+IF(MONTH($A540)&gt;=Setup!$B$6,1,0)))</f>
        <v/>
      </c>
      <c r="K540" s="35" t="str">
        <f aca="false">IF($A540="","",MOD(MONTH($A540)-Setup!$B$6+12,12)+1)</f>
        <v/>
      </c>
      <c r="L540" s="36" t="str">
        <f aca="false">IF($A540="","",TEXT($A540,"MMM-YY"))</f>
        <v/>
      </c>
      <c r="M540" s="37" t="str">
        <f aca="false">IF($A540="","",IF($Q540=0,"UNMAPPED",INDEX(COA_Mapping!$C$7:$C$256,$Q540)))</f>
        <v/>
      </c>
      <c r="N540" s="38" t="str">
        <f aca="false">IF($A540="","",IF($Q540=0,"",INDEX(COA_Mapping!$E$7:$E$256,$Q540)))</f>
        <v/>
      </c>
      <c r="O540" s="38" t="n">
        <f aca="false">IF($A540="",1,IF($Q540=0,1,INDEX(COA_Mapping!$F$7:$F$256,$Q540)))</f>
        <v>1</v>
      </c>
      <c r="P540" s="34" t="str">
        <f aca="false">IF($A540="","",$I540*$O540)</f>
        <v/>
      </c>
      <c r="Q540" s="39" t="n">
        <f aca="false">IF($B540="",0,IFERROR(MATCH($B540,COA_Mapping!$A$7:$A$256,0),0))</f>
        <v>0</v>
      </c>
      <c r="R540" s="39" t="n">
        <f aca="false">IF($A540="",-1,IF($J540=Setup!$B$7,1,IF($J540=Setup!$B$9,0,-1)))</f>
        <v>-1</v>
      </c>
      <c r="S540" s="35" t="n">
        <f aca="false">IF(OR($A540="",$Q540=0,$R540=-1),0,$Q540*1000+$R540*100+$K540)</f>
        <v>0</v>
      </c>
      <c r="T540" s="37" t="str">
        <f aca="false">IF($A540="","",IF($B540="","NO ACCOUNT",IF($Q540=0,"UNMAPPED",IF($R540=-1,"OUTSIDE FY RANGE","OK"))))</f>
        <v/>
      </c>
      <c r="U540" s="40" t="str">
        <f aca="false">IF($A540="","",$B540&amp;"|"&amp;TEXT($A540,"yyyymmdd")&amp;"|"&amp;TEXT($I540,"0.00"))</f>
        <v/>
      </c>
      <c r="V540" s="35" t="str">
        <f aca="false">IF($A540="","",COUNTIF($U$8:$U$5007,$U540))</f>
        <v/>
      </c>
    </row>
    <row r="541" customFormat="false" ht="15" hidden="false" customHeight="false" outlineLevel="0" collapsed="false">
      <c r="A541" s="31"/>
      <c r="B541" s="32"/>
      <c r="C541" s="32"/>
      <c r="D541" s="32"/>
      <c r="E541" s="32"/>
      <c r="F541" s="32"/>
      <c r="G541" s="33"/>
      <c r="H541" s="33"/>
      <c r="I541" s="34" t="str">
        <f aca="false">IF($A541="","",$G541-$H541)</f>
        <v/>
      </c>
      <c r="J541" s="35" t="str">
        <f aca="false">IF($A541="","",IF(Setup!$B$6=1,YEAR($A541),YEAR($A541)+IF(MONTH($A541)&gt;=Setup!$B$6,1,0)))</f>
        <v/>
      </c>
      <c r="K541" s="35" t="str">
        <f aca="false">IF($A541="","",MOD(MONTH($A541)-Setup!$B$6+12,12)+1)</f>
        <v/>
      </c>
      <c r="L541" s="36" t="str">
        <f aca="false">IF($A541="","",TEXT($A541,"MMM-YY"))</f>
        <v/>
      </c>
      <c r="M541" s="37" t="str">
        <f aca="false">IF($A541="","",IF($Q541=0,"UNMAPPED",INDEX(COA_Mapping!$C$7:$C$256,$Q541)))</f>
        <v/>
      </c>
      <c r="N541" s="38" t="str">
        <f aca="false">IF($A541="","",IF($Q541=0,"",INDEX(COA_Mapping!$E$7:$E$256,$Q541)))</f>
        <v/>
      </c>
      <c r="O541" s="38" t="n">
        <f aca="false">IF($A541="",1,IF($Q541=0,1,INDEX(COA_Mapping!$F$7:$F$256,$Q541)))</f>
        <v>1</v>
      </c>
      <c r="P541" s="34" t="str">
        <f aca="false">IF($A541="","",$I541*$O541)</f>
        <v/>
      </c>
      <c r="Q541" s="39" t="n">
        <f aca="false">IF($B541="",0,IFERROR(MATCH($B541,COA_Mapping!$A$7:$A$256,0),0))</f>
        <v>0</v>
      </c>
      <c r="R541" s="39" t="n">
        <f aca="false">IF($A541="",-1,IF($J541=Setup!$B$7,1,IF($J541=Setup!$B$9,0,-1)))</f>
        <v>-1</v>
      </c>
      <c r="S541" s="35" t="n">
        <f aca="false">IF(OR($A541="",$Q541=0,$R541=-1),0,$Q541*1000+$R541*100+$K541)</f>
        <v>0</v>
      </c>
      <c r="T541" s="37" t="str">
        <f aca="false">IF($A541="","",IF($B541="","NO ACCOUNT",IF($Q541=0,"UNMAPPED",IF($R541=-1,"OUTSIDE FY RANGE","OK"))))</f>
        <v/>
      </c>
      <c r="U541" s="40" t="str">
        <f aca="false">IF($A541="","",$B541&amp;"|"&amp;TEXT($A541,"yyyymmdd")&amp;"|"&amp;TEXT($I541,"0.00"))</f>
        <v/>
      </c>
      <c r="V541" s="35" t="str">
        <f aca="false">IF($A541="","",COUNTIF($U$8:$U$5007,$U541))</f>
        <v/>
      </c>
    </row>
    <row r="542" customFormat="false" ht="15" hidden="false" customHeight="false" outlineLevel="0" collapsed="false">
      <c r="A542" s="31"/>
      <c r="B542" s="32"/>
      <c r="C542" s="32"/>
      <c r="D542" s="32"/>
      <c r="E542" s="32"/>
      <c r="F542" s="32"/>
      <c r="G542" s="33"/>
      <c r="H542" s="33"/>
      <c r="I542" s="34" t="str">
        <f aca="false">IF($A542="","",$G542-$H542)</f>
        <v/>
      </c>
      <c r="J542" s="35" t="str">
        <f aca="false">IF($A542="","",IF(Setup!$B$6=1,YEAR($A542),YEAR($A542)+IF(MONTH($A542)&gt;=Setup!$B$6,1,0)))</f>
        <v/>
      </c>
      <c r="K542" s="35" t="str">
        <f aca="false">IF($A542="","",MOD(MONTH($A542)-Setup!$B$6+12,12)+1)</f>
        <v/>
      </c>
      <c r="L542" s="36" t="str">
        <f aca="false">IF($A542="","",TEXT($A542,"MMM-YY"))</f>
        <v/>
      </c>
      <c r="M542" s="37" t="str">
        <f aca="false">IF($A542="","",IF($Q542=0,"UNMAPPED",INDEX(COA_Mapping!$C$7:$C$256,$Q542)))</f>
        <v/>
      </c>
      <c r="N542" s="38" t="str">
        <f aca="false">IF($A542="","",IF($Q542=0,"",INDEX(COA_Mapping!$E$7:$E$256,$Q542)))</f>
        <v/>
      </c>
      <c r="O542" s="38" t="n">
        <f aca="false">IF($A542="",1,IF($Q542=0,1,INDEX(COA_Mapping!$F$7:$F$256,$Q542)))</f>
        <v>1</v>
      </c>
      <c r="P542" s="34" t="str">
        <f aca="false">IF($A542="","",$I542*$O542)</f>
        <v/>
      </c>
      <c r="Q542" s="39" t="n">
        <f aca="false">IF($B542="",0,IFERROR(MATCH($B542,COA_Mapping!$A$7:$A$256,0),0))</f>
        <v>0</v>
      </c>
      <c r="R542" s="39" t="n">
        <f aca="false">IF($A542="",-1,IF($J542=Setup!$B$7,1,IF($J542=Setup!$B$9,0,-1)))</f>
        <v>-1</v>
      </c>
      <c r="S542" s="35" t="n">
        <f aca="false">IF(OR($A542="",$Q542=0,$R542=-1),0,$Q542*1000+$R542*100+$K542)</f>
        <v>0</v>
      </c>
      <c r="T542" s="37" t="str">
        <f aca="false">IF($A542="","",IF($B542="","NO ACCOUNT",IF($Q542=0,"UNMAPPED",IF($R542=-1,"OUTSIDE FY RANGE","OK"))))</f>
        <v/>
      </c>
      <c r="U542" s="40" t="str">
        <f aca="false">IF($A542="","",$B542&amp;"|"&amp;TEXT($A542,"yyyymmdd")&amp;"|"&amp;TEXT($I542,"0.00"))</f>
        <v/>
      </c>
      <c r="V542" s="35" t="str">
        <f aca="false">IF($A542="","",COUNTIF($U$8:$U$5007,$U542))</f>
        <v/>
      </c>
    </row>
    <row r="543" customFormat="false" ht="15" hidden="false" customHeight="false" outlineLevel="0" collapsed="false">
      <c r="A543" s="31"/>
      <c r="B543" s="32"/>
      <c r="C543" s="32"/>
      <c r="D543" s="32"/>
      <c r="E543" s="32"/>
      <c r="F543" s="32"/>
      <c r="G543" s="33"/>
      <c r="H543" s="33"/>
      <c r="I543" s="34" t="str">
        <f aca="false">IF($A543="","",$G543-$H543)</f>
        <v/>
      </c>
      <c r="J543" s="35" t="str">
        <f aca="false">IF($A543="","",IF(Setup!$B$6=1,YEAR($A543),YEAR($A543)+IF(MONTH($A543)&gt;=Setup!$B$6,1,0)))</f>
        <v/>
      </c>
      <c r="K543" s="35" t="str">
        <f aca="false">IF($A543="","",MOD(MONTH($A543)-Setup!$B$6+12,12)+1)</f>
        <v/>
      </c>
      <c r="L543" s="36" t="str">
        <f aca="false">IF($A543="","",TEXT($A543,"MMM-YY"))</f>
        <v/>
      </c>
      <c r="M543" s="37" t="str">
        <f aca="false">IF($A543="","",IF($Q543=0,"UNMAPPED",INDEX(COA_Mapping!$C$7:$C$256,$Q543)))</f>
        <v/>
      </c>
      <c r="N543" s="38" t="str">
        <f aca="false">IF($A543="","",IF($Q543=0,"",INDEX(COA_Mapping!$E$7:$E$256,$Q543)))</f>
        <v/>
      </c>
      <c r="O543" s="38" t="n">
        <f aca="false">IF($A543="",1,IF($Q543=0,1,INDEX(COA_Mapping!$F$7:$F$256,$Q543)))</f>
        <v>1</v>
      </c>
      <c r="P543" s="34" t="str">
        <f aca="false">IF($A543="","",$I543*$O543)</f>
        <v/>
      </c>
      <c r="Q543" s="39" t="n">
        <f aca="false">IF($B543="",0,IFERROR(MATCH($B543,COA_Mapping!$A$7:$A$256,0),0))</f>
        <v>0</v>
      </c>
      <c r="R543" s="39" t="n">
        <f aca="false">IF($A543="",-1,IF($J543=Setup!$B$7,1,IF($J543=Setup!$B$9,0,-1)))</f>
        <v>-1</v>
      </c>
      <c r="S543" s="35" t="n">
        <f aca="false">IF(OR($A543="",$Q543=0,$R543=-1),0,$Q543*1000+$R543*100+$K543)</f>
        <v>0</v>
      </c>
      <c r="T543" s="37" t="str">
        <f aca="false">IF($A543="","",IF($B543="","NO ACCOUNT",IF($Q543=0,"UNMAPPED",IF($R543=-1,"OUTSIDE FY RANGE","OK"))))</f>
        <v/>
      </c>
      <c r="U543" s="40" t="str">
        <f aca="false">IF($A543="","",$B543&amp;"|"&amp;TEXT($A543,"yyyymmdd")&amp;"|"&amp;TEXT($I543,"0.00"))</f>
        <v/>
      </c>
      <c r="V543" s="35" t="str">
        <f aca="false">IF($A543="","",COUNTIF($U$8:$U$5007,$U543))</f>
        <v/>
      </c>
    </row>
    <row r="544" customFormat="false" ht="15" hidden="false" customHeight="false" outlineLevel="0" collapsed="false">
      <c r="A544" s="31"/>
      <c r="B544" s="32"/>
      <c r="C544" s="32"/>
      <c r="D544" s="32"/>
      <c r="E544" s="32"/>
      <c r="F544" s="32"/>
      <c r="G544" s="33"/>
      <c r="H544" s="33"/>
      <c r="I544" s="34" t="str">
        <f aca="false">IF($A544="","",$G544-$H544)</f>
        <v/>
      </c>
      <c r="J544" s="35" t="str">
        <f aca="false">IF($A544="","",IF(Setup!$B$6=1,YEAR($A544),YEAR($A544)+IF(MONTH($A544)&gt;=Setup!$B$6,1,0)))</f>
        <v/>
      </c>
      <c r="K544" s="35" t="str">
        <f aca="false">IF($A544="","",MOD(MONTH($A544)-Setup!$B$6+12,12)+1)</f>
        <v/>
      </c>
      <c r="L544" s="36" t="str">
        <f aca="false">IF($A544="","",TEXT($A544,"MMM-YY"))</f>
        <v/>
      </c>
      <c r="M544" s="37" t="str">
        <f aca="false">IF($A544="","",IF($Q544=0,"UNMAPPED",INDEX(COA_Mapping!$C$7:$C$256,$Q544)))</f>
        <v/>
      </c>
      <c r="N544" s="38" t="str">
        <f aca="false">IF($A544="","",IF($Q544=0,"",INDEX(COA_Mapping!$E$7:$E$256,$Q544)))</f>
        <v/>
      </c>
      <c r="O544" s="38" t="n">
        <f aca="false">IF($A544="",1,IF($Q544=0,1,INDEX(COA_Mapping!$F$7:$F$256,$Q544)))</f>
        <v>1</v>
      </c>
      <c r="P544" s="34" t="str">
        <f aca="false">IF($A544="","",$I544*$O544)</f>
        <v/>
      </c>
      <c r="Q544" s="39" t="n">
        <f aca="false">IF($B544="",0,IFERROR(MATCH($B544,COA_Mapping!$A$7:$A$256,0),0))</f>
        <v>0</v>
      </c>
      <c r="R544" s="39" t="n">
        <f aca="false">IF($A544="",-1,IF($J544=Setup!$B$7,1,IF($J544=Setup!$B$9,0,-1)))</f>
        <v>-1</v>
      </c>
      <c r="S544" s="35" t="n">
        <f aca="false">IF(OR($A544="",$Q544=0,$R544=-1),0,$Q544*1000+$R544*100+$K544)</f>
        <v>0</v>
      </c>
      <c r="T544" s="37" t="str">
        <f aca="false">IF($A544="","",IF($B544="","NO ACCOUNT",IF($Q544=0,"UNMAPPED",IF($R544=-1,"OUTSIDE FY RANGE","OK"))))</f>
        <v/>
      </c>
      <c r="U544" s="40" t="str">
        <f aca="false">IF($A544="","",$B544&amp;"|"&amp;TEXT($A544,"yyyymmdd")&amp;"|"&amp;TEXT($I544,"0.00"))</f>
        <v/>
      </c>
      <c r="V544" s="35" t="str">
        <f aca="false">IF($A544="","",COUNTIF($U$8:$U$5007,$U544))</f>
        <v/>
      </c>
    </row>
    <row r="545" customFormat="false" ht="15" hidden="false" customHeight="false" outlineLevel="0" collapsed="false">
      <c r="A545" s="31"/>
      <c r="B545" s="32"/>
      <c r="C545" s="32"/>
      <c r="D545" s="32"/>
      <c r="E545" s="32"/>
      <c r="F545" s="32"/>
      <c r="G545" s="33"/>
      <c r="H545" s="33"/>
      <c r="I545" s="34" t="str">
        <f aca="false">IF($A545="","",$G545-$H545)</f>
        <v/>
      </c>
      <c r="J545" s="35" t="str">
        <f aca="false">IF($A545="","",IF(Setup!$B$6=1,YEAR($A545),YEAR($A545)+IF(MONTH($A545)&gt;=Setup!$B$6,1,0)))</f>
        <v/>
      </c>
      <c r="K545" s="35" t="str">
        <f aca="false">IF($A545="","",MOD(MONTH($A545)-Setup!$B$6+12,12)+1)</f>
        <v/>
      </c>
      <c r="L545" s="36" t="str">
        <f aca="false">IF($A545="","",TEXT($A545,"MMM-YY"))</f>
        <v/>
      </c>
      <c r="M545" s="37" t="str">
        <f aca="false">IF($A545="","",IF($Q545=0,"UNMAPPED",INDEX(COA_Mapping!$C$7:$C$256,$Q545)))</f>
        <v/>
      </c>
      <c r="N545" s="38" t="str">
        <f aca="false">IF($A545="","",IF($Q545=0,"",INDEX(COA_Mapping!$E$7:$E$256,$Q545)))</f>
        <v/>
      </c>
      <c r="O545" s="38" t="n">
        <f aca="false">IF($A545="",1,IF($Q545=0,1,INDEX(COA_Mapping!$F$7:$F$256,$Q545)))</f>
        <v>1</v>
      </c>
      <c r="P545" s="34" t="str">
        <f aca="false">IF($A545="","",$I545*$O545)</f>
        <v/>
      </c>
      <c r="Q545" s="39" t="n">
        <f aca="false">IF($B545="",0,IFERROR(MATCH($B545,COA_Mapping!$A$7:$A$256,0),0))</f>
        <v>0</v>
      </c>
      <c r="R545" s="39" t="n">
        <f aca="false">IF($A545="",-1,IF($J545=Setup!$B$7,1,IF($J545=Setup!$B$9,0,-1)))</f>
        <v>-1</v>
      </c>
      <c r="S545" s="35" t="n">
        <f aca="false">IF(OR($A545="",$Q545=0,$R545=-1),0,$Q545*1000+$R545*100+$K545)</f>
        <v>0</v>
      </c>
      <c r="T545" s="37" t="str">
        <f aca="false">IF($A545="","",IF($B545="","NO ACCOUNT",IF($Q545=0,"UNMAPPED",IF($R545=-1,"OUTSIDE FY RANGE","OK"))))</f>
        <v/>
      </c>
      <c r="U545" s="40" t="str">
        <f aca="false">IF($A545="","",$B545&amp;"|"&amp;TEXT($A545,"yyyymmdd")&amp;"|"&amp;TEXT($I545,"0.00"))</f>
        <v/>
      </c>
      <c r="V545" s="35" t="str">
        <f aca="false">IF($A545="","",COUNTIF($U$8:$U$5007,$U545))</f>
        <v/>
      </c>
    </row>
    <row r="546" customFormat="false" ht="15" hidden="false" customHeight="false" outlineLevel="0" collapsed="false">
      <c r="A546" s="31"/>
      <c r="B546" s="32"/>
      <c r="C546" s="32"/>
      <c r="D546" s="32"/>
      <c r="E546" s="32"/>
      <c r="F546" s="32"/>
      <c r="G546" s="33"/>
      <c r="H546" s="33"/>
      <c r="I546" s="34" t="str">
        <f aca="false">IF($A546="","",$G546-$H546)</f>
        <v/>
      </c>
      <c r="J546" s="35" t="str">
        <f aca="false">IF($A546="","",IF(Setup!$B$6=1,YEAR($A546),YEAR($A546)+IF(MONTH($A546)&gt;=Setup!$B$6,1,0)))</f>
        <v/>
      </c>
      <c r="K546" s="35" t="str">
        <f aca="false">IF($A546="","",MOD(MONTH($A546)-Setup!$B$6+12,12)+1)</f>
        <v/>
      </c>
      <c r="L546" s="36" t="str">
        <f aca="false">IF($A546="","",TEXT($A546,"MMM-YY"))</f>
        <v/>
      </c>
      <c r="M546" s="37" t="str">
        <f aca="false">IF($A546="","",IF($Q546=0,"UNMAPPED",INDEX(COA_Mapping!$C$7:$C$256,$Q546)))</f>
        <v/>
      </c>
      <c r="N546" s="38" t="str">
        <f aca="false">IF($A546="","",IF($Q546=0,"",INDEX(COA_Mapping!$E$7:$E$256,$Q546)))</f>
        <v/>
      </c>
      <c r="O546" s="38" t="n">
        <f aca="false">IF($A546="",1,IF($Q546=0,1,INDEX(COA_Mapping!$F$7:$F$256,$Q546)))</f>
        <v>1</v>
      </c>
      <c r="P546" s="34" t="str">
        <f aca="false">IF($A546="","",$I546*$O546)</f>
        <v/>
      </c>
      <c r="Q546" s="39" t="n">
        <f aca="false">IF($B546="",0,IFERROR(MATCH($B546,COA_Mapping!$A$7:$A$256,0),0))</f>
        <v>0</v>
      </c>
      <c r="R546" s="39" t="n">
        <f aca="false">IF($A546="",-1,IF($J546=Setup!$B$7,1,IF($J546=Setup!$B$9,0,-1)))</f>
        <v>-1</v>
      </c>
      <c r="S546" s="35" t="n">
        <f aca="false">IF(OR($A546="",$Q546=0,$R546=-1),0,$Q546*1000+$R546*100+$K546)</f>
        <v>0</v>
      </c>
      <c r="T546" s="37" t="str">
        <f aca="false">IF($A546="","",IF($B546="","NO ACCOUNT",IF($Q546=0,"UNMAPPED",IF($R546=-1,"OUTSIDE FY RANGE","OK"))))</f>
        <v/>
      </c>
      <c r="U546" s="40" t="str">
        <f aca="false">IF($A546="","",$B546&amp;"|"&amp;TEXT($A546,"yyyymmdd")&amp;"|"&amp;TEXT($I546,"0.00"))</f>
        <v/>
      </c>
      <c r="V546" s="35" t="str">
        <f aca="false">IF($A546="","",COUNTIF($U$8:$U$5007,$U546))</f>
        <v/>
      </c>
    </row>
    <row r="547" customFormat="false" ht="15" hidden="false" customHeight="false" outlineLevel="0" collapsed="false">
      <c r="A547" s="31"/>
      <c r="B547" s="32"/>
      <c r="C547" s="32"/>
      <c r="D547" s="32"/>
      <c r="E547" s="32"/>
      <c r="F547" s="32"/>
      <c r="G547" s="33"/>
      <c r="H547" s="33"/>
      <c r="I547" s="34" t="str">
        <f aca="false">IF($A547="","",$G547-$H547)</f>
        <v/>
      </c>
      <c r="J547" s="35" t="str">
        <f aca="false">IF($A547="","",IF(Setup!$B$6=1,YEAR($A547),YEAR($A547)+IF(MONTH($A547)&gt;=Setup!$B$6,1,0)))</f>
        <v/>
      </c>
      <c r="K547" s="35" t="str">
        <f aca="false">IF($A547="","",MOD(MONTH($A547)-Setup!$B$6+12,12)+1)</f>
        <v/>
      </c>
      <c r="L547" s="36" t="str">
        <f aca="false">IF($A547="","",TEXT($A547,"MMM-YY"))</f>
        <v/>
      </c>
      <c r="M547" s="37" t="str">
        <f aca="false">IF($A547="","",IF($Q547=0,"UNMAPPED",INDEX(COA_Mapping!$C$7:$C$256,$Q547)))</f>
        <v/>
      </c>
      <c r="N547" s="38" t="str">
        <f aca="false">IF($A547="","",IF($Q547=0,"",INDEX(COA_Mapping!$E$7:$E$256,$Q547)))</f>
        <v/>
      </c>
      <c r="O547" s="38" t="n">
        <f aca="false">IF($A547="",1,IF($Q547=0,1,INDEX(COA_Mapping!$F$7:$F$256,$Q547)))</f>
        <v>1</v>
      </c>
      <c r="P547" s="34" t="str">
        <f aca="false">IF($A547="","",$I547*$O547)</f>
        <v/>
      </c>
      <c r="Q547" s="39" t="n">
        <f aca="false">IF($B547="",0,IFERROR(MATCH($B547,COA_Mapping!$A$7:$A$256,0),0))</f>
        <v>0</v>
      </c>
      <c r="R547" s="39" t="n">
        <f aca="false">IF($A547="",-1,IF($J547=Setup!$B$7,1,IF($J547=Setup!$B$9,0,-1)))</f>
        <v>-1</v>
      </c>
      <c r="S547" s="35" t="n">
        <f aca="false">IF(OR($A547="",$Q547=0,$R547=-1),0,$Q547*1000+$R547*100+$K547)</f>
        <v>0</v>
      </c>
      <c r="T547" s="37" t="str">
        <f aca="false">IF($A547="","",IF($B547="","NO ACCOUNT",IF($Q547=0,"UNMAPPED",IF($R547=-1,"OUTSIDE FY RANGE","OK"))))</f>
        <v/>
      </c>
      <c r="U547" s="40" t="str">
        <f aca="false">IF($A547="","",$B547&amp;"|"&amp;TEXT($A547,"yyyymmdd")&amp;"|"&amp;TEXT($I547,"0.00"))</f>
        <v/>
      </c>
      <c r="V547" s="35" t="str">
        <f aca="false">IF($A547="","",COUNTIF($U$8:$U$5007,$U547))</f>
        <v/>
      </c>
    </row>
    <row r="548" customFormat="false" ht="15" hidden="false" customHeight="false" outlineLevel="0" collapsed="false">
      <c r="A548" s="31"/>
      <c r="B548" s="32"/>
      <c r="C548" s="32"/>
      <c r="D548" s="32"/>
      <c r="E548" s="32"/>
      <c r="F548" s="32"/>
      <c r="G548" s="33"/>
      <c r="H548" s="33"/>
      <c r="I548" s="34" t="str">
        <f aca="false">IF($A548="","",$G548-$H548)</f>
        <v/>
      </c>
      <c r="J548" s="35" t="str">
        <f aca="false">IF($A548="","",IF(Setup!$B$6=1,YEAR($A548),YEAR($A548)+IF(MONTH($A548)&gt;=Setup!$B$6,1,0)))</f>
        <v/>
      </c>
      <c r="K548" s="35" t="str">
        <f aca="false">IF($A548="","",MOD(MONTH($A548)-Setup!$B$6+12,12)+1)</f>
        <v/>
      </c>
      <c r="L548" s="36" t="str">
        <f aca="false">IF($A548="","",TEXT($A548,"MMM-YY"))</f>
        <v/>
      </c>
      <c r="M548" s="37" t="str">
        <f aca="false">IF($A548="","",IF($Q548=0,"UNMAPPED",INDEX(COA_Mapping!$C$7:$C$256,$Q548)))</f>
        <v/>
      </c>
      <c r="N548" s="38" t="str">
        <f aca="false">IF($A548="","",IF($Q548=0,"",INDEX(COA_Mapping!$E$7:$E$256,$Q548)))</f>
        <v/>
      </c>
      <c r="O548" s="38" t="n">
        <f aca="false">IF($A548="",1,IF($Q548=0,1,INDEX(COA_Mapping!$F$7:$F$256,$Q548)))</f>
        <v>1</v>
      </c>
      <c r="P548" s="34" t="str">
        <f aca="false">IF($A548="","",$I548*$O548)</f>
        <v/>
      </c>
      <c r="Q548" s="39" t="n">
        <f aca="false">IF($B548="",0,IFERROR(MATCH($B548,COA_Mapping!$A$7:$A$256,0),0))</f>
        <v>0</v>
      </c>
      <c r="R548" s="39" t="n">
        <f aca="false">IF($A548="",-1,IF($J548=Setup!$B$7,1,IF($J548=Setup!$B$9,0,-1)))</f>
        <v>-1</v>
      </c>
      <c r="S548" s="35" t="n">
        <f aca="false">IF(OR($A548="",$Q548=0,$R548=-1),0,$Q548*1000+$R548*100+$K548)</f>
        <v>0</v>
      </c>
      <c r="T548" s="37" t="str">
        <f aca="false">IF($A548="","",IF($B548="","NO ACCOUNT",IF($Q548=0,"UNMAPPED",IF($R548=-1,"OUTSIDE FY RANGE","OK"))))</f>
        <v/>
      </c>
      <c r="U548" s="40" t="str">
        <f aca="false">IF($A548="","",$B548&amp;"|"&amp;TEXT($A548,"yyyymmdd")&amp;"|"&amp;TEXT($I548,"0.00"))</f>
        <v/>
      </c>
      <c r="V548" s="35" t="str">
        <f aca="false">IF($A548="","",COUNTIF($U$8:$U$5007,$U548))</f>
        <v/>
      </c>
    </row>
    <row r="549" customFormat="false" ht="15" hidden="false" customHeight="false" outlineLevel="0" collapsed="false">
      <c r="A549" s="31"/>
      <c r="B549" s="32"/>
      <c r="C549" s="32"/>
      <c r="D549" s="32"/>
      <c r="E549" s="32"/>
      <c r="F549" s="32"/>
      <c r="G549" s="33"/>
      <c r="H549" s="33"/>
      <c r="I549" s="34" t="str">
        <f aca="false">IF($A549="","",$G549-$H549)</f>
        <v/>
      </c>
      <c r="J549" s="35" t="str">
        <f aca="false">IF($A549="","",IF(Setup!$B$6=1,YEAR($A549),YEAR($A549)+IF(MONTH($A549)&gt;=Setup!$B$6,1,0)))</f>
        <v/>
      </c>
      <c r="K549" s="35" t="str">
        <f aca="false">IF($A549="","",MOD(MONTH($A549)-Setup!$B$6+12,12)+1)</f>
        <v/>
      </c>
      <c r="L549" s="36" t="str">
        <f aca="false">IF($A549="","",TEXT($A549,"MMM-YY"))</f>
        <v/>
      </c>
      <c r="M549" s="37" t="str">
        <f aca="false">IF($A549="","",IF($Q549=0,"UNMAPPED",INDEX(COA_Mapping!$C$7:$C$256,$Q549)))</f>
        <v/>
      </c>
      <c r="N549" s="38" t="str">
        <f aca="false">IF($A549="","",IF($Q549=0,"",INDEX(COA_Mapping!$E$7:$E$256,$Q549)))</f>
        <v/>
      </c>
      <c r="O549" s="38" t="n">
        <f aca="false">IF($A549="",1,IF($Q549=0,1,INDEX(COA_Mapping!$F$7:$F$256,$Q549)))</f>
        <v>1</v>
      </c>
      <c r="P549" s="34" t="str">
        <f aca="false">IF($A549="","",$I549*$O549)</f>
        <v/>
      </c>
      <c r="Q549" s="39" t="n">
        <f aca="false">IF($B549="",0,IFERROR(MATCH($B549,COA_Mapping!$A$7:$A$256,0),0))</f>
        <v>0</v>
      </c>
      <c r="R549" s="39" t="n">
        <f aca="false">IF($A549="",-1,IF($J549=Setup!$B$7,1,IF($J549=Setup!$B$9,0,-1)))</f>
        <v>-1</v>
      </c>
      <c r="S549" s="35" t="n">
        <f aca="false">IF(OR($A549="",$Q549=0,$R549=-1),0,$Q549*1000+$R549*100+$K549)</f>
        <v>0</v>
      </c>
      <c r="T549" s="37" t="str">
        <f aca="false">IF($A549="","",IF($B549="","NO ACCOUNT",IF($Q549=0,"UNMAPPED",IF($R549=-1,"OUTSIDE FY RANGE","OK"))))</f>
        <v/>
      </c>
      <c r="U549" s="40" t="str">
        <f aca="false">IF($A549="","",$B549&amp;"|"&amp;TEXT($A549,"yyyymmdd")&amp;"|"&amp;TEXT($I549,"0.00"))</f>
        <v/>
      </c>
      <c r="V549" s="35" t="str">
        <f aca="false">IF($A549="","",COUNTIF($U$8:$U$5007,$U549))</f>
        <v/>
      </c>
    </row>
    <row r="550" customFormat="false" ht="15" hidden="false" customHeight="false" outlineLevel="0" collapsed="false">
      <c r="A550" s="31"/>
      <c r="B550" s="32"/>
      <c r="C550" s="32"/>
      <c r="D550" s="32"/>
      <c r="E550" s="32"/>
      <c r="F550" s="32"/>
      <c r="G550" s="33"/>
      <c r="H550" s="33"/>
      <c r="I550" s="34" t="str">
        <f aca="false">IF($A550="","",$G550-$H550)</f>
        <v/>
      </c>
      <c r="J550" s="35" t="str">
        <f aca="false">IF($A550="","",IF(Setup!$B$6=1,YEAR($A550),YEAR($A550)+IF(MONTH($A550)&gt;=Setup!$B$6,1,0)))</f>
        <v/>
      </c>
      <c r="K550" s="35" t="str">
        <f aca="false">IF($A550="","",MOD(MONTH($A550)-Setup!$B$6+12,12)+1)</f>
        <v/>
      </c>
      <c r="L550" s="36" t="str">
        <f aca="false">IF($A550="","",TEXT($A550,"MMM-YY"))</f>
        <v/>
      </c>
      <c r="M550" s="37" t="str">
        <f aca="false">IF($A550="","",IF($Q550=0,"UNMAPPED",INDEX(COA_Mapping!$C$7:$C$256,$Q550)))</f>
        <v/>
      </c>
      <c r="N550" s="38" t="str">
        <f aca="false">IF($A550="","",IF($Q550=0,"",INDEX(COA_Mapping!$E$7:$E$256,$Q550)))</f>
        <v/>
      </c>
      <c r="O550" s="38" t="n">
        <f aca="false">IF($A550="",1,IF($Q550=0,1,INDEX(COA_Mapping!$F$7:$F$256,$Q550)))</f>
        <v>1</v>
      </c>
      <c r="P550" s="34" t="str">
        <f aca="false">IF($A550="","",$I550*$O550)</f>
        <v/>
      </c>
      <c r="Q550" s="39" t="n">
        <f aca="false">IF($B550="",0,IFERROR(MATCH($B550,COA_Mapping!$A$7:$A$256,0),0))</f>
        <v>0</v>
      </c>
      <c r="R550" s="39" t="n">
        <f aca="false">IF($A550="",-1,IF($J550=Setup!$B$7,1,IF($J550=Setup!$B$9,0,-1)))</f>
        <v>-1</v>
      </c>
      <c r="S550" s="35" t="n">
        <f aca="false">IF(OR($A550="",$Q550=0,$R550=-1),0,$Q550*1000+$R550*100+$K550)</f>
        <v>0</v>
      </c>
      <c r="T550" s="37" t="str">
        <f aca="false">IF($A550="","",IF($B550="","NO ACCOUNT",IF($Q550=0,"UNMAPPED",IF($R550=-1,"OUTSIDE FY RANGE","OK"))))</f>
        <v/>
      </c>
      <c r="U550" s="40" t="str">
        <f aca="false">IF($A550="","",$B550&amp;"|"&amp;TEXT($A550,"yyyymmdd")&amp;"|"&amp;TEXT($I550,"0.00"))</f>
        <v/>
      </c>
      <c r="V550" s="35" t="str">
        <f aca="false">IF($A550="","",COUNTIF($U$8:$U$5007,$U550))</f>
        <v/>
      </c>
    </row>
    <row r="551" customFormat="false" ht="15" hidden="false" customHeight="false" outlineLevel="0" collapsed="false">
      <c r="A551" s="31"/>
      <c r="B551" s="32"/>
      <c r="C551" s="32"/>
      <c r="D551" s="32"/>
      <c r="E551" s="32"/>
      <c r="F551" s="32"/>
      <c r="G551" s="33"/>
      <c r="H551" s="33"/>
      <c r="I551" s="34" t="str">
        <f aca="false">IF($A551="","",$G551-$H551)</f>
        <v/>
      </c>
      <c r="J551" s="35" t="str">
        <f aca="false">IF($A551="","",IF(Setup!$B$6=1,YEAR($A551),YEAR($A551)+IF(MONTH($A551)&gt;=Setup!$B$6,1,0)))</f>
        <v/>
      </c>
      <c r="K551" s="35" t="str">
        <f aca="false">IF($A551="","",MOD(MONTH($A551)-Setup!$B$6+12,12)+1)</f>
        <v/>
      </c>
      <c r="L551" s="36" t="str">
        <f aca="false">IF($A551="","",TEXT($A551,"MMM-YY"))</f>
        <v/>
      </c>
      <c r="M551" s="37" t="str">
        <f aca="false">IF($A551="","",IF($Q551=0,"UNMAPPED",INDEX(COA_Mapping!$C$7:$C$256,$Q551)))</f>
        <v/>
      </c>
      <c r="N551" s="38" t="str">
        <f aca="false">IF($A551="","",IF($Q551=0,"",INDEX(COA_Mapping!$E$7:$E$256,$Q551)))</f>
        <v/>
      </c>
      <c r="O551" s="38" t="n">
        <f aca="false">IF($A551="",1,IF($Q551=0,1,INDEX(COA_Mapping!$F$7:$F$256,$Q551)))</f>
        <v>1</v>
      </c>
      <c r="P551" s="34" t="str">
        <f aca="false">IF($A551="","",$I551*$O551)</f>
        <v/>
      </c>
      <c r="Q551" s="39" t="n">
        <f aca="false">IF($B551="",0,IFERROR(MATCH($B551,COA_Mapping!$A$7:$A$256,0),0))</f>
        <v>0</v>
      </c>
      <c r="R551" s="39" t="n">
        <f aca="false">IF($A551="",-1,IF($J551=Setup!$B$7,1,IF($J551=Setup!$B$9,0,-1)))</f>
        <v>-1</v>
      </c>
      <c r="S551" s="35" t="n">
        <f aca="false">IF(OR($A551="",$Q551=0,$R551=-1),0,$Q551*1000+$R551*100+$K551)</f>
        <v>0</v>
      </c>
      <c r="T551" s="37" t="str">
        <f aca="false">IF($A551="","",IF($B551="","NO ACCOUNT",IF($Q551=0,"UNMAPPED",IF($R551=-1,"OUTSIDE FY RANGE","OK"))))</f>
        <v/>
      </c>
      <c r="U551" s="40" t="str">
        <f aca="false">IF($A551="","",$B551&amp;"|"&amp;TEXT($A551,"yyyymmdd")&amp;"|"&amp;TEXT($I551,"0.00"))</f>
        <v/>
      </c>
      <c r="V551" s="35" t="str">
        <f aca="false">IF($A551="","",COUNTIF($U$8:$U$5007,$U551))</f>
        <v/>
      </c>
    </row>
    <row r="552" customFormat="false" ht="15" hidden="false" customHeight="false" outlineLevel="0" collapsed="false">
      <c r="A552" s="31"/>
      <c r="B552" s="32"/>
      <c r="C552" s="32"/>
      <c r="D552" s="32"/>
      <c r="E552" s="32"/>
      <c r="F552" s="32"/>
      <c r="G552" s="33"/>
      <c r="H552" s="33"/>
      <c r="I552" s="34" t="str">
        <f aca="false">IF($A552="","",$G552-$H552)</f>
        <v/>
      </c>
      <c r="J552" s="35" t="str">
        <f aca="false">IF($A552="","",IF(Setup!$B$6=1,YEAR($A552),YEAR($A552)+IF(MONTH($A552)&gt;=Setup!$B$6,1,0)))</f>
        <v/>
      </c>
      <c r="K552" s="35" t="str">
        <f aca="false">IF($A552="","",MOD(MONTH($A552)-Setup!$B$6+12,12)+1)</f>
        <v/>
      </c>
      <c r="L552" s="36" t="str">
        <f aca="false">IF($A552="","",TEXT($A552,"MMM-YY"))</f>
        <v/>
      </c>
      <c r="M552" s="37" t="str">
        <f aca="false">IF($A552="","",IF($Q552=0,"UNMAPPED",INDEX(COA_Mapping!$C$7:$C$256,$Q552)))</f>
        <v/>
      </c>
      <c r="N552" s="38" t="str">
        <f aca="false">IF($A552="","",IF($Q552=0,"",INDEX(COA_Mapping!$E$7:$E$256,$Q552)))</f>
        <v/>
      </c>
      <c r="O552" s="38" t="n">
        <f aca="false">IF($A552="",1,IF($Q552=0,1,INDEX(COA_Mapping!$F$7:$F$256,$Q552)))</f>
        <v>1</v>
      </c>
      <c r="P552" s="34" t="str">
        <f aca="false">IF($A552="","",$I552*$O552)</f>
        <v/>
      </c>
      <c r="Q552" s="39" t="n">
        <f aca="false">IF($B552="",0,IFERROR(MATCH($B552,COA_Mapping!$A$7:$A$256,0),0))</f>
        <v>0</v>
      </c>
      <c r="R552" s="39" t="n">
        <f aca="false">IF($A552="",-1,IF($J552=Setup!$B$7,1,IF($J552=Setup!$B$9,0,-1)))</f>
        <v>-1</v>
      </c>
      <c r="S552" s="35" t="n">
        <f aca="false">IF(OR($A552="",$Q552=0,$R552=-1),0,$Q552*1000+$R552*100+$K552)</f>
        <v>0</v>
      </c>
      <c r="T552" s="37" t="str">
        <f aca="false">IF($A552="","",IF($B552="","NO ACCOUNT",IF($Q552=0,"UNMAPPED",IF($R552=-1,"OUTSIDE FY RANGE","OK"))))</f>
        <v/>
      </c>
      <c r="U552" s="40" t="str">
        <f aca="false">IF($A552="","",$B552&amp;"|"&amp;TEXT($A552,"yyyymmdd")&amp;"|"&amp;TEXT($I552,"0.00"))</f>
        <v/>
      </c>
      <c r="V552" s="35" t="str">
        <f aca="false">IF($A552="","",COUNTIF($U$8:$U$5007,$U552))</f>
        <v/>
      </c>
    </row>
    <row r="553" customFormat="false" ht="15" hidden="false" customHeight="false" outlineLevel="0" collapsed="false">
      <c r="A553" s="31"/>
      <c r="B553" s="32"/>
      <c r="C553" s="32"/>
      <c r="D553" s="32"/>
      <c r="E553" s="32"/>
      <c r="F553" s="32"/>
      <c r="G553" s="33"/>
      <c r="H553" s="33"/>
      <c r="I553" s="34" t="str">
        <f aca="false">IF($A553="","",$G553-$H553)</f>
        <v/>
      </c>
      <c r="J553" s="35" t="str">
        <f aca="false">IF($A553="","",IF(Setup!$B$6=1,YEAR($A553),YEAR($A553)+IF(MONTH($A553)&gt;=Setup!$B$6,1,0)))</f>
        <v/>
      </c>
      <c r="K553" s="35" t="str">
        <f aca="false">IF($A553="","",MOD(MONTH($A553)-Setup!$B$6+12,12)+1)</f>
        <v/>
      </c>
      <c r="L553" s="36" t="str">
        <f aca="false">IF($A553="","",TEXT($A553,"MMM-YY"))</f>
        <v/>
      </c>
      <c r="M553" s="37" t="str">
        <f aca="false">IF($A553="","",IF($Q553=0,"UNMAPPED",INDEX(COA_Mapping!$C$7:$C$256,$Q553)))</f>
        <v/>
      </c>
      <c r="N553" s="38" t="str">
        <f aca="false">IF($A553="","",IF($Q553=0,"",INDEX(COA_Mapping!$E$7:$E$256,$Q553)))</f>
        <v/>
      </c>
      <c r="O553" s="38" t="n">
        <f aca="false">IF($A553="",1,IF($Q553=0,1,INDEX(COA_Mapping!$F$7:$F$256,$Q553)))</f>
        <v>1</v>
      </c>
      <c r="P553" s="34" t="str">
        <f aca="false">IF($A553="","",$I553*$O553)</f>
        <v/>
      </c>
      <c r="Q553" s="39" t="n">
        <f aca="false">IF($B553="",0,IFERROR(MATCH($B553,COA_Mapping!$A$7:$A$256,0),0))</f>
        <v>0</v>
      </c>
      <c r="R553" s="39" t="n">
        <f aca="false">IF($A553="",-1,IF($J553=Setup!$B$7,1,IF($J553=Setup!$B$9,0,-1)))</f>
        <v>-1</v>
      </c>
      <c r="S553" s="35" t="n">
        <f aca="false">IF(OR($A553="",$Q553=0,$R553=-1),0,$Q553*1000+$R553*100+$K553)</f>
        <v>0</v>
      </c>
      <c r="T553" s="37" t="str">
        <f aca="false">IF($A553="","",IF($B553="","NO ACCOUNT",IF($Q553=0,"UNMAPPED",IF($R553=-1,"OUTSIDE FY RANGE","OK"))))</f>
        <v/>
      </c>
      <c r="U553" s="40" t="str">
        <f aca="false">IF($A553="","",$B553&amp;"|"&amp;TEXT($A553,"yyyymmdd")&amp;"|"&amp;TEXT($I553,"0.00"))</f>
        <v/>
      </c>
      <c r="V553" s="35" t="str">
        <f aca="false">IF($A553="","",COUNTIF($U$8:$U$5007,$U553))</f>
        <v/>
      </c>
    </row>
    <row r="554" customFormat="false" ht="15" hidden="false" customHeight="false" outlineLevel="0" collapsed="false">
      <c r="A554" s="31"/>
      <c r="B554" s="32"/>
      <c r="C554" s="32"/>
      <c r="D554" s="32"/>
      <c r="E554" s="32"/>
      <c r="F554" s="32"/>
      <c r="G554" s="33"/>
      <c r="H554" s="33"/>
      <c r="I554" s="34" t="str">
        <f aca="false">IF($A554="","",$G554-$H554)</f>
        <v/>
      </c>
      <c r="J554" s="35" t="str">
        <f aca="false">IF($A554="","",IF(Setup!$B$6=1,YEAR($A554),YEAR($A554)+IF(MONTH($A554)&gt;=Setup!$B$6,1,0)))</f>
        <v/>
      </c>
      <c r="K554" s="35" t="str">
        <f aca="false">IF($A554="","",MOD(MONTH($A554)-Setup!$B$6+12,12)+1)</f>
        <v/>
      </c>
      <c r="L554" s="36" t="str">
        <f aca="false">IF($A554="","",TEXT($A554,"MMM-YY"))</f>
        <v/>
      </c>
      <c r="M554" s="37" t="str">
        <f aca="false">IF($A554="","",IF($Q554=0,"UNMAPPED",INDEX(COA_Mapping!$C$7:$C$256,$Q554)))</f>
        <v/>
      </c>
      <c r="N554" s="38" t="str">
        <f aca="false">IF($A554="","",IF($Q554=0,"",INDEX(COA_Mapping!$E$7:$E$256,$Q554)))</f>
        <v/>
      </c>
      <c r="O554" s="38" t="n">
        <f aca="false">IF($A554="",1,IF($Q554=0,1,INDEX(COA_Mapping!$F$7:$F$256,$Q554)))</f>
        <v>1</v>
      </c>
      <c r="P554" s="34" t="str">
        <f aca="false">IF($A554="","",$I554*$O554)</f>
        <v/>
      </c>
      <c r="Q554" s="39" t="n">
        <f aca="false">IF($B554="",0,IFERROR(MATCH($B554,COA_Mapping!$A$7:$A$256,0),0))</f>
        <v>0</v>
      </c>
      <c r="R554" s="39" t="n">
        <f aca="false">IF($A554="",-1,IF($J554=Setup!$B$7,1,IF($J554=Setup!$B$9,0,-1)))</f>
        <v>-1</v>
      </c>
      <c r="S554" s="35" t="n">
        <f aca="false">IF(OR($A554="",$Q554=0,$R554=-1),0,$Q554*1000+$R554*100+$K554)</f>
        <v>0</v>
      </c>
      <c r="T554" s="37" t="str">
        <f aca="false">IF($A554="","",IF($B554="","NO ACCOUNT",IF($Q554=0,"UNMAPPED",IF($R554=-1,"OUTSIDE FY RANGE","OK"))))</f>
        <v/>
      </c>
      <c r="U554" s="40" t="str">
        <f aca="false">IF($A554="","",$B554&amp;"|"&amp;TEXT($A554,"yyyymmdd")&amp;"|"&amp;TEXT($I554,"0.00"))</f>
        <v/>
      </c>
      <c r="V554" s="35" t="str">
        <f aca="false">IF($A554="","",COUNTIF($U$8:$U$5007,$U554))</f>
        <v/>
      </c>
    </row>
    <row r="555" customFormat="false" ht="15" hidden="false" customHeight="false" outlineLevel="0" collapsed="false">
      <c r="A555" s="31"/>
      <c r="B555" s="32"/>
      <c r="C555" s="32"/>
      <c r="D555" s="32"/>
      <c r="E555" s="32"/>
      <c r="F555" s="32"/>
      <c r="G555" s="33"/>
      <c r="H555" s="33"/>
      <c r="I555" s="34" t="str">
        <f aca="false">IF($A555="","",$G555-$H555)</f>
        <v/>
      </c>
      <c r="J555" s="35" t="str">
        <f aca="false">IF($A555="","",IF(Setup!$B$6=1,YEAR($A555),YEAR($A555)+IF(MONTH($A555)&gt;=Setup!$B$6,1,0)))</f>
        <v/>
      </c>
      <c r="K555" s="35" t="str">
        <f aca="false">IF($A555="","",MOD(MONTH($A555)-Setup!$B$6+12,12)+1)</f>
        <v/>
      </c>
      <c r="L555" s="36" t="str">
        <f aca="false">IF($A555="","",TEXT($A555,"MMM-YY"))</f>
        <v/>
      </c>
      <c r="M555" s="37" t="str">
        <f aca="false">IF($A555="","",IF($Q555=0,"UNMAPPED",INDEX(COA_Mapping!$C$7:$C$256,$Q555)))</f>
        <v/>
      </c>
      <c r="N555" s="38" t="str">
        <f aca="false">IF($A555="","",IF($Q555=0,"",INDEX(COA_Mapping!$E$7:$E$256,$Q555)))</f>
        <v/>
      </c>
      <c r="O555" s="38" t="n">
        <f aca="false">IF($A555="",1,IF($Q555=0,1,INDEX(COA_Mapping!$F$7:$F$256,$Q555)))</f>
        <v>1</v>
      </c>
      <c r="P555" s="34" t="str">
        <f aca="false">IF($A555="","",$I555*$O555)</f>
        <v/>
      </c>
      <c r="Q555" s="39" t="n">
        <f aca="false">IF($B555="",0,IFERROR(MATCH($B555,COA_Mapping!$A$7:$A$256,0),0))</f>
        <v>0</v>
      </c>
      <c r="R555" s="39" t="n">
        <f aca="false">IF($A555="",-1,IF($J555=Setup!$B$7,1,IF($J555=Setup!$B$9,0,-1)))</f>
        <v>-1</v>
      </c>
      <c r="S555" s="35" t="n">
        <f aca="false">IF(OR($A555="",$Q555=0,$R555=-1),0,$Q555*1000+$R555*100+$K555)</f>
        <v>0</v>
      </c>
      <c r="T555" s="37" t="str">
        <f aca="false">IF($A555="","",IF($B555="","NO ACCOUNT",IF($Q555=0,"UNMAPPED",IF($R555=-1,"OUTSIDE FY RANGE","OK"))))</f>
        <v/>
      </c>
      <c r="U555" s="40" t="str">
        <f aca="false">IF($A555="","",$B555&amp;"|"&amp;TEXT($A555,"yyyymmdd")&amp;"|"&amp;TEXT($I555,"0.00"))</f>
        <v/>
      </c>
      <c r="V555" s="35" t="str">
        <f aca="false">IF($A555="","",COUNTIF($U$8:$U$5007,$U555))</f>
        <v/>
      </c>
    </row>
    <row r="556" customFormat="false" ht="15" hidden="false" customHeight="false" outlineLevel="0" collapsed="false">
      <c r="A556" s="31"/>
      <c r="B556" s="32"/>
      <c r="C556" s="32"/>
      <c r="D556" s="32"/>
      <c r="E556" s="32"/>
      <c r="F556" s="32"/>
      <c r="G556" s="33"/>
      <c r="H556" s="33"/>
      <c r="I556" s="34" t="str">
        <f aca="false">IF($A556="","",$G556-$H556)</f>
        <v/>
      </c>
      <c r="J556" s="35" t="str">
        <f aca="false">IF($A556="","",IF(Setup!$B$6=1,YEAR($A556),YEAR($A556)+IF(MONTH($A556)&gt;=Setup!$B$6,1,0)))</f>
        <v/>
      </c>
      <c r="K556" s="35" t="str">
        <f aca="false">IF($A556="","",MOD(MONTH($A556)-Setup!$B$6+12,12)+1)</f>
        <v/>
      </c>
      <c r="L556" s="36" t="str">
        <f aca="false">IF($A556="","",TEXT($A556,"MMM-YY"))</f>
        <v/>
      </c>
      <c r="M556" s="37" t="str">
        <f aca="false">IF($A556="","",IF($Q556=0,"UNMAPPED",INDEX(COA_Mapping!$C$7:$C$256,$Q556)))</f>
        <v/>
      </c>
      <c r="N556" s="38" t="str">
        <f aca="false">IF($A556="","",IF($Q556=0,"",INDEX(COA_Mapping!$E$7:$E$256,$Q556)))</f>
        <v/>
      </c>
      <c r="O556" s="38" t="n">
        <f aca="false">IF($A556="",1,IF($Q556=0,1,INDEX(COA_Mapping!$F$7:$F$256,$Q556)))</f>
        <v>1</v>
      </c>
      <c r="P556" s="34" t="str">
        <f aca="false">IF($A556="","",$I556*$O556)</f>
        <v/>
      </c>
      <c r="Q556" s="39" t="n">
        <f aca="false">IF($B556="",0,IFERROR(MATCH($B556,COA_Mapping!$A$7:$A$256,0),0))</f>
        <v>0</v>
      </c>
      <c r="R556" s="39" t="n">
        <f aca="false">IF($A556="",-1,IF($J556=Setup!$B$7,1,IF($J556=Setup!$B$9,0,-1)))</f>
        <v>-1</v>
      </c>
      <c r="S556" s="35" t="n">
        <f aca="false">IF(OR($A556="",$Q556=0,$R556=-1),0,$Q556*1000+$R556*100+$K556)</f>
        <v>0</v>
      </c>
      <c r="T556" s="37" t="str">
        <f aca="false">IF($A556="","",IF($B556="","NO ACCOUNT",IF($Q556=0,"UNMAPPED",IF($R556=-1,"OUTSIDE FY RANGE","OK"))))</f>
        <v/>
      </c>
      <c r="U556" s="40" t="str">
        <f aca="false">IF($A556="","",$B556&amp;"|"&amp;TEXT($A556,"yyyymmdd")&amp;"|"&amp;TEXT($I556,"0.00"))</f>
        <v/>
      </c>
      <c r="V556" s="35" t="str">
        <f aca="false">IF($A556="","",COUNTIF($U$8:$U$5007,$U556))</f>
        <v/>
      </c>
    </row>
    <row r="557" customFormat="false" ht="15" hidden="false" customHeight="false" outlineLevel="0" collapsed="false">
      <c r="A557" s="31"/>
      <c r="B557" s="32"/>
      <c r="C557" s="32"/>
      <c r="D557" s="32"/>
      <c r="E557" s="32"/>
      <c r="F557" s="32"/>
      <c r="G557" s="33"/>
      <c r="H557" s="33"/>
      <c r="I557" s="34" t="str">
        <f aca="false">IF($A557="","",$G557-$H557)</f>
        <v/>
      </c>
      <c r="J557" s="35" t="str">
        <f aca="false">IF($A557="","",IF(Setup!$B$6=1,YEAR($A557),YEAR($A557)+IF(MONTH($A557)&gt;=Setup!$B$6,1,0)))</f>
        <v/>
      </c>
      <c r="K557" s="35" t="str">
        <f aca="false">IF($A557="","",MOD(MONTH($A557)-Setup!$B$6+12,12)+1)</f>
        <v/>
      </c>
      <c r="L557" s="36" t="str">
        <f aca="false">IF($A557="","",TEXT($A557,"MMM-YY"))</f>
        <v/>
      </c>
      <c r="M557" s="37" t="str">
        <f aca="false">IF($A557="","",IF($Q557=0,"UNMAPPED",INDEX(COA_Mapping!$C$7:$C$256,$Q557)))</f>
        <v/>
      </c>
      <c r="N557" s="38" t="str">
        <f aca="false">IF($A557="","",IF($Q557=0,"",INDEX(COA_Mapping!$E$7:$E$256,$Q557)))</f>
        <v/>
      </c>
      <c r="O557" s="38" t="n">
        <f aca="false">IF($A557="",1,IF($Q557=0,1,INDEX(COA_Mapping!$F$7:$F$256,$Q557)))</f>
        <v>1</v>
      </c>
      <c r="P557" s="34" t="str">
        <f aca="false">IF($A557="","",$I557*$O557)</f>
        <v/>
      </c>
      <c r="Q557" s="39" t="n">
        <f aca="false">IF($B557="",0,IFERROR(MATCH($B557,COA_Mapping!$A$7:$A$256,0),0))</f>
        <v>0</v>
      </c>
      <c r="R557" s="39" t="n">
        <f aca="false">IF($A557="",-1,IF($J557=Setup!$B$7,1,IF($J557=Setup!$B$9,0,-1)))</f>
        <v>-1</v>
      </c>
      <c r="S557" s="35" t="n">
        <f aca="false">IF(OR($A557="",$Q557=0,$R557=-1),0,$Q557*1000+$R557*100+$K557)</f>
        <v>0</v>
      </c>
      <c r="T557" s="37" t="str">
        <f aca="false">IF($A557="","",IF($B557="","NO ACCOUNT",IF($Q557=0,"UNMAPPED",IF($R557=-1,"OUTSIDE FY RANGE","OK"))))</f>
        <v/>
      </c>
      <c r="U557" s="40" t="str">
        <f aca="false">IF($A557="","",$B557&amp;"|"&amp;TEXT($A557,"yyyymmdd")&amp;"|"&amp;TEXT($I557,"0.00"))</f>
        <v/>
      </c>
      <c r="V557" s="35" t="str">
        <f aca="false">IF($A557="","",COUNTIF($U$8:$U$5007,$U557))</f>
        <v/>
      </c>
    </row>
    <row r="558" customFormat="false" ht="15" hidden="false" customHeight="false" outlineLevel="0" collapsed="false">
      <c r="A558" s="31"/>
      <c r="B558" s="32"/>
      <c r="C558" s="32"/>
      <c r="D558" s="32"/>
      <c r="E558" s="32"/>
      <c r="F558" s="32"/>
      <c r="G558" s="33"/>
      <c r="H558" s="33"/>
      <c r="I558" s="34" t="str">
        <f aca="false">IF($A558="","",$G558-$H558)</f>
        <v/>
      </c>
      <c r="J558" s="35" t="str">
        <f aca="false">IF($A558="","",IF(Setup!$B$6=1,YEAR($A558),YEAR($A558)+IF(MONTH($A558)&gt;=Setup!$B$6,1,0)))</f>
        <v/>
      </c>
      <c r="K558" s="35" t="str">
        <f aca="false">IF($A558="","",MOD(MONTH($A558)-Setup!$B$6+12,12)+1)</f>
        <v/>
      </c>
      <c r="L558" s="36" t="str">
        <f aca="false">IF($A558="","",TEXT($A558,"MMM-YY"))</f>
        <v/>
      </c>
      <c r="M558" s="37" t="str">
        <f aca="false">IF($A558="","",IF($Q558=0,"UNMAPPED",INDEX(COA_Mapping!$C$7:$C$256,$Q558)))</f>
        <v/>
      </c>
      <c r="N558" s="38" t="str">
        <f aca="false">IF($A558="","",IF($Q558=0,"",INDEX(COA_Mapping!$E$7:$E$256,$Q558)))</f>
        <v/>
      </c>
      <c r="O558" s="38" t="n">
        <f aca="false">IF($A558="",1,IF($Q558=0,1,INDEX(COA_Mapping!$F$7:$F$256,$Q558)))</f>
        <v>1</v>
      </c>
      <c r="P558" s="34" t="str">
        <f aca="false">IF($A558="","",$I558*$O558)</f>
        <v/>
      </c>
      <c r="Q558" s="39" t="n">
        <f aca="false">IF($B558="",0,IFERROR(MATCH($B558,COA_Mapping!$A$7:$A$256,0),0))</f>
        <v>0</v>
      </c>
      <c r="R558" s="39" t="n">
        <f aca="false">IF($A558="",-1,IF($J558=Setup!$B$7,1,IF($J558=Setup!$B$9,0,-1)))</f>
        <v>-1</v>
      </c>
      <c r="S558" s="35" t="n">
        <f aca="false">IF(OR($A558="",$Q558=0,$R558=-1),0,$Q558*1000+$R558*100+$K558)</f>
        <v>0</v>
      </c>
      <c r="T558" s="37" t="str">
        <f aca="false">IF($A558="","",IF($B558="","NO ACCOUNT",IF($Q558=0,"UNMAPPED",IF($R558=-1,"OUTSIDE FY RANGE","OK"))))</f>
        <v/>
      </c>
      <c r="U558" s="40" t="str">
        <f aca="false">IF($A558="","",$B558&amp;"|"&amp;TEXT($A558,"yyyymmdd")&amp;"|"&amp;TEXT($I558,"0.00"))</f>
        <v/>
      </c>
      <c r="V558" s="35" t="str">
        <f aca="false">IF($A558="","",COUNTIF($U$8:$U$5007,$U558))</f>
        <v/>
      </c>
    </row>
    <row r="559" customFormat="false" ht="15" hidden="false" customHeight="false" outlineLevel="0" collapsed="false">
      <c r="A559" s="31"/>
      <c r="B559" s="32"/>
      <c r="C559" s="32"/>
      <c r="D559" s="32"/>
      <c r="E559" s="32"/>
      <c r="F559" s="32"/>
      <c r="G559" s="33"/>
      <c r="H559" s="33"/>
      <c r="I559" s="34" t="str">
        <f aca="false">IF($A559="","",$G559-$H559)</f>
        <v/>
      </c>
      <c r="J559" s="35" t="str">
        <f aca="false">IF($A559="","",IF(Setup!$B$6=1,YEAR($A559),YEAR($A559)+IF(MONTH($A559)&gt;=Setup!$B$6,1,0)))</f>
        <v/>
      </c>
      <c r="K559" s="35" t="str">
        <f aca="false">IF($A559="","",MOD(MONTH($A559)-Setup!$B$6+12,12)+1)</f>
        <v/>
      </c>
      <c r="L559" s="36" t="str">
        <f aca="false">IF($A559="","",TEXT($A559,"MMM-YY"))</f>
        <v/>
      </c>
      <c r="M559" s="37" t="str">
        <f aca="false">IF($A559="","",IF($Q559=0,"UNMAPPED",INDEX(COA_Mapping!$C$7:$C$256,$Q559)))</f>
        <v/>
      </c>
      <c r="N559" s="38" t="str">
        <f aca="false">IF($A559="","",IF($Q559=0,"",INDEX(COA_Mapping!$E$7:$E$256,$Q559)))</f>
        <v/>
      </c>
      <c r="O559" s="38" t="n">
        <f aca="false">IF($A559="",1,IF($Q559=0,1,INDEX(COA_Mapping!$F$7:$F$256,$Q559)))</f>
        <v>1</v>
      </c>
      <c r="P559" s="34" t="str">
        <f aca="false">IF($A559="","",$I559*$O559)</f>
        <v/>
      </c>
      <c r="Q559" s="39" t="n">
        <f aca="false">IF($B559="",0,IFERROR(MATCH($B559,COA_Mapping!$A$7:$A$256,0),0))</f>
        <v>0</v>
      </c>
      <c r="R559" s="39" t="n">
        <f aca="false">IF($A559="",-1,IF($J559=Setup!$B$7,1,IF($J559=Setup!$B$9,0,-1)))</f>
        <v>-1</v>
      </c>
      <c r="S559" s="35" t="n">
        <f aca="false">IF(OR($A559="",$Q559=0,$R559=-1),0,$Q559*1000+$R559*100+$K559)</f>
        <v>0</v>
      </c>
      <c r="T559" s="37" t="str">
        <f aca="false">IF($A559="","",IF($B559="","NO ACCOUNT",IF($Q559=0,"UNMAPPED",IF($R559=-1,"OUTSIDE FY RANGE","OK"))))</f>
        <v/>
      </c>
      <c r="U559" s="40" t="str">
        <f aca="false">IF($A559="","",$B559&amp;"|"&amp;TEXT($A559,"yyyymmdd")&amp;"|"&amp;TEXT($I559,"0.00"))</f>
        <v/>
      </c>
      <c r="V559" s="35" t="str">
        <f aca="false">IF($A559="","",COUNTIF($U$8:$U$5007,$U559))</f>
        <v/>
      </c>
    </row>
    <row r="560" customFormat="false" ht="15" hidden="false" customHeight="false" outlineLevel="0" collapsed="false">
      <c r="A560" s="31"/>
      <c r="B560" s="32"/>
      <c r="C560" s="32"/>
      <c r="D560" s="32"/>
      <c r="E560" s="32"/>
      <c r="F560" s="32"/>
      <c r="G560" s="33"/>
      <c r="H560" s="33"/>
      <c r="I560" s="34" t="str">
        <f aca="false">IF($A560="","",$G560-$H560)</f>
        <v/>
      </c>
      <c r="J560" s="35" t="str">
        <f aca="false">IF($A560="","",IF(Setup!$B$6=1,YEAR($A560),YEAR($A560)+IF(MONTH($A560)&gt;=Setup!$B$6,1,0)))</f>
        <v/>
      </c>
      <c r="K560" s="35" t="str">
        <f aca="false">IF($A560="","",MOD(MONTH($A560)-Setup!$B$6+12,12)+1)</f>
        <v/>
      </c>
      <c r="L560" s="36" t="str">
        <f aca="false">IF($A560="","",TEXT($A560,"MMM-YY"))</f>
        <v/>
      </c>
      <c r="M560" s="37" t="str">
        <f aca="false">IF($A560="","",IF($Q560=0,"UNMAPPED",INDEX(COA_Mapping!$C$7:$C$256,$Q560)))</f>
        <v/>
      </c>
      <c r="N560" s="38" t="str">
        <f aca="false">IF($A560="","",IF($Q560=0,"",INDEX(COA_Mapping!$E$7:$E$256,$Q560)))</f>
        <v/>
      </c>
      <c r="O560" s="38" t="n">
        <f aca="false">IF($A560="",1,IF($Q560=0,1,INDEX(COA_Mapping!$F$7:$F$256,$Q560)))</f>
        <v>1</v>
      </c>
      <c r="P560" s="34" t="str">
        <f aca="false">IF($A560="","",$I560*$O560)</f>
        <v/>
      </c>
      <c r="Q560" s="39" t="n">
        <f aca="false">IF($B560="",0,IFERROR(MATCH($B560,COA_Mapping!$A$7:$A$256,0),0))</f>
        <v>0</v>
      </c>
      <c r="R560" s="39" t="n">
        <f aca="false">IF($A560="",-1,IF($J560=Setup!$B$7,1,IF($J560=Setup!$B$9,0,-1)))</f>
        <v>-1</v>
      </c>
      <c r="S560" s="35" t="n">
        <f aca="false">IF(OR($A560="",$Q560=0,$R560=-1),0,$Q560*1000+$R560*100+$K560)</f>
        <v>0</v>
      </c>
      <c r="T560" s="37" t="str">
        <f aca="false">IF($A560="","",IF($B560="","NO ACCOUNT",IF($Q560=0,"UNMAPPED",IF($R560=-1,"OUTSIDE FY RANGE","OK"))))</f>
        <v/>
      </c>
      <c r="U560" s="40" t="str">
        <f aca="false">IF($A560="","",$B560&amp;"|"&amp;TEXT($A560,"yyyymmdd")&amp;"|"&amp;TEXT($I560,"0.00"))</f>
        <v/>
      </c>
      <c r="V560" s="35" t="str">
        <f aca="false">IF($A560="","",COUNTIF($U$8:$U$5007,$U560))</f>
        <v/>
      </c>
    </row>
    <row r="561" customFormat="false" ht="15" hidden="false" customHeight="false" outlineLevel="0" collapsed="false">
      <c r="A561" s="31"/>
      <c r="B561" s="32"/>
      <c r="C561" s="32"/>
      <c r="D561" s="32"/>
      <c r="E561" s="32"/>
      <c r="F561" s="32"/>
      <c r="G561" s="33"/>
      <c r="H561" s="33"/>
      <c r="I561" s="34" t="str">
        <f aca="false">IF($A561="","",$G561-$H561)</f>
        <v/>
      </c>
      <c r="J561" s="35" t="str">
        <f aca="false">IF($A561="","",IF(Setup!$B$6=1,YEAR($A561),YEAR($A561)+IF(MONTH($A561)&gt;=Setup!$B$6,1,0)))</f>
        <v/>
      </c>
      <c r="K561" s="35" t="str">
        <f aca="false">IF($A561="","",MOD(MONTH($A561)-Setup!$B$6+12,12)+1)</f>
        <v/>
      </c>
      <c r="L561" s="36" t="str">
        <f aca="false">IF($A561="","",TEXT($A561,"MMM-YY"))</f>
        <v/>
      </c>
      <c r="M561" s="37" t="str">
        <f aca="false">IF($A561="","",IF($Q561=0,"UNMAPPED",INDEX(COA_Mapping!$C$7:$C$256,$Q561)))</f>
        <v/>
      </c>
      <c r="N561" s="38" t="str">
        <f aca="false">IF($A561="","",IF($Q561=0,"",INDEX(COA_Mapping!$E$7:$E$256,$Q561)))</f>
        <v/>
      </c>
      <c r="O561" s="38" t="n">
        <f aca="false">IF($A561="",1,IF($Q561=0,1,INDEX(COA_Mapping!$F$7:$F$256,$Q561)))</f>
        <v>1</v>
      </c>
      <c r="P561" s="34" t="str">
        <f aca="false">IF($A561="","",$I561*$O561)</f>
        <v/>
      </c>
      <c r="Q561" s="39" t="n">
        <f aca="false">IF($B561="",0,IFERROR(MATCH($B561,COA_Mapping!$A$7:$A$256,0),0))</f>
        <v>0</v>
      </c>
      <c r="R561" s="39" t="n">
        <f aca="false">IF($A561="",-1,IF($J561=Setup!$B$7,1,IF($J561=Setup!$B$9,0,-1)))</f>
        <v>-1</v>
      </c>
      <c r="S561" s="35" t="n">
        <f aca="false">IF(OR($A561="",$Q561=0,$R561=-1),0,$Q561*1000+$R561*100+$K561)</f>
        <v>0</v>
      </c>
      <c r="T561" s="37" t="str">
        <f aca="false">IF($A561="","",IF($B561="","NO ACCOUNT",IF($Q561=0,"UNMAPPED",IF($R561=-1,"OUTSIDE FY RANGE","OK"))))</f>
        <v/>
      </c>
      <c r="U561" s="40" t="str">
        <f aca="false">IF($A561="","",$B561&amp;"|"&amp;TEXT($A561,"yyyymmdd")&amp;"|"&amp;TEXT($I561,"0.00"))</f>
        <v/>
      </c>
      <c r="V561" s="35" t="str">
        <f aca="false">IF($A561="","",COUNTIF($U$8:$U$5007,$U561))</f>
        <v/>
      </c>
    </row>
    <row r="562" customFormat="false" ht="15" hidden="false" customHeight="false" outlineLevel="0" collapsed="false">
      <c r="A562" s="31"/>
      <c r="B562" s="32"/>
      <c r="C562" s="32"/>
      <c r="D562" s="32"/>
      <c r="E562" s="32"/>
      <c r="F562" s="32"/>
      <c r="G562" s="33"/>
      <c r="H562" s="33"/>
      <c r="I562" s="34" t="str">
        <f aca="false">IF($A562="","",$G562-$H562)</f>
        <v/>
      </c>
      <c r="J562" s="35" t="str">
        <f aca="false">IF($A562="","",IF(Setup!$B$6=1,YEAR($A562),YEAR($A562)+IF(MONTH($A562)&gt;=Setup!$B$6,1,0)))</f>
        <v/>
      </c>
      <c r="K562" s="35" t="str">
        <f aca="false">IF($A562="","",MOD(MONTH($A562)-Setup!$B$6+12,12)+1)</f>
        <v/>
      </c>
      <c r="L562" s="36" t="str">
        <f aca="false">IF($A562="","",TEXT($A562,"MMM-YY"))</f>
        <v/>
      </c>
      <c r="M562" s="37" t="str">
        <f aca="false">IF($A562="","",IF($Q562=0,"UNMAPPED",INDEX(COA_Mapping!$C$7:$C$256,$Q562)))</f>
        <v/>
      </c>
      <c r="N562" s="38" t="str">
        <f aca="false">IF($A562="","",IF($Q562=0,"",INDEX(COA_Mapping!$E$7:$E$256,$Q562)))</f>
        <v/>
      </c>
      <c r="O562" s="38" t="n">
        <f aca="false">IF($A562="",1,IF($Q562=0,1,INDEX(COA_Mapping!$F$7:$F$256,$Q562)))</f>
        <v>1</v>
      </c>
      <c r="P562" s="34" t="str">
        <f aca="false">IF($A562="","",$I562*$O562)</f>
        <v/>
      </c>
      <c r="Q562" s="39" t="n">
        <f aca="false">IF($B562="",0,IFERROR(MATCH($B562,COA_Mapping!$A$7:$A$256,0),0))</f>
        <v>0</v>
      </c>
      <c r="R562" s="39" t="n">
        <f aca="false">IF($A562="",-1,IF($J562=Setup!$B$7,1,IF($J562=Setup!$B$9,0,-1)))</f>
        <v>-1</v>
      </c>
      <c r="S562" s="35" t="n">
        <f aca="false">IF(OR($A562="",$Q562=0,$R562=-1),0,$Q562*1000+$R562*100+$K562)</f>
        <v>0</v>
      </c>
      <c r="T562" s="37" t="str">
        <f aca="false">IF($A562="","",IF($B562="","NO ACCOUNT",IF($Q562=0,"UNMAPPED",IF($R562=-1,"OUTSIDE FY RANGE","OK"))))</f>
        <v/>
      </c>
      <c r="U562" s="40" t="str">
        <f aca="false">IF($A562="","",$B562&amp;"|"&amp;TEXT($A562,"yyyymmdd")&amp;"|"&amp;TEXT($I562,"0.00"))</f>
        <v/>
      </c>
      <c r="V562" s="35" t="str">
        <f aca="false">IF($A562="","",COUNTIF($U$8:$U$5007,$U562))</f>
        <v/>
      </c>
    </row>
    <row r="563" customFormat="false" ht="15" hidden="false" customHeight="false" outlineLevel="0" collapsed="false">
      <c r="A563" s="31"/>
      <c r="B563" s="32"/>
      <c r="C563" s="32"/>
      <c r="D563" s="32"/>
      <c r="E563" s="32"/>
      <c r="F563" s="32"/>
      <c r="G563" s="33"/>
      <c r="H563" s="33"/>
      <c r="I563" s="34" t="str">
        <f aca="false">IF($A563="","",$G563-$H563)</f>
        <v/>
      </c>
      <c r="J563" s="35" t="str">
        <f aca="false">IF($A563="","",IF(Setup!$B$6=1,YEAR($A563),YEAR($A563)+IF(MONTH($A563)&gt;=Setup!$B$6,1,0)))</f>
        <v/>
      </c>
      <c r="K563" s="35" t="str">
        <f aca="false">IF($A563="","",MOD(MONTH($A563)-Setup!$B$6+12,12)+1)</f>
        <v/>
      </c>
      <c r="L563" s="36" t="str">
        <f aca="false">IF($A563="","",TEXT($A563,"MMM-YY"))</f>
        <v/>
      </c>
      <c r="M563" s="37" t="str">
        <f aca="false">IF($A563="","",IF($Q563=0,"UNMAPPED",INDEX(COA_Mapping!$C$7:$C$256,$Q563)))</f>
        <v/>
      </c>
      <c r="N563" s="38" t="str">
        <f aca="false">IF($A563="","",IF($Q563=0,"",INDEX(COA_Mapping!$E$7:$E$256,$Q563)))</f>
        <v/>
      </c>
      <c r="O563" s="38" t="n">
        <f aca="false">IF($A563="",1,IF($Q563=0,1,INDEX(COA_Mapping!$F$7:$F$256,$Q563)))</f>
        <v>1</v>
      </c>
      <c r="P563" s="34" t="str">
        <f aca="false">IF($A563="","",$I563*$O563)</f>
        <v/>
      </c>
      <c r="Q563" s="39" t="n">
        <f aca="false">IF($B563="",0,IFERROR(MATCH($B563,COA_Mapping!$A$7:$A$256,0),0))</f>
        <v>0</v>
      </c>
      <c r="R563" s="39" t="n">
        <f aca="false">IF($A563="",-1,IF($J563=Setup!$B$7,1,IF($J563=Setup!$B$9,0,-1)))</f>
        <v>-1</v>
      </c>
      <c r="S563" s="35" t="n">
        <f aca="false">IF(OR($A563="",$Q563=0,$R563=-1),0,$Q563*1000+$R563*100+$K563)</f>
        <v>0</v>
      </c>
      <c r="T563" s="37" t="str">
        <f aca="false">IF($A563="","",IF($B563="","NO ACCOUNT",IF($Q563=0,"UNMAPPED",IF($R563=-1,"OUTSIDE FY RANGE","OK"))))</f>
        <v/>
      </c>
      <c r="U563" s="40" t="str">
        <f aca="false">IF($A563="","",$B563&amp;"|"&amp;TEXT($A563,"yyyymmdd")&amp;"|"&amp;TEXT($I563,"0.00"))</f>
        <v/>
      </c>
      <c r="V563" s="35" t="str">
        <f aca="false">IF($A563="","",COUNTIF($U$8:$U$5007,$U563))</f>
        <v/>
      </c>
    </row>
    <row r="564" customFormat="false" ht="15" hidden="false" customHeight="false" outlineLevel="0" collapsed="false">
      <c r="A564" s="31"/>
      <c r="B564" s="32"/>
      <c r="C564" s="32"/>
      <c r="D564" s="32"/>
      <c r="E564" s="32"/>
      <c r="F564" s="32"/>
      <c r="G564" s="33"/>
      <c r="H564" s="33"/>
      <c r="I564" s="34" t="str">
        <f aca="false">IF($A564="","",$G564-$H564)</f>
        <v/>
      </c>
      <c r="J564" s="35" t="str">
        <f aca="false">IF($A564="","",IF(Setup!$B$6=1,YEAR($A564),YEAR($A564)+IF(MONTH($A564)&gt;=Setup!$B$6,1,0)))</f>
        <v/>
      </c>
      <c r="K564" s="35" t="str">
        <f aca="false">IF($A564="","",MOD(MONTH($A564)-Setup!$B$6+12,12)+1)</f>
        <v/>
      </c>
      <c r="L564" s="36" t="str">
        <f aca="false">IF($A564="","",TEXT($A564,"MMM-YY"))</f>
        <v/>
      </c>
      <c r="M564" s="37" t="str">
        <f aca="false">IF($A564="","",IF($Q564=0,"UNMAPPED",INDEX(COA_Mapping!$C$7:$C$256,$Q564)))</f>
        <v/>
      </c>
      <c r="N564" s="38" t="str">
        <f aca="false">IF($A564="","",IF($Q564=0,"",INDEX(COA_Mapping!$E$7:$E$256,$Q564)))</f>
        <v/>
      </c>
      <c r="O564" s="38" t="n">
        <f aca="false">IF($A564="",1,IF($Q564=0,1,INDEX(COA_Mapping!$F$7:$F$256,$Q564)))</f>
        <v>1</v>
      </c>
      <c r="P564" s="34" t="str">
        <f aca="false">IF($A564="","",$I564*$O564)</f>
        <v/>
      </c>
      <c r="Q564" s="39" t="n">
        <f aca="false">IF($B564="",0,IFERROR(MATCH($B564,COA_Mapping!$A$7:$A$256,0),0))</f>
        <v>0</v>
      </c>
      <c r="R564" s="39" t="n">
        <f aca="false">IF($A564="",-1,IF($J564=Setup!$B$7,1,IF($J564=Setup!$B$9,0,-1)))</f>
        <v>-1</v>
      </c>
      <c r="S564" s="35" t="n">
        <f aca="false">IF(OR($A564="",$Q564=0,$R564=-1),0,$Q564*1000+$R564*100+$K564)</f>
        <v>0</v>
      </c>
      <c r="T564" s="37" t="str">
        <f aca="false">IF($A564="","",IF($B564="","NO ACCOUNT",IF($Q564=0,"UNMAPPED",IF($R564=-1,"OUTSIDE FY RANGE","OK"))))</f>
        <v/>
      </c>
      <c r="U564" s="40" t="str">
        <f aca="false">IF($A564="","",$B564&amp;"|"&amp;TEXT($A564,"yyyymmdd")&amp;"|"&amp;TEXT($I564,"0.00"))</f>
        <v/>
      </c>
      <c r="V564" s="35" t="str">
        <f aca="false">IF($A564="","",COUNTIF($U$8:$U$5007,$U564))</f>
        <v/>
      </c>
    </row>
    <row r="565" customFormat="false" ht="15" hidden="false" customHeight="false" outlineLevel="0" collapsed="false">
      <c r="A565" s="31"/>
      <c r="B565" s="32"/>
      <c r="C565" s="32"/>
      <c r="D565" s="32"/>
      <c r="E565" s="32"/>
      <c r="F565" s="32"/>
      <c r="G565" s="33"/>
      <c r="H565" s="33"/>
      <c r="I565" s="34" t="str">
        <f aca="false">IF($A565="","",$G565-$H565)</f>
        <v/>
      </c>
      <c r="J565" s="35" t="str">
        <f aca="false">IF($A565="","",IF(Setup!$B$6=1,YEAR($A565),YEAR($A565)+IF(MONTH($A565)&gt;=Setup!$B$6,1,0)))</f>
        <v/>
      </c>
      <c r="K565" s="35" t="str">
        <f aca="false">IF($A565="","",MOD(MONTH($A565)-Setup!$B$6+12,12)+1)</f>
        <v/>
      </c>
      <c r="L565" s="36" t="str">
        <f aca="false">IF($A565="","",TEXT($A565,"MMM-YY"))</f>
        <v/>
      </c>
      <c r="M565" s="37" t="str">
        <f aca="false">IF($A565="","",IF($Q565=0,"UNMAPPED",INDEX(COA_Mapping!$C$7:$C$256,$Q565)))</f>
        <v/>
      </c>
      <c r="N565" s="38" t="str">
        <f aca="false">IF($A565="","",IF($Q565=0,"",INDEX(COA_Mapping!$E$7:$E$256,$Q565)))</f>
        <v/>
      </c>
      <c r="O565" s="38" t="n">
        <f aca="false">IF($A565="",1,IF($Q565=0,1,INDEX(COA_Mapping!$F$7:$F$256,$Q565)))</f>
        <v>1</v>
      </c>
      <c r="P565" s="34" t="str">
        <f aca="false">IF($A565="","",$I565*$O565)</f>
        <v/>
      </c>
      <c r="Q565" s="39" t="n">
        <f aca="false">IF($B565="",0,IFERROR(MATCH($B565,COA_Mapping!$A$7:$A$256,0),0))</f>
        <v>0</v>
      </c>
      <c r="R565" s="39" t="n">
        <f aca="false">IF($A565="",-1,IF($J565=Setup!$B$7,1,IF($J565=Setup!$B$9,0,-1)))</f>
        <v>-1</v>
      </c>
      <c r="S565" s="35" t="n">
        <f aca="false">IF(OR($A565="",$Q565=0,$R565=-1),0,$Q565*1000+$R565*100+$K565)</f>
        <v>0</v>
      </c>
      <c r="T565" s="37" t="str">
        <f aca="false">IF($A565="","",IF($B565="","NO ACCOUNT",IF($Q565=0,"UNMAPPED",IF($R565=-1,"OUTSIDE FY RANGE","OK"))))</f>
        <v/>
      </c>
      <c r="U565" s="40" t="str">
        <f aca="false">IF($A565="","",$B565&amp;"|"&amp;TEXT($A565,"yyyymmdd")&amp;"|"&amp;TEXT($I565,"0.00"))</f>
        <v/>
      </c>
      <c r="V565" s="35" t="str">
        <f aca="false">IF($A565="","",COUNTIF($U$8:$U$5007,$U565))</f>
        <v/>
      </c>
    </row>
    <row r="566" customFormat="false" ht="15" hidden="false" customHeight="false" outlineLevel="0" collapsed="false">
      <c r="A566" s="31"/>
      <c r="B566" s="32"/>
      <c r="C566" s="32"/>
      <c r="D566" s="32"/>
      <c r="E566" s="32"/>
      <c r="F566" s="32"/>
      <c r="G566" s="33"/>
      <c r="H566" s="33"/>
      <c r="I566" s="34" t="str">
        <f aca="false">IF($A566="","",$G566-$H566)</f>
        <v/>
      </c>
      <c r="J566" s="35" t="str">
        <f aca="false">IF($A566="","",IF(Setup!$B$6=1,YEAR($A566),YEAR($A566)+IF(MONTH($A566)&gt;=Setup!$B$6,1,0)))</f>
        <v/>
      </c>
      <c r="K566" s="35" t="str">
        <f aca="false">IF($A566="","",MOD(MONTH($A566)-Setup!$B$6+12,12)+1)</f>
        <v/>
      </c>
      <c r="L566" s="36" t="str">
        <f aca="false">IF($A566="","",TEXT($A566,"MMM-YY"))</f>
        <v/>
      </c>
      <c r="M566" s="37" t="str">
        <f aca="false">IF($A566="","",IF($Q566=0,"UNMAPPED",INDEX(COA_Mapping!$C$7:$C$256,$Q566)))</f>
        <v/>
      </c>
      <c r="N566" s="38" t="str">
        <f aca="false">IF($A566="","",IF($Q566=0,"",INDEX(COA_Mapping!$E$7:$E$256,$Q566)))</f>
        <v/>
      </c>
      <c r="O566" s="38" t="n">
        <f aca="false">IF($A566="",1,IF($Q566=0,1,INDEX(COA_Mapping!$F$7:$F$256,$Q566)))</f>
        <v>1</v>
      </c>
      <c r="P566" s="34" t="str">
        <f aca="false">IF($A566="","",$I566*$O566)</f>
        <v/>
      </c>
      <c r="Q566" s="39" t="n">
        <f aca="false">IF($B566="",0,IFERROR(MATCH($B566,COA_Mapping!$A$7:$A$256,0),0))</f>
        <v>0</v>
      </c>
      <c r="R566" s="39" t="n">
        <f aca="false">IF($A566="",-1,IF($J566=Setup!$B$7,1,IF($J566=Setup!$B$9,0,-1)))</f>
        <v>-1</v>
      </c>
      <c r="S566" s="35" t="n">
        <f aca="false">IF(OR($A566="",$Q566=0,$R566=-1),0,$Q566*1000+$R566*100+$K566)</f>
        <v>0</v>
      </c>
      <c r="T566" s="37" t="str">
        <f aca="false">IF($A566="","",IF($B566="","NO ACCOUNT",IF($Q566=0,"UNMAPPED",IF($R566=-1,"OUTSIDE FY RANGE","OK"))))</f>
        <v/>
      </c>
      <c r="U566" s="40" t="str">
        <f aca="false">IF($A566="","",$B566&amp;"|"&amp;TEXT($A566,"yyyymmdd")&amp;"|"&amp;TEXT($I566,"0.00"))</f>
        <v/>
      </c>
      <c r="V566" s="35" t="str">
        <f aca="false">IF($A566="","",COUNTIF($U$8:$U$5007,$U566))</f>
        <v/>
      </c>
    </row>
    <row r="567" customFormat="false" ht="15" hidden="false" customHeight="false" outlineLevel="0" collapsed="false">
      <c r="A567" s="31"/>
      <c r="B567" s="32"/>
      <c r="C567" s="32"/>
      <c r="D567" s="32"/>
      <c r="E567" s="32"/>
      <c r="F567" s="32"/>
      <c r="G567" s="33"/>
      <c r="H567" s="33"/>
      <c r="I567" s="34" t="str">
        <f aca="false">IF($A567="","",$G567-$H567)</f>
        <v/>
      </c>
      <c r="J567" s="35" t="str">
        <f aca="false">IF($A567="","",IF(Setup!$B$6=1,YEAR($A567),YEAR($A567)+IF(MONTH($A567)&gt;=Setup!$B$6,1,0)))</f>
        <v/>
      </c>
      <c r="K567" s="35" t="str">
        <f aca="false">IF($A567="","",MOD(MONTH($A567)-Setup!$B$6+12,12)+1)</f>
        <v/>
      </c>
      <c r="L567" s="36" t="str">
        <f aca="false">IF($A567="","",TEXT($A567,"MMM-YY"))</f>
        <v/>
      </c>
      <c r="M567" s="37" t="str">
        <f aca="false">IF($A567="","",IF($Q567=0,"UNMAPPED",INDEX(COA_Mapping!$C$7:$C$256,$Q567)))</f>
        <v/>
      </c>
      <c r="N567" s="38" t="str">
        <f aca="false">IF($A567="","",IF($Q567=0,"",INDEX(COA_Mapping!$E$7:$E$256,$Q567)))</f>
        <v/>
      </c>
      <c r="O567" s="38" t="n">
        <f aca="false">IF($A567="",1,IF($Q567=0,1,INDEX(COA_Mapping!$F$7:$F$256,$Q567)))</f>
        <v>1</v>
      </c>
      <c r="P567" s="34" t="str">
        <f aca="false">IF($A567="","",$I567*$O567)</f>
        <v/>
      </c>
      <c r="Q567" s="39" t="n">
        <f aca="false">IF($B567="",0,IFERROR(MATCH($B567,COA_Mapping!$A$7:$A$256,0),0))</f>
        <v>0</v>
      </c>
      <c r="R567" s="39" t="n">
        <f aca="false">IF($A567="",-1,IF($J567=Setup!$B$7,1,IF($J567=Setup!$B$9,0,-1)))</f>
        <v>-1</v>
      </c>
      <c r="S567" s="35" t="n">
        <f aca="false">IF(OR($A567="",$Q567=0,$R567=-1),0,$Q567*1000+$R567*100+$K567)</f>
        <v>0</v>
      </c>
      <c r="T567" s="37" t="str">
        <f aca="false">IF($A567="","",IF($B567="","NO ACCOUNT",IF($Q567=0,"UNMAPPED",IF($R567=-1,"OUTSIDE FY RANGE","OK"))))</f>
        <v/>
      </c>
      <c r="U567" s="40" t="str">
        <f aca="false">IF($A567="","",$B567&amp;"|"&amp;TEXT($A567,"yyyymmdd")&amp;"|"&amp;TEXT($I567,"0.00"))</f>
        <v/>
      </c>
      <c r="V567" s="35" t="str">
        <f aca="false">IF($A567="","",COUNTIF($U$8:$U$5007,$U567))</f>
        <v/>
      </c>
    </row>
    <row r="568" customFormat="false" ht="15" hidden="false" customHeight="false" outlineLevel="0" collapsed="false">
      <c r="A568" s="31"/>
      <c r="B568" s="32"/>
      <c r="C568" s="32"/>
      <c r="D568" s="32"/>
      <c r="E568" s="32"/>
      <c r="F568" s="32"/>
      <c r="G568" s="33"/>
      <c r="H568" s="33"/>
      <c r="I568" s="34" t="str">
        <f aca="false">IF($A568="","",$G568-$H568)</f>
        <v/>
      </c>
      <c r="J568" s="35" t="str">
        <f aca="false">IF($A568="","",IF(Setup!$B$6=1,YEAR($A568),YEAR($A568)+IF(MONTH($A568)&gt;=Setup!$B$6,1,0)))</f>
        <v/>
      </c>
      <c r="K568" s="35" t="str">
        <f aca="false">IF($A568="","",MOD(MONTH($A568)-Setup!$B$6+12,12)+1)</f>
        <v/>
      </c>
      <c r="L568" s="36" t="str">
        <f aca="false">IF($A568="","",TEXT($A568,"MMM-YY"))</f>
        <v/>
      </c>
      <c r="M568" s="37" t="str">
        <f aca="false">IF($A568="","",IF($Q568=0,"UNMAPPED",INDEX(COA_Mapping!$C$7:$C$256,$Q568)))</f>
        <v/>
      </c>
      <c r="N568" s="38" t="str">
        <f aca="false">IF($A568="","",IF($Q568=0,"",INDEX(COA_Mapping!$E$7:$E$256,$Q568)))</f>
        <v/>
      </c>
      <c r="O568" s="38" t="n">
        <f aca="false">IF($A568="",1,IF($Q568=0,1,INDEX(COA_Mapping!$F$7:$F$256,$Q568)))</f>
        <v>1</v>
      </c>
      <c r="P568" s="34" t="str">
        <f aca="false">IF($A568="","",$I568*$O568)</f>
        <v/>
      </c>
      <c r="Q568" s="39" t="n">
        <f aca="false">IF($B568="",0,IFERROR(MATCH($B568,COA_Mapping!$A$7:$A$256,0),0))</f>
        <v>0</v>
      </c>
      <c r="R568" s="39" t="n">
        <f aca="false">IF($A568="",-1,IF($J568=Setup!$B$7,1,IF($J568=Setup!$B$9,0,-1)))</f>
        <v>-1</v>
      </c>
      <c r="S568" s="35" t="n">
        <f aca="false">IF(OR($A568="",$Q568=0,$R568=-1),0,$Q568*1000+$R568*100+$K568)</f>
        <v>0</v>
      </c>
      <c r="T568" s="37" t="str">
        <f aca="false">IF($A568="","",IF($B568="","NO ACCOUNT",IF($Q568=0,"UNMAPPED",IF($R568=-1,"OUTSIDE FY RANGE","OK"))))</f>
        <v/>
      </c>
      <c r="U568" s="40" t="str">
        <f aca="false">IF($A568="","",$B568&amp;"|"&amp;TEXT($A568,"yyyymmdd")&amp;"|"&amp;TEXT($I568,"0.00"))</f>
        <v/>
      </c>
      <c r="V568" s="35" t="str">
        <f aca="false">IF($A568="","",COUNTIF($U$8:$U$5007,$U568))</f>
        <v/>
      </c>
    </row>
    <row r="569" customFormat="false" ht="15" hidden="false" customHeight="false" outlineLevel="0" collapsed="false">
      <c r="A569" s="31"/>
      <c r="B569" s="32"/>
      <c r="C569" s="32"/>
      <c r="D569" s="32"/>
      <c r="E569" s="32"/>
      <c r="F569" s="32"/>
      <c r="G569" s="33"/>
      <c r="H569" s="33"/>
      <c r="I569" s="34" t="str">
        <f aca="false">IF($A569="","",$G569-$H569)</f>
        <v/>
      </c>
      <c r="J569" s="35" t="str">
        <f aca="false">IF($A569="","",IF(Setup!$B$6=1,YEAR($A569),YEAR($A569)+IF(MONTH($A569)&gt;=Setup!$B$6,1,0)))</f>
        <v/>
      </c>
      <c r="K569" s="35" t="str">
        <f aca="false">IF($A569="","",MOD(MONTH($A569)-Setup!$B$6+12,12)+1)</f>
        <v/>
      </c>
      <c r="L569" s="36" t="str">
        <f aca="false">IF($A569="","",TEXT($A569,"MMM-YY"))</f>
        <v/>
      </c>
      <c r="M569" s="37" t="str">
        <f aca="false">IF($A569="","",IF($Q569=0,"UNMAPPED",INDEX(COA_Mapping!$C$7:$C$256,$Q569)))</f>
        <v/>
      </c>
      <c r="N569" s="38" t="str">
        <f aca="false">IF($A569="","",IF($Q569=0,"",INDEX(COA_Mapping!$E$7:$E$256,$Q569)))</f>
        <v/>
      </c>
      <c r="O569" s="38" t="n">
        <f aca="false">IF($A569="",1,IF($Q569=0,1,INDEX(COA_Mapping!$F$7:$F$256,$Q569)))</f>
        <v>1</v>
      </c>
      <c r="P569" s="34" t="str">
        <f aca="false">IF($A569="","",$I569*$O569)</f>
        <v/>
      </c>
      <c r="Q569" s="39" t="n">
        <f aca="false">IF($B569="",0,IFERROR(MATCH($B569,COA_Mapping!$A$7:$A$256,0),0))</f>
        <v>0</v>
      </c>
      <c r="R569" s="39" t="n">
        <f aca="false">IF($A569="",-1,IF($J569=Setup!$B$7,1,IF($J569=Setup!$B$9,0,-1)))</f>
        <v>-1</v>
      </c>
      <c r="S569" s="35" t="n">
        <f aca="false">IF(OR($A569="",$Q569=0,$R569=-1),0,$Q569*1000+$R569*100+$K569)</f>
        <v>0</v>
      </c>
      <c r="T569" s="37" t="str">
        <f aca="false">IF($A569="","",IF($B569="","NO ACCOUNT",IF($Q569=0,"UNMAPPED",IF($R569=-1,"OUTSIDE FY RANGE","OK"))))</f>
        <v/>
      </c>
      <c r="U569" s="40" t="str">
        <f aca="false">IF($A569="","",$B569&amp;"|"&amp;TEXT($A569,"yyyymmdd")&amp;"|"&amp;TEXT($I569,"0.00"))</f>
        <v/>
      </c>
      <c r="V569" s="35" t="str">
        <f aca="false">IF($A569="","",COUNTIF($U$8:$U$5007,$U569))</f>
        <v/>
      </c>
    </row>
    <row r="570" customFormat="false" ht="15" hidden="false" customHeight="false" outlineLevel="0" collapsed="false">
      <c r="A570" s="31"/>
      <c r="B570" s="32"/>
      <c r="C570" s="32"/>
      <c r="D570" s="32"/>
      <c r="E570" s="32"/>
      <c r="F570" s="32"/>
      <c r="G570" s="33"/>
      <c r="H570" s="33"/>
      <c r="I570" s="34" t="str">
        <f aca="false">IF($A570="","",$G570-$H570)</f>
        <v/>
      </c>
      <c r="J570" s="35" t="str">
        <f aca="false">IF($A570="","",IF(Setup!$B$6=1,YEAR($A570),YEAR($A570)+IF(MONTH($A570)&gt;=Setup!$B$6,1,0)))</f>
        <v/>
      </c>
      <c r="K570" s="35" t="str">
        <f aca="false">IF($A570="","",MOD(MONTH($A570)-Setup!$B$6+12,12)+1)</f>
        <v/>
      </c>
      <c r="L570" s="36" t="str">
        <f aca="false">IF($A570="","",TEXT($A570,"MMM-YY"))</f>
        <v/>
      </c>
      <c r="M570" s="37" t="str">
        <f aca="false">IF($A570="","",IF($Q570=0,"UNMAPPED",INDEX(COA_Mapping!$C$7:$C$256,$Q570)))</f>
        <v/>
      </c>
      <c r="N570" s="38" t="str">
        <f aca="false">IF($A570="","",IF($Q570=0,"",INDEX(COA_Mapping!$E$7:$E$256,$Q570)))</f>
        <v/>
      </c>
      <c r="O570" s="38" t="n">
        <f aca="false">IF($A570="",1,IF($Q570=0,1,INDEX(COA_Mapping!$F$7:$F$256,$Q570)))</f>
        <v>1</v>
      </c>
      <c r="P570" s="34" t="str">
        <f aca="false">IF($A570="","",$I570*$O570)</f>
        <v/>
      </c>
      <c r="Q570" s="39" t="n">
        <f aca="false">IF($B570="",0,IFERROR(MATCH($B570,COA_Mapping!$A$7:$A$256,0),0))</f>
        <v>0</v>
      </c>
      <c r="R570" s="39" t="n">
        <f aca="false">IF($A570="",-1,IF($J570=Setup!$B$7,1,IF($J570=Setup!$B$9,0,-1)))</f>
        <v>-1</v>
      </c>
      <c r="S570" s="35" t="n">
        <f aca="false">IF(OR($A570="",$Q570=0,$R570=-1),0,$Q570*1000+$R570*100+$K570)</f>
        <v>0</v>
      </c>
      <c r="T570" s="37" t="str">
        <f aca="false">IF($A570="","",IF($B570="","NO ACCOUNT",IF($Q570=0,"UNMAPPED",IF($R570=-1,"OUTSIDE FY RANGE","OK"))))</f>
        <v/>
      </c>
      <c r="U570" s="40" t="str">
        <f aca="false">IF($A570="","",$B570&amp;"|"&amp;TEXT($A570,"yyyymmdd")&amp;"|"&amp;TEXT($I570,"0.00"))</f>
        <v/>
      </c>
      <c r="V570" s="35" t="str">
        <f aca="false">IF($A570="","",COUNTIF($U$8:$U$5007,$U570))</f>
        <v/>
      </c>
    </row>
    <row r="571" customFormat="false" ht="15" hidden="false" customHeight="false" outlineLevel="0" collapsed="false">
      <c r="A571" s="31"/>
      <c r="B571" s="32"/>
      <c r="C571" s="32"/>
      <c r="D571" s="32"/>
      <c r="E571" s="32"/>
      <c r="F571" s="32"/>
      <c r="G571" s="33"/>
      <c r="H571" s="33"/>
      <c r="I571" s="34" t="str">
        <f aca="false">IF($A571="","",$G571-$H571)</f>
        <v/>
      </c>
      <c r="J571" s="35" t="str">
        <f aca="false">IF($A571="","",IF(Setup!$B$6=1,YEAR($A571),YEAR($A571)+IF(MONTH($A571)&gt;=Setup!$B$6,1,0)))</f>
        <v/>
      </c>
      <c r="K571" s="35" t="str">
        <f aca="false">IF($A571="","",MOD(MONTH($A571)-Setup!$B$6+12,12)+1)</f>
        <v/>
      </c>
      <c r="L571" s="36" t="str">
        <f aca="false">IF($A571="","",TEXT($A571,"MMM-YY"))</f>
        <v/>
      </c>
      <c r="M571" s="37" t="str">
        <f aca="false">IF($A571="","",IF($Q571=0,"UNMAPPED",INDEX(COA_Mapping!$C$7:$C$256,$Q571)))</f>
        <v/>
      </c>
      <c r="N571" s="38" t="str">
        <f aca="false">IF($A571="","",IF($Q571=0,"",INDEX(COA_Mapping!$E$7:$E$256,$Q571)))</f>
        <v/>
      </c>
      <c r="O571" s="38" t="n">
        <f aca="false">IF($A571="",1,IF($Q571=0,1,INDEX(COA_Mapping!$F$7:$F$256,$Q571)))</f>
        <v>1</v>
      </c>
      <c r="P571" s="34" t="str">
        <f aca="false">IF($A571="","",$I571*$O571)</f>
        <v/>
      </c>
      <c r="Q571" s="39" t="n">
        <f aca="false">IF($B571="",0,IFERROR(MATCH($B571,COA_Mapping!$A$7:$A$256,0),0))</f>
        <v>0</v>
      </c>
      <c r="R571" s="39" t="n">
        <f aca="false">IF($A571="",-1,IF($J571=Setup!$B$7,1,IF($J571=Setup!$B$9,0,-1)))</f>
        <v>-1</v>
      </c>
      <c r="S571" s="35" t="n">
        <f aca="false">IF(OR($A571="",$Q571=0,$R571=-1),0,$Q571*1000+$R571*100+$K571)</f>
        <v>0</v>
      </c>
      <c r="T571" s="37" t="str">
        <f aca="false">IF($A571="","",IF($B571="","NO ACCOUNT",IF($Q571=0,"UNMAPPED",IF($R571=-1,"OUTSIDE FY RANGE","OK"))))</f>
        <v/>
      </c>
      <c r="U571" s="40" t="str">
        <f aca="false">IF($A571="","",$B571&amp;"|"&amp;TEXT($A571,"yyyymmdd")&amp;"|"&amp;TEXT($I571,"0.00"))</f>
        <v/>
      </c>
      <c r="V571" s="35" t="str">
        <f aca="false">IF($A571="","",COUNTIF($U$8:$U$5007,$U571))</f>
        <v/>
      </c>
    </row>
    <row r="572" customFormat="false" ht="15" hidden="false" customHeight="false" outlineLevel="0" collapsed="false">
      <c r="A572" s="31"/>
      <c r="B572" s="32"/>
      <c r="C572" s="32"/>
      <c r="D572" s="32"/>
      <c r="E572" s="32"/>
      <c r="F572" s="32"/>
      <c r="G572" s="33"/>
      <c r="H572" s="33"/>
      <c r="I572" s="34" t="str">
        <f aca="false">IF($A572="","",$G572-$H572)</f>
        <v/>
      </c>
      <c r="J572" s="35" t="str">
        <f aca="false">IF($A572="","",IF(Setup!$B$6=1,YEAR($A572),YEAR($A572)+IF(MONTH($A572)&gt;=Setup!$B$6,1,0)))</f>
        <v/>
      </c>
      <c r="K572" s="35" t="str">
        <f aca="false">IF($A572="","",MOD(MONTH($A572)-Setup!$B$6+12,12)+1)</f>
        <v/>
      </c>
      <c r="L572" s="36" t="str">
        <f aca="false">IF($A572="","",TEXT($A572,"MMM-YY"))</f>
        <v/>
      </c>
      <c r="M572" s="37" t="str">
        <f aca="false">IF($A572="","",IF($Q572=0,"UNMAPPED",INDEX(COA_Mapping!$C$7:$C$256,$Q572)))</f>
        <v/>
      </c>
      <c r="N572" s="38" t="str">
        <f aca="false">IF($A572="","",IF($Q572=0,"",INDEX(COA_Mapping!$E$7:$E$256,$Q572)))</f>
        <v/>
      </c>
      <c r="O572" s="38" t="n">
        <f aca="false">IF($A572="",1,IF($Q572=0,1,INDEX(COA_Mapping!$F$7:$F$256,$Q572)))</f>
        <v>1</v>
      </c>
      <c r="P572" s="34" t="str">
        <f aca="false">IF($A572="","",$I572*$O572)</f>
        <v/>
      </c>
      <c r="Q572" s="39" t="n">
        <f aca="false">IF($B572="",0,IFERROR(MATCH($B572,COA_Mapping!$A$7:$A$256,0),0))</f>
        <v>0</v>
      </c>
      <c r="R572" s="39" t="n">
        <f aca="false">IF($A572="",-1,IF($J572=Setup!$B$7,1,IF($J572=Setup!$B$9,0,-1)))</f>
        <v>-1</v>
      </c>
      <c r="S572" s="35" t="n">
        <f aca="false">IF(OR($A572="",$Q572=0,$R572=-1),0,$Q572*1000+$R572*100+$K572)</f>
        <v>0</v>
      </c>
      <c r="T572" s="37" t="str">
        <f aca="false">IF($A572="","",IF($B572="","NO ACCOUNT",IF($Q572=0,"UNMAPPED",IF($R572=-1,"OUTSIDE FY RANGE","OK"))))</f>
        <v/>
      </c>
      <c r="U572" s="40" t="str">
        <f aca="false">IF($A572="","",$B572&amp;"|"&amp;TEXT($A572,"yyyymmdd")&amp;"|"&amp;TEXT($I572,"0.00"))</f>
        <v/>
      </c>
      <c r="V572" s="35" t="str">
        <f aca="false">IF($A572="","",COUNTIF($U$8:$U$5007,$U572))</f>
        <v/>
      </c>
    </row>
    <row r="573" customFormat="false" ht="15" hidden="false" customHeight="false" outlineLevel="0" collapsed="false">
      <c r="A573" s="31"/>
      <c r="B573" s="32"/>
      <c r="C573" s="32"/>
      <c r="D573" s="32"/>
      <c r="E573" s="32"/>
      <c r="F573" s="32"/>
      <c r="G573" s="33"/>
      <c r="H573" s="33"/>
      <c r="I573" s="34" t="str">
        <f aca="false">IF($A573="","",$G573-$H573)</f>
        <v/>
      </c>
      <c r="J573" s="35" t="str">
        <f aca="false">IF($A573="","",IF(Setup!$B$6=1,YEAR($A573),YEAR($A573)+IF(MONTH($A573)&gt;=Setup!$B$6,1,0)))</f>
        <v/>
      </c>
      <c r="K573" s="35" t="str">
        <f aca="false">IF($A573="","",MOD(MONTH($A573)-Setup!$B$6+12,12)+1)</f>
        <v/>
      </c>
      <c r="L573" s="36" t="str">
        <f aca="false">IF($A573="","",TEXT($A573,"MMM-YY"))</f>
        <v/>
      </c>
      <c r="M573" s="37" t="str">
        <f aca="false">IF($A573="","",IF($Q573=0,"UNMAPPED",INDEX(COA_Mapping!$C$7:$C$256,$Q573)))</f>
        <v/>
      </c>
      <c r="N573" s="38" t="str">
        <f aca="false">IF($A573="","",IF($Q573=0,"",INDEX(COA_Mapping!$E$7:$E$256,$Q573)))</f>
        <v/>
      </c>
      <c r="O573" s="38" t="n">
        <f aca="false">IF($A573="",1,IF($Q573=0,1,INDEX(COA_Mapping!$F$7:$F$256,$Q573)))</f>
        <v>1</v>
      </c>
      <c r="P573" s="34" t="str">
        <f aca="false">IF($A573="","",$I573*$O573)</f>
        <v/>
      </c>
      <c r="Q573" s="39" t="n">
        <f aca="false">IF($B573="",0,IFERROR(MATCH($B573,COA_Mapping!$A$7:$A$256,0),0))</f>
        <v>0</v>
      </c>
      <c r="R573" s="39" t="n">
        <f aca="false">IF($A573="",-1,IF($J573=Setup!$B$7,1,IF($J573=Setup!$B$9,0,-1)))</f>
        <v>-1</v>
      </c>
      <c r="S573" s="35" t="n">
        <f aca="false">IF(OR($A573="",$Q573=0,$R573=-1),0,$Q573*1000+$R573*100+$K573)</f>
        <v>0</v>
      </c>
      <c r="T573" s="37" t="str">
        <f aca="false">IF($A573="","",IF($B573="","NO ACCOUNT",IF($Q573=0,"UNMAPPED",IF($R573=-1,"OUTSIDE FY RANGE","OK"))))</f>
        <v/>
      </c>
      <c r="U573" s="40" t="str">
        <f aca="false">IF($A573="","",$B573&amp;"|"&amp;TEXT($A573,"yyyymmdd")&amp;"|"&amp;TEXT($I573,"0.00"))</f>
        <v/>
      </c>
      <c r="V573" s="35" t="str">
        <f aca="false">IF($A573="","",COUNTIF($U$8:$U$5007,$U573))</f>
        <v/>
      </c>
    </row>
    <row r="574" customFormat="false" ht="15" hidden="false" customHeight="false" outlineLevel="0" collapsed="false">
      <c r="A574" s="31"/>
      <c r="B574" s="32"/>
      <c r="C574" s="32"/>
      <c r="D574" s="32"/>
      <c r="E574" s="32"/>
      <c r="F574" s="32"/>
      <c r="G574" s="33"/>
      <c r="H574" s="33"/>
      <c r="I574" s="34" t="str">
        <f aca="false">IF($A574="","",$G574-$H574)</f>
        <v/>
      </c>
      <c r="J574" s="35" t="str">
        <f aca="false">IF($A574="","",IF(Setup!$B$6=1,YEAR($A574),YEAR($A574)+IF(MONTH($A574)&gt;=Setup!$B$6,1,0)))</f>
        <v/>
      </c>
      <c r="K574" s="35" t="str">
        <f aca="false">IF($A574="","",MOD(MONTH($A574)-Setup!$B$6+12,12)+1)</f>
        <v/>
      </c>
      <c r="L574" s="36" t="str">
        <f aca="false">IF($A574="","",TEXT($A574,"MMM-YY"))</f>
        <v/>
      </c>
      <c r="M574" s="37" t="str">
        <f aca="false">IF($A574="","",IF($Q574=0,"UNMAPPED",INDEX(COA_Mapping!$C$7:$C$256,$Q574)))</f>
        <v/>
      </c>
      <c r="N574" s="38" t="str">
        <f aca="false">IF($A574="","",IF($Q574=0,"",INDEX(COA_Mapping!$E$7:$E$256,$Q574)))</f>
        <v/>
      </c>
      <c r="O574" s="38" t="n">
        <f aca="false">IF($A574="",1,IF($Q574=0,1,INDEX(COA_Mapping!$F$7:$F$256,$Q574)))</f>
        <v>1</v>
      </c>
      <c r="P574" s="34" t="str">
        <f aca="false">IF($A574="","",$I574*$O574)</f>
        <v/>
      </c>
      <c r="Q574" s="39" t="n">
        <f aca="false">IF($B574="",0,IFERROR(MATCH($B574,COA_Mapping!$A$7:$A$256,0),0))</f>
        <v>0</v>
      </c>
      <c r="R574" s="39" t="n">
        <f aca="false">IF($A574="",-1,IF($J574=Setup!$B$7,1,IF($J574=Setup!$B$9,0,-1)))</f>
        <v>-1</v>
      </c>
      <c r="S574" s="35" t="n">
        <f aca="false">IF(OR($A574="",$Q574=0,$R574=-1),0,$Q574*1000+$R574*100+$K574)</f>
        <v>0</v>
      </c>
      <c r="T574" s="37" t="str">
        <f aca="false">IF($A574="","",IF($B574="","NO ACCOUNT",IF($Q574=0,"UNMAPPED",IF($R574=-1,"OUTSIDE FY RANGE","OK"))))</f>
        <v/>
      </c>
      <c r="U574" s="40" t="str">
        <f aca="false">IF($A574="","",$B574&amp;"|"&amp;TEXT($A574,"yyyymmdd")&amp;"|"&amp;TEXT($I574,"0.00"))</f>
        <v/>
      </c>
      <c r="V574" s="35" t="str">
        <f aca="false">IF($A574="","",COUNTIF($U$8:$U$5007,$U574))</f>
        <v/>
      </c>
    </row>
    <row r="575" customFormat="false" ht="15" hidden="false" customHeight="false" outlineLevel="0" collapsed="false">
      <c r="A575" s="31"/>
      <c r="B575" s="32"/>
      <c r="C575" s="32"/>
      <c r="D575" s="32"/>
      <c r="E575" s="32"/>
      <c r="F575" s="32"/>
      <c r="G575" s="33"/>
      <c r="H575" s="33"/>
      <c r="I575" s="34" t="str">
        <f aca="false">IF($A575="","",$G575-$H575)</f>
        <v/>
      </c>
      <c r="J575" s="35" t="str">
        <f aca="false">IF($A575="","",IF(Setup!$B$6=1,YEAR($A575),YEAR($A575)+IF(MONTH($A575)&gt;=Setup!$B$6,1,0)))</f>
        <v/>
      </c>
      <c r="K575" s="35" t="str">
        <f aca="false">IF($A575="","",MOD(MONTH($A575)-Setup!$B$6+12,12)+1)</f>
        <v/>
      </c>
      <c r="L575" s="36" t="str">
        <f aca="false">IF($A575="","",TEXT($A575,"MMM-YY"))</f>
        <v/>
      </c>
      <c r="M575" s="37" t="str">
        <f aca="false">IF($A575="","",IF($Q575=0,"UNMAPPED",INDEX(COA_Mapping!$C$7:$C$256,$Q575)))</f>
        <v/>
      </c>
      <c r="N575" s="38" t="str">
        <f aca="false">IF($A575="","",IF($Q575=0,"",INDEX(COA_Mapping!$E$7:$E$256,$Q575)))</f>
        <v/>
      </c>
      <c r="O575" s="38" t="n">
        <f aca="false">IF($A575="",1,IF($Q575=0,1,INDEX(COA_Mapping!$F$7:$F$256,$Q575)))</f>
        <v>1</v>
      </c>
      <c r="P575" s="34" t="str">
        <f aca="false">IF($A575="","",$I575*$O575)</f>
        <v/>
      </c>
      <c r="Q575" s="39" t="n">
        <f aca="false">IF($B575="",0,IFERROR(MATCH($B575,COA_Mapping!$A$7:$A$256,0),0))</f>
        <v>0</v>
      </c>
      <c r="R575" s="39" t="n">
        <f aca="false">IF($A575="",-1,IF($J575=Setup!$B$7,1,IF($J575=Setup!$B$9,0,-1)))</f>
        <v>-1</v>
      </c>
      <c r="S575" s="35" t="n">
        <f aca="false">IF(OR($A575="",$Q575=0,$R575=-1),0,$Q575*1000+$R575*100+$K575)</f>
        <v>0</v>
      </c>
      <c r="T575" s="37" t="str">
        <f aca="false">IF($A575="","",IF($B575="","NO ACCOUNT",IF($Q575=0,"UNMAPPED",IF($R575=-1,"OUTSIDE FY RANGE","OK"))))</f>
        <v/>
      </c>
      <c r="U575" s="40" t="str">
        <f aca="false">IF($A575="","",$B575&amp;"|"&amp;TEXT($A575,"yyyymmdd")&amp;"|"&amp;TEXT($I575,"0.00"))</f>
        <v/>
      </c>
      <c r="V575" s="35" t="str">
        <f aca="false">IF($A575="","",COUNTIF($U$8:$U$5007,$U575))</f>
        <v/>
      </c>
    </row>
    <row r="576" customFormat="false" ht="15" hidden="false" customHeight="false" outlineLevel="0" collapsed="false">
      <c r="A576" s="31"/>
      <c r="B576" s="32"/>
      <c r="C576" s="32"/>
      <c r="D576" s="32"/>
      <c r="E576" s="32"/>
      <c r="F576" s="32"/>
      <c r="G576" s="33"/>
      <c r="H576" s="33"/>
      <c r="I576" s="34" t="str">
        <f aca="false">IF($A576="","",$G576-$H576)</f>
        <v/>
      </c>
      <c r="J576" s="35" t="str">
        <f aca="false">IF($A576="","",IF(Setup!$B$6=1,YEAR($A576),YEAR($A576)+IF(MONTH($A576)&gt;=Setup!$B$6,1,0)))</f>
        <v/>
      </c>
      <c r="K576" s="35" t="str">
        <f aca="false">IF($A576="","",MOD(MONTH($A576)-Setup!$B$6+12,12)+1)</f>
        <v/>
      </c>
      <c r="L576" s="36" t="str">
        <f aca="false">IF($A576="","",TEXT($A576,"MMM-YY"))</f>
        <v/>
      </c>
      <c r="M576" s="37" t="str">
        <f aca="false">IF($A576="","",IF($Q576=0,"UNMAPPED",INDEX(COA_Mapping!$C$7:$C$256,$Q576)))</f>
        <v/>
      </c>
      <c r="N576" s="38" t="str">
        <f aca="false">IF($A576="","",IF($Q576=0,"",INDEX(COA_Mapping!$E$7:$E$256,$Q576)))</f>
        <v/>
      </c>
      <c r="O576" s="38" t="n">
        <f aca="false">IF($A576="",1,IF($Q576=0,1,INDEX(COA_Mapping!$F$7:$F$256,$Q576)))</f>
        <v>1</v>
      </c>
      <c r="P576" s="34" t="str">
        <f aca="false">IF($A576="","",$I576*$O576)</f>
        <v/>
      </c>
      <c r="Q576" s="39" t="n">
        <f aca="false">IF($B576="",0,IFERROR(MATCH($B576,COA_Mapping!$A$7:$A$256,0),0))</f>
        <v>0</v>
      </c>
      <c r="R576" s="39" t="n">
        <f aca="false">IF($A576="",-1,IF($J576=Setup!$B$7,1,IF($J576=Setup!$B$9,0,-1)))</f>
        <v>-1</v>
      </c>
      <c r="S576" s="35" t="n">
        <f aca="false">IF(OR($A576="",$Q576=0,$R576=-1),0,$Q576*1000+$R576*100+$K576)</f>
        <v>0</v>
      </c>
      <c r="T576" s="37" t="str">
        <f aca="false">IF($A576="","",IF($B576="","NO ACCOUNT",IF($Q576=0,"UNMAPPED",IF($R576=-1,"OUTSIDE FY RANGE","OK"))))</f>
        <v/>
      </c>
      <c r="U576" s="40" t="str">
        <f aca="false">IF($A576="","",$B576&amp;"|"&amp;TEXT($A576,"yyyymmdd")&amp;"|"&amp;TEXT($I576,"0.00"))</f>
        <v/>
      </c>
      <c r="V576" s="35" t="str">
        <f aca="false">IF($A576="","",COUNTIF($U$8:$U$5007,$U576))</f>
        <v/>
      </c>
    </row>
    <row r="577" customFormat="false" ht="15" hidden="false" customHeight="false" outlineLevel="0" collapsed="false">
      <c r="A577" s="31"/>
      <c r="B577" s="32"/>
      <c r="C577" s="32"/>
      <c r="D577" s="32"/>
      <c r="E577" s="32"/>
      <c r="F577" s="32"/>
      <c r="G577" s="33"/>
      <c r="H577" s="33"/>
      <c r="I577" s="34" t="str">
        <f aca="false">IF($A577="","",$G577-$H577)</f>
        <v/>
      </c>
      <c r="J577" s="35" t="str">
        <f aca="false">IF($A577="","",IF(Setup!$B$6=1,YEAR($A577),YEAR($A577)+IF(MONTH($A577)&gt;=Setup!$B$6,1,0)))</f>
        <v/>
      </c>
      <c r="K577" s="35" t="str">
        <f aca="false">IF($A577="","",MOD(MONTH($A577)-Setup!$B$6+12,12)+1)</f>
        <v/>
      </c>
      <c r="L577" s="36" t="str">
        <f aca="false">IF($A577="","",TEXT($A577,"MMM-YY"))</f>
        <v/>
      </c>
      <c r="M577" s="37" t="str">
        <f aca="false">IF($A577="","",IF($Q577=0,"UNMAPPED",INDEX(COA_Mapping!$C$7:$C$256,$Q577)))</f>
        <v/>
      </c>
      <c r="N577" s="38" t="str">
        <f aca="false">IF($A577="","",IF($Q577=0,"",INDEX(COA_Mapping!$E$7:$E$256,$Q577)))</f>
        <v/>
      </c>
      <c r="O577" s="38" t="n">
        <f aca="false">IF($A577="",1,IF($Q577=0,1,INDEX(COA_Mapping!$F$7:$F$256,$Q577)))</f>
        <v>1</v>
      </c>
      <c r="P577" s="34" t="str">
        <f aca="false">IF($A577="","",$I577*$O577)</f>
        <v/>
      </c>
      <c r="Q577" s="39" t="n">
        <f aca="false">IF($B577="",0,IFERROR(MATCH($B577,COA_Mapping!$A$7:$A$256,0),0))</f>
        <v>0</v>
      </c>
      <c r="R577" s="39" t="n">
        <f aca="false">IF($A577="",-1,IF($J577=Setup!$B$7,1,IF($J577=Setup!$B$9,0,-1)))</f>
        <v>-1</v>
      </c>
      <c r="S577" s="35" t="n">
        <f aca="false">IF(OR($A577="",$Q577=0,$R577=-1),0,$Q577*1000+$R577*100+$K577)</f>
        <v>0</v>
      </c>
      <c r="T577" s="37" t="str">
        <f aca="false">IF($A577="","",IF($B577="","NO ACCOUNT",IF($Q577=0,"UNMAPPED",IF($R577=-1,"OUTSIDE FY RANGE","OK"))))</f>
        <v/>
      </c>
      <c r="U577" s="40" t="str">
        <f aca="false">IF($A577="","",$B577&amp;"|"&amp;TEXT($A577,"yyyymmdd")&amp;"|"&amp;TEXT($I577,"0.00"))</f>
        <v/>
      </c>
      <c r="V577" s="35" t="str">
        <f aca="false">IF($A577="","",COUNTIF($U$8:$U$5007,$U577))</f>
        <v/>
      </c>
    </row>
    <row r="578" customFormat="false" ht="15" hidden="false" customHeight="false" outlineLevel="0" collapsed="false">
      <c r="A578" s="31"/>
      <c r="B578" s="32"/>
      <c r="C578" s="32"/>
      <c r="D578" s="32"/>
      <c r="E578" s="32"/>
      <c r="F578" s="32"/>
      <c r="G578" s="33"/>
      <c r="H578" s="33"/>
      <c r="I578" s="34" t="str">
        <f aca="false">IF($A578="","",$G578-$H578)</f>
        <v/>
      </c>
      <c r="J578" s="35" t="str">
        <f aca="false">IF($A578="","",IF(Setup!$B$6=1,YEAR($A578),YEAR($A578)+IF(MONTH($A578)&gt;=Setup!$B$6,1,0)))</f>
        <v/>
      </c>
      <c r="K578" s="35" t="str">
        <f aca="false">IF($A578="","",MOD(MONTH($A578)-Setup!$B$6+12,12)+1)</f>
        <v/>
      </c>
      <c r="L578" s="36" t="str">
        <f aca="false">IF($A578="","",TEXT($A578,"MMM-YY"))</f>
        <v/>
      </c>
      <c r="M578" s="37" t="str">
        <f aca="false">IF($A578="","",IF($Q578=0,"UNMAPPED",INDEX(COA_Mapping!$C$7:$C$256,$Q578)))</f>
        <v/>
      </c>
      <c r="N578" s="38" t="str">
        <f aca="false">IF($A578="","",IF($Q578=0,"",INDEX(COA_Mapping!$E$7:$E$256,$Q578)))</f>
        <v/>
      </c>
      <c r="O578" s="38" t="n">
        <f aca="false">IF($A578="",1,IF($Q578=0,1,INDEX(COA_Mapping!$F$7:$F$256,$Q578)))</f>
        <v>1</v>
      </c>
      <c r="P578" s="34" t="str">
        <f aca="false">IF($A578="","",$I578*$O578)</f>
        <v/>
      </c>
      <c r="Q578" s="39" t="n">
        <f aca="false">IF($B578="",0,IFERROR(MATCH($B578,COA_Mapping!$A$7:$A$256,0),0))</f>
        <v>0</v>
      </c>
      <c r="R578" s="39" t="n">
        <f aca="false">IF($A578="",-1,IF($J578=Setup!$B$7,1,IF($J578=Setup!$B$9,0,-1)))</f>
        <v>-1</v>
      </c>
      <c r="S578" s="35" t="n">
        <f aca="false">IF(OR($A578="",$Q578=0,$R578=-1),0,$Q578*1000+$R578*100+$K578)</f>
        <v>0</v>
      </c>
      <c r="T578" s="37" t="str">
        <f aca="false">IF($A578="","",IF($B578="","NO ACCOUNT",IF($Q578=0,"UNMAPPED",IF($R578=-1,"OUTSIDE FY RANGE","OK"))))</f>
        <v/>
      </c>
      <c r="U578" s="40" t="str">
        <f aca="false">IF($A578="","",$B578&amp;"|"&amp;TEXT($A578,"yyyymmdd")&amp;"|"&amp;TEXT($I578,"0.00"))</f>
        <v/>
      </c>
      <c r="V578" s="35" t="str">
        <f aca="false">IF($A578="","",COUNTIF($U$8:$U$5007,$U578))</f>
        <v/>
      </c>
    </row>
    <row r="579" customFormat="false" ht="15" hidden="false" customHeight="false" outlineLevel="0" collapsed="false">
      <c r="A579" s="31"/>
      <c r="B579" s="32"/>
      <c r="C579" s="32"/>
      <c r="D579" s="32"/>
      <c r="E579" s="32"/>
      <c r="F579" s="32"/>
      <c r="G579" s="33"/>
      <c r="H579" s="33"/>
      <c r="I579" s="34" t="str">
        <f aca="false">IF($A579="","",$G579-$H579)</f>
        <v/>
      </c>
      <c r="J579" s="35" t="str">
        <f aca="false">IF($A579="","",IF(Setup!$B$6=1,YEAR($A579),YEAR($A579)+IF(MONTH($A579)&gt;=Setup!$B$6,1,0)))</f>
        <v/>
      </c>
      <c r="K579" s="35" t="str">
        <f aca="false">IF($A579="","",MOD(MONTH($A579)-Setup!$B$6+12,12)+1)</f>
        <v/>
      </c>
      <c r="L579" s="36" t="str">
        <f aca="false">IF($A579="","",TEXT($A579,"MMM-YY"))</f>
        <v/>
      </c>
      <c r="M579" s="37" t="str">
        <f aca="false">IF($A579="","",IF($Q579=0,"UNMAPPED",INDEX(COA_Mapping!$C$7:$C$256,$Q579)))</f>
        <v/>
      </c>
      <c r="N579" s="38" t="str">
        <f aca="false">IF($A579="","",IF($Q579=0,"",INDEX(COA_Mapping!$E$7:$E$256,$Q579)))</f>
        <v/>
      </c>
      <c r="O579" s="38" t="n">
        <f aca="false">IF($A579="",1,IF($Q579=0,1,INDEX(COA_Mapping!$F$7:$F$256,$Q579)))</f>
        <v>1</v>
      </c>
      <c r="P579" s="34" t="str">
        <f aca="false">IF($A579="","",$I579*$O579)</f>
        <v/>
      </c>
      <c r="Q579" s="39" t="n">
        <f aca="false">IF($B579="",0,IFERROR(MATCH($B579,COA_Mapping!$A$7:$A$256,0),0))</f>
        <v>0</v>
      </c>
      <c r="R579" s="39" t="n">
        <f aca="false">IF($A579="",-1,IF($J579=Setup!$B$7,1,IF($J579=Setup!$B$9,0,-1)))</f>
        <v>-1</v>
      </c>
      <c r="S579" s="35" t="n">
        <f aca="false">IF(OR($A579="",$Q579=0,$R579=-1),0,$Q579*1000+$R579*100+$K579)</f>
        <v>0</v>
      </c>
      <c r="T579" s="37" t="str">
        <f aca="false">IF($A579="","",IF($B579="","NO ACCOUNT",IF($Q579=0,"UNMAPPED",IF($R579=-1,"OUTSIDE FY RANGE","OK"))))</f>
        <v/>
      </c>
      <c r="U579" s="40" t="str">
        <f aca="false">IF($A579="","",$B579&amp;"|"&amp;TEXT($A579,"yyyymmdd")&amp;"|"&amp;TEXT($I579,"0.00"))</f>
        <v/>
      </c>
      <c r="V579" s="35" t="str">
        <f aca="false">IF($A579="","",COUNTIF($U$8:$U$5007,$U579))</f>
        <v/>
      </c>
    </row>
    <row r="580" customFormat="false" ht="15" hidden="false" customHeight="false" outlineLevel="0" collapsed="false">
      <c r="A580" s="31"/>
      <c r="B580" s="32"/>
      <c r="C580" s="32"/>
      <c r="D580" s="32"/>
      <c r="E580" s="32"/>
      <c r="F580" s="32"/>
      <c r="G580" s="33"/>
      <c r="H580" s="33"/>
      <c r="I580" s="34" t="str">
        <f aca="false">IF($A580="","",$G580-$H580)</f>
        <v/>
      </c>
      <c r="J580" s="35" t="str">
        <f aca="false">IF($A580="","",IF(Setup!$B$6=1,YEAR($A580),YEAR($A580)+IF(MONTH($A580)&gt;=Setup!$B$6,1,0)))</f>
        <v/>
      </c>
      <c r="K580" s="35" t="str">
        <f aca="false">IF($A580="","",MOD(MONTH($A580)-Setup!$B$6+12,12)+1)</f>
        <v/>
      </c>
      <c r="L580" s="36" t="str">
        <f aca="false">IF($A580="","",TEXT($A580,"MMM-YY"))</f>
        <v/>
      </c>
      <c r="M580" s="37" t="str">
        <f aca="false">IF($A580="","",IF($Q580=0,"UNMAPPED",INDEX(COA_Mapping!$C$7:$C$256,$Q580)))</f>
        <v/>
      </c>
      <c r="N580" s="38" t="str">
        <f aca="false">IF($A580="","",IF($Q580=0,"",INDEX(COA_Mapping!$E$7:$E$256,$Q580)))</f>
        <v/>
      </c>
      <c r="O580" s="38" t="n">
        <f aca="false">IF($A580="",1,IF($Q580=0,1,INDEX(COA_Mapping!$F$7:$F$256,$Q580)))</f>
        <v>1</v>
      </c>
      <c r="P580" s="34" t="str">
        <f aca="false">IF($A580="","",$I580*$O580)</f>
        <v/>
      </c>
      <c r="Q580" s="39" t="n">
        <f aca="false">IF($B580="",0,IFERROR(MATCH($B580,COA_Mapping!$A$7:$A$256,0),0))</f>
        <v>0</v>
      </c>
      <c r="R580" s="39" t="n">
        <f aca="false">IF($A580="",-1,IF($J580=Setup!$B$7,1,IF($J580=Setup!$B$9,0,-1)))</f>
        <v>-1</v>
      </c>
      <c r="S580" s="35" t="n">
        <f aca="false">IF(OR($A580="",$Q580=0,$R580=-1),0,$Q580*1000+$R580*100+$K580)</f>
        <v>0</v>
      </c>
      <c r="T580" s="37" t="str">
        <f aca="false">IF($A580="","",IF($B580="","NO ACCOUNT",IF($Q580=0,"UNMAPPED",IF($R580=-1,"OUTSIDE FY RANGE","OK"))))</f>
        <v/>
      </c>
      <c r="U580" s="40" t="str">
        <f aca="false">IF($A580="","",$B580&amp;"|"&amp;TEXT($A580,"yyyymmdd")&amp;"|"&amp;TEXT($I580,"0.00"))</f>
        <v/>
      </c>
      <c r="V580" s="35" t="str">
        <f aca="false">IF($A580="","",COUNTIF($U$8:$U$5007,$U580))</f>
        <v/>
      </c>
    </row>
    <row r="581" customFormat="false" ht="15" hidden="false" customHeight="false" outlineLevel="0" collapsed="false">
      <c r="A581" s="31"/>
      <c r="B581" s="32"/>
      <c r="C581" s="32"/>
      <c r="D581" s="32"/>
      <c r="E581" s="32"/>
      <c r="F581" s="32"/>
      <c r="G581" s="33"/>
      <c r="H581" s="33"/>
      <c r="I581" s="34" t="str">
        <f aca="false">IF($A581="","",$G581-$H581)</f>
        <v/>
      </c>
      <c r="J581" s="35" t="str">
        <f aca="false">IF($A581="","",IF(Setup!$B$6=1,YEAR($A581),YEAR($A581)+IF(MONTH($A581)&gt;=Setup!$B$6,1,0)))</f>
        <v/>
      </c>
      <c r="K581" s="35" t="str">
        <f aca="false">IF($A581="","",MOD(MONTH($A581)-Setup!$B$6+12,12)+1)</f>
        <v/>
      </c>
      <c r="L581" s="36" t="str">
        <f aca="false">IF($A581="","",TEXT($A581,"MMM-YY"))</f>
        <v/>
      </c>
      <c r="M581" s="37" t="str">
        <f aca="false">IF($A581="","",IF($Q581=0,"UNMAPPED",INDEX(COA_Mapping!$C$7:$C$256,$Q581)))</f>
        <v/>
      </c>
      <c r="N581" s="38" t="str">
        <f aca="false">IF($A581="","",IF($Q581=0,"",INDEX(COA_Mapping!$E$7:$E$256,$Q581)))</f>
        <v/>
      </c>
      <c r="O581" s="38" t="n">
        <f aca="false">IF($A581="",1,IF($Q581=0,1,INDEX(COA_Mapping!$F$7:$F$256,$Q581)))</f>
        <v>1</v>
      </c>
      <c r="P581" s="34" t="str">
        <f aca="false">IF($A581="","",$I581*$O581)</f>
        <v/>
      </c>
      <c r="Q581" s="39" t="n">
        <f aca="false">IF($B581="",0,IFERROR(MATCH($B581,COA_Mapping!$A$7:$A$256,0),0))</f>
        <v>0</v>
      </c>
      <c r="R581" s="39" t="n">
        <f aca="false">IF($A581="",-1,IF($J581=Setup!$B$7,1,IF($J581=Setup!$B$9,0,-1)))</f>
        <v>-1</v>
      </c>
      <c r="S581" s="35" t="n">
        <f aca="false">IF(OR($A581="",$Q581=0,$R581=-1),0,$Q581*1000+$R581*100+$K581)</f>
        <v>0</v>
      </c>
      <c r="T581" s="37" t="str">
        <f aca="false">IF($A581="","",IF($B581="","NO ACCOUNT",IF($Q581=0,"UNMAPPED",IF($R581=-1,"OUTSIDE FY RANGE","OK"))))</f>
        <v/>
      </c>
      <c r="U581" s="40" t="str">
        <f aca="false">IF($A581="","",$B581&amp;"|"&amp;TEXT($A581,"yyyymmdd")&amp;"|"&amp;TEXT($I581,"0.00"))</f>
        <v/>
      </c>
      <c r="V581" s="35" t="str">
        <f aca="false">IF($A581="","",COUNTIF($U$8:$U$5007,$U581))</f>
        <v/>
      </c>
    </row>
    <row r="582" customFormat="false" ht="15" hidden="false" customHeight="false" outlineLevel="0" collapsed="false">
      <c r="A582" s="31"/>
      <c r="B582" s="32"/>
      <c r="C582" s="32"/>
      <c r="D582" s="32"/>
      <c r="E582" s="32"/>
      <c r="F582" s="32"/>
      <c r="G582" s="33"/>
      <c r="H582" s="33"/>
      <c r="I582" s="34" t="str">
        <f aca="false">IF($A582="","",$G582-$H582)</f>
        <v/>
      </c>
      <c r="J582" s="35" t="str">
        <f aca="false">IF($A582="","",IF(Setup!$B$6=1,YEAR($A582),YEAR($A582)+IF(MONTH($A582)&gt;=Setup!$B$6,1,0)))</f>
        <v/>
      </c>
      <c r="K582" s="35" t="str">
        <f aca="false">IF($A582="","",MOD(MONTH($A582)-Setup!$B$6+12,12)+1)</f>
        <v/>
      </c>
      <c r="L582" s="36" t="str">
        <f aca="false">IF($A582="","",TEXT($A582,"MMM-YY"))</f>
        <v/>
      </c>
      <c r="M582" s="37" t="str">
        <f aca="false">IF($A582="","",IF($Q582=0,"UNMAPPED",INDEX(COA_Mapping!$C$7:$C$256,$Q582)))</f>
        <v/>
      </c>
      <c r="N582" s="38" t="str">
        <f aca="false">IF($A582="","",IF($Q582=0,"",INDEX(COA_Mapping!$E$7:$E$256,$Q582)))</f>
        <v/>
      </c>
      <c r="O582" s="38" t="n">
        <f aca="false">IF($A582="",1,IF($Q582=0,1,INDEX(COA_Mapping!$F$7:$F$256,$Q582)))</f>
        <v>1</v>
      </c>
      <c r="P582" s="34" t="str">
        <f aca="false">IF($A582="","",$I582*$O582)</f>
        <v/>
      </c>
      <c r="Q582" s="39" t="n">
        <f aca="false">IF($B582="",0,IFERROR(MATCH($B582,COA_Mapping!$A$7:$A$256,0),0))</f>
        <v>0</v>
      </c>
      <c r="R582" s="39" t="n">
        <f aca="false">IF($A582="",-1,IF($J582=Setup!$B$7,1,IF($J582=Setup!$B$9,0,-1)))</f>
        <v>-1</v>
      </c>
      <c r="S582" s="35" t="n">
        <f aca="false">IF(OR($A582="",$Q582=0,$R582=-1),0,$Q582*1000+$R582*100+$K582)</f>
        <v>0</v>
      </c>
      <c r="T582" s="37" t="str">
        <f aca="false">IF($A582="","",IF($B582="","NO ACCOUNT",IF($Q582=0,"UNMAPPED",IF($R582=-1,"OUTSIDE FY RANGE","OK"))))</f>
        <v/>
      </c>
      <c r="U582" s="40" t="str">
        <f aca="false">IF($A582="","",$B582&amp;"|"&amp;TEXT($A582,"yyyymmdd")&amp;"|"&amp;TEXT($I582,"0.00"))</f>
        <v/>
      </c>
      <c r="V582" s="35" t="str">
        <f aca="false">IF($A582="","",COUNTIF($U$8:$U$5007,$U582))</f>
        <v/>
      </c>
    </row>
    <row r="583" customFormat="false" ht="15" hidden="false" customHeight="false" outlineLevel="0" collapsed="false">
      <c r="A583" s="31"/>
      <c r="B583" s="32"/>
      <c r="C583" s="32"/>
      <c r="D583" s="32"/>
      <c r="E583" s="32"/>
      <c r="F583" s="32"/>
      <c r="G583" s="33"/>
      <c r="H583" s="33"/>
      <c r="I583" s="34" t="str">
        <f aca="false">IF($A583="","",$G583-$H583)</f>
        <v/>
      </c>
      <c r="J583" s="35" t="str">
        <f aca="false">IF($A583="","",IF(Setup!$B$6=1,YEAR($A583),YEAR($A583)+IF(MONTH($A583)&gt;=Setup!$B$6,1,0)))</f>
        <v/>
      </c>
      <c r="K583" s="35" t="str">
        <f aca="false">IF($A583="","",MOD(MONTH($A583)-Setup!$B$6+12,12)+1)</f>
        <v/>
      </c>
      <c r="L583" s="36" t="str">
        <f aca="false">IF($A583="","",TEXT($A583,"MMM-YY"))</f>
        <v/>
      </c>
      <c r="M583" s="37" t="str">
        <f aca="false">IF($A583="","",IF($Q583=0,"UNMAPPED",INDEX(COA_Mapping!$C$7:$C$256,$Q583)))</f>
        <v/>
      </c>
      <c r="N583" s="38" t="str">
        <f aca="false">IF($A583="","",IF($Q583=0,"",INDEX(COA_Mapping!$E$7:$E$256,$Q583)))</f>
        <v/>
      </c>
      <c r="O583" s="38" t="n">
        <f aca="false">IF($A583="",1,IF($Q583=0,1,INDEX(COA_Mapping!$F$7:$F$256,$Q583)))</f>
        <v>1</v>
      </c>
      <c r="P583" s="34" t="str">
        <f aca="false">IF($A583="","",$I583*$O583)</f>
        <v/>
      </c>
      <c r="Q583" s="39" t="n">
        <f aca="false">IF($B583="",0,IFERROR(MATCH($B583,COA_Mapping!$A$7:$A$256,0),0))</f>
        <v>0</v>
      </c>
      <c r="R583" s="39" t="n">
        <f aca="false">IF($A583="",-1,IF($J583=Setup!$B$7,1,IF($J583=Setup!$B$9,0,-1)))</f>
        <v>-1</v>
      </c>
      <c r="S583" s="35" t="n">
        <f aca="false">IF(OR($A583="",$Q583=0,$R583=-1),0,$Q583*1000+$R583*100+$K583)</f>
        <v>0</v>
      </c>
      <c r="T583" s="37" t="str">
        <f aca="false">IF($A583="","",IF($B583="","NO ACCOUNT",IF($Q583=0,"UNMAPPED",IF($R583=-1,"OUTSIDE FY RANGE","OK"))))</f>
        <v/>
      </c>
      <c r="U583" s="40" t="str">
        <f aca="false">IF($A583="","",$B583&amp;"|"&amp;TEXT($A583,"yyyymmdd")&amp;"|"&amp;TEXT($I583,"0.00"))</f>
        <v/>
      </c>
      <c r="V583" s="35" t="str">
        <f aca="false">IF($A583="","",COUNTIF($U$8:$U$5007,$U583))</f>
        <v/>
      </c>
    </row>
    <row r="584" customFormat="false" ht="15" hidden="false" customHeight="false" outlineLevel="0" collapsed="false">
      <c r="A584" s="31"/>
      <c r="B584" s="32"/>
      <c r="C584" s="32"/>
      <c r="D584" s="32"/>
      <c r="E584" s="32"/>
      <c r="F584" s="32"/>
      <c r="G584" s="33"/>
      <c r="H584" s="33"/>
      <c r="I584" s="34" t="str">
        <f aca="false">IF($A584="","",$G584-$H584)</f>
        <v/>
      </c>
      <c r="J584" s="35" t="str">
        <f aca="false">IF($A584="","",IF(Setup!$B$6=1,YEAR($A584),YEAR($A584)+IF(MONTH($A584)&gt;=Setup!$B$6,1,0)))</f>
        <v/>
      </c>
      <c r="K584" s="35" t="str">
        <f aca="false">IF($A584="","",MOD(MONTH($A584)-Setup!$B$6+12,12)+1)</f>
        <v/>
      </c>
      <c r="L584" s="36" t="str">
        <f aca="false">IF($A584="","",TEXT($A584,"MMM-YY"))</f>
        <v/>
      </c>
      <c r="M584" s="37" t="str">
        <f aca="false">IF($A584="","",IF($Q584=0,"UNMAPPED",INDEX(COA_Mapping!$C$7:$C$256,$Q584)))</f>
        <v/>
      </c>
      <c r="N584" s="38" t="str">
        <f aca="false">IF($A584="","",IF($Q584=0,"",INDEX(COA_Mapping!$E$7:$E$256,$Q584)))</f>
        <v/>
      </c>
      <c r="O584" s="38" t="n">
        <f aca="false">IF($A584="",1,IF($Q584=0,1,INDEX(COA_Mapping!$F$7:$F$256,$Q584)))</f>
        <v>1</v>
      </c>
      <c r="P584" s="34" t="str">
        <f aca="false">IF($A584="","",$I584*$O584)</f>
        <v/>
      </c>
      <c r="Q584" s="39" t="n">
        <f aca="false">IF($B584="",0,IFERROR(MATCH($B584,COA_Mapping!$A$7:$A$256,0),0))</f>
        <v>0</v>
      </c>
      <c r="R584" s="39" t="n">
        <f aca="false">IF($A584="",-1,IF($J584=Setup!$B$7,1,IF($J584=Setup!$B$9,0,-1)))</f>
        <v>-1</v>
      </c>
      <c r="S584" s="35" t="n">
        <f aca="false">IF(OR($A584="",$Q584=0,$R584=-1),0,$Q584*1000+$R584*100+$K584)</f>
        <v>0</v>
      </c>
      <c r="T584" s="37" t="str">
        <f aca="false">IF($A584="","",IF($B584="","NO ACCOUNT",IF($Q584=0,"UNMAPPED",IF($R584=-1,"OUTSIDE FY RANGE","OK"))))</f>
        <v/>
      </c>
      <c r="U584" s="40" t="str">
        <f aca="false">IF($A584="","",$B584&amp;"|"&amp;TEXT($A584,"yyyymmdd")&amp;"|"&amp;TEXT($I584,"0.00"))</f>
        <v/>
      </c>
      <c r="V584" s="35" t="str">
        <f aca="false">IF($A584="","",COUNTIF($U$8:$U$5007,$U584))</f>
        <v/>
      </c>
    </row>
    <row r="585" customFormat="false" ht="15" hidden="false" customHeight="false" outlineLevel="0" collapsed="false">
      <c r="A585" s="31"/>
      <c r="B585" s="32"/>
      <c r="C585" s="32"/>
      <c r="D585" s="32"/>
      <c r="E585" s="32"/>
      <c r="F585" s="32"/>
      <c r="G585" s="33"/>
      <c r="H585" s="33"/>
      <c r="I585" s="34" t="str">
        <f aca="false">IF($A585="","",$G585-$H585)</f>
        <v/>
      </c>
      <c r="J585" s="35" t="str">
        <f aca="false">IF($A585="","",IF(Setup!$B$6=1,YEAR($A585),YEAR($A585)+IF(MONTH($A585)&gt;=Setup!$B$6,1,0)))</f>
        <v/>
      </c>
      <c r="K585" s="35" t="str">
        <f aca="false">IF($A585="","",MOD(MONTH($A585)-Setup!$B$6+12,12)+1)</f>
        <v/>
      </c>
      <c r="L585" s="36" t="str">
        <f aca="false">IF($A585="","",TEXT($A585,"MMM-YY"))</f>
        <v/>
      </c>
      <c r="M585" s="37" t="str">
        <f aca="false">IF($A585="","",IF($Q585=0,"UNMAPPED",INDEX(COA_Mapping!$C$7:$C$256,$Q585)))</f>
        <v/>
      </c>
      <c r="N585" s="38" t="str">
        <f aca="false">IF($A585="","",IF($Q585=0,"",INDEX(COA_Mapping!$E$7:$E$256,$Q585)))</f>
        <v/>
      </c>
      <c r="O585" s="38" t="n">
        <f aca="false">IF($A585="",1,IF($Q585=0,1,INDEX(COA_Mapping!$F$7:$F$256,$Q585)))</f>
        <v>1</v>
      </c>
      <c r="P585" s="34" t="str">
        <f aca="false">IF($A585="","",$I585*$O585)</f>
        <v/>
      </c>
      <c r="Q585" s="39" t="n">
        <f aca="false">IF($B585="",0,IFERROR(MATCH($B585,COA_Mapping!$A$7:$A$256,0),0))</f>
        <v>0</v>
      </c>
      <c r="R585" s="39" t="n">
        <f aca="false">IF($A585="",-1,IF($J585=Setup!$B$7,1,IF($J585=Setup!$B$9,0,-1)))</f>
        <v>-1</v>
      </c>
      <c r="S585" s="35" t="n">
        <f aca="false">IF(OR($A585="",$Q585=0,$R585=-1),0,$Q585*1000+$R585*100+$K585)</f>
        <v>0</v>
      </c>
      <c r="T585" s="37" t="str">
        <f aca="false">IF($A585="","",IF($B585="","NO ACCOUNT",IF($Q585=0,"UNMAPPED",IF($R585=-1,"OUTSIDE FY RANGE","OK"))))</f>
        <v/>
      </c>
      <c r="U585" s="40" t="str">
        <f aca="false">IF($A585="","",$B585&amp;"|"&amp;TEXT($A585,"yyyymmdd")&amp;"|"&amp;TEXT($I585,"0.00"))</f>
        <v/>
      </c>
      <c r="V585" s="35" t="str">
        <f aca="false">IF($A585="","",COUNTIF($U$8:$U$5007,$U585))</f>
        <v/>
      </c>
    </row>
    <row r="586" customFormat="false" ht="15" hidden="false" customHeight="false" outlineLevel="0" collapsed="false">
      <c r="A586" s="31"/>
      <c r="B586" s="32"/>
      <c r="C586" s="32"/>
      <c r="D586" s="32"/>
      <c r="E586" s="32"/>
      <c r="F586" s="32"/>
      <c r="G586" s="33"/>
      <c r="H586" s="33"/>
      <c r="I586" s="34" t="str">
        <f aca="false">IF($A586="","",$G586-$H586)</f>
        <v/>
      </c>
      <c r="J586" s="35" t="str">
        <f aca="false">IF($A586="","",IF(Setup!$B$6=1,YEAR($A586),YEAR($A586)+IF(MONTH($A586)&gt;=Setup!$B$6,1,0)))</f>
        <v/>
      </c>
      <c r="K586" s="35" t="str">
        <f aca="false">IF($A586="","",MOD(MONTH($A586)-Setup!$B$6+12,12)+1)</f>
        <v/>
      </c>
      <c r="L586" s="36" t="str">
        <f aca="false">IF($A586="","",TEXT($A586,"MMM-YY"))</f>
        <v/>
      </c>
      <c r="M586" s="37" t="str">
        <f aca="false">IF($A586="","",IF($Q586=0,"UNMAPPED",INDEX(COA_Mapping!$C$7:$C$256,$Q586)))</f>
        <v/>
      </c>
      <c r="N586" s="38" t="str">
        <f aca="false">IF($A586="","",IF($Q586=0,"",INDEX(COA_Mapping!$E$7:$E$256,$Q586)))</f>
        <v/>
      </c>
      <c r="O586" s="38" t="n">
        <f aca="false">IF($A586="",1,IF($Q586=0,1,INDEX(COA_Mapping!$F$7:$F$256,$Q586)))</f>
        <v>1</v>
      </c>
      <c r="P586" s="34" t="str">
        <f aca="false">IF($A586="","",$I586*$O586)</f>
        <v/>
      </c>
      <c r="Q586" s="39" t="n">
        <f aca="false">IF($B586="",0,IFERROR(MATCH($B586,COA_Mapping!$A$7:$A$256,0),0))</f>
        <v>0</v>
      </c>
      <c r="R586" s="39" t="n">
        <f aca="false">IF($A586="",-1,IF($J586=Setup!$B$7,1,IF($J586=Setup!$B$9,0,-1)))</f>
        <v>-1</v>
      </c>
      <c r="S586" s="35" t="n">
        <f aca="false">IF(OR($A586="",$Q586=0,$R586=-1),0,$Q586*1000+$R586*100+$K586)</f>
        <v>0</v>
      </c>
      <c r="T586" s="37" t="str">
        <f aca="false">IF($A586="","",IF($B586="","NO ACCOUNT",IF($Q586=0,"UNMAPPED",IF($R586=-1,"OUTSIDE FY RANGE","OK"))))</f>
        <v/>
      </c>
      <c r="U586" s="40" t="str">
        <f aca="false">IF($A586="","",$B586&amp;"|"&amp;TEXT($A586,"yyyymmdd")&amp;"|"&amp;TEXT($I586,"0.00"))</f>
        <v/>
      </c>
      <c r="V586" s="35" t="str">
        <f aca="false">IF($A586="","",COUNTIF($U$8:$U$5007,$U586))</f>
        <v/>
      </c>
    </row>
    <row r="587" customFormat="false" ht="15" hidden="false" customHeight="false" outlineLevel="0" collapsed="false">
      <c r="A587" s="31"/>
      <c r="B587" s="32"/>
      <c r="C587" s="32"/>
      <c r="D587" s="32"/>
      <c r="E587" s="32"/>
      <c r="F587" s="32"/>
      <c r="G587" s="33"/>
      <c r="H587" s="33"/>
      <c r="I587" s="34" t="str">
        <f aca="false">IF($A587="","",$G587-$H587)</f>
        <v/>
      </c>
      <c r="J587" s="35" t="str">
        <f aca="false">IF($A587="","",IF(Setup!$B$6=1,YEAR($A587),YEAR($A587)+IF(MONTH($A587)&gt;=Setup!$B$6,1,0)))</f>
        <v/>
      </c>
      <c r="K587" s="35" t="str">
        <f aca="false">IF($A587="","",MOD(MONTH($A587)-Setup!$B$6+12,12)+1)</f>
        <v/>
      </c>
      <c r="L587" s="36" t="str">
        <f aca="false">IF($A587="","",TEXT($A587,"MMM-YY"))</f>
        <v/>
      </c>
      <c r="M587" s="37" t="str">
        <f aca="false">IF($A587="","",IF($Q587=0,"UNMAPPED",INDEX(COA_Mapping!$C$7:$C$256,$Q587)))</f>
        <v/>
      </c>
      <c r="N587" s="38" t="str">
        <f aca="false">IF($A587="","",IF($Q587=0,"",INDEX(COA_Mapping!$E$7:$E$256,$Q587)))</f>
        <v/>
      </c>
      <c r="O587" s="38" t="n">
        <f aca="false">IF($A587="",1,IF($Q587=0,1,INDEX(COA_Mapping!$F$7:$F$256,$Q587)))</f>
        <v>1</v>
      </c>
      <c r="P587" s="34" t="str">
        <f aca="false">IF($A587="","",$I587*$O587)</f>
        <v/>
      </c>
      <c r="Q587" s="39" t="n">
        <f aca="false">IF($B587="",0,IFERROR(MATCH($B587,COA_Mapping!$A$7:$A$256,0),0))</f>
        <v>0</v>
      </c>
      <c r="R587" s="39" t="n">
        <f aca="false">IF($A587="",-1,IF($J587=Setup!$B$7,1,IF($J587=Setup!$B$9,0,-1)))</f>
        <v>-1</v>
      </c>
      <c r="S587" s="35" t="n">
        <f aca="false">IF(OR($A587="",$Q587=0,$R587=-1),0,$Q587*1000+$R587*100+$K587)</f>
        <v>0</v>
      </c>
      <c r="T587" s="37" t="str">
        <f aca="false">IF($A587="","",IF($B587="","NO ACCOUNT",IF($Q587=0,"UNMAPPED",IF($R587=-1,"OUTSIDE FY RANGE","OK"))))</f>
        <v/>
      </c>
      <c r="U587" s="40" t="str">
        <f aca="false">IF($A587="","",$B587&amp;"|"&amp;TEXT($A587,"yyyymmdd")&amp;"|"&amp;TEXT($I587,"0.00"))</f>
        <v/>
      </c>
      <c r="V587" s="35" t="str">
        <f aca="false">IF($A587="","",COUNTIF($U$8:$U$5007,$U587))</f>
        <v/>
      </c>
    </row>
    <row r="588" customFormat="false" ht="15" hidden="false" customHeight="false" outlineLevel="0" collapsed="false">
      <c r="A588" s="31"/>
      <c r="B588" s="32"/>
      <c r="C588" s="32"/>
      <c r="D588" s="32"/>
      <c r="E588" s="32"/>
      <c r="F588" s="32"/>
      <c r="G588" s="33"/>
      <c r="H588" s="33"/>
      <c r="I588" s="34" t="str">
        <f aca="false">IF($A588="","",$G588-$H588)</f>
        <v/>
      </c>
      <c r="J588" s="35" t="str">
        <f aca="false">IF($A588="","",IF(Setup!$B$6=1,YEAR($A588),YEAR($A588)+IF(MONTH($A588)&gt;=Setup!$B$6,1,0)))</f>
        <v/>
      </c>
      <c r="K588" s="35" t="str">
        <f aca="false">IF($A588="","",MOD(MONTH($A588)-Setup!$B$6+12,12)+1)</f>
        <v/>
      </c>
      <c r="L588" s="36" t="str">
        <f aca="false">IF($A588="","",TEXT($A588,"MMM-YY"))</f>
        <v/>
      </c>
      <c r="M588" s="37" t="str">
        <f aca="false">IF($A588="","",IF($Q588=0,"UNMAPPED",INDEX(COA_Mapping!$C$7:$C$256,$Q588)))</f>
        <v/>
      </c>
      <c r="N588" s="38" t="str">
        <f aca="false">IF($A588="","",IF($Q588=0,"",INDEX(COA_Mapping!$E$7:$E$256,$Q588)))</f>
        <v/>
      </c>
      <c r="O588" s="38" t="n">
        <f aca="false">IF($A588="",1,IF($Q588=0,1,INDEX(COA_Mapping!$F$7:$F$256,$Q588)))</f>
        <v>1</v>
      </c>
      <c r="P588" s="34" t="str">
        <f aca="false">IF($A588="","",$I588*$O588)</f>
        <v/>
      </c>
      <c r="Q588" s="39" t="n">
        <f aca="false">IF($B588="",0,IFERROR(MATCH($B588,COA_Mapping!$A$7:$A$256,0),0))</f>
        <v>0</v>
      </c>
      <c r="R588" s="39" t="n">
        <f aca="false">IF($A588="",-1,IF($J588=Setup!$B$7,1,IF($J588=Setup!$B$9,0,-1)))</f>
        <v>-1</v>
      </c>
      <c r="S588" s="35" t="n">
        <f aca="false">IF(OR($A588="",$Q588=0,$R588=-1),0,$Q588*1000+$R588*100+$K588)</f>
        <v>0</v>
      </c>
      <c r="T588" s="37" t="str">
        <f aca="false">IF($A588="","",IF($B588="","NO ACCOUNT",IF($Q588=0,"UNMAPPED",IF($R588=-1,"OUTSIDE FY RANGE","OK"))))</f>
        <v/>
      </c>
      <c r="U588" s="40" t="str">
        <f aca="false">IF($A588="","",$B588&amp;"|"&amp;TEXT($A588,"yyyymmdd")&amp;"|"&amp;TEXT($I588,"0.00"))</f>
        <v/>
      </c>
      <c r="V588" s="35" t="str">
        <f aca="false">IF($A588="","",COUNTIF($U$8:$U$5007,$U588))</f>
        <v/>
      </c>
    </row>
    <row r="589" customFormat="false" ht="15" hidden="false" customHeight="false" outlineLevel="0" collapsed="false">
      <c r="A589" s="31"/>
      <c r="B589" s="32"/>
      <c r="C589" s="32"/>
      <c r="D589" s="32"/>
      <c r="E589" s="32"/>
      <c r="F589" s="32"/>
      <c r="G589" s="33"/>
      <c r="H589" s="33"/>
      <c r="I589" s="34" t="str">
        <f aca="false">IF($A589="","",$G589-$H589)</f>
        <v/>
      </c>
      <c r="J589" s="35" t="str">
        <f aca="false">IF($A589="","",IF(Setup!$B$6=1,YEAR($A589),YEAR($A589)+IF(MONTH($A589)&gt;=Setup!$B$6,1,0)))</f>
        <v/>
      </c>
      <c r="K589" s="35" t="str">
        <f aca="false">IF($A589="","",MOD(MONTH($A589)-Setup!$B$6+12,12)+1)</f>
        <v/>
      </c>
      <c r="L589" s="36" t="str">
        <f aca="false">IF($A589="","",TEXT($A589,"MMM-YY"))</f>
        <v/>
      </c>
      <c r="M589" s="37" t="str">
        <f aca="false">IF($A589="","",IF($Q589=0,"UNMAPPED",INDEX(COA_Mapping!$C$7:$C$256,$Q589)))</f>
        <v/>
      </c>
      <c r="N589" s="38" t="str">
        <f aca="false">IF($A589="","",IF($Q589=0,"",INDEX(COA_Mapping!$E$7:$E$256,$Q589)))</f>
        <v/>
      </c>
      <c r="O589" s="38" t="n">
        <f aca="false">IF($A589="",1,IF($Q589=0,1,INDEX(COA_Mapping!$F$7:$F$256,$Q589)))</f>
        <v>1</v>
      </c>
      <c r="P589" s="34" t="str">
        <f aca="false">IF($A589="","",$I589*$O589)</f>
        <v/>
      </c>
      <c r="Q589" s="39" t="n">
        <f aca="false">IF($B589="",0,IFERROR(MATCH($B589,COA_Mapping!$A$7:$A$256,0),0))</f>
        <v>0</v>
      </c>
      <c r="R589" s="39" t="n">
        <f aca="false">IF($A589="",-1,IF($J589=Setup!$B$7,1,IF($J589=Setup!$B$9,0,-1)))</f>
        <v>-1</v>
      </c>
      <c r="S589" s="35" t="n">
        <f aca="false">IF(OR($A589="",$Q589=0,$R589=-1),0,$Q589*1000+$R589*100+$K589)</f>
        <v>0</v>
      </c>
      <c r="T589" s="37" t="str">
        <f aca="false">IF($A589="","",IF($B589="","NO ACCOUNT",IF($Q589=0,"UNMAPPED",IF($R589=-1,"OUTSIDE FY RANGE","OK"))))</f>
        <v/>
      </c>
      <c r="U589" s="40" t="str">
        <f aca="false">IF($A589="","",$B589&amp;"|"&amp;TEXT($A589,"yyyymmdd")&amp;"|"&amp;TEXT($I589,"0.00"))</f>
        <v/>
      </c>
      <c r="V589" s="35" t="str">
        <f aca="false">IF($A589="","",COUNTIF($U$8:$U$5007,$U589))</f>
        <v/>
      </c>
    </row>
    <row r="590" customFormat="false" ht="15" hidden="false" customHeight="false" outlineLevel="0" collapsed="false">
      <c r="A590" s="31"/>
      <c r="B590" s="32"/>
      <c r="C590" s="32"/>
      <c r="D590" s="32"/>
      <c r="E590" s="32"/>
      <c r="F590" s="32"/>
      <c r="G590" s="33"/>
      <c r="H590" s="33"/>
      <c r="I590" s="34" t="str">
        <f aca="false">IF($A590="","",$G590-$H590)</f>
        <v/>
      </c>
      <c r="J590" s="35" t="str">
        <f aca="false">IF($A590="","",IF(Setup!$B$6=1,YEAR($A590),YEAR($A590)+IF(MONTH($A590)&gt;=Setup!$B$6,1,0)))</f>
        <v/>
      </c>
      <c r="K590" s="35" t="str">
        <f aca="false">IF($A590="","",MOD(MONTH($A590)-Setup!$B$6+12,12)+1)</f>
        <v/>
      </c>
      <c r="L590" s="36" t="str">
        <f aca="false">IF($A590="","",TEXT($A590,"MMM-YY"))</f>
        <v/>
      </c>
      <c r="M590" s="37" t="str">
        <f aca="false">IF($A590="","",IF($Q590=0,"UNMAPPED",INDEX(COA_Mapping!$C$7:$C$256,$Q590)))</f>
        <v/>
      </c>
      <c r="N590" s="38" t="str">
        <f aca="false">IF($A590="","",IF($Q590=0,"",INDEX(COA_Mapping!$E$7:$E$256,$Q590)))</f>
        <v/>
      </c>
      <c r="O590" s="38" t="n">
        <f aca="false">IF($A590="",1,IF($Q590=0,1,INDEX(COA_Mapping!$F$7:$F$256,$Q590)))</f>
        <v>1</v>
      </c>
      <c r="P590" s="34" t="str">
        <f aca="false">IF($A590="","",$I590*$O590)</f>
        <v/>
      </c>
      <c r="Q590" s="39" t="n">
        <f aca="false">IF($B590="",0,IFERROR(MATCH($B590,COA_Mapping!$A$7:$A$256,0),0))</f>
        <v>0</v>
      </c>
      <c r="R590" s="39" t="n">
        <f aca="false">IF($A590="",-1,IF($J590=Setup!$B$7,1,IF($J590=Setup!$B$9,0,-1)))</f>
        <v>-1</v>
      </c>
      <c r="S590" s="35" t="n">
        <f aca="false">IF(OR($A590="",$Q590=0,$R590=-1),0,$Q590*1000+$R590*100+$K590)</f>
        <v>0</v>
      </c>
      <c r="T590" s="37" t="str">
        <f aca="false">IF($A590="","",IF($B590="","NO ACCOUNT",IF($Q590=0,"UNMAPPED",IF($R590=-1,"OUTSIDE FY RANGE","OK"))))</f>
        <v/>
      </c>
      <c r="U590" s="40" t="str">
        <f aca="false">IF($A590="","",$B590&amp;"|"&amp;TEXT($A590,"yyyymmdd")&amp;"|"&amp;TEXT($I590,"0.00"))</f>
        <v/>
      </c>
      <c r="V590" s="35" t="str">
        <f aca="false">IF($A590="","",COUNTIF($U$8:$U$5007,$U590))</f>
        <v/>
      </c>
    </row>
    <row r="591" customFormat="false" ht="15" hidden="false" customHeight="false" outlineLevel="0" collapsed="false">
      <c r="A591" s="31"/>
      <c r="B591" s="32"/>
      <c r="C591" s="32"/>
      <c r="D591" s="32"/>
      <c r="E591" s="32"/>
      <c r="F591" s="32"/>
      <c r="G591" s="33"/>
      <c r="H591" s="33"/>
      <c r="I591" s="34" t="str">
        <f aca="false">IF($A591="","",$G591-$H591)</f>
        <v/>
      </c>
      <c r="J591" s="35" t="str">
        <f aca="false">IF($A591="","",IF(Setup!$B$6=1,YEAR($A591),YEAR($A591)+IF(MONTH($A591)&gt;=Setup!$B$6,1,0)))</f>
        <v/>
      </c>
      <c r="K591" s="35" t="str">
        <f aca="false">IF($A591="","",MOD(MONTH($A591)-Setup!$B$6+12,12)+1)</f>
        <v/>
      </c>
      <c r="L591" s="36" t="str">
        <f aca="false">IF($A591="","",TEXT($A591,"MMM-YY"))</f>
        <v/>
      </c>
      <c r="M591" s="37" t="str">
        <f aca="false">IF($A591="","",IF($Q591=0,"UNMAPPED",INDEX(COA_Mapping!$C$7:$C$256,$Q591)))</f>
        <v/>
      </c>
      <c r="N591" s="38" t="str">
        <f aca="false">IF($A591="","",IF($Q591=0,"",INDEX(COA_Mapping!$E$7:$E$256,$Q591)))</f>
        <v/>
      </c>
      <c r="O591" s="38" t="n">
        <f aca="false">IF($A591="",1,IF($Q591=0,1,INDEX(COA_Mapping!$F$7:$F$256,$Q591)))</f>
        <v>1</v>
      </c>
      <c r="P591" s="34" t="str">
        <f aca="false">IF($A591="","",$I591*$O591)</f>
        <v/>
      </c>
      <c r="Q591" s="39" t="n">
        <f aca="false">IF($B591="",0,IFERROR(MATCH($B591,COA_Mapping!$A$7:$A$256,0),0))</f>
        <v>0</v>
      </c>
      <c r="R591" s="39" t="n">
        <f aca="false">IF($A591="",-1,IF($J591=Setup!$B$7,1,IF($J591=Setup!$B$9,0,-1)))</f>
        <v>-1</v>
      </c>
      <c r="S591" s="35" t="n">
        <f aca="false">IF(OR($A591="",$Q591=0,$R591=-1),0,$Q591*1000+$R591*100+$K591)</f>
        <v>0</v>
      </c>
      <c r="T591" s="37" t="str">
        <f aca="false">IF($A591="","",IF($B591="","NO ACCOUNT",IF($Q591=0,"UNMAPPED",IF($R591=-1,"OUTSIDE FY RANGE","OK"))))</f>
        <v/>
      </c>
      <c r="U591" s="40" t="str">
        <f aca="false">IF($A591="","",$B591&amp;"|"&amp;TEXT($A591,"yyyymmdd")&amp;"|"&amp;TEXT($I591,"0.00"))</f>
        <v/>
      </c>
      <c r="V591" s="35" t="str">
        <f aca="false">IF($A591="","",COUNTIF($U$8:$U$5007,$U591))</f>
        <v/>
      </c>
    </row>
    <row r="592" customFormat="false" ht="15" hidden="false" customHeight="false" outlineLevel="0" collapsed="false">
      <c r="A592" s="31"/>
      <c r="B592" s="32"/>
      <c r="C592" s="32"/>
      <c r="D592" s="32"/>
      <c r="E592" s="32"/>
      <c r="F592" s="32"/>
      <c r="G592" s="33"/>
      <c r="H592" s="33"/>
      <c r="I592" s="34" t="str">
        <f aca="false">IF($A592="","",$G592-$H592)</f>
        <v/>
      </c>
      <c r="J592" s="35" t="str">
        <f aca="false">IF($A592="","",IF(Setup!$B$6=1,YEAR($A592),YEAR($A592)+IF(MONTH($A592)&gt;=Setup!$B$6,1,0)))</f>
        <v/>
      </c>
      <c r="K592" s="35" t="str">
        <f aca="false">IF($A592="","",MOD(MONTH($A592)-Setup!$B$6+12,12)+1)</f>
        <v/>
      </c>
      <c r="L592" s="36" t="str">
        <f aca="false">IF($A592="","",TEXT($A592,"MMM-YY"))</f>
        <v/>
      </c>
      <c r="M592" s="37" t="str">
        <f aca="false">IF($A592="","",IF($Q592=0,"UNMAPPED",INDEX(COA_Mapping!$C$7:$C$256,$Q592)))</f>
        <v/>
      </c>
      <c r="N592" s="38" t="str">
        <f aca="false">IF($A592="","",IF($Q592=0,"",INDEX(COA_Mapping!$E$7:$E$256,$Q592)))</f>
        <v/>
      </c>
      <c r="O592" s="38" t="n">
        <f aca="false">IF($A592="",1,IF($Q592=0,1,INDEX(COA_Mapping!$F$7:$F$256,$Q592)))</f>
        <v>1</v>
      </c>
      <c r="P592" s="34" t="str">
        <f aca="false">IF($A592="","",$I592*$O592)</f>
        <v/>
      </c>
      <c r="Q592" s="39" t="n">
        <f aca="false">IF($B592="",0,IFERROR(MATCH($B592,COA_Mapping!$A$7:$A$256,0),0))</f>
        <v>0</v>
      </c>
      <c r="R592" s="39" t="n">
        <f aca="false">IF($A592="",-1,IF($J592=Setup!$B$7,1,IF($J592=Setup!$B$9,0,-1)))</f>
        <v>-1</v>
      </c>
      <c r="S592" s="35" t="n">
        <f aca="false">IF(OR($A592="",$Q592=0,$R592=-1),0,$Q592*1000+$R592*100+$K592)</f>
        <v>0</v>
      </c>
      <c r="T592" s="37" t="str">
        <f aca="false">IF($A592="","",IF($B592="","NO ACCOUNT",IF($Q592=0,"UNMAPPED",IF($R592=-1,"OUTSIDE FY RANGE","OK"))))</f>
        <v/>
      </c>
      <c r="U592" s="40" t="str">
        <f aca="false">IF($A592="","",$B592&amp;"|"&amp;TEXT($A592,"yyyymmdd")&amp;"|"&amp;TEXT($I592,"0.00"))</f>
        <v/>
      </c>
      <c r="V592" s="35" t="str">
        <f aca="false">IF($A592="","",COUNTIF($U$8:$U$5007,$U592))</f>
        <v/>
      </c>
    </row>
    <row r="593" customFormat="false" ht="15" hidden="false" customHeight="false" outlineLevel="0" collapsed="false">
      <c r="A593" s="31"/>
      <c r="B593" s="32"/>
      <c r="C593" s="32"/>
      <c r="D593" s="32"/>
      <c r="E593" s="32"/>
      <c r="F593" s="32"/>
      <c r="G593" s="33"/>
      <c r="H593" s="33"/>
      <c r="I593" s="34" t="str">
        <f aca="false">IF($A593="","",$G593-$H593)</f>
        <v/>
      </c>
      <c r="J593" s="35" t="str">
        <f aca="false">IF($A593="","",IF(Setup!$B$6=1,YEAR($A593),YEAR($A593)+IF(MONTH($A593)&gt;=Setup!$B$6,1,0)))</f>
        <v/>
      </c>
      <c r="K593" s="35" t="str">
        <f aca="false">IF($A593="","",MOD(MONTH($A593)-Setup!$B$6+12,12)+1)</f>
        <v/>
      </c>
      <c r="L593" s="36" t="str">
        <f aca="false">IF($A593="","",TEXT($A593,"MMM-YY"))</f>
        <v/>
      </c>
      <c r="M593" s="37" t="str">
        <f aca="false">IF($A593="","",IF($Q593=0,"UNMAPPED",INDEX(COA_Mapping!$C$7:$C$256,$Q593)))</f>
        <v/>
      </c>
      <c r="N593" s="38" t="str">
        <f aca="false">IF($A593="","",IF($Q593=0,"",INDEX(COA_Mapping!$E$7:$E$256,$Q593)))</f>
        <v/>
      </c>
      <c r="O593" s="38" t="n">
        <f aca="false">IF($A593="",1,IF($Q593=0,1,INDEX(COA_Mapping!$F$7:$F$256,$Q593)))</f>
        <v>1</v>
      </c>
      <c r="P593" s="34" t="str">
        <f aca="false">IF($A593="","",$I593*$O593)</f>
        <v/>
      </c>
      <c r="Q593" s="39" t="n">
        <f aca="false">IF($B593="",0,IFERROR(MATCH($B593,COA_Mapping!$A$7:$A$256,0),0))</f>
        <v>0</v>
      </c>
      <c r="R593" s="39" t="n">
        <f aca="false">IF($A593="",-1,IF($J593=Setup!$B$7,1,IF($J593=Setup!$B$9,0,-1)))</f>
        <v>-1</v>
      </c>
      <c r="S593" s="35" t="n">
        <f aca="false">IF(OR($A593="",$Q593=0,$R593=-1),0,$Q593*1000+$R593*100+$K593)</f>
        <v>0</v>
      </c>
      <c r="T593" s="37" t="str">
        <f aca="false">IF($A593="","",IF($B593="","NO ACCOUNT",IF($Q593=0,"UNMAPPED",IF($R593=-1,"OUTSIDE FY RANGE","OK"))))</f>
        <v/>
      </c>
      <c r="U593" s="40" t="str">
        <f aca="false">IF($A593="","",$B593&amp;"|"&amp;TEXT($A593,"yyyymmdd")&amp;"|"&amp;TEXT($I593,"0.00"))</f>
        <v/>
      </c>
      <c r="V593" s="35" t="str">
        <f aca="false">IF($A593="","",COUNTIF($U$8:$U$5007,$U593))</f>
        <v/>
      </c>
    </row>
    <row r="594" customFormat="false" ht="15" hidden="false" customHeight="false" outlineLevel="0" collapsed="false">
      <c r="A594" s="31"/>
      <c r="B594" s="32"/>
      <c r="C594" s="32"/>
      <c r="D594" s="32"/>
      <c r="E594" s="32"/>
      <c r="F594" s="32"/>
      <c r="G594" s="33"/>
      <c r="H594" s="33"/>
      <c r="I594" s="34" t="str">
        <f aca="false">IF($A594="","",$G594-$H594)</f>
        <v/>
      </c>
      <c r="J594" s="35" t="str">
        <f aca="false">IF($A594="","",IF(Setup!$B$6=1,YEAR($A594),YEAR($A594)+IF(MONTH($A594)&gt;=Setup!$B$6,1,0)))</f>
        <v/>
      </c>
      <c r="K594" s="35" t="str">
        <f aca="false">IF($A594="","",MOD(MONTH($A594)-Setup!$B$6+12,12)+1)</f>
        <v/>
      </c>
      <c r="L594" s="36" t="str">
        <f aca="false">IF($A594="","",TEXT($A594,"MMM-YY"))</f>
        <v/>
      </c>
      <c r="M594" s="37" t="str">
        <f aca="false">IF($A594="","",IF($Q594=0,"UNMAPPED",INDEX(COA_Mapping!$C$7:$C$256,$Q594)))</f>
        <v/>
      </c>
      <c r="N594" s="38" t="str">
        <f aca="false">IF($A594="","",IF($Q594=0,"",INDEX(COA_Mapping!$E$7:$E$256,$Q594)))</f>
        <v/>
      </c>
      <c r="O594" s="38" t="n">
        <f aca="false">IF($A594="",1,IF($Q594=0,1,INDEX(COA_Mapping!$F$7:$F$256,$Q594)))</f>
        <v>1</v>
      </c>
      <c r="P594" s="34" t="str">
        <f aca="false">IF($A594="","",$I594*$O594)</f>
        <v/>
      </c>
      <c r="Q594" s="39" t="n">
        <f aca="false">IF($B594="",0,IFERROR(MATCH($B594,COA_Mapping!$A$7:$A$256,0),0))</f>
        <v>0</v>
      </c>
      <c r="R594" s="39" t="n">
        <f aca="false">IF($A594="",-1,IF($J594=Setup!$B$7,1,IF($J594=Setup!$B$9,0,-1)))</f>
        <v>-1</v>
      </c>
      <c r="S594" s="35" t="n">
        <f aca="false">IF(OR($A594="",$Q594=0,$R594=-1),0,$Q594*1000+$R594*100+$K594)</f>
        <v>0</v>
      </c>
      <c r="T594" s="37" t="str">
        <f aca="false">IF($A594="","",IF($B594="","NO ACCOUNT",IF($Q594=0,"UNMAPPED",IF($R594=-1,"OUTSIDE FY RANGE","OK"))))</f>
        <v/>
      </c>
      <c r="U594" s="40" t="str">
        <f aca="false">IF($A594="","",$B594&amp;"|"&amp;TEXT($A594,"yyyymmdd")&amp;"|"&amp;TEXT($I594,"0.00"))</f>
        <v/>
      </c>
      <c r="V594" s="35" t="str">
        <f aca="false">IF($A594="","",COUNTIF($U$8:$U$5007,$U594))</f>
        <v/>
      </c>
    </row>
    <row r="595" customFormat="false" ht="15" hidden="false" customHeight="false" outlineLevel="0" collapsed="false">
      <c r="A595" s="31"/>
      <c r="B595" s="32"/>
      <c r="C595" s="32"/>
      <c r="D595" s="32"/>
      <c r="E595" s="32"/>
      <c r="F595" s="32"/>
      <c r="G595" s="33"/>
      <c r="H595" s="33"/>
      <c r="I595" s="34" t="str">
        <f aca="false">IF($A595="","",$G595-$H595)</f>
        <v/>
      </c>
      <c r="J595" s="35" t="str">
        <f aca="false">IF($A595="","",IF(Setup!$B$6=1,YEAR($A595),YEAR($A595)+IF(MONTH($A595)&gt;=Setup!$B$6,1,0)))</f>
        <v/>
      </c>
      <c r="K595" s="35" t="str">
        <f aca="false">IF($A595="","",MOD(MONTH($A595)-Setup!$B$6+12,12)+1)</f>
        <v/>
      </c>
      <c r="L595" s="36" t="str">
        <f aca="false">IF($A595="","",TEXT($A595,"MMM-YY"))</f>
        <v/>
      </c>
      <c r="M595" s="37" t="str">
        <f aca="false">IF($A595="","",IF($Q595=0,"UNMAPPED",INDEX(COA_Mapping!$C$7:$C$256,$Q595)))</f>
        <v/>
      </c>
      <c r="N595" s="38" t="str">
        <f aca="false">IF($A595="","",IF($Q595=0,"",INDEX(COA_Mapping!$E$7:$E$256,$Q595)))</f>
        <v/>
      </c>
      <c r="O595" s="38" t="n">
        <f aca="false">IF($A595="",1,IF($Q595=0,1,INDEX(COA_Mapping!$F$7:$F$256,$Q595)))</f>
        <v>1</v>
      </c>
      <c r="P595" s="34" t="str">
        <f aca="false">IF($A595="","",$I595*$O595)</f>
        <v/>
      </c>
      <c r="Q595" s="39" t="n">
        <f aca="false">IF($B595="",0,IFERROR(MATCH($B595,COA_Mapping!$A$7:$A$256,0),0))</f>
        <v>0</v>
      </c>
      <c r="R595" s="39" t="n">
        <f aca="false">IF($A595="",-1,IF($J595=Setup!$B$7,1,IF($J595=Setup!$B$9,0,-1)))</f>
        <v>-1</v>
      </c>
      <c r="S595" s="35" t="n">
        <f aca="false">IF(OR($A595="",$Q595=0,$R595=-1),0,$Q595*1000+$R595*100+$K595)</f>
        <v>0</v>
      </c>
      <c r="T595" s="37" t="str">
        <f aca="false">IF($A595="","",IF($B595="","NO ACCOUNT",IF($Q595=0,"UNMAPPED",IF($R595=-1,"OUTSIDE FY RANGE","OK"))))</f>
        <v/>
      </c>
      <c r="U595" s="40" t="str">
        <f aca="false">IF($A595="","",$B595&amp;"|"&amp;TEXT($A595,"yyyymmdd")&amp;"|"&amp;TEXT($I595,"0.00"))</f>
        <v/>
      </c>
      <c r="V595" s="35" t="str">
        <f aca="false">IF($A595="","",COUNTIF($U$8:$U$5007,$U595))</f>
        <v/>
      </c>
    </row>
    <row r="596" customFormat="false" ht="15" hidden="false" customHeight="false" outlineLevel="0" collapsed="false">
      <c r="A596" s="31"/>
      <c r="B596" s="32"/>
      <c r="C596" s="32"/>
      <c r="D596" s="32"/>
      <c r="E596" s="32"/>
      <c r="F596" s="32"/>
      <c r="G596" s="33"/>
      <c r="H596" s="33"/>
      <c r="I596" s="34" t="str">
        <f aca="false">IF($A596="","",$G596-$H596)</f>
        <v/>
      </c>
      <c r="J596" s="35" t="str">
        <f aca="false">IF($A596="","",IF(Setup!$B$6=1,YEAR($A596),YEAR($A596)+IF(MONTH($A596)&gt;=Setup!$B$6,1,0)))</f>
        <v/>
      </c>
      <c r="K596" s="35" t="str">
        <f aca="false">IF($A596="","",MOD(MONTH($A596)-Setup!$B$6+12,12)+1)</f>
        <v/>
      </c>
      <c r="L596" s="36" t="str">
        <f aca="false">IF($A596="","",TEXT($A596,"MMM-YY"))</f>
        <v/>
      </c>
      <c r="M596" s="37" t="str">
        <f aca="false">IF($A596="","",IF($Q596=0,"UNMAPPED",INDEX(COA_Mapping!$C$7:$C$256,$Q596)))</f>
        <v/>
      </c>
      <c r="N596" s="38" t="str">
        <f aca="false">IF($A596="","",IF($Q596=0,"",INDEX(COA_Mapping!$E$7:$E$256,$Q596)))</f>
        <v/>
      </c>
      <c r="O596" s="38" t="n">
        <f aca="false">IF($A596="",1,IF($Q596=0,1,INDEX(COA_Mapping!$F$7:$F$256,$Q596)))</f>
        <v>1</v>
      </c>
      <c r="P596" s="34" t="str">
        <f aca="false">IF($A596="","",$I596*$O596)</f>
        <v/>
      </c>
      <c r="Q596" s="39" t="n">
        <f aca="false">IF($B596="",0,IFERROR(MATCH($B596,COA_Mapping!$A$7:$A$256,0),0))</f>
        <v>0</v>
      </c>
      <c r="R596" s="39" t="n">
        <f aca="false">IF($A596="",-1,IF($J596=Setup!$B$7,1,IF($J596=Setup!$B$9,0,-1)))</f>
        <v>-1</v>
      </c>
      <c r="S596" s="35" t="n">
        <f aca="false">IF(OR($A596="",$Q596=0,$R596=-1),0,$Q596*1000+$R596*100+$K596)</f>
        <v>0</v>
      </c>
      <c r="T596" s="37" t="str">
        <f aca="false">IF($A596="","",IF($B596="","NO ACCOUNT",IF($Q596=0,"UNMAPPED",IF($R596=-1,"OUTSIDE FY RANGE","OK"))))</f>
        <v/>
      </c>
      <c r="U596" s="40" t="str">
        <f aca="false">IF($A596="","",$B596&amp;"|"&amp;TEXT($A596,"yyyymmdd")&amp;"|"&amp;TEXT($I596,"0.00"))</f>
        <v/>
      </c>
      <c r="V596" s="35" t="str">
        <f aca="false">IF($A596="","",COUNTIF($U$8:$U$5007,$U596))</f>
        <v/>
      </c>
    </row>
    <row r="597" customFormat="false" ht="15" hidden="false" customHeight="false" outlineLevel="0" collapsed="false">
      <c r="A597" s="31"/>
      <c r="B597" s="32"/>
      <c r="C597" s="32"/>
      <c r="D597" s="32"/>
      <c r="E597" s="32"/>
      <c r="F597" s="32"/>
      <c r="G597" s="33"/>
      <c r="H597" s="33"/>
      <c r="I597" s="34" t="str">
        <f aca="false">IF($A597="","",$G597-$H597)</f>
        <v/>
      </c>
      <c r="J597" s="35" t="str">
        <f aca="false">IF($A597="","",IF(Setup!$B$6=1,YEAR($A597),YEAR($A597)+IF(MONTH($A597)&gt;=Setup!$B$6,1,0)))</f>
        <v/>
      </c>
      <c r="K597" s="35" t="str">
        <f aca="false">IF($A597="","",MOD(MONTH($A597)-Setup!$B$6+12,12)+1)</f>
        <v/>
      </c>
      <c r="L597" s="36" t="str">
        <f aca="false">IF($A597="","",TEXT($A597,"MMM-YY"))</f>
        <v/>
      </c>
      <c r="M597" s="37" t="str">
        <f aca="false">IF($A597="","",IF($Q597=0,"UNMAPPED",INDEX(COA_Mapping!$C$7:$C$256,$Q597)))</f>
        <v/>
      </c>
      <c r="N597" s="38" t="str">
        <f aca="false">IF($A597="","",IF($Q597=0,"",INDEX(COA_Mapping!$E$7:$E$256,$Q597)))</f>
        <v/>
      </c>
      <c r="O597" s="38" t="n">
        <f aca="false">IF($A597="",1,IF($Q597=0,1,INDEX(COA_Mapping!$F$7:$F$256,$Q597)))</f>
        <v>1</v>
      </c>
      <c r="P597" s="34" t="str">
        <f aca="false">IF($A597="","",$I597*$O597)</f>
        <v/>
      </c>
      <c r="Q597" s="39" t="n">
        <f aca="false">IF($B597="",0,IFERROR(MATCH($B597,COA_Mapping!$A$7:$A$256,0),0))</f>
        <v>0</v>
      </c>
      <c r="R597" s="39" t="n">
        <f aca="false">IF($A597="",-1,IF($J597=Setup!$B$7,1,IF($J597=Setup!$B$9,0,-1)))</f>
        <v>-1</v>
      </c>
      <c r="S597" s="35" t="n">
        <f aca="false">IF(OR($A597="",$Q597=0,$R597=-1),0,$Q597*1000+$R597*100+$K597)</f>
        <v>0</v>
      </c>
      <c r="T597" s="37" t="str">
        <f aca="false">IF($A597="","",IF($B597="","NO ACCOUNT",IF($Q597=0,"UNMAPPED",IF($R597=-1,"OUTSIDE FY RANGE","OK"))))</f>
        <v/>
      </c>
      <c r="U597" s="40" t="str">
        <f aca="false">IF($A597="","",$B597&amp;"|"&amp;TEXT($A597,"yyyymmdd")&amp;"|"&amp;TEXT($I597,"0.00"))</f>
        <v/>
      </c>
      <c r="V597" s="35" t="str">
        <f aca="false">IF($A597="","",COUNTIF($U$8:$U$5007,$U597))</f>
        <v/>
      </c>
    </row>
    <row r="598" customFormat="false" ht="15" hidden="false" customHeight="false" outlineLevel="0" collapsed="false">
      <c r="A598" s="31"/>
      <c r="B598" s="32"/>
      <c r="C598" s="32"/>
      <c r="D598" s="32"/>
      <c r="E598" s="32"/>
      <c r="F598" s="32"/>
      <c r="G598" s="33"/>
      <c r="H598" s="33"/>
      <c r="I598" s="34" t="str">
        <f aca="false">IF($A598="","",$G598-$H598)</f>
        <v/>
      </c>
      <c r="J598" s="35" t="str">
        <f aca="false">IF($A598="","",IF(Setup!$B$6=1,YEAR($A598),YEAR($A598)+IF(MONTH($A598)&gt;=Setup!$B$6,1,0)))</f>
        <v/>
      </c>
      <c r="K598" s="35" t="str">
        <f aca="false">IF($A598="","",MOD(MONTH($A598)-Setup!$B$6+12,12)+1)</f>
        <v/>
      </c>
      <c r="L598" s="36" t="str">
        <f aca="false">IF($A598="","",TEXT($A598,"MMM-YY"))</f>
        <v/>
      </c>
      <c r="M598" s="37" t="str">
        <f aca="false">IF($A598="","",IF($Q598=0,"UNMAPPED",INDEX(COA_Mapping!$C$7:$C$256,$Q598)))</f>
        <v/>
      </c>
      <c r="N598" s="38" t="str">
        <f aca="false">IF($A598="","",IF($Q598=0,"",INDEX(COA_Mapping!$E$7:$E$256,$Q598)))</f>
        <v/>
      </c>
      <c r="O598" s="38" t="n">
        <f aca="false">IF($A598="",1,IF($Q598=0,1,INDEX(COA_Mapping!$F$7:$F$256,$Q598)))</f>
        <v>1</v>
      </c>
      <c r="P598" s="34" t="str">
        <f aca="false">IF($A598="","",$I598*$O598)</f>
        <v/>
      </c>
      <c r="Q598" s="39" t="n">
        <f aca="false">IF($B598="",0,IFERROR(MATCH($B598,COA_Mapping!$A$7:$A$256,0),0))</f>
        <v>0</v>
      </c>
      <c r="R598" s="39" t="n">
        <f aca="false">IF($A598="",-1,IF($J598=Setup!$B$7,1,IF($J598=Setup!$B$9,0,-1)))</f>
        <v>-1</v>
      </c>
      <c r="S598" s="35" t="n">
        <f aca="false">IF(OR($A598="",$Q598=0,$R598=-1),0,$Q598*1000+$R598*100+$K598)</f>
        <v>0</v>
      </c>
      <c r="T598" s="37" t="str">
        <f aca="false">IF($A598="","",IF($B598="","NO ACCOUNT",IF($Q598=0,"UNMAPPED",IF($R598=-1,"OUTSIDE FY RANGE","OK"))))</f>
        <v/>
      </c>
      <c r="U598" s="40" t="str">
        <f aca="false">IF($A598="","",$B598&amp;"|"&amp;TEXT($A598,"yyyymmdd")&amp;"|"&amp;TEXT($I598,"0.00"))</f>
        <v/>
      </c>
      <c r="V598" s="35" t="str">
        <f aca="false">IF($A598="","",COUNTIF($U$8:$U$5007,$U598))</f>
        <v/>
      </c>
    </row>
    <row r="599" customFormat="false" ht="15" hidden="false" customHeight="false" outlineLevel="0" collapsed="false">
      <c r="A599" s="31"/>
      <c r="B599" s="32"/>
      <c r="C599" s="32"/>
      <c r="D599" s="32"/>
      <c r="E599" s="32"/>
      <c r="F599" s="32"/>
      <c r="G599" s="33"/>
      <c r="H599" s="33"/>
      <c r="I599" s="34" t="str">
        <f aca="false">IF($A599="","",$G599-$H599)</f>
        <v/>
      </c>
      <c r="J599" s="35" t="str">
        <f aca="false">IF($A599="","",IF(Setup!$B$6=1,YEAR($A599),YEAR($A599)+IF(MONTH($A599)&gt;=Setup!$B$6,1,0)))</f>
        <v/>
      </c>
      <c r="K599" s="35" t="str">
        <f aca="false">IF($A599="","",MOD(MONTH($A599)-Setup!$B$6+12,12)+1)</f>
        <v/>
      </c>
      <c r="L599" s="36" t="str">
        <f aca="false">IF($A599="","",TEXT($A599,"MMM-YY"))</f>
        <v/>
      </c>
      <c r="M599" s="37" t="str">
        <f aca="false">IF($A599="","",IF($Q599=0,"UNMAPPED",INDEX(COA_Mapping!$C$7:$C$256,$Q599)))</f>
        <v/>
      </c>
      <c r="N599" s="38" t="str">
        <f aca="false">IF($A599="","",IF($Q599=0,"",INDEX(COA_Mapping!$E$7:$E$256,$Q599)))</f>
        <v/>
      </c>
      <c r="O599" s="38" t="n">
        <f aca="false">IF($A599="",1,IF($Q599=0,1,INDEX(COA_Mapping!$F$7:$F$256,$Q599)))</f>
        <v>1</v>
      </c>
      <c r="P599" s="34" t="str">
        <f aca="false">IF($A599="","",$I599*$O599)</f>
        <v/>
      </c>
      <c r="Q599" s="39" t="n">
        <f aca="false">IF($B599="",0,IFERROR(MATCH($B599,COA_Mapping!$A$7:$A$256,0),0))</f>
        <v>0</v>
      </c>
      <c r="R599" s="39" t="n">
        <f aca="false">IF($A599="",-1,IF($J599=Setup!$B$7,1,IF($J599=Setup!$B$9,0,-1)))</f>
        <v>-1</v>
      </c>
      <c r="S599" s="35" t="n">
        <f aca="false">IF(OR($A599="",$Q599=0,$R599=-1),0,$Q599*1000+$R599*100+$K599)</f>
        <v>0</v>
      </c>
      <c r="T599" s="37" t="str">
        <f aca="false">IF($A599="","",IF($B599="","NO ACCOUNT",IF($Q599=0,"UNMAPPED",IF($R599=-1,"OUTSIDE FY RANGE","OK"))))</f>
        <v/>
      </c>
      <c r="U599" s="40" t="str">
        <f aca="false">IF($A599="","",$B599&amp;"|"&amp;TEXT($A599,"yyyymmdd")&amp;"|"&amp;TEXT($I599,"0.00"))</f>
        <v/>
      </c>
      <c r="V599" s="35" t="str">
        <f aca="false">IF($A599="","",COUNTIF($U$8:$U$5007,$U599))</f>
        <v/>
      </c>
    </row>
    <row r="600" customFormat="false" ht="15" hidden="false" customHeight="false" outlineLevel="0" collapsed="false">
      <c r="A600" s="31"/>
      <c r="B600" s="32"/>
      <c r="C600" s="32"/>
      <c r="D600" s="32"/>
      <c r="E600" s="32"/>
      <c r="F600" s="32"/>
      <c r="G600" s="33"/>
      <c r="H600" s="33"/>
      <c r="I600" s="34" t="str">
        <f aca="false">IF($A600="","",$G600-$H600)</f>
        <v/>
      </c>
      <c r="J600" s="35" t="str">
        <f aca="false">IF($A600="","",IF(Setup!$B$6=1,YEAR($A600),YEAR($A600)+IF(MONTH($A600)&gt;=Setup!$B$6,1,0)))</f>
        <v/>
      </c>
      <c r="K600" s="35" t="str">
        <f aca="false">IF($A600="","",MOD(MONTH($A600)-Setup!$B$6+12,12)+1)</f>
        <v/>
      </c>
      <c r="L600" s="36" t="str">
        <f aca="false">IF($A600="","",TEXT($A600,"MMM-YY"))</f>
        <v/>
      </c>
      <c r="M600" s="37" t="str">
        <f aca="false">IF($A600="","",IF($Q600=0,"UNMAPPED",INDEX(COA_Mapping!$C$7:$C$256,$Q600)))</f>
        <v/>
      </c>
      <c r="N600" s="38" t="str">
        <f aca="false">IF($A600="","",IF($Q600=0,"",INDEX(COA_Mapping!$E$7:$E$256,$Q600)))</f>
        <v/>
      </c>
      <c r="O600" s="38" t="n">
        <f aca="false">IF($A600="",1,IF($Q600=0,1,INDEX(COA_Mapping!$F$7:$F$256,$Q600)))</f>
        <v>1</v>
      </c>
      <c r="P600" s="34" t="str">
        <f aca="false">IF($A600="","",$I600*$O600)</f>
        <v/>
      </c>
      <c r="Q600" s="39" t="n">
        <f aca="false">IF($B600="",0,IFERROR(MATCH($B600,COA_Mapping!$A$7:$A$256,0),0))</f>
        <v>0</v>
      </c>
      <c r="R600" s="39" t="n">
        <f aca="false">IF($A600="",-1,IF($J600=Setup!$B$7,1,IF($J600=Setup!$B$9,0,-1)))</f>
        <v>-1</v>
      </c>
      <c r="S600" s="35" t="n">
        <f aca="false">IF(OR($A600="",$Q600=0,$R600=-1),0,$Q600*1000+$R600*100+$K600)</f>
        <v>0</v>
      </c>
      <c r="T600" s="37" t="str">
        <f aca="false">IF($A600="","",IF($B600="","NO ACCOUNT",IF($Q600=0,"UNMAPPED",IF($R600=-1,"OUTSIDE FY RANGE","OK"))))</f>
        <v/>
      </c>
      <c r="U600" s="40" t="str">
        <f aca="false">IF($A600="","",$B600&amp;"|"&amp;TEXT($A600,"yyyymmdd")&amp;"|"&amp;TEXT($I600,"0.00"))</f>
        <v/>
      </c>
      <c r="V600" s="35" t="str">
        <f aca="false">IF($A600="","",COUNTIF($U$8:$U$5007,$U600))</f>
        <v/>
      </c>
    </row>
    <row r="601" customFormat="false" ht="15" hidden="false" customHeight="false" outlineLevel="0" collapsed="false">
      <c r="A601" s="31"/>
      <c r="B601" s="32"/>
      <c r="C601" s="32"/>
      <c r="D601" s="32"/>
      <c r="E601" s="32"/>
      <c r="F601" s="32"/>
      <c r="G601" s="33"/>
      <c r="H601" s="33"/>
      <c r="I601" s="34" t="str">
        <f aca="false">IF($A601="","",$G601-$H601)</f>
        <v/>
      </c>
      <c r="J601" s="35" t="str">
        <f aca="false">IF($A601="","",IF(Setup!$B$6=1,YEAR($A601),YEAR($A601)+IF(MONTH($A601)&gt;=Setup!$B$6,1,0)))</f>
        <v/>
      </c>
      <c r="K601" s="35" t="str">
        <f aca="false">IF($A601="","",MOD(MONTH($A601)-Setup!$B$6+12,12)+1)</f>
        <v/>
      </c>
      <c r="L601" s="36" t="str">
        <f aca="false">IF($A601="","",TEXT($A601,"MMM-YY"))</f>
        <v/>
      </c>
      <c r="M601" s="37" t="str">
        <f aca="false">IF($A601="","",IF($Q601=0,"UNMAPPED",INDEX(COA_Mapping!$C$7:$C$256,$Q601)))</f>
        <v/>
      </c>
      <c r="N601" s="38" t="str">
        <f aca="false">IF($A601="","",IF($Q601=0,"",INDEX(COA_Mapping!$E$7:$E$256,$Q601)))</f>
        <v/>
      </c>
      <c r="O601" s="38" t="n">
        <f aca="false">IF($A601="",1,IF($Q601=0,1,INDEX(COA_Mapping!$F$7:$F$256,$Q601)))</f>
        <v>1</v>
      </c>
      <c r="P601" s="34" t="str">
        <f aca="false">IF($A601="","",$I601*$O601)</f>
        <v/>
      </c>
      <c r="Q601" s="39" t="n">
        <f aca="false">IF($B601="",0,IFERROR(MATCH($B601,COA_Mapping!$A$7:$A$256,0),0))</f>
        <v>0</v>
      </c>
      <c r="R601" s="39" t="n">
        <f aca="false">IF($A601="",-1,IF($J601=Setup!$B$7,1,IF($J601=Setup!$B$9,0,-1)))</f>
        <v>-1</v>
      </c>
      <c r="S601" s="35" t="n">
        <f aca="false">IF(OR($A601="",$Q601=0,$R601=-1),0,$Q601*1000+$R601*100+$K601)</f>
        <v>0</v>
      </c>
      <c r="T601" s="37" t="str">
        <f aca="false">IF($A601="","",IF($B601="","NO ACCOUNT",IF($Q601=0,"UNMAPPED",IF($R601=-1,"OUTSIDE FY RANGE","OK"))))</f>
        <v/>
      </c>
      <c r="U601" s="40" t="str">
        <f aca="false">IF($A601="","",$B601&amp;"|"&amp;TEXT($A601,"yyyymmdd")&amp;"|"&amp;TEXT($I601,"0.00"))</f>
        <v/>
      </c>
      <c r="V601" s="35" t="str">
        <f aca="false">IF($A601="","",COUNTIF($U$8:$U$5007,$U601))</f>
        <v/>
      </c>
    </row>
    <row r="602" customFormat="false" ht="15" hidden="false" customHeight="false" outlineLevel="0" collapsed="false">
      <c r="A602" s="31"/>
      <c r="B602" s="32"/>
      <c r="C602" s="32"/>
      <c r="D602" s="32"/>
      <c r="E602" s="32"/>
      <c r="F602" s="32"/>
      <c r="G602" s="33"/>
      <c r="H602" s="33"/>
      <c r="I602" s="34" t="str">
        <f aca="false">IF($A602="","",$G602-$H602)</f>
        <v/>
      </c>
      <c r="J602" s="35" t="str">
        <f aca="false">IF($A602="","",IF(Setup!$B$6=1,YEAR($A602),YEAR($A602)+IF(MONTH($A602)&gt;=Setup!$B$6,1,0)))</f>
        <v/>
      </c>
      <c r="K602" s="35" t="str">
        <f aca="false">IF($A602="","",MOD(MONTH($A602)-Setup!$B$6+12,12)+1)</f>
        <v/>
      </c>
      <c r="L602" s="36" t="str">
        <f aca="false">IF($A602="","",TEXT($A602,"MMM-YY"))</f>
        <v/>
      </c>
      <c r="M602" s="37" t="str">
        <f aca="false">IF($A602="","",IF($Q602=0,"UNMAPPED",INDEX(COA_Mapping!$C$7:$C$256,$Q602)))</f>
        <v/>
      </c>
      <c r="N602" s="38" t="str">
        <f aca="false">IF($A602="","",IF($Q602=0,"",INDEX(COA_Mapping!$E$7:$E$256,$Q602)))</f>
        <v/>
      </c>
      <c r="O602" s="38" t="n">
        <f aca="false">IF($A602="",1,IF($Q602=0,1,INDEX(COA_Mapping!$F$7:$F$256,$Q602)))</f>
        <v>1</v>
      </c>
      <c r="P602" s="34" t="str">
        <f aca="false">IF($A602="","",$I602*$O602)</f>
        <v/>
      </c>
      <c r="Q602" s="39" t="n">
        <f aca="false">IF($B602="",0,IFERROR(MATCH($B602,COA_Mapping!$A$7:$A$256,0),0))</f>
        <v>0</v>
      </c>
      <c r="R602" s="39" t="n">
        <f aca="false">IF($A602="",-1,IF($J602=Setup!$B$7,1,IF($J602=Setup!$B$9,0,-1)))</f>
        <v>-1</v>
      </c>
      <c r="S602" s="35" t="n">
        <f aca="false">IF(OR($A602="",$Q602=0,$R602=-1),0,$Q602*1000+$R602*100+$K602)</f>
        <v>0</v>
      </c>
      <c r="T602" s="37" t="str">
        <f aca="false">IF($A602="","",IF($B602="","NO ACCOUNT",IF($Q602=0,"UNMAPPED",IF($R602=-1,"OUTSIDE FY RANGE","OK"))))</f>
        <v/>
      </c>
      <c r="U602" s="40" t="str">
        <f aca="false">IF($A602="","",$B602&amp;"|"&amp;TEXT($A602,"yyyymmdd")&amp;"|"&amp;TEXT($I602,"0.00"))</f>
        <v/>
      </c>
      <c r="V602" s="35" t="str">
        <f aca="false">IF($A602="","",COUNTIF($U$8:$U$5007,$U602))</f>
        <v/>
      </c>
    </row>
    <row r="603" customFormat="false" ht="15" hidden="false" customHeight="false" outlineLevel="0" collapsed="false">
      <c r="A603" s="31"/>
      <c r="B603" s="32"/>
      <c r="C603" s="32"/>
      <c r="D603" s="32"/>
      <c r="E603" s="32"/>
      <c r="F603" s="32"/>
      <c r="G603" s="33"/>
      <c r="H603" s="33"/>
      <c r="I603" s="34" t="str">
        <f aca="false">IF($A603="","",$G603-$H603)</f>
        <v/>
      </c>
      <c r="J603" s="35" t="str">
        <f aca="false">IF($A603="","",IF(Setup!$B$6=1,YEAR($A603),YEAR($A603)+IF(MONTH($A603)&gt;=Setup!$B$6,1,0)))</f>
        <v/>
      </c>
      <c r="K603" s="35" t="str">
        <f aca="false">IF($A603="","",MOD(MONTH($A603)-Setup!$B$6+12,12)+1)</f>
        <v/>
      </c>
      <c r="L603" s="36" t="str">
        <f aca="false">IF($A603="","",TEXT($A603,"MMM-YY"))</f>
        <v/>
      </c>
      <c r="M603" s="37" t="str">
        <f aca="false">IF($A603="","",IF($Q603=0,"UNMAPPED",INDEX(COA_Mapping!$C$7:$C$256,$Q603)))</f>
        <v/>
      </c>
      <c r="N603" s="38" t="str">
        <f aca="false">IF($A603="","",IF($Q603=0,"",INDEX(COA_Mapping!$E$7:$E$256,$Q603)))</f>
        <v/>
      </c>
      <c r="O603" s="38" t="n">
        <f aca="false">IF($A603="",1,IF($Q603=0,1,INDEX(COA_Mapping!$F$7:$F$256,$Q603)))</f>
        <v>1</v>
      </c>
      <c r="P603" s="34" t="str">
        <f aca="false">IF($A603="","",$I603*$O603)</f>
        <v/>
      </c>
      <c r="Q603" s="39" t="n">
        <f aca="false">IF($B603="",0,IFERROR(MATCH($B603,COA_Mapping!$A$7:$A$256,0),0))</f>
        <v>0</v>
      </c>
      <c r="R603" s="39" t="n">
        <f aca="false">IF($A603="",-1,IF($J603=Setup!$B$7,1,IF($J603=Setup!$B$9,0,-1)))</f>
        <v>-1</v>
      </c>
      <c r="S603" s="35" t="n">
        <f aca="false">IF(OR($A603="",$Q603=0,$R603=-1),0,$Q603*1000+$R603*100+$K603)</f>
        <v>0</v>
      </c>
      <c r="T603" s="37" t="str">
        <f aca="false">IF($A603="","",IF($B603="","NO ACCOUNT",IF($Q603=0,"UNMAPPED",IF($R603=-1,"OUTSIDE FY RANGE","OK"))))</f>
        <v/>
      </c>
      <c r="U603" s="40" t="str">
        <f aca="false">IF($A603="","",$B603&amp;"|"&amp;TEXT($A603,"yyyymmdd")&amp;"|"&amp;TEXT($I603,"0.00"))</f>
        <v/>
      </c>
      <c r="V603" s="35" t="str">
        <f aca="false">IF($A603="","",COUNTIF($U$8:$U$5007,$U603))</f>
        <v/>
      </c>
    </row>
    <row r="604" customFormat="false" ht="15" hidden="false" customHeight="false" outlineLevel="0" collapsed="false">
      <c r="A604" s="31"/>
      <c r="B604" s="32"/>
      <c r="C604" s="32"/>
      <c r="D604" s="32"/>
      <c r="E604" s="32"/>
      <c r="F604" s="32"/>
      <c r="G604" s="33"/>
      <c r="H604" s="33"/>
      <c r="I604" s="34" t="str">
        <f aca="false">IF($A604="","",$G604-$H604)</f>
        <v/>
      </c>
      <c r="J604" s="35" t="str">
        <f aca="false">IF($A604="","",IF(Setup!$B$6=1,YEAR($A604),YEAR($A604)+IF(MONTH($A604)&gt;=Setup!$B$6,1,0)))</f>
        <v/>
      </c>
      <c r="K604" s="35" t="str">
        <f aca="false">IF($A604="","",MOD(MONTH($A604)-Setup!$B$6+12,12)+1)</f>
        <v/>
      </c>
      <c r="L604" s="36" t="str">
        <f aca="false">IF($A604="","",TEXT($A604,"MMM-YY"))</f>
        <v/>
      </c>
      <c r="M604" s="37" t="str">
        <f aca="false">IF($A604="","",IF($Q604=0,"UNMAPPED",INDEX(COA_Mapping!$C$7:$C$256,$Q604)))</f>
        <v/>
      </c>
      <c r="N604" s="38" t="str">
        <f aca="false">IF($A604="","",IF($Q604=0,"",INDEX(COA_Mapping!$E$7:$E$256,$Q604)))</f>
        <v/>
      </c>
      <c r="O604" s="38" t="n">
        <f aca="false">IF($A604="",1,IF($Q604=0,1,INDEX(COA_Mapping!$F$7:$F$256,$Q604)))</f>
        <v>1</v>
      </c>
      <c r="P604" s="34" t="str">
        <f aca="false">IF($A604="","",$I604*$O604)</f>
        <v/>
      </c>
      <c r="Q604" s="39" t="n">
        <f aca="false">IF($B604="",0,IFERROR(MATCH($B604,COA_Mapping!$A$7:$A$256,0),0))</f>
        <v>0</v>
      </c>
      <c r="R604" s="39" t="n">
        <f aca="false">IF($A604="",-1,IF($J604=Setup!$B$7,1,IF($J604=Setup!$B$9,0,-1)))</f>
        <v>-1</v>
      </c>
      <c r="S604" s="35" t="n">
        <f aca="false">IF(OR($A604="",$Q604=0,$R604=-1),0,$Q604*1000+$R604*100+$K604)</f>
        <v>0</v>
      </c>
      <c r="T604" s="37" t="str">
        <f aca="false">IF($A604="","",IF($B604="","NO ACCOUNT",IF($Q604=0,"UNMAPPED",IF($R604=-1,"OUTSIDE FY RANGE","OK"))))</f>
        <v/>
      </c>
      <c r="U604" s="40" t="str">
        <f aca="false">IF($A604="","",$B604&amp;"|"&amp;TEXT($A604,"yyyymmdd")&amp;"|"&amp;TEXT($I604,"0.00"))</f>
        <v/>
      </c>
      <c r="V604" s="35" t="str">
        <f aca="false">IF($A604="","",COUNTIF($U$8:$U$5007,$U604))</f>
        <v/>
      </c>
    </row>
    <row r="605" customFormat="false" ht="15" hidden="false" customHeight="false" outlineLevel="0" collapsed="false">
      <c r="A605" s="31"/>
      <c r="B605" s="32"/>
      <c r="C605" s="32"/>
      <c r="D605" s="32"/>
      <c r="E605" s="32"/>
      <c r="F605" s="32"/>
      <c r="G605" s="33"/>
      <c r="H605" s="33"/>
      <c r="I605" s="34" t="str">
        <f aca="false">IF($A605="","",$G605-$H605)</f>
        <v/>
      </c>
      <c r="J605" s="35" t="str">
        <f aca="false">IF($A605="","",IF(Setup!$B$6=1,YEAR($A605),YEAR($A605)+IF(MONTH($A605)&gt;=Setup!$B$6,1,0)))</f>
        <v/>
      </c>
      <c r="K605" s="35" t="str">
        <f aca="false">IF($A605="","",MOD(MONTH($A605)-Setup!$B$6+12,12)+1)</f>
        <v/>
      </c>
      <c r="L605" s="36" t="str">
        <f aca="false">IF($A605="","",TEXT($A605,"MMM-YY"))</f>
        <v/>
      </c>
      <c r="M605" s="37" t="str">
        <f aca="false">IF($A605="","",IF($Q605=0,"UNMAPPED",INDEX(COA_Mapping!$C$7:$C$256,$Q605)))</f>
        <v/>
      </c>
      <c r="N605" s="38" t="str">
        <f aca="false">IF($A605="","",IF($Q605=0,"",INDEX(COA_Mapping!$E$7:$E$256,$Q605)))</f>
        <v/>
      </c>
      <c r="O605" s="38" t="n">
        <f aca="false">IF($A605="",1,IF($Q605=0,1,INDEX(COA_Mapping!$F$7:$F$256,$Q605)))</f>
        <v>1</v>
      </c>
      <c r="P605" s="34" t="str">
        <f aca="false">IF($A605="","",$I605*$O605)</f>
        <v/>
      </c>
      <c r="Q605" s="39" t="n">
        <f aca="false">IF($B605="",0,IFERROR(MATCH($B605,COA_Mapping!$A$7:$A$256,0),0))</f>
        <v>0</v>
      </c>
      <c r="R605" s="39" t="n">
        <f aca="false">IF($A605="",-1,IF($J605=Setup!$B$7,1,IF($J605=Setup!$B$9,0,-1)))</f>
        <v>-1</v>
      </c>
      <c r="S605" s="35" t="n">
        <f aca="false">IF(OR($A605="",$Q605=0,$R605=-1),0,$Q605*1000+$R605*100+$K605)</f>
        <v>0</v>
      </c>
      <c r="T605" s="37" t="str">
        <f aca="false">IF($A605="","",IF($B605="","NO ACCOUNT",IF($Q605=0,"UNMAPPED",IF($R605=-1,"OUTSIDE FY RANGE","OK"))))</f>
        <v/>
      </c>
      <c r="U605" s="40" t="str">
        <f aca="false">IF($A605="","",$B605&amp;"|"&amp;TEXT($A605,"yyyymmdd")&amp;"|"&amp;TEXT($I605,"0.00"))</f>
        <v/>
      </c>
      <c r="V605" s="35" t="str">
        <f aca="false">IF($A605="","",COUNTIF($U$8:$U$5007,$U605))</f>
        <v/>
      </c>
    </row>
    <row r="606" customFormat="false" ht="15" hidden="false" customHeight="false" outlineLevel="0" collapsed="false">
      <c r="A606" s="31"/>
      <c r="B606" s="32"/>
      <c r="C606" s="32"/>
      <c r="D606" s="32"/>
      <c r="E606" s="32"/>
      <c r="F606" s="32"/>
      <c r="G606" s="33"/>
      <c r="H606" s="33"/>
      <c r="I606" s="34" t="str">
        <f aca="false">IF($A606="","",$G606-$H606)</f>
        <v/>
      </c>
      <c r="J606" s="35" t="str">
        <f aca="false">IF($A606="","",IF(Setup!$B$6=1,YEAR($A606),YEAR($A606)+IF(MONTH($A606)&gt;=Setup!$B$6,1,0)))</f>
        <v/>
      </c>
      <c r="K606" s="35" t="str">
        <f aca="false">IF($A606="","",MOD(MONTH($A606)-Setup!$B$6+12,12)+1)</f>
        <v/>
      </c>
      <c r="L606" s="36" t="str">
        <f aca="false">IF($A606="","",TEXT($A606,"MMM-YY"))</f>
        <v/>
      </c>
      <c r="M606" s="37" t="str">
        <f aca="false">IF($A606="","",IF($Q606=0,"UNMAPPED",INDEX(COA_Mapping!$C$7:$C$256,$Q606)))</f>
        <v/>
      </c>
      <c r="N606" s="38" t="str">
        <f aca="false">IF($A606="","",IF($Q606=0,"",INDEX(COA_Mapping!$E$7:$E$256,$Q606)))</f>
        <v/>
      </c>
      <c r="O606" s="38" t="n">
        <f aca="false">IF($A606="",1,IF($Q606=0,1,INDEX(COA_Mapping!$F$7:$F$256,$Q606)))</f>
        <v>1</v>
      </c>
      <c r="P606" s="34" t="str">
        <f aca="false">IF($A606="","",$I606*$O606)</f>
        <v/>
      </c>
      <c r="Q606" s="39" t="n">
        <f aca="false">IF($B606="",0,IFERROR(MATCH($B606,COA_Mapping!$A$7:$A$256,0),0))</f>
        <v>0</v>
      </c>
      <c r="R606" s="39" t="n">
        <f aca="false">IF($A606="",-1,IF($J606=Setup!$B$7,1,IF($J606=Setup!$B$9,0,-1)))</f>
        <v>-1</v>
      </c>
      <c r="S606" s="35" t="n">
        <f aca="false">IF(OR($A606="",$Q606=0,$R606=-1),0,$Q606*1000+$R606*100+$K606)</f>
        <v>0</v>
      </c>
      <c r="T606" s="37" t="str">
        <f aca="false">IF($A606="","",IF($B606="","NO ACCOUNT",IF($Q606=0,"UNMAPPED",IF($R606=-1,"OUTSIDE FY RANGE","OK"))))</f>
        <v/>
      </c>
      <c r="U606" s="40" t="str">
        <f aca="false">IF($A606="","",$B606&amp;"|"&amp;TEXT($A606,"yyyymmdd")&amp;"|"&amp;TEXT($I606,"0.00"))</f>
        <v/>
      </c>
      <c r="V606" s="35" t="str">
        <f aca="false">IF($A606="","",COUNTIF($U$8:$U$5007,$U606))</f>
        <v/>
      </c>
    </row>
    <row r="607" customFormat="false" ht="15" hidden="false" customHeight="false" outlineLevel="0" collapsed="false">
      <c r="A607" s="31"/>
      <c r="B607" s="32"/>
      <c r="C607" s="32"/>
      <c r="D607" s="32"/>
      <c r="E607" s="32"/>
      <c r="F607" s="32"/>
      <c r="G607" s="33"/>
      <c r="H607" s="33"/>
      <c r="I607" s="34" t="str">
        <f aca="false">IF($A607="","",$G607-$H607)</f>
        <v/>
      </c>
      <c r="J607" s="35" t="str">
        <f aca="false">IF($A607="","",IF(Setup!$B$6=1,YEAR($A607),YEAR($A607)+IF(MONTH($A607)&gt;=Setup!$B$6,1,0)))</f>
        <v/>
      </c>
      <c r="K607" s="35" t="str">
        <f aca="false">IF($A607="","",MOD(MONTH($A607)-Setup!$B$6+12,12)+1)</f>
        <v/>
      </c>
      <c r="L607" s="36" t="str">
        <f aca="false">IF($A607="","",TEXT($A607,"MMM-YY"))</f>
        <v/>
      </c>
      <c r="M607" s="37" t="str">
        <f aca="false">IF($A607="","",IF($Q607=0,"UNMAPPED",INDEX(COA_Mapping!$C$7:$C$256,$Q607)))</f>
        <v/>
      </c>
      <c r="N607" s="38" t="str">
        <f aca="false">IF($A607="","",IF($Q607=0,"",INDEX(COA_Mapping!$E$7:$E$256,$Q607)))</f>
        <v/>
      </c>
      <c r="O607" s="38" t="n">
        <f aca="false">IF($A607="",1,IF($Q607=0,1,INDEX(COA_Mapping!$F$7:$F$256,$Q607)))</f>
        <v>1</v>
      </c>
      <c r="P607" s="34" t="str">
        <f aca="false">IF($A607="","",$I607*$O607)</f>
        <v/>
      </c>
      <c r="Q607" s="39" t="n">
        <f aca="false">IF($B607="",0,IFERROR(MATCH($B607,COA_Mapping!$A$7:$A$256,0),0))</f>
        <v>0</v>
      </c>
      <c r="R607" s="39" t="n">
        <f aca="false">IF($A607="",-1,IF($J607=Setup!$B$7,1,IF($J607=Setup!$B$9,0,-1)))</f>
        <v>-1</v>
      </c>
      <c r="S607" s="35" t="n">
        <f aca="false">IF(OR($A607="",$Q607=0,$R607=-1),0,$Q607*1000+$R607*100+$K607)</f>
        <v>0</v>
      </c>
      <c r="T607" s="37" t="str">
        <f aca="false">IF($A607="","",IF($B607="","NO ACCOUNT",IF($Q607=0,"UNMAPPED",IF($R607=-1,"OUTSIDE FY RANGE","OK"))))</f>
        <v/>
      </c>
      <c r="U607" s="40" t="str">
        <f aca="false">IF($A607="","",$B607&amp;"|"&amp;TEXT($A607,"yyyymmdd")&amp;"|"&amp;TEXT($I607,"0.00"))</f>
        <v/>
      </c>
      <c r="V607" s="35" t="str">
        <f aca="false">IF($A607="","",COUNTIF($U$8:$U$5007,$U607))</f>
        <v/>
      </c>
    </row>
    <row r="608" customFormat="false" ht="15" hidden="false" customHeight="false" outlineLevel="0" collapsed="false">
      <c r="A608" s="31"/>
      <c r="B608" s="32"/>
      <c r="C608" s="32"/>
      <c r="D608" s="32"/>
      <c r="E608" s="32"/>
      <c r="F608" s="32"/>
      <c r="G608" s="33"/>
      <c r="H608" s="33"/>
      <c r="I608" s="34" t="str">
        <f aca="false">IF($A608="","",$G608-$H608)</f>
        <v/>
      </c>
      <c r="J608" s="35" t="str">
        <f aca="false">IF($A608="","",IF(Setup!$B$6=1,YEAR($A608),YEAR($A608)+IF(MONTH($A608)&gt;=Setup!$B$6,1,0)))</f>
        <v/>
      </c>
      <c r="K608" s="35" t="str">
        <f aca="false">IF($A608="","",MOD(MONTH($A608)-Setup!$B$6+12,12)+1)</f>
        <v/>
      </c>
      <c r="L608" s="36" t="str">
        <f aca="false">IF($A608="","",TEXT($A608,"MMM-YY"))</f>
        <v/>
      </c>
      <c r="M608" s="37" t="str">
        <f aca="false">IF($A608="","",IF($Q608=0,"UNMAPPED",INDEX(COA_Mapping!$C$7:$C$256,$Q608)))</f>
        <v/>
      </c>
      <c r="N608" s="38" t="str">
        <f aca="false">IF($A608="","",IF($Q608=0,"",INDEX(COA_Mapping!$E$7:$E$256,$Q608)))</f>
        <v/>
      </c>
      <c r="O608" s="38" t="n">
        <f aca="false">IF($A608="",1,IF($Q608=0,1,INDEX(COA_Mapping!$F$7:$F$256,$Q608)))</f>
        <v>1</v>
      </c>
      <c r="P608" s="34" t="str">
        <f aca="false">IF($A608="","",$I608*$O608)</f>
        <v/>
      </c>
      <c r="Q608" s="39" t="n">
        <f aca="false">IF($B608="",0,IFERROR(MATCH($B608,COA_Mapping!$A$7:$A$256,0),0))</f>
        <v>0</v>
      </c>
      <c r="R608" s="39" t="n">
        <f aca="false">IF($A608="",-1,IF($J608=Setup!$B$7,1,IF($J608=Setup!$B$9,0,-1)))</f>
        <v>-1</v>
      </c>
      <c r="S608" s="35" t="n">
        <f aca="false">IF(OR($A608="",$Q608=0,$R608=-1),0,$Q608*1000+$R608*100+$K608)</f>
        <v>0</v>
      </c>
      <c r="T608" s="37" t="str">
        <f aca="false">IF($A608="","",IF($B608="","NO ACCOUNT",IF($Q608=0,"UNMAPPED",IF($R608=-1,"OUTSIDE FY RANGE","OK"))))</f>
        <v/>
      </c>
      <c r="U608" s="40" t="str">
        <f aca="false">IF($A608="","",$B608&amp;"|"&amp;TEXT($A608,"yyyymmdd")&amp;"|"&amp;TEXT($I608,"0.00"))</f>
        <v/>
      </c>
      <c r="V608" s="35" t="str">
        <f aca="false">IF($A608="","",COUNTIF($U$8:$U$5007,$U608))</f>
        <v/>
      </c>
    </row>
    <row r="609" customFormat="false" ht="15" hidden="false" customHeight="false" outlineLevel="0" collapsed="false">
      <c r="A609" s="31"/>
      <c r="B609" s="32"/>
      <c r="C609" s="32"/>
      <c r="D609" s="32"/>
      <c r="E609" s="32"/>
      <c r="F609" s="32"/>
      <c r="G609" s="33"/>
      <c r="H609" s="33"/>
      <c r="I609" s="34" t="str">
        <f aca="false">IF($A609="","",$G609-$H609)</f>
        <v/>
      </c>
      <c r="J609" s="35" t="str">
        <f aca="false">IF($A609="","",IF(Setup!$B$6=1,YEAR($A609),YEAR($A609)+IF(MONTH($A609)&gt;=Setup!$B$6,1,0)))</f>
        <v/>
      </c>
      <c r="K609" s="35" t="str">
        <f aca="false">IF($A609="","",MOD(MONTH($A609)-Setup!$B$6+12,12)+1)</f>
        <v/>
      </c>
      <c r="L609" s="36" t="str">
        <f aca="false">IF($A609="","",TEXT($A609,"MMM-YY"))</f>
        <v/>
      </c>
      <c r="M609" s="37" t="str">
        <f aca="false">IF($A609="","",IF($Q609=0,"UNMAPPED",INDEX(COA_Mapping!$C$7:$C$256,$Q609)))</f>
        <v/>
      </c>
      <c r="N609" s="38" t="str">
        <f aca="false">IF($A609="","",IF($Q609=0,"",INDEX(COA_Mapping!$E$7:$E$256,$Q609)))</f>
        <v/>
      </c>
      <c r="O609" s="38" t="n">
        <f aca="false">IF($A609="",1,IF($Q609=0,1,INDEX(COA_Mapping!$F$7:$F$256,$Q609)))</f>
        <v>1</v>
      </c>
      <c r="P609" s="34" t="str">
        <f aca="false">IF($A609="","",$I609*$O609)</f>
        <v/>
      </c>
      <c r="Q609" s="39" t="n">
        <f aca="false">IF($B609="",0,IFERROR(MATCH($B609,COA_Mapping!$A$7:$A$256,0),0))</f>
        <v>0</v>
      </c>
      <c r="R609" s="39" t="n">
        <f aca="false">IF($A609="",-1,IF($J609=Setup!$B$7,1,IF($J609=Setup!$B$9,0,-1)))</f>
        <v>-1</v>
      </c>
      <c r="S609" s="35" t="n">
        <f aca="false">IF(OR($A609="",$Q609=0,$R609=-1),0,$Q609*1000+$R609*100+$K609)</f>
        <v>0</v>
      </c>
      <c r="T609" s="37" t="str">
        <f aca="false">IF($A609="","",IF($B609="","NO ACCOUNT",IF($Q609=0,"UNMAPPED",IF($R609=-1,"OUTSIDE FY RANGE","OK"))))</f>
        <v/>
      </c>
      <c r="U609" s="40" t="str">
        <f aca="false">IF($A609="","",$B609&amp;"|"&amp;TEXT($A609,"yyyymmdd")&amp;"|"&amp;TEXT($I609,"0.00"))</f>
        <v/>
      </c>
      <c r="V609" s="35" t="str">
        <f aca="false">IF($A609="","",COUNTIF($U$8:$U$5007,$U609))</f>
        <v/>
      </c>
    </row>
    <row r="610" customFormat="false" ht="15" hidden="false" customHeight="false" outlineLevel="0" collapsed="false">
      <c r="A610" s="31"/>
      <c r="B610" s="32"/>
      <c r="C610" s="32"/>
      <c r="D610" s="32"/>
      <c r="E610" s="32"/>
      <c r="F610" s="32"/>
      <c r="G610" s="33"/>
      <c r="H610" s="33"/>
      <c r="I610" s="34" t="str">
        <f aca="false">IF($A610="","",$G610-$H610)</f>
        <v/>
      </c>
      <c r="J610" s="35" t="str">
        <f aca="false">IF($A610="","",IF(Setup!$B$6=1,YEAR($A610),YEAR($A610)+IF(MONTH($A610)&gt;=Setup!$B$6,1,0)))</f>
        <v/>
      </c>
      <c r="K610" s="35" t="str">
        <f aca="false">IF($A610="","",MOD(MONTH($A610)-Setup!$B$6+12,12)+1)</f>
        <v/>
      </c>
      <c r="L610" s="36" t="str">
        <f aca="false">IF($A610="","",TEXT($A610,"MMM-YY"))</f>
        <v/>
      </c>
      <c r="M610" s="37" t="str">
        <f aca="false">IF($A610="","",IF($Q610=0,"UNMAPPED",INDEX(COA_Mapping!$C$7:$C$256,$Q610)))</f>
        <v/>
      </c>
      <c r="N610" s="38" t="str">
        <f aca="false">IF($A610="","",IF($Q610=0,"",INDEX(COA_Mapping!$E$7:$E$256,$Q610)))</f>
        <v/>
      </c>
      <c r="O610" s="38" t="n">
        <f aca="false">IF($A610="",1,IF($Q610=0,1,INDEX(COA_Mapping!$F$7:$F$256,$Q610)))</f>
        <v>1</v>
      </c>
      <c r="P610" s="34" t="str">
        <f aca="false">IF($A610="","",$I610*$O610)</f>
        <v/>
      </c>
      <c r="Q610" s="39" t="n">
        <f aca="false">IF($B610="",0,IFERROR(MATCH($B610,COA_Mapping!$A$7:$A$256,0),0))</f>
        <v>0</v>
      </c>
      <c r="R610" s="39" t="n">
        <f aca="false">IF($A610="",-1,IF($J610=Setup!$B$7,1,IF($J610=Setup!$B$9,0,-1)))</f>
        <v>-1</v>
      </c>
      <c r="S610" s="35" t="n">
        <f aca="false">IF(OR($A610="",$Q610=0,$R610=-1),0,$Q610*1000+$R610*100+$K610)</f>
        <v>0</v>
      </c>
      <c r="T610" s="37" t="str">
        <f aca="false">IF($A610="","",IF($B610="","NO ACCOUNT",IF($Q610=0,"UNMAPPED",IF($R610=-1,"OUTSIDE FY RANGE","OK"))))</f>
        <v/>
      </c>
      <c r="U610" s="40" t="str">
        <f aca="false">IF($A610="","",$B610&amp;"|"&amp;TEXT($A610,"yyyymmdd")&amp;"|"&amp;TEXT($I610,"0.00"))</f>
        <v/>
      </c>
      <c r="V610" s="35" t="str">
        <f aca="false">IF($A610="","",COUNTIF($U$8:$U$5007,$U610))</f>
        <v/>
      </c>
    </row>
    <row r="611" customFormat="false" ht="15" hidden="false" customHeight="false" outlineLevel="0" collapsed="false">
      <c r="A611" s="31"/>
      <c r="B611" s="32"/>
      <c r="C611" s="32"/>
      <c r="D611" s="32"/>
      <c r="E611" s="32"/>
      <c r="F611" s="32"/>
      <c r="G611" s="33"/>
      <c r="H611" s="33"/>
      <c r="I611" s="34" t="str">
        <f aca="false">IF($A611="","",$G611-$H611)</f>
        <v/>
      </c>
      <c r="J611" s="35" t="str">
        <f aca="false">IF($A611="","",IF(Setup!$B$6=1,YEAR($A611),YEAR($A611)+IF(MONTH($A611)&gt;=Setup!$B$6,1,0)))</f>
        <v/>
      </c>
      <c r="K611" s="35" t="str">
        <f aca="false">IF($A611="","",MOD(MONTH($A611)-Setup!$B$6+12,12)+1)</f>
        <v/>
      </c>
      <c r="L611" s="36" t="str">
        <f aca="false">IF($A611="","",TEXT($A611,"MMM-YY"))</f>
        <v/>
      </c>
      <c r="M611" s="37" t="str">
        <f aca="false">IF($A611="","",IF($Q611=0,"UNMAPPED",INDEX(COA_Mapping!$C$7:$C$256,$Q611)))</f>
        <v/>
      </c>
      <c r="N611" s="38" t="str">
        <f aca="false">IF($A611="","",IF($Q611=0,"",INDEX(COA_Mapping!$E$7:$E$256,$Q611)))</f>
        <v/>
      </c>
      <c r="O611" s="38" t="n">
        <f aca="false">IF($A611="",1,IF($Q611=0,1,INDEX(COA_Mapping!$F$7:$F$256,$Q611)))</f>
        <v>1</v>
      </c>
      <c r="P611" s="34" t="str">
        <f aca="false">IF($A611="","",$I611*$O611)</f>
        <v/>
      </c>
      <c r="Q611" s="39" t="n">
        <f aca="false">IF($B611="",0,IFERROR(MATCH($B611,COA_Mapping!$A$7:$A$256,0),0))</f>
        <v>0</v>
      </c>
      <c r="R611" s="39" t="n">
        <f aca="false">IF($A611="",-1,IF($J611=Setup!$B$7,1,IF($J611=Setup!$B$9,0,-1)))</f>
        <v>-1</v>
      </c>
      <c r="S611" s="35" t="n">
        <f aca="false">IF(OR($A611="",$Q611=0,$R611=-1),0,$Q611*1000+$R611*100+$K611)</f>
        <v>0</v>
      </c>
      <c r="T611" s="37" t="str">
        <f aca="false">IF($A611="","",IF($B611="","NO ACCOUNT",IF($Q611=0,"UNMAPPED",IF($R611=-1,"OUTSIDE FY RANGE","OK"))))</f>
        <v/>
      </c>
      <c r="U611" s="40" t="str">
        <f aca="false">IF($A611="","",$B611&amp;"|"&amp;TEXT($A611,"yyyymmdd")&amp;"|"&amp;TEXT($I611,"0.00"))</f>
        <v/>
      </c>
      <c r="V611" s="35" t="str">
        <f aca="false">IF($A611="","",COUNTIF($U$8:$U$5007,$U611))</f>
        <v/>
      </c>
    </row>
    <row r="612" customFormat="false" ht="15" hidden="false" customHeight="false" outlineLevel="0" collapsed="false">
      <c r="A612" s="31"/>
      <c r="B612" s="32"/>
      <c r="C612" s="32"/>
      <c r="D612" s="32"/>
      <c r="E612" s="32"/>
      <c r="F612" s="32"/>
      <c r="G612" s="33"/>
      <c r="H612" s="33"/>
      <c r="I612" s="34" t="str">
        <f aca="false">IF($A612="","",$G612-$H612)</f>
        <v/>
      </c>
      <c r="J612" s="35" t="str">
        <f aca="false">IF($A612="","",IF(Setup!$B$6=1,YEAR($A612),YEAR($A612)+IF(MONTH($A612)&gt;=Setup!$B$6,1,0)))</f>
        <v/>
      </c>
      <c r="K612" s="35" t="str">
        <f aca="false">IF($A612="","",MOD(MONTH($A612)-Setup!$B$6+12,12)+1)</f>
        <v/>
      </c>
      <c r="L612" s="36" t="str">
        <f aca="false">IF($A612="","",TEXT($A612,"MMM-YY"))</f>
        <v/>
      </c>
      <c r="M612" s="37" t="str">
        <f aca="false">IF($A612="","",IF($Q612=0,"UNMAPPED",INDEX(COA_Mapping!$C$7:$C$256,$Q612)))</f>
        <v/>
      </c>
      <c r="N612" s="38" t="str">
        <f aca="false">IF($A612="","",IF($Q612=0,"",INDEX(COA_Mapping!$E$7:$E$256,$Q612)))</f>
        <v/>
      </c>
      <c r="O612" s="38" t="n">
        <f aca="false">IF($A612="",1,IF($Q612=0,1,INDEX(COA_Mapping!$F$7:$F$256,$Q612)))</f>
        <v>1</v>
      </c>
      <c r="P612" s="34" t="str">
        <f aca="false">IF($A612="","",$I612*$O612)</f>
        <v/>
      </c>
      <c r="Q612" s="39" t="n">
        <f aca="false">IF($B612="",0,IFERROR(MATCH($B612,COA_Mapping!$A$7:$A$256,0),0))</f>
        <v>0</v>
      </c>
      <c r="R612" s="39" t="n">
        <f aca="false">IF($A612="",-1,IF($J612=Setup!$B$7,1,IF($J612=Setup!$B$9,0,-1)))</f>
        <v>-1</v>
      </c>
      <c r="S612" s="35" t="n">
        <f aca="false">IF(OR($A612="",$Q612=0,$R612=-1),0,$Q612*1000+$R612*100+$K612)</f>
        <v>0</v>
      </c>
      <c r="T612" s="37" t="str">
        <f aca="false">IF($A612="","",IF($B612="","NO ACCOUNT",IF($Q612=0,"UNMAPPED",IF($R612=-1,"OUTSIDE FY RANGE","OK"))))</f>
        <v/>
      </c>
      <c r="U612" s="40" t="str">
        <f aca="false">IF($A612="","",$B612&amp;"|"&amp;TEXT($A612,"yyyymmdd")&amp;"|"&amp;TEXT($I612,"0.00"))</f>
        <v/>
      </c>
      <c r="V612" s="35" t="str">
        <f aca="false">IF($A612="","",COUNTIF($U$8:$U$5007,$U612))</f>
        <v/>
      </c>
    </row>
    <row r="613" customFormat="false" ht="15" hidden="false" customHeight="false" outlineLevel="0" collapsed="false">
      <c r="A613" s="31"/>
      <c r="B613" s="32"/>
      <c r="C613" s="32"/>
      <c r="D613" s="32"/>
      <c r="E613" s="32"/>
      <c r="F613" s="32"/>
      <c r="G613" s="33"/>
      <c r="H613" s="33"/>
      <c r="I613" s="34" t="str">
        <f aca="false">IF($A613="","",$G613-$H613)</f>
        <v/>
      </c>
      <c r="J613" s="35" t="str">
        <f aca="false">IF($A613="","",IF(Setup!$B$6=1,YEAR($A613),YEAR($A613)+IF(MONTH($A613)&gt;=Setup!$B$6,1,0)))</f>
        <v/>
      </c>
      <c r="K613" s="35" t="str">
        <f aca="false">IF($A613="","",MOD(MONTH($A613)-Setup!$B$6+12,12)+1)</f>
        <v/>
      </c>
      <c r="L613" s="36" t="str">
        <f aca="false">IF($A613="","",TEXT($A613,"MMM-YY"))</f>
        <v/>
      </c>
      <c r="M613" s="37" t="str">
        <f aca="false">IF($A613="","",IF($Q613=0,"UNMAPPED",INDEX(COA_Mapping!$C$7:$C$256,$Q613)))</f>
        <v/>
      </c>
      <c r="N613" s="38" t="str">
        <f aca="false">IF($A613="","",IF($Q613=0,"",INDEX(COA_Mapping!$E$7:$E$256,$Q613)))</f>
        <v/>
      </c>
      <c r="O613" s="38" t="n">
        <f aca="false">IF($A613="",1,IF($Q613=0,1,INDEX(COA_Mapping!$F$7:$F$256,$Q613)))</f>
        <v>1</v>
      </c>
      <c r="P613" s="34" t="str">
        <f aca="false">IF($A613="","",$I613*$O613)</f>
        <v/>
      </c>
      <c r="Q613" s="39" t="n">
        <f aca="false">IF($B613="",0,IFERROR(MATCH($B613,COA_Mapping!$A$7:$A$256,0),0))</f>
        <v>0</v>
      </c>
      <c r="R613" s="39" t="n">
        <f aca="false">IF($A613="",-1,IF($J613=Setup!$B$7,1,IF($J613=Setup!$B$9,0,-1)))</f>
        <v>-1</v>
      </c>
      <c r="S613" s="35" t="n">
        <f aca="false">IF(OR($A613="",$Q613=0,$R613=-1),0,$Q613*1000+$R613*100+$K613)</f>
        <v>0</v>
      </c>
      <c r="T613" s="37" t="str">
        <f aca="false">IF($A613="","",IF($B613="","NO ACCOUNT",IF($Q613=0,"UNMAPPED",IF($R613=-1,"OUTSIDE FY RANGE","OK"))))</f>
        <v/>
      </c>
      <c r="U613" s="40" t="str">
        <f aca="false">IF($A613="","",$B613&amp;"|"&amp;TEXT($A613,"yyyymmdd")&amp;"|"&amp;TEXT($I613,"0.00"))</f>
        <v/>
      </c>
      <c r="V613" s="35" t="str">
        <f aca="false">IF($A613="","",COUNTIF($U$8:$U$5007,$U613))</f>
        <v/>
      </c>
    </row>
    <row r="614" customFormat="false" ht="15" hidden="false" customHeight="false" outlineLevel="0" collapsed="false">
      <c r="A614" s="31"/>
      <c r="B614" s="32"/>
      <c r="C614" s="32"/>
      <c r="D614" s="32"/>
      <c r="E614" s="32"/>
      <c r="F614" s="32"/>
      <c r="G614" s="33"/>
      <c r="H614" s="33"/>
      <c r="I614" s="34" t="str">
        <f aca="false">IF($A614="","",$G614-$H614)</f>
        <v/>
      </c>
      <c r="J614" s="35" t="str">
        <f aca="false">IF($A614="","",IF(Setup!$B$6=1,YEAR($A614),YEAR($A614)+IF(MONTH($A614)&gt;=Setup!$B$6,1,0)))</f>
        <v/>
      </c>
      <c r="K614" s="35" t="str">
        <f aca="false">IF($A614="","",MOD(MONTH($A614)-Setup!$B$6+12,12)+1)</f>
        <v/>
      </c>
      <c r="L614" s="36" t="str">
        <f aca="false">IF($A614="","",TEXT($A614,"MMM-YY"))</f>
        <v/>
      </c>
      <c r="M614" s="37" t="str">
        <f aca="false">IF($A614="","",IF($Q614=0,"UNMAPPED",INDEX(COA_Mapping!$C$7:$C$256,$Q614)))</f>
        <v/>
      </c>
      <c r="N614" s="38" t="str">
        <f aca="false">IF($A614="","",IF($Q614=0,"",INDEX(COA_Mapping!$E$7:$E$256,$Q614)))</f>
        <v/>
      </c>
      <c r="O614" s="38" t="n">
        <f aca="false">IF($A614="",1,IF($Q614=0,1,INDEX(COA_Mapping!$F$7:$F$256,$Q614)))</f>
        <v>1</v>
      </c>
      <c r="P614" s="34" t="str">
        <f aca="false">IF($A614="","",$I614*$O614)</f>
        <v/>
      </c>
      <c r="Q614" s="39" t="n">
        <f aca="false">IF($B614="",0,IFERROR(MATCH($B614,COA_Mapping!$A$7:$A$256,0),0))</f>
        <v>0</v>
      </c>
      <c r="R614" s="39" t="n">
        <f aca="false">IF($A614="",-1,IF($J614=Setup!$B$7,1,IF($J614=Setup!$B$9,0,-1)))</f>
        <v>-1</v>
      </c>
      <c r="S614" s="35" t="n">
        <f aca="false">IF(OR($A614="",$Q614=0,$R614=-1),0,$Q614*1000+$R614*100+$K614)</f>
        <v>0</v>
      </c>
      <c r="T614" s="37" t="str">
        <f aca="false">IF($A614="","",IF($B614="","NO ACCOUNT",IF($Q614=0,"UNMAPPED",IF($R614=-1,"OUTSIDE FY RANGE","OK"))))</f>
        <v/>
      </c>
      <c r="U614" s="40" t="str">
        <f aca="false">IF($A614="","",$B614&amp;"|"&amp;TEXT($A614,"yyyymmdd")&amp;"|"&amp;TEXT($I614,"0.00"))</f>
        <v/>
      </c>
      <c r="V614" s="35" t="str">
        <f aca="false">IF($A614="","",COUNTIF($U$8:$U$5007,$U614))</f>
        <v/>
      </c>
    </row>
    <row r="615" customFormat="false" ht="15" hidden="false" customHeight="false" outlineLevel="0" collapsed="false">
      <c r="A615" s="31"/>
      <c r="B615" s="32"/>
      <c r="C615" s="32"/>
      <c r="D615" s="32"/>
      <c r="E615" s="32"/>
      <c r="F615" s="32"/>
      <c r="G615" s="33"/>
      <c r="H615" s="33"/>
      <c r="I615" s="34" t="str">
        <f aca="false">IF($A615="","",$G615-$H615)</f>
        <v/>
      </c>
      <c r="J615" s="35" t="str">
        <f aca="false">IF($A615="","",IF(Setup!$B$6=1,YEAR($A615),YEAR($A615)+IF(MONTH($A615)&gt;=Setup!$B$6,1,0)))</f>
        <v/>
      </c>
      <c r="K615" s="35" t="str">
        <f aca="false">IF($A615="","",MOD(MONTH($A615)-Setup!$B$6+12,12)+1)</f>
        <v/>
      </c>
      <c r="L615" s="36" t="str">
        <f aca="false">IF($A615="","",TEXT($A615,"MMM-YY"))</f>
        <v/>
      </c>
      <c r="M615" s="37" t="str">
        <f aca="false">IF($A615="","",IF($Q615=0,"UNMAPPED",INDEX(COA_Mapping!$C$7:$C$256,$Q615)))</f>
        <v/>
      </c>
      <c r="N615" s="38" t="str">
        <f aca="false">IF($A615="","",IF($Q615=0,"",INDEX(COA_Mapping!$E$7:$E$256,$Q615)))</f>
        <v/>
      </c>
      <c r="O615" s="38" t="n">
        <f aca="false">IF($A615="",1,IF($Q615=0,1,INDEX(COA_Mapping!$F$7:$F$256,$Q615)))</f>
        <v>1</v>
      </c>
      <c r="P615" s="34" t="str">
        <f aca="false">IF($A615="","",$I615*$O615)</f>
        <v/>
      </c>
      <c r="Q615" s="39" t="n">
        <f aca="false">IF($B615="",0,IFERROR(MATCH($B615,COA_Mapping!$A$7:$A$256,0),0))</f>
        <v>0</v>
      </c>
      <c r="R615" s="39" t="n">
        <f aca="false">IF($A615="",-1,IF($J615=Setup!$B$7,1,IF($J615=Setup!$B$9,0,-1)))</f>
        <v>-1</v>
      </c>
      <c r="S615" s="35" t="n">
        <f aca="false">IF(OR($A615="",$Q615=0,$R615=-1),0,$Q615*1000+$R615*100+$K615)</f>
        <v>0</v>
      </c>
      <c r="T615" s="37" t="str">
        <f aca="false">IF($A615="","",IF($B615="","NO ACCOUNT",IF($Q615=0,"UNMAPPED",IF($R615=-1,"OUTSIDE FY RANGE","OK"))))</f>
        <v/>
      </c>
      <c r="U615" s="40" t="str">
        <f aca="false">IF($A615="","",$B615&amp;"|"&amp;TEXT($A615,"yyyymmdd")&amp;"|"&amp;TEXT($I615,"0.00"))</f>
        <v/>
      </c>
      <c r="V615" s="35" t="str">
        <f aca="false">IF($A615="","",COUNTIF($U$8:$U$5007,$U615))</f>
        <v/>
      </c>
    </row>
    <row r="616" customFormat="false" ht="15" hidden="false" customHeight="false" outlineLevel="0" collapsed="false">
      <c r="A616" s="31"/>
      <c r="B616" s="32"/>
      <c r="C616" s="32"/>
      <c r="D616" s="32"/>
      <c r="E616" s="32"/>
      <c r="F616" s="32"/>
      <c r="G616" s="33"/>
      <c r="H616" s="33"/>
      <c r="I616" s="34" t="str">
        <f aca="false">IF($A616="","",$G616-$H616)</f>
        <v/>
      </c>
      <c r="J616" s="35" t="str">
        <f aca="false">IF($A616="","",IF(Setup!$B$6=1,YEAR($A616),YEAR($A616)+IF(MONTH($A616)&gt;=Setup!$B$6,1,0)))</f>
        <v/>
      </c>
      <c r="K616" s="35" t="str">
        <f aca="false">IF($A616="","",MOD(MONTH($A616)-Setup!$B$6+12,12)+1)</f>
        <v/>
      </c>
      <c r="L616" s="36" t="str">
        <f aca="false">IF($A616="","",TEXT($A616,"MMM-YY"))</f>
        <v/>
      </c>
      <c r="M616" s="37" t="str">
        <f aca="false">IF($A616="","",IF($Q616=0,"UNMAPPED",INDEX(COA_Mapping!$C$7:$C$256,$Q616)))</f>
        <v/>
      </c>
      <c r="N616" s="38" t="str">
        <f aca="false">IF($A616="","",IF($Q616=0,"",INDEX(COA_Mapping!$E$7:$E$256,$Q616)))</f>
        <v/>
      </c>
      <c r="O616" s="38" t="n">
        <f aca="false">IF($A616="",1,IF($Q616=0,1,INDEX(COA_Mapping!$F$7:$F$256,$Q616)))</f>
        <v>1</v>
      </c>
      <c r="P616" s="34" t="str">
        <f aca="false">IF($A616="","",$I616*$O616)</f>
        <v/>
      </c>
      <c r="Q616" s="39" t="n">
        <f aca="false">IF($B616="",0,IFERROR(MATCH($B616,COA_Mapping!$A$7:$A$256,0),0))</f>
        <v>0</v>
      </c>
      <c r="R616" s="39" t="n">
        <f aca="false">IF($A616="",-1,IF($J616=Setup!$B$7,1,IF($J616=Setup!$B$9,0,-1)))</f>
        <v>-1</v>
      </c>
      <c r="S616" s="35" t="n">
        <f aca="false">IF(OR($A616="",$Q616=0,$R616=-1),0,$Q616*1000+$R616*100+$K616)</f>
        <v>0</v>
      </c>
      <c r="T616" s="37" t="str">
        <f aca="false">IF($A616="","",IF($B616="","NO ACCOUNT",IF($Q616=0,"UNMAPPED",IF($R616=-1,"OUTSIDE FY RANGE","OK"))))</f>
        <v/>
      </c>
      <c r="U616" s="40" t="str">
        <f aca="false">IF($A616="","",$B616&amp;"|"&amp;TEXT($A616,"yyyymmdd")&amp;"|"&amp;TEXT($I616,"0.00"))</f>
        <v/>
      </c>
      <c r="V616" s="35" t="str">
        <f aca="false">IF($A616="","",COUNTIF($U$8:$U$5007,$U616))</f>
        <v/>
      </c>
    </row>
    <row r="617" customFormat="false" ht="15" hidden="false" customHeight="false" outlineLevel="0" collapsed="false">
      <c r="A617" s="31"/>
      <c r="B617" s="32"/>
      <c r="C617" s="32"/>
      <c r="D617" s="32"/>
      <c r="E617" s="32"/>
      <c r="F617" s="32"/>
      <c r="G617" s="33"/>
      <c r="H617" s="33"/>
      <c r="I617" s="34" t="str">
        <f aca="false">IF($A617="","",$G617-$H617)</f>
        <v/>
      </c>
      <c r="J617" s="35" t="str">
        <f aca="false">IF($A617="","",IF(Setup!$B$6=1,YEAR($A617),YEAR($A617)+IF(MONTH($A617)&gt;=Setup!$B$6,1,0)))</f>
        <v/>
      </c>
      <c r="K617" s="35" t="str">
        <f aca="false">IF($A617="","",MOD(MONTH($A617)-Setup!$B$6+12,12)+1)</f>
        <v/>
      </c>
      <c r="L617" s="36" t="str">
        <f aca="false">IF($A617="","",TEXT($A617,"MMM-YY"))</f>
        <v/>
      </c>
      <c r="M617" s="37" t="str">
        <f aca="false">IF($A617="","",IF($Q617=0,"UNMAPPED",INDEX(COA_Mapping!$C$7:$C$256,$Q617)))</f>
        <v/>
      </c>
      <c r="N617" s="38" t="str">
        <f aca="false">IF($A617="","",IF($Q617=0,"",INDEX(COA_Mapping!$E$7:$E$256,$Q617)))</f>
        <v/>
      </c>
      <c r="O617" s="38" t="n">
        <f aca="false">IF($A617="",1,IF($Q617=0,1,INDEX(COA_Mapping!$F$7:$F$256,$Q617)))</f>
        <v>1</v>
      </c>
      <c r="P617" s="34" t="str">
        <f aca="false">IF($A617="","",$I617*$O617)</f>
        <v/>
      </c>
      <c r="Q617" s="39" t="n">
        <f aca="false">IF($B617="",0,IFERROR(MATCH($B617,COA_Mapping!$A$7:$A$256,0),0))</f>
        <v>0</v>
      </c>
      <c r="R617" s="39" t="n">
        <f aca="false">IF($A617="",-1,IF($J617=Setup!$B$7,1,IF($J617=Setup!$B$9,0,-1)))</f>
        <v>-1</v>
      </c>
      <c r="S617" s="35" t="n">
        <f aca="false">IF(OR($A617="",$Q617=0,$R617=-1),0,$Q617*1000+$R617*100+$K617)</f>
        <v>0</v>
      </c>
      <c r="T617" s="37" t="str">
        <f aca="false">IF($A617="","",IF($B617="","NO ACCOUNT",IF($Q617=0,"UNMAPPED",IF($R617=-1,"OUTSIDE FY RANGE","OK"))))</f>
        <v/>
      </c>
      <c r="U617" s="40" t="str">
        <f aca="false">IF($A617="","",$B617&amp;"|"&amp;TEXT($A617,"yyyymmdd")&amp;"|"&amp;TEXT($I617,"0.00"))</f>
        <v/>
      </c>
      <c r="V617" s="35" t="str">
        <f aca="false">IF($A617="","",COUNTIF($U$8:$U$5007,$U617))</f>
        <v/>
      </c>
    </row>
    <row r="618" customFormat="false" ht="15" hidden="false" customHeight="false" outlineLevel="0" collapsed="false">
      <c r="A618" s="31"/>
      <c r="B618" s="32"/>
      <c r="C618" s="32"/>
      <c r="D618" s="32"/>
      <c r="E618" s="32"/>
      <c r="F618" s="32"/>
      <c r="G618" s="33"/>
      <c r="H618" s="33"/>
      <c r="I618" s="34" t="str">
        <f aca="false">IF($A618="","",$G618-$H618)</f>
        <v/>
      </c>
      <c r="J618" s="35" t="str">
        <f aca="false">IF($A618="","",IF(Setup!$B$6=1,YEAR($A618),YEAR($A618)+IF(MONTH($A618)&gt;=Setup!$B$6,1,0)))</f>
        <v/>
      </c>
      <c r="K618" s="35" t="str">
        <f aca="false">IF($A618="","",MOD(MONTH($A618)-Setup!$B$6+12,12)+1)</f>
        <v/>
      </c>
      <c r="L618" s="36" t="str">
        <f aca="false">IF($A618="","",TEXT($A618,"MMM-YY"))</f>
        <v/>
      </c>
      <c r="M618" s="37" t="str">
        <f aca="false">IF($A618="","",IF($Q618=0,"UNMAPPED",INDEX(COA_Mapping!$C$7:$C$256,$Q618)))</f>
        <v/>
      </c>
      <c r="N618" s="38" t="str">
        <f aca="false">IF($A618="","",IF($Q618=0,"",INDEX(COA_Mapping!$E$7:$E$256,$Q618)))</f>
        <v/>
      </c>
      <c r="O618" s="38" t="n">
        <f aca="false">IF($A618="",1,IF($Q618=0,1,INDEX(COA_Mapping!$F$7:$F$256,$Q618)))</f>
        <v>1</v>
      </c>
      <c r="P618" s="34" t="str">
        <f aca="false">IF($A618="","",$I618*$O618)</f>
        <v/>
      </c>
      <c r="Q618" s="39" t="n">
        <f aca="false">IF($B618="",0,IFERROR(MATCH($B618,COA_Mapping!$A$7:$A$256,0),0))</f>
        <v>0</v>
      </c>
      <c r="R618" s="39" t="n">
        <f aca="false">IF($A618="",-1,IF($J618=Setup!$B$7,1,IF($J618=Setup!$B$9,0,-1)))</f>
        <v>-1</v>
      </c>
      <c r="S618" s="35" t="n">
        <f aca="false">IF(OR($A618="",$Q618=0,$R618=-1),0,$Q618*1000+$R618*100+$K618)</f>
        <v>0</v>
      </c>
      <c r="T618" s="37" t="str">
        <f aca="false">IF($A618="","",IF($B618="","NO ACCOUNT",IF($Q618=0,"UNMAPPED",IF($R618=-1,"OUTSIDE FY RANGE","OK"))))</f>
        <v/>
      </c>
      <c r="U618" s="40" t="str">
        <f aca="false">IF($A618="","",$B618&amp;"|"&amp;TEXT($A618,"yyyymmdd")&amp;"|"&amp;TEXT($I618,"0.00"))</f>
        <v/>
      </c>
      <c r="V618" s="35" t="str">
        <f aca="false">IF($A618="","",COUNTIF($U$8:$U$5007,$U618))</f>
        <v/>
      </c>
    </row>
    <row r="619" customFormat="false" ht="15" hidden="false" customHeight="false" outlineLevel="0" collapsed="false">
      <c r="A619" s="31"/>
      <c r="B619" s="32"/>
      <c r="C619" s="32"/>
      <c r="D619" s="32"/>
      <c r="E619" s="32"/>
      <c r="F619" s="32"/>
      <c r="G619" s="33"/>
      <c r="H619" s="33"/>
      <c r="I619" s="34" t="str">
        <f aca="false">IF($A619="","",$G619-$H619)</f>
        <v/>
      </c>
      <c r="J619" s="35" t="str">
        <f aca="false">IF($A619="","",IF(Setup!$B$6=1,YEAR($A619),YEAR($A619)+IF(MONTH($A619)&gt;=Setup!$B$6,1,0)))</f>
        <v/>
      </c>
      <c r="K619" s="35" t="str">
        <f aca="false">IF($A619="","",MOD(MONTH($A619)-Setup!$B$6+12,12)+1)</f>
        <v/>
      </c>
      <c r="L619" s="36" t="str">
        <f aca="false">IF($A619="","",TEXT($A619,"MMM-YY"))</f>
        <v/>
      </c>
      <c r="M619" s="37" t="str">
        <f aca="false">IF($A619="","",IF($Q619=0,"UNMAPPED",INDEX(COA_Mapping!$C$7:$C$256,$Q619)))</f>
        <v/>
      </c>
      <c r="N619" s="38" t="str">
        <f aca="false">IF($A619="","",IF($Q619=0,"",INDEX(COA_Mapping!$E$7:$E$256,$Q619)))</f>
        <v/>
      </c>
      <c r="O619" s="38" t="n">
        <f aca="false">IF($A619="",1,IF($Q619=0,1,INDEX(COA_Mapping!$F$7:$F$256,$Q619)))</f>
        <v>1</v>
      </c>
      <c r="P619" s="34" t="str">
        <f aca="false">IF($A619="","",$I619*$O619)</f>
        <v/>
      </c>
      <c r="Q619" s="39" t="n">
        <f aca="false">IF($B619="",0,IFERROR(MATCH($B619,COA_Mapping!$A$7:$A$256,0),0))</f>
        <v>0</v>
      </c>
      <c r="R619" s="39" t="n">
        <f aca="false">IF($A619="",-1,IF($J619=Setup!$B$7,1,IF($J619=Setup!$B$9,0,-1)))</f>
        <v>-1</v>
      </c>
      <c r="S619" s="35" t="n">
        <f aca="false">IF(OR($A619="",$Q619=0,$R619=-1),0,$Q619*1000+$R619*100+$K619)</f>
        <v>0</v>
      </c>
      <c r="T619" s="37" t="str">
        <f aca="false">IF($A619="","",IF($B619="","NO ACCOUNT",IF($Q619=0,"UNMAPPED",IF($R619=-1,"OUTSIDE FY RANGE","OK"))))</f>
        <v/>
      </c>
      <c r="U619" s="40" t="str">
        <f aca="false">IF($A619="","",$B619&amp;"|"&amp;TEXT($A619,"yyyymmdd")&amp;"|"&amp;TEXT($I619,"0.00"))</f>
        <v/>
      </c>
      <c r="V619" s="35" t="str">
        <f aca="false">IF($A619="","",COUNTIF($U$8:$U$5007,$U619))</f>
        <v/>
      </c>
    </row>
    <row r="620" customFormat="false" ht="15" hidden="false" customHeight="false" outlineLevel="0" collapsed="false">
      <c r="A620" s="31"/>
      <c r="B620" s="32"/>
      <c r="C620" s="32"/>
      <c r="D620" s="32"/>
      <c r="E620" s="32"/>
      <c r="F620" s="32"/>
      <c r="G620" s="33"/>
      <c r="H620" s="33"/>
      <c r="I620" s="34" t="str">
        <f aca="false">IF($A620="","",$G620-$H620)</f>
        <v/>
      </c>
      <c r="J620" s="35" t="str">
        <f aca="false">IF($A620="","",IF(Setup!$B$6=1,YEAR($A620),YEAR($A620)+IF(MONTH($A620)&gt;=Setup!$B$6,1,0)))</f>
        <v/>
      </c>
      <c r="K620" s="35" t="str">
        <f aca="false">IF($A620="","",MOD(MONTH($A620)-Setup!$B$6+12,12)+1)</f>
        <v/>
      </c>
      <c r="L620" s="36" t="str">
        <f aca="false">IF($A620="","",TEXT($A620,"MMM-YY"))</f>
        <v/>
      </c>
      <c r="M620" s="37" t="str">
        <f aca="false">IF($A620="","",IF($Q620=0,"UNMAPPED",INDEX(COA_Mapping!$C$7:$C$256,$Q620)))</f>
        <v/>
      </c>
      <c r="N620" s="38" t="str">
        <f aca="false">IF($A620="","",IF($Q620=0,"",INDEX(COA_Mapping!$E$7:$E$256,$Q620)))</f>
        <v/>
      </c>
      <c r="O620" s="38" t="n">
        <f aca="false">IF($A620="",1,IF($Q620=0,1,INDEX(COA_Mapping!$F$7:$F$256,$Q620)))</f>
        <v>1</v>
      </c>
      <c r="P620" s="34" t="str">
        <f aca="false">IF($A620="","",$I620*$O620)</f>
        <v/>
      </c>
      <c r="Q620" s="39" t="n">
        <f aca="false">IF($B620="",0,IFERROR(MATCH($B620,COA_Mapping!$A$7:$A$256,0),0))</f>
        <v>0</v>
      </c>
      <c r="R620" s="39" t="n">
        <f aca="false">IF($A620="",-1,IF($J620=Setup!$B$7,1,IF($J620=Setup!$B$9,0,-1)))</f>
        <v>-1</v>
      </c>
      <c r="S620" s="35" t="n">
        <f aca="false">IF(OR($A620="",$Q620=0,$R620=-1),0,$Q620*1000+$R620*100+$K620)</f>
        <v>0</v>
      </c>
      <c r="T620" s="37" t="str">
        <f aca="false">IF($A620="","",IF($B620="","NO ACCOUNT",IF($Q620=0,"UNMAPPED",IF($R620=-1,"OUTSIDE FY RANGE","OK"))))</f>
        <v/>
      </c>
      <c r="U620" s="40" t="str">
        <f aca="false">IF($A620="","",$B620&amp;"|"&amp;TEXT($A620,"yyyymmdd")&amp;"|"&amp;TEXT($I620,"0.00"))</f>
        <v/>
      </c>
      <c r="V620" s="35" t="str">
        <f aca="false">IF($A620="","",COUNTIF($U$8:$U$5007,$U620))</f>
        <v/>
      </c>
    </row>
    <row r="621" customFormat="false" ht="15" hidden="false" customHeight="false" outlineLevel="0" collapsed="false">
      <c r="A621" s="31"/>
      <c r="B621" s="32"/>
      <c r="C621" s="32"/>
      <c r="D621" s="32"/>
      <c r="E621" s="32"/>
      <c r="F621" s="32"/>
      <c r="G621" s="33"/>
      <c r="H621" s="33"/>
      <c r="I621" s="34" t="str">
        <f aca="false">IF($A621="","",$G621-$H621)</f>
        <v/>
      </c>
      <c r="J621" s="35" t="str">
        <f aca="false">IF($A621="","",IF(Setup!$B$6=1,YEAR($A621),YEAR($A621)+IF(MONTH($A621)&gt;=Setup!$B$6,1,0)))</f>
        <v/>
      </c>
      <c r="K621" s="35" t="str">
        <f aca="false">IF($A621="","",MOD(MONTH($A621)-Setup!$B$6+12,12)+1)</f>
        <v/>
      </c>
      <c r="L621" s="36" t="str">
        <f aca="false">IF($A621="","",TEXT($A621,"MMM-YY"))</f>
        <v/>
      </c>
      <c r="M621" s="37" t="str">
        <f aca="false">IF($A621="","",IF($Q621=0,"UNMAPPED",INDEX(COA_Mapping!$C$7:$C$256,$Q621)))</f>
        <v/>
      </c>
      <c r="N621" s="38" t="str">
        <f aca="false">IF($A621="","",IF($Q621=0,"",INDEX(COA_Mapping!$E$7:$E$256,$Q621)))</f>
        <v/>
      </c>
      <c r="O621" s="38" t="n">
        <f aca="false">IF($A621="",1,IF($Q621=0,1,INDEX(COA_Mapping!$F$7:$F$256,$Q621)))</f>
        <v>1</v>
      </c>
      <c r="P621" s="34" t="str">
        <f aca="false">IF($A621="","",$I621*$O621)</f>
        <v/>
      </c>
      <c r="Q621" s="39" t="n">
        <f aca="false">IF($B621="",0,IFERROR(MATCH($B621,COA_Mapping!$A$7:$A$256,0),0))</f>
        <v>0</v>
      </c>
      <c r="R621" s="39" t="n">
        <f aca="false">IF($A621="",-1,IF($J621=Setup!$B$7,1,IF($J621=Setup!$B$9,0,-1)))</f>
        <v>-1</v>
      </c>
      <c r="S621" s="35" t="n">
        <f aca="false">IF(OR($A621="",$Q621=0,$R621=-1),0,$Q621*1000+$R621*100+$K621)</f>
        <v>0</v>
      </c>
      <c r="T621" s="37" t="str">
        <f aca="false">IF($A621="","",IF($B621="","NO ACCOUNT",IF($Q621=0,"UNMAPPED",IF($R621=-1,"OUTSIDE FY RANGE","OK"))))</f>
        <v/>
      </c>
      <c r="U621" s="40" t="str">
        <f aca="false">IF($A621="","",$B621&amp;"|"&amp;TEXT($A621,"yyyymmdd")&amp;"|"&amp;TEXT($I621,"0.00"))</f>
        <v/>
      </c>
      <c r="V621" s="35" t="str">
        <f aca="false">IF($A621="","",COUNTIF($U$8:$U$5007,$U621))</f>
        <v/>
      </c>
    </row>
    <row r="622" customFormat="false" ht="15" hidden="false" customHeight="false" outlineLevel="0" collapsed="false">
      <c r="A622" s="31"/>
      <c r="B622" s="32"/>
      <c r="C622" s="32"/>
      <c r="D622" s="32"/>
      <c r="E622" s="32"/>
      <c r="F622" s="32"/>
      <c r="G622" s="33"/>
      <c r="H622" s="33"/>
      <c r="I622" s="34" t="str">
        <f aca="false">IF($A622="","",$G622-$H622)</f>
        <v/>
      </c>
      <c r="J622" s="35" t="str">
        <f aca="false">IF($A622="","",IF(Setup!$B$6=1,YEAR($A622),YEAR($A622)+IF(MONTH($A622)&gt;=Setup!$B$6,1,0)))</f>
        <v/>
      </c>
      <c r="K622" s="35" t="str">
        <f aca="false">IF($A622="","",MOD(MONTH($A622)-Setup!$B$6+12,12)+1)</f>
        <v/>
      </c>
      <c r="L622" s="36" t="str">
        <f aca="false">IF($A622="","",TEXT($A622,"MMM-YY"))</f>
        <v/>
      </c>
      <c r="M622" s="37" t="str">
        <f aca="false">IF($A622="","",IF($Q622=0,"UNMAPPED",INDEX(COA_Mapping!$C$7:$C$256,$Q622)))</f>
        <v/>
      </c>
      <c r="N622" s="38" t="str">
        <f aca="false">IF($A622="","",IF($Q622=0,"",INDEX(COA_Mapping!$E$7:$E$256,$Q622)))</f>
        <v/>
      </c>
      <c r="O622" s="38" t="n">
        <f aca="false">IF($A622="",1,IF($Q622=0,1,INDEX(COA_Mapping!$F$7:$F$256,$Q622)))</f>
        <v>1</v>
      </c>
      <c r="P622" s="34" t="str">
        <f aca="false">IF($A622="","",$I622*$O622)</f>
        <v/>
      </c>
      <c r="Q622" s="39" t="n">
        <f aca="false">IF($B622="",0,IFERROR(MATCH($B622,COA_Mapping!$A$7:$A$256,0),0))</f>
        <v>0</v>
      </c>
      <c r="R622" s="39" t="n">
        <f aca="false">IF($A622="",-1,IF($J622=Setup!$B$7,1,IF($J622=Setup!$B$9,0,-1)))</f>
        <v>-1</v>
      </c>
      <c r="S622" s="35" t="n">
        <f aca="false">IF(OR($A622="",$Q622=0,$R622=-1),0,$Q622*1000+$R622*100+$K622)</f>
        <v>0</v>
      </c>
      <c r="T622" s="37" t="str">
        <f aca="false">IF($A622="","",IF($B622="","NO ACCOUNT",IF($Q622=0,"UNMAPPED",IF($R622=-1,"OUTSIDE FY RANGE","OK"))))</f>
        <v/>
      </c>
      <c r="U622" s="40" t="str">
        <f aca="false">IF($A622="","",$B622&amp;"|"&amp;TEXT($A622,"yyyymmdd")&amp;"|"&amp;TEXT($I622,"0.00"))</f>
        <v/>
      </c>
      <c r="V622" s="35" t="str">
        <f aca="false">IF($A622="","",COUNTIF($U$8:$U$5007,$U622))</f>
        <v/>
      </c>
    </row>
    <row r="623" customFormat="false" ht="15" hidden="false" customHeight="false" outlineLevel="0" collapsed="false">
      <c r="A623" s="31"/>
      <c r="B623" s="32"/>
      <c r="C623" s="32"/>
      <c r="D623" s="32"/>
      <c r="E623" s="32"/>
      <c r="F623" s="32"/>
      <c r="G623" s="33"/>
      <c r="H623" s="33"/>
      <c r="I623" s="34" t="str">
        <f aca="false">IF($A623="","",$G623-$H623)</f>
        <v/>
      </c>
      <c r="J623" s="35" t="str">
        <f aca="false">IF($A623="","",IF(Setup!$B$6=1,YEAR($A623),YEAR($A623)+IF(MONTH($A623)&gt;=Setup!$B$6,1,0)))</f>
        <v/>
      </c>
      <c r="K623" s="35" t="str">
        <f aca="false">IF($A623="","",MOD(MONTH($A623)-Setup!$B$6+12,12)+1)</f>
        <v/>
      </c>
      <c r="L623" s="36" t="str">
        <f aca="false">IF($A623="","",TEXT($A623,"MMM-YY"))</f>
        <v/>
      </c>
      <c r="M623" s="37" t="str">
        <f aca="false">IF($A623="","",IF($Q623=0,"UNMAPPED",INDEX(COA_Mapping!$C$7:$C$256,$Q623)))</f>
        <v/>
      </c>
      <c r="N623" s="38" t="str">
        <f aca="false">IF($A623="","",IF($Q623=0,"",INDEX(COA_Mapping!$E$7:$E$256,$Q623)))</f>
        <v/>
      </c>
      <c r="O623" s="38" t="n">
        <f aca="false">IF($A623="",1,IF($Q623=0,1,INDEX(COA_Mapping!$F$7:$F$256,$Q623)))</f>
        <v>1</v>
      </c>
      <c r="P623" s="34" t="str">
        <f aca="false">IF($A623="","",$I623*$O623)</f>
        <v/>
      </c>
      <c r="Q623" s="39" t="n">
        <f aca="false">IF($B623="",0,IFERROR(MATCH($B623,COA_Mapping!$A$7:$A$256,0),0))</f>
        <v>0</v>
      </c>
      <c r="R623" s="39" t="n">
        <f aca="false">IF($A623="",-1,IF($J623=Setup!$B$7,1,IF($J623=Setup!$B$9,0,-1)))</f>
        <v>-1</v>
      </c>
      <c r="S623" s="35" t="n">
        <f aca="false">IF(OR($A623="",$Q623=0,$R623=-1),0,$Q623*1000+$R623*100+$K623)</f>
        <v>0</v>
      </c>
      <c r="T623" s="37" t="str">
        <f aca="false">IF($A623="","",IF($B623="","NO ACCOUNT",IF($Q623=0,"UNMAPPED",IF($R623=-1,"OUTSIDE FY RANGE","OK"))))</f>
        <v/>
      </c>
      <c r="U623" s="40" t="str">
        <f aca="false">IF($A623="","",$B623&amp;"|"&amp;TEXT($A623,"yyyymmdd")&amp;"|"&amp;TEXT($I623,"0.00"))</f>
        <v/>
      </c>
      <c r="V623" s="35" t="str">
        <f aca="false">IF($A623="","",COUNTIF($U$8:$U$5007,$U623))</f>
        <v/>
      </c>
    </row>
    <row r="624" customFormat="false" ht="15" hidden="false" customHeight="false" outlineLevel="0" collapsed="false">
      <c r="A624" s="31"/>
      <c r="B624" s="32"/>
      <c r="C624" s="32"/>
      <c r="D624" s="32"/>
      <c r="E624" s="32"/>
      <c r="F624" s="32"/>
      <c r="G624" s="33"/>
      <c r="H624" s="33"/>
      <c r="I624" s="34" t="str">
        <f aca="false">IF($A624="","",$G624-$H624)</f>
        <v/>
      </c>
      <c r="J624" s="35" t="str">
        <f aca="false">IF($A624="","",IF(Setup!$B$6=1,YEAR($A624),YEAR($A624)+IF(MONTH($A624)&gt;=Setup!$B$6,1,0)))</f>
        <v/>
      </c>
      <c r="K624" s="35" t="str">
        <f aca="false">IF($A624="","",MOD(MONTH($A624)-Setup!$B$6+12,12)+1)</f>
        <v/>
      </c>
      <c r="L624" s="36" t="str">
        <f aca="false">IF($A624="","",TEXT($A624,"MMM-YY"))</f>
        <v/>
      </c>
      <c r="M624" s="37" t="str">
        <f aca="false">IF($A624="","",IF($Q624=0,"UNMAPPED",INDEX(COA_Mapping!$C$7:$C$256,$Q624)))</f>
        <v/>
      </c>
      <c r="N624" s="38" t="str">
        <f aca="false">IF($A624="","",IF($Q624=0,"",INDEX(COA_Mapping!$E$7:$E$256,$Q624)))</f>
        <v/>
      </c>
      <c r="O624" s="38" t="n">
        <f aca="false">IF($A624="",1,IF($Q624=0,1,INDEX(COA_Mapping!$F$7:$F$256,$Q624)))</f>
        <v>1</v>
      </c>
      <c r="P624" s="34" t="str">
        <f aca="false">IF($A624="","",$I624*$O624)</f>
        <v/>
      </c>
      <c r="Q624" s="39" t="n">
        <f aca="false">IF($B624="",0,IFERROR(MATCH($B624,COA_Mapping!$A$7:$A$256,0),0))</f>
        <v>0</v>
      </c>
      <c r="R624" s="39" t="n">
        <f aca="false">IF($A624="",-1,IF($J624=Setup!$B$7,1,IF($J624=Setup!$B$9,0,-1)))</f>
        <v>-1</v>
      </c>
      <c r="S624" s="35" t="n">
        <f aca="false">IF(OR($A624="",$Q624=0,$R624=-1),0,$Q624*1000+$R624*100+$K624)</f>
        <v>0</v>
      </c>
      <c r="T624" s="37" t="str">
        <f aca="false">IF($A624="","",IF($B624="","NO ACCOUNT",IF($Q624=0,"UNMAPPED",IF($R624=-1,"OUTSIDE FY RANGE","OK"))))</f>
        <v/>
      </c>
      <c r="U624" s="40" t="str">
        <f aca="false">IF($A624="","",$B624&amp;"|"&amp;TEXT($A624,"yyyymmdd")&amp;"|"&amp;TEXT($I624,"0.00"))</f>
        <v/>
      </c>
      <c r="V624" s="35" t="str">
        <f aca="false">IF($A624="","",COUNTIF($U$8:$U$5007,$U624))</f>
        <v/>
      </c>
    </row>
    <row r="625" customFormat="false" ht="15" hidden="false" customHeight="false" outlineLevel="0" collapsed="false">
      <c r="A625" s="31"/>
      <c r="B625" s="32"/>
      <c r="C625" s="32"/>
      <c r="D625" s="32"/>
      <c r="E625" s="32"/>
      <c r="F625" s="32"/>
      <c r="G625" s="33"/>
      <c r="H625" s="33"/>
      <c r="I625" s="34" t="str">
        <f aca="false">IF($A625="","",$G625-$H625)</f>
        <v/>
      </c>
      <c r="J625" s="35" t="str">
        <f aca="false">IF($A625="","",IF(Setup!$B$6=1,YEAR($A625),YEAR($A625)+IF(MONTH($A625)&gt;=Setup!$B$6,1,0)))</f>
        <v/>
      </c>
      <c r="K625" s="35" t="str">
        <f aca="false">IF($A625="","",MOD(MONTH($A625)-Setup!$B$6+12,12)+1)</f>
        <v/>
      </c>
      <c r="L625" s="36" t="str">
        <f aca="false">IF($A625="","",TEXT($A625,"MMM-YY"))</f>
        <v/>
      </c>
      <c r="M625" s="37" t="str">
        <f aca="false">IF($A625="","",IF($Q625=0,"UNMAPPED",INDEX(COA_Mapping!$C$7:$C$256,$Q625)))</f>
        <v/>
      </c>
      <c r="N625" s="38" t="str">
        <f aca="false">IF($A625="","",IF($Q625=0,"",INDEX(COA_Mapping!$E$7:$E$256,$Q625)))</f>
        <v/>
      </c>
      <c r="O625" s="38" t="n">
        <f aca="false">IF($A625="",1,IF($Q625=0,1,INDEX(COA_Mapping!$F$7:$F$256,$Q625)))</f>
        <v>1</v>
      </c>
      <c r="P625" s="34" t="str">
        <f aca="false">IF($A625="","",$I625*$O625)</f>
        <v/>
      </c>
      <c r="Q625" s="39" t="n">
        <f aca="false">IF($B625="",0,IFERROR(MATCH($B625,COA_Mapping!$A$7:$A$256,0),0))</f>
        <v>0</v>
      </c>
      <c r="R625" s="39" t="n">
        <f aca="false">IF($A625="",-1,IF($J625=Setup!$B$7,1,IF($J625=Setup!$B$9,0,-1)))</f>
        <v>-1</v>
      </c>
      <c r="S625" s="35" t="n">
        <f aca="false">IF(OR($A625="",$Q625=0,$R625=-1),0,$Q625*1000+$R625*100+$K625)</f>
        <v>0</v>
      </c>
      <c r="T625" s="37" t="str">
        <f aca="false">IF($A625="","",IF($B625="","NO ACCOUNT",IF($Q625=0,"UNMAPPED",IF($R625=-1,"OUTSIDE FY RANGE","OK"))))</f>
        <v/>
      </c>
      <c r="U625" s="40" t="str">
        <f aca="false">IF($A625="","",$B625&amp;"|"&amp;TEXT($A625,"yyyymmdd")&amp;"|"&amp;TEXT($I625,"0.00"))</f>
        <v/>
      </c>
      <c r="V625" s="35" t="str">
        <f aca="false">IF($A625="","",COUNTIF($U$8:$U$5007,$U625))</f>
        <v/>
      </c>
    </row>
    <row r="626" customFormat="false" ht="15" hidden="false" customHeight="false" outlineLevel="0" collapsed="false">
      <c r="A626" s="31"/>
      <c r="B626" s="32"/>
      <c r="C626" s="32"/>
      <c r="D626" s="32"/>
      <c r="E626" s="32"/>
      <c r="F626" s="32"/>
      <c r="G626" s="33"/>
      <c r="H626" s="33"/>
      <c r="I626" s="34" t="str">
        <f aca="false">IF($A626="","",$G626-$H626)</f>
        <v/>
      </c>
      <c r="J626" s="35" t="str">
        <f aca="false">IF($A626="","",IF(Setup!$B$6=1,YEAR($A626),YEAR($A626)+IF(MONTH($A626)&gt;=Setup!$B$6,1,0)))</f>
        <v/>
      </c>
      <c r="K626" s="35" t="str">
        <f aca="false">IF($A626="","",MOD(MONTH($A626)-Setup!$B$6+12,12)+1)</f>
        <v/>
      </c>
      <c r="L626" s="36" t="str">
        <f aca="false">IF($A626="","",TEXT($A626,"MMM-YY"))</f>
        <v/>
      </c>
      <c r="M626" s="37" t="str">
        <f aca="false">IF($A626="","",IF($Q626=0,"UNMAPPED",INDEX(COA_Mapping!$C$7:$C$256,$Q626)))</f>
        <v/>
      </c>
      <c r="N626" s="38" t="str">
        <f aca="false">IF($A626="","",IF($Q626=0,"",INDEX(COA_Mapping!$E$7:$E$256,$Q626)))</f>
        <v/>
      </c>
      <c r="O626" s="38" t="n">
        <f aca="false">IF($A626="",1,IF($Q626=0,1,INDEX(COA_Mapping!$F$7:$F$256,$Q626)))</f>
        <v>1</v>
      </c>
      <c r="P626" s="34" t="str">
        <f aca="false">IF($A626="","",$I626*$O626)</f>
        <v/>
      </c>
      <c r="Q626" s="39" t="n">
        <f aca="false">IF($B626="",0,IFERROR(MATCH($B626,COA_Mapping!$A$7:$A$256,0),0))</f>
        <v>0</v>
      </c>
      <c r="R626" s="39" t="n">
        <f aca="false">IF($A626="",-1,IF($J626=Setup!$B$7,1,IF($J626=Setup!$B$9,0,-1)))</f>
        <v>-1</v>
      </c>
      <c r="S626" s="35" t="n">
        <f aca="false">IF(OR($A626="",$Q626=0,$R626=-1),0,$Q626*1000+$R626*100+$K626)</f>
        <v>0</v>
      </c>
      <c r="T626" s="37" t="str">
        <f aca="false">IF($A626="","",IF($B626="","NO ACCOUNT",IF($Q626=0,"UNMAPPED",IF($R626=-1,"OUTSIDE FY RANGE","OK"))))</f>
        <v/>
      </c>
      <c r="U626" s="40" t="str">
        <f aca="false">IF($A626="","",$B626&amp;"|"&amp;TEXT($A626,"yyyymmdd")&amp;"|"&amp;TEXT($I626,"0.00"))</f>
        <v/>
      </c>
      <c r="V626" s="35" t="str">
        <f aca="false">IF($A626="","",COUNTIF($U$8:$U$5007,$U626))</f>
        <v/>
      </c>
    </row>
    <row r="627" customFormat="false" ht="15" hidden="false" customHeight="false" outlineLevel="0" collapsed="false">
      <c r="A627" s="31"/>
      <c r="B627" s="32"/>
      <c r="C627" s="32"/>
      <c r="D627" s="32"/>
      <c r="E627" s="32"/>
      <c r="F627" s="32"/>
      <c r="G627" s="33"/>
      <c r="H627" s="33"/>
      <c r="I627" s="34" t="str">
        <f aca="false">IF($A627="","",$G627-$H627)</f>
        <v/>
      </c>
      <c r="J627" s="35" t="str">
        <f aca="false">IF($A627="","",IF(Setup!$B$6=1,YEAR($A627),YEAR($A627)+IF(MONTH($A627)&gt;=Setup!$B$6,1,0)))</f>
        <v/>
      </c>
      <c r="K627" s="35" t="str">
        <f aca="false">IF($A627="","",MOD(MONTH($A627)-Setup!$B$6+12,12)+1)</f>
        <v/>
      </c>
      <c r="L627" s="36" t="str">
        <f aca="false">IF($A627="","",TEXT($A627,"MMM-YY"))</f>
        <v/>
      </c>
      <c r="M627" s="37" t="str">
        <f aca="false">IF($A627="","",IF($Q627=0,"UNMAPPED",INDEX(COA_Mapping!$C$7:$C$256,$Q627)))</f>
        <v/>
      </c>
      <c r="N627" s="38" t="str">
        <f aca="false">IF($A627="","",IF($Q627=0,"",INDEX(COA_Mapping!$E$7:$E$256,$Q627)))</f>
        <v/>
      </c>
      <c r="O627" s="38" t="n">
        <f aca="false">IF($A627="",1,IF($Q627=0,1,INDEX(COA_Mapping!$F$7:$F$256,$Q627)))</f>
        <v>1</v>
      </c>
      <c r="P627" s="34" t="str">
        <f aca="false">IF($A627="","",$I627*$O627)</f>
        <v/>
      </c>
      <c r="Q627" s="39" t="n">
        <f aca="false">IF($B627="",0,IFERROR(MATCH($B627,COA_Mapping!$A$7:$A$256,0),0))</f>
        <v>0</v>
      </c>
      <c r="R627" s="39" t="n">
        <f aca="false">IF($A627="",-1,IF($J627=Setup!$B$7,1,IF($J627=Setup!$B$9,0,-1)))</f>
        <v>-1</v>
      </c>
      <c r="S627" s="35" t="n">
        <f aca="false">IF(OR($A627="",$Q627=0,$R627=-1),0,$Q627*1000+$R627*100+$K627)</f>
        <v>0</v>
      </c>
      <c r="T627" s="37" t="str">
        <f aca="false">IF($A627="","",IF($B627="","NO ACCOUNT",IF($Q627=0,"UNMAPPED",IF($R627=-1,"OUTSIDE FY RANGE","OK"))))</f>
        <v/>
      </c>
      <c r="U627" s="40" t="str">
        <f aca="false">IF($A627="","",$B627&amp;"|"&amp;TEXT($A627,"yyyymmdd")&amp;"|"&amp;TEXT($I627,"0.00"))</f>
        <v/>
      </c>
      <c r="V627" s="35" t="str">
        <f aca="false">IF($A627="","",COUNTIF($U$8:$U$5007,$U627))</f>
        <v/>
      </c>
    </row>
    <row r="628" customFormat="false" ht="15" hidden="false" customHeight="false" outlineLevel="0" collapsed="false">
      <c r="A628" s="31"/>
      <c r="B628" s="32"/>
      <c r="C628" s="32"/>
      <c r="D628" s="32"/>
      <c r="E628" s="32"/>
      <c r="F628" s="32"/>
      <c r="G628" s="33"/>
      <c r="H628" s="33"/>
      <c r="I628" s="34" t="str">
        <f aca="false">IF($A628="","",$G628-$H628)</f>
        <v/>
      </c>
      <c r="J628" s="35" t="str">
        <f aca="false">IF($A628="","",IF(Setup!$B$6=1,YEAR($A628),YEAR($A628)+IF(MONTH($A628)&gt;=Setup!$B$6,1,0)))</f>
        <v/>
      </c>
      <c r="K628" s="35" t="str">
        <f aca="false">IF($A628="","",MOD(MONTH($A628)-Setup!$B$6+12,12)+1)</f>
        <v/>
      </c>
      <c r="L628" s="36" t="str">
        <f aca="false">IF($A628="","",TEXT($A628,"MMM-YY"))</f>
        <v/>
      </c>
      <c r="M628" s="37" t="str">
        <f aca="false">IF($A628="","",IF($Q628=0,"UNMAPPED",INDEX(COA_Mapping!$C$7:$C$256,$Q628)))</f>
        <v/>
      </c>
      <c r="N628" s="38" t="str">
        <f aca="false">IF($A628="","",IF($Q628=0,"",INDEX(COA_Mapping!$E$7:$E$256,$Q628)))</f>
        <v/>
      </c>
      <c r="O628" s="38" t="n">
        <f aca="false">IF($A628="",1,IF($Q628=0,1,INDEX(COA_Mapping!$F$7:$F$256,$Q628)))</f>
        <v>1</v>
      </c>
      <c r="P628" s="34" t="str">
        <f aca="false">IF($A628="","",$I628*$O628)</f>
        <v/>
      </c>
      <c r="Q628" s="39" t="n">
        <f aca="false">IF($B628="",0,IFERROR(MATCH($B628,COA_Mapping!$A$7:$A$256,0),0))</f>
        <v>0</v>
      </c>
      <c r="R628" s="39" t="n">
        <f aca="false">IF($A628="",-1,IF($J628=Setup!$B$7,1,IF($J628=Setup!$B$9,0,-1)))</f>
        <v>-1</v>
      </c>
      <c r="S628" s="35" t="n">
        <f aca="false">IF(OR($A628="",$Q628=0,$R628=-1),0,$Q628*1000+$R628*100+$K628)</f>
        <v>0</v>
      </c>
      <c r="T628" s="37" t="str">
        <f aca="false">IF($A628="","",IF($B628="","NO ACCOUNT",IF($Q628=0,"UNMAPPED",IF($R628=-1,"OUTSIDE FY RANGE","OK"))))</f>
        <v/>
      </c>
      <c r="U628" s="40" t="str">
        <f aca="false">IF($A628="","",$B628&amp;"|"&amp;TEXT($A628,"yyyymmdd")&amp;"|"&amp;TEXT($I628,"0.00"))</f>
        <v/>
      </c>
      <c r="V628" s="35" t="str">
        <f aca="false">IF($A628="","",COUNTIF($U$8:$U$5007,$U628))</f>
        <v/>
      </c>
    </row>
    <row r="629" customFormat="false" ht="15" hidden="false" customHeight="false" outlineLevel="0" collapsed="false">
      <c r="A629" s="31"/>
      <c r="B629" s="32"/>
      <c r="C629" s="32"/>
      <c r="D629" s="32"/>
      <c r="E629" s="32"/>
      <c r="F629" s="32"/>
      <c r="G629" s="33"/>
      <c r="H629" s="33"/>
      <c r="I629" s="34" t="str">
        <f aca="false">IF($A629="","",$G629-$H629)</f>
        <v/>
      </c>
      <c r="J629" s="35" t="str">
        <f aca="false">IF($A629="","",IF(Setup!$B$6=1,YEAR($A629),YEAR($A629)+IF(MONTH($A629)&gt;=Setup!$B$6,1,0)))</f>
        <v/>
      </c>
      <c r="K629" s="35" t="str">
        <f aca="false">IF($A629="","",MOD(MONTH($A629)-Setup!$B$6+12,12)+1)</f>
        <v/>
      </c>
      <c r="L629" s="36" t="str">
        <f aca="false">IF($A629="","",TEXT($A629,"MMM-YY"))</f>
        <v/>
      </c>
      <c r="M629" s="37" t="str">
        <f aca="false">IF($A629="","",IF($Q629=0,"UNMAPPED",INDEX(COA_Mapping!$C$7:$C$256,$Q629)))</f>
        <v/>
      </c>
      <c r="N629" s="38" t="str">
        <f aca="false">IF($A629="","",IF($Q629=0,"",INDEX(COA_Mapping!$E$7:$E$256,$Q629)))</f>
        <v/>
      </c>
      <c r="O629" s="38" t="n">
        <f aca="false">IF($A629="",1,IF($Q629=0,1,INDEX(COA_Mapping!$F$7:$F$256,$Q629)))</f>
        <v>1</v>
      </c>
      <c r="P629" s="34" t="str">
        <f aca="false">IF($A629="","",$I629*$O629)</f>
        <v/>
      </c>
      <c r="Q629" s="39" t="n">
        <f aca="false">IF($B629="",0,IFERROR(MATCH($B629,COA_Mapping!$A$7:$A$256,0),0))</f>
        <v>0</v>
      </c>
      <c r="R629" s="39" t="n">
        <f aca="false">IF($A629="",-1,IF($J629=Setup!$B$7,1,IF($J629=Setup!$B$9,0,-1)))</f>
        <v>-1</v>
      </c>
      <c r="S629" s="35" t="n">
        <f aca="false">IF(OR($A629="",$Q629=0,$R629=-1),0,$Q629*1000+$R629*100+$K629)</f>
        <v>0</v>
      </c>
      <c r="T629" s="37" t="str">
        <f aca="false">IF($A629="","",IF($B629="","NO ACCOUNT",IF($Q629=0,"UNMAPPED",IF($R629=-1,"OUTSIDE FY RANGE","OK"))))</f>
        <v/>
      </c>
      <c r="U629" s="40" t="str">
        <f aca="false">IF($A629="","",$B629&amp;"|"&amp;TEXT($A629,"yyyymmdd")&amp;"|"&amp;TEXT($I629,"0.00"))</f>
        <v/>
      </c>
      <c r="V629" s="35" t="str">
        <f aca="false">IF($A629="","",COUNTIF($U$8:$U$5007,$U629))</f>
        <v/>
      </c>
    </row>
    <row r="630" customFormat="false" ht="15" hidden="false" customHeight="false" outlineLevel="0" collapsed="false">
      <c r="A630" s="31"/>
      <c r="B630" s="32"/>
      <c r="C630" s="32"/>
      <c r="D630" s="32"/>
      <c r="E630" s="32"/>
      <c r="F630" s="32"/>
      <c r="G630" s="33"/>
      <c r="H630" s="33"/>
      <c r="I630" s="34" t="str">
        <f aca="false">IF($A630="","",$G630-$H630)</f>
        <v/>
      </c>
      <c r="J630" s="35" t="str">
        <f aca="false">IF($A630="","",IF(Setup!$B$6=1,YEAR($A630),YEAR($A630)+IF(MONTH($A630)&gt;=Setup!$B$6,1,0)))</f>
        <v/>
      </c>
      <c r="K630" s="35" t="str">
        <f aca="false">IF($A630="","",MOD(MONTH($A630)-Setup!$B$6+12,12)+1)</f>
        <v/>
      </c>
      <c r="L630" s="36" t="str">
        <f aca="false">IF($A630="","",TEXT($A630,"MMM-YY"))</f>
        <v/>
      </c>
      <c r="M630" s="37" t="str">
        <f aca="false">IF($A630="","",IF($Q630=0,"UNMAPPED",INDEX(COA_Mapping!$C$7:$C$256,$Q630)))</f>
        <v/>
      </c>
      <c r="N630" s="38" t="str">
        <f aca="false">IF($A630="","",IF($Q630=0,"",INDEX(COA_Mapping!$E$7:$E$256,$Q630)))</f>
        <v/>
      </c>
      <c r="O630" s="38" t="n">
        <f aca="false">IF($A630="",1,IF($Q630=0,1,INDEX(COA_Mapping!$F$7:$F$256,$Q630)))</f>
        <v>1</v>
      </c>
      <c r="P630" s="34" t="str">
        <f aca="false">IF($A630="","",$I630*$O630)</f>
        <v/>
      </c>
      <c r="Q630" s="39" t="n">
        <f aca="false">IF($B630="",0,IFERROR(MATCH($B630,COA_Mapping!$A$7:$A$256,0),0))</f>
        <v>0</v>
      </c>
      <c r="R630" s="39" t="n">
        <f aca="false">IF($A630="",-1,IF($J630=Setup!$B$7,1,IF($J630=Setup!$B$9,0,-1)))</f>
        <v>-1</v>
      </c>
      <c r="S630" s="35" t="n">
        <f aca="false">IF(OR($A630="",$Q630=0,$R630=-1),0,$Q630*1000+$R630*100+$K630)</f>
        <v>0</v>
      </c>
      <c r="T630" s="37" t="str">
        <f aca="false">IF($A630="","",IF($B630="","NO ACCOUNT",IF($Q630=0,"UNMAPPED",IF($R630=-1,"OUTSIDE FY RANGE","OK"))))</f>
        <v/>
      </c>
      <c r="U630" s="40" t="str">
        <f aca="false">IF($A630="","",$B630&amp;"|"&amp;TEXT($A630,"yyyymmdd")&amp;"|"&amp;TEXT($I630,"0.00"))</f>
        <v/>
      </c>
      <c r="V630" s="35" t="str">
        <f aca="false">IF($A630="","",COUNTIF($U$8:$U$5007,$U630))</f>
        <v/>
      </c>
    </row>
    <row r="631" customFormat="false" ht="15" hidden="false" customHeight="false" outlineLevel="0" collapsed="false">
      <c r="A631" s="31"/>
      <c r="B631" s="32"/>
      <c r="C631" s="32"/>
      <c r="D631" s="32"/>
      <c r="E631" s="32"/>
      <c r="F631" s="32"/>
      <c r="G631" s="33"/>
      <c r="H631" s="33"/>
      <c r="I631" s="34" t="str">
        <f aca="false">IF($A631="","",$G631-$H631)</f>
        <v/>
      </c>
      <c r="J631" s="35" t="str">
        <f aca="false">IF($A631="","",IF(Setup!$B$6=1,YEAR($A631),YEAR($A631)+IF(MONTH($A631)&gt;=Setup!$B$6,1,0)))</f>
        <v/>
      </c>
      <c r="K631" s="35" t="str">
        <f aca="false">IF($A631="","",MOD(MONTH($A631)-Setup!$B$6+12,12)+1)</f>
        <v/>
      </c>
      <c r="L631" s="36" t="str">
        <f aca="false">IF($A631="","",TEXT($A631,"MMM-YY"))</f>
        <v/>
      </c>
      <c r="M631" s="37" t="str">
        <f aca="false">IF($A631="","",IF($Q631=0,"UNMAPPED",INDEX(COA_Mapping!$C$7:$C$256,$Q631)))</f>
        <v/>
      </c>
      <c r="N631" s="38" t="str">
        <f aca="false">IF($A631="","",IF($Q631=0,"",INDEX(COA_Mapping!$E$7:$E$256,$Q631)))</f>
        <v/>
      </c>
      <c r="O631" s="38" t="n">
        <f aca="false">IF($A631="",1,IF($Q631=0,1,INDEX(COA_Mapping!$F$7:$F$256,$Q631)))</f>
        <v>1</v>
      </c>
      <c r="P631" s="34" t="str">
        <f aca="false">IF($A631="","",$I631*$O631)</f>
        <v/>
      </c>
      <c r="Q631" s="39" t="n">
        <f aca="false">IF($B631="",0,IFERROR(MATCH($B631,COA_Mapping!$A$7:$A$256,0),0))</f>
        <v>0</v>
      </c>
      <c r="R631" s="39" t="n">
        <f aca="false">IF($A631="",-1,IF($J631=Setup!$B$7,1,IF($J631=Setup!$B$9,0,-1)))</f>
        <v>-1</v>
      </c>
      <c r="S631" s="35" t="n">
        <f aca="false">IF(OR($A631="",$Q631=0,$R631=-1),0,$Q631*1000+$R631*100+$K631)</f>
        <v>0</v>
      </c>
      <c r="T631" s="37" t="str">
        <f aca="false">IF($A631="","",IF($B631="","NO ACCOUNT",IF($Q631=0,"UNMAPPED",IF($R631=-1,"OUTSIDE FY RANGE","OK"))))</f>
        <v/>
      </c>
      <c r="U631" s="40" t="str">
        <f aca="false">IF($A631="","",$B631&amp;"|"&amp;TEXT($A631,"yyyymmdd")&amp;"|"&amp;TEXT($I631,"0.00"))</f>
        <v/>
      </c>
      <c r="V631" s="35" t="str">
        <f aca="false">IF($A631="","",COUNTIF($U$8:$U$5007,$U631))</f>
        <v/>
      </c>
    </row>
    <row r="632" customFormat="false" ht="15" hidden="false" customHeight="false" outlineLevel="0" collapsed="false">
      <c r="A632" s="31"/>
      <c r="B632" s="32"/>
      <c r="C632" s="32"/>
      <c r="D632" s="32"/>
      <c r="E632" s="32"/>
      <c r="F632" s="32"/>
      <c r="G632" s="33"/>
      <c r="H632" s="33"/>
      <c r="I632" s="34" t="str">
        <f aca="false">IF($A632="","",$G632-$H632)</f>
        <v/>
      </c>
      <c r="J632" s="35" t="str">
        <f aca="false">IF($A632="","",IF(Setup!$B$6=1,YEAR($A632),YEAR($A632)+IF(MONTH($A632)&gt;=Setup!$B$6,1,0)))</f>
        <v/>
      </c>
      <c r="K632" s="35" t="str">
        <f aca="false">IF($A632="","",MOD(MONTH($A632)-Setup!$B$6+12,12)+1)</f>
        <v/>
      </c>
      <c r="L632" s="36" t="str">
        <f aca="false">IF($A632="","",TEXT($A632,"MMM-YY"))</f>
        <v/>
      </c>
      <c r="M632" s="37" t="str">
        <f aca="false">IF($A632="","",IF($Q632=0,"UNMAPPED",INDEX(COA_Mapping!$C$7:$C$256,$Q632)))</f>
        <v/>
      </c>
      <c r="N632" s="38" t="str">
        <f aca="false">IF($A632="","",IF($Q632=0,"",INDEX(COA_Mapping!$E$7:$E$256,$Q632)))</f>
        <v/>
      </c>
      <c r="O632" s="38" t="n">
        <f aca="false">IF($A632="",1,IF($Q632=0,1,INDEX(COA_Mapping!$F$7:$F$256,$Q632)))</f>
        <v>1</v>
      </c>
      <c r="P632" s="34" t="str">
        <f aca="false">IF($A632="","",$I632*$O632)</f>
        <v/>
      </c>
      <c r="Q632" s="39" t="n">
        <f aca="false">IF($B632="",0,IFERROR(MATCH($B632,COA_Mapping!$A$7:$A$256,0),0))</f>
        <v>0</v>
      </c>
      <c r="R632" s="39" t="n">
        <f aca="false">IF($A632="",-1,IF($J632=Setup!$B$7,1,IF($J632=Setup!$B$9,0,-1)))</f>
        <v>-1</v>
      </c>
      <c r="S632" s="35" t="n">
        <f aca="false">IF(OR($A632="",$Q632=0,$R632=-1),0,$Q632*1000+$R632*100+$K632)</f>
        <v>0</v>
      </c>
      <c r="T632" s="37" t="str">
        <f aca="false">IF($A632="","",IF($B632="","NO ACCOUNT",IF($Q632=0,"UNMAPPED",IF($R632=-1,"OUTSIDE FY RANGE","OK"))))</f>
        <v/>
      </c>
      <c r="U632" s="40" t="str">
        <f aca="false">IF($A632="","",$B632&amp;"|"&amp;TEXT($A632,"yyyymmdd")&amp;"|"&amp;TEXT($I632,"0.00"))</f>
        <v/>
      </c>
      <c r="V632" s="35" t="str">
        <f aca="false">IF($A632="","",COUNTIF($U$8:$U$5007,$U632))</f>
        <v/>
      </c>
    </row>
    <row r="633" customFormat="false" ht="15" hidden="false" customHeight="false" outlineLevel="0" collapsed="false">
      <c r="A633" s="31"/>
      <c r="B633" s="32"/>
      <c r="C633" s="32"/>
      <c r="D633" s="32"/>
      <c r="E633" s="32"/>
      <c r="F633" s="32"/>
      <c r="G633" s="33"/>
      <c r="H633" s="33"/>
      <c r="I633" s="34" t="str">
        <f aca="false">IF($A633="","",$G633-$H633)</f>
        <v/>
      </c>
      <c r="J633" s="35" t="str">
        <f aca="false">IF($A633="","",IF(Setup!$B$6=1,YEAR($A633),YEAR($A633)+IF(MONTH($A633)&gt;=Setup!$B$6,1,0)))</f>
        <v/>
      </c>
      <c r="K633" s="35" t="str">
        <f aca="false">IF($A633="","",MOD(MONTH($A633)-Setup!$B$6+12,12)+1)</f>
        <v/>
      </c>
      <c r="L633" s="36" t="str">
        <f aca="false">IF($A633="","",TEXT($A633,"MMM-YY"))</f>
        <v/>
      </c>
      <c r="M633" s="37" t="str">
        <f aca="false">IF($A633="","",IF($Q633=0,"UNMAPPED",INDEX(COA_Mapping!$C$7:$C$256,$Q633)))</f>
        <v/>
      </c>
      <c r="N633" s="38" t="str">
        <f aca="false">IF($A633="","",IF($Q633=0,"",INDEX(COA_Mapping!$E$7:$E$256,$Q633)))</f>
        <v/>
      </c>
      <c r="O633" s="38" t="n">
        <f aca="false">IF($A633="",1,IF($Q633=0,1,INDEX(COA_Mapping!$F$7:$F$256,$Q633)))</f>
        <v>1</v>
      </c>
      <c r="P633" s="34" t="str">
        <f aca="false">IF($A633="","",$I633*$O633)</f>
        <v/>
      </c>
      <c r="Q633" s="39" t="n">
        <f aca="false">IF($B633="",0,IFERROR(MATCH($B633,COA_Mapping!$A$7:$A$256,0),0))</f>
        <v>0</v>
      </c>
      <c r="R633" s="39" t="n">
        <f aca="false">IF($A633="",-1,IF($J633=Setup!$B$7,1,IF($J633=Setup!$B$9,0,-1)))</f>
        <v>-1</v>
      </c>
      <c r="S633" s="35" t="n">
        <f aca="false">IF(OR($A633="",$Q633=0,$R633=-1),0,$Q633*1000+$R633*100+$K633)</f>
        <v>0</v>
      </c>
      <c r="T633" s="37" t="str">
        <f aca="false">IF($A633="","",IF($B633="","NO ACCOUNT",IF($Q633=0,"UNMAPPED",IF($R633=-1,"OUTSIDE FY RANGE","OK"))))</f>
        <v/>
      </c>
      <c r="U633" s="40" t="str">
        <f aca="false">IF($A633="","",$B633&amp;"|"&amp;TEXT($A633,"yyyymmdd")&amp;"|"&amp;TEXT($I633,"0.00"))</f>
        <v/>
      </c>
      <c r="V633" s="35" t="str">
        <f aca="false">IF($A633="","",COUNTIF($U$8:$U$5007,$U633))</f>
        <v/>
      </c>
    </row>
    <row r="634" customFormat="false" ht="15" hidden="false" customHeight="false" outlineLevel="0" collapsed="false">
      <c r="A634" s="31"/>
      <c r="B634" s="32"/>
      <c r="C634" s="32"/>
      <c r="D634" s="32"/>
      <c r="E634" s="32"/>
      <c r="F634" s="32"/>
      <c r="G634" s="33"/>
      <c r="H634" s="33"/>
      <c r="I634" s="34" t="str">
        <f aca="false">IF($A634="","",$G634-$H634)</f>
        <v/>
      </c>
      <c r="J634" s="35" t="str">
        <f aca="false">IF($A634="","",IF(Setup!$B$6=1,YEAR($A634),YEAR($A634)+IF(MONTH($A634)&gt;=Setup!$B$6,1,0)))</f>
        <v/>
      </c>
      <c r="K634" s="35" t="str">
        <f aca="false">IF($A634="","",MOD(MONTH($A634)-Setup!$B$6+12,12)+1)</f>
        <v/>
      </c>
      <c r="L634" s="36" t="str">
        <f aca="false">IF($A634="","",TEXT($A634,"MMM-YY"))</f>
        <v/>
      </c>
      <c r="M634" s="37" t="str">
        <f aca="false">IF($A634="","",IF($Q634=0,"UNMAPPED",INDEX(COA_Mapping!$C$7:$C$256,$Q634)))</f>
        <v/>
      </c>
      <c r="N634" s="38" t="str">
        <f aca="false">IF($A634="","",IF($Q634=0,"",INDEX(COA_Mapping!$E$7:$E$256,$Q634)))</f>
        <v/>
      </c>
      <c r="O634" s="38" t="n">
        <f aca="false">IF($A634="",1,IF($Q634=0,1,INDEX(COA_Mapping!$F$7:$F$256,$Q634)))</f>
        <v>1</v>
      </c>
      <c r="P634" s="34" t="str">
        <f aca="false">IF($A634="","",$I634*$O634)</f>
        <v/>
      </c>
      <c r="Q634" s="39" t="n">
        <f aca="false">IF($B634="",0,IFERROR(MATCH($B634,COA_Mapping!$A$7:$A$256,0),0))</f>
        <v>0</v>
      </c>
      <c r="R634" s="39" t="n">
        <f aca="false">IF($A634="",-1,IF($J634=Setup!$B$7,1,IF($J634=Setup!$B$9,0,-1)))</f>
        <v>-1</v>
      </c>
      <c r="S634" s="35" t="n">
        <f aca="false">IF(OR($A634="",$Q634=0,$R634=-1),0,$Q634*1000+$R634*100+$K634)</f>
        <v>0</v>
      </c>
      <c r="T634" s="37" t="str">
        <f aca="false">IF($A634="","",IF($B634="","NO ACCOUNT",IF($Q634=0,"UNMAPPED",IF($R634=-1,"OUTSIDE FY RANGE","OK"))))</f>
        <v/>
      </c>
      <c r="U634" s="40" t="str">
        <f aca="false">IF($A634="","",$B634&amp;"|"&amp;TEXT($A634,"yyyymmdd")&amp;"|"&amp;TEXT($I634,"0.00"))</f>
        <v/>
      </c>
      <c r="V634" s="35" t="str">
        <f aca="false">IF($A634="","",COUNTIF($U$8:$U$5007,$U634))</f>
        <v/>
      </c>
    </row>
    <row r="635" customFormat="false" ht="15" hidden="false" customHeight="false" outlineLevel="0" collapsed="false">
      <c r="A635" s="31"/>
      <c r="B635" s="32"/>
      <c r="C635" s="32"/>
      <c r="D635" s="32"/>
      <c r="E635" s="32"/>
      <c r="F635" s="32"/>
      <c r="G635" s="33"/>
      <c r="H635" s="33"/>
      <c r="I635" s="34" t="str">
        <f aca="false">IF($A635="","",$G635-$H635)</f>
        <v/>
      </c>
      <c r="J635" s="35" t="str">
        <f aca="false">IF($A635="","",IF(Setup!$B$6=1,YEAR($A635),YEAR($A635)+IF(MONTH($A635)&gt;=Setup!$B$6,1,0)))</f>
        <v/>
      </c>
      <c r="K635" s="35" t="str">
        <f aca="false">IF($A635="","",MOD(MONTH($A635)-Setup!$B$6+12,12)+1)</f>
        <v/>
      </c>
      <c r="L635" s="36" t="str">
        <f aca="false">IF($A635="","",TEXT($A635,"MMM-YY"))</f>
        <v/>
      </c>
      <c r="M635" s="37" t="str">
        <f aca="false">IF($A635="","",IF($Q635=0,"UNMAPPED",INDEX(COA_Mapping!$C$7:$C$256,$Q635)))</f>
        <v/>
      </c>
      <c r="N635" s="38" t="str">
        <f aca="false">IF($A635="","",IF($Q635=0,"",INDEX(COA_Mapping!$E$7:$E$256,$Q635)))</f>
        <v/>
      </c>
      <c r="O635" s="38" t="n">
        <f aca="false">IF($A635="",1,IF($Q635=0,1,INDEX(COA_Mapping!$F$7:$F$256,$Q635)))</f>
        <v>1</v>
      </c>
      <c r="P635" s="34" t="str">
        <f aca="false">IF($A635="","",$I635*$O635)</f>
        <v/>
      </c>
      <c r="Q635" s="39" t="n">
        <f aca="false">IF($B635="",0,IFERROR(MATCH($B635,COA_Mapping!$A$7:$A$256,0),0))</f>
        <v>0</v>
      </c>
      <c r="R635" s="39" t="n">
        <f aca="false">IF($A635="",-1,IF($J635=Setup!$B$7,1,IF($J635=Setup!$B$9,0,-1)))</f>
        <v>-1</v>
      </c>
      <c r="S635" s="35" t="n">
        <f aca="false">IF(OR($A635="",$Q635=0,$R635=-1),0,$Q635*1000+$R635*100+$K635)</f>
        <v>0</v>
      </c>
      <c r="T635" s="37" t="str">
        <f aca="false">IF($A635="","",IF($B635="","NO ACCOUNT",IF($Q635=0,"UNMAPPED",IF($R635=-1,"OUTSIDE FY RANGE","OK"))))</f>
        <v/>
      </c>
      <c r="U635" s="40" t="str">
        <f aca="false">IF($A635="","",$B635&amp;"|"&amp;TEXT($A635,"yyyymmdd")&amp;"|"&amp;TEXT($I635,"0.00"))</f>
        <v/>
      </c>
      <c r="V635" s="35" t="str">
        <f aca="false">IF($A635="","",COUNTIF($U$8:$U$5007,$U635))</f>
        <v/>
      </c>
    </row>
    <row r="636" customFormat="false" ht="15" hidden="false" customHeight="false" outlineLevel="0" collapsed="false">
      <c r="A636" s="31"/>
      <c r="B636" s="32"/>
      <c r="C636" s="32"/>
      <c r="D636" s="32"/>
      <c r="E636" s="32"/>
      <c r="F636" s="32"/>
      <c r="G636" s="33"/>
      <c r="H636" s="33"/>
      <c r="I636" s="34" t="str">
        <f aca="false">IF($A636="","",$G636-$H636)</f>
        <v/>
      </c>
      <c r="J636" s="35" t="str">
        <f aca="false">IF($A636="","",IF(Setup!$B$6=1,YEAR($A636),YEAR($A636)+IF(MONTH($A636)&gt;=Setup!$B$6,1,0)))</f>
        <v/>
      </c>
      <c r="K636" s="35" t="str">
        <f aca="false">IF($A636="","",MOD(MONTH($A636)-Setup!$B$6+12,12)+1)</f>
        <v/>
      </c>
      <c r="L636" s="36" t="str">
        <f aca="false">IF($A636="","",TEXT($A636,"MMM-YY"))</f>
        <v/>
      </c>
      <c r="M636" s="37" t="str">
        <f aca="false">IF($A636="","",IF($Q636=0,"UNMAPPED",INDEX(COA_Mapping!$C$7:$C$256,$Q636)))</f>
        <v/>
      </c>
      <c r="N636" s="38" t="str">
        <f aca="false">IF($A636="","",IF($Q636=0,"",INDEX(COA_Mapping!$E$7:$E$256,$Q636)))</f>
        <v/>
      </c>
      <c r="O636" s="38" t="n">
        <f aca="false">IF($A636="",1,IF($Q636=0,1,INDEX(COA_Mapping!$F$7:$F$256,$Q636)))</f>
        <v>1</v>
      </c>
      <c r="P636" s="34" t="str">
        <f aca="false">IF($A636="","",$I636*$O636)</f>
        <v/>
      </c>
      <c r="Q636" s="39" t="n">
        <f aca="false">IF($B636="",0,IFERROR(MATCH($B636,COA_Mapping!$A$7:$A$256,0),0))</f>
        <v>0</v>
      </c>
      <c r="R636" s="39" t="n">
        <f aca="false">IF($A636="",-1,IF($J636=Setup!$B$7,1,IF($J636=Setup!$B$9,0,-1)))</f>
        <v>-1</v>
      </c>
      <c r="S636" s="35" t="n">
        <f aca="false">IF(OR($A636="",$Q636=0,$R636=-1),0,$Q636*1000+$R636*100+$K636)</f>
        <v>0</v>
      </c>
      <c r="T636" s="37" t="str">
        <f aca="false">IF($A636="","",IF($B636="","NO ACCOUNT",IF($Q636=0,"UNMAPPED",IF($R636=-1,"OUTSIDE FY RANGE","OK"))))</f>
        <v/>
      </c>
      <c r="U636" s="40" t="str">
        <f aca="false">IF($A636="","",$B636&amp;"|"&amp;TEXT($A636,"yyyymmdd")&amp;"|"&amp;TEXT($I636,"0.00"))</f>
        <v/>
      </c>
      <c r="V636" s="35" t="str">
        <f aca="false">IF($A636="","",COUNTIF($U$8:$U$5007,$U636))</f>
        <v/>
      </c>
    </row>
    <row r="637" customFormat="false" ht="15" hidden="false" customHeight="false" outlineLevel="0" collapsed="false">
      <c r="A637" s="31"/>
      <c r="B637" s="32"/>
      <c r="C637" s="32"/>
      <c r="D637" s="32"/>
      <c r="E637" s="32"/>
      <c r="F637" s="32"/>
      <c r="G637" s="33"/>
      <c r="H637" s="33"/>
      <c r="I637" s="34" t="str">
        <f aca="false">IF($A637="","",$G637-$H637)</f>
        <v/>
      </c>
      <c r="J637" s="35" t="str">
        <f aca="false">IF($A637="","",IF(Setup!$B$6=1,YEAR($A637),YEAR($A637)+IF(MONTH($A637)&gt;=Setup!$B$6,1,0)))</f>
        <v/>
      </c>
      <c r="K637" s="35" t="str">
        <f aca="false">IF($A637="","",MOD(MONTH($A637)-Setup!$B$6+12,12)+1)</f>
        <v/>
      </c>
      <c r="L637" s="36" t="str">
        <f aca="false">IF($A637="","",TEXT($A637,"MMM-YY"))</f>
        <v/>
      </c>
      <c r="M637" s="37" t="str">
        <f aca="false">IF($A637="","",IF($Q637=0,"UNMAPPED",INDEX(COA_Mapping!$C$7:$C$256,$Q637)))</f>
        <v/>
      </c>
      <c r="N637" s="38" t="str">
        <f aca="false">IF($A637="","",IF($Q637=0,"",INDEX(COA_Mapping!$E$7:$E$256,$Q637)))</f>
        <v/>
      </c>
      <c r="O637" s="38" t="n">
        <f aca="false">IF($A637="",1,IF($Q637=0,1,INDEX(COA_Mapping!$F$7:$F$256,$Q637)))</f>
        <v>1</v>
      </c>
      <c r="P637" s="34" t="str">
        <f aca="false">IF($A637="","",$I637*$O637)</f>
        <v/>
      </c>
      <c r="Q637" s="39" t="n">
        <f aca="false">IF($B637="",0,IFERROR(MATCH($B637,COA_Mapping!$A$7:$A$256,0),0))</f>
        <v>0</v>
      </c>
      <c r="R637" s="39" t="n">
        <f aca="false">IF($A637="",-1,IF($J637=Setup!$B$7,1,IF($J637=Setup!$B$9,0,-1)))</f>
        <v>-1</v>
      </c>
      <c r="S637" s="35" t="n">
        <f aca="false">IF(OR($A637="",$Q637=0,$R637=-1),0,$Q637*1000+$R637*100+$K637)</f>
        <v>0</v>
      </c>
      <c r="T637" s="37" t="str">
        <f aca="false">IF($A637="","",IF($B637="","NO ACCOUNT",IF($Q637=0,"UNMAPPED",IF($R637=-1,"OUTSIDE FY RANGE","OK"))))</f>
        <v/>
      </c>
      <c r="U637" s="40" t="str">
        <f aca="false">IF($A637="","",$B637&amp;"|"&amp;TEXT($A637,"yyyymmdd")&amp;"|"&amp;TEXT($I637,"0.00"))</f>
        <v/>
      </c>
      <c r="V637" s="35" t="str">
        <f aca="false">IF($A637="","",COUNTIF($U$8:$U$5007,$U637))</f>
        <v/>
      </c>
    </row>
    <row r="638" customFormat="false" ht="15" hidden="false" customHeight="false" outlineLevel="0" collapsed="false">
      <c r="A638" s="31"/>
      <c r="B638" s="32"/>
      <c r="C638" s="32"/>
      <c r="D638" s="32"/>
      <c r="E638" s="32"/>
      <c r="F638" s="32"/>
      <c r="G638" s="33"/>
      <c r="H638" s="33"/>
      <c r="I638" s="34" t="str">
        <f aca="false">IF($A638="","",$G638-$H638)</f>
        <v/>
      </c>
      <c r="J638" s="35" t="str">
        <f aca="false">IF($A638="","",IF(Setup!$B$6=1,YEAR($A638),YEAR($A638)+IF(MONTH($A638)&gt;=Setup!$B$6,1,0)))</f>
        <v/>
      </c>
      <c r="K638" s="35" t="str">
        <f aca="false">IF($A638="","",MOD(MONTH($A638)-Setup!$B$6+12,12)+1)</f>
        <v/>
      </c>
      <c r="L638" s="36" t="str">
        <f aca="false">IF($A638="","",TEXT($A638,"MMM-YY"))</f>
        <v/>
      </c>
      <c r="M638" s="37" t="str">
        <f aca="false">IF($A638="","",IF($Q638=0,"UNMAPPED",INDEX(COA_Mapping!$C$7:$C$256,$Q638)))</f>
        <v/>
      </c>
      <c r="N638" s="38" t="str">
        <f aca="false">IF($A638="","",IF($Q638=0,"",INDEX(COA_Mapping!$E$7:$E$256,$Q638)))</f>
        <v/>
      </c>
      <c r="O638" s="38" t="n">
        <f aca="false">IF($A638="",1,IF($Q638=0,1,INDEX(COA_Mapping!$F$7:$F$256,$Q638)))</f>
        <v>1</v>
      </c>
      <c r="P638" s="34" t="str">
        <f aca="false">IF($A638="","",$I638*$O638)</f>
        <v/>
      </c>
      <c r="Q638" s="39" t="n">
        <f aca="false">IF($B638="",0,IFERROR(MATCH($B638,COA_Mapping!$A$7:$A$256,0),0))</f>
        <v>0</v>
      </c>
      <c r="R638" s="39" t="n">
        <f aca="false">IF($A638="",-1,IF($J638=Setup!$B$7,1,IF($J638=Setup!$B$9,0,-1)))</f>
        <v>-1</v>
      </c>
      <c r="S638" s="35" t="n">
        <f aca="false">IF(OR($A638="",$Q638=0,$R638=-1),0,$Q638*1000+$R638*100+$K638)</f>
        <v>0</v>
      </c>
      <c r="T638" s="37" t="str">
        <f aca="false">IF($A638="","",IF($B638="","NO ACCOUNT",IF($Q638=0,"UNMAPPED",IF($R638=-1,"OUTSIDE FY RANGE","OK"))))</f>
        <v/>
      </c>
      <c r="U638" s="40" t="str">
        <f aca="false">IF($A638="","",$B638&amp;"|"&amp;TEXT($A638,"yyyymmdd")&amp;"|"&amp;TEXT($I638,"0.00"))</f>
        <v/>
      </c>
      <c r="V638" s="35" t="str">
        <f aca="false">IF($A638="","",COUNTIF($U$8:$U$5007,$U638))</f>
        <v/>
      </c>
    </row>
    <row r="639" customFormat="false" ht="15" hidden="false" customHeight="false" outlineLevel="0" collapsed="false">
      <c r="A639" s="31"/>
      <c r="B639" s="32"/>
      <c r="C639" s="32"/>
      <c r="D639" s="32"/>
      <c r="E639" s="32"/>
      <c r="F639" s="32"/>
      <c r="G639" s="33"/>
      <c r="H639" s="33"/>
      <c r="I639" s="34" t="str">
        <f aca="false">IF($A639="","",$G639-$H639)</f>
        <v/>
      </c>
      <c r="J639" s="35" t="str">
        <f aca="false">IF($A639="","",IF(Setup!$B$6=1,YEAR($A639),YEAR($A639)+IF(MONTH($A639)&gt;=Setup!$B$6,1,0)))</f>
        <v/>
      </c>
      <c r="K639" s="35" t="str">
        <f aca="false">IF($A639="","",MOD(MONTH($A639)-Setup!$B$6+12,12)+1)</f>
        <v/>
      </c>
      <c r="L639" s="36" t="str">
        <f aca="false">IF($A639="","",TEXT($A639,"MMM-YY"))</f>
        <v/>
      </c>
      <c r="M639" s="37" t="str">
        <f aca="false">IF($A639="","",IF($Q639=0,"UNMAPPED",INDEX(COA_Mapping!$C$7:$C$256,$Q639)))</f>
        <v/>
      </c>
      <c r="N639" s="38" t="str">
        <f aca="false">IF($A639="","",IF($Q639=0,"",INDEX(COA_Mapping!$E$7:$E$256,$Q639)))</f>
        <v/>
      </c>
      <c r="O639" s="38" t="n">
        <f aca="false">IF($A639="",1,IF($Q639=0,1,INDEX(COA_Mapping!$F$7:$F$256,$Q639)))</f>
        <v>1</v>
      </c>
      <c r="P639" s="34" t="str">
        <f aca="false">IF($A639="","",$I639*$O639)</f>
        <v/>
      </c>
      <c r="Q639" s="39" t="n">
        <f aca="false">IF($B639="",0,IFERROR(MATCH($B639,COA_Mapping!$A$7:$A$256,0),0))</f>
        <v>0</v>
      </c>
      <c r="R639" s="39" t="n">
        <f aca="false">IF($A639="",-1,IF($J639=Setup!$B$7,1,IF($J639=Setup!$B$9,0,-1)))</f>
        <v>-1</v>
      </c>
      <c r="S639" s="35" t="n">
        <f aca="false">IF(OR($A639="",$Q639=0,$R639=-1),0,$Q639*1000+$R639*100+$K639)</f>
        <v>0</v>
      </c>
      <c r="T639" s="37" t="str">
        <f aca="false">IF($A639="","",IF($B639="","NO ACCOUNT",IF($Q639=0,"UNMAPPED",IF($R639=-1,"OUTSIDE FY RANGE","OK"))))</f>
        <v/>
      </c>
      <c r="U639" s="40" t="str">
        <f aca="false">IF($A639="","",$B639&amp;"|"&amp;TEXT($A639,"yyyymmdd")&amp;"|"&amp;TEXT($I639,"0.00"))</f>
        <v/>
      </c>
      <c r="V639" s="35" t="str">
        <f aca="false">IF($A639="","",COUNTIF($U$8:$U$5007,$U639))</f>
        <v/>
      </c>
    </row>
    <row r="640" customFormat="false" ht="15" hidden="false" customHeight="false" outlineLevel="0" collapsed="false">
      <c r="A640" s="31"/>
      <c r="B640" s="32"/>
      <c r="C640" s="32"/>
      <c r="D640" s="32"/>
      <c r="E640" s="32"/>
      <c r="F640" s="32"/>
      <c r="G640" s="33"/>
      <c r="H640" s="33"/>
      <c r="I640" s="34" t="str">
        <f aca="false">IF($A640="","",$G640-$H640)</f>
        <v/>
      </c>
      <c r="J640" s="35" t="str">
        <f aca="false">IF($A640="","",IF(Setup!$B$6=1,YEAR($A640),YEAR($A640)+IF(MONTH($A640)&gt;=Setup!$B$6,1,0)))</f>
        <v/>
      </c>
      <c r="K640" s="35" t="str">
        <f aca="false">IF($A640="","",MOD(MONTH($A640)-Setup!$B$6+12,12)+1)</f>
        <v/>
      </c>
      <c r="L640" s="36" t="str">
        <f aca="false">IF($A640="","",TEXT($A640,"MMM-YY"))</f>
        <v/>
      </c>
      <c r="M640" s="37" t="str">
        <f aca="false">IF($A640="","",IF($Q640=0,"UNMAPPED",INDEX(COA_Mapping!$C$7:$C$256,$Q640)))</f>
        <v/>
      </c>
      <c r="N640" s="38" t="str">
        <f aca="false">IF($A640="","",IF($Q640=0,"",INDEX(COA_Mapping!$E$7:$E$256,$Q640)))</f>
        <v/>
      </c>
      <c r="O640" s="38" t="n">
        <f aca="false">IF($A640="",1,IF($Q640=0,1,INDEX(COA_Mapping!$F$7:$F$256,$Q640)))</f>
        <v>1</v>
      </c>
      <c r="P640" s="34" t="str">
        <f aca="false">IF($A640="","",$I640*$O640)</f>
        <v/>
      </c>
      <c r="Q640" s="39" t="n">
        <f aca="false">IF($B640="",0,IFERROR(MATCH($B640,COA_Mapping!$A$7:$A$256,0),0))</f>
        <v>0</v>
      </c>
      <c r="R640" s="39" t="n">
        <f aca="false">IF($A640="",-1,IF($J640=Setup!$B$7,1,IF($J640=Setup!$B$9,0,-1)))</f>
        <v>-1</v>
      </c>
      <c r="S640" s="35" t="n">
        <f aca="false">IF(OR($A640="",$Q640=0,$R640=-1),0,$Q640*1000+$R640*100+$K640)</f>
        <v>0</v>
      </c>
      <c r="T640" s="37" t="str">
        <f aca="false">IF($A640="","",IF($B640="","NO ACCOUNT",IF($Q640=0,"UNMAPPED",IF($R640=-1,"OUTSIDE FY RANGE","OK"))))</f>
        <v/>
      </c>
      <c r="U640" s="40" t="str">
        <f aca="false">IF($A640="","",$B640&amp;"|"&amp;TEXT($A640,"yyyymmdd")&amp;"|"&amp;TEXT($I640,"0.00"))</f>
        <v/>
      </c>
      <c r="V640" s="35" t="str">
        <f aca="false">IF($A640="","",COUNTIF($U$8:$U$5007,$U640))</f>
        <v/>
      </c>
    </row>
    <row r="641" customFormat="false" ht="15" hidden="false" customHeight="false" outlineLevel="0" collapsed="false">
      <c r="A641" s="31"/>
      <c r="B641" s="32"/>
      <c r="C641" s="32"/>
      <c r="D641" s="32"/>
      <c r="E641" s="32"/>
      <c r="F641" s="32"/>
      <c r="G641" s="33"/>
      <c r="H641" s="33"/>
      <c r="I641" s="34" t="str">
        <f aca="false">IF($A641="","",$G641-$H641)</f>
        <v/>
      </c>
      <c r="J641" s="35" t="str">
        <f aca="false">IF($A641="","",IF(Setup!$B$6=1,YEAR($A641),YEAR($A641)+IF(MONTH($A641)&gt;=Setup!$B$6,1,0)))</f>
        <v/>
      </c>
      <c r="K641" s="35" t="str">
        <f aca="false">IF($A641="","",MOD(MONTH($A641)-Setup!$B$6+12,12)+1)</f>
        <v/>
      </c>
      <c r="L641" s="36" t="str">
        <f aca="false">IF($A641="","",TEXT($A641,"MMM-YY"))</f>
        <v/>
      </c>
      <c r="M641" s="37" t="str">
        <f aca="false">IF($A641="","",IF($Q641=0,"UNMAPPED",INDEX(COA_Mapping!$C$7:$C$256,$Q641)))</f>
        <v/>
      </c>
      <c r="N641" s="38" t="str">
        <f aca="false">IF($A641="","",IF($Q641=0,"",INDEX(COA_Mapping!$E$7:$E$256,$Q641)))</f>
        <v/>
      </c>
      <c r="O641" s="38" t="n">
        <f aca="false">IF($A641="",1,IF($Q641=0,1,INDEX(COA_Mapping!$F$7:$F$256,$Q641)))</f>
        <v>1</v>
      </c>
      <c r="P641" s="34" t="str">
        <f aca="false">IF($A641="","",$I641*$O641)</f>
        <v/>
      </c>
      <c r="Q641" s="39" t="n">
        <f aca="false">IF($B641="",0,IFERROR(MATCH($B641,COA_Mapping!$A$7:$A$256,0),0))</f>
        <v>0</v>
      </c>
      <c r="R641" s="39" t="n">
        <f aca="false">IF($A641="",-1,IF($J641=Setup!$B$7,1,IF($J641=Setup!$B$9,0,-1)))</f>
        <v>-1</v>
      </c>
      <c r="S641" s="35" t="n">
        <f aca="false">IF(OR($A641="",$Q641=0,$R641=-1),0,$Q641*1000+$R641*100+$K641)</f>
        <v>0</v>
      </c>
      <c r="T641" s="37" t="str">
        <f aca="false">IF($A641="","",IF($B641="","NO ACCOUNT",IF($Q641=0,"UNMAPPED",IF($R641=-1,"OUTSIDE FY RANGE","OK"))))</f>
        <v/>
      </c>
      <c r="U641" s="40" t="str">
        <f aca="false">IF($A641="","",$B641&amp;"|"&amp;TEXT($A641,"yyyymmdd")&amp;"|"&amp;TEXT($I641,"0.00"))</f>
        <v/>
      </c>
      <c r="V641" s="35" t="str">
        <f aca="false">IF($A641="","",COUNTIF($U$8:$U$5007,$U641))</f>
        <v/>
      </c>
    </row>
    <row r="642" customFormat="false" ht="15" hidden="false" customHeight="false" outlineLevel="0" collapsed="false">
      <c r="A642" s="31"/>
      <c r="B642" s="32"/>
      <c r="C642" s="32"/>
      <c r="D642" s="32"/>
      <c r="E642" s="32"/>
      <c r="F642" s="32"/>
      <c r="G642" s="33"/>
      <c r="H642" s="33"/>
      <c r="I642" s="34" t="str">
        <f aca="false">IF($A642="","",$G642-$H642)</f>
        <v/>
      </c>
      <c r="J642" s="35" t="str">
        <f aca="false">IF($A642="","",IF(Setup!$B$6=1,YEAR($A642),YEAR($A642)+IF(MONTH($A642)&gt;=Setup!$B$6,1,0)))</f>
        <v/>
      </c>
      <c r="K642" s="35" t="str">
        <f aca="false">IF($A642="","",MOD(MONTH($A642)-Setup!$B$6+12,12)+1)</f>
        <v/>
      </c>
      <c r="L642" s="36" t="str">
        <f aca="false">IF($A642="","",TEXT($A642,"MMM-YY"))</f>
        <v/>
      </c>
      <c r="M642" s="37" t="str">
        <f aca="false">IF($A642="","",IF($Q642=0,"UNMAPPED",INDEX(COA_Mapping!$C$7:$C$256,$Q642)))</f>
        <v/>
      </c>
      <c r="N642" s="38" t="str">
        <f aca="false">IF($A642="","",IF($Q642=0,"",INDEX(COA_Mapping!$E$7:$E$256,$Q642)))</f>
        <v/>
      </c>
      <c r="O642" s="38" t="n">
        <f aca="false">IF($A642="",1,IF($Q642=0,1,INDEX(COA_Mapping!$F$7:$F$256,$Q642)))</f>
        <v>1</v>
      </c>
      <c r="P642" s="34" t="str">
        <f aca="false">IF($A642="","",$I642*$O642)</f>
        <v/>
      </c>
      <c r="Q642" s="39" t="n">
        <f aca="false">IF($B642="",0,IFERROR(MATCH($B642,COA_Mapping!$A$7:$A$256,0),0))</f>
        <v>0</v>
      </c>
      <c r="R642" s="39" t="n">
        <f aca="false">IF($A642="",-1,IF($J642=Setup!$B$7,1,IF($J642=Setup!$B$9,0,-1)))</f>
        <v>-1</v>
      </c>
      <c r="S642" s="35" t="n">
        <f aca="false">IF(OR($A642="",$Q642=0,$R642=-1),0,$Q642*1000+$R642*100+$K642)</f>
        <v>0</v>
      </c>
      <c r="T642" s="37" t="str">
        <f aca="false">IF($A642="","",IF($B642="","NO ACCOUNT",IF($Q642=0,"UNMAPPED",IF($R642=-1,"OUTSIDE FY RANGE","OK"))))</f>
        <v/>
      </c>
      <c r="U642" s="40" t="str">
        <f aca="false">IF($A642="","",$B642&amp;"|"&amp;TEXT($A642,"yyyymmdd")&amp;"|"&amp;TEXT($I642,"0.00"))</f>
        <v/>
      </c>
      <c r="V642" s="35" t="str">
        <f aca="false">IF($A642="","",COUNTIF($U$8:$U$5007,$U642))</f>
        <v/>
      </c>
    </row>
    <row r="643" customFormat="false" ht="15" hidden="false" customHeight="false" outlineLevel="0" collapsed="false">
      <c r="A643" s="31"/>
      <c r="B643" s="32"/>
      <c r="C643" s="32"/>
      <c r="D643" s="32"/>
      <c r="E643" s="32"/>
      <c r="F643" s="32"/>
      <c r="G643" s="33"/>
      <c r="H643" s="33"/>
      <c r="I643" s="34" t="str">
        <f aca="false">IF($A643="","",$G643-$H643)</f>
        <v/>
      </c>
      <c r="J643" s="35" t="str">
        <f aca="false">IF($A643="","",IF(Setup!$B$6=1,YEAR($A643),YEAR($A643)+IF(MONTH($A643)&gt;=Setup!$B$6,1,0)))</f>
        <v/>
      </c>
      <c r="K643" s="35" t="str">
        <f aca="false">IF($A643="","",MOD(MONTH($A643)-Setup!$B$6+12,12)+1)</f>
        <v/>
      </c>
      <c r="L643" s="36" t="str">
        <f aca="false">IF($A643="","",TEXT($A643,"MMM-YY"))</f>
        <v/>
      </c>
      <c r="M643" s="37" t="str">
        <f aca="false">IF($A643="","",IF($Q643=0,"UNMAPPED",INDEX(COA_Mapping!$C$7:$C$256,$Q643)))</f>
        <v/>
      </c>
      <c r="N643" s="38" t="str">
        <f aca="false">IF($A643="","",IF($Q643=0,"",INDEX(COA_Mapping!$E$7:$E$256,$Q643)))</f>
        <v/>
      </c>
      <c r="O643" s="38" t="n">
        <f aca="false">IF($A643="",1,IF($Q643=0,1,INDEX(COA_Mapping!$F$7:$F$256,$Q643)))</f>
        <v>1</v>
      </c>
      <c r="P643" s="34" t="str">
        <f aca="false">IF($A643="","",$I643*$O643)</f>
        <v/>
      </c>
      <c r="Q643" s="39" t="n">
        <f aca="false">IF($B643="",0,IFERROR(MATCH($B643,COA_Mapping!$A$7:$A$256,0),0))</f>
        <v>0</v>
      </c>
      <c r="R643" s="39" t="n">
        <f aca="false">IF($A643="",-1,IF($J643=Setup!$B$7,1,IF($J643=Setup!$B$9,0,-1)))</f>
        <v>-1</v>
      </c>
      <c r="S643" s="35" t="n">
        <f aca="false">IF(OR($A643="",$Q643=0,$R643=-1),0,$Q643*1000+$R643*100+$K643)</f>
        <v>0</v>
      </c>
      <c r="T643" s="37" t="str">
        <f aca="false">IF($A643="","",IF($B643="","NO ACCOUNT",IF($Q643=0,"UNMAPPED",IF($R643=-1,"OUTSIDE FY RANGE","OK"))))</f>
        <v/>
      </c>
      <c r="U643" s="40" t="str">
        <f aca="false">IF($A643="","",$B643&amp;"|"&amp;TEXT($A643,"yyyymmdd")&amp;"|"&amp;TEXT($I643,"0.00"))</f>
        <v/>
      </c>
      <c r="V643" s="35" t="str">
        <f aca="false">IF($A643="","",COUNTIF($U$8:$U$5007,$U643))</f>
        <v/>
      </c>
    </row>
    <row r="644" customFormat="false" ht="15" hidden="false" customHeight="false" outlineLevel="0" collapsed="false">
      <c r="A644" s="31"/>
      <c r="B644" s="32"/>
      <c r="C644" s="32"/>
      <c r="D644" s="32"/>
      <c r="E644" s="32"/>
      <c r="F644" s="32"/>
      <c r="G644" s="33"/>
      <c r="H644" s="33"/>
      <c r="I644" s="34" t="str">
        <f aca="false">IF($A644="","",$G644-$H644)</f>
        <v/>
      </c>
      <c r="J644" s="35" t="str">
        <f aca="false">IF($A644="","",IF(Setup!$B$6=1,YEAR($A644),YEAR($A644)+IF(MONTH($A644)&gt;=Setup!$B$6,1,0)))</f>
        <v/>
      </c>
      <c r="K644" s="35" t="str">
        <f aca="false">IF($A644="","",MOD(MONTH($A644)-Setup!$B$6+12,12)+1)</f>
        <v/>
      </c>
      <c r="L644" s="36" t="str">
        <f aca="false">IF($A644="","",TEXT($A644,"MMM-YY"))</f>
        <v/>
      </c>
      <c r="M644" s="37" t="str">
        <f aca="false">IF($A644="","",IF($Q644=0,"UNMAPPED",INDEX(COA_Mapping!$C$7:$C$256,$Q644)))</f>
        <v/>
      </c>
      <c r="N644" s="38" t="str">
        <f aca="false">IF($A644="","",IF($Q644=0,"",INDEX(COA_Mapping!$E$7:$E$256,$Q644)))</f>
        <v/>
      </c>
      <c r="O644" s="38" t="n">
        <f aca="false">IF($A644="",1,IF($Q644=0,1,INDEX(COA_Mapping!$F$7:$F$256,$Q644)))</f>
        <v>1</v>
      </c>
      <c r="P644" s="34" t="str">
        <f aca="false">IF($A644="","",$I644*$O644)</f>
        <v/>
      </c>
      <c r="Q644" s="39" t="n">
        <f aca="false">IF($B644="",0,IFERROR(MATCH($B644,COA_Mapping!$A$7:$A$256,0),0))</f>
        <v>0</v>
      </c>
      <c r="R644" s="39" t="n">
        <f aca="false">IF($A644="",-1,IF($J644=Setup!$B$7,1,IF($J644=Setup!$B$9,0,-1)))</f>
        <v>-1</v>
      </c>
      <c r="S644" s="35" t="n">
        <f aca="false">IF(OR($A644="",$Q644=0,$R644=-1),0,$Q644*1000+$R644*100+$K644)</f>
        <v>0</v>
      </c>
      <c r="T644" s="37" t="str">
        <f aca="false">IF($A644="","",IF($B644="","NO ACCOUNT",IF($Q644=0,"UNMAPPED",IF($R644=-1,"OUTSIDE FY RANGE","OK"))))</f>
        <v/>
      </c>
      <c r="U644" s="40" t="str">
        <f aca="false">IF($A644="","",$B644&amp;"|"&amp;TEXT($A644,"yyyymmdd")&amp;"|"&amp;TEXT($I644,"0.00"))</f>
        <v/>
      </c>
      <c r="V644" s="35" t="str">
        <f aca="false">IF($A644="","",COUNTIF($U$8:$U$5007,$U644))</f>
        <v/>
      </c>
    </row>
    <row r="645" customFormat="false" ht="15" hidden="false" customHeight="false" outlineLevel="0" collapsed="false">
      <c r="A645" s="31"/>
      <c r="B645" s="32"/>
      <c r="C645" s="32"/>
      <c r="D645" s="32"/>
      <c r="E645" s="32"/>
      <c r="F645" s="32"/>
      <c r="G645" s="33"/>
      <c r="H645" s="33"/>
      <c r="I645" s="34" t="str">
        <f aca="false">IF($A645="","",$G645-$H645)</f>
        <v/>
      </c>
      <c r="J645" s="35" t="str">
        <f aca="false">IF($A645="","",IF(Setup!$B$6=1,YEAR($A645),YEAR($A645)+IF(MONTH($A645)&gt;=Setup!$B$6,1,0)))</f>
        <v/>
      </c>
      <c r="K645" s="35" t="str">
        <f aca="false">IF($A645="","",MOD(MONTH($A645)-Setup!$B$6+12,12)+1)</f>
        <v/>
      </c>
      <c r="L645" s="36" t="str">
        <f aca="false">IF($A645="","",TEXT($A645,"MMM-YY"))</f>
        <v/>
      </c>
      <c r="M645" s="37" t="str">
        <f aca="false">IF($A645="","",IF($Q645=0,"UNMAPPED",INDEX(COA_Mapping!$C$7:$C$256,$Q645)))</f>
        <v/>
      </c>
      <c r="N645" s="38" t="str">
        <f aca="false">IF($A645="","",IF($Q645=0,"",INDEX(COA_Mapping!$E$7:$E$256,$Q645)))</f>
        <v/>
      </c>
      <c r="O645" s="38" t="n">
        <f aca="false">IF($A645="",1,IF($Q645=0,1,INDEX(COA_Mapping!$F$7:$F$256,$Q645)))</f>
        <v>1</v>
      </c>
      <c r="P645" s="34" t="str">
        <f aca="false">IF($A645="","",$I645*$O645)</f>
        <v/>
      </c>
      <c r="Q645" s="39" t="n">
        <f aca="false">IF($B645="",0,IFERROR(MATCH($B645,COA_Mapping!$A$7:$A$256,0),0))</f>
        <v>0</v>
      </c>
      <c r="R645" s="39" t="n">
        <f aca="false">IF($A645="",-1,IF($J645=Setup!$B$7,1,IF($J645=Setup!$B$9,0,-1)))</f>
        <v>-1</v>
      </c>
      <c r="S645" s="35" t="n">
        <f aca="false">IF(OR($A645="",$Q645=0,$R645=-1),0,$Q645*1000+$R645*100+$K645)</f>
        <v>0</v>
      </c>
      <c r="T645" s="37" t="str">
        <f aca="false">IF($A645="","",IF($B645="","NO ACCOUNT",IF($Q645=0,"UNMAPPED",IF($R645=-1,"OUTSIDE FY RANGE","OK"))))</f>
        <v/>
      </c>
      <c r="U645" s="40" t="str">
        <f aca="false">IF($A645="","",$B645&amp;"|"&amp;TEXT($A645,"yyyymmdd")&amp;"|"&amp;TEXT($I645,"0.00"))</f>
        <v/>
      </c>
      <c r="V645" s="35" t="str">
        <f aca="false">IF($A645="","",COUNTIF($U$8:$U$5007,$U645))</f>
        <v/>
      </c>
    </row>
    <row r="646" customFormat="false" ht="15" hidden="false" customHeight="false" outlineLevel="0" collapsed="false">
      <c r="A646" s="31"/>
      <c r="B646" s="32"/>
      <c r="C646" s="32"/>
      <c r="D646" s="32"/>
      <c r="E646" s="32"/>
      <c r="F646" s="32"/>
      <c r="G646" s="33"/>
      <c r="H646" s="33"/>
      <c r="I646" s="34" t="str">
        <f aca="false">IF($A646="","",$G646-$H646)</f>
        <v/>
      </c>
      <c r="J646" s="35" t="str">
        <f aca="false">IF($A646="","",IF(Setup!$B$6=1,YEAR($A646),YEAR($A646)+IF(MONTH($A646)&gt;=Setup!$B$6,1,0)))</f>
        <v/>
      </c>
      <c r="K646" s="35" t="str">
        <f aca="false">IF($A646="","",MOD(MONTH($A646)-Setup!$B$6+12,12)+1)</f>
        <v/>
      </c>
      <c r="L646" s="36" t="str">
        <f aca="false">IF($A646="","",TEXT($A646,"MMM-YY"))</f>
        <v/>
      </c>
      <c r="M646" s="37" t="str">
        <f aca="false">IF($A646="","",IF($Q646=0,"UNMAPPED",INDEX(COA_Mapping!$C$7:$C$256,$Q646)))</f>
        <v/>
      </c>
      <c r="N646" s="38" t="str">
        <f aca="false">IF($A646="","",IF($Q646=0,"",INDEX(COA_Mapping!$E$7:$E$256,$Q646)))</f>
        <v/>
      </c>
      <c r="O646" s="38" t="n">
        <f aca="false">IF($A646="",1,IF($Q646=0,1,INDEX(COA_Mapping!$F$7:$F$256,$Q646)))</f>
        <v>1</v>
      </c>
      <c r="P646" s="34" t="str">
        <f aca="false">IF($A646="","",$I646*$O646)</f>
        <v/>
      </c>
      <c r="Q646" s="39" t="n">
        <f aca="false">IF($B646="",0,IFERROR(MATCH($B646,COA_Mapping!$A$7:$A$256,0),0))</f>
        <v>0</v>
      </c>
      <c r="R646" s="39" t="n">
        <f aca="false">IF($A646="",-1,IF($J646=Setup!$B$7,1,IF($J646=Setup!$B$9,0,-1)))</f>
        <v>-1</v>
      </c>
      <c r="S646" s="35" t="n">
        <f aca="false">IF(OR($A646="",$Q646=0,$R646=-1),0,$Q646*1000+$R646*100+$K646)</f>
        <v>0</v>
      </c>
      <c r="T646" s="37" t="str">
        <f aca="false">IF($A646="","",IF($B646="","NO ACCOUNT",IF($Q646=0,"UNMAPPED",IF($R646=-1,"OUTSIDE FY RANGE","OK"))))</f>
        <v/>
      </c>
      <c r="U646" s="40" t="str">
        <f aca="false">IF($A646="","",$B646&amp;"|"&amp;TEXT($A646,"yyyymmdd")&amp;"|"&amp;TEXT($I646,"0.00"))</f>
        <v/>
      </c>
      <c r="V646" s="35" t="str">
        <f aca="false">IF($A646="","",COUNTIF($U$8:$U$5007,$U646))</f>
        <v/>
      </c>
    </row>
    <row r="647" customFormat="false" ht="15" hidden="false" customHeight="false" outlineLevel="0" collapsed="false">
      <c r="A647" s="31"/>
      <c r="B647" s="32"/>
      <c r="C647" s="32"/>
      <c r="D647" s="32"/>
      <c r="E647" s="32"/>
      <c r="F647" s="32"/>
      <c r="G647" s="33"/>
      <c r="H647" s="33"/>
      <c r="I647" s="34" t="str">
        <f aca="false">IF($A647="","",$G647-$H647)</f>
        <v/>
      </c>
      <c r="J647" s="35" t="str">
        <f aca="false">IF($A647="","",IF(Setup!$B$6=1,YEAR($A647),YEAR($A647)+IF(MONTH($A647)&gt;=Setup!$B$6,1,0)))</f>
        <v/>
      </c>
      <c r="K647" s="35" t="str">
        <f aca="false">IF($A647="","",MOD(MONTH($A647)-Setup!$B$6+12,12)+1)</f>
        <v/>
      </c>
      <c r="L647" s="36" t="str">
        <f aca="false">IF($A647="","",TEXT($A647,"MMM-YY"))</f>
        <v/>
      </c>
      <c r="M647" s="37" t="str">
        <f aca="false">IF($A647="","",IF($Q647=0,"UNMAPPED",INDEX(COA_Mapping!$C$7:$C$256,$Q647)))</f>
        <v/>
      </c>
      <c r="N647" s="38" t="str">
        <f aca="false">IF($A647="","",IF($Q647=0,"",INDEX(COA_Mapping!$E$7:$E$256,$Q647)))</f>
        <v/>
      </c>
      <c r="O647" s="38" t="n">
        <f aca="false">IF($A647="",1,IF($Q647=0,1,INDEX(COA_Mapping!$F$7:$F$256,$Q647)))</f>
        <v>1</v>
      </c>
      <c r="P647" s="34" t="str">
        <f aca="false">IF($A647="","",$I647*$O647)</f>
        <v/>
      </c>
      <c r="Q647" s="39" t="n">
        <f aca="false">IF($B647="",0,IFERROR(MATCH($B647,COA_Mapping!$A$7:$A$256,0),0))</f>
        <v>0</v>
      </c>
      <c r="R647" s="39" t="n">
        <f aca="false">IF($A647="",-1,IF($J647=Setup!$B$7,1,IF($J647=Setup!$B$9,0,-1)))</f>
        <v>-1</v>
      </c>
      <c r="S647" s="35" t="n">
        <f aca="false">IF(OR($A647="",$Q647=0,$R647=-1),0,$Q647*1000+$R647*100+$K647)</f>
        <v>0</v>
      </c>
      <c r="T647" s="37" t="str">
        <f aca="false">IF($A647="","",IF($B647="","NO ACCOUNT",IF($Q647=0,"UNMAPPED",IF($R647=-1,"OUTSIDE FY RANGE","OK"))))</f>
        <v/>
      </c>
      <c r="U647" s="40" t="str">
        <f aca="false">IF($A647="","",$B647&amp;"|"&amp;TEXT($A647,"yyyymmdd")&amp;"|"&amp;TEXT($I647,"0.00"))</f>
        <v/>
      </c>
      <c r="V647" s="35" t="str">
        <f aca="false">IF($A647="","",COUNTIF($U$8:$U$5007,$U647))</f>
        <v/>
      </c>
    </row>
    <row r="648" customFormat="false" ht="15" hidden="false" customHeight="false" outlineLevel="0" collapsed="false">
      <c r="A648" s="31"/>
      <c r="B648" s="32"/>
      <c r="C648" s="32"/>
      <c r="D648" s="32"/>
      <c r="E648" s="32"/>
      <c r="F648" s="32"/>
      <c r="G648" s="33"/>
      <c r="H648" s="33"/>
      <c r="I648" s="34" t="str">
        <f aca="false">IF($A648="","",$G648-$H648)</f>
        <v/>
      </c>
      <c r="J648" s="35" t="str">
        <f aca="false">IF($A648="","",IF(Setup!$B$6=1,YEAR($A648),YEAR($A648)+IF(MONTH($A648)&gt;=Setup!$B$6,1,0)))</f>
        <v/>
      </c>
      <c r="K648" s="35" t="str">
        <f aca="false">IF($A648="","",MOD(MONTH($A648)-Setup!$B$6+12,12)+1)</f>
        <v/>
      </c>
      <c r="L648" s="36" t="str">
        <f aca="false">IF($A648="","",TEXT($A648,"MMM-YY"))</f>
        <v/>
      </c>
      <c r="M648" s="37" t="str">
        <f aca="false">IF($A648="","",IF($Q648=0,"UNMAPPED",INDEX(COA_Mapping!$C$7:$C$256,$Q648)))</f>
        <v/>
      </c>
      <c r="N648" s="38" t="str">
        <f aca="false">IF($A648="","",IF($Q648=0,"",INDEX(COA_Mapping!$E$7:$E$256,$Q648)))</f>
        <v/>
      </c>
      <c r="O648" s="38" t="n">
        <f aca="false">IF($A648="",1,IF($Q648=0,1,INDEX(COA_Mapping!$F$7:$F$256,$Q648)))</f>
        <v>1</v>
      </c>
      <c r="P648" s="34" t="str">
        <f aca="false">IF($A648="","",$I648*$O648)</f>
        <v/>
      </c>
      <c r="Q648" s="39" t="n">
        <f aca="false">IF($B648="",0,IFERROR(MATCH($B648,COA_Mapping!$A$7:$A$256,0),0))</f>
        <v>0</v>
      </c>
      <c r="R648" s="39" t="n">
        <f aca="false">IF($A648="",-1,IF($J648=Setup!$B$7,1,IF($J648=Setup!$B$9,0,-1)))</f>
        <v>-1</v>
      </c>
      <c r="S648" s="35" t="n">
        <f aca="false">IF(OR($A648="",$Q648=0,$R648=-1),0,$Q648*1000+$R648*100+$K648)</f>
        <v>0</v>
      </c>
      <c r="T648" s="37" t="str">
        <f aca="false">IF($A648="","",IF($B648="","NO ACCOUNT",IF($Q648=0,"UNMAPPED",IF($R648=-1,"OUTSIDE FY RANGE","OK"))))</f>
        <v/>
      </c>
      <c r="U648" s="40" t="str">
        <f aca="false">IF($A648="","",$B648&amp;"|"&amp;TEXT($A648,"yyyymmdd")&amp;"|"&amp;TEXT($I648,"0.00"))</f>
        <v/>
      </c>
      <c r="V648" s="35" t="str">
        <f aca="false">IF($A648="","",COUNTIF($U$8:$U$5007,$U648))</f>
        <v/>
      </c>
    </row>
    <row r="649" customFormat="false" ht="15" hidden="false" customHeight="false" outlineLevel="0" collapsed="false">
      <c r="A649" s="31"/>
      <c r="B649" s="32"/>
      <c r="C649" s="32"/>
      <c r="D649" s="32"/>
      <c r="E649" s="32"/>
      <c r="F649" s="32"/>
      <c r="G649" s="33"/>
      <c r="H649" s="33"/>
      <c r="I649" s="34" t="str">
        <f aca="false">IF($A649="","",$G649-$H649)</f>
        <v/>
      </c>
      <c r="J649" s="35" t="str">
        <f aca="false">IF($A649="","",IF(Setup!$B$6=1,YEAR($A649),YEAR($A649)+IF(MONTH($A649)&gt;=Setup!$B$6,1,0)))</f>
        <v/>
      </c>
      <c r="K649" s="35" t="str">
        <f aca="false">IF($A649="","",MOD(MONTH($A649)-Setup!$B$6+12,12)+1)</f>
        <v/>
      </c>
      <c r="L649" s="36" t="str">
        <f aca="false">IF($A649="","",TEXT($A649,"MMM-YY"))</f>
        <v/>
      </c>
      <c r="M649" s="37" t="str">
        <f aca="false">IF($A649="","",IF($Q649=0,"UNMAPPED",INDEX(COA_Mapping!$C$7:$C$256,$Q649)))</f>
        <v/>
      </c>
      <c r="N649" s="38" t="str">
        <f aca="false">IF($A649="","",IF($Q649=0,"",INDEX(COA_Mapping!$E$7:$E$256,$Q649)))</f>
        <v/>
      </c>
      <c r="O649" s="38" t="n">
        <f aca="false">IF($A649="",1,IF($Q649=0,1,INDEX(COA_Mapping!$F$7:$F$256,$Q649)))</f>
        <v>1</v>
      </c>
      <c r="P649" s="34" t="str">
        <f aca="false">IF($A649="","",$I649*$O649)</f>
        <v/>
      </c>
      <c r="Q649" s="39" t="n">
        <f aca="false">IF($B649="",0,IFERROR(MATCH($B649,COA_Mapping!$A$7:$A$256,0),0))</f>
        <v>0</v>
      </c>
      <c r="R649" s="39" t="n">
        <f aca="false">IF($A649="",-1,IF($J649=Setup!$B$7,1,IF($J649=Setup!$B$9,0,-1)))</f>
        <v>-1</v>
      </c>
      <c r="S649" s="35" t="n">
        <f aca="false">IF(OR($A649="",$Q649=0,$R649=-1),0,$Q649*1000+$R649*100+$K649)</f>
        <v>0</v>
      </c>
      <c r="T649" s="37" t="str">
        <f aca="false">IF($A649="","",IF($B649="","NO ACCOUNT",IF($Q649=0,"UNMAPPED",IF($R649=-1,"OUTSIDE FY RANGE","OK"))))</f>
        <v/>
      </c>
      <c r="U649" s="40" t="str">
        <f aca="false">IF($A649="","",$B649&amp;"|"&amp;TEXT($A649,"yyyymmdd")&amp;"|"&amp;TEXT($I649,"0.00"))</f>
        <v/>
      </c>
      <c r="V649" s="35" t="str">
        <f aca="false">IF($A649="","",COUNTIF($U$8:$U$5007,$U649))</f>
        <v/>
      </c>
    </row>
    <row r="650" customFormat="false" ht="15" hidden="false" customHeight="false" outlineLevel="0" collapsed="false">
      <c r="A650" s="31"/>
      <c r="B650" s="32"/>
      <c r="C650" s="32"/>
      <c r="D650" s="32"/>
      <c r="E650" s="32"/>
      <c r="F650" s="32"/>
      <c r="G650" s="33"/>
      <c r="H650" s="33"/>
      <c r="I650" s="34" t="str">
        <f aca="false">IF($A650="","",$G650-$H650)</f>
        <v/>
      </c>
      <c r="J650" s="35" t="str">
        <f aca="false">IF($A650="","",IF(Setup!$B$6=1,YEAR($A650),YEAR($A650)+IF(MONTH($A650)&gt;=Setup!$B$6,1,0)))</f>
        <v/>
      </c>
      <c r="K650" s="35" t="str">
        <f aca="false">IF($A650="","",MOD(MONTH($A650)-Setup!$B$6+12,12)+1)</f>
        <v/>
      </c>
      <c r="L650" s="36" t="str">
        <f aca="false">IF($A650="","",TEXT($A650,"MMM-YY"))</f>
        <v/>
      </c>
      <c r="M650" s="37" t="str">
        <f aca="false">IF($A650="","",IF($Q650=0,"UNMAPPED",INDEX(COA_Mapping!$C$7:$C$256,$Q650)))</f>
        <v/>
      </c>
      <c r="N650" s="38" t="str">
        <f aca="false">IF($A650="","",IF($Q650=0,"",INDEX(COA_Mapping!$E$7:$E$256,$Q650)))</f>
        <v/>
      </c>
      <c r="O650" s="38" t="n">
        <f aca="false">IF($A650="",1,IF($Q650=0,1,INDEX(COA_Mapping!$F$7:$F$256,$Q650)))</f>
        <v>1</v>
      </c>
      <c r="P650" s="34" t="str">
        <f aca="false">IF($A650="","",$I650*$O650)</f>
        <v/>
      </c>
      <c r="Q650" s="39" t="n">
        <f aca="false">IF($B650="",0,IFERROR(MATCH($B650,COA_Mapping!$A$7:$A$256,0),0))</f>
        <v>0</v>
      </c>
      <c r="R650" s="39" t="n">
        <f aca="false">IF($A650="",-1,IF($J650=Setup!$B$7,1,IF($J650=Setup!$B$9,0,-1)))</f>
        <v>-1</v>
      </c>
      <c r="S650" s="35" t="n">
        <f aca="false">IF(OR($A650="",$Q650=0,$R650=-1),0,$Q650*1000+$R650*100+$K650)</f>
        <v>0</v>
      </c>
      <c r="T650" s="37" t="str">
        <f aca="false">IF($A650="","",IF($B650="","NO ACCOUNT",IF($Q650=0,"UNMAPPED",IF($R650=-1,"OUTSIDE FY RANGE","OK"))))</f>
        <v/>
      </c>
      <c r="U650" s="40" t="str">
        <f aca="false">IF($A650="","",$B650&amp;"|"&amp;TEXT($A650,"yyyymmdd")&amp;"|"&amp;TEXT($I650,"0.00"))</f>
        <v/>
      </c>
      <c r="V650" s="35" t="str">
        <f aca="false">IF($A650="","",COUNTIF($U$8:$U$5007,$U650))</f>
        <v/>
      </c>
    </row>
    <row r="651" customFormat="false" ht="15" hidden="false" customHeight="false" outlineLevel="0" collapsed="false">
      <c r="A651" s="31"/>
      <c r="B651" s="32"/>
      <c r="C651" s="32"/>
      <c r="D651" s="32"/>
      <c r="E651" s="32"/>
      <c r="F651" s="32"/>
      <c r="G651" s="33"/>
      <c r="H651" s="33"/>
      <c r="I651" s="34" t="str">
        <f aca="false">IF($A651="","",$G651-$H651)</f>
        <v/>
      </c>
      <c r="J651" s="35" t="str">
        <f aca="false">IF($A651="","",IF(Setup!$B$6=1,YEAR($A651),YEAR($A651)+IF(MONTH($A651)&gt;=Setup!$B$6,1,0)))</f>
        <v/>
      </c>
      <c r="K651" s="35" t="str">
        <f aca="false">IF($A651="","",MOD(MONTH($A651)-Setup!$B$6+12,12)+1)</f>
        <v/>
      </c>
      <c r="L651" s="36" t="str">
        <f aca="false">IF($A651="","",TEXT($A651,"MMM-YY"))</f>
        <v/>
      </c>
      <c r="M651" s="37" t="str">
        <f aca="false">IF($A651="","",IF($Q651=0,"UNMAPPED",INDEX(COA_Mapping!$C$7:$C$256,$Q651)))</f>
        <v/>
      </c>
      <c r="N651" s="38" t="str">
        <f aca="false">IF($A651="","",IF($Q651=0,"",INDEX(COA_Mapping!$E$7:$E$256,$Q651)))</f>
        <v/>
      </c>
      <c r="O651" s="38" t="n">
        <f aca="false">IF($A651="",1,IF($Q651=0,1,INDEX(COA_Mapping!$F$7:$F$256,$Q651)))</f>
        <v>1</v>
      </c>
      <c r="P651" s="34" t="str">
        <f aca="false">IF($A651="","",$I651*$O651)</f>
        <v/>
      </c>
      <c r="Q651" s="39" t="n">
        <f aca="false">IF($B651="",0,IFERROR(MATCH($B651,COA_Mapping!$A$7:$A$256,0),0))</f>
        <v>0</v>
      </c>
      <c r="R651" s="39" t="n">
        <f aca="false">IF($A651="",-1,IF($J651=Setup!$B$7,1,IF($J651=Setup!$B$9,0,-1)))</f>
        <v>-1</v>
      </c>
      <c r="S651" s="35" t="n">
        <f aca="false">IF(OR($A651="",$Q651=0,$R651=-1),0,$Q651*1000+$R651*100+$K651)</f>
        <v>0</v>
      </c>
      <c r="T651" s="37" t="str">
        <f aca="false">IF($A651="","",IF($B651="","NO ACCOUNT",IF($Q651=0,"UNMAPPED",IF($R651=-1,"OUTSIDE FY RANGE","OK"))))</f>
        <v/>
      </c>
      <c r="U651" s="40" t="str">
        <f aca="false">IF($A651="","",$B651&amp;"|"&amp;TEXT($A651,"yyyymmdd")&amp;"|"&amp;TEXT($I651,"0.00"))</f>
        <v/>
      </c>
      <c r="V651" s="35" t="str">
        <f aca="false">IF($A651="","",COUNTIF($U$8:$U$5007,$U651))</f>
        <v/>
      </c>
    </row>
    <row r="652" customFormat="false" ht="15" hidden="false" customHeight="false" outlineLevel="0" collapsed="false">
      <c r="A652" s="31"/>
      <c r="B652" s="32"/>
      <c r="C652" s="32"/>
      <c r="D652" s="32"/>
      <c r="E652" s="32"/>
      <c r="F652" s="32"/>
      <c r="G652" s="33"/>
      <c r="H652" s="33"/>
      <c r="I652" s="34" t="str">
        <f aca="false">IF($A652="","",$G652-$H652)</f>
        <v/>
      </c>
      <c r="J652" s="35" t="str">
        <f aca="false">IF($A652="","",IF(Setup!$B$6=1,YEAR($A652),YEAR($A652)+IF(MONTH($A652)&gt;=Setup!$B$6,1,0)))</f>
        <v/>
      </c>
      <c r="K652" s="35" t="str">
        <f aca="false">IF($A652="","",MOD(MONTH($A652)-Setup!$B$6+12,12)+1)</f>
        <v/>
      </c>
      <c r="L652" s="36" t="str">
        <f aca="false">IF($A652="","",TEXT($A652,"MMM-YY"))</f>
        <v/>
      </c>
      <c r="M652" s="37" t="str">
        <f aca="false">IF($A652="","",IF($Q652=0,"UNMAPPED",INDEX(COA_Mapping!$C$7:$C$256,$Q652)))</f>
        <v/>
      </c>
      <c r="N652" s="38" t="str">
        <f aca="false">IF($A652="","",IF($Q652=0,"",INDEX(COA_Mapping!$E$7:$E$256,$Q652)))</f>
        <v/>
      </c>
      <c r="O652" s="38" t="n">
        <f aca="false">IF($A652="",1,IF($Q652=0,1,INDEX(COA_Mapping!$F$7:$F$256,$Q652)))</f>
        <v>1</v>
      </c>
      <c r="P652" s="34" t="str">
        <f aca="false">IF($A652="","",$I652*$O652)</f>
        <v/>
      </c>
      <c r="Q652" s="39" t="n">
        <f aca="false">IF($B652="",0,IFERROR(MATCH($B652,COA_Mapping!$A$7:$A$256,0),0))</f>
        <v>0</v>
      </c>
      <c r="R652" s="39" t="n">
        <f aca="false">IF($A652="",-1,IF($J652=Setup!$B$7,1,IF($J652=Setup!$B$9,0,-1)))</f>
        <v>-1</v>
      </c>
      <c r="S652" s="35" t="n">
        <f aca="false">IF(OR($A652="",$Q652=0,$R652=-1),0,$Q652*1000+$R652*100+$K652)</f>
        <v>0</v>
      </c>
      <c r="T652" s="37" t="str">
        <f aca="false">IF($A652="","",IF($B652="","NO ACCOUNT",IF($Q652=0,"UNMAPPED",IF($R652=-1,"OUTSIDE FY RANGE","OK"))))</f>
        <v/>
      </c>
      <c r="U652" s="40" t="str">
        <f aca="false">IF($A652="","",$B652&amp;"|"&amp;TEXT($A652,"yyyymmdd")&amp;"|"&amp;TEXT($I652,"0.00"))</f>
        <v/>
      </c>
      <c r="V652" s="35" t="str">
        <f aca="false">IF($A652="","",COUNTIF($U$8:$U$5007,$U652))</f>
        <v/>
      </c>
    </row>
    <row r="653" customFormat="false" ht="15" hidden="false" customHeight="false" outlineLevel="0" collapsed="false">
      <c r="A653" s="31"/>
      <c r="B653" s="32"/>
      <c r="C653" s="32"/>
      <c r="D653" s="32"/>
      <c r="E653" s="32"/>
      <c r="F653" s="32"/>
      <c r="G653" s="33"/>
      <c r="H653" s="33"/>
      <c r="I653" s="34" t="str">
        <f aca="false">IF($A653="","",$G653-$H653)</f>
        <v/>
      </c>
      <c r="J653" s="35" t="str">
        <f aca="false">IF($A653="","",IF(Setup!$B$6=1,YEAR($A653),YEAR($A653)+IF(MONTH($A653)&gt;=Setup!$B$6,1,0)))</f>
        <v/>
      </c>
      <c r="K653" s="35" t="str">
        <f aca="false">IF($A653="","",MOD(MONTH($A653)-Setup!$B$6+12,12)+1)</f>
        <v/>
      </c>
      <c r="L653" s="36" t="str">
        <f aca="false">IF($A653="","",TEXT($A653,"MMM-YY"))</f>
        <v/>
      </c>
      <c r="M653" s="37" t="str">
        <f aca="false">IF($A653="","",IF($Q653=0,"UNMAPPED",INDEX(COA_Mapping!$C$7:$C$256,$Q653)))</f>
        <v/>
      </c>
      <c r="N653" s="38" t="str">
        <f aca="false">IF($A653="","",IF($Q653=0,"",INDEX(COA_Mapping!$E$7:$E$256,$Q653)))</f>
        <v/>
      </c>
      <c r="O653" s="38" t="n">
        <f aca="false">IF($A653="",1,IF($Q653=0,1,INDEX(COA_Mapping!$F$7:$F$256,$Q653)))</f>
        <v>1</v>
      </c>
      <c r="P653" s="34" t="str">
        <f aca="false">IF($A653="","",$I653*$O653)</f>
        <v/>
      </c>
      <c r="Q653" s="39" t="n">
        <f aca="false">IF($B653="",0,IFERROR(MATCH($B653,COA_Mapping!$A$7:$A$256,0),0))</f>
        <v>0</v>
      </c>
      <c r="R653" s="39" t="n">
        <f aca="false">IF($A653="",-1,IF($J653=Setup!$B$7,1,IF($J653=Setup!$B$9,0,-1)))</f>
        <v>-1</v>
      </c>
      <c r="S653" s="35" t="n">
        <f aca="false">IF(OR($A653="",$Q653=0,$R653=-1),0,$Q653*1000+$R653*100+$K653)</f>
        <v>0</v>
      </c>
      <c r="T653" s="37" t="str">
        <f aca="false">IF($A653="","",IF($B653="","NO ACCOUNT",IF($Q653=0,"UNMAPPED",IF($R653=-1,"OUTSIDE FY RANGE","OK"))))</f>
        <v/>
      </c>
      <c r="U653" s="40" t="str">
        <f aca="false">IF($A653="","",$B653&amp;"|"&amp;TEXT($A653,"yyyymmdd")&amp;"|"&amp;TEXT($I653,"0.00"))</f>
        <v/>
      </c>
      <c r="V653" s="35" t="str">
        <f aca="false">IF($A653="","",COUNTIF($U$8:$U$5007,$U653))</f>
        <v/>
      </c>
    </row>
    <row r="654" customFormat="false" ht="15" hidden="false" customHeight="false" outlineLevel="0" collapsed="false">
      <c r="A654" s="31"/>
      <c r="B654" s="32"/>
      <c r="C654" s="32"/>
      <c r="D654" s="32"/>
      <c r="E654" s="32"/>
      <c r="F654" s="32"/>
      <c r="G654" s="33"/>
      <c r="H654" s="33"/>
      <c r="I654" s="34" t="str">
        <f aca="false">IF($A654="","",$G654-$H654)</f>
        <v/>
      </c>
      <c r="J654" s="35" t="str">
        <f aca="false">IF($A654="","",IF(Setup!$B$6=1,YEAR($A654),YEAR($A654)+IF(MONTH($A654)&gt;=Setup!$B$6,1,0)))</f>
        <v/>
      </c>
      <c r="K654" s="35" t="str">
        <f aca="false">IF($A654="","",MOD(MONTH($A654)-Setup!$B$6+12,12)+1)</f>
        <v/>
      </c>
      <c r="L654" s="36" t="str">
        <f aca="false">IF($A654="","",TEXT($A654,"MMM-YY"))</f>
        <v/>
      </c>
      <c r="M654" s="37" t="str">
        <f aca="false">IF($A654="","",IF($Q654=0,"UNMAPPED",INDEX(COA_Mapping!$C$7:$C$256,$Q654)))</f>
        <v/>
      </c>
      <c r="N654" s="38" t="str">
        <f aca="false">IF($A654="","",IF($Q654=0,"",INDEX(COA_Mapping!$E$7:$E$256,$Q654)))</f>
        <v/>
      </c>
      <c r="O654" s="38" t="n">
        <f aca="false">IF($A654="",1,IF($Q654=0,1,INDEX(COA_Mapping!$F$7:$F$256,$Q654)))</f>
        <v>1</v>
      </c>
      <c r="P654" s="34" t="str">
        <f aca="false">IF($A654="","",$I654*$O654)</f>
        <v/>
      </c>
      <c r="Q654" s="39" t="n">
        <f aca="false">IF($B654="",0,IFERROR(MATCH($B654,COA_Mapping!$A$7:$A$256,0),0))</f>
        <v>0</v>
      </c>
      <c r="R654" s="39" t="n">
        <f aca="false">IF($A654="",-1,IF($J654=Setup!$B$7,1,IF($J654=Setup!$B$9,0,-1)))</f>
        <v>-1</v>
      </c>
      <c r="S654" s="35" t="n">
        <f aca="false">IF(OR($A654="",$Q654=0,$R654=-1),0,$Q654*1000+$R654*100+$K654)</f>
        <v>0</v>
      </c>
      <c r="T654" s="37" t="str">
        <f aca="false">IF($A654="","",IF($B654="","NO ACCOUNT",IF($Q654=0,"UNMAPPED",IF($R654=-1,"OUTSIDE FY RANGE","OK"))))</f>
        <v/>
      </c>
      <c r="U654" s="40" t="str">
        <f aca="false">IF($A654="","",$B654&amp;"|"&amp;TEXT($A654,"yyyymmdd")&amp;"|"&amp;TEXT($I654,"0.00"))</f>
        <v/>
      </c>
      <c r="V654" s="35" t="str">
        <f aca="false">IF($A654="","",COUNTIF($U$8:$U$5007,$U654))</f>
        <v/>
      </c>
    </row>
    <row r="655" customFormat="false" ht="15" hidden="false" customHeight="false" outlineLevel="0" collapsed="false">
      <c r="A655" s="31"/>
      <c r="B655" s="32"/>
      <c r="C655" s="32"/>
      <c r="D655" s="32"/>
      <c r="E655" s="32"/>
      <c r="F655" s="32"/>
      <c r="G655" s="33"/>
      <c r="H655" s="33"/>
      <c r="I655" s="34" t="str">
        <f aca="false">IF($A655="","",$G655-$H655)</f>
        <v/>
      </c>
      <c r="J655" s="35" t="str">
        <f aca="false">IF($A655="","",IF(Setup!$B$6=1,YEAR($A655),YEAR($A655)+IF(MONTH($A655)&gt;=Setup!$B$6,1,0)))</f>
        <v/>
      </c>
      <c r="K655" s="35" t="str">
        <f aca="false">IF($A655="","",MOD(MONTH($A655)-Setup!$B$6+12,12)+1)</f>
        <v/>
      </c>
      <c r="L655" s="36" t="str">
        <f aca="false">IF($A655="","",TEXT($A655,"MMM-YY"))</f>
        <v/>
      </c>
      <c r="M655" s="37" t="str">
        <f aca="false">IF($A655="","",IF($Q655=0,"UNMAPPED",INDEX(COA_Mapping!$C$7:$C$256,$Q655)))</f>
        <v/>
      </c>
      <c r="N655" s="38" t="str">
        <f aca="false">IF($A655="","",IF($Q655=0,"",INDEX(COA_Mapping!$E$7:$E$256,$Q655)))</f>
        <v/>
      </c>
      <c r="O655" s="38" t="n">
        <f aca="false">IF($A655="",1,IF($Q655=0,1,INDEX(COA_Mapping!$F$7:$F$256,$Q655)))</f>
        <v>1</v>
      </c>
      <c r="P655" s="34" t="str">
        <f aca="false">IF($A655="","",$I655*$O655)</f>
        <v/>
      </c>
      <c r="Q655" s="39" t="n">
        <f aca="false">IF($B655="",0,IFERROR(MATCH($B655,COA_Mapping!$A$7:$A$256,0),0))</f>
        <v>0</v>
      </c>
      <c r="R655" s="39" t="n">
        <f aca="false">IF($A655="",-1,IF($J655=Setup!$B$7,1,IF($J655=Setup!$B$9,0,-1)))</f>
        <v>-1</v>
      </c>
      <c r="S655" s="35" t="n">
        <f aca="false">IF(OR($A655="",$Q655=0,$R655=-1),0,$Q655*1000+$R655*100+$K655)</f>
        <v>0</v>
      </c>
      <c r="T655" s="37" t="str">
        <f aca="false">IF($A655="","",IF($B655="","NO ACCOUNT",IF($Q655=0,"UNMAPPED",IF($R655=-1,"OUTSIDE FY RANGE","OK"))))</f>
        <v/>
      </c>
      <c r="U655" s="40" t="str">
        <f aca="false">IF($A655="","",$B655&amp;"|"&amp;TEXT($A655,"yyyymmdd")&amp;"|"&amp;TEXT($I655,"0.00"))</f>
        <v/>
      </c>
      <c r="V655" s="35" t="str">
        <f aca="false">IF($A655="","",COUNTIF($U$8:$U$5007,$U655))</f>
        <v/>
      </c>
    </row>
    <row r="656" customFormat="false" ht="15" hidden="false" customHeight="false" outlineLevel="0" collapsed="false">
      <c r="A656" s="31"/>
      <c r="B656" s="32"/>
      <c r="C656" s="32"/>
      <c r="D656" s="32"/>
      <c r="E656" s="32"/>
      <c r="F656" s="32"/>
      <c r="G656" s="33"/>
      <c r="H656" s="33"/>
      <c r="I656" s="34" t="str">
        <f aca="false">IF($A656="","",$G656-$H656)</f>
        <v/>
      </c>
      <c r="J656" s="35" t="str">
        <f aca="false">IF($A656="","",IF(Setup!$B$6=1,YEAR($A656),YEAR($A656)+IF(MONTH($A656)&gt;=Setup!$B$6,1,0)))</f>
        <v/>
      </c>
      <c r="K656" s="35" t="str">
        <f aca="false">IF($A656="","",MOD(MONTH($A656)-Setup!$B$6+12,12)+1)</f>
        <v/>
      </c>
      <c r="L656" s="36" t="str">
        <f aca="false">IF($A656="","",TEXT($A656,"MMM-YY"))</f>
        <v/>
      </c>
      <c r="M656" s="37" t="str">
        <f aca="false">IF($A656="","",IF($Q656=0,"UNMAPPED",INDEX(COA_Mapping!$C$7:$C$256,$Q656)))</f>
        <v/>
      </c>
      <c r="N656" s="38" t="str">
        <f aca="false">IF($A656="","",IF($Q656=0,"",INDEX(COA_Mapping!$E$7:$E$256,$Q656)))</f>
        <v/>
      </c>
      <c r="O656" s="38" t="n">
        <f aca="false">IF($A656="",1,IF($Q656=0,1,INDEX(COA_Mapping!$F$7:$F$256,$Q656)))</f>
        <v>1</v>
      </c>
      <c r="P656" s="34" t="str">
        <f aca="false">IF($A656="","",$I656*$O656)</f>
        <v/>
      </c>
      <c r="Q656" s="39" t="n">
        <f aca="false">IF($B656="",0,IFERROR(MATCH($B656,COA_Mapping!$A$7:$A$256,0),0))</f>
        <v>0</v>
      </c>
      <c r="R656" s="39" t="n">
        <f aca="false">IF($A656="",-1,IF($J656=Setup!$B$7,1,IF($J656=Setup!$B$9,0,-1)))</f>
        <v>-1</v>
      </c>
      <c r="S656" s="35" t="n">
        <f aca="false">IF(OR($A656="",$Q656=0,$R656=-1),0,$Q656*1000+$R656*100+$K656)</f>
        <v>0</v>
      </c>
      <c r="T656" s="37" t="str">
        <f aca="false">IF($A656="","",IF($B656="","NO ACCOUNT",IF($Q656=0,"UNMAPPED",IF($R656=-1,"OUTSIDE FY RANGE","OK"))))</f>
        <v/>
      </c>
      <c r="U656" s="40" t="str">
        <f aca="false">IF($A656="","",$B656&amp;"|"&amp;TEXT($A656,"yyyymmdd")&amp;"|"&amp;TEXT($I656,"0.00"))</f>
        <v/>
      </c>
      <c r="V656" s="35" t="str">
        <f aca="false">IF($A656="","",COUNTIF($U$8:$U$5007,$U656))</f>
        <v/>
      </c>
    </row>
    <row r="657" customFormat="false" ht="15" hidden="false" customHeight="false" outlineLevel="0" collapsed="false">
      <c r="A657" s="31"/>
      <c r="B657" s="32"/>
      <c r="C657" s="32"/>
      <c r="D657" s="32"/>
      <c r="E657" s="32"/>
      <c r="F657" s="32"/>
      <c r="G657" s="33"/>
      <c r="H657" s="33"/>
      <c r="I657" s="34" t="str">
        <f aca="false">IF($A657="","",$G657-$H657)</f>
        <v/>
      </c>
      <c r="J657" s="35" t="str">
        <f aca="false">IF($A657="","",IF(Setup!$B$6=1,YEAR($A657),YEAR($A657)+IF(MONTH($A657)&gt;=Setup!$B$6,1,0)))</f>
        <v/>
      </c>
      <c r="K657" s="35" t="str">
        <f aca="false">IF($A657="","",MOD(MONTH($A657)-Setup!$B$6+12,12)+1)</f>
        <v/>
      </c>
      <c r="L657" s="36" t="str">
        <f aca="false">IF($A657="","",TEXT($A657,"MMM-YY"))</f>
        <v/>
      </c>
      <c r="M657" s="37" t="str">
        <f aca="false">IF($A657="","",IF($Q657=0,"UNMAPPED",INDEX(COA_Mapping!$C$7:$C$256,$Q657)))</f>
        <v/>
      </c>
      <c r="N657" s="38" t="str">
        <f aca="false">IF($A657="","",IF($Q657=0,"",INDEX(COA_Mapping!$E$7:$E$256,$Q657)))</f>
        <v/>
      </c>
      <c r="O657" s="38" t="n">
        <f aca="false">IF($A657="",1,IF($Q657=0,1,INDEX(COA_Mapping!$F$7:$F$256,$Q657)))</f>
        <v>1</v>
      </c>
      <c r="P657" s="34" t="str">
        <f aca="false">IF($A657="","",$I657*$O657)</f>
        <v/>
      </c>
      <c r="Q657" s="39" t="n">
        <f aca="false">IF($B657="",0,IFERROR(MATCH($B657,COA_Mapping!$A$7:$A$256,0),0))</f>
        <v>0</v>
      </c>
      <c r="R657" s="39" t="n">
        <f aca="false">IF($A657="",-1,IF($J657=Setup!$B$7,1,IF($J657=Setup!$B$9,0,-1)))</f>
        <v>-1</v>
      </c>
      <c r="S657" s="35" t="n">
        <f aca="false">IF(OR($A657="",$Q657=0,$R657=-1),0,$Q657*1000+$R657*100+$K657)</f>
        <v>0</v>
      </c>
      <c r="T657" s="37" t="str">
        <f aca="false">IF($A657="","",IF($B657="","NO ACCOUNT",IF($Q657=0,"UNMAPPED",IF($R657=-1,"OUTSIDE FY RANGE","OK"))))</f>
        <v/>
      </c>
      <c r="U657" s="40" t="str">
        <f aca="false">IF($A657="","",$B657&amp;"|"&amp;TEXT($A657,"yyyymmdd")&amp;"|"&amp;TEXT($I657,"0.00"))</f>
        <v/>
      </c>
      <c r="V657" s="35" t="str">
        <f aca="false">IF($A657="","",COUNTIF($U$8:$U$5007,$U657))</f>
        <v/>
      </c>
    </row>
    <row r="658" customFormat="false" ht="15" hidden="false" customHeight="false" outlineLevel="0" collapsed="false">
      <c r="A658" s="31"/>
      <c r="B658" s="32"/>
      <c r="C658" s="32"/>
      <c r="D658" s="32"/>
      <c r="E658" s="32"/>
      <c r="F658" s="32"/>
      <c r="G658" s="33"/>
      <c r="H658" s="33"/>
      <c r="I658" s="34" t="str">
        <f aca="false">IF($A658="","",$G658-$H658)</f>
        <v/>
      </c>
      <c r="J658" s="35" t="str">
        <f aca="false">IF($A658="","",IF(Setup!$B$6=1,YEAR($A658),YEAR($A658)+IF(MONTH($A658)&gt;=Setup!$B$6,1,0)))</f>
        <v/>
      </c>
      <c r="K658" s="35" t="str">
        <f aca="false">IF($A658="","",MOD(MONTH($A658)-Setup!$B$6+12,12)+1)</f>
        <v/>
      </c>
      <c r="L658" s="36" t="str">
        <f aca="false">IF($A658="","",TEXT($A658,"MMM-YY"))</f>
        <v/>
      </c>
      <c r="M658" s="37" t="str">
        <f aca="false">IF($A658="","",IF($Q658=0,"UNMAPPED",INDEX(COA_Mapping!$C$7:$C$256,$Q658)))</f>
        <v/>
      </c>
      <c r="N658" s="38" t="str">
        <f aca="false">IF($A658="","",IF($Q658=0,"",INDEX(COA_Mapping!$E$7:$E$256,$Q658)))</f>
        <v/>
      </c>
      <c r="O658" s="38" t="n">
        <f aca="false">IF($A658="",1,IF($Q658=0,1,INDEX(COA_Mapping!$F$7:$F$256,$Q658)))</f>
        <v>1</v>
      </c>
      <c r="P658" s="34" t="str">
        <f aca="false">IF($A658="","",$I658*$O658)</f>
        <v/>
      </c>
      <c r="Q658" s="39" t="n">
        <f aca="false">IF($B658="",0,IFERROR(MATCH($B658,COA_Mapping!$A$7:$A$256,0),0))</f>
        <v>0</v>
      </c>
      <c r="R658" s="39" t="n">
        <f aca="false">IF($A658="",-1,IF($J658=Setup!$B$7,1,IF($J658=Setup!$B$9,0,-1)))</f>
        <v>-1</v>
      </c>
      <c r="S658" s="35" t="n">
        <f aca="false">IF(OR($A658="",$Q658=0,$R658=-1),0,$Q658*1000+$R658*100+$K658)</f>
        <v>0</v>
      </c>
      <c r="T658" s="37" t="str">
        <f aca="false">IF($A658="","",IF($B658="","NO ACCOUNT",IF($Q658=0,"UNMAPPED",IF($R658=-1,"OUTSIDE FY RANGE","OK"))))</f>
        <v/>
      </c>
      <c r="U658" s="40" t="str">
        <f aca="false">IF($A658="","",$B658&amp;"|"&amp;TEXT($A658,"yyyymmdd")&amp;"|"&amp;TEXT($I658,"0.00"))</f>
        <v/>
      </c>
      <c r="V658" s="35" t="str">
        <f aca="false">IF($A658="","",COUNTIF($U$8:$U$5007,$U658))</f>
        <v/>
      </c>
    </row>
    <row r="659" customFormat="false" ht="15" hidden="false" customHeight="false" outlineLevel="0" collapsed="false">
      <c r="A659" s="31"/>
      <c r="B659" s="32"/>
      <c r="C659" s="32"/>
      <c r="D659" s="32"/>
      <c r="E659" s="32"/>
      <c r="F659" s="32"/>
      <c r="G659" s="33"/>
      <c r="H659" s="33"/>
      <c r="I659" s="34" t="str">
        <f aca="false">IF($A659="","",$G659-$H659)</f>
        <v/>
      </c>
      <c r="J659" s="35" t="str">
        <f aca="false">IF($A659="","",IF(Setup!$B$6=1,YEAR($A659),YEAR($A659)+IF(MONTH($A659)&gt;=Setup!$B$6,1,0)))</f>
        <v/>
      </c>
      <c r="K659" s="35" t="str">
        <f aca="false">IF($A659="","",MOD(MONTH($A659)-Setup!$B$6+12,12)+1)</f>
        <v/>
      </c>
      <c r="L659" s="36" t="str">
        <f aca="false">IF($A659="","",TEXT($A659,"MMM-YY"))</f>
        <v/>
      </c>
      <c r="M659" s="37" t="str">
        <f aca="false">IF($A659="","",IF($Q659=0,"UNMAPPED",INDEX(COA_Mapping!$C$7:$C$256,$Q659)))</f>
        <v/>
      </c>
      <c r="N659" s="38" t="str">
        <f aca="false">IF($A659="","",IF($Q659=0,"",INDEX(COA_Mapping!$E$7:$E$256,$Q659)))</f>
        <v/>
      </c>
      <c r="O659" s="38" t="n">
        <f aca="false">IF($A659="",1,IF($Q659=0,1,INDEX(COA_Mapping!$F$7:$F$256,$Q659)))</f>
        <v>1</v>
      </c>
      <c r="P659" s="34" t="str">
        <f aca="false">IF($A659="","",$I659*$O659)</f>
        <v/>
      </c>
      <c r="Q659" s="39" t="n">
        <f aca="false">IF($B659="",0,IFERROR(MATCH($B659,COA_Mapping!$A$7:$A$256,0),0))</f>
        <v>0</v>
      </c>
      <c r="R659" s="39" t="n">
        <f aca="false">IF($A659="",-1,IF($J659=Setup!$B$7,1,IF($J659=Setup!$B$9,0,-1)))</f>
        <v>-1</v>
      </c>
      <c r="S659" s="35" t="n">
        <f aca="false">IF(OR($A659="",$Q659=0,$R659=-1),0,$Q659*1000+$R659*100+$K659)</f>
        <v>0</v>
      </c>
      <c r="T659" s="37" t="str">
        <f aca="false">IF($A659="","",IF($B659="","NO ACCOUNT",IF($Q659=0,"UNMAPPED",IF($R659=-1,"OUTSIDE FY RANGE","OK"))))</f>
        <v/>
      </c>
      <c r="U659" s="40" t="str">
        <f aca="false">IF($A659="","",$B659&amp;"|"&amp;TEXT($A659,"yyyymmdd")&amp;"|"&amp;TEXT($I659,"0.00"))</f>
        <v/>
      </c>
      <c r="V659" s="35" t="str">
        <f aca="false">IF($A659="","",COUNTIF($U$8:$U$5007,$U659))</f>
        <v/>
      </c>
    </row>
    <row r="660" customFormat="false" ht="15" hidden="false" customHeight="false" outlineLevel="0" collapsed="false">
      <c r="A660" s="31"/>
      <c r="B660" s="32"/>
      <c r="C660" s="32"/>
      <c r="D660" s="32"/>
      <c r="E660" s="32"/>
      <c r="F660" s="32"/>
      <c r="G660" s="33"/>
      <c r="H660" s="33"/>
      <c r="I660" s="34" t="str">
        <f aca="false">IF($A660="","",$G660-$H660)</f>
        <v/>
      </c>
      <c r="J660" s="35" t="str">
        <f aca="false">IF($A660="","",IF(Setup!$B$6=1,YEAR($A660),YEAR($A660)+IF(MONTH($A660)&gt;=Setup!$B$6,1,0)))</f>
        <v/>
      </c>
      <c r="K660" s="35" t="str">
        <f aca="false">IF($A660="","",MOD(MONTH($A660)-Setup!$B$6+12,12)+1)</f>
        <v/>
      </c>
      <c r="L660" s="36" t="str">
        <f aca="false">IF($A660="","",TEXT($A660,"MMM-YY"))</f>
        <v/>
      </c>
      <c r="M660" s="37" t="str">
        <f aca="false">IF($A660="","",IF($Q660=0,"UNMAPPED",INDEX(COA_Mapping!$C$7:$C$256,$Q660)))</f>
        <v/>
      </c>
      <c r="N660" s="38" t="str">
        <f aca="false">IF($A660="","",IF($Q660=0,"",INDEX(COA_Mapping!$E$7:$E$256,$Q660)))</f>
        <v/>
      </c>
      <c r="O660" s="38" t="n">
        <f aca="false">IF($A660="",1,IF($Q660=0,1,INDEX(COA_Mapping!$F$7:$F$256,$Q660)))</f>
        <v>1</v>
      </c>
      <c r="P660" s="34" t="str">
        <f aca="false">IF($A660="","",$I660*$O660)</f>
        <v/>
      </c>
      <c r="Q660" s="39" t="n">
        <f aca="false">IF($B660="",0,IFERROR(MATCH($B660,COA_Mapping!$A$7:$A$256,0),0))</f>
        <v>0</v>
      </c>
      <c r="R660" s="39" t="n">
        <f aca="false">IF($A660="",-1,IF($J660=Setup!$B$7,1,IF($J660=Setup!$B$9,0,-1)))</f>
        <v>-1</v>
      </c>
      <c r="S660" s="35" t="n">
        <f aca="false">IF(OR($A660="",$Q660=0,$R660=-1),0,$Q660*1000+$R660*100+$K660)</f>
        <v>0</v>
      </c>
      <c r="T660" s="37" t="str">
        <f aca="false">IF($A660="","",IF($B660="","NO ACCOUNT",IF($Q660=0,"UNMAPPED",IF($R660=-1,"OUTSIDE FY RANGE","OK"))))</f>
        <v/>
      </c>
      <c r="U660" s="40" t="str">
        <f aca="false">IF($A660="","",$B660&amp;"|"&amp;TEXT($A660,"yyyymmdd")&amp;"|"&amp;TEXT($I660,"0.00"))</f>
        <v/>
      </c>
      <c r="V660" s="35" t="str">
        <f aca="false">IF($A660="","",COUNTIF($U$8:$U$5007,$U660))</f>
        <v/>
      </c>
    </row>
    <row r="661" customFormat="false" ht="15" hidden="false" customHeight="false" outlineLevel="0" collapsed="false">
      <c r="A661" s="31"/>
      <c r="B661" s="32"/>
      <c r="C661" s="32"/>
      <c r="D661" s="32"/>
      <c r="E661" s="32"/>
      <c r="F661" s="32"/>
      <c r="G661" s="33"/>
      <c r="H661" s="33"/>
      <c r="I661" s="34" t="str">
        <f aca="false">IF($A661="","",$G661-$H661)</f>
        <v/>
      </c>
      <c r="J661" s="35" t="str">
        <f aca="false">IF($A661="","",IF(Setup!$B$6=1,YEAR($A661),YEAR($A661)+IF(MONTH($A661)&gt;=Setup!$B$6,1,0)))</f>
        <v/>
      </c>
      <c r="K661" s="35" t="str">
        <f aca="false">IF($A661="","",MOD(MONTH($A661)-Setup!$B$6+12,12)+1)</f>
        <v/>
      </c>
      <c r="L661" s="36" t="str">
        <f aca="false">IF($A661="","",TEXT($A661,"MMM-YY"))</f>
        <v/>
      </c>
      <c r="M661" s="37" t="str">
        <f aca="false">IF($A661="","",IF($Q661=0,"UNMAPPED",INDEX(COA_Mapping!$C$7:$C$256,$Q661)))</f>
        <v/>
      </c>
      <c r="N661" s="38" t="str">
        <f aca="false">IF($A661="","",IF($Q661=0,"",INDEX(COA_Mapping!$E$7:$E$256,$Q661)))</f>
        <v/>
      </c>
      <c r="O661" s="38" t="n">
        <f aca="false">IF($A661="",1,IF($Q661=0,1,INDEX(COA_Mapping!$F$7:$F$256,$Q661)))</f>
        <v>1</v>
      </c>
      <c r="P661" s="34" t="str">
        <f aca="false">IF($A661="","",$I661*$O661)</f>
        <v/>
      </c>
      <c r="Q661" s="39" t="n">
        <f aca="false">IF($B661="",0,IFERROR(MATCH($B661,COA_Mapping!$A$7:$A$256,0),0))</f>
        <v>0</v>
      </c>
      <c r="R661" s="39" t="n">
        <f aca="false">IF($A661="",-1,IF($J661=Setup!$B$7,1,IF($J661=Setup!$B$9,0,-1)))</f>
        <v>-1</v>
      </c>
      <c r="S661" s="35" t="n">
        <f aca="false">IF(OR($A661="",$Q661=0,$R661=-1),0,$Q661*1000+$R661*100+$K661)</f>
        <v>0</v>
      </c>
      <c r="T661" s="37" t="str">
        <f aca="false">IF($A661="","",IF($B661="","NO ACCOUNT",IF($Q661=0,"UNMAPPED",IF($R661=-1,"OUTSIDE FY RANGE","OK"))))</f>
        <v/>
      </c>
      <c r="U661" s="40" t="str">
        <f aca="false">IF($A661="","",$B661&amp;"|"&amp;TEXT($A661,"yyyymmdd")&amp;"|"&amp;TEXT($I661,"0.00"))</f>
        <v/>
      </c>
      <c r="V661" s="35" t="str">
        <f aca="false">IF($A661="","",COUNTIF($U$8:$U$5007,$U661))</f>
        <v/>
      </c>
    </row>
    <row r="662" customFormat="false" ht="15" hidden="false" customHeight="false" outlineLevel="0" collapsed="false">
      <c r="A662" s="31"/>
      <c r="B662" s="32"/>
      <c r="C662" s="32"/>
      <c r="D662" s="32"/>
      <c r="E662" s="32"/>
      <c r="F662" s="32"/>
      <c r="G662" s="33"/>
      <c r="H662" s="33"/>
      <c r="I662" s="34" t="str">
        <f aca="false">IF($A662="","",$G662-$H662)</f>
        <v/>
      </c>
      <c r="J662" s="35" t="str">
        <f aca="false">IF($A662="","",IF(Setup!$B$6=1,YEAR($A662),YEAR($A662)+IF(MONTH($A662)&gt;=Setup!$B$6,1,0)))</f>
        <v/>
      </c>
      <c r="K662" s="35" t="str">
        <f aca="false">IF($A662="","",MOD(MONTH($A662)-Setup!$B$6+12,12)+1)</f>
        <v/>
      </c>
      <c r="L662" s="36" t="str">
        <f aca="false">IF($A662="","",TEXT($A662,"MMM-YY"))</f>
        <v/>
      </c>
      <c r="M662" s="37" t="str">
        <f aca="false">IF($A662="","",IF($Q662=0,"UNMAPPED",INDEX(COA_Mapping!$C$7:$C$256,$Q662)))</f>
        <v/>
      </c>
      <c r="N662" s="38" t="str">
        <f aca="false">IF($A662="","",IF($Q662=0,"",INDEX(COA_Mapping!$E$7:$E$256,$Q662)))</f>
        <v/>
      </c>
      <c r="O662" s="38" t="n">
        <f aca="false">IF($A662="",1,IF($Q662=0,1,INDEX(COA_Mapping!$F$7:$F$256,$Q662)))</f>
        <v>1</v>
      </c>
      <c r="P662" s="34" t="str">
        <f aca="false">IF($A662="","",$I662*$O662)</f>
        <v/>
      </c>
      <c r="Q662" s="39" t="n">
        <f aca="false">IF($B662="",0,IFERROR(MATCH($B662,COA_Mapping!$A$7:$A$256,0),0))</f>
        <v>0</v>
      </c>
      <c r="R662" s="39" t="n">
        <f aca="false">IF($A662="",-1,IF($J662=Setup!$B$7,1,IF($J662=Setup!$B$9,0,-1)))</f>
        <v>-1</v>
      </c>
      <c r="S662" s="35" t="n">
        <f aca="false">IF(OR($A662="",$Q662=0,$R662=-1),0,$Q662*1000+$R662*100+$K662)</f>
        <v>0</v>
      </c>
      <c r="T662" s="37" t="str">
        <f aca="false">IF($A662="","",IF($B662="","NO ACCOUNT",IF($Q662=0,"UNMAPPED",IF($R662=-1,"OUTSIDE FY RANGE","OK"))))</f>
        <v/>
      </c>
      <c r="U662" s="40" t="str">
        <f aca="false">IF($A662="","",$B662&amp;"|"&amp;TEXT($A662,"yyyymmdd")&amp;"|"&amp;TEXT($I662,"0.00"))</f>
        <v/>
      </c>
      <c r="V662" s="35" t="str">
        <f aca="false">IF($A662="","",COUNTIF($U$8:$U$5007,$U662))</f>
        <v/>
      </c>
    </row>
    <row r="663" customFormat="false" ht="15" hidden="false" customHeight="false" outlineLevel="0" collapsed="false">
      <c r="A663" s="31"/>
      <c r="B663" s="32"/>
      <c r="C663" s="32"/>
      <c r="D663" s="32"/>
      <c r="E663" s="32"/>
      <c r="F663" s="32"/>
      <c r="G663" s="33"/>
      <c r="H663" s="33"/>
      <c r="I663" s="34" t="str">
        <f aca="false">IF($A663="","",$G663-$H663)</f>
        <v/>
      </c>
      <c r="J663" s="35" t="str">
        <f aca="false">IF($A663="","",IF(Setup!$B$6=1,YEAR($A663),YEAR($A663)+IF(MONTH($A663)&gt;=Setup!$B$6,1,0)))</f>
        <v/>
      </c>
      <c r="K663" s="35" t="str">
        <f aca="false">IF($A663="","",MOD(MONTH($A663)-Setup!$B$6+12,12)+1)</f>
        <v/>
      </c>
      <c r="L663" s="36" t="str">
        <f aca="false">IF($A663="","",TEXT($A663,"MMM-YY"))</f>
        <v/>
      </c>
      <c r="M663" s="37" t="str">
        <f aca="false">IF($A663="","",IF($Q663=0,"UNMAPPED",INDEX(COA_Mapping!$C$7:$C$256,$Q663)))</f>
        <v/>
      </c>
      <c r="N663" s="38" t="str">
        <f aca="false">IF($A663="","",IF($Q663=0,"",INDEX(COA_Mapping!$E$7:$E$256,$Q663)))</f>
        <v/>
      </c>
      <c r="O663" s="38" t="n">
        <f aca="false">IF($A663="",1,IF($Q663=0,1,INDEX(COA_Mapping!$F$7:$F$256,$Q663)))</f>
        <v>1</v>
      </c>
      <c r="P663" s="34" t="str">
        <f aca="false">IF($A663="","",$I663*$O663)</f>
        <v/>
      </c>
      <c r="Q663" s="39" t="n">
        <f aca="false">IF($B663="",0,IFERROR(MATCH($B663,COA_Mapping!$A$7:$A$256,0),0))</f>
        <v>0</v>
      </c>
      <c r="R663" s="39" t="n">
        <f aca="false">IF($A663="",-1,IF($J663=Setup!$B$7,1,IF($J663=Setup!$B$9,0,-1)))</f>
        <v>-1</v>
      </c>
      <c r="S663" s="35" t="n">
        <f aca="false">IF(OR($A663="",$Q663=0,$R663=-1),0,$Q663*1000+$R663*100+$K663)</f>
        <v>0</v>
      </c>
      <c r="T663" s="37" t="str">
        <f aca="false">IF($A663="","",IF($B663="","NO ACCOUNT",IF($Q663=0,"UNMAPPED",IF($R663=-1,"OUTSIDE FY RANGE","OK"))))</f>
        <v/>
      </c>
      <c r="U663" s="40" t="str">
        <f aca="false">IF($A663="","",$B663&amp;"|"&amp;TEXT($A663,"yyyymmdd")&amp;"|"&amp;TEXT($I663,"0.00"))</f>
        <v/>
      </c>
      <c r="V663" s="35" t="str">
        <f aca="false">IF($A663="","",COUNTIF($U$8:$U$5007,$U663))</f>
        <v/>
      </c>
    </row>
    <row r="664" customFormat="false" ht="15" hidden="false" customHeight="false" outlineLevel="0" collapsed="false">
      <c r="A664" s="31"/>
      <c r="B664" s="32"/>
      <c r="C664" s="32"/>
      <c r="D664" s="32"/>
      <c r="E664" s="32"/>
      <c r="F664" s="32"/>
      <c r="G664" s="33"/>
      <c r="H664" s="33"/>
      <c r="I664" s="34" t="str">
        <f aca="false">IF($A664="","",$G664-$H664)</f>
        <v/>
      </c>
      <c r="J664" s="35" t="str">
        <f aca="false">IF($A664="","",IF(Setup!$B$6=1,YEAR($A664),YEAR($A664)+IF(MONTH($A664)&gt;=Setup!$B$6,1,0)))</f>
        <v/>
      </c>
      <c r="K664" s="35" t="str">
        <f aca="false">IF($A664="","",MOD(MONTH($A664)-Setup!$B$6+12,12)+1)</f>
        <v/>
      </c>
      <c r="L664" s="36" t="str">
        <f aca="false">IF($A664="","",TEXT($A664,"MMM-YY"))</f>
        <v/>
      </c>
      <c r="M664" s="37" t="str">
        <f aca="false">IF($A664="","",IF($Q664=0,"UNMAPPED",INDEX(COA_Mapping!$C$7:$C$256,$Q664)))</f>
        <v/>
      </c>
      <c r="N664" s="38" t="str">
        <f aca="false">IF($A664="","",IF($Q664=0,"",INDEX(COA_Mapping!$E$7:$E$256,$Q664)))</f>
        <v/>
      </c>
      <c r="O664" s="38" t="n">
        <f aca="false">IF($A664="",1,IF($Q664=0,1,INDEX(COA_Mapping!$F$7:$F$256,$Q664)))</f>
        <v>1</v>
      </c>
      <c r="P664" s="34" t="str">
        <f aca="false">IF($A664="","",$I664*$O664)</f>
        <v/>
      </c>
      <c r="Q664" s="39" t="n">
        <f aca="false">IF($B664="",0,IFERROR(MATCH($B664,COA_Mapping!$A$7:$A$256,0),0))</f>
        <v>0</v>
      </c>
      <c r="R664" s="39" t="n">
        <f aca="false">IF($A664="",-1,IF($J664=Setup!$B$7,1,IF($J664=Setup!$B$9,0,-1)))</f>
        <v>-1</v>
      </c>
      <c r="S664" s="35" t="n">
        <f aca="false">IF(OR($A664="",$Q664=0,$R664=-1),0,$Q664*1000+$R664*100+$K664)</f>
        <v>0</v>
      </c>
      <c r="T664" s="37" t="str">
        <f aca="false">IF($A664="","",IF($B664="","NO ACCOUNT",IF($Q664=0,"UNMAPPED",IF($R664=-1,"OUTSIDE FY RANGE","OK"))))</f>
        <v/>
      </c>
      <c r="U664" s="40" t="str">
        <f aca="false">IF($A664="","",$B664&amp;"|"&amp;TEXT($A664,"yyyymmdd")&amp;"|"&amp;TEXT($I664,"0.00"))</f>
        <v/>
      </c>
      <c r="V664" s="35" t="str">
        <f aca="false">IF($A664="","",COUNTIF($U$8:$U$5007,$U664))</f>
        <v/>
      </c>
    </row>
    <row r="665" customFormat="false" ht="15" hidden="false" customHeight="false" outlineLevel="0" collapsed="false">
      <c r="A665" s="31"/>
      <c r="B665" s="32"/>
      <c r="C665" s="32"/>
      <c r="D665" s="32"/>
      <c r="E665" s="32"/>
      <c r="F665" s="32"/>
      <c r="G665" s="33"/>
      <c r="H665" s="33"/>
      <c r="I665" s="34" t="str">
        <f aca="false">IF($A665="","",$G665-$H665)</f>
        <v/>
      </c>
      <c r="J665" s="35" t="str">
        <f aca="false">IF($A665="","",IF(Setup!$B$6=1,YEAR($A665),YEAR($A665)+IF(MONTH($A665)&gt;=Setup!$B$6,1,0)))</f>
        <v/>
      </c>
      <c r="K665" s="35" t="str">
        <f aca="false">IF($A665="","",MOD(MONTH($A665)-Setup!$B$6+12,12)+1)</f>
        <v/>
      </c>
      <c r="L665" s="36" t="str">
        <f aca="false">IF($A665="","",TEXT($A665,"MMM-YY"))</f>
        <v/>
      </c>
      <c r="M665" s="37" t="str">
        <f aca="false">IF($A665="","",IF($Q665=0,"UNMAPPED",INDEX(COA_Mapping!$C$7:$C$256,$Q665)))</f>
        <v/>
      </c>
      <c r="N665" s="38" t="str">
        <f aca="false">IF($A665="","",IF($Q665=0,"",INDEX(COA_Mapping!$E$7:$E$256,$Q665)))</f>
        <v/>
      </c>
      <c r="O665" s="38" t="n">
        <f aca="false">IF($A665="",1,IF($Q665=0,1,INDEX(COA_Mapping!$F$7:$F$256,$Q665)))</f>
        <v>1</v>
      </c>
      <c r="P665" s="34" t="str">
        <f aca="false">IF($A665="","",$I665*$O665)</f>
        <v/>
      </c>
      <c r="Q665" s="39" t="n">
        <f aca="false">IF($B665="",0,IFERROR(MATCH($B665,COA_Mapping!$A$7:$A$256,0),0))</f>
        <v>0</v>
      </c>
      <c r="R665" s="39" t="n">
        <f aca="false">IF($A665="",-1,IF($J665=Setup!$B$7,1,IF($J665=Setup!$B$9,0,-1)))</f>
        <v>-1</v>
      </c>
      <c r="S665" s="35" t="n">
        <f aca="false">IF(OR($A665="",$Q665=0,$R665=-1),0,$Q665*1000+$R665*100+$K665)</f>
        <v>0</v>
      </c>
      <c r="T665" s="37" t="str">
        <f aca="false">IF($A665="","",IF($B665="","NO ACCOUNT",IF($Q665=0,"UNMAPPED",IF($R665=-1,"OUTSIDE FY RANGE","OK"))))</f>
        <v/>
      </c>
      <c r="U665" s="40" t="str">
        <f aca="false">IF($A665="","",$B665&amp;"|"&amp;TEXT($A665,"yyyymmdd")&amp;"|"&amp;TEXT($I665,"0.00"))</f>
        <v/>
      </c>
      <c r="V665" s="35" t="str">
        <f aca="false">IF($A665="","",COUNTIF($U$8:$U$5007,$U665))</f>
        <v/>
      </c>
    </row>
    <row r="666" customFormat="false" ht="15" hidden="false" customHeight="false" outlineLevel="0" collapsed="false">
      <c r="A666" s="31"/>
      <c r="B666" s="32"/>
      <c r="C666" s="32"/>
      <c r="D666" s="32"/>
      <c r="E666" s="32"/>
      <c r="F666" s="32"/>
      <c r="G666" s="33"/>
      <c r="H666" s="33"/>
      <c r="I666" s="34" t="str">
        <f aca="false">IF($A666="","",$G666-$H666)</f>
        <v/>
      </c>
      <c r="J666" s="35" t="str">
        <f aca="false">IF($A666="","",IF(Setup!$B$6=1,YEAR($A666),YEAR($A666)+IF(MONTH($A666)&gt;=Setup!$B$6,1,0)))</f>
        <v/>
      </c>
      <c r="K666" s="35" t="str">
        <f aca="false">IF($A666="","",MOD(MONTH($A666)-Setup!$B$6+12,12)+1)</f>
        <v/>
      </c>
      <c r="L666" s="36" t="str">
        <f aca="false">IF($A666="","",TEXT($A666,"MMM-YY"))</f>
        <v/>
      </c>
      <c r="M666" s="37" t="str">
        <f aca="false">IF($A666="","",IF($Q666=0,"UNMAPPED",INDEX(COA_Mapping!$C$7:$C$256,$Q666)))</f>
        <v/>
      </c>
      <c r="N666" s="38" t="str">
        <f aca="false">IF($A666="","",IF($Q666=0,"",INDEX(COA_Mapping!$E$7:$E$256,$Q666)))</f>
        <v/>
      </c>
      <c r="O666" s="38" t="n">
        <f aca="false">IF($A666="",1,IF($Q666=0,1,INDEX(COA_Mapping!$F$7:$F$256,$Q666)))</f>
        <v>1</v>
      </c>
      <c r="P666" s="34" t="str">
        <f aca="false">IF($A666="","",$I666*$O666)</f>
        <v/>
      </c>
      <c r="Q666" s="39" t="n">
        <f aca="false">IF($B666="",0,IFERROR(MATCH($B666,COA_Mapping!$A$7:$A$256,0),0))</f>
        <v>0</v>
      </c>
      <c r="R666" s="39" t="n">
        <f aca="false">IF($A666="",-1,IF($J666=Setup!$B$7,1,IF($J666=Setup!$B$9,0,-1)))</f>
        <v>-1</v>
      </c>
      <c r="S666" s="35" t="n">
        <f aca="false">IF(OR($A666="",$Q666=0,$R666=-1),0,$Q666*1000+$R666*100+$K666)</f>
        <v>0</v>
      </c>
      <c r="T666" s="37" t="str">
        <f aca="false">IF($A666="","",IF($B666="","NO ACCOUNT",IF($Q666=0,"UNMAPPED",IF($R666=-1,"OUTSIDE FY RANGE","OK"))))</f>
        <v/>
      </c>
      <c r="U666" s="40" t="str">
        <f aca="false">IF($A666="","",$B666&amp;"|"&amp;TEXT($A666,"yyyymmdd")&amp;"|"&amp;TEXT($I666,"0.00"))</f>
        <v/>
      </c>
      <c r="V666" s="35" t="str">
        <f aca="false">IF($A666="","",COUNTIF($U$8:$U$5007,$U666))</f>
        <v/>
      </c>
    </row>
    <row r="667" customFormat="false" ht="15" hidden="false" customHeight="false" outlineLevel="0" collapsed="false">
      <c r="A667" s="31"/>
      <c r="B667" s="32"/>
      <c r="C667" s="32"/>
      <c r="D667" s="32"/>
      <c r="E667" s="32"/>
      <c r="F667" s="32"/>
      <c r="G667" s="33"/>
      <c r="H667" s="33"/>
      <c r="I667" s="34" t="str">
        <f aca="false">IF($A667="","",$G667-$H667)</f>
        <v/>
      </c>
      <c r="J667" s="35" t="str">
        <f aca="false">IF($A667="","",IF(Setup!$B$6=1,YEAR($A667),YEAR($A667)+IF(MONTH($A667)&gt;=Setup!$B$6,1,0)))</f>
        <v/>
      </c>
      <c r="K667" s="35" t="str">
        <f aca="false">IF($A667="","",MOD(MONTH($A667)-Setup!$B$6+12,12)+1)</f>
        <v/>
      </c>
      <c r="L667" s="36" t="str">
        <f aca="false">IF($A667="","",TEXT($A667,"MMM-YY"))</f>
        <v/>
      </c>
      <c r="M667" s="37" t="str">
        <f aca="false">IF($A667="","",IF($Q667=0,"UNMAPPED",INDEX(COA_Mapping!$C$7:$C$256,$Q667)))</f>
        <v/>
      </c>
      <c r="N667" s="38" t="str">
        <f aca="false">IF($A667="","",IF($Q667=0,"",INDEX(COA_Mapping!$E$7:$E$256,$Q667)))</f>
        <v/>
      </c>
      <c r="O667" s="38" t="n">
        <f aca="false">IF($A667="",1,IF($Q667=0,1,INDEX(COA_Mapping!$F$7:$F$256,$Q667)))</f>
        <v>1</v>
      </c>
      <c r="P667" s="34" t="str">
        <f aca="false">IF($A667="","",$I667*$O667)</f>
        <v/>
      </c>
      <c r="Q667" s="39" t="n">
        <f aca="false">IF($B667="",0,IFERROR(MATCH($B667,COA_Mapping!$A$7:$A$256,0),0))</f>
        <v>0</v>
      </c>
      <c r="R667" s="39" t="n">
        <f aca="false">IF($A667="",-1,IF($J667=Setup!$B$7,1,IF($J667=Setup!$B$9,0,-1)))</f>
        <v>-1</v>
      </c>
      <c r="S667" s="35" t="n">
        <f aca="false">IF(OR($A667="",$Q667=0,$R667=-1),0,$Q667*1000+$R667*100+$K667)</f>
        <v>0</v>
      </c>
      <c r="T667" s="37" t="str">
        <f aca="false">IF($A667="","",IF($B667="","NO ACCOUNT",IF($Q667=0,"UNMAPPED",IF($R667=-1,"OUTSIDE FY RANGE","OK"))))</f>
        <v/>
      </c>
      <c r="U667" s="40" t="str">
        <f aca="false">IF($A667="","",$B667&amp;"|"&amp;TEXT($A667,"yyyymmdd")&amp;"|"&amp;TEXT($I667,"0.00"))</f>
        <v/>
      </c>
      <c r="V667" s="35" t="str">
        <f aca="false">IF($A667="","",COUNTIF($U$8:$U$5007,$U667))</f>
        <v/>
      </c>
    </row>
    <row r="668" customFormat="false" ht="15" hidden="false" customHeight="false" outlineLevel="0" collapsed="false">
      <c r="A668" s="31"/>
      <c r="B668" s="32"/>
      <c r="C668" s="32"/>
      <c r="D668" s="32"/>
      <c r="E668" s="32"/>
      <c r="F668" s="32"/>
      <c r="G668" s="33"/>
      <c r="H668" s="33"/>
      <c r="I668" s="34" t="str">
        <f aca="false">IF($A668="","",$G668-$H668)</f>
        <v/>
      </c>
      <c r="J668" s="35" t="str">
        <f aca="false">IF($A668="","",IF(Setup!$B$6=1,YEAR($A668),YEAR($A668)+IF(MONTH($A668)&gt;=Setup!$B$6,1,0)))</f>
        <v/>
      </c>
      <c r="K668" s="35" t="str">
        <f aca="false">IF($A668="","",MOD(MONTH($A668)-Setup!$B$6+12,12)+1)</f>
        <v/>
      </c>
      <c r="L668" s="36" t="str">
        <f aca="false">IF($A668="","",TEXT($A668,"MMM-YY"))</f>
        <v/>
      </c>
      <c r="M668" s="37" t="str">
        <f aca="false">IF($A668="","",IF($Q668=0,"UNMAPPED",INDEX(COA_Mapping!$C$7:$C$256,$Q668)))</f>
        <v/>
      </c>
      <c r="N668" s="38" t="str">
        <f aca="false">IF($A668="","",IF($Q668=0,"",INDEX(COA_Mapping!$E$7:$E$256,$Q668)))</f>
        <v/>
      </c>
      <c r="O668" s="38" t="n">
        <f aca="false">IF($A668="",1,IF($Q668=0,1,INDEX(COA_Mapping!$F$7:$F$256,$Q668)))</f>
        <v>1</v>
      </c>
      <c r="P668" s="34" t="str">
        <f aca="false">IF($A668="","",$I668*$O668)</f>
        <v/>
      </c>
      <c r="Q668" s="39" t="n">
        <f aca="false">IF($B668="",0,IFERROR(MATCH($B668,COA_Mapping!$A$7:$A$256,0),0))</f>
        <v>0</v>
      </c>
      <c r="R668" s="39" t="n">
        <f aca="false">IF($A668="",-1,IF($J668=Setup!$B$7,1,IF($J668=Setup!$B$9,0,-1)))</f>
        <v>-1</v>
      </c>
      <c r="S668" s="35" t="n">
        <f aca="false">IF(OR($A668="",$Q668=0,$R668=-1),0,$Q668*1000+$R668*100+$K668)</f>
        <v>0</v>
      </c>
      <c r="T668" s="37" t="str">
        <f aca="false">IF($A668="","",IF($B668="","NO ACCOUNT",IF($Q668=0,"UNMAPPED",IF($R668=-1,"OUTSIDE FY RANGE","OK"))))</f>
        <v/>
      </c>
      <c r="U668" s="40" t="str">
        <f aca="false">IF($A668="","",$B668&amp;"|"&amp;TEXT($A668,"yyyymmdd")&amp;"|"&amp;TEXT($I668,"0.00"))</f>
        <v/>
      </c>
      <c r="V668" s="35" t="str">
        <f aca="false">IF($A668="","",COUNTIF($U$8:$U$5007,$U668))</f>
        <v/>
      </c>
    </row>
    <row r="669" customFormat="false" ht="15" hidden="false" customHeight="false" outlineLevel="0" collapsed="false">
      <c r="A669" s="31"/>
      <c r="B669" s="32"/>
      <c r="C669" s="32"/>
      <c r="D669" s="32"/>
      <c r="E669" s="32"/>
      <c r="F669" s="32"/>
      <c r="G669" s="33"/>
      <c r="H669" s="33"/>
      <c r="I669" s="34" t="str">
        <f aca="false">IF($A669="","",$G669-$H669)</f>
        <v/>
      </c>
      <c r="J669" s="35" t="str">
        <f aca="false">IF($A669="","",IF(Setup!$B$6=1,YEAR($A669),YEAR($A669)+IF(MONTH($A669)&gt;=Setup!$B$6,1,0)))</f>
        <v/>
      </c>
      <c r="K669" s="35" t="str">
        <f aca="false">IF($A669="","",MOD(MONTH($A669)-Setup!$B$6+12,12)+1)</f>
        <v/>
      </c>
      <c r="L669" s="36" t="str">
        <f aca="false">IF($A669="","",TEXT($A669,"MMM-YY"))</f>
        <v/>
      </c>
      <c r="M669" s="37" t="str">
        <f aca="false">IF($A669="","",IF($Q669=0,"UNMAPPED",INDEX(COA_Mapping!$C$7:$C$256,$Q669)))</f>
        <v/>
      </c>
      <c r="N669" s="38" t="str">
        <f aca="false">IF($A669="","",IF($Q669=0,"",INDEX(COA_Mapping!$E$7:$E$256,$Q669)))</f>
        <v/>
      </c>
      <c r="O669" s="38" t="n">
        <f aca="false">IF($A669="",1,IF($Q669=0,1,INDEX(COA_Mapping!$F$7:$F$256,$Q669)))</f>
        <v>1</v>
      </c>
      <c r="P669" s="34" t="str">
        <f aca="false">IF($A669="","",$I669*$O669)</f>
        <v/>
      </c>
      <c r="Q669" s="39" t="n">
        <f aca="false">IF($B669="",0,IFERROR(MATCH($B669,COA_Mapping!$A$7:$A$256,0),0))</f>
        <v>0</v>
      </c>
      <c r="R669" s="39" t="n">
        <f aca="false">IF($A669="",-1,IF($J669=Setup!$B$7,1,IF($J669=Setup!$B$9,0,-1)))</f>
        <v>-1</v>
      </c>
      <c r="S669" s="35" t="n">
        <f aca="false">IF(OR($A669="",$Q669=0,$R669=-1),0,$Q669*1000+$R669*100+$K669)</f>
        <v>0</v>
      </c>
      <c r="T669" s="37" t="str">
        <f aca="false">IF($A669="","",IF($B669="","NO ACCOUNT",IF($Q669=0,"UNMAPPED",IF($R669=-1,"OUTSIDE FY RANGE","OK"))))</f>
        <v/>
      </c>
      <c r="U669" s="40" t="str">
        <f aca="false">IF($A669="","",$B669&amp;"|"&amp;TEXT($A669,"yyyymmdd")&amp;"|"&amp;TEXT($I669,"0.00"))</f>
        <v/>
      </c>
      <c r="V669" s="35" t="str">
        <f aca="false">IF($A669="","",COUNTIF($U$8:$U$5007,$U669))</f>
        <v/>
      </c>
    </row>
    <row r="670" customFormat="false" ht="15" hidden="false" customHeight="false" outlineLevel="0" collapsed="false">
      <c r="A670" s="31"/>
      <c r="B670" s="32"/>
      <c r="C670" s="32"/>
      <c r="D670" s="32"/>
      <c r="E670" s="32"/>
      <c r="F670" s="32"/>
      <c r="G670" s="33"/>
      <c r="H670" s="33"/>
      <c r="I670" s="34" t="str">
        <f aca="false">IF($A670="","",$G670-$H670)</f>
        <v/>
      </c>
      <c r="J670" s="35" t="str">
        <f aca="false">IF($A670="","",IF(Setup!$B$6=1,YEAR($A670),YEAR($A670)+IF(MONTH($A670)&gt;=Setup!$B$6,1,0)))</f>
        <v/>
      </c>
      <c r="K670" s="35" t="str">
        <f aca="false">IF($A670="","",MOD(MONTH($A670)-Setup!$B$6+12,12)+1)</f>
        <v/>
      </c>
      <c r="L670" s="36" t="str">
        <f aca="false">IF($A670="","",TEXT($A670,"MMM-YY"))</f>
        <v/>
      </c>
      <c r="M670" s="37" t="str">
        <f aca="false">IF($A670="","",IF($Q670=0,"UNMAPPED",INDEX(COA_Mapping!$C$7:$C$256,$Q670)))</f>
        <v/>
      </c>
      <c r="N670" s="38" t="str">
        <f aca="false">IF($A670="","",IF($Q670=0,"",INDEX(COA_Mapping!$E$7:$E$256,$Q670)))</f>
        <v/>
      </c>
      <c r="O670" s="38" t="n">
        <f aca="false">IF($A670="",1,IF($Q670=0,1,INDEX(COA_Mapping!$F$7:$F$256,$Q670)))</f>
        <v>1</v>
      </c>
      <c r="P670" s="34" t="str">
        <f aca="false">IF($A670="","",$I670*$O670)</f>
        <v/>
      </c>
      <c r="Q670" s="39" t="n">
        <f aca="false">IF($B670="",0,IFERROR(MATCH($B670,COA_Mapping!$A$7:$A$256,0),0))</f>
        <v>0</v>
      </c>
      <c r="R670" s="39" t="n">
        <f aca="false">IF($A670="",-1,IF($J670=Setup!$B$7,1,IF($J670=Setup!$B$9,0,-1)))</f>
        <v>-1</v>
      </c>
      <c r="S670" s="35" t="n">
        <f aca="false">IF(OR($A670="",$Q670=0,$R670=-1),0,$Q670*1000+$R670*100+$K670)</f>
        <v>0</v>
      </c>
      <c r="T670" s="37" t="str">
        <f aca="false">IF($A670="","",IF($B670="","NO ACCOUNT",IF($Q670=0,"UNMAPPED",IF($R670=-1,"OUTSIDE FY RANGE","OK"))))</f>
        <v/>
      </c>
      <c r="U670" s="40" t="str">
        <f aca="false">IF($A670="","",$B670&amp;"|"&amp;TEXT($A670,"yyyymmdd")&amp;"|"&amp;TEXT($I670,"0.00"))</f>
        <v/>
      </c>
      <c r="V670" s="35" t="str">
        <f aca="false">IF($A670="","",COUNTIF($U$8:$U$5007,$U670))</f>
        <v/>
      </c>
    </row>
    <row r="671" customFormat="false" ht="15" hidden="false" customHeight="false" outlineLevel="0" collapsed="false">
      <c r="A671" s="31"/>
      <c r="B671" s="32"/>
      <c r="C671" s="32"/>
      <c r="D671" s="32"/>
      <c r="E671" s="32"/>
      <c r="F671" s="32"/>
      <c r="G671" s="33"/>
      <c r="H671" s="33"/>
      <c r="I671" s="34" t="str">
        <f aca="false">IF($A671="","",$G671-$H671)</f>
        <v/>
      </c>
      <c r="J671" s="35" t="str">
        <f aca="false">IF($A671="","",IF(Setup!$B$6=1,YEAR($A671),YEAR($A671)+IF(MONTH($A671)&gt;=Setup!$B$6,1,0)))</f>
        <v/>
      </c>
      <c r="K671" s="35" t="str">
        <f aca="false">IF($A671="","",MOD(MONTH($A671)-Setup!$B$6+12,12)+1)</f>
        <v/>
      </c>
      <c r="L671" s="36" t="str">
        <f aca="false">IF($A671="","",TEXT($A671,"MMM-YY"))</f>
        <v/>
      </c>
      <c r="M671" s="37" t="str">
        <f aca="false">IF($A671="","",IF($Q671=0,"UNMAPPED",INDEX(COA_Mapping!$C$7:$C$256,$Q671)))</f>
        <v/>
      </c>
      <c r="N671" s="38" t="str">
        <f aca="false">IF($A671="","",IF($Q671=0,"",INDEX(COA_Mapping!$E$7:$E$256,$Q671)))</f>
        <v/>
      </c>
      <c r="O671" s="38" t="n">
        <f aca="false">IF($A671="",1,IF($Q671=0,1,INDEX(COA_Mapping!$F$7:$F$256,$Q671)))</f>
        <v>1</v>
      </c>
      <c r="P671" s="34" t="str">
        <f aca="false">IF($A671="","",$I671*$O671)</f>
        <v/>
      </c>
      <c r="Q671" s="39" t="n">
        <f aca="false">IF($B671="",0,IFERROR(MATCH($B671,COA_Mapping!$A$7:$A$256,0),0))</f>
        <v>0</v>
      </c>
      <c r="R671" s="39" t="n">
        <f aca="false">IF($A671="",-1,IF($J671=Setup!$B$7,1,IF($J671=Setup!$B$9,0,-1)))</f>
        <v>-1</v>
      </c>
      <c r="S671" s="35" t="n">
        <f aca="false">IF(OR($A671="",$Q671=0,$R671=-1),0,$Q671*1000+$R671*100+$K671)</f>
        <v>0</v>
      </c>
      <c r="T671" s="37" t="str">
        <f aca="false">IF($A671="","",IF($B671="","NO ACCOUNT",IF($Q671=0,"UNMAPPED",IF($R671=-1,"OUTSIDE FY RANGE","OK"))))</f>
        <v/>
      </c>
      <c r="U671" s="40" t="str">
        <f aca="false">IF($A671="","",$B671&amp;"|"&amp;TEXT($A671,"yyyymmdd")&amp;"|"&amp;TEXT($I671,"0.00"))</f>
        <v/>
      </c>
      <c r="V671" s="35" t="str">
        <f aca="false">IF($A671="","",COUNTIF($U$8:$U$5007,$U671))</f>
        <v/>
      </c>
    </row>
    <row r="672" customFormat="false" ht="15" hidden="false" customHeight="false" outlineLevel="0" collapsed="false">
      <c r="A672" s="31"/>
      <c r="B672" s="32"/>
      <c r="C672" s="32"/>
      <c r="D672" s="32"/>
      <c r="E672" s="32"/>
      <c r="F672" s="32"/>
      <c r="G672" s="33"/>
      <c r="H672" s="33"/>
      <c r="I672" s="34" t="str">
        <f aca="false">IF($A672="","",$G672-$H672)</f>
        <v/>
      </c>
      <c r="J672" s="35" t="str">
        <f aca="false">IF($A672="","",IF(Setup!$B$6=1,YEAR($A672),YEAR($A672)+IF(MONTH($A672)&gt;=Setup!$B$6,1,0)))</f>
        <v/>
      </c>
      <c r="K672" s="35" t="str">
        <f aca="false">IF($A672="","",MOD(MONTH($A672)-Setup!$B$6+12,12)+1)</f>
        <v/>
      </c>
      <c r="L672" s="36" t="str">
        <f aca="false">IF($A672="","",TEXT($A672,"MMM-YY"))</f>
        <v/>
      </c>
      <c r="M672" s="37" t="str">
        <f aca="false">IF($A672="","",IF($Q672=0,"UNMAPPED",INDEX(COA_Mapping!$C$7:$C$256,$Q672)))</f>
        <v/>
      </c>
      <c r="N672" s="38" t="str">
        <f aca="false">IF($A672="","",IF($Q672=0,"",INDEX(COA_Mapping!$E$7:$E$256,$Q672)))</f>
        <v/>
      </c>
      <c r="O672" s="38" t="n">
        <f aca="false">IF($A672="",1,IF($Q672=0,1,INDEX(COA_Mapping!$F$7:$F$256,$Q672)))</f>
        <v>1</v>
      </c>
      <c r="P672" s="34" t="str">
        <f aca="false">IF($A672="","",$I672*$O672)</f>
        <v/>
      </c>
      <c r="Q672" s="39" t="n">
        <f aca="false">IF($B672="",0,IFERROR(MATCH($B672,COA_Mapping!$A$7:$A$256,0),0))</f>
        <v>0</v>
      </c>
      <c r="R672" s="39" t="n">
        <f aca="false">IF($A672="",-1,IF($J672=Setup!$B$7,1,IF($J672=Setup!$B$9,0,-1)))</f>
        <v>-1</v>
      </c>
      <c r="S672" s="35" t="n">
        <f aca="false">IF(OR($A672="",$Q672=0,$R672=-1),0,$Q672*1000+$R672*100+$K672)</f>
        <v>0</v>
      </c>
      <c r="T672" s="37" t="str">
        <f aca="false">IF($A672="","",IF($B672="","NO ACCOUNT",IF($Q672=0,"UNMAPPED",IF($R672=-1,"OUTSIDE FY RANGE","OK"))))</f>
        <v/>
      </c>
      <c r="U672" s="40" t="str">
        <f aca="false">IF($A672="","",$B672&amp;"|"&amp;TEXT($A672,"yyyymmdd")&amp;"|"&amp;TEXT($I672,"0.00"))</f>
        <v/>
      </c>
      <c r="V672" s="35" t="str">
        <f aca="false">IF($A672="","",COUNTIF($U$8:$U$5007,$U672))</f>
        <v/>
      </c>
    </row>
    <row r="673" customFormat="false" ht="15" hidden="false" customHeight="false" outlineLevel="0" collapsed="false">
      <c r="A673" s="31"/>
      <c r="B673" s="32"/>
      <c r="C673" s="32"/>
      <c r="D673" s="32"/>
      <c r="E673" s="32"/>
      <c r="F673" s="32"/>
      <c r="G673" s="33"/>
      <c r="H673" s="33"/>
      <c r="I673" s="34" t="str">
        <f aca="false">IF($A673="","",$G673-$H673)</f>
        <v/>
      </c>
      <c r="J673" s="35" t="str">
        <f aca="false">IF($A673="","",IF(Setup!$B$6=1,YEAR($A673),YEAR($A673)+IF(MONTH($A673)&gt;=Setup!$B$6,1,0)))</f>
        <v/>
      </c>
      <c r="K673" s="35" t="str">
        <f aca="false">IF($A673="","",MOD(MONTH($A673)-Setup!$B$6+12,12)+1)</f>
        <v/>
      </c>
      <c r="L673" s="36" t="str">
        <f aca="false">IF($A673="","",TEXT($A673,"MMM-YY"))</f>
        <v/>
      </c>
      <c r="M673" s="37" t="str">
        <f aca="false">IF($A673="","",IF($Q673=0,"UNMAPPED",INDEX(COA_Mapping!$C$7:$C$256,$Q673)))</f>
        <v/>
      </c>
      <c r="N673" s="38" t="str">
        <f aca="false">IF($A673="","",IF($Q673=0,"",INDEX(COA_Mapping!$E$7:$E$256,$Q673)))</f>
        <v/>
      </c>
      <c r="O673" s="38" t="n">
        <f aca="false">IF($A673="",1,IF($Q673=0,1,INDEX(COA_Mapping!$F$7:$F$256,$Q673)))</f>
        <v>1</v>
      </c>
      <c r="P673" s="34" t="str">
        <f aca="false">IF($A673="","",$I673*$O673)</f>
        <v/>
      </c>
      <c r="Q673" s="39" t="n">
        <f aca="false">IF($B673="",0,IFERROR(MATCH($B673,COA_Mapping!$A$7:$A$256,0),0))</f>
        <v>0</v>
      </c>
      <c r="R673" s="39" t="n">
        <f aca="false">IF($A673="",-1,IF($J673=Setup!$B$7,1,IF($J673=Setup!$B$9,0,-1)))</f>
        <v>-1</v>
      </c>
      <c r="S673" s="35" t="n">
        <f aca="false">IF(OR($A673="",$Q673=0,$R673=-1),0,$Q673*1000+$R673*100+$K673)</f>
        <v>0</v>
      </c>
      <c r="T673" s="37" t="str">
        <f aca="false">IF($A673="","",IF($B673="","NO ACCOUNT",IF($Q673=0,"UNMAPPED",IF($R673=-1,"OUTSIDE FY RANGE","OK"))))</f>
        <v/>
      </c>
      <c r="U673" s="40" t="str">
        <f aca="false">IF($A673="","",$B673&amp;"|"&amp;TEXT($A673,"yyyymmdd")&amp;"|"&amp;TEXT($I673,"0.00"))</f>
        <v/>
      </c>
      <c r="V673" s="35" t="str">
        <f aca="false">IF($A673="","",COUNTIF($U$8:$U$5007,$U673))</f>
        <v/>
      </c>
    </row>
    <row r="674" customFormat="false" ht="15" hidden="false" customHeight="false" outlineLevel="0" collapsed="false">
      <c r="A674" s="31"/>
      <c r="B674" s="32"/>
      <c r="C674" s="32"/>
      <c r="D674" s="32"/>
      <c r="E674" s="32"/>
      <c r="F674" s="32"/>
      <c r="G674" s="33"/>
      <c r="H674" s="33"/>
      <c r="I674" s="34" t="str">
        <f aca="false">IF($A674="","",$G674-$H674)</f>
        <v/>
      </c>
      <c r="J674" s="35" t="str">
        <f aca="false">IF($A674="","",IF(Setup!$B$6=1,YEAR($A674),YEAR($A674)+IF(MONTH($A674)&gt;=Setup!$B$6,1,0)))</f>
        <v/>
      </c>
      <c r="K674" s="35" t="str">
        <f aca="false">IF($A674="","",MOD(MONTH($A674)-Setup!$B$6+12,12)+1)</f>
        <v/>
      </c>
      <c r="L674" s="36" t="str">
        <f aca="false">IF($A674="","",TEXT($A674,"MMM-YY"))</f>
        <v/>
      </c>
      <c r="M674" s="37" t="str">
        <f aca="false">IF($A674="","",IF($Q674=0,"UNMAPPED",INDEX(COA_Mapping!$C$7:$C$256,$Q674)))</f>
        <v/>
      </c>
      <c r="N674" s="38" t="str">
        <f aca="false">IF($A674="","",IF($Q674=0,"",INDEX(COA_Mapping!$E$7:$E$256,$Q674)))</f>
        <v/>
      </c>
      <c r="O674" s="38" t="n">
        <f aca="false">IF($A674="",1,IF($Q674=0,1,INDEX(COA_Mapping!$F$7:$F$256,$Q674)))</f>
        <v>1</v>
      </c>
      <c r="P674" s="34" t="str">
        <f aca="false">IF($A674="","",$I674*$O674)</f>
        <v/>
      </c>
      <c r="Q674" s="39" t="n">
        <f aca="false">IF($B674="",0,IFERROR(MATCH($B674,COA_Mapping!$A$7:$A$256,0),0))</f>
        <v>0</v>
      </c>
      <c r="R674" s="39" t="n">
        <f aca="false">IF($A674="",-1,IF($J674=Setup!$B$7,1,IF($J674=Setup!$B$9,0,-1)))</f>
        <v>-1</v>
      </c>
      <c r="S674" s="35" t="n">
        <f aca="false">IF(OR($A674="",$Q674=0,$R674=-1),0,$Q674*1000+$R674*100+$K674)</f>
        <v>0</v>
      </c>
      <c r="T674" s="37" t="str">
        <f aca="false">IF($A674="","",IF($B674="","NO ACCOUNT",IF($Q674=0,"UNMAPPED",IF($R674=-1,"OUTSIDE FY RANGE","OK"))))</f>
        <v/>
      </c>
      <c r="U674" s="40" t="str">
        <f aca="false">IF($A674="","",$B674&amp;"|"&amp;TEXT($A674,"yyyymmdd")&amp;"|"&amp;TEXT($I674,"0.00"))</f>
        <v/>
      </c>
      <c r="V674" s="35" t="str">
        <f aca="false">IF($A674="","",COUNTIF($U$8:$U$5007,$U674))</f>
        <v/>
      </c>
    </row>
    <row r="675" customFormat="false" ht="15" hidden="false" customHeight="false" outlineLevel="0" collapsed="false">
      <c r="A675" s="31"/>
      <c r="B675" s="32"/>
      <c r="C675" s="32"/>
      <c r="D675" s="32"/>
      <c r="E675" s="32"/>
      <c r="F675" s="32"/>
      <c r="G675" s="33"/>
      <c r="H675" s="33"/>
      <c r="I675" s="34" t="str">
        <f aca="false">IF($A675="","",$G675-$H675)</f>
        <v/>
      </c>
      <c r="J675" s="35" t="str">
        <f aca="false">IF($A675="","",IF(Setup!$B$6=1,YEAR($A675),YEAR($A675)+IF(MONTH($A675)&gt;=Setup!$B$6,1,0)))</f>
        <v/>
      </c>
      <c r="K675" s="35" t="str">
        <f aca="false">IF($A675="","",MOD(MONTH($A675)-Setup!$B$6+12,12)+1)</f>
        <v/>
      </c>
      <c r="L675" s="36" t="str">
        <f aca="false">IF($A675="","",TEXT($A675,"MMM-YY"))</f>
        <v/>
      </c>
      <c r="M675" s="37" t="str">
        <f aca="false">IF($A675="","",IF($Q675=0,"UNMAPPED",INDEX(COA_Mapping!$C$7:$C$256,$Q675)))</f>
        <v/>
      </c>
      <c r="N675" s="38" t="str">
        <f aca="false">IF($A675="","",IF($Q675=0,"",INDEX(COA_Mapping!$E$7:$E$256,$Q675)))</f>
        <v/>
      </c>
      <c r="O675" s="38" t="n">
        <f aca="false">IF($A675="",1,IF($Q675=0,1,INDEX(COA_Mapping!$F$7:$F$256,$Q675)))</f>
        <v>1</v>
      </c>
      <c r="P675" s="34" t="str">
        <f aca="false">IF($A675="","",$I675*$O675)</f>
        <v/>
      </c>
      <c r="Q675" s="39" t="n">
        <f aca="false">IF($B675="",0,IFERROR(MATCH($B675,COA_Mapping!$A$7:$A$256,0),0))</f>
        <v>0</v>
      </c>
      <c r="R675" s="39" t="n">
        <f aca="false">IF($A675="",-1,IF($J675=Setup!$B$7,1,IF($J675=Setup!$B$9,0,-1)))</f>
        <v>-1</v>
      </c>
      <c r="S675" s="35" t="n">
        <f aca="false">IF(OR($A675="",$Q675=0,$R675=-1),0,$Q675*1000+$R675*100+$K675)</f>
        <v>0</v>
      </c>
      <c r="T675" s="37" t="str">
        <f aca="false">IF($A675="","",IF($B675="","NO ACCOUNT",IF($Q675=0,"UNMAPPED",IF($R675=-1,"OUTSIDE FY RANGE","OK"))))</f>
        <v/>
      </c>
      <c r="U675" s="40" t="str">
        <f aca="false">IF($A675="","",$B675&amp;"|"&amp;TEXT($A675,"yyyymmdd")&amp;"|"&amp;TEXT($I675,"0.00"))</f>
        <v/>
      </c>
      <c r="V675" s="35" t="str">
        <f aca="false">IF($A675="","",COUNTIF($U$8:$U$5007,$U675))</f>
        <v/>
      </c>
    </row>
    <row r="676" customFormat="false" ht="15" hidden="false" customHeight="false" outlineLevel="0" collapsed="false">
      <c r="A676" s="31"/>
      <c r="B676" s="32"/>
      <c r="C676" s="32"/>
      <c r="D676" s="32"/>
      <c r="E676" s="32"/>
      <c r="F676" s="32"/>
      <c r="G676" s="33"/>
      <c r="H676" s="33"/>
      <c r="I676" s="34" t="str">
        <f aca="false">IF($A676="","",$G676-$H676)</f>
        <v/>
      </c>
      <c r="J676" s="35" t="str">
        <f aca="false">IF($A676="","",IF(Setup!$B$6=1,YEAR($A676),YEAR($A676)+IF(MONTH($A676)&gt;=Setup!$B$6,1,0)))</f>
        <v/>
      </c>
      <c r="K676" s="35" t="str">
        <f aca="false">IF($A676="","",MOD(MONTH($A676)-Setup!$B$6+12,12)+1)</f>
        <v/>
      </c>
      <c r="L676" s="36" t="str">
        <f aca="false">IF($A676="","",TEXT($A676,"MMM-YY"))</f>
        <v/>
      </c>
      <c r="M676" s="37" t="str">
        <f aca="false">IF($A676="","",IF($Q676=0,"UNMAPPED",INDEX(COA_Mapping!$C$7:$C$256,$Q676)))</f>
        <v/>
      </c>
      <c r="N676" s="38" t="str">
        <f aca="false">IF($A676="","",IF($Q676=0,"",INDEX(COA_Mapping!$E$7:$E$256,$Q676)))</f>
        <v/>
      </c>
      <c r="O676" s="38" t="n">
        <f aca="false">IF($A676="",1,IF($Q676=0,1,INDEX(COA_Mapping!$F$7:$F$256,$Q676)))</f>
        <v>1</v>
      </c>
      <c r="P676" s="34" t="str">
        <f aca="false">IF($A676="","",$I676*$O676)</f>
        <v/>
      </c>
      <c r="Q676" s="39" t="n">
        <f aca="false">IF($B676="",0,IFERROR(MATCH($B676,COA_Mapping!$A$7:$A$256,0),0))</f>
        <v>0</v>
      </c>
      <c r="R676" s="39" t="n">
        <f aca="false">IF($A676="",-1,IF($J676=Setup!$B$7,1,IF($J676=Setup!$B$9,0,-1)))</f>
        <v>-1</v>
      </c>
      <c r="S676" s="35" t="n">
        <f aca="false">IF(OR($A676="",$Q676=0,$R676=-1),0,$Q676*1000+$R676*100+$K676)</f>
        <v>0</v>
      </c>
      <c r="T676" s="37" t="str">
        <f aca="false">IF($A676="","",IF($B676="","NO ACCOUNT",IF($Q676=0,"UNMAPPED",IF($R676=-1,"OUTSIDE FY RANGE","OK"))))</f>
        <v/>
      </c>
      <c r="U676" s="40" t="str">
        <f aca="false">IF($A676="","",$B676&amp;"|"&amp;TEXT($A676,"yyyymmdd")&amp;"|"&amp;TEXT($I676,"0.00"))</f>
        <v/>
      </c>
      <c r="V676" s="35" t="str">
        <f aca="false">IF($A676="","",COUNTIF($U$8:$U$5007,$U676))</f>
        <v/>
      </c>
    </row>
    <row r="677" customFormat="false" ht="15" hidden="false" customHeight="false" outlineLevel="0" collapsed="false">
      <c r="A677" s="31"/>
      <c r="B677" s="32"/>
      <c r="C677" s="32"/>
      <c r="D677" s="32"/>
      <c r="E677" s="32"/>
      <c r="F677" s="32"/>
      <c r="G677" s="33"/>
      <c r="H677" s="33"/>
      <c r="I677" s="34" t="str">
        <f aca="false">IF($A677="","",$G677-$H677)</f>
        <v/>
      </c>
      <c r="J677" s="35" t="str">
        <f aca="false">IF($A677="","",IF(Setup!$B$6=1,YEAR($A677),YEAR($A677)+IF(MONTH($A677)&gt;=Setup!$B$6,1,0)))</f>
        <v/>
      </c>
      <c r="K677" s="35" t="str">
        <f aca="false">IF($A677="","",MOD(MONTH($A677)-Setup!$B$6+12,12)+1)</f>
        <v/>
      </c>
      <c r="L677" s="36" t="str">
        <f aca="false">IF($A677="","",TEXT($A677,"MMM-YY"))</f>
        <v/>
      </c>
      <c r="M677" s="37" t="str">
        <f aca="false">IF($A677="","",IF($Q677=0,"UNMAPPED",INDEX(COA_Mapping!$C$7:$C$256,$Q677)))</f>
        <v/>
      </c>
      <c r="N677" s="38" t="str">
        <f aca="false">IF($A677="","",IF($Q677=0,"",INDEX(COA_Mapping!$E$7:$E$256,$Q677)))</f>
        <v/>
      </c>
      <c r="O677" s="38" t="n">
        <f aca="false">IF($A677="",1,IF($Q677=0,1,INDEX(COA_Mapping!$F$7:$F$256,$Q677)))</f>
        <v>1</v>
      </c>
      <c r="P677" s="34" t="str">
        <f aca="false">IF($A677="","",$I677*$O677)</f>
        <v/>
      </c>
      <c r="Q677" s="39" t="n">
        <f aca="false">IF($B677="",0,IFERROR(MATCH($B677,COA_Mapping!$A$7:$A$256,0),0))</f>
        <v>0</v>
      </c>
      <c r="R677" s="39" t="n">
        <f aca="false">IF($A677="",-1,IF($J677=Setup!$B$7,1,IF($J677=Setup!$B$9,0,-1)))</f>
        <v>-1</v>
      </c>
      <c r="S677" s="35" t="n">
        <f aca="false">IF(OR($A677="",$Q677=0,$R677=-1),0,$Q677*1000+$R677*100+$K677)</f>
        <v>0</v>
      </c>
      <c r="T677" s="37" t="str">
        <f aca="false">IF($A677="","",IF($B677="","NO ACCOUNT",IF($Q677=0,"UNMAPPED",IF($R677=-1,"OUTSIDE FY RANGE","OK"))))</f>
        <v/>
      </c>
      <c r="U677" s="40" t="str">
        <f aca="false">IF($A677="","",$B677&amp;"|"&amp;TEXT($A677,"yyyymmdd")&amp;"|"&amp;TEXT($I677,"0.00"))</f>
        <v/>
      </c>
      <c r="V677" s="35" t="str">
        <f aca="false">IF($A677="","",COUNTIF($U$8:$U$5007,$U677))</f>
        <v/>
      </c>
    </row>
    <row r="678" customFormat="false" ht="15" hidden="false" customHeight="false" outlineLevel="0" collapsed="false">
      <c r="A678" s="31"/>
      <c r="B678" s="32"/>
      <c r="C678" s="32"/>
      <c r="D678" s="32"/>
      <c r="E678" s="32"/>
      <c r="F678" s="32"/>
      <c r="G678" s="33"/>
      <c r="H678" s="33"/>
      <c r="I678" s="34" t="str">
        <f aca="false">IF($A678="","",$G678-$H678)</f>
        <v/>
      </c>
      <c r="J678" s="35" t="str">
        <f aca="false">IF($A678="","",IF(Setup!$B$6=1,YEAR($A678),YEAR($A678)+IF(MONTH($A678)&gt;=Setup!$B$6,1,0)))</f>
        <v/>
      </c>
      <c r="K678" s="35" t="str">
        <f aca="false">IF($A678="","",MOD(MONTH($A678)-Setup!$B$6+12,12)+1)</f>
        <v/>
      </c>
      <c r="L678" s="36" t="str">
        <f aca="false">IF($A678="","",TEXT($A678,"MMM-YY"))</f>
        <v/>
      </c>
      <c r="M678" s="37" t="str">
        <f aca="false">IF($A678="","",IF($Q678=0,"UNMAPPED",INDEX(COA_Mapping!$C$7:$C$256,$Q678)))</f>
        <v/>
      </c>
      <c r="N678" s="38" t="str">
        <f aca="false">IF($A678="","",IF($Q678=0,"",INDEX(COA_Mapping!$E$7:$E$256,$Q678)))</f>
        <v/>
      </c>
      <c r="O678" s="38" t="n">
        <f aca="false">IF($A678="",1,IF($Q678=0,1,INDEX(COA_Mapping!$F$7:$F$256,$Q678)))</f>
        <v>1</v>
      </c>
      <c r="P678" s="34" t="str">
        <f aca="false">IF($A678="","",$I678*$O678)</f>
        <v/>
      </c>
      <c r="Q678" s="39" t="n">
        <f aca="false">IF($B678="",0,IFERROR(MATCH($B678,COA_Mapping!$A$7:$A$256,0),0))</f>
        <v>0</v>
      </c>
      <c r="R678" s="39" t="n">
        <f aca="false">IF($A678="",-1,IF($J678=Setup!$B$7,1,IF($J678=Setup!$B$9,0,-1)))</f>
        <v>-1</v>
      </c>
      <c r="S678" s="35" t="n">
        <f aca="false">IF(OR($A678="",$Q678=0,$R678=-1),0,$Q678*1000+$R678*100+$K678)</f>
        <v>0</v>
      </c>
      <c r="T678" s="37" t="str">
        <f aca="false">IF($A678="","",IF($B678="","NO ACCOUNT",IF($Q678=0,"UNMAPPED",IF($R678=-1,"OUTSIDE FY RANGE","OK"))))</f>
        <v/>
      </c>
      <c r="U678" s="40" t="str">
        <f aca="false">IF($A678="","",$B678&amp;"|"&amp;TEXT($A678,"yyyymmdd")&amp;"|"&amp;TEXT($I678,"0.00"))</f>
        <v/>
      </c>
      <c r="V678" s="35" t="str">
        <f aca="false">IF($A678="","",COUNTIF($U$8:$U$5007,$U678))</f>
        <v/>
      </c>
    </row>
    <row r="679" customFormat="false" ht="15" hidden="false" customHeight="false" outlineLevel="0" collapsed="false">
      <c r="A679" s="31"/>
      <c r="B679" s="32"/>
      <c r="C679" s="32"/>
      <c r="D679" s="32"/>
      <c r="E679" s="32"/>
      <c r="F679" s="32"/>
      <c r="G679" s="33"/>
      <c r="H679" s="33"/>
      <c r="I679" s="34" t="str">
        <f aca="false">IF($A679="","",$G679-$H679)</f>
        <v/>
      </c>
      <c r="J679" s="35" t="str">
        <f aca="false">IF($A679="","",IF(Setup!$B$6=1,YEAR($A679),YEAR($A679)+IF(MONTH($A679)&gt;=Setup!$B$6,1,0)))</f>
        <v/>
      </c>
      <c r="K679" s="35" t="str">
        <f aca="false">IF($A679="","",MOD(MONTH($A679)-Setup!$B$6+12,12)+1)</f>
        <v/>
      </c>
      <c r="L679" s="36" t="str">
        <f aca="false">IF($A679="","",TEXT($A679,"MMM-YY"))</f>
        <v/>
      </c>
      <c r="M679" s="37" t="str">
        <f aca="false">IF($A679="","",IF($Q679=0,"UNMAPPED",INDEX(COA_Mapping!$C$7:$C$256,$Q679)))</f>
        <v/>
      </c>
      <c r="N679" s="38" t="str">
        <f aca="false">IF($A679="","",IF($Q679=0,"",INDEX(COA_Mapping!$E$7:$E$256,$Q679)))</f>
        <v/>
      </c>
      <c r="O679" s="38" t="n">
        <f aca="false">IF($A679="",1,IF($Q679=0,1,INDEX(COA_Mapping!$F$7:$F$256,$Q679)))</f>
        <v>1</v>
      </c>
      <c r="P679" s="34" t="str">
        <f aca="false">IF($A679="","",$I679*$O679)</f>
        <v/>
      </c>
      <c r="Q679" s="39" t="n">
        <f aca="false">IF($B679="",0,IFERROR(MATCH($B679,COA_Mapping!$A$7:$A$256,0),0))</f>
        <v>0</v>
      </c>
      <c r="R679" s="39" t="n">
        <f aca="false">IF($A679="",-1,IF($J679=Setup!$B$7,1,IF($J679=Setup!$B$9,0,-1)))</f>
        <v>-1</v>
      </c>
      <c r="S679" s="35" t="n">
        <f aca="false">IF(OR($A679="",$Q679=0,$R679=-1),0,$Q679*1000+$R679*100+$K679)</f>
        <v>0</v>
      </c>
      <c r="T679" s="37" t="str">
        <f aca="false">IF($A679="","",IF($B679="","NO ACCOUNT",IF($Q679=0,"UNMAPPED",IF($R679=-1,"OUTSIDE FY RANGE","OK"))))</f>
        <v/>
      </c>
      <c r="U679" s="40" t="str">
        <f aca="false">IF($A679="","",$B679&amp;"|"&amp;TEXT($A679,"yyyymmdd")&amp;"|"&amp;TEXT($I679,"0.00"))</f>
        <v/>
      </c>
      <c r="V679" s="35" t="str">
        <f aca="false">IF($A679="","",COUNTIF($U$8:$U$5007,$U679))</f>
        <v/>
      </c>
    </row>
    <row r="680" customFormat="false" ht="15" hidden="false" customHeight="false" outlineLevel="0" collapsed="false">
      <c r="A680" s="31"/>
      <c r="B680" s="32"/>
      <c r="C680" s="32"/>
      <c r="D680" s="32"/>
      <c r="E680" s="32"/>
      <c r="F680" s="32"/>
      <c r="G680" s="33"/>
      <c r="H680" s="33"/>
      <c r="I680" s="34" t="str">
        <f aca="false">IF($A680="","",$G680-$H680)</f>
        <v/>
      </c>
      <c r="J680" s="35" t="str">
        <f aca="false">IF($A680="","",IF(Setup!$B$6=1,YEAR($A680),YEAR($A680)+IF(MONTH($A680)&gt;=Setup!$B$6,1,0)))</f>
        <v/>
      </c>
      <c r="K680" s="35" t="str">
        <f aca="false">IF($A680="","",MOD(MONTH($A680)-Setup!$B$6+12,12)+1)</f>
        <v/>
      </c>
      <c r="L680" s="36" t="str">
        <f aca="false">IF($A680="","",TEXT($A680,"MMM-YY"))</f>
        <v/>
      </c>
      <c r="M680" s="37" t="str">
        <f aca="false">IF($A680="","",IF($Q680=0,"UNMAPPED",INDEX(COA_Mapping!$C$7:$C$256,$Q680)))</f>
        <v/>
      </c>
      <c r="N680" s="38" t="str">
        <f aca="false">IF($A680="","",IF($Q680=0,"",INDEX(COA_Mapping!$E$7:$E$256,$Q680)))</f>
        <v/>
      </c>
      <c r="O680" s="38" t="n">
        <f aca="false">IF($A680="",1,IF($Q680=0,1,INDEX(COA_Mapping!$F$7:$F$256,$Q680)))</f>
        <v>1</v>
      </c>
      <c r="P680" s="34" t="str">
        <f aca="false">IF($A680="","",$I680*$O680)</f>
        <v/>
      </c>
      <c r="Q680" s="39" t="n">
        <f aca="false">IF($B680="",0,IFERROR(MATCH($B680,COA_Mapping!$A$7:$A$256,0),0))</f>
        <v>0</v>
      </c>
      <c r="R680" s="39" t="n">
        <f aca="false">IF($A680="",-1,IF($J680=Setup!$B$7,1,IF($J680=Setup!$B$9,0,-1)))</f>
        <v>-1</v>
      </c>
      <c r="S680" s="35" t="n">
        <f aca="false">IF(OR($A680="",$Q680=0,$R680=-1),0,$Q680*1000+$R680*100+$K680)</f>
        <v>0</v>
      </c>
      <c r="T680" s="37" t="str">
        <f aca="false">IF($A680="","",IF($B680="","NO ACCOUNT",IF($Q680=0,"UNMAPPED",IF($R680=-1,"OUTSIDE FY RANGE","OK"))))</f>
        <v/>
      </c>
      <c r="U680" s="40" t="str">
        <f aca="false">IF($A680="","",$B680&amp;"|"&amp;TEXT($A680,"yyyymmdd")&amp;"|"&amp;TEXT($I680,"0.00"))</f>
        <v/>
      </c>
      <c r="V680" s="35" t="str">
        <f aca="false">IF($A680="","",COUNTIF($U$8:$U$5007,$U680))</f>
        <v/>
      </c>
    </row>
    <row r="681" customFormat="false" ht="15" hidden="false" customHeight="false" outlineLevel="0" collapsed="false">
      <c r="A681" s="31"/>
      <c r="B681" s="32"/>
      <c r="C681" s="32"/>
      <c r="D681" s="32"/>
      <c r="E681" s="32"/>
      <c r="F681" s="32"/>
      <c r="G681" s="33"/>
      <c r="H681" s="33"/>
      <c r="I681" s="34" t="str">
        <f aca="false">IF($A681="","",$G681-$H681)</f>
        <v/>
      </c>
      <c r="J681" s="35" t="str">
        <f aca="false">IF($A681="","",IF(Setup!$B$6=1,YEAR($A681),YEAR($A681)+IF(MONTH($A681)&gt;=Setup!$B$6,1,0)))</f>
        <v/>
      </c>
      <c r="K681" s="35" t="str">
        <f aca="false">IF($A681="","",MOD(MONTH($A681)-Setup!$B$6+12,12)+1)</f>
        <v/>
      </c>
      <c r="L681" s="36" t="str">
        <f aca="false">IF($A681="","",TEXT($A681,"MMM-YY"))</f>
        <v/>
      </c>
      <c r="M681" s="37" t="str">
        <f aca="false">IF($A681="","",IF($Q681=0,"UNMAPPED",INDEX(COA_Mapping!$C$7:$C$256,$Q681)))</f>
        <v/>
      </c>
      <c r="N681" s="38" t="str">
        <f aca="false">IF($A681="","",IF($Q681=0,"",INDEX(COA_Mapping!$E$7:$E$256,$Q681)))</f>
        <v/>
      </c>
      <c r="O681" s="38" t="n">
        <f aca="false">IF($A681="",1,IF($Q681=0,1,INDEX(COA_Mapping!$F$7:$F$256,$Q681)))</f>
        <v>1</v>
      </c>
      <c r="P681" s="34" t="str">
        <f aca="false">IF($A681="","",$I681*$O681)</f>
        <v/>
      </c>
      <c r="Q681" s="39" t="n">
        <f aca="false">IF($B681="",0,IFERROR(MATCH($B681,COA_Mapping!$A$7:$A$256,0),0))</f>
        <v>0</v>
      </c>
      <c r="R681" s="39" t="n">
        <f aca="false">IF($A681="",-1,IF($J681=Setup!$B$7,1,IF($J681=Setup!$B$9,0,-1)))</f>
        <v>-1</v>
      </c>
      <c r="S681" s="35" t="n">
        <f aca="false">IF(OR($A681="",$Q681=0,$R681=-1),0,$Q681*1000+$R681*100+$K681)</f>
        <v>0</v>
      </c>
      <c r="T681" s="37" t="str">
        <f aca="false">IF($A681="","",IF($B681="","NO ACCOUNT",IF($Q681=0,"UNMAPPED",IF($R681=-1,"OUTSIDE FY RANGE","OK"))))</f>
        <v/>
      </c>
      <c r="U681" s="40" t="str">
        <f aca="false">IF($A681="","",$B681&amp;"|"&amp;TEXT($A681,"yyyymmdd")&amp;"|"&amp;TEXT($I681,"0.00"))</f>
        <v/>
      </c>
      <c r="V681" s="35" t="str">
        <f aca="false">IF($A681="","",COUNTIF($U$8:$U$5007,$U681))</f>
        <v/>
      </c>
    </row>
    <row r="682" customFormat="false" ht="15" hidden="false" customHeight="false" outlineLevel="0" collapsed="false">
      <c r="A682" s="31"/>
      <c r="B682" s="32"/>
      <c r="C682" s="32"/>
      <c r="D682" s="32"/>
      <c r="E682" s="32"/>
      <c r="F682" s="32"/>
      <c r="G682" s="33"/>
      <c r="H682" s="33"/>
      <c r="I682" s="34" t="str">
        <f aca="false">IF($A682="","",$G682-$H682)</f>
        <v/>
      </c>
      <c r="J682" s="35" t="str">
        <f aca="false">IF($A682="","",IF(Setup!$B$6=1,YEAR($A682),YEAR($A682)+IF(MONTH($A682)&gt;=Setup!$B$6,1,0)))</f>
        <v/>
      </c>
      <c r="K682" s="35" t="str">
        <f aca="false">IF($A682="","",MOD(MONTH($A682)-Setup!$B$6+12,12)+1)</f>
        <v/>
      </c>
      <c r="L682" s="36" t="str">
        <f aca="false">IF($A682="","",TEXT($A682,"MMM-YY"))</f>
        <v/>
      </c>
      <c r="M682" s="37" t="str">
        <f aca="false">IF($A682="","",IF($Q682=0,"UNMAPPED",INDEX(COA_Mapping!$C$7:$C$256,$Q682)))</f>
        <v/>
      </c>
      <c r="N682" s="38" t="str">
        <f aca="false">IF($A682="","",IF($Q682=0,"",INDEX(COA_Mapping!$E$7:$E$256,$Q682)))</f>
        <v/>
      </c>
      <c r="O682" s="38" t="n">
        <f aca="false">IF($A682="",1,IF($Q682=0,1,INDEX(COA_Mapping!$F$7:$F$256,$Q682)))</f>
        <v>1</v>
      </c>
      <c r="P682" s="34" t="str">
        <f aca="false">IF($A682="","",$I682*$O682)</f>
        <v/>
      </c>
      <c r="Q682" s="39" t="n">
        <f aca="false">IF($B682="",0,IFERROR(MATCH($B682,COA_Mapping!$A$7:$A$256,0),0))</f>
        <v>0</v>
      </c>
      <c r="R682" s="39" t="n">
        <f aca="false">IF($A682="",-1,IF($J682=Setup!$B$7,1,IF($J682=Setup!$B$9,0,-1)))</f>
        <v>-1</v>
      </c>
      <c r="S682" s="35" t="n">
        <f aca="false">IF(OR($A682="",$Q682=0,$R682=-1),0,$Q682*1000+$R682*100+$K682)</f>
        <v>0</v>
      </c>
      <c r="T682" s="37" t="str">
        <f aca="false">IF($A682="","",IF($B682="","NO ACCOUNT",IF($Q682=0,"UNMAPPED",IF($R682=-1,"OUTSIDE FY RANGE","OK"))))</f>
        <v/>
      </c>
      <c r="U682" s="40" t="str">
        <f aca="false">IF($A682="","",$B682&amp;"|"&amp;TEXT($A682,"yyyymmdd")&amp;"|"&amp;TEXT($I682,"0.00"))</f>
        <v/>
      </c>
      <c r="V682" s="35" t="str">
        <f aca="false">IF($A682="","",COUNTIF($U$8:$U$5007,$U682))</f>
        <v/>
      </c>
    </row>
    <row r="683" customFormat="false" ht="15" hidden="false" customHeight="false" outlineLevel="0" collapsed="false">
      <c r="A683" s="31"/>
      <c r="B683" s="32"/>
      <c r="C683" s="32"/>
      <c r="D683" s="32"/>
      <c r="E683" s="32"/>
      <c r="F683" s="32"/>
      <c r="G683" s="33"/>
      <c r="H683" s="33"/>
      <c r="I683" s="34" t="str">
        <f aca="false">IF($A683="","",$G683-$H683)</f>
        <v/>
      </c>
      <c r="J683" s="35" t="str">
        <f aca="false">IF($A683="","",IF(Setup!$B$6=1,YEAR($A683),YEAR($A683)+IF(MONTH($A683)&gt;=Setup!$B$6,1,0)))</f>
        <v/>
      </c>
      <c r="K683" s="35" t="str">
        <f aca="false">IF($A683="","",MOD(MONTH($A683)-Setup!$B$6+12,12)+1)</f>
        <v/>
      </c>
      <c r="L683" s="36" t="str">
        <f aca="false">IF($A683="","",TEXT($A683,"MMM-YY"))</f>
        <v/>
      </c>
      <c r="M683" s="37" t="str">
        <f aca="false">IF($A683="","",IF($Q683=0,"UNMAPPED",INDEX(COA_Mapping!$C$7:$C$256,$Q683)))</f>
        <v/>
      </c>
      <c r="N683" s="38" t="str">
        <f aca="false">IF($A683="","",IF($Q683=0,"",INDEX(COA_Mapping!$E$7:$E$256,$Q683)))</f>
        <v/>
      </c>
      <c r="O683" s="38" t="n">
        <f aca="false">IF($A683="",1,IF($Q683=0,1,INDEX(COA_Mapping!$F$7:$F$256,$Q683)))</f>
        <v>1</v>
      </c>
      <c r="P683" s="34" t="str">
        <f aca="false">IF($A683="","",$I683*$O683)</f>
        <v/>
      </c>
      <c r="Q683" s="39" t="n">
        <f aca="false">IF($B683="",0,IFERROR(MATCH($B683,COA_Mapping!$A$7:$A$256,0),0))</f>
        <v>0</v>
      </c>
      <c r="R683" s="39" t="n">
        <f aca="false">IF($A683="",-1,IF($J683=Setup!$B$7,1,IF($J683=Setup!$B$9,0,-1)))</f>
        <v>-1</v>
      </c>
      <c r="S683" s="35" t="n">
        <f aca="false">IF(OR($A683="",$Q683=0,$R683=-1),0,$Q683*1000+$R683*100+$K683)</f>
        <v>0</v>
      </c>
      <c r="T683" s="37" t="str">
        <f aca="false">IF($A683="","",IF($B683="","NO ACCOUNT",IF($Q683=0,"UNMAPPED",IF($R683=-1,"OUTSIDE FY RANGE","OK"))))</f>
        <v/>
      </c>
      <c r="U683" s="40" t="str">
        <f aca="false">IF($A683="","",$B683&amp;"|"&amp;TEXT($A683,"yyyymmdd")&amp;"|"&amp;TEXT($I683,"0.00"))</f>
        <v/>
      </c>
      <c r="V683" s="35" t="str">
        <f aca="false">IF($A683="","",COUNTIF($U$8:$U$5007,$U683))</f>
        <v/>
      </c>
    </row>
    <row r="684" customFormat="false" ht="15" hidden="false" customHeight="false" outlineLevel="0" collapsed="false">
      <c r="A684" s="31"/>
      <c r="B684" s="32"/>
      <c r="C684" s="32"/>
      <c r="D684" s="32"/>
      <c r="E684" s="32"/>
      <c r="F684" s="32"/>
      <c r="G684" s="33"/>
      <c r="H684" s="33"/>
      <c r="I684" s="34" t="str">
        <f aca="false">IF($A684="","",$G684-$H684)</f>
        <v/>
      </c>
      <c r="J684" s="35" t="str">
        <f aca="false">IF($A684="","",IF(Setup!$B$6=1,YEAR($A684),YEAR($A684)+IF(MONTH($A684)&gt;=Setup!$B$6,1,0)))</f>
        <v/>
      </c>
      <c r="K684" s="35" t="str">
        <f aca="false">IF($A684="","",MOD(MONTH($A684)-Setup!$B$6+12,12)+1)</f>
        <v/>
      </c>
      <c r="L684" s="36" t="str">
        <f aca="false">IF($A684="","",TEXT($A684,"MMM-YY"))</f>
        <v/>
      </c>
      <c r="M684" s="37" t="str">
        <f aca="false">IF($A684="","",IF($Q684=0,"UNMAPPED",INDEX(COA_Mapping!$C$7:$C$256,$Q684)))</f>
        <v/>
      </c>
      <c r="N684" s="38" t="str">
        <f aca="false">IF($A684="","",IF($Q684=0,"",INDEX(COA_Mapping!$E$7:$E$256,$Q684)))</f>
        <v/>
      </c>
      <c r="O684" s="38" t="n">
        <f aca="false">IF($A684="",1,IF($Q684=0,1,INDEX(COA_Mapping!$F$7:$F$256,$Q684)))</f>
        <v>1</v>
      </c>
      <c r="P684" s="34" t="str">
        <f aca="false">IF($A684="","",$I684*$O684)</f>
        <v/>
      </c>
      <c r="Q684" s="39" t="n">
        <f aca="false">IF($B684="",0,IFERROR(MATCH($B684,COA_Mapping!$A$7:$A$256,0),0))</f>
        <v>0</v>
      </c>
      <c r="R684" s="39" t="n">
        <f aca="false">IF($A684="",-1,IF($J684=Setup!$B$7,1,IF($J684=Setup!$B$9,0,-1)))</f>
        <v>-1</v>
      </c>
      <c r="S684" s="35" t="n">
        <f aca="false">IF(OR($A684="",$Q684=0,$R684=-1),0,$Q684*1000+$R684*100+$K684)</f>
        <v>0</v>
      </c>
      <c r="T684" s="37" t="str">
        <f aca="false">IF($A684="","",IF($B684="","NO ACCOUNT",IF($Q684=0,"UNMAPPED",IF($R684=-1,"OUTSIDE FY RANGE","OK"))))</f>
        <v/>
      </c>
      <c r="U684" s="40" t="str">
        <f aca="false">IF($A684="","",$B684&amp;"|"&amp;TEXT($A684,"yyyymmdd")&amp;"|"&amp;TEXT($I684,"0.00"))</f>
        <v/>
      </c>
      <c r="V684" s="35" t="str">
        <f aca="false">IF($A684="","",COUNTIF($U$8:$U$5007,$U684))</f>
        <v/>
      </c>
    </row>
    <row r="685" customFormat="false" ht="15" hidden="false" customHeight="false" outlineLevel="0" collapsed="false">
      <c r="A685" s="31"/>
      <c r="B685" s="32"/>
      <c r="C685" s="32"/>
      <c r="D685" s="32"/>
      <c r="E685" s="32"/>
      <c r="F685" s="32"/>
      <c r="G685" s="33"/>
      <c r="H685" s="33"/>
      <c r="I685" s="34" t="str">
        <f aca="false">IF($A685="","",$G685-$H685)</f>
        <v/>
      </c>
      <c r="J685" s="35" t="str">
        <f aca="false">IF($A685="","",IF(Setup!$B$6=1,YEAR($A685),YEAR($A685)+IF(MONTH($A685)&gt;=Setup!$B$6,1,0)))</f>
        <v/>
      </c>
      <c r="K685" s="35" t="str">
        <f aca="false">IF($A685="","",MOD(MONTH($A685)-Setup!$B$6+12,12)+1)</f>
        <v/>
      </c>
      <c r="L685" s="36" t="str">
        <f aca="false">IF($A685="","",TEXT($A685,"MMM-YY"))</f>
        <v/>
      </c>
      <c r="M685" s="37" t="str">
        <f aca="false">IF($A685="","",IF($Q685=0,"UNMAPPED",INDEX(COA_Mapping!$C$7:$C$256,$Q685)))</f>
        <v/>
      </c>
      <c r="N685" s="38" t="str">
        <f aca="false">IF($A685="","",IF($Q685=0,"",INDEX(COA_Mapping!$E$7:$E$256,$Q685)))</f>
        <v/>
      </c>
      <c r="O685" s="38" t="n">
        <f aca="false">IF($A685="",1,IF($Q685=0,1,INDEX(COA_Mapping!$F$7:$F$256,$Q685)))</f>
        <v>1</v>
      </c>
      <c r="P685" s="34" t="str">
        <f aca="false">IF($A685="","",$I685*$O685)</f>
        <v/>
      </c>
      <c r="Q685" s="39" t="n">
        <f aca="false">IF($B685="",0,IFERROR(MATCH($B685,COA_Mapping!$A$7:$A$256,0),0))</f>
        <v>0</v>
      </c>
      <c r="R685" s="39" t="n">
        <f aca="false">IF($A685="",-1,IF($J685=Setup!$B$7,1,IF($J685=Setup!$B$9,0,-1)))</f>
        <v>-1</v>
      </c>
      <c r="S685" s="35" t="n">
        <f aca="false">IF(OR($A685="",$Q685=0,$R685=-1),0,$Q685*1000+$R685*100+$K685)</f>
        <v>0</v>
      </c>
      <c r="T685" s="37" t="str">
        <f aca="false">IF($A685="","",IF($B685="","NO ACCOUNT",IF($Q685=0,"UNMAPPED",IF($R685=-1,"OUTSIDE FY RANGE","OK"))))</f>
        <v/>
      </c>
      <c r="U685" s="40" t="str">
        <f aca="false">IF($A685="","",$B685&amp;"|"&amp;TEXT($A685,"yyyymmdd")&amp;"|"&amp;TEXT($I685,"0.00"))</f>
        <v/>
      </c>
      <c r="V685" s="35" t="str">
        <f aca="false">IF($A685="","",COUNTIF($U$8:$U$5007,$U685))</f>
        <v/>
      </c>
    </row>
    <row r="686" customFormat="false" ht="15" hidden="false" customHeight="false" outlineLevel="0" collapsed="false">
      <c r="A686" s="31"/>
      <c r="B686" s="32"/>
      <c r="C686" s="32"/>
      <c r="D686" s="32"/>
      <c r="E686" s="32"/>
      <c r="F686" s="32"/>
      <c r="G686" s="33"/>
      <c r="H686" s="33"/>
      <c r="I686" s="34" t="str">
        <f aca="false">IF($A686="","",$G686-$H686)</f>
        <v/>
      </c>
      <c r="J686" s="35" t="str">
        <f aca="false">IF($A686="","",IF(Setup!$B$6=1,YEAR($A686),YEAR($A686)+IF(MONTH($A686)&gt;=Setup!$B$6,1,0)))</f>
        <v/>
      </c>
      <c r="K686" s="35" t="str">
        <f aca="false">IF($A686="","",MOD(MONTH($A686)-Setup!$B$6+12,12)+1)</f>
        <v/>
      </c>
      <c r="L686" s="36" t="str">
        <f aca="false">IF($A686="","",TEXT($A686,"MMM-YY"))</f>
        <v/>
      </c>
      <c r="M686" s="37" t="str">
        <f aca="false">IF($A686="","",IF($Q686=0,"UNMAPPED",INDEX(COA_Mapping!$C$7:$C$256,$Q686)))</f>
        <v/>
      </c>
      <c r="N686" s="38" t="str">
        <f aca="false">IF($A686="","",IF($Q686=0,"",INDEX(COA_Mapping!$E$7:$E$256,$Q686)))</f>
        <v/>
      </c>
      <c r="O686" s="38" t="n">
        <f aca="false">IF($A686="",1,IF($Q686=0,1,INDEX(COA_Mapping!$F$7:$F$256,$Q686)))</f>
        <v>1</v>
      </c>
      <c r="P686" s="34" t="str">
        <f aca="false">IF($A686="","",$I686*$O686)</f>
        <v/>
      </c>
      <c r="Q686" s="39" t="n">
        <f aca="false">IF($B686="",0,IFERROR(MATCH($B686,COA_Mapping!$A$7:$A$256,0),0))</f>
        <v>0</v>
      </c>
      <c r="R686" s="39" t="n">
        <f aca="false">IF($A686="",-1,IF($J686=Setup!$B$7,1,IF($J686=Setup!$B$9,0,-1)))</f>
        <v>-1</v>
      </c>
      <c r="S686" s="35" t="n">
        <f aca="false">IF(OR($A686="",$Q686=0,$R686=-1),0,$Q686*1000+$R686*100+$K686)</f>
        <v>0</v>
      </c>
      <c r="T686" s="37" t="str">
        <f aca="false">IF($A686="","",IF($B686="","NO ACCOUNT",IF($Q686=0,"UNMAPPED",IF($R686=-1,"OUTSIDE FY RANGE","OK"))))</f>
        <v/>
      </c>
      <c r="U686" s="40" t="str">
        <f aca="false">IF($A686="","",$B686&amp;"|"&amp;TEXT($A686,"yyyymmdd")&amp;"|"&amp;TEXT($I686,"0.00"))</f>
        <v/>
      </c>
      <c r="V686" s="35" t="str">
        <f aca="false">IF($A686="","",COUNTIF($U$8:$U$5007,$U686))</f>
        <v/>
      </c>
    </row>
    <row r="687" customFormat="false" ht="15" hidden="false" customHeight="false" outlineLevel="0" collapsed="false">
      <c r="A687" s="31"/>
      <c r="B687" s="32"/>
      <c r="C687" s="32"/>
      <c r="D687" s="32"/>
      <c r="E687" s="32"/>
      <c r="F687" s="32"/>
      <c r="G687" s="33"/>
      <c r="H687" s="33"/>
      <c r="I687" s="34" t="str">
        <f aca="false">IF($A687="","",$G687-$H687)</f>
        <v/>
      </c>
      <c r="J687" s="35" t="str">
        <f aca="false">IF($A687="","",IF(Setup!$B$6=1,YEAR($A687),YEAR($A687)+IF(MONTH($A687)&gt;=Setup!$B$6,1,0)))</f>
        <v/>
      </c>
      <c r="K687" s="35" t="str">
        <f aca="false">IF($A687="","",MOD(MONTH($A687)-Setup!$B$6+12,12)+1)</f>
        <v/>
      </c>
      <c r="L687" s="36" t="str">
        <f aca="false">IF($A687="","",TEXT($A687,"MMM-YY"))</f>
        <v/>
      </c>
      <c r="M687" s="37" t="str">
        <f aca="false">IF($A687="","",IF($Q687=0,"UNMAPPED",INDEX(COA_Mapping!$C$7:$C$256,$Q687)))</f>
        <v/>
      </c>
      <c r="N687" s="38" t="str">
        <f aca="false">IF($A687="","",IF($Q687=0,"",INDEX(COA_Mapping!$E$7:$E$256,$Q687)))</f>
        <v/>
      </c>
      <c r="O687" s="38" t="n">
        <f aca="false">IF($A687="",1,IF($Q687=0,1,INDEX(COA_Mapping!$F$7:$F$256,$Q687)))</f>
        <v>1</v>
      </c>
      <c r="P687" s="34" t="str">
        <f aca="false">IF($A687="","",$I687*$O687)</f>
        <v/>
      </c>
      <c r="Q687" s="39" t="n">
        <f aca="false">IF($B687="",0,IFERROR(MATCH($B687,COA_Mapping!$A$7:$A$256,0),0))</f>
        <v>0</v>
      </c>
      <c r="R687" s="39" t="n">
        <f aca="false">IF($A687="",-1,IF($J687=Setup!$B$7,1,IF($J687=Setup!$B$9,0,-1)))</f>
        <v>-1</v>
      </c>
      <c r="S687" s="35" t="n">
        <f aca="false">IF(OR($A687="",$Q687=0,$R687=-1),0,$Q687*1000+$R687*100+$K687)</f>
        <v>0</v>
      </c>
      <c r="T687" s="37" t="str">
        <f aca="false">IF($A687="","",IF($B687="","NO ACCOUNT",IF($Q687=0,"UNMAPPED",IF($R687=-1,"OUTSIDE FY RANGE","OK"))))</f>
        <v/>
      </c>
      <c r="U687" s="40" t="str">
        <f aca="false">IF($A687="","",$B687&amp;"|"&amp;TEXT($A687,"yyyymmdd")&amp;"|"&amp;TEXT($I687,"0.00"))</f>
        <v/>
      </c>
      <c r="V687" s="35" t="str">
        <f aca="false">IF($A687="","",COUNTIF($U$8:$U$5007,$U687))</f>
        <v/>
      </c>
    </row>
    <row r="688" customFormat="false" ht="15" hidden="false" customHeight="false" outlineLevel="0" collapsed="false">
      <c r="A688" s="31"/>
      <c r="B688" s="32"/>
      <c r="C688" s="32"/>
      <c r="D688" s="32"/>
      <c r="E688" s="32"/>
      <c r="F688" s="32"/>
      <c r="G688" s="33"/>
      <c r="H688" s="33"/>
      <c r="I688" s="34" t="str">
        <f aca="false">IF($A688="","",$G688-$H688)</f>
        <v/>
      </c>
      <c r="J688" s="35" t="str">
        <f aca="false">IF($A688="","",IF(Setup!$B$6=1,YEAR($A688),YEAR($A688)+IF(MONTH($A688)&gt;=Setup!$B$6,1,0)))</f>
        <v/>
      </c>
      <c r="K688" s="35" t="str">
        <f aca="false">IF($A688="","",MOD(MONTH($A688)-Setup!$B$6+12,12)+1)</f>
        <v/>
      </c>
      <c r="L688" s="36" t="str">
        <f aca="false">IF($A688="","",TEXT($A688,"MMM-YY"))</f>
        <v/>
      </c>
      <c r="M688" s="37" t="str">
        <f aca="false">IF($A688="","",IF($Q688=0,"UNMAPPED",INDEX(COA_Mapping!$C$7:$C$256,$Q688)))</f>
        <v/>
      </c>
      <c r="N688" s="38" t="str">
        <f aca="false">IF($A688="","",IF($Q688=0,"",INDEX(COA_Mapping!$E$7:$E$256,$Q688)))</f>
        <v/>
      </c>
      <c r="O688" s="38" t="n">
        <f aca="false">IF($A688="",1,IF($Q688=0,1,INDEX(COA_Mapping!$F$7:$F$256,$Q688)))</f>
        <v>1</v>
      </c>
      <c r="P688" s="34" t="str">
        <f aca="false">IF($A688="","",$I688*$O688)</f>
        <v/>
      </c>
      <c r="Q688" s="39" t="n">
        <f aca="false">IF($B688="",0,IFERROR(MATCH($B688,COA_Mapping!$A$7:$A$256,0),0))</f>
        <v>0</v>
      </c>
      <c r="R688" s="39" t="n">
        <f aca="false">IF($A688="",-1,IF($J688=Setup!$B$7,1,IF($J688=Setup!$B$9,0,-1)))</f>
        <v>-1</v>
      </c>
      <c r="S688" s="35" t="n">
        <f aca="false">IF(OR($A688="",$Q688=0,$R688=-1),0,$Q688*1000+$R688*100+$K688)</f>
        <v>0</v>
      </c>
      <c r="T688" s="37" t="str">
        <f aca="false">IF($A688="","",IF($B688="","NO ACCOUNT",IF($Q688=0,"UNMAPPED",IF($R688=-1,"OUTSIDE FY RANGE","OK"))))</f>
        <v/>
      </c>
      <c r="U688" s="40" t="str">
        <f aca="false">IF($A688="","",$B688&amp;"|"&amp;TEXT($A688,"yyyymmdd")&amp;"|"&amp;TEXT($I688,"0.00"))</f>
        <v/>
      </c>
      <c r="V688" s="35" t="str">
        <f aca="false">IF($A688="","",COUNTIF($U$8:$U$5007,$U688))</f>
        <v/>
      </c>
    </row>
    <row r="689" customFormat="false" ht="15" hidden="false" customHeight="false" outlineLevel="0" collapsed="false">
      <c r="A689" s="31"/>
      <c r="B689" s="32"/>
      <c r="C689" s="32"/>
      <c r="D689" s="32"/>
      <c r="E689" s="32"/>
      <c r="F689" s="32"/>
      <c r="G689" s="33"/>
      <c r="H689" s="33"/>
      <c r="I689" s="34" t="str">
        <f aca="false">IF($A689="","",$G689-$H689)</f>
        <v/>
      </c>
      <c r="J689" s="35" t="str">
        <f aca="false">IF($A689="","",IF(Setup!$B$6=1,YEAR($A689),YEAR($A689)+IF(MONTH($A689)&gt;=Setup!$B$6,1,0)))</f>
        <v/>
      </c>
      <c r="K689" s="35" t="str">
        <f aca="false">IF($A689="","",MOD(MONTH($A689)-Setup!$B$6+12,12)+1)</f>
        <v/>
      </c>
      <c r="L689" s="36" t="str">
        <f aca="false">IF($A689="","",TEXT($A689,"MMM-YY"))</f>
        <v/>
      </c>
      <c r="M689" s="37" t="str">
        <f aca="false">IF($A689="","",IF($Q689=0,"UNMAPPED",INDEX(COA_Mapping!$C$7:$C$256,$Q689)))</f>
        <v/>
      </c>
      <c r="N689" s="38" t="str">
        <f aca="false">IF($A689="","",IF($Q689=0,"",INDEX(COA_Mapping!$E$7:$E$256,$Q689)))</f>
        <v/>
      </c>
      <c r="O689" s="38" t="n">
        <f aca="false">IF($A689="",1,IF($Q689=0,1,INDEX(COA_Mapping!$F$7:$F$256,$Q689)))</f>
        <v>1</v>
      </c>
      <c r="P689" s="34" t="str">
        <f aca="false">IF($A689="","",$I689*$O689)</f>
        <v/>
      </c>
      <c r="Q689" s="39" t="n">
        <f aca="false">IF($B689="",0,IFERROR(MATCH($B689,COA_Mapping!$A$7:$A$256,0),0))</f>
        <v>0</v>
      </c>
      <c r="R689" s="39" t="n">
        <f aca="false">IF($A689="",-1,IF($J689=Setup!$B$7,1,IF($J689=Setup!$B$9,0,-1)))</f>
        <v>-1</v>
      </c>
      <c r="S689" s="35" t="n">
        <f aca="false">IF(OR($A689="",$Q689=0,$R689=-1),0,$Q689*1000+$R689*100+$K689)</f>
        <v>0</v>
      </c>
      <c r="T689" s="37" t="str">
        <f aca="false">IF($A689="","",IF($B689="","NO ACCOUNT",IF($Q689=0,"UNMAPPED",IF($R689=-1,"OUTSIDE FY RANGE","OK"))))</f>
        <v/>
      </c>
      <c r="U689" s="40" t="str">
        <f aca="false">IF($A689="","",$B689&amp;"|"&amp;TEXT($A689,"yyyymmdd")&amp;"|"&amp;TEXT($I689,"0.00"))</f>
        <v/>
      </c>
      <c r="V689" s="35" t="str">
        <f aca="false">IF($A689="","",COUNTIF($U$8:$U$5007,$U689))</f>
        <v/>
      </c>
    </row>
    <row r="690" customFormat="false" ht="15" hidden="false" customHeight="false" outlineLevel="0" collapsed="false">
      <c r="A690" s="31"/>
      <c r="B690" s="32"/>
      <c r="C690" s="32"/>
      <c r="D690" s="32"/>
      <c r="E690" s="32"/>
      <c r="F690" s="32"/>
      <c r="G690" s="33"/>
      <c r="H690" s="33"/>
      <c r="I690" s="34" t="str">
        <f aca="false">IF($A690="","",$G690-$H690)</f>
        <v/>
      </c>
      <c r="J690" s="35" t="str">
        <f aca="false">IF($A690="","",IF(Setup!$B$6=1,YEAR($A690),YEAR($A690)+IF(MONTH($A690)&gt;=Setup!$B$6,1,0)))</f>
        <v/>
      </c>
      <c r="K690" s="35" t="str">
        <f aca="false">IF($A690="","",MOD(MONTH($A690)-Setup!$B$6+12,12)+1)</f>
        <v/>
      </c>
      <c r="L690" s="36" t="str">
        <f aca="false">IF($A690="","",TEXT($A690,"MMM-YY"))</f>
        <v/>
      </c>
      <c r="M690" s="37" t="str">
        <f aca="false">IF($A690="","",IF($Q690=0,"UNMAPPED",INDEX(COA_Mapping!$C$7:$C$256,$Q690)))</f>
        <v/>
      </c>
      <c r="N690" s="38" t="str">
        <f aca="false">IF($A690="","",IF($Q690=0,"",INDEX(COA_Mapping!$E$7:$E$256,$Q690)))</f>
        <v/>
      </c>
      <c r="O690" s="38" t="n">
        <f aca="false">IF($A690="",1,IF($Q690=0,1,INDEX(COA_Mapping!$F$7:$F$256,$Q690)))</f>
        <v>1</v>
      </c>
      <c r="P690" s="34" t="str">
        <f aca="false">IF($A690="","",$I690*$O690)</f>
        <v/>
      </c>
      <c r="Q690" s="39" t="n">
        <f aca="false">IF($B690="",0,IFERROR(MATCH($B690,COA_Mapping!$A$7:$A$256,0),0))</f>
        <v>0</v>
      </c>
      <c r="R690" s="39" t="n">
        <f aca="false">IF($A690="",-1,IF($J690=Setup!$B$7,1,IF($J690=Setup!$B$9,0,-1)))</f>
        <v>-1</v>
      </c>
      <c r="S690" s="35" t="n">
        <f aca="false">IF(OR($A690="",$Q690=0,$R690=-1),0,$Q690*1000+$R690*100+$K690)</f>
        <v>0</v>
      </c>
      <c r="T690" s="37" t="str">
        <f aca="false">IF($A690="","",IF($B690="","NO ACCOUNT",IF($Q690=0,"UNMAPPED",IF($R690=-1,"OUTSIDE FY RANGE","OK"))))</f>
        <v/>
      </c>
      <c r="U690" s="40" t="str">
        <f aca="false">IF($A690="","",$B690&amp;"|"&amp;TEXT($A690,"yyyymmdd")&amp;"|"&amp;TEXT($I690,"0.00"))</f>
        <v/>
      </c>
      <c r="V690" s="35" t="str">
        <f aca="false">IF($A690="","",COUNTIF($U$8:$U$5007,$U690))</f>
        <v/>
      </c>
    </row>
    <row r="691" customFormat="false" ht="15" hidden="false" customHeight="false" outlineLevel="0" collapsed="false">
      <c r="A691" s="31"/>
      <c r="B691" s="32"/>
      <c r="C691" s="32"/>
      <c r="D691" s="32"/>
      <c r="E691" s="32"/>
      <c r="F691" s="32"/>
      <c r="G691" s="33"/>
      <c r="H691" s="33"/>
      <c r="I691" s="34" t="str">
        <f aca="false">IF($A691="","",$G691-$H691)</f>
        <v/>
      </c>
      <c r="J691" s="35" t="str">
        <f aca="false">IF($A691="","",IF(Setup!$B$6=1,YEAR($A691),YEAR($A691)+IF(MONTH($A691)&gt;=Setup!$B$6,1,0)))</f>
        <v/>
      </c>
      <c r="K691" s="35" t="str">
        <f aca="false">IF($A691="","",MOD(MONTH($A691)-Setup!$B$6+12,12)+1)</f>
        <v/>
      </c>
      <c r="L691" s="36" t="str">
        <f aca="false">IF($A691="","",TEXT($A691,"MMM-YY"))</f>
        <v/>
      </c>
      <c r="M691" s="37" t="str">
        <f aca="false">IF($A691="","",IF($Q691=0,"UNMAPPED",INDEX(COA_Mapping!$C$7:$C$256,$Q691)))</f>
        <v/>
      </c>
      <c r="N691" s="38" t="str">
        <f aca="false">IF($A691="","",IF($Q691=0,"",INDEX(COA_Mapping!$E$7:$E$256,$Q691)))</f>
        <v/>
      </c>
      <c r="O691" s="38" t="n">
        <f aca="false">IF($A691="",1,IF($Q691=0,1,INDEX(COA_Mapping!$F$7:$F$256,$Q691)))</f>
        <v>1</v>
      </c>
      <c r="P691" s="34" t="str">
        <f aca="false">IF($A691="","",$I691*$O691)</f>
        <v/>
      </c>
      <c r="Q691" s="39" t="n">
        <f aca="false">IF($B691="",0,IFERROR(MATCH($B691,COA_Mapping!$A$7:$A$256,0),0))</f>
        <v>0</v>
      </c>
      <c r="R691" s="39" t="n">
        <f aca="false">IF($A691="",-1,IF($J691=Setup!$B$7,1,IF($J691=Setup!$B$9,0,-1)))</f>
        <v>-1</v>
      </c>
      <c r="S691" s="35" t="n">
        <f aca="false">IF(OR($A691="",$Q691=0,$R691=-1),0,$Q691*1000+$R691*100+$K691)</f>
        <v>0</v>
      </c>
      <c r="T691" s="37" t="str">
        <f aca="false">IF($A691="","",IF($B691="","NO ACCOUNT",IF($Q691=0,"UNMAPPED",IF($R691=-1,"OUTSIDE FY RANGE","OK"))))</f>
        <v/>
      </c>
      <c r="U691" s="40" t="str">
        <f aca="false">IF($A691="","",$B691&amp;"|"&amp;TEXT($A691,"yyyymmdd")&amp;"|"&amp;TEXT($I691,"0.00"))</f>
        <v/>
      </c>
      <c r="V691" s="35" t="str">
        <f aca="false">IF($A691="","",COUNTIF($U$8:$U$5007,$U691))</f>
        <v/>
      </c>
    </row>
    <row r="692" customFormat="false" ht="15" hidden="false" customHeight="false" outlineLevel="0" collapsed="false">
      <c r="A692" s="31"/>
      <c r="B692" s="32"/>
      <c r="C692" s="32"/>
      <c r="D692" s="32"/>
      <c r="E692" s="32"/>
      <c r="F692" s="32"/>
      <c r="G692" s="33"/>
      <c r="H692" s="33"/>
      <c r="I692" s="34" t="str">
        <f aca="false">IF($A692="","",$G692-$H692)</f>
        <v/>
      </c>
      <c r="J692" s="35" t="str">
        <f aca="false">IF($A692="","",IF(Setup!$B$6=1,YEAR($A692),YEAR($A692)+IF(MONTH($A692)&gt;=Setup!$B$6,1,0)))</f>
        <v/>
      </c>
      <c r="K692" s="35" t="str">
        <f aca="false">IF($A692="","",MOD(MONTH($A692)-Setup!$B$6+12,12)+1)</f>
        <v/>
      </c>
      <c r="L692" s="36" t="str">
        <f aca="false">IF($A692="","",TEXT($A692,"MMM-YY"))</f>
        <v/>
      </c>
      <c r="M692" s="37" t="str">
        <f aca="false">IF($A692="","",IF($Q692=0,"UNMAPPED",INDEX(COA_Mapping!$C$7:$C$256,$Q692)))</f>
        <v/>
      </c>
      <c r="N692" s="38" t="str">
        <f aca="false">IF($A692="","",IF($Q692=0,"",INDEX(COA_Mapping!$E$7:$E$256,$Q692)))</f>
        <v/>
      </c>
      <c r="O692" s="38" t="n">
        <f aca="false">IF($A692="",1,IF($Q692=0,1,INDEX(COA_Mapping!$F$7:$F$256,$Q692)))</f>
        <v>1</v>
      </c>
      <c r="P692" s="34" t="str">
        <f aca="false">IF($A692="","",$I692*$O692)</f>
        <v/>
      </c>
      <c r="Q692" s="39" t="n">
        <f aca="false">IF($B692="",0,IFERROR(MATCH($B692,COA_Mapping!$A$7:$A$256,0),0))</f>
        <v>0</v>
      </c>
      <c r="R692" s="39" t="n">
        <f aca="false">IF($A692="",-1,IF($J692=Setup!$B$7,1,IF($J692=Setup!$B$9,0,-1)))</f>
        <v>-1</v>
      </c>
      <c r="S692" s="35" t="n">
        <f aca="false">IF(OR($A692="",$Q692=0,$R692=-1),0,$Q692*1000+$R692*100+$K692)</f>
        <v>0</v>
      </c>
      <c r="T692" s="37" t="str">
        <f aca="false">IF($A692="","",IF($B692="","NO ACCOUNT",IF($Q692=0,"UNMAPPED",IF($R692=-1,"OUTSIDE FY RANGE","OK"))))</f>
        <v/>
      </c>
      <c r="U692" s="40" t="str">
        <f aca="false">IF($A692="","",$B692&amp;"|"&amp;TEXT($A692,"yyyymmdd")&amp;"|"&amp;TEXT($I692,"0.00"))</f>
        <v/>
      </c>
      <c r="V692" s="35" t="str">
        <f aca="false">IF($A692="","",COUNTIF($U$8:$U$5007,$U692))</f>
        <v/>
      </c>
    </row>
    <row r="693" customFormat="false" ht="15" hidden="false" customHeight="false" outlineLevel="0" collapsed="false">
      <c r="A693" s="31"/>
      <c r="B693" s="32"/>
      <c r="C693" s="32"/>
      <c r="D693" s="32"/>
      <c r="E693" s="32"/>
      <c r="F693" s="32"/>
      <c r="G693" s="33"/>
      <c r="H693" s="33"/>
      <c r="I693" s="34" t="str">
        <f aca="false">IF($A693="","",$G693-$H693)</f>
        <v/>
      </c>
      <c r="J693" s="35" t="str">
        <f aca="false">IF($A693="","",IF(Setup!$B$6=1,YEAR($A693),YEAR($A693)+IF(MONTH($A693)&gt;=Setup!$B$6,1,0)))</f>
        <v/>
      </c>
      <c r="K693" s="35" t="str">
        <f aca="false">IF($A693="","",MOD(MONTH($A693)-Setup!$B$6+12,12)+1)</f>
        <v/>
      </c>
      <c r="L693" s="36" t="str">
        <f aca="false">IF($A693="","",TEXT($A693,"MMM-YY"))</f>
        <v/>
      </c>
      <c r="M693" s="37" t="str">
        <f aca="false">IF($A693="","",IF($Q693=0,"UNMAPPED",INDEX(COA_Mapping!$C$7:$C$256,$Q693)))</f>
        <v/>
      </c>
      <c r="N693" s="38" t="str">
        <f aca="false">IF($A693="","",IF($Q693=0,"",INDEX(COA_Mapping!$E$7:$E$256,$Q693)))</f>
        <v/>
      </c>
      <c r="O693" s="38" t="n">
        <f aca="false">IF($A693="",1,IF($Q693=0,1,INDEX(COA_Mapping!$F$7:$F$256,$Q693)))</f>
        <v>1</v>
      </c>
      <c r="P693" s="34" t="str">
        <f aca="false">IF($A693="","",$I693*$O693)</f>
        <v/>
      </c>
      <c r="Q693" s="39" t="n">
        <f aca="false">IF($B693="",0,IFERROR(MATCH($B693,COA_Mapping!$A$7:$A$256,0),0))</f>
        <v>0</v>
      </c>
      <c r="R693" s="39" t="n">
        <f aca="false">IF($A693="",-1,IF($J693=Setup!$B$7,1,IF($J693=Setup!$B$9,0,-1)))</f>
        <v>-1</v>
      </c>
      <c r="S693" s="35" t="n">
        <f aca="false">IF(OR($A693="",$Q693=0,$R693=-1),0,$Q693*1000+$R693*100+$K693)</f>
        <v>0</v>
      </c>
      <c r="T693" s="37" t="str">
        <f aca="false">IF($A693="","",IF($B693="","NO ACCOUNT",IF($Q693=0,"UNMAPPED",IF($R693=-1,"OUTSIDE FY RANGE","OK"))))</f>
        <v/>
      </c>
      <c r="U693" s="40" t="str">
        <f aca="false">IF($A693="","",$B693&amp;"|"&amp;TEXT($A693,"yyyymmdd")&amp;"|"&amp;TEXT($I693,"0.00"))</f>
        <v/>
      </c>
      <c r="V693" s="35" t="str">
        <f aca="false">IF($A693="","",COUNTIF($U$8:$U$5007,$U693))</f>
        <v/>
      </c>
    </row>
    <row r="694" customFormat="false" ht="15" hidden="false" customHeight="false" outlineLevel="0" collapsed="false">
      <c r="A694" s="31"/>
      <c r="B694" s="32"/>
      <c r="C694" s="32"/>
      <c r="D694" s="32"/>
      <c r="E694" s="32"/>
      <c r="F694" s="32"/>
      <c r="G694" s="33"/>
      <c r="H694" s="33"/>
      <c r="I694" s="34" t="str">
        <f aca="false">IF($A694="","",$G694-$H694)</f>
        <v/>
      </c>
      <c r="J694" s="35" t="str">
        <f aca="false">IF($A694="","",IF(Setup!$B$6=1,YEAR($A694),YEAR($A694)+IF(MONTH($A694)&gt;=Setup!$B$6,1,0)))</f>
        <v/>
      </c>
      <c r="K694" s="35" t="str">
        <f aca="false">IF($A694="","",MOD(MONTH($A694)-Setup!$B$6+12,12)+1)</f>
        <v/>
      </c>
      <c r="L694" s="36" t="str">
        <f aca="false">IF($A694="","",TEXT($A694,"MMM-YY"))</f>
        <v/>
      </c>
      <c r="M694" s="37" t="str">
        <f aca="false">IF($A694="","",IF($Q694=0,"UNMAPPED",INDEX(COA_Mapping!$C$7:$C$256,$Q694)))</f>
        <v/>
      </c>
      <c r="N694" s="38" t="str">
        <f aca="false">IF($A694="","",IF($Q694=0,"",INDEX(COA_Mapping!$E$7:$E$256,$Q694)))</f>
        <v/>
      </c>
      <c r="O694" s="38" t="n">
        <f aca="false">IF($A694="",1,IF($Q694=0,1,INDEX(COA_Mapping!$F$7:$F$256,$Q694)))</f>
        <v>1</v>
      </c>
      <c r="P694" s="34" t="str">
        <f aca="false">IF($A694="","",$I694*$O694)</f>
        <v/>
      </c>
      <c r="Q694" s="39" t="n">
        <f aca="false">IF($B694="",0,IFERROR(MATCH($B694,COA_Mapping!$A$7:$A$256,0),0))</f>
        <v>0</v>
      </c>
      <c r="R694" s="39" t="n">
        <f aca="false">IF($A694="",-1,IF($J694=Setup!$B$7,1,IF($J694=Setup!$B$9,0,-1)))</f>
        <v>-1</v>
      </c>
      <c r="S694" s="35" t="n">
        <f aca="false">IF(OR($A694="",$Q694=0,$R694=-1),0,$Q694*1000+$R694*100+$K694)</f>
        <v>0</v>
      </c>
      <c r="T694" s="37" t="str">
        <f aca="false">IF($A694="","",IF($B694="","NO ACCOUNT",IF($Q694=0,"UNMAPPED",IF($R694=-1,"OUTSIDE FY RANGE","OK"))))</f>
        <v/>
      </c>
      <c r="U694" s="40" t="str">
        <f aca="false">IF($A694="","",$B694&amp;"|"&amp;TEXT($A694,"yyyymmdd")&amp;"|"&amp;TEXT($I694,"0.00"))</f>
        <v/>
      </c>
      <c r="V694" s="35" t="str">
        <f aca="false">IF($A694="","",COUNTIF($U$8:$U$5007,$U694))</f>
        <v/>
      </c>
    </row>
    <row r="695" customFormat="false" ht="15" hidden="false" customHeight="false" outlineLevel="0" collapsed="false">
      <c r="A695" s="31"/>
      <c r="B695" s="32"/>
      <c r="C695" s="32"/>
      <c r="D695" s="32"/>
      <c r="E695" s="32"/>
      <c r="F695" s="32"/>
      <c r="G695" s="33"/>
      <c r="H695" s="33"/>
      <c r="I695" s="34" t="str">
        <f aca="false">IF($A695="","",$G695-$H695)</f>
        <v/>
      </c>
      <c r="J695" s="35" t="str">
        <f aca="false">IF($A695="","",IF(Setup!$B$6=1,YEAR($A695),YEAR($A695)+IF(MONTH($A695)&gt;=Setup!$B$6,1,0)))</f>
        <v/>
      </c>
      <c r="K695" s="35" t="str">
        <f aca="false">IF($A695="","",MOD(MONTH($A695)-Setup!$B$6+12,12)+1)</f>
        <v/>
      </c>
      <c r="L695" s="36" t="str">
        <f aca="false">IF($A695="","",TEXT($A695,"MMM-YY"))</f>
        <v/>
      </c>
      <c r="M695" s="37" t="str">
        <f aca="false">IF($A695="","",IF($Q695=0,"UNMAPPED",INDEX(COA_Mapping!$C$7:$C$256,$Q695)))</f>
        <v/>
      </c>
      <c r="N695" s="38" t="str">
        <f aca="false">IF($A695="","",IF($Q695=0,"",INDEX(COA_Mapping!$E$7:$E$256,$Q695)))</f>
        <v/>
      </c>
      <c r="O695" s="38" t="n">
        <f aca="false">IF($A695="",1,IF($Q695=0,1,INDEX(COA_Mapping!$F$7:$F$256,$Q695)))</f>
        <v>1</v>
      </c>
      <c r="P695" s="34" t="str">
        <f aca="false">IF($A695="","",$I695*$O695)</f>
        <v/>
      </c>
      <c r="Q695" s="39" t="n">
        <f aca="false">IF($B695="",0,IFERROR(MATCH($B695,COA_Mapping!$A$7:$A$256,0),0))</f>
        <v>0</v>
      </c>
      <c r="R695" s="39" t="n">
        <f aca="false">IF($A695="",-1,IF($J695=Setup!$B$7,1,IF($J695=Setup!$B$9,0,-1)))</f>
        <v>-1</v>
      </c>
      <c r="S695" s="35" t="n">
        <f aca="false">IF(OR($A695="",$Q695=0,$R695=-1),0,$Q695*1000+$R695*100+$K695)</f>
        <v>0</v>
      </c>
      <c r="T695" s="37" t="str">
        <f aca="false">IF($A695="","",IF($B695="","NO ACCOUNT",IF($Q695=0,"UNMAPPED",IF($R695=-1,"OUTSIDE FY RANGE","OK"))))</f>
        <v/>
      </c>
      <c r="U695" s="40" t="str">
        <f aca="false">IF($A695="","",$B695&amp;"|"&amp;TEXT($A695,"yyyymmdd")&amp;"|"&amp;TEXT($I695,"0.00"))</f>
        <v/>
      </c>
      <c r="V695" s="35" t="str">
        <f aca="false">IF($A695="","",COUNTIF($U$8:$U$5007,$U695))</f>
        <v/>
      </c>
    </row>
    <row r="696" customFormat="false" ht="15" hidden="false" customHeight="false" outlineLevel="0" collapsed="false">
      <c r="A696" s="31"/>
      <c r="B696" s="32"/>
      <c r="C696" s="32"/>
      <c r="D696" s="32"/>
      <c r="E696" s="32"/>
      <c r="F696" s="32"/>
      <c r="G696" s="33"/>
      <c r="H696" s="33"/>
      <c r="I696" s="34" t="str">
        <f aca="false">IF($A696="","",$G696-$H696)</f>
        <v/>
      </c>
      <c r="J696" s="35" t="str">
        <f aca="false">IF($A696="","",IF(Setup!$B$6=1,YEAR($A696),YEAR($A696)+IF(MONTH($A696)&gt;=Setup!$B$6,1,0)))</f>
        <v/>
      </c>
      <c r="K696" s="35" t="str">
        <f aca="false">IF($A696="","",MOD(MONTH($A696)-Setup!$B$6+12,12)+1)</f>
        <v/>
      </c>
      <c r="L696" s="36" t="str">
        <f aca="false">IF($A696="","",TEXT($A696,"MMM-YY"))</f>
        <v/>
      </c>
      <c r="M696" s="37" t="str">
        <f aca="false">IF($A696="","",IF($Q696=0,"UNMAPPED",INDEX(COA_Mapping!$C$7:$C$256,$Q696)))</f>
        <v/>
      </c>
      <c r="N696" s="38" t="str">
        <f aca="false">IF($A696="","",IF($Q696=0,"",INDEX(COA_Mapping!$E$7:$E$256,$Q696)))</f>
        <v/>
      </c>
      <c r="O696" s="38" t="n">
        <f aca="false">IF($A696="",1,IF($Q696=0,1,INDEX(COA_Mapping!$F$7:$F$256,$Q696)))</f>
        <v>1</v>
      </c>
      <c r="P696" s="34" t="str">
        <f aca="false">IF($A696="","",$I696*$O696)</f>
        <v/>
      </c>
      <c r="Q696" s="39" t="n">
        <f aca="false">IF($B696="",0,IFERROR(MATCH($B696,COA_Mapping!$A$7:$A$256,0),0))</f>
        <v>0</v>
      </c>
      <c r="R696" s="39" t="n">
        <f aca="false">IF($A696="",-1,IF($J696=Setup!$B$7,1,IF($J696=Setup!$B$9,0,-1)))</f>
        <v>-1</v>
      </c>
      <c r="S696" s="35" t="n">
        <f aca="false">IF(OR($A696="",$Q696=0,$R696=-1),0,$Q696*1000+$R696*100+$K696)</f>
        <v>0</v>
      </c>
      <c r="T696" s="37" t="str">
        <f aca="false">IF($A696="","",IF($B696="","NO ACCOUNT",IF($Q696=0,"UNMAPPED",IF($R696=-1,"OUTSIDE FY RANGE","OK"))))</f>
        <v/>
      </c>
      <c r="U696" s="40" t="str">
        <f aca="false">IF($A696="","",$B696&amp;"|"&amp;TEXT($A696,"yyyymmdd")&amp;"|"&amp;TEXT($I696,"0.00"))</f>
        <v/>
      </c>
      <c r="V696" s="35" t="str">
        <f aca="false">IF($A696="","",COUNTIF($U$8:$U$5007,$U696))</f>
        <v/>
      </c>
    </row>
    <row r="697" customFormat="false" ht="15" hidden="false" customHeight="false" outlineLevel="0" collapsed="false">
      <c r="A697" s="31"/>
      <c r="B697" s="32"/>
      <c r="C697" s="32"/>
      <c r="D697" s="32"/>
      <c r="E697" s="32"/>
      <c r="F697" s="32"/>
      <c r="G697" s="33"/>
      <c r="H697" s="33"/>
      <c r="I697" s="34" t="str">
        <f aca="false">IF($A697="","",$G697-$H697)</f>
        <v/>
      </c>
      <c r="J697" s="35" t="str">
        <f aca="false">IF($A697="","",IF(Setup!$B$6=1,YEAR($A697),YEAR($A697)+IF(MONTH($A697)&gt;=Setup!$B$6,1,0)))</f>
        <v/>
      </c>
      <c r="K697" s="35" t="str">
        <f aca="false">IF($A697="","",MOD(MONTH($A697)-Setup!$B$6+12,12)+1)</f>
        <v/>
      </c>
      <c r="L697" s="36" t="str">
        <f aca="false">IF($A697="","",TEXT($A697,"MMM-YY"))</f>
        <v/>
      </c>
      <c r="M697" s="37" t="str">
        <f aca="false">IF($A697="","",IF($Q697=0,"UNMAPPED",INDEX(COA_Mapping!$C$7:$C$256,$Q697)))</f>
        <v/>
      </c>
      <c r="N697" s="38" t="str">
        <f aca="false">IF($A697="","",IF($Q697=0,"",INDEX(COA_Mapping!$E$7:$E$256,$Q697)))</f>
        <v/>
      </c>
      <c r="O697" s="38" t="n">
        <f aca="false">IF($A697="",1,IF($Q697=0,1,INDEX(COA_Mapping!$F$7:$F$256,$Q697)))</f>
        <v>1</v>
      </c>
      <c r="P697" s="34" t="str">
        <f aca="false">IF($A697="","",$I697*$O697)</f>
        <v/>
      </c>
      <c r="Q697" s="39" t="n">
        <f aca="false">IF($B697="",0,IFERROR(MATCH($B697,COA_Mapping!$A$7:$A$256,0),0))</f>
        <v>0</v>
      </c>
      <c r="R697" s="39" t="n">
        <f aca="false">IF($A697="",-1,IF($J697=Setup!$B$7,1,IF($J697=Setup!$B$9,0,-1)))</f>
        <v>-1</v>
      </c>
      <c r="S697" s="35" t="n">
        <f aca="false">IF(OR($A697="",$Q697=0,$R697=-1),0,$Q697*1000+$R697*100+$K697)</f>
        <v>0</v>
      </c>
      <c r="T697" s="37" t="str">
        <f aca="false">IF($A697="","",IF($B697="","NO ACCOUNT",IF($Q697=0,"UNMAPPED",IF($R697=-1,"OUTSIDE FY RANGE","OK"))))</f>
        <v/>
      </c>
      <c r="U697" s="40" t="str">
        <f aca="false">IF($A697="","",$B697&amp;"|"&amp;TEXT($A697,"yyyymmdd")&amp;"|"&amp;TEXT($I697,"0.00"))</f>
        <v/>
      </c>
      <c r="V697" s="35" t="str">
        <f aca="false">IF($A697="","",COUNTIF($U$8:$U$5007,$U697))</f>
        <v/>
      </c>
    </row>
    <row r="698" customFormat="false" ht="15" hidden="false" customHeight="false" outlineLevel="0" collapsed="false">
      <c r="A698" s="31"/>
      <c r="B698" s="32"/>
      <c r="C698" s="32"/>
      <c r="D698" s="32"/>
      <c r="E698" s="32"/>
      <c r="F698" s="32"/>
      <c r="G698" s="33"/>
      <c r="H698" s="33"/>
      <c r="I698" s="34" t="str">
        <f aca="false">IF($A698="","",$G698-$H698)</f>
        <v/>
      </c>
      <c r="J698" s="35" t="str">
        <f aca="false">IF($A698="","",IF(Setup!$B$6=1,YEAR($A698),YEAR($A698)+IF(MONTH($A698)&gt;=Setup!$B$6,1,0)))</f>
        <v/>
      </c>
      <c r="K698" s="35" t="str">
        <f aca="false">IF($A698="","",MOD(MONTH($A698)-Setup!$B$6+12,12)+1)</f>
        <v/>
      </c>
      <c r="L698" s="36" t="str">
        <f aca="false">IF($A698="","",TEXT($A698,"MMM-YY"))</f>
        <v/>
      </c>
      <c r="M698" s="37" t="str">
        <f aca="false">IF($A698="","",IF($Q698=0,"UNMAPPED",INDEX(COA_Mapping!$C$7:$C$256,$Q698)))</f>
        <v/>
      </c>
      <c r="N698" s="38" t="str">
        <f aca="false">IF($A698="","",IF($Q698=0,"",INDEX(COA_Mapping!$E$7:$E$256,$Q698)))</f>
        <v/>
      </c>
      <c r="O698" s="38" t="n">
        <f aca="false">IF($A698="",1,IF($Q698=0,1,INDEX(COA_Mapping!$F$7:$F$256,$Q698)))</f>
        <v>1</v>
      </c>
      <c r="P698" s="34" t="str">
        <f aca="false">IF($A698="","",$I698*$O698)</f>
        <v/>
      </c>
      <c r="Q698" s="39" t="n">
        <f aca="false">IF($B698="",0,IFERROR(MATCH($B698,COA_Mapping!$A$7:$A$256,0),0))</f>
        <v>0</v>
      </c>
      <c r="R698" s="39" t="n">
        <f aca="false">IF($A698="",-1,IF($J698=Setup!$B$7,1,IF($J698=Setup!$B$9,0,-1)))</f>
        <v>-1</v>
      </c>
      <c r="S698" s="35" t="n">
        <f aca="false">IF(OR($A698="",$Q698=0,$R698=-1),0,$Q698*1000+$R698*100+$K698)</f>
        <v>0</v>
      </c>
      <c r="T698" s="37" t="str">
        <f aca="false">IF($A698="","",IF($B698="","NO ACCOUNT",IF($Q698=0,"UNMAPPED",IF($R698=-1,"OUTSIDE FY RANGE","OK"))))</f>
        <v/>
      </c>
      <c r="U698" s="40" t="str">
        <f aca="false">IF($A698="","",$B698&amp;"|"&amp;TEXT($A698,"yyyymmdd")&amp;"|"&amp;TEXT($I698,"0.00"))</f>
        <v/>
      </c>
      <c r="V698" s="35" t="str">
        <f aca="false">IF($A698="","",COUNTIF($U$8:$U$5007,$U698))</f>
        <v/>
      </c>
    </row>
    <row r="699" customFormat="false" ht="15" hidden="false" customHeight="false" outlineLevel="0" collapsed="false">
      <c r="A699" s="31"/>
      <c r="B699" s="32"/>
      <c r="C699" s="32"/>
      <c r="D699" s="32"/>
      <c r="E699" s="32"/>
      <c r="F699" s="32"/>
      <c r="G699" s="33"/>
      <c r="H699" s="33"/>
      <c r="I699" s="34" t="str">
        <f aca="false">IF($A699="","",$G699-$H699)</f>
        <v/>
      </c>
      <c r="J699" s="35" t="str">
        <f aca="false">IF($A699="","",IF(Setup!$B$6=1,YEAR($A699),YEAR($A699)+IF(MONTH($A699)&gt;=Setup!$B$6,1,0)))</f>
        <v/>
      </c>
      <c r="K699" s="35" t="str">
        <f aca="false">IF($A699="","",MOD(MONTH($A699)-Setup!$B$6+12,12)+1)</f>
        <v/>
      </c>
      <c r="L699" s="36" t="str">
        <f aca="false">IF($A699="","",TEXT($A699,"MMM-YY"))</f>
        <v/>
      </c>
      <c r="M699" s="37" t="str">
        <f aca="false">IF($A699="","",IF($Q699=0,"UNMAPPED",INDEX(COA_Mapping!$C$7:$C$256,$Q699)))</f>
        <v/>
      </c>
      <c r="N699" s="38" t="str">
        <f aca="false">IF($A699="","",IF($Q699=0,"",INDEX(COA_Mapping!$E$7:$E$256,$Q699)))</f>
        <v/>
      </c>
      <c r="O699" s="38" t="n">
        <f aca="false">IF($A699="",1,IF($Q699=0,1,INDEX(COA_Mapping!$F$7:$F$256,$Q699)))</f>
        <v>1</v>
      </c>
      <c r="P699" s="34" t="str">
        <f aca="false">IF($A699="","",$I699*$O699)</f>
        <v/>
      </c>
      <c r="Q699" s="39" t="n">
        <f aca="false">IF($B699="",0,IFERROR(MATCH($B699,COA_Mapping!$A$7:$A$256,0),0))</f>
        <v>0</v>
      </c>
      <c r="R699" s="39" t="n">
        <f aca="false">IF($A699="",-1,IF($J699=Setup!$B$7,1,IF($J699=Setup!$B$9,0,-1)))</f>
        <v>-1</v>
      </c>
      <c r="S699" s="35" t="n">
        <f aca="false">IF(OR($A699="",$Q699=0,$R699=-1),0,$Q699*1000+$R699*100+$K699)</f>
        <v>0</v>
      </c>
      <c r="T699" s="37" t="str">
        <f aca="false">IF($A699="","",IF($B699="","NO ACCOUNT",IF($Q699=0,"UNMAPPED",IF($R699=-1,"OUTSIDE FY RANGE","OK"))))</f>
        <v/>
      </c>
      <c r="U699" s="40" t="str">
        <f aca="false">IF($A699="","",$B699&amp;"|"&amp;TEXT($A699,"yyyymmdd")&amp;"|"&amp;TEXT($I699,"0.00"))</f>
        <v/>
      </c>
      <c r="V699" s="35" t="str">
        <f aca="false">IF($A699="","",COUNTIF($U$8:$U$5007,$U699))</f>
        <v/>
      </c>
    </row>
    <row r="700" customFormat="false" ht="15" hidden="false" customHeight="false" outlineLevel="0" collapsed="false">
      <c r="A700" s="31"/>
      <c r="B700" s="32"/>
      <c r="C700" s="32"/>
      <c r="D700" s="32"/>
      <c r="E700" s="32"/>
      <c r="F700" s="32"/>
      <c r="G700" s="33"/>
      <c r="H700" s="33"/>
      <c r="I700" s="34" t="str">
        <f aca="false">IF($A700="","",$G700-$H700)</f>
        <v/>
      </c>
      <c r="J700" s="35" t="str">
        <f aca="false">IF($A700="","",IF(Setup!$B$6=1,YEAR($A700),YEAR($A700)+IF(MONTH($A700)&gt;=Setup!$B$6,1,0)))</f>
        <v/>
      </c>
      <c r="K700" s="35" t="str">
        <f aca="false">IF($A700="","",MOD(MONTH($A700)-Setup!$B$6+12,12)+1)</f>
        <v/>
      </c>
      <c r="L700" s="36" t="str">
        <f aca="false">IF($A700="","",TEXT($A700,"MMM-YY"))</f>
        <v/>
      </c>
      <c r="M700" s="37" t="str">
        <f aca="false">IF($A700="","",IF($Q700=0,"UNMAPPED",INDEX(COA_Mapping!$C$7:$C$256,$Q700)))</f>
        <v/>
      </c>
      <c r="N700" s="38" t="str">
        <f aca="false">IF($A700="","",IF($Q700=0,"",INDEX(COA_Mapping!$E$7:$E$256,$Q700)))</f>
        <v/>
      </c>
      <c r="O700" s="38" t="n">
        <f aca="false">IF($A700="",1,IF($Q700=0,1,INDEX(COA_Mapping!$F$7:$F$256,$Q700)))</f>
        <v>1</v>
      </c>
      <c r="P700" s="34" t="str">
        <f aca="false">IF($A700="","",$I700*$O700)</f>
        <v/>
      </c>
      <c r="Q700" s="39" t="n">
        <f aca="false">IF($B700="",0,IFERROR(MATCH($B700,COA_Mapping!$A$7:$A$256,0),0))</f>
        <v>0</v>
      </c>
      <c r="R700" s="39" t="n">
        <f aca="false">IF($A700="",-1,IF($J700=Setup!$B$7,1,IF($J700=Setup!$B$9,0,-1)))</f>
        <v>-1</v>
      </c>
      <c r="S700" s="35" t="n">
        <f aca="false">IF(OR($A700="",$Q700=0,$R700=-1),0,$Q700*1000+$R700*100+$K700)</f>
        <v>0</v>
      </c>
      <c r="T700" s="37" t="str">
        <f aca="false">IF($A700="","",IF($B700="","NO ACCOUNT",IF($Q700=0,"UNMAPPED",IF($R700=-1,"OUTSIDE FY RANGE","OK"))))</f>
        <v/>
      </c>
      <c r="U700" s="40" t="str">
        <f aca="false">IF($A700="","",$B700&amp;"|"&amp;TEXT($A700,"yyyymmdd")&amp;"|"&amp;TEXT($I700,"0.00"))</f>
        <v/>
      </c>
      <c r="V700" s="35" t="str">
        <f aca="false">IF($A700="","",COUNTIF($U$8:$U$5007,$U700))</f>
        <v/>
      </c>
    </row>
    <row r="701" customFormat="false" ht="15" hidden="false" customHeight="false" outlineLevel="0" collapsed="false">
      <c r="A701" s="31"/>
      <c r="B701" s="32"/>
      <c r="C701" s="32"/>
      <c r="D701" s="32"/>
      <c r="E701" s="32"/>
      <c r="F701" s="32"/>
      <c r="G701" s="33"/>
      <c r="H701" s="33"/>
      <c r="I701" s="34" t="str">
        <f aca="false">IF($A701="","",$G701-$H701)</f>
        <v/>
      </c>
      <c r="J701" s="35" t="str">
        <f aca="false">IF($A701="","",IF(Setup!$B$6=1,YEAR($A701),YEAR($A701)+IF(MONTH($A701)&gt;=Setup!$B$6,1,0)))</f>
        <v/>
      </c>
      <c r="K701" s="35" t="str">
        <f aca="false">IF($A701="","",MOD(MONTH($A701)-Setup!$B$6+12,12)+1)</f>
        <v/>
      </c>
      <c r="L701" s="36" t="str">
        <f aca="false">IF($A701="","",TEXT($A701,"MMM-YY"))</f>
        <v/>
      </c>
      <c r="M701" s="37" t="str">
        <f aca="false">IF($A701="","",IF($Q701=0,"UNMAPPED",INDEX(COA_Mapping!$C$7:$C$256,$Q701)))</f>
        <v/>
      </c>
      <c r="N701" s="38" t="str">
        <f aca="false">IF($A701="","",IF($Q701=0,"",INDEX(COA_Mapping!$E$7:$E$256,$Q701)))</f>
        <v/>
      </c>
      <c r="O701" s="38" t="n">
        <f aca="false">IF($A701="",1,IF($Q701=0,1,INDEX(COA_Mapping!$F$7:$F$256,$Q701)))</f>
        <v>1</v>
      </c>
      <c r="P701" s="34" t="str">
        <f aca="false">IF($A701="","",$I701*$O701)</f>
        <v/>
      </c>
      <c r="Q701" s="39" t="n">
        <f aca="false">IF($B701="",0,IFERROR(MATCH($B701,COA_Mapping!$A$7:$A$256,0),0))</f>
        <v>0</v>
      </c>
      <c r="R701" s="39" t="n">
        <f aca="false">IF($A701="",-1,IF($J701=Setup!$B$7,1,IF($J701=Setup!$B$9,0,-1)))</f>
        <v>-1</v>
      </c>
      <c r="S701" s="35" t="n">
        <f aca="false">IF(OR($A701="",$Q701=0,$R701=-1),0,$Q701*1000+$R701*100+$K701)</f>
        <v>0</v>
      </c>
      <c r="T701" s="37" t="str">
        <f aca="false">IF($A701="","",IF($B701="","NO ACCOUNT",IF($Q701=0,"UNMAPPED",IF($R701=-1,"OUTSIDE FY RANGE","OK"))))</f>
        <v/>
      </c>
      <c r="U701" s="40" t="str">
        <f aca="false">IF($A701="","",$B701&amp;"|"&amp;TEXT($A701,"yyyymmdd")&amp;"|"&amp;TEXT($I701,"0.00"))</f>
        <v/>
      </c>
      <c r="V701" s="35" t="str">
        <f aca="false">IF($A701="","",COUNTIF($U$8:$U$5007,$U701))</f>
        <v/>
      </c>
    </row>
    <row r="702" customFormat="false" ht="15" hidden="false" customHeight="false" outlineLevel="0" collapsed="false">
      <c r="A702" s="31"/>
      <c r="B702" s="32"/>
      <c r="C702" s="32"/>
      <c r="D702" s="32"/>
      <c r="E702" s="32"/>
      <c r="F702" s="32"/>
      <c r="G702" s="33"/>
      <c r="H702" s="33"/>
      <c r="I702" s="34" t="str">
        <f aca="false">IF($A702="","",$G702-$H702)</f>
        <v/>
      </c>
      <c r="J702" s="35" t="str">
        <f aca="false">IF($A702="","",IF(Setup!$B$6=1,YEAR($A702),YEAR($A702)+IF(MONTH($A702)&gt;=Setup!$B$6,1,0)))</f>
        <v/>
      </c>
      <c r="K702" s="35" t="str">
        <f aca="false">IF($A702="","",MOD(MONTH($A702)-Setup!$B$6+12,12)+1)</f>
        <v/>
      </c>
      <c r="L702" s="36" t="str">
        <f aca="false">IF($A702="","",TEXT($A702,"MMM-YY"))</f>
        <v/>
      </c>
      <c r="M702" s="37" t="str">
        <f aca="false">IF($A702="","",IF($Q702=0,"UNMAPPED",INDEX(COA_Mapping!$C$7:$C$256,$Q702)))</f>
        <v/>
      </c>
      <c r="N702" s="38" t="str">
        <f aca="false">IF($A702="","",IF($Q702=0,"",INDEX(COA_Mapping!$E$7:$E$256,$Q702)))</f>
        <v/>
      </c>
      <c r="O702" s="38" t="n">
        <f aca="false">IF($A702="",1,IF($Q702=0,1,INDEX(COA_Mapping!$F$7:$F$256,$Q702)))</f>
        <v>1</v>
      </c>
      <c r="P702" s="34" t="str">
        <f aca="false">IF($A702="","",$I702*$O702)</f>
        <v/>
      </c>
      <c r="Q702" s="39" t="n">
        <f aca="false">IF($B702="",0,IFERROR(MATCH($B702,COA_Mapping!$A$7:$A$256,0),0))</f>
        <v>0</v>
      </c>
      <c r="R702" s="39" t="n">
        <f aca="false">IF($A702="",-1,IF($J702=Setup!$B$7,1,IF($J702=Setup!$B$9,0,-1)))</f>
        <v>-1</v>
      </c>
      <c r="S702" s="35" t="n">
        <f aca="false">IF(OR($A702="",$Q702=0,$R702=-1),0,$Q702*1000+$R702*100+$K702)</f>
        <v>0</v>
      </c>
      <c r="T702" s="37" t="str">
        <f aca="false">IF($A702="","",IF($B702="","NO ACCOUNT",IF($Q702=0,"UNMAPPED",IF($R702=-1,"OUTSIDE FY RANGE","OK"))))</f>
        <v/>
      </c>
      <c r="U702" s="40" t="str">
        <f aca="false">IF($A702="","",$B702&amp;"|"&amp;TEXT($A702,"yyyymmdd")&amp;"|"&amp;TEXT($I702,"0.00"))</f>
        <v/>
      </c>
      <c r="V702" s="35" t="str">
        <f aca="false">IF($A702="","",COUNTIF($U$8:$U$5007,$U702))</f>
        <v/>
      </c>
    </row>
    <row r="703" customFormat="false" ht="15" hidden="false" customHeight="false" outlineLevel="0" collapsed="false">
      <c r="A703" s="31"/>
      <c r="B703" s="32"/>
      <c r="C703" s="32"/>
      <c r="D703" s="32"/>
      <c r="E703" s="32"/>
      <c r="F703" s="32"/>
      <c r="G703" s="33"/>
      <c r="H703" s="33"/>
      <c r="I703" s="34" t="str">
        <f aca="false">IF($A703="","",$G703-$H703)</f>
        <v/>
      </c>
      <c r="J703" s="35" t="str">
        <f aca="false">IF($A703="","",IF(Setup!$B$6=1,YEAR($A703),YEAR($A703)+IF(MONTH($A703)&gt;=Setup!$B$6,1,0)))</f>
        <v/>
      </c>
      <c r="K703" s="35" t="str">
        <f aca="false">IF($A703="","",MOD(MONTH($A703)-Setup!$B$6+12,12)+1)</f>
        <v/>
      </c>
      <c r="L703" s="36" t="str">
        <f aca="false">IF($A703="","",TEXT($A703,"MMM-YY"))</f>
        <v/>
      </c>
      <c r="M703" s="37" t="str">
        <f aca="false">IF($A703="","",IF($Q703=0,"UNMAPPED",INDEX(COA_Mapping!$C$7:$C$256,$Q703)))</f>
        <v/>
      </c>
      <c r="N703" s="38" t="str">
        <f aca="false">IF($A703="","",IF($Q703=0,"",INDEX(COA_Mapping!$E$7:$E$256,$Q703)))</f>
        <v/>
      </c>
      <c r="O703" s="38" t="n">
        <f aca="false">IF($A703="",1,IF($Q703=0,1,INDEX(COA_Mapping!$F$7:$F$256,$Q703)))</f>
        <v>1</v>
      </c>
      <c r="P703" s="34" t="str">
        <f aca="false">IF($A703="","",$I703*$O703)</f>
        <v/>
      </c>
      <c r="Q703" s="39" t="n">
        <f aca="false">IF($B703="",0,IFERROR(MATCH($B703,COA_Mapping!$A$7:$A$256,0),0))</f>
        <v>0</v>
      </c>
      <c r="R703" s="39" t="n">
        <f aca="false">IF($A703="",-1,IF($J703=Setup!$B$7,1,IF($J703=Setup!$B$9,0,-1)))</f>
        <v>-1</v>
      </c>
      <c r="S703" s="35" t="n">
        <f aca="false">IF(OR($A703="",$Q703=0,$R703=-1),0,$Q703*1000+$R703*100+$K703)</f>
        <v>0</v>
      </c>
      <c r="T703" s="37" t="str">
        <f aca="false">IF($A703="","",IF($B703="","NO ACCOUNT",IF($Q703=0,"UNMAPPED",IF($R703=-1,"OUTSIDE FY RANGE","OK"))))</f>
        <v/>
      </c>
      <c r="U703" s="40" t="str">
        <f aca="false">IF($A703="","",$B703&amp;"|"&amp;TEXT($A703,"yyyymmdd")&amp;"|"&amp;TEXT($I703,"0.00"))</f>
        <v/>
      </c>
      <c r="V703" s="35" t="str">
        <f aca="false">IF($A703="","",COUNTIF($U$8:$U$5007,$U703))</f>
        <v/>
      </c>
    </row>
    <row r="704" customFormat="false" ht="15" hidden="false" customHeight="false" outlineLevel="0" collapsed="false">
      <c r="A704" s="31"/>
      <c r="B704" s="32"/>
      <c r="C704" s="32"/>
      <c r="D704" s="32"/>
      <c r="E704" s="32"/>
      <c r="F704" s="32"/>
      <c r="G704" s="33"/>
      <c r="H704" s="33"/>
      <c r="I704" s="34" t="str">
        <f aca="false">IF($A704="","",$G704-$H704)</f>
        <v/>
      </c>
      <c r="J704" s="35" t="str">
        <f aca="false">IF($A704="","",IF(Setup!$B$6=1,YEAR($A704),YEAR($A704)+IF(MONTH($A704)&gt;=Setup!$B$6,1,0)))</f>
        <v/>
      </c>
      <c r="K704" s="35" t="str">
        <f aca="false">IF($A704="","",MOD(MONTH($A704)-Setup!$B$6+12,12)+1)</f>
        <v/>
      </c>
      <c r="L704" s="36" t="str">
        <f aca="false">IF($A704="","",TEXT($A704,"MMM-YY"))</f>
        <v/>
      </c>
      <c r="M704" s="37" t="str">
        <f aca="false">IF($A704="","",IF($Q704=0,"UNMAPPED",INDEX(COA_Mapping!$C$7:$C$256,$Q704)))</f>
        <v/>
      </c>
      <c r="N704" s="38" t="str">
        <f aca="false">IF($A704="","",IF($Q704=0,"",INDEX(COA_Mapping!$E$7:$E$256,$Q704)))</f>
        <v/>
      </c>
      <c r="O704" s="38" t="n">
        <f aca="false">IF($A704="",1,IF($Q704=0,1,INDEX(COA_Mapping!$F$7:$F$256,$Q704)))</f>
        <v>1</v>
      </c>
      <c r="P704" s="34" t="str">
        <f aca="false">IF($A704="","",$I704*$O704)</f>
        <v/>
      </c>
      <c r="Q704" s="39" t="n">
        <f aca="false">IF($B704="",0,IFERROR(MATCH($B704,COA_Mapping!$A$7:$A$256,0),0))</f>
        <v>0</v>
      </c>
      <c r="R704" s="39" t="n">
        <f aca="false">IF($A704="",-1,IF($J704=Setup!$B$7,1,IF($J704=Setup!$B$9,0,-1)))</f>
        <v>-1</v>
      </c>
      <c r="S704" s="35" t="n">
        <f aca="false">IF(OR($A704="",$Q704=0,$R704=-1),0,$Q704*1000+$R704*100+$K704)</f>
        <v>0</v>
      </c>
      <c r="T704" s="37" t="str">
        <f aca="false">IF($A704="","",IF($B704="","NO ACCOUNT",IF($Q704=0,"UNMAPPED",IF($R704=-1,"OUTSIDE FY RANGE","OK"))))</f>
        <v/>
      </c>
      <c r="U704" s="40" t="str">
        <f aca="false">IF($A704="","",$B704&amp;"|"&amp;TEXT($A704,"yyyymmdd")&amp;"|"&amp;TEXT($I704,"0.00"))</f>
        <v/>
      </c>
      <c r="V704" s="35" t="str">
        <f aca="false">IF($A704="","",COUNTIF($U$8:$U$5007,$U704))</f>
        <v/>
      </c>
    </row>
    <row r="705" customFormat="false" ht="15" hidden="false" customHeight="false" outlineLevel="0" collapsed="false">
      <c r="A705" s="31"/>
      <c r="B705" s="32"/>
      <c r="C705" s="32"/>
      <c r="D705" s="32"/>
      <c r="E705" s="32"/>
      <c r="F705" s="32"/>
      <c r="G705" s="33"/>
      <c r="H705" s="33"/>
      <c r="I705" s="34" t="str">
        <f aca="false">IF($A705="","",$G705-$H705)</f>
        <v/>
      </c>
      <c r="J705" s="35" t="str">
        <f aca="false">IF($A705="","",IF(Setup!$B$6=1,YEAR($A705),YEAR($A705)+IF(MONTH($A705)&gt;=Setup!$B$6,1,0)))</f>
        <v/>
      </c>
      <c r="K705" s="35" t="str">
        <f aca="false">IF($A705="","",MOD(MONTH($A705)-Setup!$B$6+12,12)+1)</f>
        <v/>
      </c>
      <c r="L705" s="36" t="str">
        <f aca="false">IF($A705="","",TEXT($A705,"MMM-YY"))</f>
        <v/>
      </c>
      <c r="M705" s="37" t="str">
        <f aca="false">IF($A705="","",IF($Q705=0,"UNMAPPED",INDEX(COA_Mapping!$C$7:$C$256,$Q705)))</f>
        <v/>
      </c>
      <c r="N705" s="38" t="str">
        <f aca="false">IF($A705="","",IF($Q705=0,"",INDEX(COA_Mapping!$E$7:$E$256,$Q705)))</f>
        <v/>
      </c>
      <c r="O705" s="38" t="n">
        <f aca="false">IF($A705="",1,IF($Q705=0,1,INDEX(COA_Mapping!$F$7:$F$256,$Q705)))</f>
        <v>1</v>
      </c>
      <c r="P705" s="34" t="str">
        <f aca="false">IF($A705="","",$I705*$O705)</f>
        <v/>
      </c>
      <c r="Q705" s="39" t="n">
        <f aca="false">IF($B705="",0,IFERROR(MATCH($B705,COA_Mapping!$A$7:$A$256,0),0))</f>
        <v>0</v>
      </c>
      <c r="R705" s="39" t="n">
        <f aca="false">IF($A705="",-1,IF($J705=Setup!$B$7,1,IF($J705=Setup!$B$9,0,-1)))</f>
        <v>-1</v>
      </c>
      <c r="S705" s="35" t="n">
        <f aca="false">IF(OR($A705="",$Q705=0,$R705=-1),0,$Q705*1000+$R705*100+$K705)</f>
        <v>0</v>
      </c>
      <c r="T705" s="37" t="str">
        <f aca="false">IF($A705="","",IF($B705="","NO ACCOUNT",IF($Q705=0,"UNMAPPED",IF($R705=-1,"OUTSIDE FY RANGE","OK"))))</f>
        <v/>
      </c>
      <c r="U705" s="40" t="str">
        <f aca="false">IF($A705="","",$B705&amp;"|"&amp;TEXT($A705,"yyyymmdd")&amp;"|"&amp;TEXT($I705,"0.00"))</f>
        <v/>
      </c>
      <c r="V705" s="35" t="str">
        <f aca="false">IF($A705="","",COUNTIF($U$8:$U$5007,$U705))</f>
        <v/>
      </c>
    </row>
    <row r="706" customFormat="false" ht="15" hidden="false" customHeight="false" outlineLevel="0" collapsed="false">
      <c r="A706" s="31"/>
      <c r="B706" s="32"/>
      <c r="C706" s="32"/>
      <c r="D706" s="32"/>
      <c r="E706" s="32"/>
      <c r="F706" s="32"/>
      <c r="G706" s="33"/>
      <c r="H706" s="33"/>
      <c r="I706" s="34" t="str">
        <f aca="false">IF($A706="","",$G706-$H706)</f>
        <v/>
      </c>
      <c r="J706" s="35" t="str">
        <f aca="false">IF($A706="","",IF(Setup!$B$6=1,YEAR($A706),YEAR($A706)+IF(MONTH($A706)&gt;=Setup!$B$6,1,0)))</f>
        <v/>
      </c>
      <c r="K706" s="35" t="str">
        <f aca="false">IF($A706="","",MOD(MONTH($A706)-Setup!$B$6+12,12)+1)</f>
        <v/>
      </c>
      <c r="L706" s="36" t="str">
        <f aca="false">IF($A706="","",TEXT($A706,"MMM-YY"))</f>
        <v/>
      </c>
      <c r="M706" s="37" t="str">
        <f aca="false">IF($A706="","",IF($Q706=0,"UNMAPPED",INDEX(COA_Mapping!$C$7:$C$256,$Q706)))</f>
        <v/>
      </c>
      <c r="N706" s="38" t="str">
        <f aca="false">IF($A706="","",IF($Q706=0,"",INDEX(COA_Mapping!$E$7:$E$256,$Q706)))</f>
        <v/>
      </c>
      <c r="O706" s="38" t="n">
        <f aca="false">IF($A706="",1,IF($Q706=0,1,INDEX(COA_Mapping!$F$7:$F$256,$Q706)))</f>
        <v>1</v>
      </c>
      <c r="P706" s="34" t="str">
        <f aca="false">IF($A706="","",$I706*$O706)</f>
        <v/>
      </c>
      <c r="Q706" s="39" t="n">
        <f aca="false">IF($B706="",0,IFERROR(MATCH($B706,COA_Mapping!$A$7:$A$256,0),0))</f>
        <v>0</v>
      </c>
      <c r="R706" s="39" t="n">
        <f aca="false">IF($A706="",-1,IF($J706=Setup!$B$7,1,IF($J706=Setup!$B$9,0,-1)))</f>
        <v>-1</v>
      </c>
      <c r="S706" s="35" t="n">
        <f aca="false">IF(OR($A706="",$Q706=0,$R706=-1),0,$Q706*1000+$R706*100+$K706)</f>
        <v>0</v>
      </c>
      <c r="T706" s="37" t="str">
        <f aca="false">IF($A706="","",IF($B706="","NO ACCOUNT",IF($Q706=0,"UNMAPPED",IF($R706=-1,"OUTSIDE FY RANGE","OK"))))</f>
        <v/>
      </c>
      <c r="U706" s="40" t="str">
        <f aca="false">IF($A706="","",$B706&amp;"|"&amp;TEXT($A706,"yyyymmdd")&amp;"|"&amp;TEXT($I706,"0.00"))</f>
        <v/>
      </c>
      <c r="V706" s="35" t="str">
        <f aca="false">IF($A706="","",COUNTIF($U$8:$U$5007,$U706))</f>
        <v/>
      </c>
    </row>
    <row r="707" customFormat="false" ht="15" hidden="false" customHeight="false" outlineLevel="0" collapsed="false">
      <c r="A707" s="31"/>
      <c r="B707" s="32"/>
      <c r="C707" s="32"/>
      <c r="D707" s="32"/>
      <c r="E707" s="32"/>
      <c r="F707" s="32"/>
      <c r="G707" s="33"/>
      <c r="H707" s="33"/>
      <c r="I707" s="34" t="str">
        <f aca="false">IF($A707="","",$G707-$H707)</f>
        <v/>
      </c>
      <c r="J707" s="35" t="str">
        <f aca="false">IF($A707="","",IF(Setup!$B$6=1,YEAR($A707),YEAR($A707)+IF(MONTH($A707)&gt;=Setup!$B$6,1,0)))</f>
        <v/>
      </c>
      <c r="K707" s="35" t="str">
        <f aca="false">IF($A707="","",MOD(MONTH($A707)-Setup!$B$6+12,12)+1)</f>
        <v/>
      </c>
      <c r="L707" s="36" t="str">
        <f aca="false">IF($A707="","",TEXT($A707,"MMM-YY"))</f>
        <v/>
      </c>
      <c r="M707" s="37" t="str">
        <f aca="false">IF($A707="","",IF($Q707=0,"UNMAPPED",INDEX(COA_Mapping!$C$7:$C$256,$Q707)))</f>
        <v/>
      </c>
      <c r="N707" s="38" t="str">
        <f aca="false">IF($A707="","",IF($Q707=0,"",INDEX(COA_Mapping!$E$7:$E$256,$Q707)))</f>
        <v/>
      </c>
      <c r="O707" s="38" t="n">
        <f aca="false">IF($A707="",1,IF($Q707=0,1,INDEX(COA_Mapping!$F$7:$F$256,$Q707)))</f>
        <v>1</v>
      </c>
      <c r="P707" s="34" t="str">
        <f aca="false">IF($A707="","",$I707*$O707)</f>
        <v/>
      </c>
      <c r="Q707" s="39" t="n">
        <f aca="false">IF($B707="",0,IFERROR(MATCH($B707,COA_Mapping!$A$7:$A$256,0),0))</f>
        <v>0</v>
      </c>
      <c r="R707" s="39" t="n">
        <f aca="false">IF($A707="",-1,IF($J707=Setup!$B$7,1,IF($J707=Setup!$B$9,0,-1)))</f>
        <v>-1</v>
      </c>
      <c r="S707" s="35" t="n">
        <f aca="false">IF(OR($A707="",$Q707=0,$R707=-1),0,$Q707*1000+$R707*100+$K707)</f>
        <v>0</v>
      </c>
      <c r="T707" s="37" t="str">
        <f aca="false">IF($A707="","",IF($B707="","NO ACCOUNT",IF($Q707=0,"UNMAPPED",IF($R707=-1,"OUTSIDE FY RANGE","OK"))))</f>
        <v/>
      </c>
      <c r="U707" s="40" t="str">
        <f aca="false">IF($A707="","",$B707&amp;"|"&amp;TEXT($A707,"yyyymmdd")&amp;"|"&amp;TEXT($I707,"0.00"))</f>
        <v/>
      </c>
      <c r="V707" s="35" t="str">
        <f aca="false">IF($A707="","",COUNTIF($U$8:$U$5007,$U707))</f>
        <v/>
      </c>
    </row>
    <row r="708" customFormat="false" ht="15" hidden="false" customHeight="false" outlineLevel="0" collapsed="false">
      <c r="A708" s="31"/>
      <c r="B708" s="32"/>
      <c r="C708" s="32"/>
      <c r="D708" s="32"/>
      <c r="E708" s="32"/>
      <c r="F708" s="32"/>
      <c r="G708" s="33"/>
      <c r="H708" s="33"/>
      <c r="I708" s="34" t="str">
        <f aca="false">IF($A708="","",$G708-$H708)</f>
        <v/>
      </c>
      <c r="J708" s="35" t="str">
        <f aca="false">IF($A708="","",IF(Setup!$B$6=1,YEAR($A708),YEAR($A708)+IF(MONTH($A708)&gt;=Setup!$B$6,1,0)))</f>
        <v/>
      </c>
      <c r="K708" s="35" t="str">
        <f aca="false">IF($A708="","",MOD(MONTH($A708)-Setup!$B$6+12,12)+1)</f>
        <v/>
      </c>
      <c r="L708" s="36" t="str">
        <f aca="false">IF($A708="","",TEXT($A708,"MMM-YY"))</f>
        <v/>
      </c>
      <c r="M708" s="37" t="str">
        <f aca="false">IF($A708="","",IF($Q708=0,"UNMAPPED",INDEX(COA_Mapping!$C$7:$C$256,$Q708)))</f>
        <v/>
      </c>
      <c r="N708" s="38" t="str">
        <f aca="false">IF($A708="","",IF($Q708=0,"",INDEX(COA_Mapping!$E$7:$E$256,$Q708)))</f>
        <v/>
      </c>
      <c r="O708" s="38" t="n">
        <f aca="false">IF($A708="",1,IF($Q708=0,1,INDEX(COA_Mapping!$F$7:$F$256,$Q708)))</f>
        <v>1</v>
      </c>
      <c r="P708" s="34" t="str">
        <f aca="false">IF($A708="","",$I708*$O708)</f>
        <v/>
      </c>
      <c r="Q708" s="39" t="n">
        <f aca="false">IF($B708="",0,IFERROR(MATCH($B708,COA_Mapping!$A$7:$A$256,0),0))</f>
        <v>0</v>
      </c>
      <c r="R708" s="39" t="n">
        <f aca="false">IF($A708="",-1,IF($J708=Setup!$B$7,1,IF($J708=Setup!$B$9,0,-1)))</f>
        <v>-1</v>
      </c>
      <c r="S708" s="35" t="n">
        <f aca="false">IF(OR($A708="",$Q708=0,$R708=-1),0,$Q708*1000+$R708*100+$K708)</f>
        <v>0</v>
      </c>
      <c r="T708" s="37" t="str">
        <f aca="false">IF($A708="","",IF($B708="","NO ACCOUNT",IF($Q708=0,"UNMAPPED",IF($R708=-1,"OUTSIDE FY RANGE","OK"))))</f>
        <v/>
      </c>
      <c r="U708" s="40" t="str">
        <f aca="false">IF($A708="","",$B708&amp;"|"&amp;TEXT($A708,"yyyymmdd")&amp;"|"&amp;TEXT($I708,"0.00"))</f>
        <v/>
      </c>
      <c r="V708" s="35" t="str">
        <f aca="false">IF($A708="","",COUNTIF($U$8:$U$5007,$U708))</f>
        <v/>
      </c>
    </row>
    <row r="709" customFormat="false" ht="15" hidden="false" customHeight="false" outlineLevel="0" collapsed="false">
      <c r="A709" s="31"/>
      <c r="B709" s="32"/>
      <c r="C709" s="32"/>
      <c r="D709" s="32"/>
      <c r="E709" s="32"/>
      <c r="F709" s="32"/>
      <c r="G709" s="33"/>
      <c r="H709" s="33"/>
      <c r="I709" s="34" t="str">
        <f aca="false">IF($A709="","",$G709-$H709)</f>
        <v/>
      </c>
      <c r="J709" s="35" t="str">
        <f aca="false">IF($A709="","",IF(Setup!$B$6=1,YEAR($A709),YEAR($A709)+IF(MONTH($A709)&gt;=Setup!$B$6,1,0)))</f>
        <v/>
      </c>
      <c r="K709" s="35" t="str">
        <f aca="false">IF($A709="","",MOD(MONTH($A709)-Setup!$B$6+12,12)+1)</f>
        <v/>
      </c>
      <c r="L709" s="36" t="str">
        <f aca="false">IF($A709="","",TEXT($A709,"MMM-YY"))</f>
        <v/>
      </c>
      <c r="M709" s="37" t="str">
        <f aca="false">IF($A709="","",IF($Q709=0,"UNMAPPED",INDEX(COA_Mapping!$C$7:$C$256,$Q709)))</f>
        <v/>
      </c>
      <c r="N709" s="38" t="str">
        <f aca="false">IF($A709="","",IF($Q709=0,"",INDEX(COA_Mapping!$E$7:$E$256,$Q709)))</f>
        <v/>
      </c>
      <c r="O709" s="38" t="n">
        <f aca="false">IF($A709="",1,IF($Q709=0,1,INDEX(COA_Mapping!$F$7:$F$256,$Q709)))</f>
        <v>1</v>
      </c>
      <c r="P709" s="34" t="str">
        <f aca="false">IF($A709="","",$I709*$O709)</f>
        <v/>
      </c>
      <c r="Q709" s="39" t="n">
        <f aca="false">IF($B709="",0,IFERROR(MATCH($B709,COA_Mapping!$A$7:$A$256,0),0))</f>
        <v>0</v>
      </c>
      <c r="R709" s="39" t="n">
        <f aca="false">IF($A709="",-1,IF($J709=Setup!$B$7,1,IF($J709=Setup!$B$9,0,-1)))</f>
        <v>-1</v>
      </c>
      <c r="S709" s="35" t="n">
        <f aca="false">IF(OR($A709="",$Q709=0,$R709=-1),0,$Q709*1000+$R709*100+$K709)</f>
        <v>0</v>
      </c>
      <c r="T709" s="37" t="str">
        <f aca="false">IF($A709="","",IF($B709="","NO ACCOUNT",IF($Q709=0,"UNMAPPED",IF($R709=-1,"OUTSIDE FY RANGE","OK"))))</f>
        <v/>
      </c>
      <c r="U709" s="40" t="str">
        <f aca="false">IF($A709="","",$B709&amp;"|"&amp;TEXT($A709,"yyyymmdd")&amp;"|"&amp;TEXT($I709,"0.00"))</f>
        <v/>
      </c>
      <c r="V709" s="35" t="str">
        <f aca="false">IF($A709="","",COUNTIF($U$8:$U$5007,$U709))</f>
        <v/>
      </c>
    </row>
    <row r="710" customFormat="false" ht="15" hidden="false" customHeight="false" outlineLevel="0" collapsed="false">
      <c r="A710" s="31"/>
      <c r="B710" s="32"/>
      <c r="C710" s="32"/>
      <c r="D710" s="32"/>
      <c r="E710" s="32"/>
      <c r="F710" s="32"/>
      <c r="G710" s="33"/>
      <c r="H710" s="33"/>
      <c r="I710" s="34" t="str">
        <f aca="false">IF($A710="","",$G710-$H710)</f>
        <v/>
      </c>
      <c r="J710" s="35" t="str">
        <f aca="false">IF($A710="","",IF(Setup!$B$6=1,YEAR($A710),YEAR($A710)+IF(MONTH($A710)&gt;=Setup!$B$6,1,0)))</f>
        <v/>
      </c>
      <c r="K710" s="35" t="str">
        <f aca="false">IF($A710="","",MOD(MONTH($A710)-Setup!$B$6+12,12)+1)</f>
        <v/>
      </c>
      <c r="L710" s="36" t="str">
        <f aca="false">IF($A710="","",TEXT($A710,"MMM-YY"))</f>
        <v/>
      </c>
      <c r="M710" s="37" t="str">
        <f aca="false">IF($A710="","",IF($Q710=0,"UNMAPPED",INDEX(COA_Mapping!$C$7:$C$256,$Q710)))</f>
        <v/>
      </c>
      <c r="N710" s="38" t="str">
        <f aca="false">IF($A710="","",IF($Q710=0,"",INDEX(COA_Mapping!$E$7:$E$256,$Q710)))</f>
        <v/>
      </c>
      <c r="O710" s="38" t="n">
        <f aca="false">IF($A710="",1,IF($Q710=0,1,INDEX(COA_Mapping!$F$7:$F$256,$Q710)))</f>
        <v>1</v>
      </c>
      <c r="P710" s="34" t="str">
        <f aca="false">IF($A710="","",$I710*$O710)</f>
        <v/>
      </c>
      <c r="Q710" s="39" t="n">
        <f aca="false">IF($B710="",0,IFERROR(MATCH($B710,COA_Mapping!$A$7:$A$256,0),0))</f>
        <v>0</v>
      </c>
      <c r="R710" s="39" t="n">
        <f aca="false">IF($A710="",-1,IF($J710=Setup!$B$7,1,IF($J710=Setup!$B$9,0,-1)))</f>
        <v>-1</v>
      </c>
      <c r="S710" s="35" t="n">
        <f aca="false">IF(OR($A710="",$Q710=0,$R710=-1),0,$Q710*1000+$R710*100+$K710)</f>
        <v>0</v>
      </c>
      <c r="T710" s="37" t="str">
        <f aca="false">IF($A710="","",IF($B710="","NO ACCOUNT",IF($Q710=0,"UNMAPPED",IF($R710=-1,"OUTSIDE FY RANGE","OK"))))</f>
        <v/>
      </c>
      <c r="U710" s="40" t="str">
        <f aca="false">IF($A710="","",$B710&amp;"|"&amp;TEXT($A710,"yyyymmdd")&amp;"|"&amp;TEXT($I710,"0.00"))</f>
        <v/>
      </c>
      <c r="V710" s="35" t="str">
        <f aca="false">IF($A710="","",COUNTIF($U$8:$U$5007,$U710))</f>
        <v/>
      </c>
    </row>
    <row r="711" customFormat="false" ht="15" hidden="false" customHeight="false" outlineLevel="0" collapsed="false">
      <c r="A711" s="31"/>
      <c r="B711" s="32"/>
      <c r="C711" s="32"/>
      <c r="D711" s="32"/>
      <c r="E711" s="32"/>
      <c r="F711" s="32"/>
      <c r="G711" s="33"/>
      <c r="H711" s="33"/>
      <c r="I711" s="34" t="str">
        <f aca="false">IF($A711="","",$G711-$H711)</f>
        <v/>
      </c>
      <c r="J711" s="35" t="str">
        <f aca="false">IF($A711="","",IF(Setup!$B$6=1,YEAR($A711),YEAR($A711)+IF(MONTH($A711)&gt;=Setup!$B$6,1,0)))</f>
        <v/>
      </c>
      <c r="K711" s="35" t="str">
        <f aca="false">IF($A711="","",MOD(MONTH($A711)-Setup!$B$6+12,12)+1)</f>
        <v/>
      </c>
      <c r="L711" s="36" t="str">
        <f aca="false">IF($A711="","",TEXT($A711,"MMM-YY"))</f>
        <v/>
      </c>
      <c r="M711" s="37" t="str">
        <f aca="false">IF($A711="","",IF($Q711=0,"UNMAPPED",INDEX(COA_Mapping!$C$7:$C$256,$Q711)))</f>
        <v/>
      </c>
      <c r="N711" s="38" t="str">
        <f aca="false">IF($A711="","",IF($Q711=0,"",INDEX(COA_Mapping!$E$7:$E$256,$Q711)))</f>
        <v/>
      </c>
      <c r="O711" s="38" t="n">
        <f aca="false">IF($A711="",1,IF($Q711=0,1,INDEX(COA_Mapping!$F$7:$F$256,$Q711)))</f>
        <v>1</v>
      </c>
      <c r="P711" s="34" t="str">
        <f aca="false">IF($A711="","",$I711*$O711)</f>
        <v/>
      </c>
      <c r="Q711" s="39" t="n">
        <f aca="false">IF($B711="",0,IFERROR(MATCH($B711,COA_Mapping!$A$7:$A$256,0),0))</f>
        <v>0</v>
      </c>
      <c r="R711" s="39" t="n">
        <f aca="false">IF($A711="",-1,IF($J711=Setup!$B$7,1,IF($J711=Setup!$B$9,0,-1)))</f>
        <v>-1</v>
      </c>
      <c r="S711" s="35" t="n">
        <f aca="false">IF(OR($A711="",$Q711=0,$R711=-1),0,$Q711*1000+$R711*100+$K711)</f>
        <v>0</v>
      </c>
      <c r="T711" s="37" t="str">
        <f aca="false">IF($A711="","",IF($B711="","NO ACCOUNT",IF($Q711=0,"UNMAPPED",IF($R711=-1,"OUTSIDE FY RANGE","OK"))))</f>
        <v/>
      </c>
      <c r="U711" s="40" t="str">
        <f aca="false">IF($A711="","",$B711&amp;"|"&amp;TEXT($A711,"yyyymmdd")&amp;"|"&amp;TEXT($I711,"0.00"))</f>
        <v/>
      </c>
      <c r="V711" s="35" t="str">
        <f aca="false">IF($A711="","",COUNTIF($U$8:$U$5007,$U711))</f>
        <v/>
      </c>
    </row>
    <row r="712" customFormat="false" ht="15" hidden="false" customHeight="false" outlineLevel="0" collapsed="false">
      <c r="A712" s="31"/>
      <c r="B712" s="32"/>
      <c r="C712" s="32"/>
      <c r="D712" s="32"/>
      <c r="E712" s="32"/>
      <c r="F712" s="32"/>
      <c r="G712" s="33"/>
      <c r="H712" s="33"/>
      <c r="I712" s="34" t="str">
        <f aca="false">IF($A712="","",$G712-$H712)</f>
        <v/>
      </c>
      <c r="J712" s="35" t="str">
        <f aca="false">IF($A712="","",IF(Setup!$B$6=1,YEAR($A712),YEAR($A712)+IF(MONTH($A712)&gt;=Setup!$B$6,1,0)))</f>
        <v/>
      </c>
      <c r="K712" s="35" t="str">
        <f aca="false">IF($A712="","",MOD(MONTH($A712)-Setup!$B$6+12,12)+1)</f>
        <v/>
      </c>
      <c r="L712" s="36" t="str">
        <f aca="false">IF($A712="","",TEXT($A712,"MMM-YY"))</f>
        <v/>
      </c>
      <c r="M712" s="37" t="str">
        <f aca="false">IF($A712="","",IF($Q712=0,"UNMAPPED",INDEX(COA_Mapping!$C$7:$C$256,$Q712)))</f>
        <v/>
      </c>
      <c r="N712" s="38" t="str">
        <f aca="false">IF($A712="","",IF($Q712=0,"",INDEX(COA_Mapping!$E$7:$E$256,$Q712)))</f>
        <v/>
      </c>
      <c r="O712" s="38" t="n">
        <f aca="false">IF($A712="",1,IF($Q712=0,1,INDEX(COA_Mapping!$F$7:$F$256,$Q712)))</f>
        <v>1</v>
      </c>
      <c r="P712" s="34" t="str">
        <f aca="false">IF($A712="","",$I712*$O712)</f>
        <v/>
      </c>
      <c r="Q712" s="39" t="n">
        <f aca="false">IF($B712="",0,IFERROR(MATCH($B712,COA_Mapping!$A$7:$A$256,0),0))</f>
        <v>0</v>
      </c>
      <c r="R712" s="39" t="n">
        <f aca="false">IF($A712="",-1,IF($J712=Setup!$B$7,1,IF($J712=Setup!$B$9,0,-1)))</f>
        <v>-1</v>
      </c>
      <c r="S712" s="35" t="n">
        <f aca="false">IF(OR($A712="",$Q712=0,$R712=-1),0,$Q712*1000+$R712*100+$K712)</f>
        <v>0</v>
      </c>
      <c r="T712" s="37" t="str">
        <f aca="false">IF($A712="","",IF($B712="","NO ACCOUNT",IF($Q712=0,"UNMAPPED",IF($R712=-1,"OUTSIDE FY RANGE","OK"))))</f>
        <v/>
      </c>
      <c r="U712" s="40" t="str">
        <f aca="false">IF($A712="","",$B712&amp;"|"&amp;TEXT($A712,"yyyymmdd")&amp;"|"&amp;TEXT($I712,"0.00"))</f>
        <v/>
      </c>
      <c r="V712" s="35" t="str">
        <f aca="false">IF($A712="","",COUNTIF($U$8:$U$5007,$U712))</f>
        <v/>
      </c>
    </row>
    <row r="713" customFormat="false" ht="15" hidden="false" customHeight="false" outlineLevel="0" collapsed="false">
      <c r="A713" s="31"/>
      <c r="B713" s="32"/>
      <c r="C713" s="32"/>
      <c r="D713" s="32"/>
      <c r="E713" s="32"/>
      <c r="F713" s="32"/>
      <c r="G713" s="33"/>
      <c r="H713" s="33"/>
      <c r="I713" s="34" t="str">
        <f aca="false">IF($A713="","",$G713-$H713)</f>
        <v/>
      </c>
      <c r="J713" s="35" t="str">
        <f aca="false">IF($A713="","",IF(Setup!$B$6=1,YEAR($A713),YEAR($A713)+IF(MONTH($A713)&gt;=Setup!$B$6,1,0)))</f>
        <v/>
      </c>
      <c r="K713" s="35" t="str">
        <f aca="false">IF($A713="","",MOD(MONTH($A713)-Setup!$B$6+12,12)+1)</f>
        <v/>
      </c>
      <c r="L713" s="36" t="str">
        <f aca="false">IF($A713="","",TEXT($A713,"MMM-YY"))</f>
        <v/>
      </c>
      <c r="M713" s="37" t="str">
        <f aca="false">IF($A713="","",IF($Q713=0,"UNMAPPED",INDEX(COA_Mapping!$C$7:$C$256,$Q713)))</f>
        <v/>
      </c>
      <c r="N713" s="38" t="str">
        <f aca="false">IF($A713="","",IF($Q713=0,"",INDEX(COA_Mapping!$E$7:$E$256,$Q713)))</f>
        <v/>
      </c>
      <c r="O713" s="38" t="n">
        <f aca="false">IF($A713="",1,IF($Q713=0,1,INDEX(COA_Mapping!$F$7:$F$256,$Q713)))</f>
        <v>1</v>
      </c>
      <c r="P713" s="34" t="str">
        <f aca="false">IF($A713="","",$I713*$O713)</f>
        <v/>
      </c>
      <c r="Q713" s="39" t="n">
        <f aca="false">IF($B713="",0,IFERROR(MATCH($B713,COA_Mapping!$A$7:$A$256,0),0))</f>
        <v>0</v>
      </c>
      <c r="R713" s="39" t="n">
        <f aca="false">IF($A713="",-1,IF($J713=Setup!$B$7,1,IF($J713=Setup!$B$9,0,-1)))</f>
        <v>-1</v>
      </c>
      <c r="S713" s="35" t="n">
        <f aca="false">IF(OR($A713="",$Q713=0,$R713=-1),0,$Q713*1000+$R713*100+$K713)</f>
        <v>0</v>
      </c>
      <c r="T713" s="37" t="str">
        <f aca="false">IF($A713="","",IF($B713="","NO ACCOUNT",IF($Q713=0,"UNMAPPED",IF($R713=-1,"OUTSIDE FY RANGE","OK"))))</f>
        <v/>
      </c>
      <c r="U713" s="40" t="str">
        <f aca="false">IF($A713="","",$B713&amp;"|"&amp;TEXT($A713,"yyyymmdd")&amp;"|"&amp;TEXT($I713,"0.00"))</f>
        <v/>
      </c>
      <c r="V713" s="35" t="str">
        <f aca="false">IF($A713="","",COUNTIF($U$8:$U$5007,$U713))</f>
        <v/>
      </c>
    </row>
    <row r="714" customFormat="false" ht="15" hidden="false" customHeight="false" outlineLevel="0" collapsed="false">
      <c r="A714" s="31"/>
      <c r="B714" s="32"/>
      <c r="C714" s="32"/>
      <c r="D714" s="32"/>
      <c r="E714" s="32"/>
      <c r="F714" s="32"/>
      <c r="G714" s="33"/>
      <c r="H714" s="33"/>
      <c r="I714" s="34" t="str">
        <f aca="false">IF($A714="","",$G714-$H714)</f>
        <v/>
      </c>
      <c r="J714" s="35" t="str">
        <f aca="false">IF($A714="","",IF(Setup!$B$6=1,YEAR($A714),YEAR($A714)+IF(MONTH($A714)&gt;=Setup!$B$6,1,0)))</f>
        <v/>
      </c>
      <c r="K714" s="35" t="str">
        <f aca="false">IF($A714="","",MOD(MONTH($A714)-Setup!$B$6+12,12)+1)</f>
        <v/>
      </c>
      <c r="L714" s="36" t="str">
        <f aca="false">IF($A714="","",TEXT($A714,"MMM-YY"))</f>
        <v/>
      </c>
      <c r="M714" s="37" t="str">
        <f aca="false">IF($A714="","",IF($Q714=0,"UNMAPPED",INDEX(COA_Mapping!$C$7:$C$256,$Q714)))</f>
        <v/>
      </c>
      <c r="N714" s="38" t="str">
        <f aca="false">IF($A714="","",IF($Q714=0,"",INDEX(COA_Mapping!$E$7:$E$256,$Q714)))</f>
        <v/>
      </c>
      <c r="O714" s="38" t="n">
        <f aca="false">IF($A714="",1,IF($Q714=0,1,INDEX(COA_Mapping!$F$7:$F$256,$Q714)))</f>
        <v>1</v>
      </c>
      <c r="P714" s="34" t="str">
        <f aca="false">IF($A714="","",$I714*$O714)</f>
        <v/>
      </c>
      <c r="Q714" s="39" t="n">
        <f aca="false">IF($B714="",0,IFERROR(MATCH($B714,COA_Mapping!$A$7:$A$256,0),0))</f>
        <v>0</v>
      </c>
      <c r="R714" s="39" t="n">
        <f aca="false">IF($A714="",-1,IF($J714=Setup!$B$7,1,IF($J714=Setup!$B$9,0,-1)))</f>
        <v>-1</v>
      </c>
      <c r="S714" s="35" t="n">
        <f aca="false">IF(OR($A714="",$Q714=0,$R714=-1),0,$Q714*1000+$R714*100+$K714)</f>
        <v>0</v>
      </c>
      <c r="T714" s="37" t="str">
        <f aca="false">IF($A714="","",IF($B714="","NO ACCOUNT",IF($Q714=0,"UNMAPPED",IF($R714=-1,"OUTSIDE FY RANGE","OK"))))</f>
        <v/>
      </c>
      <c r="U714" s="40" t="str">
        <f aca="false">IF($A714="","",$B714&amp;"|"&amp;TEXT($A714,"yyyymmdd")&amp;"|"&amp;TEXT($I714,"0.00"))</f>
        <v/>
      </c>
      <c r="V714" s="35" t="str">
        <f aca="false">IF($A714="","",COUNTIF($U$8:$U$5007,$U714))</f>
        <v/>
      </c>
    </row>
    <row r="715" customFormat="false" ht="15" hidden="false" customHeight="false" outlineLevel="0" collapsed="false">
      <c r="A715" s="31"/>
      <c r="B715" s="32"/>
      <c r="C715" s="32"/>
      <c r="D715" s="32"/>
      <c r="E715" s="32"/>
      <c r="F715" s="32"/>
      <c r="G715" s="33"/>
      <c r="H715" s="33"/>
      <c r="I715" s="34" t="str">
        <f aca="false">IF($A715="","",$G715-$H715)</f>
        <v/>
      </c>
      <c r="J715" s="35" t="str">
        <f aca="false">IF($A715="","",IF(Setup!$B$6=1,YEAR($A715),YEAR($A715)+IF(MONTH($A715)&gt;=Setup!$B$6,1,0)))</f>
        <v/>
      </c>
      <c r="K715" s="35" t="str">
        <f aca="false">IF($A715="","",MOD(MONTH($A715)-Setup!$B$6+12,12)+1)</f>
        <v/>
      </c>
      <c r="L715" s="36" t="str">
        <f aca="false">IF($A715="","",TEXT($A715,"MMM-YY"))</f>
        <v/>
      </c>
      <c r="M715" s="37" t="str">
        <f aca="false">IF($A715="","",IF($Q715=0,"UNMAPPED",INDEX(COA_Mapping!$C$7:$C$256,$Q715)))</f>
        <v/>
      </c>
      <c r="N715" s="38" t="str">
        <f aca="false">IF($A715="","",IF($Q715=0,"",INDEX(COA_Mapping!$E$7:$E$256,$Q715)))</f>
        <v/>
      </c>
      <c r="O715" s="38" t="n">
        <f aca="false">IF($A715="",1,IF($Q715=0,1,INDEX(COA_Mapping!$F$7:$F$256,$Q715)))</f>
        <v>1</v>
      </c>
      <c r="P715" s="34" t="str">
        <f aca="false">IF($A715="","",$I715*$O715)</f>
        <v/>
      </c>
      <c r="Q715" s="39" t="n">
        <f aca="false">IF($B715="",0,IFERROR(MATCH($B715,COA_Mapping!$A$7:$A$256,0),0))</f>
        <v>0</v>
      </c>
      <c r="R715" s="39" t="n">
        <f aca="false">IF($A715="",-1,IF($J715=Setup!$B$7,1,IF($J715=Setup!$B$9,0,-1)))</f>
        <v>-1</v>
      </c>
      <c r="S715" s="35" t="n">
        <f aca="false">IF(OR($A715="",$Q715=0,$R715=-1),0,$Q715*1000+$R715*100+$K715)</f>
        <v>0</v>
      </c>
      <c r="T715" s="37" t="str">
        <f aca="false">IF($A715="","",IF($B715="","NO ACCOUNT",IF($Q715=0,"UNMAPPED",IF($R715=-1,"OUTSIDE FY RANGE","OK"))))</f>
        <v/>
      </c>
      <c r="U715" s="40" t="str">
        <f aca="false">IF($A715="","",$B715&amp;"|"&amp;TEXT($A715,"yyyymmdd")&amp;"|"&amp;TEXT($I715,"0.00"))</f>
        <v/>
      </c>
      <c r="V715" s="35" t="str">
        <f aca="false">IF($A715="","",COUNTIF($U$8:$U$5007,$U715))</f>
        <v/>
      </c>
    </row>
    <row r="716" customFormat="false" ht="15" hidden="false" customHeight="false" outlineLevel="0" collapsed="false">
      <c r="A716" s="31"/>
      <c r="B716" s="32"/>
      <c r="C716" s="32"/>
      <c r="D716" s="32"/>
      <c r="E716" s="32"/>
      <c r="F716" s="32"/>
      <c r="G716" s="33"/>
      <c r="H716" s="33"/>
      <c r="I716" s="34" t="str">
        <f aca="false">IF($A716="","",$G716-$H716)</f>
        <v/>
      </c>
      <c r="J716" s="35" t="str">
        <f aca="false">IF($A716="","",IF(Setup!$B$6=1,YEAR($A716),YEAR($A716)+IF(MONTH($A716)&gt;=Setup!$B$6,1,0)))</f>
        <v/>
      </c>
      <c r="K716" s="35" t="str">
        <f aca="false">IF($A716="","",MOD(MONTH($A716)-Setup!$B$6+12,12)+1)</f>
        <v/>
      </c>
      <c r="L716" s="36" t="str">
        <f aca="false">IF($A716="","",TEXT($A716,"MMM-YY"))</f>
        <v/>
      </c>
      <c r="M716" s="37" t="str">
        <f aca="false">IF($A716="","",IF($Q716=0,"UNMAPPED",INDEX(COA_Mapping!$C$7:$C$256,$Q716)))</f>
        <v/>
      </c>
      <c r="N716" s="38" t="str">
        <f aca="false">IF($A716="","",IF($Q716=0,"",INDEX(COA_Mapping!$E$7:$E$256,$Q716)))</f>
        <v/>
      </c>
      <c r="O716" s="38" t="n">
        <f aca="false">IF($A716="",1,IF($Q716=0,1,INDEX(COA_Mapping!$F$7:$F$256,$Q716)))</f>
        <v>1</v>
      </c>
      <c r="P716" s="34" t="str">
        <f aca="false">IF($A716="","",$I716*$O716)</f>
        <v/>
      </c>
      <c r="Q716" s="39" t="n">
        <f aca="false">IF($B716="",0,IFERROR(MATCH($B716,COA_Mapping!$A$7:$A$256,0),0))</f>
        <v>0</v>
      </c>
      <c r="R716" s="39" t="n">
        <f aca="false">IF($A716="",-1,IF($J716=Setup!$B$7,1,IF($J716=Setup!$B$9,0,-1)))</f>
        <v>-1</v>
      </c>
      <c r="S716" s="35" t="n">
        <f aca="false">IF(OR($A716="",$Q716=0,$R716=-1),0,$Q716*1000+$R716*100+$K716)</f>
        <v>0</v>
      </c>
      <c r="T716" s="37" t="str">
        <f aca="false">IF($A716="","",IF($B716="","NO ACCOUNT",IF($Q716=0,"UNMAPPED",IF($R716=-1,"OUTSIDE FY RANGE","OK"))))</f>
        <v/>
      </c>
      <c r="U716" s="40" t="str">
        <f aca="false">IF($A716="","",$B716&amp;"|"&amp;TEXT($A716,"yyyymmdd")&amp;"|"&amp;TEXT($I716,"0.00"))</f>
        <v/>
      </c>
      <c r="V716" s="35" t="str">
        <f aca="false">IF($A716="","",COUNTIF($U$8:$U$5007,$U716))</f>
        <v/>
      </c>
    </row>
    <row r="717" customFormat="false" ht="15" hidden="false" customHeight="false" outlineLevel="0" collapsed="false">
      <c r="A717" s="31"/>
      <c r="B717" s="32"/>
      <c r="C717" s="32"/>
      <c r="D717" s="32"/>
      <c r="E717" s="32"/>
      <c r="F717" s="32"/>
      <c r="G717" s="33"/>
      <c r="H717" s="33"/>
      <c r="I717" s="34" t="str">
        <f aca="false">IF($A717="","",$G717-$H717)</f>
        <v/>
      </c>
      <c r="J717" s="35" t="str">
        <f aca="false">IF($A717="","",IF(Setup!$B$6=1,YEAR($A717),YEAR($A717)+IF(MONTH($A717)&gt;=Setup!$B$6,1,0)))</f>
        <v/>
      </c>
      <c r="K717" s="35" t="str">
        <f aca="false">IF($A717="","",MOD(MONTH($A717)-Setup!$B$6+12,12)+1)</f>
        <v/>
      </c>
      <c r="L717" s="36" t="str">
        <f aca="false">IF($A717="","",TEXT($A717,"MMM-YY"))</f>
        <v/>
      </c>
      <c r="M717" s="37" t="str">
        <f aca="false">IF($A717="","",IF($Q717=0,"UNMAPPED",INDEX(COA_Mapping!$C$7:$C$256,$Q717)))</f>
        <v/>
      </c>
      <c r="N717" s="38" t="str">
        <f aca="false">IF($A717="","",IF($Q717=0,"",INDEX(COA_Mapping!$E$7:$E$256,$Q717)))</f>
        <v/>
      </c>
      <c r="O717" s="38" t="n">
        <f aca="false">IF($A717="",1,IF($Q717=0,1,INDEX(COA_Mapping!$F$7:$F$256,$Q717)))</f>
        <v>1</v>
      </c>
      <c r="P717" s="34" t="str">
        <f aca="false">IF($A717="","",$I717*$O717)</f>
        <v/>
      </c>
      <c r="Q717" s="39" t="n">
        <f aca="false">IF($B717="",0,IFERROR(MATCH($B717,COA_Mapping!$A$7:$A$256,0),0))</f>
        <v>0</v>
      </c>
      <c r="R717" s="39" t="n">
        <f aca="false">IF($A717="",-1,IF($J717=Setup!$B$7,1,IF($J717=Setup!$B$9,0,-1)))</f>
        <v>-1</v>
      </c>
      <c r="S717" s="35" t="n">
        <f aca="false">IF(OR($A717="",$Q717=0,$R717=-1),0,$Q717*1000+$R717*100+$K717)</f>
        <v>0</v>
      </c>
      <c r="T717" s="37" t="str">
        <f aca="false">IF($A717="","",IF($B717="","NO ACCOUNT",IF($Q717=0,"UNMAPPED",IF($R717=-1,"OUTSIDE FY RANGE","OK"))))</f>
        <v/>
      </c>
      <c r="U717" s="40" t="str">
        <f aca="false">IF($A717="","",$B717&amp;"|"&amp;TEXT($A717,"yyyymmdd")&amp;"|"&amp;TEXT($I717,"0.00"))</f>
        <v/>
      </c>
      <c r="V717" s="35" t="str">
        <f aca="false">IF($A717="","",COUNTIF($U$8:$U$5007,$U717))</f>
        <v/>
      </c>
    </row>
    <row r="718" customFormat="false" ht="15" hidden="false" customHeight="false" outlineLevel="0" collapsed="false">
      <c r="A718" s="31"/>
      <c r="B718" s="32"/>
      <c r="C718" s="32"/>
      <c r="D718" s="32"/>
      <c r="E718" s="32"/>
      <c r="F718" s="32"/>
      <c r="G718" s="33"/>
      <c r="H718" s="33"/>
      <c r="I718" s="34" t="str">
        <f aca="false">IF($A718="","",$G718-$H718)</f>
        <v/>
      </c>
      <c r="J718" s="35" t="str">
        <f aca="false">IF($A718="","",IF(Setup!$B$6=1,YEAR($A718),YEAR($A718)+IF(MONTH($A718)&gt;=Setup!$B$6,1,0)))</f>
        <v/>
      </c>
      <c r="K718" s="35" t="str">
        <f aca="false">IF($A718="","",MOD(MONTH($A718)-Setup!$B$6+12,12)+1)</f>
        <v/>
      </c>
      <c r="L718" s="36" t="str">
        <f aca="false">IF($A718="","",TEXT($A718,"MMM-YY"))</f>
        <v/>
      </c>
      <c r="M718" s="37" t="str">
        <f aca="false">IF($A718="","",IF($Q718=0,"UNMAPPED",INDEX(COA_Mapping!$C$7:$C$256,$Q718)))</f>
        <v/>
      </c>
      <c r="N718" s="38" t="str">
        <f aca="false">IF($A718="","",IF($Q718=0,"",INDEX(COA_Mapping!$E$7:$E$256,$Q718)))</f>
        <v/>
      </c>
      <c r="O718" s="38" t="n">
        <f aca="false">IF($A718="",1,IF($Q718=0,1,INDEX(COA_Mapping!$F$7:$F$256,$Q718)))</f>
        <v>1</v>
      </c>
      <c r="P718" s="34" t="str">
        <f aca="false">IF($A718="","",$I718*$O718)</f>
        <v/>
      </c>
      <c r="Q718" s="39" t="n">
        <f aca="false">IF($B718="",0,IFERROR(MATCH($B718,COA_Mapping!$A$7:$A$256,0),0))</f>
        <v>0</v>
      </c>
      <c r="R718" s="39" t="n">
        <f aca="false">IF($A718="",-1,IF($J718=Setup!$B$7,1,IF($J718=Setup!$B$9,0,-1)))</f>
        <v>-1</v>
      </c>
      <c r="S718" s="35" t="n">
        <f aca="false">IF(OR($A718="",$Q718=0,$R718=-1),0,$Q718*1000+$R718*100+$K718)</f>
        <v>0</v>
      </c>
      <c r="T718" s="37" t="str">
        <f aca="false">IF($A718="","",IF($B718="","NO ACCOUNT",IF($Q718=0,"UNMAPPED",IF($R718=-1,"OUTSIDE FY RANGE","OK"))))</f>
        <v/>
      </c>
      <c r="U718" s="40" t="str">
        <f aca="false">IF($A718="","",$B718&amp;"|"&amp;TEXT($A718,"yyyymmdd")&amp;"|"&amp;TEXT($I718,"0.00"))</f>
        <v/>
      </c>
      <c r="V718" s="35" t="str">
        <f aca="false">IF($A718="","",COUNTIF($U$8:$U$5007,$U718))</f>
        <v/>
      </c>
    </row>
    <row r="719" customFormat="false" ht="15" hidden="false" customHeight="false" outlineLevel="0" collapsed="false">
      <c r="A719" s="31"/>
      <c r="B719" s="32"/>
      <c r="C719" s="32"/>
      <c r="D719" s="32"/>
      <c r="E719" s="32"/>
      <c r="F719" s="32"/>
      <c r="G719" s="33"/>
      <c r="H719" s="33"/>
      <c r="I719" s="34" t="str">
        <f aca="false">IF($A719="","",$G719-$H719)</f>
        <v/>
      </c>
      <c r="J719" s="35" t="str">
        <f aca="false">IF($A719="","",IF(Setup!$B$6=1,YEAR($A719),YEAR($A719)+IF(MONTH($A719)&gt;=Setup!$B$6,1,0)))</f>
        <v/>
      </c>
      <c r="K719" s="35" t="str">
        <f aca="false">IF($A719="","",MOD(MONTH($A719)-Setup!$B$6+12,12)+1)</f>
        <v/>
      </c>
      <c r="L719" s="36" t="str">
        <f aca="false">IF($A719="","",TEXT($A719,"MMM-YY"))</f>
        <v/>
      </c>
      <c r="M719" s="37" t="str">
        <f aca="false">IF($A719="","",IF($Q719=0,"UNMAPPED",INDEX(COA_Mapping!$C$7:$C$256,$Q719)))</f>
        <v/>
      </c>
      <c r="N719" s="38" t="str">
        <f aca="false">IF($A719="","",IF($Q719=0,"",INDEX(COA_Mapping!$E$7:$E$256,$Q719)))</f>
        <v/>
      </c>
      <c r="O719" s="38" t="n">
        <f aca="false">IF($A719="",1,IF($Q719=0,1,INDEX(COA_Mapping!$F$7:$F$256,$Q719)))</f>
        <v>1</v>
      </c>
      <c r="P719" s="34" t="str">
        <f aca="false">IF($A719="","",$I719*$O719)</f>
        <v/>
      </c>
      <c r="Q719" s="39" t="n">
        <f aca="false">IF($B719="",0,IFERROR(MATCH($B719,COA_Mapping!$A$7:$A$256,0),0))</f>
        <v>0</v>
      </c>
      <c r="R719" s="39" t="n">
        <f aca="false">IF($A719="",-1,IF($J719=Setup!$B$7,1,IF($J719=Setup!$B$9,0,-1)))</f>
        <v>-1</v>
      </c>
      <c r="S719" s="35" t="n">
        <f aca="false">IF(OR($A719="",$Q719=0,$R719=-1),0,$Q719*1000+$R719*100+$K719)</f>
        <v>0</v>
      </c>
      <c r="T719" s="37" t="str">
        <f aca="false">IF($A719="","",IF($B719="","NO ACCOUNT",IF($Q719=0,"UNMAPPED",IF($R719=-1,"OUTSIDE FY RANGE","OK"))))</f>
        <v/>
      </c>
      <c r="U719" s="40" t="str">
        <f aca="false">IF($A719="","",$B719&amp;"|"&amp;TEXT($A719,"yyyymmdd")&amp;"|"&amp;TEXT($I719,"0.00"))</f>
        <v/>
      </c>
      <c r="V719" s="35" t="str">
        <f aca="false">IF($A719="","",COUNTIF($U$8:$U$5007,$U719))</f>
        <v/>
      </c>
    </row>
    <row r="720" customFormat="false" ht="15" hidden="false" customHeight="false" outlineLevel="0" collapsed="false">
      <c r="A720" s="31"/>
      <c r="B720" s="32"/>
      <c r="C720" s="32"/>
      <c r="D720" s="32"/>
      <c r="E720" s="32"/>
      <c r="F720" s="32"/>
      <c r="G720" s="33"/>
      <c r="H720" s="33"/>
      <c r="I720" s="34" t="str">
        <f aca="false">IF($A720="","",$G720-$H720)</f>
        <v/>
      </c>
      <c r="J720" s="35" t="str">
        <f aca="false">IF($A720="","",IF(Setup!$B$6=1,YEAR($A720),YEAR($A720)+IF(MONTH($A720)&gt;=Setup!$B$6,1,0)))</f>
        <v/>
      </c>
      <c r="K720" s="35" t="str">
        <f aca="false">IF($A720="","",MOD(MONTH($A720)-Setup!$B$6+12,12)+1)</f>
        <v/>
      </c>
      <c r="L720" s="36" t="str">
        <f aca="false">IF($A720="","",TEXT($A720,"MMM-YY"))</f>
        <v/>
      </c>
      <c r="M720" s="37" t="str">
        <f aca="false">IF($A720="","",IF($Q720=0,"UNMAPPED",INDEX(COA_Mapping!$C$7:$C$256,$Q720)))</f>
        <v/>
      </c>
      <c r="N720" s="38" t="str">
        <f aca="false">IF($A720="","",IF($Q720=0,"",INDEX(COA_Mapping!$E$7:$E$256,$Q720)))</f>
        <v/>
      </c>
      <c r="O720" s="38" t="n">
        <f aca="false">IF($A720="",1,IF($Q720=0,1,INDEX(COA_Mapping!$F$7:$F$256,$Q720)))</f>
        <v>1</v>
      </c>
      <c r="P720" s="34" t="str">
        <f aca="false">IF($A720="","",$I720*$O720)</f>
        <v/>
      </c>
      <c r="Q720" s="39" t="n">
        <f aca="false">IF($B720="",0,IFERROR(MATCH($B720,COA_Mapping!$A$7:$A$256,0),0))</f>
        <v>0</v>
      </c>
      <c r="R720" s="39" t="n">
        <f aca="false">IF($A720="",-1,IF($J720=Setup!$B$7,1,IF($J720=Setup!$B$9,0,-1)))</f>
        <v>-1</v>
      </c>
      <c r="S720" s="35" t="n">
        <f aca="false">IF(OR($A720="",$Q720=0,$R720=-1),0,$Q720*1000+$R720*100+$K720)</f>
        <v>0</v>
      </c>
      <c r="T720" s="37" t="str">
        <f aca="false">IF($A720="","",IF($B720="","NO ACCOUNT",IF($Q720=0,"UNMAPPED",IF($R720=-1,"OUTSIDE FY RANGE","OK"))))</f>
        <v/>
      </c>
      <c r="U720" s="40" t="str">
        <f aca="false">IF($A720="","",$B720&amp;"|"&amp;TEXT($A720,"yyyymmdd")&amp;"|"&amp;TEXT($I720,"0.00"))</f>
        <v/>
      </c>
      <c r="V720" s="35" t="str">
        <f aca="false">IF($A720="","",COUNTIF($U$8:$U$5007,$U720))</f>
        <v/>
      </c>
    </row>
    <row r="721" customFormat="false" ht="15" hidden="false" customHeight="false" outlineLevel="0" collapsed="false">
      <c r="A721" s="31"/>
      <c r="B721" s="32"/>
      <c r="C721" s="32"/>
      <c r="D721" s="32"/>
      <c r="E721" s="32"/>
      <c r="F721" s="32"/>
      <c r="G721" s="33"/>
      <c r="H721" s="33"/>
      <c r="I721" s="34" t="str">
        <f aca="false">IF($A721="","",$G721-$H721)</f>
        <v/>
      </c>
      <c r="J721" s="35" t="str">
        <f aca="false">IF($A721="","",IF(Setup!$B$6=1,YEAR($A721),YEAR($A721)+IF(MONTH($A721)&gt;=Setup!$B$6,1,0)))</f>
        <v/>
      </c>
      <c r="K721" s="35" t="str">
        <f aca="false">IF($A721="","",MOD(MONTH($A721)-Setup!$B$6+12,12)+1)</f>
        <v/>
      </c>
      <c r="L721" s="36" t="str">
        <f aca="false">IF($A721="","",TEXT($A721,"MMM-YY"))</f>
        <v/>
      </c>
      <c r="M721" s="37" t="str">
        <f aca="false">IF($A721="","",IF($Q721=0,"UNMAPPED",INDEX(COA_Mapping!$C$7:$C$256,$Q721)))</f>
        <v/>
      </c>
      <c r="N721" s="38" t="str">
        <f aca="false">IF($A721="","",IF($Q721=0,"",INDEX(COA_Mapping!$E$7:$E$256,$Q721)))</f>
        <v/>
      </c>
      <c r="O721" s="38" t="n">
        <f aca="false">IF($A721="",1,IF($Q721=0,1,INDEX(COA_Mapping!$F$7:$F$256,$Q721)))</f>
        <v>1</v>
      </c>
      <c r="P721" s="34" t="str">
        <f aca="false">IF($A721="","",$I721*$O721)</f>
        <v/>
      </c>
      <c r="Q721" s="39" t="n">
        <f aca="false">IF($B721="",0,IFERROR(MATCH($B721,COA_Mapping!$A$7:$A$256,0),0))</f>
        <v>0</v>
      </c>
      <c r="R721" s="39" t="n">
        <f aca="false">IF($A721="",-1,IF($J721=Setup!$B$7,1,IF($J721=Setup!$B$9,0,-1)))</f>
        <v>-1</v>
      </c>
      <c r="S721" s="35" t="n">
        <f aca="false">IF(OR($A721="",$Q721=0,$R721=-1),0,$Q721*1000+$R721*100+$K721)</f>
        <v>0</v>
      </c>
      <c r="T721" s="37" t="str">
        <f aca="false">IF($A721="","",IF($B721="","NO ACCOUNT",IF($Q721=0,"UNMAPPED",IF($R721=-1,"OUTSIDE FY RANGE","OK"))))</f>
        <v/>
      </c>
      <c r="U721" s="40" t="str">
        <f aca="false">IF($A721="","",$B721&amp;"|"&amp;TEXT($A721,"yyyymmdd")&amp;"|"&amp;TEXT($I721,"0.00"))</f>
        <v/>
      </c>
      <c r="V721" s="35" t="str">
        <f aca="false">IF($A721="","",COUNTIF($U$8:$U$5007,$U721))</f>
        <v/>
      </c>
    </row>
    <row r="722" customFormat="false" ht="15" hidden="false" customHeight="false" outlineLevel="0" collapsed="false">
      <c r="A722" s="31"/>
      <c r="B722" s="32"/>
      <c r="C722" s="32"/>
      <c r="D722" s="32"/>
      <c r="E722" s="32"/>
      <c r="F722" s="32"/>
      <c r="G722" s="33"/>
      <c r="H722" s="33"/>
      <c r="I722" s="34" t="str">
        <f aca="false">IF($A722="","",$G722-$H722)</f>
        <v/>
      </c>
      <c r="J722" s="35" t="str">
        <f aca="false">IF($A722="","",IF(Setup!$B$6=1,YEAR($A722),YEAR($A722)+IF(MONTH($A722)&gt;=Setup!$B$6,1,0)))</f>
        <v/>
      </c>
      <c r="K722" s="35" t="str">
        <f aca="false">IF($A722="","",MOD(MONTH($A722)-Setup!$B$6+12,12)+1)</f>
        <v/>
      </c>
      <c r="L722" s="36" t="str">
        <f aca="false">IF($A722="","",TEXT($A722,"MMM-YY"))</f>
        <v/>
      </c>
      <c r="M722" s="37" t="str">
        <f aca="false">IF($A722="","",IF($Q722=0,"UNMAPPED",INDEX(COA_Mapping!$C$7:$C$256,$Q722)))</f>
        <v/>
      </c>
      <c r="N722" s="38" t="str">
        <f aca="false">IF($A722="","",IF($Q722=0,"",INDEX(COA_Mapping!$E$7:$E$256,$Q722)))</f>
        <v/>
      </c>
      <c r="O722" s="38" t="n">
        <f aca="false">IF($A722="",1,IF($Q722=0,1,INDEX(COA_Mapping!$F$7:$F$256,$Q722)))</f>
        <v>1</v>
      </c>
      <c r="P722" s="34" t="str">
        <f aca="false">IF($A722="","",$I722*$O722)</f>
        <v/>
      </c>
      <c r="Q722" s="39" t="n">
        <f aca="false">IF($B722="",0,IFERROR(MATCH($B722,COA_Mapping!$A$7:$A$256,0),0))</f>
        <v>0</v>
      </c>
      <c r="R722" s="39" t="n">
        <f aca="false">IF($A722="",-1,IF($J722=Setup!$B$7,1,IF($J722=Setup!$B$9,0,-1)))</f>
        <v>-1</v>
      </c>
      <c r="S722" s="35" t="n">
        <f aca="false">IF(OR($A722="",$Q722=0,$R722=-1),0,$Q722*1000+$R722*100+$K722)</f>
        <v>0</v>
      </c>
      <c r="T722" s="37" t="str">
        <f aca="false">IF($A722="","",IF($B722="","NO ACCOUNT",IF($Q722=0,"UNMAPPED",IF($R722=-1,"OUTSIDE FY RANGE","OK"))))</f>
        <v/>
      </c>
      <c r="U722" s="40" t="str">
        <f aca="false">IF($A722="","",$B722&amp;"|"&amp;TEXT($A722,"yyyymmdd")&amp;"|"&amp;TEXT($I722,"0.00"))</f>
        <v/>
      </c>
      <c r="V722" s="35" t="str">
        <f aca="false">IF($A722="","",COUNTIF($U$8:$U$5007,$U722))</f>
        <v/>
      </c>
    </row>
    <row r="723" customFormat="false" ht="15" hidden="false" customHeight="false" outlineLevel="0" collapsed="false">
      <c r="A723" s="31"/>
      <c r="B723" s="32"/>
      <c r="C723" s="32"/>
      <c r="D723" s="32"/>
      <c r="E723" s="32"/>
      <c r="F723" s="32"/>
      <c r="G723" s="33"/>
      <c r="H723" s="33"/>
      <c r="I723" s="34" t="str">
        <f aca="false">IF($A723="","",$G723-$H723)</f>
        <v/>
      </c>
      <c r="J723" s="35" t="str">
        <f aca="false">IF($A723="","",IF(Setup!$B$6=1,YEAR($A723),YEAR($A723)+IF(MONTH($A723)&gt;=Setup!$B$6,1,0)))</f>
        <v/>
      </c>
      <c r="K723" s="35" t="str">
        <f aca="false">IF($A723="","",MOD(MONTH($A723)-Setup!$B$6+12,12)+1)</f>
        <v/>
      </c>
      <c r="L723" s="36" t="str">
        <f aca="false">IF($A723="","",TEXT($A723,"MMM-YY"))</f>
        <v/>
      </c>
      <c r="M723" s="37" t="str">
        <f aca="false">IF($A723="","",IF($Q723=0,"UNMAPPED",INDEX(COA_Mapping!$C$7:$C$256,$Q723)))</f>
        <v/>
      </c>
      <c r="N723" s="38" t="str">
        <f aca="false">IF($A723="","",IF($Q723=0,"",INDEX(COA_Mapping!$E$7:$E$256,$Q723)))</f>
        <v/>
      </c>
      <c r="O723" s="38" t="n">
        <f aca="false">IF($A723="",1,IF($Q723=0,1,INDEX(COA_Mapping!$F$7:$F$256,$Q723)))</f>
        <v>1</v>
      </c>
      <c r="P723" s="34" t="str">
        <f aca="false">IF($A723="","",$I723*$O723)</f>
        <v/>
      </c>
      <c r="Q723" s="39" t="n">
        <f aca="false">IF($B723="",0,IFERROR(MATCH($B723,COA_Mapping!$A$7:$A$256,0),0))</f>
        <v>0</v>
      </c>
      <c r="R723" s="39" t="n">
        <f aca="false">IF($A723="",-1,IF($J723=Setup!$B$7,1,IF($J723=Setup!$B$9,0,-1)))</f>
        <v>-1</v>
      </c>
      <c r="S723" s="35" t="n">
        <f aca="false">IF(OR($A723="",$Q723=0,$R723=-1),0,$Q723*1000+$R723*100+$K723)</f>
        <v>0</v>
      </c>
      <c r="T723" s="37" t="str">
        <f aca="false">IF($A723="","",IF($B723="","NO ACCOUNT",IF($Q723=0,"UNMAPPED",IF($R723=-1,"OUTSIDE FY RANGE","OK"))))</f>
        <v/>
      </c>
      <c r="U723" s="40" t="str">
        <f aca="false">IF($A723="","",$B723&amp;"|"&amp;TEXT($A723,"yyyymmdd")&amp;"|"&amp;TEXT($I723,"0.00"))</f>
        <v/>
      </c>
      <c r="V723" s="35" t="str">
        <f aca="false">IF($A723="","",COUNTIF($U$8:$U$5007,$U723))</f>
        <v/>
      </c>
    </row>
    <row r="724" customFormat="false" ht="15" hidden="false" customHeight="false" outlineLevel="0" collapsed="false">
      <c r="A724" s="31"/>
      <c r="B724" s="32"/>
      <c r="C724" s="32"/>
      <c r="D724" s="32"/>
      <c r="E724" s="32"/>
      <c r="F724" s="32"/>
      <c r="G724" s="33"/>
      <c r="H724" s="33"/>
      <c r="I724" s="34" t="str">
        <f aca="false">IF($A724="","",$G724-$H724)</f>
        <v/>
      </c>
      <c r="J724" s="35" t="str">
        <f aca="false">IF($A724="","",IF(Setup!$B$6=1,YEAR($A724),YEAR($A724)+IF(MONTH($A724)&gt;=Setup!$B$6,1,0)))</f>
        <v/>
      </c>
      <c r="K724" s="35" t="str">
        <f aca="false">IF($A724="","",MOD(MONTH($A724)-Setup!$B$6+12,12)+1)</f>
        <v/>
      </c>
      <c r="L724" s="36" t="str">
        <f aca="false">IF($A724="","",TEXT($A724,"MMM-YY"))</f>
        <v/>
      </c>
      <c r="M724" s="37" t="str">
        <f aca="false">IF($A724="","",IF($Q724=0,"UNMAPPED",INDEX(COA_Mapping!$C$7:$C$256,$Q724)))</f>
        <v/>
      </c>
      <c r="N724" s="38" t="str">
        <f aca="false">IF($A724="","",IF($Q724=0,"",INDEX(COA_Mapping!$E$7:$E$256,$Q724)))</f>
        <v/>
      </c>
      <c r="O724" s="38" t="n">
        <f aca="false">IF($A724="",1,IF($Q724=0,1,INDEX(COA_Mapping!$F$7:$F$256,$Q724)))</f>
        <v>1</v>
      </c>
      <c r="P724" s="34" t="str">
        <f aca="false">IF($A724="","",$I724*$O724)</f>
        <v/>
      </c>
      <c r="Q724" s="39" t="n">
        <f aca="false">IF($B724="",0,IFERROR(MATCH($B724,COA_Mapping!$A$7:$A$256,0),0))</f>
        <v>0</v>
      </c>
      <c r="R724" s="39" t="n">
        <f aca="false">IF($A724="",-1,IF($J724=Setup!$B$7,1,IF($J724=Setup!$B$9,0,-1)))</f>
        <v>-1</v>
      </c>
      <c r="S724" s="35" t="n">
        <f aca="false">IF(OR($A724="",$Q724=0,$R724=-1),0,$Q724*1000+$R724*100+$K724)</f>
        <v>0</v>
      </c>
      <c r="T724" s="37" t="str">
        <f aca="false">IF($A724="","",IF($B724="","NO ACCOUNT",IF($Q724=0,"UNMAPPED",IF($R724=-1,"OUTSIDE FY RANGE","OK"))))</f>
        <v/>
      </c>
      <c r="U724" s="40" t="str">
        <f aca="false">IF($A724="","",$B724&amp;"|"&amp;TEXT($A724,"yyyymmdd")&amp;"|"&amp;TEXT($I724,"0.00"))</f>
        <v/>
      </c>
      <c r="V724" s="35" t="str">
        <f aca="false">IF($A724="","",COUNTIF($U$8:$U$5007,$U724))</f>
        <v/>
      </c>
    </row>
    <row r="725" customFormat="false" ht="15" hidden="false" customHeight="false" outlineLevel="0" collapsed="false">
      <c r="A725" s="31"/>
      <c r="B725" s="32"/>
      <c r="C725" s="32"/>
      <c r="D725" s="32"/>
      <c r="E725" s="32"/>
      <c r="F725" s="32"/>
      <c r="G725" s="33"/>
      <c r="H725" s="33"/>
      <c r="I725" s="34" t="str">
        <f aca="false">IF($A725="","",$G725-$H725)</f>
        <v/>
      </c>
      <c r="J725" s="35" t="str">
        <f aca="false">IF($A725="","",IF(Setup!$B$6=1,YEAR($A725),YEAR($A725)+IF(MONTH($A725)&gt;=Setup!$B$6,1,0)))</f>
        <v/>
      </c>
      <c r="K725" s="35" t="str">
        <f aca="false">IF($A725="","",MOD(MONTH($A725)-Setup!$B$6+12,12)+1)</f>
        <v/>
      </c>
      <c r="L725" s="36" t="str">
        <f aca="false">IF($A725="","",TEXT($A725,"MMM-YY"))</f>
        <v/>
      </c>
      <c r="M725" s="37" t="str">
        <f aca="false">IF($A725="","",IF($Q725=0,"UNMAPPED",INDEX(COA_Mapping!$C$7:$C$256,$Q725)))</f>
        <v/>
      </c>
      <c r="N725" s="38" t="str">
        <f aca="false">IF($A725="","",IF($Q725=0,"",INDEX(COA_Mapping!$E$7:$E$256,$Q725)))</f>
        <v/>
      </c>
      <c r="O725" s="38" t="n">
        <f aca="false">IF($A725="",1,IF($Q725=0,1,INDEX(COA_Mapping!$F$7:$F$256,$Q725)))</f>
        <v>1</v>
      </c>
      <c r="P725" s="34" t="str">
        <f aca="false">IF($A725="","",$I725*$O725)</f>
        <v/>
      </c>
      <c r="Q725" s="39" t="n">
        <f aca="false">IF($B725="",0,IFERROR(MATCH($B725,COA_Mapping!$A$7:$A$256,0),0))</f>
        <v>0</v>
      </c>
      <c r="R725" s="39" t="n">
        <f aca="false">IF($A725="",-1,IF($J725=Setup!$B$7,1,IF($J725=Setup!$B$9,0,-1)))</f>
        <v>-1</v>
      </c>
      <c r="S725" s="35" t="n">
        <f aca="false">IF(OR($A725="",$Q725=0,$R725=-1),0,$Q725*1000+$R725*100+$K725)</f>
        <v>0</v>
      </c>
      <c r="T725" s="37" t="str">
        <f aca="false">IF($A725="","",IF($B725="","NO ACCOUNT",IF($Q725=0,"UNMAPPED",IF($R725=-1,"OUTSIDE FY RANGE","OK"))))</f>
        <v/>
      </c>
      <c r="U725" s="40" t="str">
        <f aca="false">IF($A725="","",$B725&amp;"|"&amp;TEXT($A725,"yyyymmdd")&amp;"|"&amp;TEXT($I725,"0.00"))</f>
        <v/>
      </c>
      <c r="V725" s="35" t="str">
        <f aca="false">IF($A725="","",COUNTIF($U$8:$U$5007,$U725))</f>
        <v/>
      </c>
    </row>
    <row r="726" customFormat="false" ht="15" hidden="false" customHeight="false" outlineLevel="0" collapsed="false">
      <c r="A726" s="31"/>
      <c r="B726" s="32"/>
      <c r="C726" s="32"/>
      <c r="D726" s="32"/>
      <c r="E726" s="32"/>
      <c r="F726" s="32"/>
      <c r="G726" s="33"/>
      <c r="H726" s="33"/>
      <c r="I726" s="34" t="str">
        <f aca="false">IF($A726="","",$G726-$H726)</f>
        <v/>
      </c>
      <c r="J726" s="35" t="str">
        <f aca="false">IF($A726="","",IF(Setup!$B$6=1,YEAR($A726),YEAR($A726)+IF(MONTH($A726)&gt;=Setup!$B$6,1,0)))</f>
        <v/>
      </c>
      <c r="K726" s="35" t="str">
        <f aca="false">IF($A726="","",MOD(MONTH($A726)-Setup!$B$6+12,12)+1)</f>
        <v/>
      </c>
      <c r="L726" s="36" t="str">
        <f aca="false">IF($A726="","",TEXT($A726,"MMM-YY"))</f>
        <v/>
      </c>
      <c r="M726" s="37" t="str">
        <f aca="false">IF($A726="","",IF($Q726=0,"UNMAPPED",INDEX(COA_Mapping!$C$7:$C$256,$Q726)))</f>
        <v/>
      </c>
      <c r="N726" s="38" t="str">
        <f aca="false">IF($A726="","",IF($Q726=0,"",INDEX(COA_Mapping!$E$7:$E$256,$Q726)))</f>
        <v/>
      </c>
      <c r="O726" s="38" t="n">
        <f aca="false">IF($A726="",1,IF($Q726=0,1,INDEX(COA_Mapping!$F$7:$F$256,$Q726)))</f>
        <v>1</v>
      </c>
      <c r="P726" s="34" t="str">
        <f aca="false">IF($A726="","",$I726*$O726)</f>
        <v/>
      </c>
      <c r="Q726" s="39" t="n">
        <f aca="false">IF($B726="",0,IFERROR(MATCH($B726,COA_Mapping!$A$7:$A$256,0),0))</f>
        <v>0</v>
      </c>
      <c r="R726" s="39" t="n">
        <f aca="false">IF($A726="",-1,IF($J726=Setup!$B$7,1,IF($J726=Setup!$B$9,0,-1)))</f>
        <v>-1</v>
      </c>
      <c r="S726" s="35" t="n">
        <f aca="false">IF(OR($A726="",$Q726=0,$R726=-1),0,$Q726*1000+$R726*100+$K726)</f>
        <v>0</v>
      </c>
      <c r="T726" s="37" t="str">
        <f aca="false">IF($A726="","",IF($B726="","NO ACCOUNT",IF($Q726=0,"UNMAPPED",IF($R726=-1,"OUTSIDE FY RANGE","OK"))))</f>
        <v/>
      </c>
      <c r="U726" s="40" t="str">
        <f aca="false">IF($A726="","",$B726&amp;"|"&amp;TEXT($A726,"yyyymmdd")&amp;"|"&amp;TEXT($I726,"0.00"))</f>
        <v/>
      </c>
      <c r="V726" s="35" t="str">
        <f aca="false">IF($A726="","",COUNTIF($U$8:$U$5007,$U726))</f>
        <v/>
      </c>
    </row>
    <row r="727" customFormat="false" ht="15" hidden="false" customHeight="false" outlineLevel="0" collapsed="false">
      <c r="A727" s="31"/>
      <c r="B727" s="32"/>
      <c r="C727" s="32"/>
      <c r="D727" s="32"/>
      <c r="E727" s="32"/>
      <c r="F727" s="32"/>
      <c r="G727" s="33"/>
      <c r="H727" s="33"/>
      <c r="I727" s="34" t="str">
        <f aca="false">IF($A727="","",$G727-$H727)</f>
        <v/>
      </c>
      <c r="J727" s="35" t="str">
        <f aca="false">IF($A727="","",IF(Setup!$B$6=1,YEAR($A727),YEAR($A727)+IF(MONTH($A727)&gt;=Setup!$B$6,1,0)))</f>
        <v/>
      </c>
      <c r="K727" s="35" t="str">
        <f aca="false">IF($A727="","",MOD(MONTH($A727)-Setup!$B$6+12,12)+1)</f>
        <v/>
      </c>
      <c r="L727" s="36" t="str">
        <f aca="false">IF($A727="","",TEXT($A727,"MMM-YY"))</f>
        <v/>
      </c>
      <c r="M727" s="37" t="str">
        <f aca="false">IF($A727="","",IF($Q727=0,"UNMAPPED",INDEX(COA_Mapping!$C$7:$C$256,$Q727)))</f>
        <v/>
      </c>
      <c r="N727" s="38" t="str">
        <f aca="false">IF($A727="","",IF($Q727=0,"",INDEX(COA_Mapping!$E$7:$E$256,$Q727)))</f>
        <v/>
      </c>
      <c r="O727" s="38" t="n">
        <f aca="false">IF($A727="",1,IF($Q727=0,1,INDEX(COA_Mapping!$F$7:$F$256,$Q727)))</f>
        <v>1</v>
      </c>
      <c r="P727" s="34" t="str">
        <f aca="false">IF($A727="","",$I727*$O727)</f>
        <v/>
      </c>
      <c r="Q727" s="39" t="n">
        <f aca="false">IF($B727="",0,IFERROR(MATCH($B727,COA_Mapping!$A$7:$A$256,0),0))</f>
        <v>0</v>
      </c>
      <c r="R727" s="39" t="n">
        <f aca="false">IF($A727="",-1,IF($J727=Setup!$B$7,1,IF($J727=Setup!$B$9,0,-1)))</f>
        <v>-1</v>
      </c>
      <c r="S727" s="35" t="n">
        <f aca="false">IF(OR($A727="",$Q727=0,$R727=-1),0,$Q727*1000+$R727*100+$K727)</f>
        <v>0</v>
      </c>
      <c r="T727" s="37" t="str">
        <f aca="false">IF($A727="","",IF($B727="","NO ACCOUNT",IF($Q727=0,"UNMAPPED",IF($R727=-1,"OUTSIDE FY RANGE","OK"))))</f>
        <v/>
      </c>
      <c r="U727" s="40" t="str">
        <f aca="false">IF($A727="","",$B727&amp;"|"&amp;TEXT($A727,"yyyymmdd")&amp;"|"&amp;TEXT($I727,"0.00"))</f>
        <v/>
      </c>
      <c r="V727" s="35" t="str">
        <f aca="false">IF($A727="","",COUNTIF($U$8:$U$5007,$U727))</f>
        <v/>
      </c>
    </row>
    <row r="728" customFormat="false" ht="15" hidden="false" customHeight="false" outlineLevel="0" collapsed="false">
      <c r="A728" s="31"/>
      <c r="B728" s="32"/>
      <c r="C728" s="32"/>
      <c r="D728" s="32"/>
      <c r="E728" s="32"/>
      <c r="F728" s="32"/>
      <c r="G728" s="33"/>
      <c r="H728" s="33"/>
      <c r="I728" s="34" t="str">
        <f aca="false">IF($A728="","",$G728-$H728)</f>
        <v/>
      </c>
      <c r="J728" s="35" t="str">
        <f aca="false">IF($A728="","",IF(Setup!$B$6=1,YEAR($A728),YEAR($A728)+IF(MONTH($A728)&gt;=Setup!$B$6,1,0)))</f>
        <v/>
      </c>
      <c r="K728" s="35" t="str">
        <f aca="false">IF($A728="","",MOD(MONTH($A728)-Setup!$B$6+12,12)+1)</f>
        <v/>
      </c>
      <c r="L728" s="36" t="str">
        <f aca="false">IF($A728="","",TEXT($A728,"MMM-YY"))</f>
        <v/>
      </c>
      <c r="M728" s="37" t="str">
        <f aca="false">IF($A728="","",IF($Q728=0,"UNMAPPED",INDEX(COA_Mapping!$C$7:$C$256,$Q728)))</f>
        <v/>
      </c>
      <c r="N728" s="38" t="str">
        <f aca="false">IF($A728="","",IF($Q728=0,"",INDEX(COA_Mapping!$E$7:$E$256,$Q728)))</f>
        <v/>
      </c>
      <c r="O728" s="38" t="n">
        <f aca="false">IF($A728="",1,IF($Q728=0,1,INDEX(COA_Mapping!$F$7:$F$256,$Q728)))</f>
        <v>1</v>
      </c>
      <c r="P728" s="34" t="str">
        <f aca="false">IF($A728="","",$I728*$O728)</f>
        <v/>
      </c>
      <c r="Q728" s="39" t="n">
        <f aca="false">IF($B728="",0,IFERROR(MATCH($B728,COA_Mapping!$A$7:$A$256,0),0))</f>
        <v>0</v>
      </c>
      <c r="R728" s="39" t="n">
        <f aca="false">IF($A728="",-1,IF($J728=Setup!$B$7,1,IF($J728=Setup!$B$9,0,-1)))</f>
        <v>-1</v>
      </c>
      <c r="S728" s="35" t="n">
        <f aca="false">IF(OR($A728="",$Q728=0,$R728=-1),0,$Q728*1000+$R728*100+$K728)</f>
        <v>0</v>
      </c>
      <c r="T728" s="37" t="str">
        <f aca="false">IF($A728="","",IF($B728="","NO ACCOUNT",IF($Q728=0,"UNMAPPED",IF($R728=-1,"OUTSIDE FY RANGE","OK"))))</f>
        <v/>
      </c>
      <c r="U728" s="40" t="str">
        <f aca="false">IF($A728="","",$B728&amp;"|"&amp;TEXT($A728,"yyyymmdd")&amp;"|"&amp;TEXT($I728,"0.00"))</f>
        <v/>
      </c>
      <c r="V728" s="35" t="str">
        <f aca="false">IF($A728="","",COUNTIF($U$8:$U$5007,$U728))</f>
        <v/>
      </c>
    </row>
    <row r="729" customFormat="false" ht="15" hidden="false" customHeight="false" outlineLevel="0" collapsed="false">
      <c r="A729" s="31"/>
      <c r="B729" s="32"/>
      <c r="C729" s="32"/>
      <c r="D729" s="32"/>
      <c r="E729" s="32"/>
      <c r="F729" s="32"/>
      <c r="G729" s="33"/>
      <c r="H729" s="33"/>
      <c r="I729" s="34" t="str">
        <f aca="false">IF($A729="","",$G729-$H729)</f>
        <v/>
      </c>
      <c r="J729" s="35" t="str">
        <f aca="false">IF($A729="","",IF(Setup!$B$6=1,YEAR($A729),YEAR($A729)+IF(MONTH($A729)&gt;=Setup!$B$6,1,0)))</f>
        <v/>
      </c>
      <c r="K729" s="35" t="str">
        <f aca="false">IF($A729="","",MOD(MONTH($A729)-Setup!$B$6+12,12)+1)</f>
        <v/>
      </c>
      <c r="L729" s="36" t="str">
        <f aca="false">IF($A729="","",TEXT($A729,"MMM-YY"))</f>
        <v/>
      </c>
      <c r="M729" s="37" t="str">
        <f aca="false">IF($A729="","",IF($Q729=0,"UNMAPPED",INDEX(COA_Mapping!$C$7:$C$256,$Q729)))</f>
        <v/>
      </c>
      <c r="N729" s="38" t="str">
        <f aca="false">IF($A729="","",IF($Q729=0,"",INDEX(COA_Mapping!$E$7:$E$256,$Q729)))</f>
        <v/>
      </c>
      <c r="O729" s="38" t="n">
        <f aca="false">IF($A729="",1,IF($Q729=0,1,INDEX(COA_Mapping!$F$7:$F$256,$Q729)))</f>
        <v>1</v>
      </c>
      <c r="P729" s="34" t="str">
        <f aca="false">IF($A729="","",$I729*$O729)</f>
        <v/>
      </c>
      <c r="Q729" s="39" t="n">
        <f aca="false">IF($B729="",0,IFERROR(MATCH($B729,COA_Mapping!$A$7:$A$256,0),0))</f>
        <v>0</v>
      </c>
      <c r="R729" s="39" t="n">
        <f aca="false">IF($A729="",-1,IF($J729=Setup!$B$7,1,IF($J729=Setup!$B$9,0,-1)))</f>
        <v>-1</v>
      </c>
      <c r="S729" s="35" t="n">
        <f aca="false">IF(OR($A729="",$Q729=0,$R729=-1),0,$Q729*1000+$R729*100+$K729)</f>
        <v>0</v>
      </c>
      <c r="T729" s="37" t="str">
        <f aca="false">IF($A729="","",IF($B729="","NO ACCOUNT",IF($Q729=0,"UNMAPPED",IF($R729=-1,"OUTSIDE FY RANGE","OK"))))</f>
        <v/>
      </c>
      <c r="U729" s="40" t="str">
        <f aca="false">IF($A729="","",$B729&amp;"|"&amp;TEXT($A729,"yyyymmdd")&amp;"|"&amp;TEXT($I729,"0.00"))</f>
        <v/>
      </c>
      <c r="V729" s="35" t="str">
        <f aca="false">IF($A729="","",COUNTIF($U$8:$U$5007,$U729))</f>
        <v/>
      </c>
    </row>
    <row r="730" customFormat="false" ht="15" hidden="false" customHeight="false" outlineLevel="0" collapsed="false">
      <c r="A730" s="31"/>
      <c r="B730" s="32"/>
      <c r="C730" s="32"/>
      <c r="D730" s="32"/>
      <c r="E730" s="32"/>
      <c r="F730" s="32"/>
      <c r="G730" s="33"/>
      <c r="H730" s="33"/>
      <c r="I730" s="34" t="str">
        <f aca="false">IF($A730="","",$G730-$H730)</f>
        <v/>
      </c>
      <c r="J730" s="35" t="str">
        <f aca="false">IF($A730="","",IF(Setup!$B$6=1,YEAR($A730),YEAR($A730)+IF(MONTH($A730)&gt;=Setup!$B$6,1,0)))</f>
        <v/>
      </c>
      <c r="K730" s="35" t="str">
        <f aca="false">IF($A730="","",MOD(MONTH($A730)-Setup!$B$6+12,12)+1)</f>
        <v/>
      </c>
      <c r="L730" s="36" t="str">
        <f aca="false">IF($A730="","",TEXT($A730,"MMM-YY"))</f>
        <v/>
      </c>
      <c r="M730" s="37" t="str">
        <f aca="false">IF($A730="","",IF($Q730=0,"UNMAPPED",INDEX(COA_Mapping!$C$7:$C$256,$Q730)))</f>
        <v/>
      </c>
      <c r="N730" s="38" t="str">
        <f aca="false">IF($A730="","",IF($Q730=0,"",INDEX(COA_Mapping!$E$7:$E$256,$Q730)))</f>
        <v/>
      </c>
      <c r="O730" s="38" t="n">
        <f aca="false">IF($A730="",1,IF($Q730=0,1,INDEX(COA_Mapping!$F$7:$F$256,$Q730)))</f>
        <v>1</v>
      </c>
      <c r="P730" s="34" t="str">
        <f aca="false">IF($A730="","",$I730*$O730)</f>
        <v/>
      </c>
      <c r="Q730" s="39" t="n">
        <f aca="false">IF($B730="",0,IFERROR(MATCH($B730,COA_Mapping!$A$7:$A$256,0),0))</f>
        <v>0</v>
      </c>
      <c r="R730" s="39" t="n">
        <f aca="false">IF($A730="",-1,IF($J730=Setup!$B$7,1,IF($J730=Setup!$B$9,0,-1)))</f>
        <v>-1</v>
      </c>
      <c r="S730" s="35" t="n">
        <f aca="false">IF(OR($A730="",$Q730=0,$R730=-1),0,$Q730*1000+$R730*100+$K730)</f>
        <v>0</v>
      </c>
      <c r="T730" s="37" t="str">
        <f aca="false">IF($A730="","",IF($B730="","NO ACCOUNT",IF($Q730=0,"UNMAPPED",IF($R730=-1,"OUTSIDE FY RANGE","OK"))))</f>
        <v/>
      </c>
      <c r="U730" s="40" t="str">
        <f aca="false">IF($A730="","",$B730&amp;"|"&amp;TEXT($A730,"yyyymmdd")&amp;"|"&amp;TEXT($I730,"0.00"))</f>
        <v/>
      </c>
      <c r="V730" s="35" t="str">
        <f aca="false">IF($A730="","",COUNTIF($U$8:$U$5007,$U730))</f>
        <v/>
      </c>
    </row>
    <row r="731" customFormat="false" ht="15" hidden="false" customHeight="false" outlineLevel="0" collapsed="false">
      <c r="A731" s="31"/>
      <c r="B731" s="32"/>
      <c r="C731" s="32"/>
      <c r="D731" s="32"/>
      <c r="E731" s="32"/>
      <c r="F731" s="32"/>
      <c r="G731" s="33"/>
      <c r="H731" s="33"/>
      <c r="I731" s="34" t="str">
        <f aca="false">IF($A731="","",$G731-$H731)</f>
        <v/>
      </c>
      <c r="J731" s="35" t="str">
        <f aca="false">IF($A731="","",IF(Setup!$B$6=1,YEAR($A731),YEAR($A731)+IF(MONTH($A731)&gt;=Setup!$B$6,1,0)))</f>
        <v/>
      </c>
      <c r="K731" s="35" t="str">
        <f aca="false">IF($A731="","",MOD(MONTH($A731)-Setup!$B$6+12,12)+1)</f>
        <v/>
      </c>
      <c r="L731" s="36" t="str">
        <f aca="false">IF($A731="","",TEXT($A731,"MMM-YY"))</f>
        <v/>
      </c>
      <c r="M731" s="37" t="str">
        <f aca="false">IF($A731="","",IF($Q731=0,"UNMAPPED",INDEX(COA_Mapping!$C$7:$C$256,$Q731)))</f>
        <v/>
      </c>
      <c r="N731" s="38" t="str">
        <f aca="false">IF($A731="","",IF($Q731=0,"",INDEX(COA_Mapping!$E$7:$E$256,$Q731)))</f>
        <v/>
      </c>
      <c r="O731" s="38" t="n">
        <f aca="false">IF($A731="",1,IF($Q731=0,1,INDEX(COA_Mapping!$F$7:$F$256,$Q731)))</f>
        <v>1</v>
      </c>
      <c r="P731" s="34" t="str">
        <f aca="false">IF($A731="","",$I731*$O731)</f>
        <v/>
      </c>
      <c r="Q731" s="39" t="n">
        <f aca="false">IF($B731="",0,IFERROR(MATCH($B731,COA_Mapping!$A$7:$A$256,0),0))</f>
        <v>0</v>
      </c>
      <c r="R731" s="39" t="n">
        <f aca="false">IF($A731="",-1,IF($J731=Setup!$B$7,1,IF($J731=Setup!$B$9,0,-1)))</f>
        <v>-1</v>
      </c>
      <c r="S731" s="35" t="n">
        <f aca="false">IF(OR($A731="",$Q731=0,$R731=-1),0,$Q731*1000+$R731*100+$K731)</f>
        <v>0</v>
      </c>
      <c r="T731" s="37" t="str">
        <f aca="false">IF($A731="","",IF($B731="","NO ACCOUNT",IF($Q731=0,"UNMAPPED",IF($R731=-1,"OUTSIDE FY RANGE","OK"))))</f>
        <v/>
      </c>
      <c r="U731" s="40" t="str">
        <f aca="false">IF($A731="","",$B731&amp;"|"&amp;TEXT($A731,"yyyymmdd")&amp;"|"&amp;TEXT($I731,"0.00"))</f>
        <v/>
      </c>
      <c r="V731" s="35" t="str">
        <f aca="false">IF($A731="","",COUNTIF($U$8:$U$5007,$U731))</f>
        <v/>
      </c>
    </row>
    <row r="732" customFormat="false" ht="15" hidden="false" customHeight="false" outlineLevel="0" collapsed="false">
      <c r="A732" s="31"/>
      <c r="B732" s="32"/>
      <c r="C732" s="32"/>
      <c r="D732" s="32"/>
      <c r="E732" s="32"/>
      <c r="F732" s="32"/>
      <c r="G732" s="33"/>
      <c r="H732" s="33"/>
      <c r="I732" s="34" t="str">
        <f aca="false">IF($A732="","",$G732-$H732)</f>
        <v/>
      </c>
      <c r="J732" s="35" t="str">
        <f aca="false">IF($A732="","",IF(Setup!$B$6=1,YEAR($A732),YEAR($A732)+IF(MONTH($A732)&gt;=Setup!$B$6,1,0)))</f>
        <v/>
      </c>
      <c r="K732" s="35" t="str">
        <f aca="false">IF($A732="","",MOD(MONTH($A732)-Setup!$B$6+12,12)+1)</f>
        <v/>
      </c>
      <c r="L732" s="36" t="str">
        <f aca="false">IF($A732="","",TEXT($A732,"MMM-YY"))</f>
        <v/>
      </c>
      <c r="M732" s="37" t="str">
        <f aca="false">IF($A732="","",IF($Q732=0,"UNMAPPED",INDEX(COA_Mapping!$C$7:$C$256,$Q732)))</f>
        <v/>
      </c>
      <c r="N732" s="38" t="str">
        <f aca="false">IF($A732="","",IF($Q732=0,"",INDEX(COA_Mapping!$E$7:$E$256,$Q732)))</f>
        <v/>
      </c>
      <c r="O732" s="38" t="n">
        <f aca="false">IF($A732="",1,IF($Q732=0,1,INDEX(COA_Mapping!$F$7:$F$256,$Q732)))</f>
        <v>1</v>
      </c>
      <c r="P732" s="34" t="str">
        <f aca="false">IF($A732="","",$I732*$O732)</f>
        <v/>
      </c>
      <c r="Q732" s="39" t="n">
        <f aca="false">IF($B732="",0,IFERROR(MATCH($B732,COA_Mapping!$A$7:$A$256,0),0))</f>
        <v>0</v>
      </c>
      <c r="R732" s="39" t="n">
        <f aca="false">IF($A732="",-1,IF($J732=Setup!$B$7,1,IF($J732=Setup!$B$9,0,-1)))</f>
        <v>-1</v>
      </c>
      <c r="S732" s="35" t="n">
        <f aca="false">IF(OR($A732="",$Q732=0,$R732=-1),0,$Q732*1000+$R732*100+$K732)</f>
        <v>0</v>
      </c>
      <c r="T732" s="37" t="str">
        <f aca="false">IF($A732="","",IF($B732="","NO ACCOUNT",IF($Q732=0,"UNMAPPED",IF($R732=-1,"OUTSIDE FY RANGE","OK"))))</f>
        <v/>
      </c>
      <c r="U732" s="40" t="str">
        <f aca="false">IF($A732="","",$B732&amp;"|"&amp;TEXT($A732,"yyyymmdd")&amp;"|"&amp;TEXT($I732,"0.00"))</f>
        <v/>
      </c>
      <c r="V732" s="35" t="str">
        <f aca="false">IF($A732="","",COUNTIF($U$8:$U$5007,$U732))</f>
        <v/>
      </c>
    </row>
    <row r="733" customFormat="false" ht="15" hidden="false" customHeight="false" outlineLevel="0" collapsed="false">
      <c r="A733" s="31"/>
      <c r="B733" s="32"/>
      <c r="C733" s="32"/>
      <c r="D733" s="32"/>
      <c r="E733" s="32"/>
      <c r="F733" s="32"/>
      <c r="G733" s="33"/>
      <c r="H733" s="33"/>
      <c r="I733" s="34" t="str">
        <f aca="false">IF($A733="","",$G733-$H733)</f>
        <v/>
      </c>
      <c r="J733" s="35" t="str">
        <f aca="false">IF($A733="","",IF(Setup!$B$6=1,YEAR($A733),YEAR($A733)+IF(MONTH($A733)&gt;=Setup!$B$6,1,0)))</f>
        <v/>
      </c>
      <c r="K733" s="35" t="str">
        <f aca="false">IF($A733="","",MOD(MONTH($A733)-Setup!$B$6+12,12)+1)</f>
        <v/>
      </c>
      <c r="L733" s="36" t="str">
        <f aca="false">IF($A733="","",TEXT($A733,"MMM-YY"))</f>
        <v/>
      </c>
      <c r="M733" s="37" t="str">
        <f aca="false">IF($A733="","",IF($Q733=0,"UNMAPPED",INDEX(COA_Mapping!$C$7:$C$256,$Q733)))</f>
        <v/>
      </c>
      <c r="N733" s="38" t="str">
        <f aca="false">IF($A733="","",IF($Q733=0,"",INDEX(COA_Mapping!$E$7:$E$256,$Q733)))</f>
        <v/>
      </c>
      <c r="O733" s="38" t="n">
        <f aca="false">IF($A733="",1,IF($Q733=0,1,INDEX(COA_Mapping!$F$7:$F$256,$Q733)))</f>
        <v>1</v>
      </c>
      <c r="P733" s="34" t="str">
        <f aca="false">IF($A733="","",$I733*$O733)</f>
        <v/>
      </c>
      <c r="Q733" s="39" t="n">
        <f aca="false">IF($B733="",0,IFERROR(MATCH($B733,COA_Mapping!$A$7:$A$256,0),0))</f>
        <v>0</v>
      </c>
      <c r="R733" s="39" t="n">
        <f aca="false">IF($A733="",-1,IF($J733=Setup!$B$7,1,IF($J733=Setup!$B$9,0,-1)))</f>
        <v>-1</v>
      </c>
      <c r="S733" s="35" t="n">
        <f aca="false">IF(OR($A733="",$Q733=0,$R733=-1),0,$Q733*1000+$R733*100+$K733)</f>
        <v>0</v>
      </c>
      <c r="T733" s="37" t="str">
        <f aca="false">IF($A733="","",IF($B733="","NO ACCOUNT",IF($Q733=0,"UNMAPPED",IF($R733=-1,"OUTSIDE FY RANGE","OK"))))</f>
        <v/>
      </c>
      <c r="U733" s="40" t="str">
        <f aca="false">IF($A733="","",$B733&amp;"|"&amp;TEXT($A733,"yyyymmdd")&amp;"|"&amp;TEXT($I733,"0.00"))</f>
        <v/>
      </c>
      <c r="V733" s="35" t="str">
        <f aca="false">IF($A733="","",COUNTIF($U$8:$U$5007,$U733))</f>
        <v/>
      </c>
    </row>
    <row r="734" customFormat="false" ht="15" hidden="false" customHeight="false" outlineLevel="0" collapsed="false">
      <c r="A734" s="31"/>
      <c r="B734" s="32"/>
      <c r="C734" s="32"/>
      <c r="D734" s="32"/>
      <c r="E734" s="32"/>
      <c r="F734" s="32"/>
      <c r="G734" s="33"/>
      <c r="H734" s="33"/>
      <c r="I734" s="34" t="str">
        <f aca="false">IF($A734="","",$G734-$H734)</f>
        <v/>
      </c>
      <c r="J734" s="35" t="str">
        <f aca="false">IF($A734="","",IF(Setup!$B$6=1,YEAR($A734),YEAR($A734)+IF(MONTH($A734)&gt;=Setup!$B$6,1,0)))</f>
        <v/>
      </c>
      <c r="K734" s="35" t="str">
        <f aca="false">IF($A734="","",MOD(MONTH($A734)-Setup!$B$6+12,12)+1)</f>
        <v/>
      </c>
      <c r="L734" s="36" t="str">
        <f aca="false">IF($A734="","",TEXT($A734,"MMM-YY"))</f>
        <v/>
      </c>
      <c r="M734" s="37" t="str">
        <f aca="false">IF($A734="","",IF($Q734=0,"UNMAPPED",INDEX(COA_Mapping!$C$7:$C$256,$Q734)))</f>
        <v/>
      </c>
      <c r="N734" s="38" t="str">
        <f aca="false">IF($A734="","",IF($Q734=0,"",INDEX(COA_Mapping!$E$7:$E$256,$Q734)))</f>
        <v/>
      </c>
      <c r="O734" s="38" t="n">
        <f aca="false">IF($A734="",1,IF($Q734=0,1,INDEX(COA_Mapping!$F$7:$F$256,$Q734)))</f>
        <v>1</v>
      </c>
      <c r="P734" s="34" t="str">
        <f aca="false">IF($A734="","",$I734*$O734)</f>
        <v/>
      </c>
      <c r="Q734" s="39" t="n">
        <f aca="false">IF($B734="",0,IFERROR(MATCH($B734,COA_Mapping!$A$7:$A$256,0),0))</f>
        <v>0</v>
      </c>
      <c r="R734" s="39" t="n">
        <f aca="false">IF($A734="",-1,IF($J734=Setup!$B$7,1,IF($J734=Setup!$B$9,0,-1)))</f>
        <v>-1</v>
      </c>
      <c r="S734" s="35" t="n">
        <f aca="false">IF(OR($A734="",$Q734=0,$R734=-1),0,$Q734*1000+$R734*100+$K734)</f>
        <v>0</v>
      </c>
      <c r="T734" s="37" t="str">
        <f aca="false">IF($A734="","",IF($B734="","NO ACCOUNT",IF($Q734=0,"UNMAPPED",IF($R734=-1,"OUTSIDE FY RANGE","OK"))))</f>
        <v/>
      </c>
      <c r="U734" s="40" t="str">
        <f aca="false">IF($A734="","",$B734&amp;"|"&amp;TEXT($A734,"yyyymmdd")&amp;"|"&amp;TEXT($I734,"0.00"))</f>
        <v/>
      </c>
      <c r="V734" s="35" t="str">
        <f aca="false">IF($A734="","",COUNTIF($U$8:$U$5007,$U734))</f>
        <v/>
      </c>
    </row>
    <row r="735" customFormat="false" ht="15" hidden="false" customHeight="false" outlineLevel="0" collapsed="false">
      <c r="A735" s="31"/>
      <c r="B735" s="32"/>
      <c r="C735" s="32"/>
      <c r="D735" s="32"/>
      <c r="E735" s="32"/>
      <c r="F735" s="32"/>
      <c r="G735" s="33"/>
      <c r="H735" s="33"/>
      <c r="I735" s="34" t="str">
        <f aca="false">IF($A735="","",$G735-$H735)</f>
        <v/>
      </c>
      <c r="J735" s="35" t="str">
        <f aca="false">IF($A735="","",IF(Setup!$B$6=1,YEAR($A735),YEAR($A735)+IF(MONTH($A735)&gt;=Setup!$B$6,1,0)))</f>
        <v/>
      </c>
      <c r="K735" s="35" t="str">
        <f aca="false">IF($A735="","",MOD(MONTH($A735)-Setup!$B$6+12,12)+1)</f>
        <v/>
      </c>
      <c r="L735" s="36" t="str">
        <f aca="false">IF($A735="","",TEXT($A735,"MMM-YY"))</f>
        <v/>
      </c>
      <c r="M735" s="37" t="str">
        <f aca="false">IF($A735="","",IF($Q735=0,"UNMAPPED",INDEX(COA_Mapping!$C$7:$C$256,$Q735)))</f>
        <v/>
      </c>
      <c r="N735" s="38" t="str">
        <f aca="false">IF($A735="","",IF($Q735=0,"",INDEX(COA_Mapping!$E$7:$E$256,$Q735)))</f>
        <v/>
      </c>
      <c r="O735" s="38" t="n">
        <f aca="false">IF($A735="",1,IF($Q735=0,1,INDEX(COA_Mapping!$F$7:$F$256,$Q735)))</f>
        <v>1</v>
      </c>
      <c r="P735" s="34" t="str">
        <f aca="false">IF($A735="","",$I735*$O735)</f>
        <v/>
      </c>
      <c r="Q735" s="39" t="n">
        <f aca="false">IF($B735="",0,IFERROR(MATCH($B735,COA_Mapping!$A$7:$A$256,0),0))</f>
        <v>0</v>
      </c>
      <c r="R735" s="39" t="n">
        <f aca="false">IF($A735="",-1,IF($J735=Setup!$B$7,1,IF($J735=Setup!$B$9,0,-1)))</f>
        <v>-1</v>
      </c>
      <c r="S735" s="35" t="n">
        <f aca="false">IF(OR($A735="",$Q735=0,$R735=-1),0,$Q735*1000+$R735*100+$K735)</f>
        <v>0</v>
      </c>
      <c r="T735" s="37" t="str">
        <f aca="false">IF($A735="","",IF($B735="","NO ACCOUNT",IF($Q735=0,"UNMAPPED",IF($R735=-1,"OUTSIDE FY RANGE","OK"))))</f>
        <v/>
      </c>
      <c r="U735" s="40" t="str">
        <f aca="false">IF($A735="","",$B735&amp;"|"&amp;TEXT($A735,"yyyymmdd")&amp;"|"&amp;TEXT($I735,"0.00"))</f>
        <v/>
      </c>
      <c r="V735" s="35" t="str">
        <f aca="false">IF($A735="","",COUNTIF($U$8:$U$5007,$U735))</f>
        <v/>
      </c>
    </row>
    <row r="736" customFormat="false" ht="15" hidden="false" customHeight="false" outlineLevel="0" collapsed="false">
      <c r="A736" s="31"/>
      <c r="B736" s="32"/>
      <c r="C736" s="32"/>
      <c r="D736" s="32"/>
      <c r="E736" s="32"/>
      <c r="F736" s="32"/>
      <c r="G736" s="33"/>
      <c r="H736" s="33"/>
      <c r="I736" s="34" t="str">
        <f aca="false">IF($A736="","",$G736-$H736)</f>
        <v/>
      </c>
      <c r="J736" s="35" t="str">
        <f aca="false">IF($A736="","",IF(Setup!$B$6=1,YEAR($A736),YEAR($A736)+IF(MONTH($A736)&gt;=Setup!$B$6,1,0)))</f>
        <v/>
      </c>
      <c r="K736" s="35" t="str">
        <f aca="false">IF($A736="","",MOD(MONTH($A736)-Setup!$B$6+12,12)+1)</f>
        <v/>
      </c>
      <c r="L736" s="36" t="str">
        <f aca="false">IF($A736="","",TEXT($A736,"MMM-YY"))</f>
        <v/>
      </c>
      <c r="M736" s="37" t="str">
        <f aca="false">IF($A736="","",IF($Q736=0,"UNMAPPED",INDEX(COA_Mapping!$C$7:$C$256,$Q736)))</f>
        <v/>
      </c>
      <c r="N736" s="38" t="str">
        <f aca="false">IF($A736="","",IF($Q736=0,"",INDEX(COA_Mapping!$E$7:$E$256,$Q736)))</f>
        <v/>
      </c>
      <c r="O736" s="38" t="n">
        <f aca="false">IF($A736="",1,IF($Q736=0,1,INDEX(COA_Mapping!$F$7:$F$256,$Q736)))</f>
        <v>1</v>
      </c>
      <c r="P736" s="34" t="str">
        <f aca="false">IF($A736="","",$I736*$O736)</f>
        <v/>
      </c>
      <c r="Q736" s="39" t="n">
        <f aca="false">IF($B736="",0,IFERROR(MATCH($B736,COA_Mapping!$A$7:$A$256,0),0))</f>
        <v>0</v>
      </c>
      <c r="R736" s="39" t="n">
        <f aca="false">IF($A736="",-1,IF($J736=Setup!$B$7,1,IF($J736=Setup!$B$9,0,-1)))</f>
        <v>-1</v>
      </c>
      <c r="S736" s="35" t="n">
        <f aca="false">IF(OR($A736="",$Q736=0,$R736=-1),0,$Q736*1000+$R736*100+$K736)</f>
        <v>0</v>
      </c>
      <c r="T736" s="37" t="str">
        <f aca="false">IF($A736="","",IF($B736="","NO ACCOUNT",IF($Q736=0,"UNMAPPED",IF($R736=-1,"OUTSIDE FY RANGE","OK"))))</f>
        <v/>
      </c>
      <c r="U736" s="40" t="str">
        <f aca="false">IF($A736="","",$B736&amp;"|"&amp;TEXT($A736,"yyyymmdd")&amp;"|"&amp;TEXT($I736,"0.00"))</f>
        <v/>
      </c>
      <c r="V736" s="35" t="str">
        <f aca="false">IF($A736="","",COUNTIF($U$8:$U$5007,$U736))</f>
        <v/>
      </c>
    </row>
    <row r="737" customFormat="false" ht="15" hidden="false" customHeight="false" outlineLevel="0" collapsed="false">
      <c r="A737" s="31"/>
      <c r="B737" s="32"/>
      <c r="C737" s="32"/>
      <c r="D737" s="32"/>
      <c r="E737" s="32"/>
      <c r="F737" s="32"/>
      <c r="G737" s="33"/>
      <c r="H737" s="33"/>
      <c r="I737" s="34" t="str">
        <f aca="false">IF($A737="","",$G737-$H737)</f>
        <v/>
      </c>
      <c r="J737" s="35" t="str">
        <f aca="false">IF($A737="","",IF(Setup!$B$6=1,YEAR($A737),YEAR($A737)+IF(MONTH($A737)&gt;=Setup!$B$6,1,0)))</f>
        <v/>
      </c>
      <c r="K737" s="35" t="str">
        <f aca="false">IF($A737="","",MOD(MONTH($A737)-Setup!$B$6+12,12)+1)</f>
        <v/>
      </c>
      <c r="L737" s="36" t="str">
        <f aca="false">IF($A737="","",TEXT($A737,"MMM-YY"))</f>
        <v/>
      </c>
      <c r="M737" s="37" t="str">
        <f aca="false">IF($A737="","",IF($Q737=0,"UNMAPPED",INDEX(COA_Mapping!$C$7:$C$256,$Q737)))</f>
        <v/>
      </c>
      <c r="N737" s="38" t="str">
        <f aca="false">IF($A737="","",IF($Q737=0,"",INDEX(COA_Mapping!$E$7:$E$256,$Q737)))</f>
        <v/>
      </c>
      <c r="O737" s="38" t="n">
        <f aca="false">IF($A737="",1,IF($Q737=0,1,INDEX(COA_Mapping!$F$7:$F$256,$Q737)))</f>
        <v>1</v>
      </c>
      <c r="P737" s="34" t="str">
        <f aca="false">IF($A737="","",$I737*$O737)</f>
        <v/>
      </c>
      <c r="Q737" s="39" t="n">
        <f aca="false">IF($B737="",0,IFERROR(MATCH($B737,COA_Mapping!$A$7:$A$256,0),0))</f>
        <v>0</v>
      </c>
      <c r="R737" s="39" t="n">
        <f aca="false">IF($A737="",-1,IF($J737=Setup!$B$7,1,IF($J737=Setup!$B$9,0,-1)))</f>
        <v>-1</v>
      </c>
      <c r="S737" s="35" t="n">
        <f aca="false">IF(OR($A737="",$Q737=0,$R737=-1),0,$Q737*1000+$R737*100+$K737)</f>
        <v>0</v>
      </c>
      <c r="T737" s="37" t="str">
        <f aca="false">IF($A737="","",IF($B737="","NO ACCOUNT",IF($Q737=0,"UNMAPPED",IF($R737=-1,"OUTSIDE FY RANGE","OK"))))</f>
        <v/>
      </c>
      <c r="U737" s="40" t="str">
        <f aca="false">IF($A737="","",$B737&amp;"|"&amp;TEXT($A737,"yyyymmdd")&amp;"|"&amp;TEXT($I737,"0.00"))</f>
        <v/>
      </c>
      <c r="V737" s="35" t="str">
        <f aca="false">IF($A737="","",COUNTIF($U$8:$U$5007,$U737))</f>
        <v/>
      </c>
    </row>
    <row r="738" customFormat="false" ht="15" hidden="false" customHeight="false" outlineLevel="0" collapsed="false">
      <c r="A738" s="31"/>
      <c r="B738" s="32"/>
      <c r="C738" s="32"/>
      <c r="D738" s="32"/>
      <c r="E738" s="32"/>
      <c r="F738" s="32"/>
      <c r="G738" s="33"/>
      <c r="H738" s="33"/>
      <c r="I738" s="34" t="str">
        <f aca="false">IF($A738="","",$G738-$H738)</f>
        <v/>
      </c>
      <c r="J738" s="35" t="str">
        <f aca="false">IF($A738="","",IF(Setup!$B$6=1,YEAR($A738),YEAR($A738)+IF(MONTH($A738)&gt;=Setup!$B$6,1,0)))</f>
        <v/>
      </c>
      <c r="K738" s="35" t="str">
        <f aca="false">IF($A738="","",MOD(MONTH($A738)-Setup!$B$6+12,12)+1)</f>
        <v/>
      </c>
      <c r="L738" s="36" t="str">
        <f aca="false">IF($A738="","",TEXT($A738,"MMM-YY"))</f>
        <v/>
      </c>
      <c r="M738" s="37" t="str">
        <f aca="false">IF($A738="","",IF($Q738=0,"UNMAPPED",INDEX(COA_Mapping!$C$7:$C$256,$Q738)))</f>
        <v/>
      </c>
      <c r="N738" s="38" t="str">
        <f aca="false">IF($A738="","",IF($Q738=0,"",INDEX(COA_Mapping!$E$7:$E$256,$Q738)))</f>
        <v/>
      </c>
      <c r="O738" s="38" t="n">
        <f aca="false">IF($A738="",1,IF($Q738=0,1,INDEX(COA_Mapping!$F$7:$F$256,$Q738)))</f>
        <v>1</v>
      </c>
      <c r="P738" s="34" t="str">
        <f aca="false">IF($A738="","",$I738*$O738)</f>
        <v/>
      </c>
      <c r="Q738" s="39" t="n">
        <f aca="false">IF($B738="",0,IFERROR(MATCH($B738,COA_Mapping!$A$7:$A$256,0),0))</f>
        <v>0</v>
      </c>
      <c r="R738" s="39" t="n">
        <f aca="false">IF($A738="",-1,IF($J738=Setup!$B$7,1,IF($J738=Setup!$B$9,0,-1)))</f>
        <v>-1</v>
      </c>
      <c r="S738" s="35" t="n">
        <f aca="false">IF(OR($A738="",$Q738=0,$R738=-1),0,$Q738*1000+$R738*100+$K738)</f>
        <v>0</v>
      </c>
      <c r="T738" s="37" t="str">
        <f aca="false">IF($A738="","",IF($B738="","NO ACCOUNT",IF($Q738=0,"UNMAPPED",IF($R738=-1,"OUTSIDE FY RANGE","OK"))))</f>
        <v/>
      </c>
      <c r="U738" s="40" t="str">
        <f aca="false">IF($A738="","",$B738&amp;"|"&amp;TEXT($A738,"yyyymmdd")&amp;"|"&amp;TEXT($I738,"0.00"))</f>
        <v/>
      </c>
      <c r="V738" s="35" t="str">
        <f aca="false">IF($A738="","",COUNTIF($U$8:$U$5007,$U738))</f>
        <v/>
      </c>
    </row>
    <row r="739" customFormat="false" ht="15" hidden="false" customHeight="false" outlineLevel="0" collapsed="false">
      <c r="A739" s="31"/>
      <c r="B739" s="32"/>
      <c r="C739" s="32"/>
      <c r="D739" s="32"/>
      <c r="E739" s="32"/>
      <c r="F739" s="32"/>
      <c r="G739" s="33"/>
      <c r="H739" s="33"/>
      <c r="I739" s="34" t="str">
        <f aca="false">IF($A739="","",$G739-$H739)</f>
        <v/>
      </c>
      <c r="J739" s="35" t="str">
        <f aca="false">IF($A739="","",IF(Setup!$B$6=1,YEAR($A739),YEAR($A739)+IF(MONTH($A739)&gt;=Setup!$B$6,1,0)))</f>
        <v/>
      </c>
      <c r="K739" s="35" t="str">
        <f aca="false">IF($A739="","",MOD(MONTH($A739)-Setup!$B$6+12,12)+1)</f>
        <v/>
      </c>
      <c r="L739" s="36" t="str">
        <f aca="false">IF($A739="","",TEXT($A739,"MMM-YY"))</f>
        <v/>
      </c>
      <c r="M739" s="37" t="str">
        <f aca="false">IF($A739="","",IF($Q739=0,"UNMAPPED",INDEX(COA_Mapping!$C$7:$C$256,$Q739)))</f>
        <v/>
      </c>
      <c r="N739" s="38" t="str">
        <f aca="false">IF($A739="","",IF($Q739=0,"",INDEX(COA_Mapping!$E$7:$E$256,$Q739)))</f>
        <v/>
      </c>
      <c r="O739" s="38" t="n">
        <f aca="false">IF($A739="",1,IF($Q739=0,1,INDEX(COA_Mapping!$F$7:$F$256,$Q739)))</f>
        <v>1</v>
      </c>
      <c r="P739" s="34" t="str">
        <f aca="false">IF($A739="","",$I739*$O739)</f>
        <v/>
      </c>
      <c r="Q739" s="39" t="n">
        <f aca="false">IF($B739="",0,IFERROR(MATCH($B739,COA_Mapping!$A$7:$A$256,0),0))</f>
        <v>0</v>
      </c>
      <c r="R739" s="39" t="n">
        <f aca="false">IF($A739="",-1,IF($J739=Setup!$B$7,1,IF($J739=Setup!$B$9,0,-1)))</f>
        <v>-1</v>
      </c>
      <c r="S739" s="35" t="n">
        <f aca="false">IF(OR($A739="",$Q739=0,$R739=-1),0,$Q739*1000+$R739*100+$K739)</f>
        <v>0</v>
      </c>
      <c r="T739" s="37" t="str">
        <f aca="false">IF($A739="","",IF($B739="","NO ACCOUNT",IF($Q739=0,"UNMAPPED",IF($R739=-1,"OUTSIDE FY RANGE","OK"))))</f>
        <v/>
      </c>
      <c r="U739" s="40" t="str">
        <f aca="false">IF($A739="","",$B739&amp;"|"&amp;TEXT($A739,"yyyymmdd")&amp;"|"&amp;TEXT($I739,"0.00"))</f>
        <v/>
      </c>
      <c r="V739" s="35" t="str">
        <f aca="false">IF($A739="","",COUNTIF($U$8:$U$5007,$U739))</f>
        <v/>
      </c>
    </row>
    <row r="740" customFormat="false" ht="15" hidden="false" customHeight="false" outlineLevel="0" collapsed="false">
      <c r="A740" s="31"/>
      <c r="B740" s="32"/>
      <c r="C740" s="32"/>
      <c r="D740" s="32"/>
      <c r="E740" s="32"/>
      <c r="F740" s="32"/>
      <c r="G740" s="33"/>
      <c r="H740" s="33"/>
      <c r="I740" s="34" t="str">
        <f aca="false">IF($A740="","",$G740-$H740)</f>
        <v/>
      </c>
      <c r="J740" s="35" t="str">
        <f aca="false">IF($A740="","",IF(Setup!$B$6=1,YEAR($A740),YEAR($A740)+IF(MONTH($A740)&gt;=Setup!$B$6,1,0)))</f>
        <v/>
      </c>
      <c r="K740" s="35" t="str">
        <f aca="false">IF($A740="","",MOD(MONTH($A740)-Setup!$B$6+12,12)+1)</f>
        <v/>
      </c>
      <c r="L740" s="36" t="str">
        <f aca="false">IF($A740="","",TEXT($A740,"MMM-YY"))</f>
        <v/>
      </c>
      <c r="M740" s="37" t="str">
        <f aca="false">IF($A740="","",IF($Q740=0,"UNMAPPED",INDEX(COA_Mapping!$C$7:$C$256,$Q740)))</f>
        <v/>
      </c>
      <c r="N740" s="38" t="str">
        <f aca="false">IF($A740="","",IF($Q740=0,"",INDEX(COA_Mapping!$E$7:$E$256,$Q740)))</f>
        <v/>
      </c>
      <c r="O740" s="38" t="n">
        <f aca="false">IF($A740="",1,IF($Q740=0,1,INDEX(COA_Mapping!$F$7:$F$256,$Q740)))</f>
        <v>1</v>
      </c>
      <c r="P740" s="34" t="str">
        <f aca="false">IF($A740="","",$I740*$O740)</f>
        <v/>
      </c>
      <c r="Q740" s="39" t="n">
        <f aca="false">IF($B740="",0,IFERROR(MATCH($B740,COA_Mapping!$A$7:$A$256,0),0))</f>
        <v>0</v>
      </c>
      <c r="R740" s="39" t="n">
        <f aca="false">IF($A740="",-1,IF($J740=Setup!$B$7,1,IF($J740=Setup!$B$9,0,-1)))</f>
        <v>-1</v>
      </c>
      <c r="S740" s="35" t="n">
        <f aca="false">IF(OR($A740="",$Q740=0,$R740=-1),0,$Q740*1000+$R740*100+$K740)</f>
        <v>0</v>
      </c>
      <c r="T740" s="37" t="str">
        <f aca="false">IF($A740="","",IF($B740="","NO ACCOUNT",IF($Q740=0,"UNMAPPED",IF($R740=-1,"OUTSIDE FY RANGE","OK"))))</f>
        <v/>
      </c>
      <c r="U740" s="40" t="str">
        <f aca="false">IF($A740="","",$B740&amp;"|"&amp;TEXT($A740,"yyyymmdd")&amp;"|"&amp;TEXT($I740,"0.00"))</f>
        <v/>
      </c>
      <c r="V740" s="35" t="str">
        <f aca="false">IF($A740="","",COUNTIF($U$8:$U$5007,$U740))</f>
        <v/>
      </c>
    </row>
    <row r="741" customFormat="false" ht="15" hidden="false" customHeight="false" outlineLevel="0" collapsed="false">
      <c r="A741" s="31"/>
      <c r="B741" s="32"/>
      <c r="C741" s="32"/>
      <c r="D741" s="32"/>
      <c r="E741" s="32"/>
      <c r="F741" s="32"/>
      <c r="G741" s="33"/>
      <c r="H741" s="33"/>
      <c r="I741" s="34" t="str">
        <f aca="false">IF($A741="","",$G741-$H741)</f>
        <v/>
      </c>
      <c r="J741" s="35" t="str">
        <f aca="false">IF($A741="","",IF(Setup!$B$6=1,YEAR($A741),YEAR($A741)+IF(MONTH($A741)&gt;=Setup!$B$6,1,0)))</f>
        <v/>
      </c>
      <c r="K741" s="35" t="str">
        <f aca="false">IF($A741="","",MOD(MONTH($A741)-Setup!$B$6+12,12)+1)</f>
        <v/>
      </c>
      <c r="L741" s="36" t="str">
        <f aca="false">IF($A741="","",TEXT($A741,"MMM-YY"))</f>
        <v/>
      </c>
      <c r="M741" s="37" t="str">
        <f aca="false">IF($A741="","",IF($Q741=0,"UNMAPPED",INDEX(COA_Mapping!$C$7:$C$256,$Q741)))</f>
        <v/>
      </c>
      <c r="N741" s="38" t="str">
        <f aca="false">IF($A741="","",IF($Q741=0,"",INDEX(COA_Mapping!$E$7:$E$256,$Q741)))</f>
        <v/>
      </c>
      <c r="O741" s="38" t="n">
        <f aca="false">IF($A741="",1,IF($Q741=0,1,INDEX(COA_Mapping!$F$7:$F$256,$Q741)))</f>
        <v>1</v>
      </c>
      <c r="P741" s="34" t="str">
        <f aca="false">IF($A741="","",$I741*$O741)</f>
        <v/>
      </c>
      <c r="Q741" s="39" t="n">
        <f aca="false">IF($B741="",0,IFERROR(MATCH($B741,COA_Mapping!$A$7:$A$256,0),0))</f>
        <v>0</v>
      </c>
      <c r="R741" s="39" t="n">
        <f aca="false">IF($A741="",-1,IF($J741=Setup!$B$7,1,IF($J741=Setup!$B$9,0,-1)))</f>
        <v>-1</v>
      </c>
      <c r="S741" s="35" t="n">
        <f aca="false">IF(OR($A741="",$Q741=0,$R741=-1),0,$Q741*1000+$R741*100+$K741)</f>
        <v>0</v>
      </c>
      <c r="T741" s="37" t="str">
        <f aca="false">IF($A741="","",IF($B741="","NO ACCOUNT",IF($Q741=0,"UNMAPPED",IF($R741=-1,"OUTSIDE FY RANGE","OK"))))</f>
        <v/>
      </c>
      <c r="U741" s="40" t="str">
        <f aca="false">IF($A741="","",$B741&amp;"|"&amp;TEXT($A741,"yyyymmdd")&amp;"|"&amp;TEXT($I741,"0.00"))</f>
        <v/>
      </c>
      <c r="V741" s="35" t="str">
        <f aca="false">IF($A741="","",COUNTIF($U$8:$U$5007,$U741))</f>
        <v/>
      </c>
    </row>
    <row r="742" customFormat="false" ht="15" hidden="false" customHeight="false" outlineLevel="0" collapsed="false">
      <c r="A742" s="31"/>
      <c r="B742" s="32"/>
      <c r="C742" s="32"/>
      <c r="D742" s="32"/>
      <c r="E742" s="32"/>
      <c r="F742" s="32"/>
      <c r="G742" s="33"/>
      <c r="H742" s="33"/>
      <c r="I742" s="34" t="str">
        <f aca="false">IF($A742="","",$G742-$H742)</f>
        <v/>
      </c>
      <c r="J742" s="35" t="str">
        <f aca="false">IF($A742="","",IF(Setup!$B$6=1,YEAR($A742),YEAR($A742)+IF(MONTH($A742)&gt;=Setup!$B$6,1,0)))</f>
        <v/>
      </c>
      <c r="K742" s="35" t="str">
        <f aca="false">IF($A742="","",MOD(MONTH($A742)-Setup!$B$6+12,12)+1)</f>
        <v/>
      </c>
      <c r="L742" s="36" t="str">
        <f aca="false">IF($A742="","",TEXT($A742,"MMM-YY"))</f>
        <v/>
      </c>
      <c r="M742" s="37" t="str">
        <f aca="false">IF($A742="","",IF($Q742=0,"UNMAPPED",INDEX(COA_Mapping!$C$7:$C$256,$Q742)))</f>
        <v/>
      </c>
      <c r="N742" s="38" t="str">
        <f aca="false">IF($A742="","",IF($Q742=0,"",INDEX(COA_Mapping!$E$7:$E$256,$Q742)))</f>
        <v/>
      </c>
      <c r="O742" s="38" t="n">
        <f aca="false">IF($A742="",1,IF($Q742=0,1,INDEX(COA_Mapping!$F$7:$F$256,$Q742)))</f>
        <v>1</v>
      </c>
      <c r="P742" s="34" t="str">
        <f aca="false">IF($A742="","",$I742*$O742)</f>
        <v/>
      </c>
      <c r="Q742" s="39" t="n">
        <f aca="false">IF($B742="",0,IFERROR(MATCH($B742,COA_Mapping!$A$7:$A$256,0),0))</f>
        <v>0</v>
      </c>
      <c r="R742" s="39" t="n">
        <f aca="false">IF($A742="",-1,IF($J742=Setup!$B$7,1,IF($J742=Setup!$B$9,0,-1)))</f>
        <v>-1</v>
      </c>
      <c r="S742" s="35" t="n">
        <f aca="false">IF(OR($A742="",$Q742=0,$R742=-1),0,$Q742*1000+$R742*100+$K742)</f>
        <v>0</v>
      </c>
      <c r="T742" s="37" t="str">
        <f aca="false">IF($A742="","",IF($B742="","NO ACCOUNT",IF($Q742=0,"UNMAPPED",IF($R742=-1,"OUTSIDE FY RANGE","OK"))))</f>
        <v/>
      </c>
      <c r="U742" s="40" t="str">
        <f aca="false">IF($A742="","",$B742&amp;"|"&amp;TEXT($A742,"yyyymmdd")&amp;"|"&amp;TEXT($I742,"0.00"))</f>
        <v/>
      </c>
      <c r="V742" s="35" t="str">
        <f aca="false">IF($A742="","",COUNTIF($U$8:$U$5007,$U742))</f>
        <v/>
      </c>
    </row>
    <row r="743" customFormat="false" ht="15" hidden="false" customHeight="false" outlineLevel="0" collapsed="false">
      <c r="A743" s="31"/>
      <c r="B743" s="32"/>
      <c r="C743" s="32"/>
      <c r="D743" s="32"/>
      <c r="E743" s="32"/>
      <c r="F743" s="32"/>
      <c r="G743" s="33"/>
      <c r="H743" s="33"/>
      <c r="I743" s="34" t="str">
        <f aca="false">IF($A743="","",$G743-$H743)</f>
        <v/>
      </c>
      <c r="J743" s="35" t="str">
        <f aca="false">IF($A743="","",IF(Setup!$B$6=1,YEAR($A743),YEAR($A743)+IF(MONTH($A743)&gt;=Setup!$B$6,1,0)))</f>
        <v/>
      </c>
      <c r="K743" s="35" t="str">
        <f aca="false">IF($A743="","",MOD(MONTH($A743)-Setup!$B$6+12,12)+1)</f>
        <v/>
      </c>
      <c r="L743" s="36" t="str">
        <f aca="false">IF($A743="","",TEXT($A743,"MMM-YY"))</f>
        <v/>
      </c>
      <c r="M743" s="37" t="str">
        <f aca="false">IF($A743="","",IF($Q743=0,"UNMAPPED",INDEX(COA_Mapping!$C$7:$C$256,$Q743)))</f>
        <v/>
      </c>
      <c r="N743" s="38" t="str">
        <f aca="false">IF($A743="","",IF($Q743=0,"",INDEX(COA_Mapping!$E$7:$E$256,$Q743)))</f>
        <v/>
      </c>
      <c r="O743" s="38" t="n">
        <f aca="false">IF($A743="",1,IF($Q743=0,1,INDEX(COA_Mapping!$F$7:$F$256,$Q743)))</f>
        <v>1</v>
      </c>
      <c r="P743" s="34" t="str">
        <f aca="false">IF($A743="","",$I743*$O743)</f>
        <v/>
      </c>
      <c r="Q743" s="39" t="n">
        <f aca="false">IF($B743="",0,IFERROR(MATCH($B743,COA_Mapping!$A$7:$A$256,0),0))</f>
        <v>0</v>
      </c>
      <c r="R743" s="39" t="n">
        <f aca="false">IF($A743="",-1,IF($J743=Setup!$B$7,1,IF($J743=Setup!$B$9,0,-1)))</f>
        <v>-1</v>
      </c>
      <c r="S743" s="35" t="n">
        <f aca="false">IF(OR($A743="",$Q743=0,$R743=-1),0,$Q743*1000+$R743*100+$K743)</f>
        <v>0</v>
      </c>
      <c r="T743" s="37" t="str">
        <f aca="false">IF($A743="","",IF($B743="","NO ACCOUNT",IF($Q743=0,"UNMAPPED",IF($R743=-1,"OUTSIDE FY RANGE","OK"))))</f>
        <v/>
      </c>
      <c r="U743" s="40" t="str">
        <f aca="false">IF($A743="","",$B743&amp;"|"&amp;TEXT($A743,"yyyymmdd")&amp;"|"&amp;TEXT($I743,"0.00"))</f>
        <v/>
      </c>
      <c r="V743" s="35" t="str">
        <f aca="false">IF($A743="","",COUNTIF($U$8:$U$5007,$U743))</f>
        <v/>
      </c>
    </row>
    <row r="744" customFormat="false" ht="15" hidden="false" customHeight="false" outlineLevel="0" collapsed="false">
      <c r="A744" s="31"/>
      <c r="B744" s="32"/>
      <c r="C744" s="32"/>
      <c r="D744" s="32"/>
      <c r="E744" s="32"/>
      <c r="F744" s="32"/>
      <c r="G744" s="33"/>
      <c r="H744" s="33"/>
      <c r="I744" s="34" t="str">
        <f aca="false">IF($A744="","",$G744-$H744)</f>
        <v/>
      </c>
      <c r="J744" s="35" t="str">
        <f aca="false">IF($A744="","",IF(Setup!$B$6=1,YEAR($A744),YEAR($A744)+IF(MONTH($A744)&gt;=Setup!$B$6,1,0)))</f>
        <v/>
      </c>
      <c r="K744" s="35" t="str">
        <f aca="false">IF($A744="","",MOD(MONTH($A744)-Setup!$B$6+12,12)+1)</f>
        <v/>
      </c>
      <c r="L744" s="36" t="str">
        <f aca="false">IF($A744="","",TEXT($A744,"MMM-YY"))</f>
        <v/>
      </c>
      <c r="M744" s="37" t="str">
        <f aca="false">IF($A744="","",IF($Q744=0,"UNMAPPED",INDEX(COA_Mapping!$C$7:$C$256,$Q744)))</f>
        <v/>
      </c>
      <c r="N744" s="38" t="str">
        <f aca="false">IF($A744="","",IF($Q744=0,"",INDEX(COA_Mapping!$E$7:$E$256,$Q744)))</f>
        <v/>
      </c>
      <c r="O744" s="38" t="n">
        <f aca="false">IF($A744="",1,IF($Q744=0,1,INDEX(COA_Mapping!$F$7:$F$256,$Q744)))</f>
        <v>1</v>
      </c>
      <c r="P744" s="34" t="str">
        <f aca="false">IF($A744="","",$I744*$O744)</f>
        <v/>
      </c>
      <c r="Q744" s="39" t="n">
        <f aca="false">IF($B744="",0,IFERROR(MATCH($B744,COA_Mapping!$A$7:$A$256,0),0))</f>
        <v>0</v>
      </c>
      <c r="R744" s="39" t="n">
        <f aca="false">IF($A744="",-1,IF($J744=Setup!$B$7,1,IF($J744=Setup!$B$9,0,-1)))</f>
        <v>-1</v>
      </c>
      <c r="S744" s="35" t="n">
        <f aca="false">IF(OR($A744="",$Q744=0,$R744=-1),0,$Q744*1000+$R744*100+$K744)</f>
        <v>0</v>
      </c>
      <c r="T744" s="37" t="str">
        <f aca="false">IF($A744="","",IF($B744="","NO ACCOUNT",IF($Q744=0,"UNMAPPED",IF($R744=-1,"OUTSIDE FY RANGE","OK"))))</f>
        <v/>
      </c>
      <c r="U744" s="40" t="str">
        <f aca="false">IF($A744="","",$B744&amp;"|"&amp;TEXT($A744,"yyyymmdd")&amp;"|"&amp;TEXT($I744,"0.00"))</f>
        <v/>
      </c>
      <c r="V744" s="35" t="str">
        <f aca="false">IF($A744="","",COUNTIF($U$8:$U$5007,$U744))</f>
        <v/>
      </c>
    </row>
    <row r="745" customFormat="false" ht="15" hidden="false" customHeight="false" outlineLevel="0" collapsed="false">
      <c r="A745" s="31"/>
      <c r="B745" s="32"/>
      <c r="C745" s="32"/>
      <c r="D745" s="32"/>
      <c r="E745" s="32"/>
      <c r="F745" s="32"/>
      <c r="G745" s="33"/>
      <c r="H745" s="33"/>
      <c r="I745" s="34" t="str">
        <f aca="false">IF($A745="","",$G745-$H745)</f>
        <v/>
      </c>
      <c r="J745" s="35" t="str">
        <f aca="false">IF($A745="","",IF(Setup!$B$6=1,YEAR($A745),YEAR($A745)+IF(MONTH($A745)&gt;=Setup!$B$6,1,0)))</f>
        <v/>
      </c>
      <c r="K745" s="35" t="str">
        <f aca="false">IF($A745="","",MOD(MONTH($A745)-Setup!$B$6+12,12)+1)</f>
        <v/>
      </c>
      <c r="L745" s="36" t="str">
        <f aca="false">IF($A745="","",TEXT($A745,"MMM-YY"))</f>
        <v/>
      </c>
      <c r="M745" s="37" t="str">
        <f aca="false">IF($A745="","",IF($Q745=0,"UNMAPPED",INDEX(COA_Mapping!$C$7:$C$256,$Q745)))</f>
        <v/>
      </c>
      <c r="N745" s="38" t="str">
        <f aca="false">IF($A745="","",IF($Q745=0,"",INDEX(COA_Mapping!$E$7:$E$256,$Q745)))</f>
        <v/>
      </c>
      <c r="O745" s="38" t="n">
        <f aca="false">IF($A745="",1,IF($Q745=0,1,INDEX(COA_Mapping!$F$7:$F$256,$Q745)))</f>
        <v>1</v>
      </c>
      <c r="P745" s="34" t="str">
        <f aca="false">IF($A745="","",$I745*$O745)</f>
        <v/>
      </c>
      <c r="Q745" s="39" t="n">
        <f aca="false">IF($B745="",0,IFERROR(MATCH($B745,COA_Mapping!$A$7:$A$256,0),0))</f>
        <v>0</v>
      </c>
      <c r="R745" s="39" t="n">
        <f aca="false">IF($A745="",-1,IF($J745=Setup!$B$7,1,IF($J745=Setup!$B$9,0,-1)))</f>
        <v>-1</v>
      </c>
      <c r="S745" s="35" t="n">
        <f aca="false">IF(OR($A745="",$Q745=0,$R745=-1),0,$Q745*1000+$R745*100+$K745)</f>
        <v>0</v>
      </c>
      <c r="T745" s="37" t="str">
        <f aca="false">IF($A745="","",IF($B745="","NO ACCOUNT",IF($Q745=0,"UNMAPPED",IF($R745=-1,"OUTSIDE FY RANGE","OK"))))</f>
        <v/>
      </c>
      <c r="U745" s="40" t="str">
        <f aca="false">IF($A745="","",$B745&amp;"|"&amp;TEXT($A745,"yyyymmdd")&amp;"|"&amp;TEXT($I745,"0.00"))</f>
        <v/>
      </c>
      <c r="V745" s="35" t="str">
        <f aca="false">IF($A745="","",COUNTIF($U$8:$U$5007,$U745))</f>
        <v/>
      </c>
    </row>
    <row r="746" customFormat="false" ht="15" hidden="false" customHeight="false" outlineLevel="0" collapsed="false">
      <c r="A746" s="31"/>
      <c r="B746" s="32"/>
      <c r="C746" s="32"/>
      <c r="D746" s="32"/>
      <c r="E746" s="32"/>
      <c r="F746" s="32"/>
      <c r="G746" s="33"/>
      <c r="H746" s="33"/>
      <c r="I746" s="34" t="str">
        <f aca="false">IF($A746="","",$G746-$H746)</f>
        <v/>
      </c>
      <c r="J746" s="35" t="str">
        <f aca="false">IF($A746="","",IF(Setup!$B$6=1,YEAR($A746),YEAR($A746)+IF(MONTH($A746)&gt;=Setup!$B$6,1,0)))</f>
        <v/>
      </c>
      <c r="K746" s="35" t="str">
        <f aca="false">IF($A746="","",MOD(MONTH($A746)-Setup!$B$6+12,12)+1)</f>
        <v/>
      </c>
      <c r="L746" s="36" t="str">
        <f aca="false">IF($A746="","",TEXT($A746,"MMM-YY"))</f>
        <v/>
      </c>
      <c r="M746" s="37" t="str">
        <f aca="false">IF($A746="","",IF($Q746=0,"UNMAPPED",INDEX(COA_Mapping!$C$7:$C$256,$Q746)))</f>
        <v/>
      </c>
      <c r="N746" s="38" t="str">
        <f aca="false">IF($A746="","",IF($Q746=0,"",INDEX(COA_Mapping!$E$7:$E$256,$Q746)))</f>
        <v/>
      </c>
      <c r="O746" s="38" t="n">
        <f aca="false">IF($A746="",1,IF($Q746=0,1,INDEX(COA_Mapping!$F$7:$F$256,$Q746)))</f>
        <v>1</v>
      </c>
      <c r="P746" s="34" t="str">
        <f aca="false">IF($A746="","",$I746*$O746)</f>
        <v/>
      </c>
      <c r="Q746" s="39" t="n">
        <f aca="false">IF($B746="",0,IFERROR(MATCH($B746,COA_Mapping!$A$7:$A$256,0),0))</f>
        <v>0</v>
      </c>
      <c r="R746" s="39" t="n">
        <f aca="false">IF($A746="",-1,IF($J746=Setup!$B$7,1,IF($J746=Setup!$B$9,0,-1)))</f>
        <v>-1</v>
      </c>
      <c r="S746" s="35" t="n">
        <f aca="false">IF(OR($A746="",$Q746=0,$R746=-1),0,$Q746*1000+$R746*100+$K746)</f>
        <v>0</v>
      </c>
      <c r="T746" s="37" t="str">
        <f aca="false">IF($A746="","",IF($B746="","NO ACCOUNT",IF($Q746=0,"UNMAPPED",IF($R746=-1,"OUTSIDE FY RANGE","OK"))))</f>
        <v/>
      </c>
      <c r="U746" s="40" t="str">
        <f aca="false">IF($A746="","",$B746&amp;"|"&amp;TEXT($A746,"yyyymmdd")&amp;"|"&amp;TEXT($I746,"0.00"))</f>
        <v/>
      </c>
      <c r="V746" s="35" t="str">
        <f aca="false">IF($A746="","",COUNTIF($U$8:$U$5007,$U746))</f>
        <v/>
      </c>
    </row>
    <row r="747" customFormat="false" ht="15" hidden="false" customHeight="false" outlineLevel="0" collapsed="false">
      <c r="A747" s="31"/>
      <c r="B747" s="32"/>
      <c r="C747" s="32"/>
      <c r="D747" s="32"/>
      <c r="E747" s="32"/>
      <c r="F747" s="32"/>
      <c r="G747" s="33"/>
      <c r="H747" s="33"/>
      <c r="I747" s="34" t="str">
        <f aca="false">IF($A747="","",$G747-$H747)</f>
        <v/>
      </c>
      <c r="J747" s="35" t="str">
        <f aca="false">IF($A747="","",IF(Setup!$B$6=1,YEAR($A747),YEAR($A747)+IF(MONTH($A747)&gt;=Setup!$B$6,1,0)))</f>
        <v/>
      </c>
      <c r="K747" s="35" t="str">
        <f aca="false">IF($A747="","",MOD(MONTH($A747)-Setup!$B$6+12,12)+1)</f>
        <v/>
      </c>
      <c r="L747" s="36" t="str">
        <f aca="false">IF($A747="","",TEXT($A747,"MMM-YY"))</f>
        <v/>
      </c>
      <c r="M747" s="37" t="str">
        <f aca="false">IF($A747="","",IF($Q747=0,"UNMAPPED",INDEX(COA_Mapping!$C$7:$C$256,$Q747)))</f>
        <v/>
      </c>
      <c r="N747" s="38" t="str">
        <f aca="false">IF($A747="","",IF($Q747=0,"",INDEX(COA_Mapping!$E$7:$E$256,$Q747)))</f>
        <v/>
      </c>
      <c r="O747" s="38" t="n">
        <f aca="false">IF($A747="",1,IF($Q747=0,1,INDEX(COA_Mapping!$F$7:$F$256,$Q747)))</f>
        <v>1</v>
      </c>
      <c r="P747" s="34" t="str">
        <f aca="false">IF($A747="","",$I747*$O747)</f>
        <v/>
      </c>
      <c r="Q747" s="39" t="n">
        <f aca="false">IF($B747="",0,IFERROR(MATCH($B747,COA_Mapping!$A$7:$A$256,0),0))</f>
        <v>0</v>
      </c>
      <c r="R747" s="39" t="n">
        <f aca="false">IF($A747="",-1,IF($J747=Setup!$B$7,1,IF($J747=Setup!$B$9,0,-1)))</f>
        <v>-1</v>
      </c>
      <c r="S747" s="35" t="n">
        <f aca="false">IF(OR($A747="",$Q747=0,$R747=-1),0,$Q747*1000+$R747*100+$K747)</f>
        <v>0</v>
      </c>
      <c r="T747" s="37" t="str">
        <f aca="false">IF($A747="","",IF($B747="","NO ACCOUNT",IF($Q747=0,"UNMAPPED",IF($R747=-1,"OUTSIDE FY RANGE","OK"))))</f>
        <v/>
      </c>
      <c r="U747" s="40" t="str">
        <f aca="false">IF($A747="","",$B747&amp;"|"&amp;TEXT($A747,"yyyymmdd")&amp;"|"&amp;TEXT($I747,"0.00"))</f>
        <v/>
      </c>
      <c r="V747" s="35" t="str">
        <f aca="false">IF($A747="","",COUNTIF($U$8:$U$5007,$U747))</f>
        <v/>
      </c>
    </row>
    <row r="748" customFormat="false" ht="15" hidden="false" customHeight="false" outlineLevel="0" collapsed="false">
      <c r="A748" s="31"/>
      <c r="B748" s="32"/>
      <c r="C748" s="32"/>
      <c r="D748" s="32"/>
      <c r="E748" s="32"/>
      <c r="F748" s="32"/>
      <c r="G748" s="33"/>
      <c r="H748" s="33"/>
      <c r="I748" s="34" t="str">
        <f aca="false">IF($A748="","",$G748-$H748)</f>
        <v/>
      </c>
      <c r="J748" s="35" t="str">
        <f aca="false">IF($A748="","",IF(Setup!$B$6=1,YEAR($A748),YEAR($A748)+IF(MONTH($A748)&gt;=Setup!$B$6,1,0)))</f>
        <v/>
      </c>
      <c r="K748" s="35" t="str">
        <f aca="false">IF($A748="","",MOD(MONTH($A748)-Setup!$B$6+12,12)+1)</f>
        <v/>
      </c>
      <c r="L748" s="36" t="str">
        <f aca="false">IF($A748="","",TEXT($A748,"MMM-YY"))</f>
        <v/>
      </c>
      <c r="M748" s="37" t="str">
        <f aca="false">IF($A748="","",IF($Q748=0,"UNMAPPED",INDEX(COA_Mapping!$C$7:$C$256,$Q748)))</f>
        <v/>
      </c>
      <c r="N748" s="38" t="str">
        <f aca="false">IF($A748="","",IF($Q748=0,"",INDEX(COA_Mapping!$E$7:$E$256,$Q748)))</f>
        <v/>
      </c>
      <c r="O748" s="38" t="n">
        <f aca="false">IF($A748="",1,IF($Q748=0,1,INDEX(COA_Mapping!$F$7:$F$256,$Q748)))</f>
        <v>1</v>
      </c>
      <c r="P748" s="34" t="str">
        <f aca="false">IF($A748="","",$I748*$O748)</f>
        <v/>
      </c>
      <c r="Q748" s="39" t="n">
        <f aca="false">IF($B748="",0,IFERROR(MATCH($B748,COA_Mapping!$A$7:$A$256,0),0))</f>
        <v>0</v>
      </c>
      <c r="R748" s="39" t="n">
        <f aca="false">IF($A748="",-1,IF($J748=Setup!$B$7,1,IF($J748=Setup!$B$9,0,-1)))</f>
        <v>-1</v>
      </c>
      <c r="S748" s="35" t="n">
        <f aca="false">IF(OR($A748="",$Q748=0,$R748=-1),0,$Q748*1000+$R748*100+$K748)</f>
        <v>0</v>
      </c>
      <c r="T748" s="37" t="str">
        <f aca="false">IF($A748="","",IF($B748="","NO ACCOUNT",IF($Q748=0,"UNMAPPED",IF($R748=-1,"OUTSIDE FY RANGE","OK"))))</f>
        <v/>
      </c>
      <c r="U748" s="40" t="str">
        <f aca="false">IF($A748="","",$B748&amp;"|"&amp;TEXT($A748,"yyyymmdd")&amp;"|"&amp;TEXT($I748,"0.00"))</f>
        <v/>
      </c>
      <c r="V748" s="35" t="str">
        <f aca="false">IF($A748="","",COUNTIF($U$8:$U$5007,$U748))</f>
        <v/>
      </c>
    </row>
    <row r="749" customFormat="false" ht="15" hidden="false" customHeight="false" outlineLevel="0" collapsed="false">
      <c r="A749" s="31"/>
      <c r="B749" s="32"/>
      <c r="C749" s="32"/>
      <c r="D749" s="32"/>
      <c r="E749" s="32"/>
      <c r="F749" s="32"/>
      <c r="G749" s="33"/>
      <c r="H749" s="33"/>
      <c r="I749" s="34" t="str">
        <f aca="false">IF($A749="","",$G749-$H749)</f>
        <v/>
      </c>
      <c r="J749" s="35" t="str">
        <f aca="false">IF($A749="","",IF(Setup!$B$6=1,YEAR($A749),YEAR($A749)+IF(MONTH($A749)&gt;=Setup!$B$6,1,0)))</f>
        <v/>
      </c>
      <c r="K749" s="35" t="str">
        <f aca="false">IF($A749="","",MOD(MONTH($A749)-Setup!$B$6+12,12)+1)</f>
        <v/>
      </c>
      <c r="L749" s="36" t="str">
        <f aca="false">IF($A749="","",TEXT($A749,"MMM-YY"))</f>
        <v/>
      </c>
      <c r="M749" s="37" t="str">
        <f aca="false">IF($A749="","",IF($Q749=0,"UNMAPPED",INDEX(COA_Mapping!$C$7:$C$256,$Q749)))</f>
        <v/>
      </c>
      <c r="N749" s="38" t="str">
        <f aca="false">IF($A749="","",IF($Q749=0,"",INDEX(COA_Mapping!$E$7:$E$256,$Q749)))</f>
        <v/>
      </c>
      <c r="O749" s="38" t="n">
        <f aca="false">IF($A749="",1,IF($Q749=0,1,INDEX(COA_Mapping!$F$7:$F$256,$Q749)))</f>
        <v>1</v>
      </c>
      <c r="P749" s="34" t="str">
        <f aca="false">IF($A749="","",$I749*$O749)</f>
        <v/>
      </c>
      <c r="Q749" s="39" t="n">
        <f aca="false">IF($B749="",0,IFERROR(MATCH($B749,COA_Mapping!$A$7:$A$256,0),0))</f>
        <v>0</v>
      </c>
      <c r="R749" s="39" t="n">
        <f aca="false">IF($A749="",-1,IF($J749=Setup!$B$7,1,IF($J749=Setup!$B$9,0,-1)))</f>
        <v>-1</v>
      </c>
      <c r="S749" s="35" t="n">
        <f aca="false">IF(OR($A749="",$Q749=0,$R749=-1),0,$Q749*1000+$R749*100+$K749)</f>
        <v>0</v>
      </c>
      <c r="T749" s="37" t="str">
        <f aca="false">IF($A749="","",IF($B749="","NO ACCOUNT",IF($Q749=0,"UNMAPPED",IF($R749=-1,"OUTSIDE FY RANGE","OK"))))</f>
        <v/>
      </c>
      <c r="U749" s="40" t="str">
        <f aca="false">IF($A749="","",$B749&amp;"|"&amp;TEXT($A749,"yyyymmdd")&amp;"|"&amp;TEXT($I749,"0.00"))</f>
        <v/>
      </c>
      <c r="V749" s="35" t="str">
        <f aca="false">IF($A749="","",COUNTIF($U$8:$U$5007,$U749))</f>
        <v/>
      </c>
    </row>
    <row r="750" customFormat="false" ht="15" hidden="false" customHeight="false" outlineLevel="0" collapsed="false">
      <c r="A750" s="31"/>
      <c r="B750" s="32"/>
      <c r="C750" s="32"/>
      <c r="D750" s="32"/>
      <c r="E750" s="32"/>
      <c r="F750" s="32"/>
      <c r="G750" s="33"/>
      <c r="H750" s="33"/>
      <c r="I750" s="34" t="str">
        <f aca="false">IF($A750="","",$G750-$H750)</f>
        <v/>
      </c>
      <c r="J750" s="35" t="str">
        <f aca="false">IF($A750="","",IF(Setup!$B$6=1,YEAR($A750),YEAR($A750)+IF(MONTH($A750)&gt;=Setup!$B$6,1,0)))</f>
        <v/>
      </c>
      <c r="K750" s="35" t="str">
        <f aca="false">IF($A750="","",MOD(MONTH($A750)-Setup!$B$6+12,12)+1)</f>
        <v/>
      </c>
      <c r="L750" s="36" t="str">
        <f aca="false">IF($A750="","",TEXT($A750,"MMM-YY"))</f>
        <v/>
      </c>
      <c r="M750" s="37" t="str">
        <f aca="false">IF($A750="","",IF($Q750=0,"UNMAPPED",INDEX(COA_Mapping!$C$7:$C$256,$Q750)))</f>
        <v/>
      </c>
      <c r="N750" s="38" t="str">
        <f aca="false">IF($A750="","",IF($Q750=0,"",INDEX(COA_Mapping!$E$7:$E$256,$Q750)))</f>
        <v/>
      </c>
      <c r="O750" s="38" t="n">
        <f aca="false">IF($A750="",1,IF($Q750=0,1,INDEX(COA_Mapping!$F$7:$F$256,$Q750)))</f>
        <v>1</v>
      </c>
      <c r="P750" s="34" t="str">
        <f aca="false">IF($A750="","",$I750*$O750)</f>
        <v/>
      </c>
      <c r="Q750" s="39" t="n">
        <f aca="false">IF($B750="",0,IFERROR(MATCH($B750,COA_Mapping!$A$7:$A$256,0),0))</f>
        <v>0</v>
      </c>
      <c r="R750" s="39" t="n">
        <f aca="false">IF($A750="",-1,IF($J750=Setup!$B$7,1,IF($J750=Setup!$B$9,0,-1)))</f>
        <v>-1</v>
      </c>
      <c r="S750" s="35" t="n">
        <f aca="false">IF(OR($A750="",$Q750=0,$R750=-1),0,$Q750*1000+$R750*100+$K750)</f>
        <v>0</v>
      </c>
      <c r="T750" s="37" t="str">
        <f aca="false">IF($A750="","",IF($B750="","NO ACCOUNT",IF($Q750=0,"UNMAPPED",IF($R750=-1,"OUTSIDE FY RANGE","OK"))))</f>
        <v/>
      </c>
      <c r="U750" s="40" t="str">
        <f aca="false">IF($A750="","",$B750&amp;"|"&amp;TEXT($A750,"yyyymmdd")&amp;"|"&amp;TEXT($I750,"0.00"))</f>
        <v/>
      </c>
      <c r="V750" s="35" t="str">
        <f aca="false">IF($A750="","",COUNTIF($U$8:$U$5007,$U750))</f>
        <v/>
      </c>
    </row>
    <row r="751" customFormat="false" ht="15" hidden="false" customHeight="false" outlineLevel="0" collapsed="false">
      <c r="A751" s="31"/>
      <c r="B751" s="32"/>
      <c r="C751" s="32"/>
      <c r="D751" s="32"/>
      <c r="E751" s="32"/>
      <c r="F751" s="32"/>
      <c r="G751" s="33"/>
      <c r="H751" s="33"/>
      <c r="I751" s="34" t="str">
        <f aca="false">IF($A751="","",$G751-$H751)</f>
        <v/>
      </c>
      <c r="J751" s="35" t="str">
        <f aca="false">IF($A751="","",IF(Setup!$B$6=1,YEAR($A751),YEAR($A751)+IF(MONTH($A751)&gt;=Setup!$B$6,1,0)))</f>
        <v/>
      </c>
      <c r="K751" s="35" t="str">
        <f aca="false">IF($A751="","",MOD(MONTH($A751)-Setup!$B$6+12,12)+1)</f>
        <v/>
      </c>
      <c r="L751" s="36" t="str">
        <f aca="false">IF($A751="","",TEXT($A751,"MMM-YY"))</f>
        <v/>
      </c>
      <c r="M751" s="37" t="str">
        <f aca="false">IF($A751="","",IF($Q751=0,"UNMAPPED",INDEX(COA_Mapping!$C$7:$C$256,$Q751)))</f>
        <v/>
      </c>
      <c r="N751" s="38" t="str">
        <f aca="false">IF($A751="","",IF($Q751=0,"",INDEX(COA_Mapping!$E$7:$E$256,$Q751)))</f>
        <v/>
      </c>
      <c r="O751" s="38" t="n">
        <f aca="false">IF($A751="",1,IF($Q751=0,1,INDEX(COA_Mapping!$F$7:$F$256,$Q751)))</f>
        <v>1</v>
      </c>
      <c r="P751" s="34" t="str">
        <f aca="false">IF($A751="","",$I751*$O751)</f>
        <v/>
      </c>
      <c r="Q751" s="39" t="n">
        <f aca="false">IF($B751="",0,IFERROR(MATCH($B751,COA_Mapping!$A$7:$A$256,0),0))</f>
        <v>0</v>
      </c>
      <c r="R751" s="39" t="n">
        <f aca="false">IF($A751="",-1,IF($J751=Setup!$B$7,1,IF($J751=Setup!$B$9,0,-1)))</f>
        <v>-1</v>
      </c>
      <c r="S751" s="35" t="n">
        <f aca="false">IF(OR($A751="",$Q751=0,$R751=-1),0,$Q751*1000+$R751*100+$K751)</f>
        <v>0</v>
      </c>
      <c r="T751" s="37" t="str">
        <f aca="false">IF($A751="","",IF($B751="","NO ACCOUNT",IF($Q751=0,"UNMAPPED",IF($R751=-1,"OUTSIDE FY RANGE","OK"))))</f>
        <v/>
      </c>
      <c r="U751" s="40" t="str">
        <f aca="false">IF($A751="","",$B751&amp;"|"&amp;TEXT($A751,"yyyymmdd")&amp;"|"&amp;TEXT($I751,"0.00"))</f>
        <v/>
      </c>
      <c r="V751" s="35" t="str">
        <f aca="false">IF($A751="","",COUNTIF($U$8:$U$5007,$U751))</f>
        <v/>
      </c>
    </row>
    <row r="752" customFormat="false" ht="15" hidden="false" customHeight="false" outlineLevel="0" collapsed="false">
      <c r="A752" s="31"/>
      <c r="B752" s="32"/>
      <c r="C752" s="32"/>
      <c r="D752" s="32"/>
      <c r="E752" s="32"/>
      <c r="F752" s="32"/>
      <c r="G752" s="33"/>
      <c r="H752" s="33"/>
      <c r="I752" s="34" t="str">
        <f aca="false">IF($A752="","",$G752-$H752)</f>
        <v/>
      </c>
      <c r="J752" s="35" t="str">
        <f aca="false">IF($A752="","",IF(Setup!$B$6=1,YEAR($A752),YEAR($A752)+IF(MONTH($A752)&gt;=Setup!$B$6,1,0)))</f>
        <v/>
      </c>
      <c r="K752" s="35" t="str">
        <f aca="false">IF($A752="","",MOD(MONTH($A752)-Setup!$B$6+12,12)+1)</f>
        <v/>
      </c>
      <c r="L752" s="36" t="str">
        <f aca="false">IF($A752="","",TEXT($A752,"MMM-YY"))</f>
        <v/>
      </c>
      <c r="M752" s="37" t="str">
        <f aca="false">IF($A752="","",IF($Q752=0,"UNMAPPED",INDEX(COA_Mapping!$C$7:$C$256,$Q752)))</f>
        <v/>
      </c>
      <c r="N752" s="38" t="str">
        <f aca="false">IF($A752="","",IF($Q752=0,"",INDEX(COA_Mapping!$E$7:$E$256,$Q752)))</f>
        <v/>
      </c>
      <c r="O752" s="38" t="n">
        <f aca="false">IF($A752="",1,IF($Q752=0,1,INDEX(COA_Mapping!$F$7:$F$256,$Q752)))</f>
        <v>1</v>
      </c>
      <c r="P752" s="34" t="str">
        <f aca="false">IF($A752="","",$I752*$O752)</f>
        <v/>
      </c>
      <c r="Q752" s="39" t="n">
        <f aca="false">IF($B752="",0,IFERROR(MATCH($B752,COA_Mapping!$A$7:$A$256,0),0))</f>
        <v>0</v>
      </c>
      <c r="R752" s="39" t="n">
        <f aca="false">IF($A752="",-1,IF($J752=Setup!$B$7,1,IF($J752=Setup!$B$9,0,-1)))</f>
        <v>-1</v>
      </c>
      <c r="S752" s="35" t="n">
        <f aca="false">IF(OR($A752="",$Q752=0,$R752=-1),0,$Q752*1000+$R752*100+$K752)</f>
        <v>0</v>
      </c>
      <c r="T752" s="37" t="str">
        <f aca="false">IF($A752="","",IF($B752="","NO ACCOUNT",IF($Q752=0,"UNMAPPED",IF($R752=-1,"OUTSIDE FY RANGE","OK"))))</f>
        <v/>
      </c>
      <c r="U752" s="40" t="str">
        <f aca="false">IF($A752="","",$B752&amp;"|"&amp;TEXT($A752,"yyyymmdd")&amp;"|"&amp;TEXT($I752,"0.00"))</f>
        <v/>
      </c>
      <c r="V752" s="35" t="str">
        <f aca="false">IF($A752="","",COUNTIF($U$8:$U$5007,$U752))</f>
        <v/>
      </c>
    </row>
    <row r="753" customFormat="false" ht="15" hidden="false" customHeight="false" outlineLevel="0" collapsed="false">
      <c r="A753" s="31"/>
      <c r="B753" s="32"/>
      <c r="C753" s="32"/>
      <c r="D753" s="32"/>
      <c r="E753" s="32"/>
      <c r="F753" s="32"/>
      <c r="G753" s="33"/>
      <c r="H753" s="33"/>
      <c r="I753" s="34" t="str">
        <f aca="false">IF($A753="","",$G753-$H753)</f>
        <v/>
      </c>
      <c r="J753" s="35" t="str">
        <f aca="false">IF($A753="","",IF(Setup!$B$6=1,YEAR($A753),YEAR($A753)+IF(MONTH($A753)&gt;=Setup!$B$6,1,0)))</f>
        <v/>
      </c>
      <c r="K753" s="35" t="str">
        <f aca="false">IF($A753="","",MOD(MONTH($A753)-Setup!$B$6+12,12)+1)</f>
        <v/>
      </c>
      <c r="L753" s="36" t="str">
        <f aca="false">IF($A753="","",TEXT($A753,"MMM-YY"))</f>
        <v/>
      </c>
      <c r="M753" s="37" t="str">
        <f aca="false">IF($A753="","",IF($Q753=0,"UNMAPPED",INDEX(COA_Mapping!$C$7:$C$256,$Q753)))</f>
        <v/>
      </c>
      <c r="N753" s="38" t="str">
        <f aca="false">IF($A753="","",IF($Q753=0,"",INDEX(COA_Mapping!$E$7:$E$256,$Q753)))</f>
        <v/>
      </c>
      <c r="O753" s="38" t="n">
        <f aca="false">IF($A753="",1,IF($Q753=0,1,INDEX(COA_Mapping!$F$7:$F$256,$Q753)))</f>
        <v>1</v>
      </c>
      <c r="P753" s="34" t="str">
        <f aca="false">IF($A753="","",$I753*$O753)</f>
        <v/>
      </c>
      <c r="Q753" s="39" t="n">
        <f aca="false">IF($B753="",0,IFERROR(MATCH($B753,COA_Mapping!$A$7:$A$256,0),0))</f>
        <v>0</v>
      </c>
      <c r="R753" s="39" t="n">
        <f aca="false">IF($A753="",-1,IF($J753=Setup!$B$7,1,IF($J753=Setup!$B$9,0,-1)))</f>
        <v>-1</v>
      </c>
      <c r="S753" s="35" t="n">
        <f aca="false">IF(OR($A753="",$Q753=0,$R753=-1),0,$Q753*1000+$R753*100+$K753)</f>
        <v>0</v>
      </c>
      <c r="T753" s="37" t="str">
        <f aca="false">IF($A753="","",IF($B753="","NO ACCOUNT",IF($Q753=0,"UNMAPPED",IF($R753=-1,"OUTSIDE FY RANGE","OK"))))</f>
        <v/>
      </c>
      <c r="U753" s="40" t="str">
        <f aca="false">IF($A753="","",$B753&amp;"|"&amp;TEXT($A753,"yyyymmdd")&amp;"|"&amp;TEXT($I753,"0.00"))</f>
        <v/>
      </c>
      <c r="V753" s="35" t="str">
        <f aca="false">IF($A753="","",COUNTIF($U$8:$U$5007,$U753))</f>
        <v/>
      </c>
    </row>
    <row r="754" customFormat="false" ht="15" hidden="false" customHeight="false" outlineLevel="0" collapsed="false">
      <c r="A754" s="31"/>
      <c r="B754" s="32"/>
      <c r="C754" s="32"/>
      <c r="D754" s="32"/>
      <c r="E754" s="32"/>
      <c r="F754" s="32"/>
      <c r="G754" s="33"/>
      <c r="H754" s="33"/>
      <c r="I754" s="34" t="str">
        <f aca="false">IF($A754="","",$G754-$H754)</f>
        <v/>
      </c>
      <c r="J754" s="35" t="str">
        <f aca="false">IF($A754="","",IF(Setup!$B$6=1,YEAR($A754),YEAR($A754)+IF(MONTH($A754)&gt;=Setup!$B$6,1,0)))</f>
        <v/>
      </c>
      <c r="K754" s="35" t="str">
        <f aca="false">IF($A754="","",MOD(MONTH($A754)-Setup!$B$6+12,12)+1)</f>
        <v/>
      </c>
      <c r="L754" s="36" t="str">
        <f aca="false">IF($A754="","",TEXT($A754,"MMM-YY"))</f>
        <v/>
      </c>
      <c r="M754" s="37" t="str">
        <f aca="false">IF($A754="","",IF($Q754=0,"UNMAPPED",INDEX(COA_Mapping!$C$7:$C$256,$Q754)))</f>
        <v/>
      </c>
      <c r="N754" s="38" t="str">
        <f aca="false">IF($A754="","",IF($Q754=0,"",INDEX(COA_Mapping!$E$7:$E$256,$Q754)))</f>
        <v/>
      </c>
      <c r="O754" s="38" t="n">
        <f aca="false">IF($A754="",1,IF($Q754=0,1,INDEX(COA_Mapping!$F$7:$F$256,$Q754)))</f>
        <v>1</v>
      </c>
      <c r="P754" s="34" t="str">
        <f aca="false">IF($A754="","",$I754*$O754)</f>
        <v/>
      </c>
      <c r="Q754" s="39" t="n">
        <f aca="false">IF($B754="",0,IFERROR(MATCH($B754,COA_Mapping!$A$7:$A$256,0),0))</f>
        <v>0</v>
      </c>
      <c r="R754" s="39" t="n">
        <f aca="false">IF($A754="",-1,IF($J754=Setup!$B$7,1,IF($J754=Setup!$B$9,0,-1)))</f>
        <v>-1</v>
      </c>
      <c r="S754" s="35" t="n">
        <f aca="false">IF(OR($A754="",$Q754=0,$R754=-1),0,$Q754*1000+$R754*100+$K754)</f>
        <v>0</v>
      </c>
      <c r="T754" s="37" t="str">
        <f aca="false">IF($A754="","",IF($B754="","NO ACCOUNT",IF($Q754=0,"UNMAPPED",IF($R754=-1,"OUTSIDE FY RANGE","OK"))))</f>
        <v/>
      </c>
      <c r="U754" s="40" t="str">
        <f aca="false">IF($A754="","",$B754&amp;"|"&amp;TEXT($A754,"yyyymmdd")&amp;"|"&amp;TEXT($I754,"0.00"))</f>
        <v/>
      </c>
      <c r="V754" s="35" t="str">
        <f aca="false">IF($A754="","",COUNTIF($U$8:$U$5007,$U754))</f>
        <v/>
      </c>
    </row>
    <row r="755" customFormat="false" ht="15" hidden="false" customHeight="false" outlineLevel="0" collapsed="false">
      <c r="A755" s="31"/>
      <c r="B755" s="32"/>
      <c r="C755" s="32"/>
      <c r="D755" s="32"/>
      <c r="E755" s="32"/>
      <c r="F755" s="32"/>
      <c r="G755" s="33"/>
      <c r="H755" s="33"/>
      <c r="I755" s="34" t="str">
        <f aca="false">IF($A755="","",$G755-$H755)</f>
        <v/>
      </c>
      <c r="J755" s="35" t="str">
        <f aca="false">IF($A755="","",IF(Setup!$B$6=1,YEAR($A755),YEAR($A755)+IF(MONTH($A755)&gt;=Setup!$B$6,1,0)))</f>
        <v/>
      </c>
      <c r="K755" s="35" t="str">
        <f aca="false">IF($A755="","",MOD(MONTH($A755)-Setup!$B$6+12,12)+1)</f>
        <v/>
      </c>
      <c r="L755" s="36" t="str">
        <f aca="false">IF($A755="","",TEXT($A755,"MMM-YY"))</f>
        <v/>
      </c>
      <c r="M755" s="37" t="str">
        <f aca="false">IF($A755="","",IF($Q755=0,"UNMAPPED",INDEX(COA_Mapping!$C$7:$C$256,$Q755)))</f>
        <v/>
      </c>
      <c r="N755" s="38" t="str">
        <f aca="false">IF($A755="","",IF($Q755=0,"",INDEX(COA_Mapping!$E$7:$E$256,$Q755)))</f>
        <v/>
      </c>
      <c r="O755" s="38" t="n">
        <f aca="false">IF($A755="",1,IF($Q755=0,1,INDEX(COA_Mapping!$F$7:$F$256,$Q755)))</f>
        <v>1</v>
      </c>
      <c r="P755" s="34" t="str">
        <f aca="false">IF($A755="","",$I755*$O755)</f>
        <v/>
      </c>
      <c r="Q755" s="39" t="n">
        <f aca="false">IF($B755="",0,IFERROR(MATCH($B755,COA_Mapping!$A$7:$A$256,0),0))</f>
        <v>0</v>
      </c>
      <c r="R755" s="39" t="n">
        <f aca="false">IF($A755="",-1,IF($J755=Setup!$B$7,1,IF($J755=Setup!$B$9,0,-1)))</f>
        <v>-1</v>
      </c>
      <c r="S755" s="35" t="n">
        <f aca="false">IF(OR($A755="",$Q755=0,$R755=-1),0,$Q755*1000+$R755*100+$K755)</f>
        <v>0</v>
      </c>
      <c r="T755" s="37" t="str">
        <f aca="false">IF($A755="","",IF($B755="","NO ACCOUNT",IF($Q755=0,"UNMAPPED",IF($R755=-1,"OUTSIDE FY RANGE","OK"))))</f>
        <v/>
      </c>
      <c r="U755" s="40" t="str">
        <f aca="false">IF($A755="","",$B755&amp;"|"&amp;TEXT($A755,"yyyymmdd")&amp;"|"&amp;TEXT($I755,"0.00"))</f>
        <v/>
      </c>
      <c r="V755" s="35" t="str">
        <f aca="false">IF($A755="","",COUNTIF($U$8:$U$5007,$U755))</f>
        <v/>
      </c>
    </row>
    <row r="756" customFormat="false" ht="15" hidden="false" customHeight="false" outlineLevel="0" collapsed="false">
      <c r="A756" s="31"/>
      <c r="B756" s="32"/>
      <c r="C756" s="32"/>
      <c r="D756" s="32"/>
      <c r="E756" s="32"/>
      <c r="F756" s="32"/>
      <c r="G756" s="33"/>
      <c r="H756" s="33"/>
      <c r="I756" s="34" t="str">
        <f aca="false">IF($A756="","",$G756-$H756)</f>
        <v/>
      </c>
      <c r="J756" s="35" t="str">
        <f aca="false">IF($A756="","",IF(Setup!$B$6=1,YEAR($A756),YEAR($A756)+IF(MONTH($A756)&gt;=Setup!$B$6,1,0)))</f>
        <v/>
      </c>
      <c r="K756" s="35" t="str">
        <f aca="false">IF($A756="","",MOD(MONTH($A756)-Setup!$B$6+12,12)+1)</f>
        <v/>
      </c>
      <c r="L756" s="36" t="str">
        <f aca="false">IF($A756="","",TEXT($A756,"MMM-YY"))</f>
        <v/>
      </c>
      <c r="M756" s="37" t="str">
        <f aca="false">IF($A756="","",IF($Q756=0,"UNMAPPED",INDEX(COA_Mapping!$C$7:$C$256,$Q756)))</f>
        <v/>
      </c>
      <c r="N756" s="38" t="str">
        <f aca="false">IF($A756="","",IF($Q756=0,"",INDEX(COA_Mapping!$E$7:$E$256,$Q756)))</f>
        <v/>
      </c>
      <c r="O756" s="38" t="n">
        <f aca="false">IF($A756="",1,IF($Q756=0,1,INDEX(COA_Mapping!$F$7:$F$256,$Q756)))</f>
        <v>1</v>
      </c>
      <c r="P756" s="34" t="str">
        <f aca="false">IF($A756="","",$I756*$O756)</f>
        <v/>
      </c>
      <c r="Q756" s="39" t="n">
        <f aca="false">IF($B756="",0,IFERROR(MATCH($B756,COA_Mapping!$A$7:$A$256,0),0))</f>
        <v>0</v>
      </c>
      <c r="R756" s="39" t="n">
        <f aca="false">IF($A756="",-1,IF($J756=Setup!$B$7,1,IF($J756=Setup!$B$9,0,-1)))</f>
        <v>-1</v>
      </c>
      <c r="S756" s="35" t="n">
        <f aca="false">IF(OR($A756="",$Q756=0,$R756=-1),0,$Q756*1000+$R756*100+$K756)</f>
        <v>0</v>
      </c>
      <c r="T756" s="37" t="str">
        <f aca="false">IF($A756="","",IF($B756="","NO ACCOUNT",IF($Q756=0,"UNMAPPED",IF($R756=-1,"OUTSIDE FY RANGE","OK"))))</f>
        <v/>
      </c>
      <c r="U756" s="40" t="str">
        <f aca="false">IF($A756="","",$B756&amp;"|"&amp;TEXT($A756,"yyyymmdd")&amp;"|"&amp;TEXT($I756,"0.00"))</f>
        <v/>
      </c>
      <c r="V756" s="35" t="str">
        <f aca="false">IF($A756="","",COUNTIF($U$8:$U$5007,$U756))</f>
        <v/>
      </c>
    </row>
    <row r="757" customFormat="false" ht="15" hidden="false" customHeight="false" outlineLevel="0" collapsed="false">
      <c r="A757" s="31"/>
      <c r="B757" s="32"/>
      <c r="C757" s="32"/>
      <c r="D757" s="32"/>
      <c r="E757" s="32"/>
      <c r="F757" s="32"/>
      <c r="G757" s="33"/>
      <c r="H757" s="33"/>
      <c r="I757" s="34" t="str">
        <f aca="false">IF($A757="","",$G757-$H757)</f>
        <v/>
      </c>
      <c r="J757" s="35" t="str">
        <f aca="false">IF($A757="","",IF(Setup!$B$6=1,YEAR($A757),YEAR($A757)+IF(MONTH($A757)&gt;=Setup!$B$6,1,0)))</f>
        <v/>
      </c>
      <c r="K757" s="35" t="str">
        <f aca="false">IF($A757="","",MOD(MONTH($A757)-Setup!$B$6+12,12)+1)</f>
        <v/>
      </c>
      <c r="L757" s="36" t="str">
        <f aca="false">IF($A757="","",TEXT($A757,"MMM-YY"))</f>
        <v/>
      </c>
      <c r="M757" s="37" t="str">
        <f aca="false">IF($A757="","",IF($Q757=0,"UNMAPPED",INDEX(COA_Mapping!$C$7:$C$256,$Q757)))</f>
        <v/>
      </c>
      <c r="N757" s="38" t="str">
        <f aca="false">IF($A757="","",IF($Q757=0,"",INDEX(COA_Mapping!$E$7:$E$256,$Q757)))</f>
        <v/>
      </c>
      <c r="O757" s="38" t="n">
        <f aca="false">IF($A757="",1,IF($Q757=0,1,INDEX(COA_Mapping!$F$7:$F$256,$Q757)))</f>
        <v>1</v>
      </c>
      <c r="P757" s="34" t="str">
        <f aca="false">IF($A757="","",$I757*$O757)</f>
        <v/>
      </c>
      <c r="Q757" s="39" t="n">
        <f aca="false">IF($B757="",0,IFERROR(MATCH($B757,COA_Mapping!$A$7:$A$256,0),0))</f>
        <v>0</v>
      </c>
      <c r="R757" s="39" t="n">
        <f aca="false">IF($A757="",-1,IF($J757=Setup!$B$7,1,IF($J757=Setup!$B$9,0,-1)))</f>
        <v>-1</v>
      </c>
      <c r="S757" s="35" t="n">
        <f aca="false">IF(OR($A757="",$Q757=0,$R757=-1),0,$Q757*1000+$R757*100+$K757)</f>
        <v>0</v>
      </c>
      <c r="T757" s="37" t="str">
        <f aca="false">IF($A757="","",IF($B757="","NO ACCOUNT",IF($Q757=0,"UNMAPPED",IF($R757=-1,"OUTSIDE FY RANGE","OK"))))</f>
        <v/>
      </c>
      <c r="U757" s="40" t="str">
        <f aca="false">IF($A757="","",$B757&amp;"|"&amp;TEXT($A757,"yyyymmdd")&amp;"|"&amp;TEXT($I757,"0.00"))</f>
        <v/>
      </c>
      <c r="V757" s="35" t="str">
        <f aca="false">IF($A757="","",COUNTIF($U$8:$U$5007,$U757))</f>
        <v/>
      </c>
    </row>
    <row r="758" customFormat="false" ht="15" hidden="false" customHeight="false" outlineLevel="0" collapsed="false">
      <c r="A758" s="31"/>
      <c r="B758" s="32"/>
      <c r="C758" s="32"/>
      <c r="D758" s="32"/>
      <c r="E758" s="32"/>
      <c r="F758" s="32"/>
      <c r="G758" s="33"/>
      <c r="H758" s="33"/>
      <c r="I758" s="34" t="str">
        <f aca="false">IF($A758="","",$G758-$H758)</f>
        <v/>
      </c>
      <c r="J758" s="35" t="str">
        <f aca="false">IF($A758="","",IF(Setup!$B$6=1,YEAR($A758),YEAR($A758)+IF(MONTH($A758)&gt;=Setup!$B$6,1,0)))</f>
        <v/>
      </c>
      <c r="K758" s="35" t="str">
        <f aca="false">IF($A758="","",MOD(MONTH($A758)-Setup!$B$6+12,12)+1)</f>
        <v/>
      </c>
      <c r="L758" s="36" t="str">
        <f aca="false">IF($A758="","",TEXT($A758,"MMM-YY"))</f>
        <v/>
      </c>
      <c r="M758" s="37" t="str">
        <f aca="false">IF($A758="","",IF($Q758=0,"UNMAPPED",INDEX(COA_Mapping!$C$7:$C$256,$Q758)))</f>
        <v/>
      </c>
      <c r="N758" s="38" t="str">
        <f aca="false">IF($A758="","",IF($Q758=0,"",INDEX(COA_Mapping!$E$7:$E$256,$Q758)))</f>
        <v/>
      </c>
      <c r="O758" s="38" t="n">
        <f aca="false">IF($A758="",1,IF($Q758=0,1,INDEX(COA_Mapping!$F$7:$F$256,$Q758)))</f>
        <v>1</v>
      </c>
      <c r="P758" s="34" t="str">
        <f aca="false">IF($A758="","",$I758*$O758)</f>
        <v/>
      </c>
      <c r="Q758" s="39" t="n">
        <f aca="false">IF($B758="",0,IFERROR(MATCH($B758,COA_Mapping!$A$7:$A$256,0),0))</f>
        <v>0</v>
      </c>
      <c r="R758" s="39" t="n">
        <f aca="false">IF($A758="",-1,IF($J758=Setup!$B$7,1,IF($J758=Setup!$B$9,0,-1)))</f>
        <v>-1</v>
      </c>
      <c r="S758" s="35" t="n">
        <f aca="false">IF(OR($A758="",$Q758=0,$R758=-1),0,$Q758*1000+$R758*100+$K758)</f>
        <v>0</v>
      </c>
      <c r="T758" s="37" t="str">
        <f aca="false">IF($A758="","",IF($B758="","NO ACCOUNT",IF($Q758=0,"UNMAPPED",IF($R758=-1,"OUTSIDE FY RANGE","OK"))))</f>
        <v/>
      </c>
      <c r="U758" s="40" t="str">
        <f aca="false">IF($A758="","",$B758&amp;"|"&amp;TEXT($A758,"yyyymmdd")&amp;"|"&amp;TEXT($I758,"0.00"))</f>
        <v/>
      </c>
      <c r="V758" s="35" t="str">
        <f aca="false">IF($A758="","",COUNTIF($U$8:$U$5007,$U758))</f>
        <v/>
      </c>
    </row>
    <row r="759" customFormat="false" ht="15" hidden="false" customHeight="false" outlineLevel="0" collapsed="false">
      <c r="A759" s="31"/>
      <c r="B759" s="32"/>
      <c r="C759" s="32"/>
      <c r="D759" s="32"/>
      <c r="E759" s="32"/>
      <c r="F759" s="32"/>
      <c r="G759" s="33"/>
      <c r="H759" s="33"/>
      <c r="I759" s="34" t="str">
        <f aca="false">IF($A759="","",$G759-$H759)</f>
        <v/>
      </c>
      <c r="J759" s="35" t="str">
        <f aca="false">IF($A759="","",IF(Setup!$B$6=1,YEAR($A759),YEAR($A759)+IF(MONTH($A759)&gt;=Setup!$B$6,1,0)))</f>
        <v/>
      </c>
      <c r="K759" s="35" t="str">
        <f aca="false">IF($A759="","",MOD(MONTH($A759)-Setup!$B$6+12,12)+1)</f>
        <v/>
      </c>
      <c r="L759" s="36" t="str">
        <f aca="false">IF($A759="","",TEXT($A759,"MMM-YY"))</f>
        <v/>
      </c>
      <c r="M759" s="37" t="str">
        <f aca="false">IF($A759="","",IF($Q759=0,"UNMAPPED",INDEX(COA_Mapping!$C$7:$C$256,$Q759)))</f>
        <v/>
      </c>
      <c r="N759" s="38" t="str">
        <f aca="false">IF($A759="","",IF($Q759=0,"",INDEX(COA_Mapping!$E$7:$E$256,$Q759)))</f>
        <v/>
      </c>
      <c r="O759" s="38" t="n">
        <f aca="false">IF($A759="",1,IF($Q759=0,1,INDEX(COA_Mapping!$F$7:$F$256,$Q759)))</f>
        <v>1</v>
      </c>
      <c r="P759" s="34" t="str">
        <f aca="false">IF($A759="","",$I759*$O759)</f>
        <v/>
      </c>
      <c r="Q759" s="39" t="n">
        <f aca="false">IF($B759="",0,IFERROR(MATCH($B759,COA_Mapping!$A$7:$A$256,0),0))</f>
        <v>0</v>
      </c>
      <c r="R759" s="39" t="n">
        <f aca="false">IF($A759="",-1,IF($J759=Setup!$B$7,1,IF($J759=Setup!$B$9,0,-1)))</f>
        <v>-1</v>
      </c>
      <c r="S759" s="35" t="n">
        <f aca="false">IF(OR($A759="",$Q759=0,$R759=-1),0,$Q759*1000+$R759*100+$K759)</f>
        <v>0</v>
      </c>
      <c r="T759" s="37" t="str">
        <f aca="false">IF($A759="","",IF($B759="","NO ACCOUNT",IF($Q759=0,"UNMAPPED",IF($R759=-1,"OUTSIDE FY RANGE","OK"))))</f>
        <v/>
      </c>
      <c r="U759" s="40" t="str">
        <f aca="false">IF($A759="","",$B759&amp;"|"&amp;TEXT($A759,"yyyymmdd")&amp;"|"&amp;TEXT($I759,"0.00"))</f>
        <v/>
      </c>
      <c r="V759" s="35" t="str">
        <f aca="false">IF($A759="","",COUNTIF($U$8:$U$5007,$U759))</f>
        <v/>
      </c>
    </row>
    <row r="760" customFormat="false" ht="15" hidden="false" customHeight="false" outlineLevel="0" collapsed="false">
      <c r="A760" s="31"/>
      <c r="B760" s="32"/>
      <c r="C760" s="32"/>
      <c r="D760" s="32"/>
      <c r="E760" s="32"/>
      <c r="F760" s="32"/>
      <c r="G760" s="33"/>
      <c r="H760" s="33"/>
      <c r="I760" s="34" t="str">
        <f aca="false">IF($A760="","",$G760-$H760)</f>
        <v/>
      </c>
      <c r="J760" s="35" t="str">
        <f aca="false">IF($A760="","",IF(Setup!$B$6=1,YEAR($A760),YEAR($A760)+IF(MONTH($A760)&gt;=Setup!$B$6,1,0)))</f>
        <v/>
      </c>
      <c r="K760" s="35" t="str">
        <f aca="false">IF($A760="","",MOD(MONTH($A760)-Setup!$B$6+12,12)+1)</f>
        <v/>
      </c>
      <c r="L760" s="36" t="str">
        <f aca="false">IF($A760="","",TEXT($A760,"MMM-YY"))</f>
        <v/>
      </c>
      <c r="M760" s="37" t="str">
        <f aca="false">IF($A760="","",IF($Q760=0,"UNMAPPED",INDEX(COA_Mapping!$C$7:$C$256,$Q760)))</f>
        <v/>
      </c>
      <c r="N760" s="38" t="str">
        <f aca="false">IF($A760="","",IF($Q760=0,"",INDEX(COA_Mapping!$E$7:$E$256,$Q760)))</f>
        <v/>
      </c>
      <c r="O760" s="38" t="n">
        <f aca="false">IF($A760="",1,IF($Q760=0,1,INDEX(COA_Mapping!$F$7:$F$256,$Q760)))</f>
        <v>1</v>
      </c>
      <c r="P760" s="34" t="str">
        <f aca="false">IF($A760="","",$I760*$O760)</f>
        <v/>
      </c>
      <c r="Q760" s="39" t="n">
        <f aca="false">IF($B760="",0,IFERROR(MATCH($B760,COA_Mapping!$A$7:$A$256,0),0))</f>
        <v>0</v>
      </c>
      <c r="R760" s="39" t="n">
        <f aca="false">IF($A760="",-1,IF($J760=Setup!$B$7,1,IF($J760=Setup!$B$9,0,-1)))</f>
        <v>-1</v>
      </c>
      <c r="S760" s="35" t="n">
        <f aca="false">IF(OR($A760="",$Q760=0,$R760=-1),0,$Q760*1000+$R760*100+$K760)</f>
        <v>0</v>
      </c>
      <c r="T760" s="37" t="str">
        <f aca="false">IF($A760="","",IF($B760="","NO ACCOUNT",IF($Q760=0,"UNMAPPED",IF($R760=-1,"OUTSIDE FY RANGE","OK"))))</f>
        <v/>
      </c>
      <c r="U760" s="40" t="str">
        <f aca="false">IF($A760="","",$B760&amp;"|"&amp;TEXT($A760,"yyyymmdd")&amp;"|"&amp;TEXT($I760,"0.00"))</f>
        <v/>
      </c>
      <c r="V760" s="35" t="str">
        <f aca="false">IF($A760="","",COUNTIF($U$8:$U$5007,$U760))</f>
        <v/>
      </c>
    </row>
    <row r="761" customFormat="false" ht="15" hidden="false" customHeight="false" outlineLevel="0" collapsed="false">
      <c r="A761" s="31"/>
      <c r="B761" s="32"/>
      <c r="C761" s="32"/>
      <c r="D761" s="32"/>
      <c r="E761" s="32"/>
      <c r="F761" s="32"/>
      <c r="G761" s="33"/>
      <c r="H761" s="33"/>
      <c r="I761" s="34" t="str">
        <f aca="false">IF($A761="","",$G761-$H761)</f>
        <v/>
      </c>
      <c r="J761" s="35" t="str">
        <f aca="false">IF($A761="","",IF(Setup!$B$6=1,YEAR($A761),YEAR($A761)+IF(MONTH($A761)&gt;=Setup!$B$6,1,0)))</f>
        <v/>
      </c>
      <c r="K761" s="35" t="str">
        <f aca="false">IF($A761="","",MOD(MONTH($A761)-Setup!$B$6+12,12)+1)</f>
        <v/>
      </c>
      <c r="L761" s="36" t="str">
        <f aca="false">IF($A761="","",TEXT($A761,"MMM-YY"))</f>
        <v/>
      </c>
      <c r="M761" s="37" t="str">
        <f aca="false">IF($A761="","",IF($Q761=0,"UNMAPPED",INDEX(COA_Mapping!$C$7:$C$256,$Q761)))</f>
        <v/>
      </c>
      <c r="N761" s="38" t="str">
        <f aca="false">IF($A761="","",IF($Q761=0,"",INDEX(COA_Mapping!$E$7:$E$256,$Q761)))</f>
        <v/>
      </c>
      <c r="O761" s="38" t="n">
        <f aca="false">IF($A761="",1,IF($Q761=0,1,INDEX(COA_Mapping!$F$7:$F$256,$Q761)))</f>
        <v>1</v>
      </c>
      <c r="P761" s="34" t="str">
        <f aca="false">IF($A761="","",$I761*$O761)</f>
        <v/>
      </c>
      <c r="Q761" s="39" t="n">
        <f aca="false">IF($B761="",0,IFERROR(MATCH($B761,COA_Mapping!$A$7:$A$256,0),0))</f>
        <v>0</v>
      </c>
      <c r="R761" s="39" t="n">
        <f aca="false">IF($A761="",-1,IF($J761=Setup!$B$7,1,IF($J761=Setup!$B$9,0,-1)))</f>
        <v>-1</v>
      </c>
      <c r="S761" s="35" t="n">
        <f aca="false">IF(OR($A761="",$Q761=0,$R761=-1),0,$Q761*1000+$R761*100+$K761)</f>
        <v>0</v>
      </c>
      <c r="T761" s="37" t="str">
        <f aca="false">IF($A761="","",IF($B761="","NO ACCOUNT",IF($Q761=0,"UNMAPPED",IF($R761=-1,"OUTSIDE FY RANGE","OK"))))</f>
        <v/>
      </c>
      <c r="U761" s="40" t="str">
        <f aca="false">IF($A761="","",$B761&amp;"|"&amp;TEXT($A761,"yyyymmdd")&amp;"|"&amp;TEXT($I761,"0.00"))</f>
        <v/>
      </c>
      <c r="V761" s="35" t="str">
        <f aca="false">IF($A761="","",COUNTIF($U$8:$U$5007,$U761))</f>
        <v/>
      </c>
    </row>
    <row r="762" customFormat="false" ht="15" hidden="false" customHeight="false" outlineLevel="0" collapsed="false">
      <c r="A762" s="31"/>
      <c r="B762" s="32"/>
      <c r="C762" s="32"/>
      <c r="D762" s="32"/>
      <c r="E762" s="32"/>
      <c r="F762" s="32"/>
      <c r="G762" s="33"/>
      <c r="H762" s="33"/>
      <c r="I762" s="34" t="str">
        <f aca="false">IF($A762="","",$G762-$H762)</f>
        <v/>
      </c>
      <c r="J762" s="35" t="str">
        <f aca="false">IF($A762="","",IF(Setup!$B$6=1,YEAR($A762),YEAR($A762)+IF(MONTH($A762)&gt;=Setup!$B$6,1,0)))</f>
        <v/>
      </c>
      <c r="K762" s="35" t="str">
        <f aca="false">IF($A762="","",MOD(MONTH($A762)-Setup!$B$6+12,12)+1)</f>
        <v/>
      </c>
      <c r="L762" s="36" t="str">
        <f aca="false">IF($A762="","",TEXT($A762,"MMM-YY"))</f>
        <v/>
      </c>
      <c r="M762" s="37" t="str">
        <f aca="false">IF($A762="","",IF($Q762=0,"UNMAPPED",INDEX(COA_Mapping!$C$7:$C$256,$Q762)))</f>
        <v/>
      </c>
      <c r="N762" s="38" t="str">
        <f aca="false">IF($A762="","",IF($Q762=0,"",INDEX(COA_Mapping!$E$7:$E$256,$Q762)))</f>
        <v/>
      </c>
      <c r="O762" s="38" t="n">
        <f aca="false">IF($A762="",1,IF($Q762=0,1,INDEX(COA_Mapping!$F$7:$F$256,$Q762)))</f>
        <v>1</v>
      </c>
      <c r="P762" s="34" t="str">
        <f aca="false">IF($A762="","",$I762*$O762)</f>
        <v/>
      </c>
      <c r="Q762" s="39" t="n">
        <f aca="false">IF($B762="",0,IFERROR(MATCH($B762,COA_Mapping!$A$7:$A$256,0),0))</f>
        <v>0</v>
      </c>
      <c r="R762" s="39" t="n">
        <f aca="false">IF($A762="",-1,IF($J762=Setup!$B$7,1,IF($J762=Setup!$B$9,0,-1)))</f>
        <v>-1</v>
      </c>
      <c r="S762" s="35" t="n">
        <f aca="false">IF(OR($A762="",$Q762=0,$R762=-1),0,$Q762*1000+$R762*100+$K762)</f>
        <v>0</v>
      </c>
      <c r="T762" s="37" t="str">
        <f aca="false">IF($A762="","",IF($B762="","NO ACCOUNT",IF($Q762=0,"UNMAPPED",IF($R762=-1,"OUTSIDE FY RANGE","OK"))))</f>
        <v/>
      </c>
      <c r="U762" s="40" t="str">
        <f aca="false">IF($A762="","",$B762&amp;"|"&amp;TEXT($A762,"yyyymmdd")&amp;"|"&amp;TEXT($I762,"0.00"))</f>
        <v/>
      </c>
      <c r="V762" s="35" t="str">
        <f aca="false">IF($A762="","",COUNTIF($U$8:$U$5007,$U762))</f>
        <v/>
      </c>
    </row>
    <row r="763" customFormat="false" ht="15" hidden="false" customHeight="false" outlineLevel="0" collapsed="false">
      <c r="A763" s="31"/>
      <c r="B763" s="32"/>
      <c r="C763" s="32"/>
      <c r="D763" s="32"/>
      <c r="E763" s="32"/>
      <c r="F763" s="32"/>
      <c r="G763" s="33"/>
      <c r="H763" s="33"/>
      <c r="I763" s="34" t="str">
        <f aca="false">IF($A763="","",$G763-$H763)</f>
        <v/>
      </c>
      <c r="J763" s="35" t="str">
        <f aca="false">IF($A763="","",IF(Setup!$B$6=1,YEAR($A763),YEAR($A763)+IF(MONTH($A763)&gt;=Setup!$B$6,1,0)))</f>
        <v/>
      </c>
      <c r="K763" s="35" t="str">
        <f aca="false">IF($A763="","",MOD(MONTH($A763)-Setup!$B$6+12,12)+1)</f>
        <v/>
      </c>
      <c r="L763" s="36" t="str">
        <f aca="false">IF($A763="","",TEXT($A763,"MMM-YY"))</f>
        <v/>
      </c>
      <c r="M763" s="37" t="str">
        <f aca="false">IF($A763="","",IF($Q763=0,"UNMAPPED",INDEX(COA_Mapping!$C$7:$C$256,$Q763)))</f>
        <v/>
      </c>
      <c r="N763" s="38" t="str">
        <f aca="false">IF($A763="","",IF($Q763=0,"",INDEX(COA_Mapping!$E$7:$E$256,$Q763)))</f>
        <v/>
      </c>
      <c r="O763" s="38" t="n">
        <f aca="false">IF($A763="",1,IF($Q763=0,1,INDEX(COA_Mapping!$F$7:$F$256,$Q763)))</f>
        <v>1</v>
      </c>
      <c r="P763" s="34" t="str">
        <f aca="false">IF($A763="","",$I763*$O763)</f>
        <v/>
      </c>
      <c r="Q763" s="39" t="n">
        <f aca="false">IF($B763="",0,IFERROR(MATCH($B763,COA_Mapping!$A$7:$A$256,0),0))</f>
        <v>0</v>
      </c>
      <c r="R763" s="39" t="n">
        <f aca="false">IF($A763="",-1,IF($J763=Setup!$B$7,1,IF($J763=Setup!$B$9,0,-1)))</f>
        <v>-1</v>
      </c>
      <c r="S763" s="35" t="n">
        <f aca="false">IF(OR($A763="",$Q763=0,$R763=-1),0,$Q763*1000+$R763*100+$K763)</f>
        <v>0</v>
      </c>
      <c r="T763" s="37" t="str">
        <f aca="false">IF($A763="","",IF($B763="","NO ACCOUNT",IF($Q763=0,"UNMAPPED",IF($R763=-1,"OUTSIDE FY RANGE","OK"))))</f>
        <v/>
      </c>
      <c r="U763" s="40" t="str">
        <f aca="false">IF($A763="","",$B763&amp;"|"&amp;TEXT($A763,"yyyymmdd")&amp;"|"&amp;TEXT($I763,"0.00"))</f>
        <v/>
      </c>
      <c r="V763" s="35" t="str">
        <f aca="false">IF($A763="","",COUNTIF($U$8:$U$5007,$U763))</f>
        <v/>
      </c>
    </row>
    <row r="764" customFormat="false" ht="15" hidden="false" customHeight="false" outlineLevel="0" collapsed="false">
      <c r="A764" s="31"/>
      <c r="B764" s="32"/>
      <c r="C764" s="32"/>
      <c r="D764" s="32"/>
      <c r="E764" s="32"/>
      <c r="F764" s="32"/>
      <c r="G764" s="33"/>
      <c r="H764" s="33"/>
      <c r="I764" s="34" t="str">
        <f aca="false">IF($A764="","",$G764-$H764)</f>
        <v/>
      </c>
      <c r="J764" s="35" t="str">
        <f aca="false">IF($A764="","",IF(Setup!$B$6=1,YEAR($A764),YEAR($A764)+IF(MONTH($A764)&gt;=Setup!$B$6,1,0)))</f>
        <v/>
      </c>
      <c r="K764" s="35" t="str">
        <f aca="false">IF($A764="","",MOD(MONTH($A764)-Setup!$B$6+12,12)+1)</f>
        <v/>
      </c>
      <c r="L764" s="36" t="str">
        <f aca="false">IF($A764="","",TEXT($A764,"MMM-YY"))</f>
        <v/>
      </c>
      <c r="M764" s="37" t="str">
        <f aca="false">IF($A764="","",IF($Q764=0,"UNMAPPED",INDEX(COA_Mapping!$C$7:$C$256,$Q764)))</f>
        <v/>
      </c>
      <c r="N764" s="38" t="str">
        <f aca="false">IF($A764="","",IF($Q764=0,"",INDEX(COA_Mapping!$E$7:$E$256,$Q764)))</f>
        <v/>
      </c>
      <c r="O764" s="38" t="n">
        <f aca="false">IF($A764="",1,IF($Q764=0,1,INDEX(COA_Mapping!$F$7:$F$256,$Q764)))</f>
        <v>1</v>
      </c>
      <c r="P764" s="34" t="str">
        <f aca="false">IF($A764="","",$I764*$O764)</f>
        <v/>
      </c>
      <c r="Q764" s="39" t="n">
        <f aca="false">IF($B764="",0,IFERROR(MATCH($B764,COA_Mapping!$A$7:$A$256,0),0))</f>
        <v>0</v>
      </c>
      <c r="R764" s="39" t="n">
        <f aca="false">IF($A764="",-1,IF($J764=Setup!$B$7,1,IF($J764=Setup!$B$9,0,-1)))</f>
        <v>-1</v>
      </c>
      <c r="S764" s="35" t="n">
        <f aca="false">IF(OR($A764="",$Q764=0,$R764=-1),0,$Q764*1000+$R764*100+$K764)</f>
        <v>0</v>
      </c>
      <c r="T764" s="37" t="str">
        <f aca="false">IF($A764="","",IF($B764="","NO ACCOUNT",IF($Q764=0,"UNMAPPED",IF($R764=-1,"OUTSIDE FY RANGE","OK"))))</f>
        <v/>
      </c>
      <c r="U764" s="40" t="str">
        <f aca="false">IF($A764="","",$B764&amp;"|"&amp;TEXT($A764,"yyyymmdd")&amp;"|"&amp;TEXT($I764,"0.00"))</f>
        <v/>
      </c>
      <c r="V764" s="35" t="str">
        <f aca="false">IF($A764="","",COUNTIF($U$8:$U$5007,$U764))</f>
        <v/>
      </c>
    </row>
    <row r="765" customFormat="false" ht="15" hidden="false" customHeight="false" outlineLevel="0" collapsed="false">
      <c r="A765" s="31"/>
      <c r="B765" s="32"/>
      <c r="C765" s="32"/>
      <c r="D765" s="32"/>
      <c r="E765" s="32"/>
      <c r="F765" s="32"/>
      <c r="G765" s="33"/>
      <c r="H765" s="33"/>
      <c r="I765" s="34" t="str">
        <f aca="false">IF($A765="","",$G765-$H765)</f>
        <v/>
      </c>
      <c r="J765" s="35" t="str">
        <f aca="false">IF($A765="","",IF(Setup!$B$6=1,YEAR($A765),YEAR($A765)+IF(MONTH($A765)&gt;=Setup!$B$6,1,0)))</f>
        <v/>
      </c>
      <c r="K765" s="35" t="str">
        <f aca="false">IF($A765="","",MOD(MONTH($A765)-Setup!$B$6+12,12)+1)</f>
        <v/>
      </c>
      <c r="L765" s="36" t="str">
        <f aca="false">IF($A765="","",TEXT($A765,"MMM-YY"))</f>
        <v/>
      </c>
      <c r="M765" s="37" t="str">
        <f aca="false">IF($A765="","",IF($Q765=0,"UNMAPPED",INDEX(COA_Mapping!$C$7:$C$256,$Q765)))</f>
        <v/>
      </c>
      <c r="N765" s="38" t="str">
        <f aca="false">IF($A765="","",IF($Q765=0,"",INDEX(COA_Mapping!$E$7:$E$256,$Q765)))</f>
        <v/>
      </c>
      <c r="O765" s="38" t="n">
        <f aca="false">IF($A765="",1,IF($Q765=0,1,INDEX(COA_Mapping!$F$7:$F$256,$Q765)))</f>
        <v>1</v>
      </c>
      <c r="P765" s="34" t="str">
        <f aca="false">IF($A765="","",$I765*$O765)</f>
        <v/>
      </c>
      <c r="Q765" s="39" t="n">
        <f aca="false">IF($B765="",0,IFERROR(MATCH($B765,COA_Mapping!$A$7:$A$256,0),0))</f>
        <v>0</v>
      </c>
      <c r="R765" s="39" t="n">
        <f aca="false">IF($A765="",-1,IF($J765=Setup!$B$7,1,IF($J765=Setup!$B$9,0,-1)))</f>
        <v>-1</v>
      </c>
      <c r="S765" s="35" t="n">
        <f aca="false">IF(OR($A765="",$Q765=0,$R765=-1),0,$Q765*1000+$R765*100+$K765)</f>
        <v>0</v>
      </c>
      <c r="T765" s="37" t="str">
        <f aca="false">IF($A765="","",IF($B765="","NO ACCOUNT",IF($Q765=0,"UNMAPPED",IF($R765=-1,"OUTSIDE FY RANGE","OK"))))</f>
        <v/>
      </c>
      <c r="U765" s="40" t="str">
        <f aca="false">IF($A765="","",$B765&amp;"|"&amp;TEXT($A765,"yyyymmdd")&amp;"|"&amp;TEXT($I765,"0.00"))</f>
        <v/>
      </c>
      <c r="V765" s="35" t="str">
        <f aca="false">IF($A765="","",COUNTIF($U$8:$U$5007,$U765))</f>
        <v/>
      </c>
    </row>
    <row r="766" customFormat="false" ht="15" hidden="false" customHeight="false" outlineLevel="0" collapsed="false">
      <c r="A766" s="31"/>
      <c r="B766" s="32"/>
      <c r="C766" s="32"/>
      <c r="D766" s="32"/>
      <c r="E766" s="32"/>
      <c r="F766" s="32"/>
      <c r="G766" s="33"/>
      <c r="H766" s="33"/>
      <c r="I766" s="34" t="str">
        <f aca="false">IF($A766="","",$G766-$H766)</f>
        <v/>
      </c>
      <c r="J766" s="35" t="str">
        <f aca="false">IF($A766="","",IF(Setup!$B$6=1,YEAR($A766),YEAR($A766)+IF(MONTH($A766)&gt;=Setup!$B$6,1,0)))</f>
        <v/>
      </c>
      <c r="K766" s="35" t="str">
        <f aca="false">IF($A766="","",MOD(MONTH($A766)-Setup!$B$6+12,12)+1)</f>
        <v/>
      </c>
      <c r="L766" s="36" t="str">
        <f aca="false">IF($A766="","",TEXT($A766,"MMM-YY"))</f>
        <v/>
      </c>
      <c r="M766" s="37" t="str">
        <f aca="false">IF($A766="","",IF($Q766=0,"UNMAPPED",INDEX(COA_Mapping!$C$7:$C$256,$Q766)))</f>
        <v/>
      </c>
      <c r="N766" s="38" t="str">
        <f aca="false">IF($A766="","",IF($Q766=0,"",INDEX(COA_Mapping!$E$7:$E$256,$Q766)))</f>
        <v/>
      </c>
      <c r="O766" s="38" t="n">
        <f aca="false">IF($A766="",1,IF($Q766=0,1,INDEX(COA_Mapping!$F$7:$F$256,$Q766)))</f>
        <v>1</v>
      </c>
      <c r="P766" s="34" t="str">
        <f aca="false">IF($A766="","",$I766*$O766)</f>
        <v/>
      </c>
      <c r="Q766" s="39" t="n">
        <f aca="false">IF($B766="",0,IFERROR(MATCH($B766,COA_Mapping!$A$7:$A$256,0),0))</f>
        <v>0</v>
      </c>
      <c r="R766" s="39" t="n">
        <f aca="false">IF($A766="",-1,IF($J766=Setup!$B$7,1,IF($J766=Setup!$B$9,0,-1)))</f>
        <v>-1</v>
      </c>
      <c r="S766" s="35" t="n">
        <f aca="false">IF(OR($A766="",$Q766=0,$R766=-1),0,$Q766*1000+$R766*100+$K766)</f>
        <v>0</v>
      </c>
      <c r="T766" s="37" t="str">
        <f aca="false">IF($A766="","",IF($B766="","NO ACCOUNT",IF($Q766=0,"UNMAPPED",IF($R766=-1,"OUTSIDE FY RANGE","OK"))))</f>
        <v/>
      </c>
      <c r="U766" s="40" t="str">
        <f aca="false">IF($A766="","",$B766&amp;"|"&amp;TEXT($A766,"yyyymmdd")&amp;"|"&amp;TEXT($I766,"0.00"))</f>
        <v/>
      </c>
      <c r="V766" s="35" t="str">
        <f aca="false">IF($A766="","",COUNTIF($U$8:$U$5007,$U766))</f>
        <v/>
      </c>
    </row>
    <row r="767" customFormat="false" ht="15" hidden="false" customHeight="false" outlineLevel="0" collapsed="false">
      <c r="A767" s="31"/>
      <c r="B767" s="32"/>
      <c r="C767" s="32"/>
      <c r="D767" s="32"/>
      <c r="E767" s="32"/>
      <c r="F767" s="32"/>
      <c r="G767" s="33"/>
      <c r="H767" s="33"/>
      <c r="I767" s="34" t="str">
        <f aca="false">IF($A767="","",$G767-$H767)</f>
        <v/>
      </c>
      <c r="J767" s="35" t="str">
        <f aca="false">IF($A767="","",IF(Setup!$B$6=1,YEAR($A767),YEAR($A767)+IF(MONTH($A767)&gt;=Setup!$B$6,1,0)))</f>
        <v/>
      </c>
      <c r="K767" s="35" t="str">
        <f aca="false">IF($A767="","",MOD(MONTH($A767)-Setup!$B$6+12,12)+1)</f>
        <v/>
      </c>
      <c r="L767" s="36" t="str">
        <f aca="false">IF($A767="","",TEXT($A767,"MMM-YY"))</f>
        <v/>
      </c>
      <c r="M767" s="37" t="str">
        <f aca="false">IF($A767="","",IF($Q767=0,"UNMAPPED",INDEX(COA_Mapping!$C$7:$C$256,$Q767)))</f>
        <v/>
      </c>
      <c r="N767" s="38" t="str">
        <f aca="false">IF($A767="","",IF($Q767=0,"",INDEX(COA_Mapping!$E$7:$E$256,$Q767)))</f>
        <v/>
      </c>
      <c r="O767" s="38" t="n">
        <f aca="false">IF($A767="",1,IF($Q767=0,1,INDEX(COA_Mapping!$F$7:$F$256,$Q767)))</f>
        <v>1</v>
      </c>
      <c r="P767" s="34" t="str">
        <f aca="false">IF($A767="","",$I767*$O767)</f>
        <v/>
      </c>
      <c r="Q767" s="39" t="n">
        <f aca="false">IF($B767="",0,IFERROR(MATCH($B767,COA_Mapping!$A$7:$A$256,0),0))</f>
        <v>0</v>
      </c>
      <c r="R767" s="39" t="n">
        <f aca="false">IF($A767="",-1,IF($J767=Setup!$B$7,1,IF($J767=Setup!$B$9,0,-1)))</f>
        <v>-1</v>
      </c>
      <c r="S767" s="35" t="n">
        <f aca="false">IF(OR($A767="",$Q767=0,$R767=-1),0,$Q767*1000+$R767*100+$K767)</f>
        <v>0</v>
      </c>
      <c r="T767" s="37" t="str">
        <f aca="false">IF($A767="","",IF($B767="","NO ACCOUNT",IF($Q767=0,"UNMAPPED",IF($R767=-1,"OUTSIDE FY RANGE","OK"))))</f>
        <v/>
      </c>
      <c r="U767" s="40" t="str">
        <f aca="false">IF($A767="","",$B767&amp;"|"&amp;TEXT($A767,"yyyymmdd")&amp;"|"&amp;TEXT($I767,"0.00"))</f>
        <v/>
      </c>
      <c r="V767" s="35" t="str">
        <f aca="false">IF($A767="","",COUNTIF($U$8:$U$5007,$U767))</f>
        <v/>
      </c>
    </row>
    <row r="768" customFormat="false" ht="15" hidden="false" customHeight="false" outlineLevel="0" collapsed="false">
      <c r="A768" s="31"/>
      <c r="B768" s="32"/>
      <c r="C768" s="32"/>
      <c r="D768" s="32"/>
      <c r="E768" s="32"/>
      <c r="F768" s="32"/>
      <c r="G768" s="33"/>
      <c r="H768" s="33"/>
      <c r="I768" s="34" t="str">
        <f aca="false">IF($A768="","",$G768-$H768)</f>
        <v/>
      </c>
      <c r="J768" s="35" t="str">
        <f aca="false">IF($A768="","",IF(Setup!$B$6=1,YEAR($A768),YEAR($A768)+IF(MONTH($A768)&gt;=Setup!$B$6,1,0)))</f>
        <v/>
      </c>
      <c r="K768" s="35" t="str">
        <f aca="false">IF($A768="","",MOD(MONTH($A768)-Setup!$B$6+12,12)+1)</f>
        <v/>
      </c>
      <c r="L768" s="36" t="str">
        <f aca="false">IF($A768="","",TEXT($A768,"MMM-YY"))</f>
        <v/>
      </c>
      <c r="M768" s="37" t="str">
        <f aca="false">IF($A768="","",IF($Q768=0,"UNMAPPED",INDEX(COA_Mapping!$C$7:$C$256,$Q768)))</f>
        <v/>
      </c>
      <c r="N768" s="38" t="str">
        <f aca="false">IF($A768="","",IF($Q768=0,"",INDEX(COA_Mapping!$E$7:$E$256,$Q768)))</f>
        <v/>
      </c>
      <c r="O768" s="38" t="n">
        <f aca="false">IF($A768="",1,IF($Q768=0,1,INDEX(COA_Mapping!$F$7:$F$256,$Q768)))</f>
        <v>1</v>
      </c>
      <c r="P768" s="34" t="str">
        <f aca="false">IF($A768="","",$I768*$O768)</f>
        <v/>
      </c>
      <c r="Q768" s="39" t="n">
        <f aca="false">IF($B768="",0,IFERROR(MATCH($B768,COA_Mapping!$A$7:$A$256,0),0))</f>
        <v>0</v>
      </c>
      <c r="R768" s="39" t="n">
        <f aca="false">IF($A768="",-1,IF($J768=Setup!$B$7,1,IF($J768=Setup!$B$9,0,-1)))</f>
        <v>-1</v>
      </c>
      <c r="S768" s="35" t="n">
        <f aca="false">IF(OR($A768="",$Q768=0,$R768=-1),0,$Q768*1000+$R768*100+$K768)</f>
        <v>0</v>
      </c>
      <c r="T768" s="37" t="str">
        <f aca="false">IF($A768="","",IF($B768="","NO ACCOUNT",IF($Q768=0,"UNMAPPED",IF($R768=-1,"OUTSIDE FY RANGE","OK"))))</f>
        <v/>
      </c>
      <c r="U768" s="40" t="str">
        <f aca="false">IF($A768="","",$B768&amp;"|"&amp;TEXT($A768,"yyyymmdd")&amp;"|"&amp;TEXT($I768,"0.00"))</f>
        <v/>
      </c>
      <c r="V768" s="35" t="str">
        <f aca="false">IF($A768="","",COUNTIF($U$8:$U$5007,$U768))</f>
        <v/>
      </c>
    </row>
    <row r="769" customFormat="false" ht="15" hidden="false" customHeight="false" outlineLevel="0" collapsed="false">
      <c r="A769" s="31"/>
      <c r="B769" s="32"/>
      <c r="C769" s="32"/>
      <c r="D769" s="32"/>
      <c r="E769" s="32"/>
      <c r="F769" s="32"/>
      <c r="G769" s="33"/>
      <c r="H769" s="33"/>
      <c r="I769" s="34" t="str">
        <f aca="false">IF($A769="","",$G769-$H769)</f>
        <v/>
      </c>
      <c r="J769" s="35" t="str">
        <f aca="false">IF($A769="","",IF(Setup!$B$6=1,YEAR($A769),YEAR($A769)+IF(MONTH($A769)&gt;=Setup!$B$6,1,0)))</f>
        <v/>
      </c>
      <c r="K769" s="35" t="str">
        <f aca="false">IF($A769="","",MOD(MONTH($A769)-Setup!$B$6+12,12)+1)</f>
        <v/>
      </c>
      <c r="L769" s="36" t="str">
        <f aca="false">IF($A769="","",TEXT($A769,"MMM-YY"))</f>
        <v/>
      </c>
      <c r="M769" s="37" t="str">
        <f aca="false">IF($A769="","",IF($Q769=0,"UNMAPPED",INDEX(COA_Mapping!$C$7:$C$256,$Q769)))</f>
        <v/>
      </c>
      <c r="N769" s="38" t="str">
        <f aca="false">IF($A769="","",IF($Q769=0,"",INDEX(COA_Mapping!$E$7:$E$256,$Q769)))</f>
        <v/>
      </c>
      <c r="O769" s="38" t="n">
        <f aca="false">IF($A769="",1,IF($Q769=0,1,INDEX(COA_Mapping!$F$7:$F$256,$Q769)))</f>
        <v>1</v>
      </c>
      <c r="P769" s="34" t="str">
        <f aca="false">IF($A769="","",$I769*$O769)</f>
        <v/>
      </c>
      <c r="Q769" s="39" t="n">
        <f aca="false">IF($B769="",0,IFERROR(MATCH($B769,COA_Mapping!$A$7:$A$256,0),0))</f>
        <v>0</v>
      </c>
      <c r="R769" s="39" t="n">
        <f aca="false">IF($A769="",-1,IF($J769=Setup!$B$7,1,IF($J769=Setup!$B$9,0,-1)))</f>
        <v>-1</v>
      </c>
      <c r="S769" s="35" t="n">
        <f aca="false">IF(OR($A769="",$Q769=0,$R769=-1),0,$Q769*1000+$R769*100+$K769)</f>
        <v>0</v>
      </c>
      <c r="T769" s="37" t="str">
        <f aca="false">IF($A769="","",IF($B769="","NO ACCOUNT",IF($Q769=0,"UNMAPPED",IF($R769=-1,"OUTSIDE FY RANGE","OK"))))</f>
        <v/>
      </c>
      <c r="U769" s="40" t="str">
        <f aca="false">IF($A769="","",$B769&amp;"|"&amp;TEXT($A769,"yyyymmdd")&amp;"|"&amp;TEXT($I769,"0.00"))</f>
        <v/>
      </c>
      <c r="V769" s="35" t="str">
        <f aca="false">IF($A769="","",COUNTIF($U$8:$U$5007,$U769))</f>
        <v/>
      </c>
    </row>
    <row r="770" customFormat="false" ht="15" hidden="false" customHeight="false" outlineLevel="0" collapsed="false">
      <c r="A770" s="31"/>
      <c r="B770" s="32"/>
      <c r="C770" s="32"/>
      <c r="D770" s="32"/>
      <c r="E770" s="32"/>
      <c r="F770" s="32"/>
      <c r="G770" s="33"/>
      <c r="H770" s="33"/>
      <c r="I770" s="34" t="str">
        <f aca="false">IF($A770="","",$G770-$H770)</f>
        <v/>
      </c>
      <c r="J770" s="35" t="str">
        <f aca="false">IF($A770="","",IF(Setup!$B$6=1,YEAR($A770),YEAR($A770)+IF(MONTH($A770)&gt;=Setup!$B$6,1,0)))</f>
        <v/>
      </c>
      <c r="K770" s="35" t="str">
        <f aca="false">IF($A770="","",MOD(MONTH($A770)-Setup!$B$6+12,12)+1)</f>
        <v/>
      </c>
      <c r="L770" s="36" t="str">
        <f aca="false">IF($A770="","",TEXT($A770,"MMM-YY"))</f>
        <v/>
      </c>
      <c r="M770" s="37" t="str">
        <f aca="false">IF($A770="","",IF($Q770=0,"UNMAPPED",INDEX(COA_Mapping!$C$7:$C$256,$Q770)))</f>
        <v/>
      </c>
      <c r="N770" s="38" t="str">
        <f aca="false">IF($A770="","",IF($Q770=0,"",INDEX(COA_Mapping!$E$7:$E$256,$Q770)))</f>
        <v/>
      </c>
      <c r="O770" s="38" t="n">
        <f aca="false">IF($A770="",1,IF($Q770=0,1,INDEX(COA_Mapping!$F$7:$F$256,$Q770)))</f>
        <v>1</v>
      </c>
      <c r="P770" s="34" t="str">
        <f aca="false">IF($A770="","",$I770*$O770)</f>
        <v/>
      </c>
      <c r="Q770" s="39" t="n">
        <f aca="false">IF($B770="",0,IFERROR(MATCH($B770,COA_Mapping!$A$7:$A$256,0),0))</f>
        <v>0</v>
      </c>
      <c r="R770" s="39" t="n">
        <f aca="false">IF($A770="",-1,IF($J770=Setup!$B$7,1,IF($J770=Setup!$B$9,0,-1)))</f>
        <v>-1</v>
      </c>
      <c r="S770" s="35" t="n">
        <f aca="false">IF(OR($A770="",$Q770=0,$R770=-1),0,$Q770*1000+$R770*100+$K770)</f>
        <v>0</v>
      </c>
      <c r="T770" s="37" t="str">
        <f aca="false">IF($A770="","",IF($B770="","NO ACCOUNT",IF($Q770=0,"UNMAPPED",IF($R770=-1,"OUTSIDE FY RANGE","OK"))))</f>
        <v/>
      </c>
      <c r="U770" s="40" t="str">
        <f aca="false">IF($A770="","",$B770&amp;"|"&amp;TEXT($A770,"yyyymmdd")&amp;"|"&amp;TEXT($I770,"0.00"))</f>
        <v/>
      </c>
      <c r="V770" s="35" t="str">
        <f aca="false">IF($A770="","",COUNTIF($U$8:$U$5007,$U770))</f>
        <v/>
      </c>
    </row>
    <row r="771" customFormat="false" ht="15" hidden="false" customHeight="false" outlineLevel="0" collapsed="false">
      <c r="A771" s="31"/>
      <c r="B771" s="32"/>
      <c r="C771" s="32"/>
      <c r="D771" s="32"/>
      <c r="E771" s="32"/>
      <c r="F771" s="32"/>
      <c r="G771" s="33"/>
      <c r="H771" s="33"/>
      <c r="I771" s="34" t="str">
        <f aca="false">IF($A771="","",$G771-$H771)</f>
        <v/>
      </c>
      <c r="J771" s="35" t="str">
        <f aca="false">IF($A771="","",IF(Setup!$B$6=1,YEAR($A771),YEAR($A771)+IF(MONTH($A771)&gt;=Setup!$B$6,1,0)))</f>
        <v/>
      </c>
      <c r="K771" s="35" t="str">
        <f aca="false">IF($A771="","",MOD(MONTH($A771)-Setup!$B$6+12,12)+1)</f>
        <v/>
      </c>
      <c r="L771" s="36" t="str">
        <f aca="false">IF($A771="","",TEXT($A771,"MMM-YY"))</f>
        <v/>
      </c>
      <c r="M771" s="37" t="str">
        <f aca="false">IF($A771="","",IF($Q771=0,"UNMAPPED",INDEX(COA_Mapping!$C$7:$C$256,$Q771)))</f>
        <v/>
      </c>
      <c r="N771" s="38" t="str">
        <f aca="false">IF($A771="","",IF($Q771=0,"",INDEX(COA_Mapping!$E$7:$E$256,$Q771)))</f>
        <v/>
      </c>
      <c r="O771" s="38" t="n">
        <f aca="false">IF($A771="",1,IF($Q771=0,1,INDEX(COA_Mapping!$F$7:$F$256,$Q771)))</f>
        <v>1</v>
      </c>
      <c r="P771" s="34" t="str">
        <f aca="false">IF($A771="","",$I771*$O771)</f>
        <v/>
      </c>
      <c r="Q771" s="39" t="n">
        <f aca="false">IF($B771="",0,IFERROR(MATCH($B771,COA_Mapping!$A$7:$A$256,0),0))</f>
        <v>0</v>
      </c>
      <c r="R771" s="39" t="n">
        <f aca="false">IF($A771="",-1,IF($J771=Setup!$B$7,1,IF($J771=Setup!$B$9,0,-1)))</f>
        <v>-1</v>
      </c>
      <c r="S771" s="35" t="n">
        <f aca="false">IF(OR($A771="",$Q771=0,$R771=-1),0,$Q771*1000+$R771*100+$K771)</f>
        <v>0</v>
      </c>
      <c r="T771" s="37" t="str">
        <f aca="false">IF($A771="","",IF($B771="","NO ACCOUNT",IF($Q771=0,"UNMAPPED",IF($R771=-1,"OUTSIDE FY RANGE","OK"))))</f>
        <v/>
      </c>
      <c r="U771" s="40" t="str">
        <f aca="false">IF($A771="","",$B771&amp;"|"&amp;TEXT($A771,"yyyymmdd")&amp;"|"&amp;TEXT($I771,"0.00"))</f>
        <v/>
      </c>
      <c r="V771" s="35" t="str">
        <f aca="false">IF($A771="","",COUNTIF($U$8:$U$5007,$U771))</f>
        <v/>
      </c>
    </row>
    <row r="772" customFormat="false" ht="15" hidden="false" customHeight="false" outlineLevel="0" collapsed="false">
      <c r="A772" s="31"/>
      <c r="B772" s="32"/>
      <c r="C772" s="32"/>
      <c r="D772" s="32"/>
      <c r="E772" s="32"/>
      <c r="F772" s="32"/>
      <c r="G772" s="33"/>
      <c r="H772" s="33"/>
      <c r="I772" s="34" t="str">
        <f aca="false">IF($A772="","",$G772-$H772)</f>
        <v/>
      </c>
      <c r="J772" s="35" t="str">
        <f aca="false">IF($A772="","",IF(Setup!$B$6=1,YEAR($A772),YEAR($A772)+IF(MONTH($A772)&gt;=Setup!$B$6,1,0)))</f>
        <v/>
      </c>
      <c r="K772" s="35" t="str">
        <f aca="false">IF($A772="","",MOD(MONTH($A772)-Setup!$B$6+12,12)+1)</f>
        <v/>
      </c>
      <c r="L772" s="36" t="str">
        <f aca="false">IF($A772="","",TEXT($A772,"MMM-YY"))</f>
        <v/>
      </c>
      <c r="M772" s="37" t="str">
        <f aca="false">IF($A772="","",IF($Q772=0,"UNMAPPED",INDEX(COA_Mapping!$C$7:$C$256,$Q772)))</f>
        <v/>
      </c>
      <c r="N772" s="38" t="str">
        <f aca="false">IF($A772="","",IF($Q772=0,"",INDEX(COA_Mapping!$E$7:$E$256,$Q772)))</f>
        <v/>
      </c>
      <c r="O772" s="38" t="n">
        <f aca="false">IF($A772="",1,IF($Q772=0,1,INDEX(COA_Mapping!$F$7:$F$256,$Q772)))</f>
        <v>1</v>
      </c>
      <c r="P772" s="34" t="str">
        <f aca="false">IF($A772="","",$I772*$O772)</f>
        <v/>
      </c>
      <c r="Q772" s="39" t="n">
        <f aca="false">IF($B772="",0,IFERROR(MATCH($B772,COA_Mapping!$A$7:$A$256,0),0))</f>
        <v>0</v>
      </c>
      <c r="R772" s="39" t="n">
        <f aca="false">IF($A772="",-1,IF($J772=Setup!$B$7,1,IF($J772=Setup!$B$9,0,-1)))</f>
        <v>-1</v>
      </c>
      <c r="S772" s="35" t="n">
        <f aca="false">IF(OR($A772="",$Q772=0,$R772=-1),0,$Q772*1000+$R772*100+$K772)</f>
        <v>0</v>
      </c>
      <c r="T772" s="37" t="str">
        <f aca="false">IF($A772="","",IF($B772="","NO ACCOUNT",IF($Q772=0,"UNMAPPED",IF($R772=-1,"OUTSIDE FY RANGE","OK"))))</f>
        <v/>
      </c>
      <c r="U772" s="40" t="str">
        <f aca="false">IF($A772="","",$B772&amp;"|"&amp;TEXT($A772,"yyyymmdd")&amp;"|"&amp;TEXT($I772,"0.00"))</f>
        <v/>
      </c>
      <c r="V772" s="35" t="str">
        <f aca="false">IF($A772="","",COUNTIF($U$8:$U$5007,$U772))</f>
        <v/>
      </c>
    </row>
    <row r="773" customFormat="false" ht="15" hidden="false" customHeight="false" outlineLevel="0" collapsed="false">
      <c r="A773" s="31"/>
      <c r="B773" s="32"/>
      <c r="C773" s="32"/>
      <c r="D773" s="32"/>
      <c r="E773" s="32"/>
      <c r="F773" s="32"/>
      <c r="G773" s="33"/>
      <c r="H773" s="33"/>
      <c r="I773" s="34" t="str">
        <f aca="false">IF($A773="","",$G773-$H773)</f>
        <v/>
      </c>
      <c r="J773" s="35" t="str">
        <f aca="false">IF($A773="","",IF(Setup!$B$6=1,YEAR($A773),YEAR($A773)+IF(MONTH($A773)&gt;=Setup!$B$6,1,0)))</f>
        <v/>
      </c>
      <c r="K773" s="35" t="str">
        <f aca="false">IF($A773="","",MOD(MONTH($A773)-Setup!$B$6+12,12)+1)</f>
        <v/>
      </c>
      <c r="L773" s="36" t="str">
        <f aca="false">IF($A773="","",TEXT($A773,"MMM-YY"))</f>
        <v/>
      </c>
      <c r="M773" s="37" t="str">
        <f aca="false">IF($A773="","",IF($Q773=0,"UNMAPPED",INDEX(COA_Mapping!$C$7:$C$256,$Q773)))</f>
        <v/>
      </c>
      <c r="N773" s="38" t="str">
        <f aca="false">IF($A773="","",IF($Q773=0,"",INDEX(COA_Mapping!$E$7:$E$256,$Q773)))</f>
        <v/>
      </c>
      <c r="O773" s="38" t="n">
        <f aca="false">IF($A773="",1,IF($Q773=0,1,INDEX(COA_Mapping!$F$7:$F$256,$Q773)))</f>
        <v>1</v>
      </c>
      <c r="P773" s="34" t="str">
        <f aca="false">IF($A773="","",$I773*$O773)</f>
        <v/>
      </c>
      <c r="Q773" s="39" t="n">
        <f aca="false">IF($B773="",0,IFERROR(MATCH($B773,COA_Mapping!$A$7:$A$256,0),0))</f>
        <v>0</v>
      </c>
      <c r="R773" s="39" t="n">
        <f aca="false">IF($A773="",-1,IF($J773=Setup!$B$7,1,IF($J773=Setup!$B$9,0,-1)))</f>
        <v>-1</v>
      </c>
      <c r="S773" s="35" t="n">
        <f aca="false">IF(OR($A773="",$Q773=0,$R773=-1),0,$Q773*1000+$R773*100+$K773)</f>
        <v>0</v>
      </c>
      <c r="T773" s="37" t="str">
        <f aca="false">IF($A773="","",IF($B773="","NO ACCOUNT",IF($Q773=0,"UNMAPPED",IF($R773=-1,"OUTSIDE FY RANGE","OK"))))</f>
        <v/>
      </c>
      <c r="U773" s="40" t="str">
        <f aca="false">IF($A773="","",$B773&amp;"|"&amp;TEXT($A773,"yyyymmdd")&amp;"|"&amp;TEXT($I773,"0.00"))</f>
        <v/>
      </c>
      <c r="V773" s="35" t="str">
        <f aca="false">IF($A773="","",COUNTIF($U$8:$U$5007,$U773))</f>
        <v/>
      </c>
    </row>
    <row r="774" customFormat="false" ht="15" hidden="false" customHeight="false" outlineLevel="0" collapsed="false">
      <c r="A774" s="31"/>
      <c r="B774" s="32"/>
      <c r="C774" s="32"/>
      <c r="D774" s="32"/>
      <c r="E774" s="32"/>
      <c r="F774" s="32"/>
      <c r="G774" s="33"/>
      <c r="H774" s="33"/>
      <c r="I774" s="34" t="str">
        <f aca="false">IF($A774="","",$G774-$H774)</f>
        <v/>
      </c>
      <c r="J774" s="35" t="str">
        <f aca="false">IF($A774="","",IF(Setup!$B$6=1,YEAR($A774),YEAR($A774)+IF(MONTH($A774)&gt;=Setup!$B$6,1,0)))</f>
        <v/>
      </c>
      <c r="K774" s="35" t="str">
        <f aca="false">IF($A774="","",MOD(MONTH($A774)-Setup!$B$6+12,12)+1)</f>
        <v/>
      </c>
      <c r="L774" s="36" t="str">
        <f aca="false">IF($A774="","",TEXT($A774,"MMM-YY"))</f>
        <v/>
      </c>
      <c r="M774" s="37" t="str">
        <f aca="false">IF($A774="","",IF($Q774=0,"UNMAPPED",INDEX(COA_Mapping!$C$7:$C$256,$Q774)))</f>
        <v/>
      </c>
      <c r="N774" s="38" t="str">
        <f aca="false">IF($A774="","",IF($Q774=0,"",INDEX(COA_Mapping!$E$7:$E$256,$Q774)))</f>
        <v/>
      </c>
      <c r="O774" s="38" t="n">
        <f aca="false">IF($A774="",1,IF($Q774=0,1,INDEX(COA_Mapping!$F$7:$F$256,$Q774)))</f>
        <v>1</v>
      </c>
      <c r="P774" s="34" t="str">
        <f aca="false">IF($A774="","",$I774*$O774)</f>
        <v/>
      </c>
      <c r="Q774" s="39" t="n">
        <f aca="false">IF($B774="",0,IFERROR(MATCH($B774,COA_Mapping!$A$7:$A$256,0),0))</f>
        <v>0</v>
      </c>
      <c r="R774" s="39" t="n">
        <f aca="false">IF($A774="",-1,IF($J774=Setup!$B$7,1,IF($J774=Setup!$B$9,0,-1)))</f>
        <v>-1</v>
      </c>
      <c r="S774" s="35" t="n">
        <f aca="false">IF(OR($A774="",$Q774=0,$R774=-1),0,$Q774*1000+$R774*100+$K774)</f>
        <v>0</v>
      </c>
      <c r="T774" s="37" t="str">
        <f aca="false">IF($A774="","",IF($B774="","NO ACCOUNT",IF($Q774=0,"UNMAPPED",IF($R774=-1,"OUTSIDE FY RANGE","OK"))))</f>
        <v/>
      </c>
      <c r="U774" s="40" t="str">
        <f aca="false">IF($A774="","",$B774&amp;"|"&amp;TEXT($A774,"yyyymmdd")&amp;"|"&amp;TEXT($I774,"0.00"))</f>
        <v/>
      </c>
      <c r="V774" s="35" t="str">
        <f aca="false">IF($A774="","",COUNTIF($U$8:$U$5007,$U774))</f>
        <v/>
      </c>
    </row>
    <row r="775" customFormat="false" ht="15" hidden="false" customHeight="false" outlineLevel="0" collapsed="false">
      <c r="A775" s="31"/>
      <c r="B775" s="32"/>
      <c r="C775" s="32"/>
      <c r="D775" s="32"/>
      <c r="E775" s="32"/>
      <c r="F775" s="32"/>
      <c r="G775" s="33"/>
      <c r="H775" s="33"/>
      <c r="I775" s="34" t="str">
        <f aca="false">IF($A775="","",$G775-$H775)</f>
        <v/>
      </c>
      <c r="J775" s="35" t="str">
        <f aca="false">IF($A775="","",IF(Setup!$B$6=1,YEAR($A775),YEAR($A775)+IF(MONTH($A775)&gt;=Setup!$B$6,1,0)))</f>
        <v/>
      </c>
      <c r="K775" s="35" t="str">
        <f aca="false">IF($A775="","",MOD(MONTH($A775)-Setup!$B$6+12,12)+1)</f>
        <v/>
      </c>
      <c r="L775" s="36" t="str">
        <f aca="false">IF($A775="","",TEXT($A775,"MMM-YY"))</f>
        <v/>
      </c>
      <c r="M775" s="37" t="str">
        <f aca="false">IF($A775="","",IF($Q775=0,"UNMAPPED",INDEX(COA_Mapping!$C$7:$C$256,$Q775)))</f>
        <v/>
      </c>
      <c r="N775" s="38" t="str">
        <f aca="false">IF($A775="","",IF($Q775=0,"",INDEX(COA_Mapping!$E$7:$E$256,$Q775)))</f>
        <v/>
      </c>
      <c r="O775" s="38" t="n">
        <f aca="false">IF($A775="",1,IF($Q775=0,1,INDEX(COA_Mapping!$F$7:$F$256,$Q775)))</f>
        <v>1</v>
      </c>
      <c r="P775" s="34" t="str">
        <f aca="false">IF($A775="","",$I775*$O775)</f>
        <v/>
      </c>
      <c r="Q775" s="39" t="n">
        <f aca="false">IF($B775="",0,IFERROR(MATCH($B775,COA_Mapping!$A$7:$A$256,0),0))</f>
        <v>0</v>
      </c>
      <c r="R775" s="39" t="n">
        <f aca="false">IF($A775="",-1,IF($J775=Setup!$B$7,1,IF($J775=Setup!$B$9,0,-1)))</f>
        <v>-1</v>
      </c>
      <c r="S775" s="35" t="n">
        <f aca="false">IF(OR($A775="",$Q775=0,$R775=-1),0,$Q775*1000+$R775*100+$K775)</f>
        <v>0</v>
      </c>
      <c r="T775" s="37" t="str">
        <f aca="false">IF($A775="","",IF($B775="","NO ACCOUNT",IF($Q775=0,"UNMAPPED",IF($R775=-1,"OUTSIDE FY RANGE","OK"))))</f>
        <v/>
      </c>
      <c r="U775" s="40" t="str">
        <f aca="false">IF($A775="","",$B775&amp;"|"&amp;TEXT($A775,"yyyymmdd")&amp;"|"&amp;TEXT($I775,"0.00"))</f>
        <v/>
      </c>
      <c r="V775" s="35" t="str">
        <f aca="false">IF($A775="","",COUNTIF($U$8:$U$5007,$U775))</f>
        <v/>
      </c>
    </row>
    <row r="776" customFormat="false" ht="15" hidden="false" customHeight="false" outlineLevel="0" collapsed="false">
      <c r="A776" s="31"/>
      <c r="B776" s="32"/>
      <c r="C776" s="32"/>
      <c r="D776" s="32"/>
      <c r="E776" s="32"/>
      <c r="F776" s="32"/>
      <c r="G776" s="33"/>
      <c r="H776" s="33"/>
      <c r="I776" s="34" t="str">
        <f aca="false">IF($A776="","",$G776-$H776)</f>
        <v/>
      </c>
      <c r="J776" s="35" t="str">
        <f aca="false">IF($A776="","",IF(Setup!$B$6=1,YEAR($A776),YEAR($A776)+IF(MONTH($A776)&gt;=Setup!$B$6,1,0)))</f>
        <v/>
      </c>
      <c r="K776" s="35" t="str">
        <f aca="false">IF($A776="","",MOD(MONTH($A776)-Setup!$B$6+12,12)+1)</f>
        <v/>
      </c>
      <c r="L776" s="36" t="str">
        <f aca="false">IF($A776="","",TEXT($A776,"MMM-YY"))</f>
        <v/>
      </c>
      <c r="M776" s="37" t="str">
        <f aca="false">IF($A776="","",IF($Q776=0,"UNMAPPED",INDEX(COA_Mapping!$C$7:$C$256,$Q776)))</f>
        <v/>
      </c>
      <c r="N776" s="38" t="str">
        <f aca="false">IF($A776="","",IF($Q776=0,"",INDEX(COA_Mapping!$E$7:$E$256,$Q776)))</f>
        <v/>
      </c>
      <c r="O776" s="38" t="n">
        <f aca="false">IF($A776="",1,IF($Q776=0,1,INDEX(COA_Mapping!$F$7:$F$256,$Q776)))</f>
        <v>1</v>
      </c>
      <c r="P776" s="34" t="str">
        <f aca="false">IF($A776="","",$I776*$O776)</f>
        <v/>
      </c>
      <c r="Q776" s="39" t="n">
        <f aca="false">IF($B776="",0,IFERROR(MATCH($B776,COA_Mapping!$A$7:$A$256,0),0))</f>
        <v>0</v>
      </c>
      <c r="R776" s="39" t="n">
        <f aca="false">IF($A776="",-1,IF($J776=Setup!$B$7,1,IF($J776=Setup!$B$9,0,-1)))</f>
        <v>-1</v>
      </c>
      <c r="S776" s="35" t="n">
        <f aca="false">IF(OR($A776="",$Q776=0,$R776=-1),0,$Q776*1000+$R776*100+$K776)</f>
        <v>0</v>
      </c>
      <c r="T776" s="37" t="str">
        <f aca="false">IF($A776="","",IF($B776="","NO ACCOUNT",IF($Q776=0,"UNMAPPED",IF($R776=-1,"OUTSIDE FY RANGE","OK"))))</f>
        <v/>
      </c>
      <c r="U776" s="40" t="str">
        <f aca="false">IF($A776="","",$B776&amp;"|"&amp;TEXT($A776,"yyyymmdd")&amp;"|"&amp;TEXT($I776,"0.00"))</f>
        <v/>
      </c>
      <c r="V776" s="35" t="str">
        <f aca="false">IF($A776="","",COUNTIF($U$8:$U$5007,$U776))</f>
        <v/>
      </c>
    </row>
    <row r="777" customFormat="false" ht="15" hidden="false" customHeight="false" outlineLevel="0" collapsed="false">
      <c r="A777" s="31"/>
      <c r="B777" s="32"/>
      <c r="C777" s="32"/>
      <c r="D777" s="32"/>
      <c r="E777" s="32"/>
      <c r="F777" s="32"/>
      <c r="G777" s="33"/>
      <c r="H777" s="33"/>
      <c r="I777" s="34" t="str">
        <f aca="false">IF($A777="","",$G777-$H777)</f>
        <v/>
      </c>
      <c r="J777" s="35" t="str">
        <f aca="false">IF($A777="","",IF(Setup!$B$6=1,YEAR($A777),YEAR($A777)+IF(MONTH($A777)&gt;=Setup!$B$6,1,0)))</f>
        <v/>
      </c>
      <c r="K777" s="35" t="str">
        <f aca="false">IF($A777="","",MOD(MONTH($A777)-Setup!$B$6+12,12)+1)</f>
        <v/>
      </c>
      <c r="L777" s="36" t="str">
        <f aca="false">IF($A777="","",TEXT($A777,"MMM-YY"))</f>
        <v/>
      </c>
      <c r="M777" s="37" t="str">
        <f aca="false">IF($A777="","",IF($Q777=0,"UNMAPPED",INDEX(COA_Mapping!$C$7:$C$256,$Q777)))</f>
        <v/>
      </c>
      <c r="N777" s="38" t="str">
        <f aca="false">IF($A777="","",IF($Q777=0,"",INDEX(COA_Mapping!$E$7:$E$256,$Q777)))</f>
        <v/>
      </c>
      <c r="O777" s="38" t="n">
        <f aca="false">IF($A777="",1,IF($Q777=0,1,INDEX(COA_Mapping!$F$7:$F$256,$Q777)))</f>
        <v>1</v>
      </c>
      <c r="P777" s="34" t="str">
        <f aca="false">IF($A777="","",$I777*$O777)</f>
        <v/>
      </c>
      <c r="Q777" s="39" t="n">
        <f aca="false">IF($B777="",0,IFERROR(MATCH($B777,COA_Mapping!$A$7:$A$256,0),0))</f>
        <v>0</v>
      </c>
      <c r="R777" s="39" t="n">
        <f aca="false">IF($A777="",-1,IF($J777=Setup!$B$7,1,IF($J777=Setup!$B$9,0,-1)))</f>
        <v>-1</v>
      </c>
      <c r="S777" s="35" t="n">
        <f aca="false">IF(OR($A777="",$Q777=0,$R777=-1),0,$Q777*1000+$R777*100+$K777)</f>
        <v>0</v>
      </c>
      <c r="T777" s="37" t="str">
        <f aca="false">IF($A777="","",IF($B777="","NO ACCOUNT",IF($Q777=0,"UNMAPPED",IF($R777=-1,"OUTSIDE FY RANGE","OK"))))</f>
        <v/>
      </c>
      <c r="U777" s="40" t="str">
        <f aca="false">IF($A777="","",$B777&amp;"|"&amp;TEXT($A777,"yyyymmdd")&amp;"|"&amp;TEXT($I777,"0.00"))</f>
        <v/>
      </c>
      <c r="V777" s="35" t="str">
        <f aca="false">IF($A777="","",COUNTIF($U$8:$U$5007,$U777))</f>
        <v/>
      </c>
    </row>
    <row r="778" customFormat="false" ht="15" hidden="false" customHeight="false" outlineLevel="0" collapsed="false">
      <c r="A778" s="31"/>
      <c r="B778" s="32"/>
      <c r="C778" s="32"/>
      <c r="D778" s="32"/>
      <c r="E778" s="32"/>
      <c r="F778" s="32"/>
      <c r="G778" s="33"/>
      <c r="H778" s="33"/>
      <c r="I778" s="34" t="str">
        <f aca="false">IF($A778="","",$G778-$H778)</f>
        <v/>
      </c>
      <c r="J778" s="35" t="str">
        <f aca="false">IF($A778="","",IF(Setup!$B$6=1,YEAR($A778),YEAR($A778)+IF(MONTH($A778)&gt;=Setup!$B$6,1,0)))</f>
        <v/>
      </c>
      <c r="K778" s="35" t="str">
        <f aca="false">IF($A778="","",MOD(MONTH($A778)-Setup!$B$6+12,12)+1)</f>
        <v/>
      </c>
      <c r="L778" s="36" t="str">
        <f aca="false">IF($A778="","",TEXT($A778,"MMM-YY"))</f>
        <v/>
      </c>
      <c r="M778" s="37" t="str">
        <f aca="false">IF($A778="","",IF($Q778=0,"UNMAPPED",INDEX(COA_Mapping!$C$7:$C$256,$Q778)))</f>
        <v/>
      </c>
      <c r="N778" s="38" t="str">
        <f aca="false">IF($A778="","",IF($Q778=0,"",INDEX(COA_Mapping!$E$7:$E$256,$Q778)))</f>
        <v/>
      </c>
      <c r="O778" s="38" t="n">
        <f aca="false">IF($A778="",1,IF($Q778=0,1,INDEX(COA_Mapping!$F$7:$F$256,$Q778)))</f>
        <v>1</v>
      </c>
      <c r="P778" s="34" t="str">
        <f aca="false">IF($A778="","",$I778*$O778)</f>
        <v/>
      </c>
      <c r="Q778" s="39" t="n">
        <f aca="false">IF($B778="",0,IFERROR(MATCH($B778,COA_Mapping!$A$7:$A$256,0),0))</f>
        <v>0</v>
      </c>
      <c r="R778" s="39" t="n">
        <f aca="false">IF($A778="",-1,IF($J778=Setup!$B$7,1,IF($J778=Setup!$B$9,0,-1)))</f>
        <v>-1</v>
      </c>
      <c r="S778" s="35" t="n">
        <f aca="false">IF(OR($A778="",$Q778=0,$R778=-1),0,$Q778*1000+$R778*100+$K778)</f>
        <v>0</v>
      </c>
      <c r="T778" s="37" t="str">
        <f aca="false">IF($A778="","",IF($B778="","NO ACCOUNT",IF($Q778=0,"UNMAPPED",IF($R778=-1,"OUTSIDE FY RANGE","OK"))))</f>
        <v/>
      </c>
      <c r="U778" s="40" t="str">
        <f aca="false">IF($A778="","",$B778&amp;"|"&amp;TEXT($A778,"yyyymmdd")&amp;"|"&amp;TEXT($I778,"0.00"))</f>
        <v/>
      </c>
      <c r="V778" s="35" t="str">
        <f aca="false">IF($A778="","",COUNTIF($U$8:$U$5007,$U778))</f>
        <v/>
      </c>
    </row>
    <row r="779" customFormat="false" ht="15" hidden="false" customHeight="false" outlineLevel="0" collapsed="false">
      <c r="A779" s="31"/>
      <c r="B779" s="32"/>
      <c r="C779" s="32"/>
      <c r="D779" s="32"/>
      <c r="E779" s="32"/>
      <c r="F779" s="32"/>
      <c r="G779" s="33"/>
      <c r="H779" s="33"/>
      <c r="I779" s="34" t="str">
        <f aca="false">IF($A779="","",$G779-$H779)</f>
        <v/>
      </c>
      <c r="J779" s="35" t="str">
        <f aca="false">IF($A779="","",IF(Setup!$B$6=1,YEAR($A779),YEAR($A779)+IF(MONTH($A779)&gt;=Setup!$B$6,1,0)))</f>
        <v/>
      </c>
      <c r="K779" s="35" t="str">
        <f aca="false">IF($A779="","",MOD(MONTH($A779)-Setup!$B$6+12,12)+1)</f>
        <v/>
      </c>
      <c r="L779" s="36" t="str">
        <f aca="false">IF($A779="","",TEXT($A779,"MMM-YY"))</f>
        <v/>
      </c>
      <c r="M779" s="37" t="str">
        <f aca="false">IF($A779="","",IF($Q779=0,"UNMAPPED",INDEX(COA_Mapping!$C$7:$C$256,$Q779)))</f>
        <v/>
      </c>
      <c r="N779" s="38" t="str">
        <f aca="false">IF($A779="","",IF($Q779=0,"",INDEX(COA_Mapping!$E$7:$E$256,$Q779)))</f>
        <v/>
      </c>
      <c r="O779" s="38" t="n">
        <f aca="false">IF($A779="",1,IF($Q779=0,1,INDEX(COA_Mapping!$F$7:$F$256,$Q779)))</f>
        <v>1</v>
      </c>
      <c r="P779" s="34" t="str">
        <f aca="false">IF($A779="","",$I779*$O779)</f>
        <v/>
      </c>
      <c r="Q779" s="39" t="n">
        <f aca="false">IF($B779="",0,IFERROR(MATCH($B779,COA_Mapping!$A$7:$A$256,0),0))</f>
        <v>0</v>
      </c>
      <c r="R779" s="39" t="n">
        <f aca="false">IF($A779="",-1,IF($J779=Setup!$B$7,1,IF($J779=Setup!$B$9,0,-1)))</f>
        <v>-1</v>
      </c>
      <c r="S779" s="35" t="n">
        <f aca="false">IF(OR($A779="",$Q779=0,$R779=-1),0,$Q779*1000+$R779*100+$K779)</f>
        <v>0</v>
      </c>
      <c r="T779" s="37" t="str">
        <f aca="false">IF($A779="","",IF($B779="","NO ACCOUNT",IF($Q779=0,"UNMAPPED",IF($R779=-1,"OUTSIDE FY RANGE","OK"))))</f>
        <v/>
      </c>
      <c r="U779" s="40" t="str">
        <f aca="false">IF($A779="","",$B779&amp;"|"&amp;TEXT($A779,"yyyymmdd")&amp;"|"&amp;TEXT($I779,"0.00"))</f>
        <v/>
      </c>
      <c r="V779" s="35" t="str">
        <f aca="false">IF($A779="","",COUNTIF($U$8:$U$5007,$U779))</f>
        <v/>
      </c>
    </row>
    <row r="780" customFormat="false" ht="15" hidden="false" customHeight="false" outlineLevel="0" collapsed="false">
      <c r="A780" s="31"/>
      <c r="B780" s="32"/>
      <c r="C780" s="32"/>
      <c r="D780" s="32"/>
      <c r="E780" s="32"/>
      <c r="F780" s="32"/>
      <c r="G780" s="33"/>
      <c r="H780" s="33"/>
      <c r="I780" s="34" t="str">
        <f aca="false">IF($A780="","",$G780-$H780)</f>
        <v/>
      </c>
      <c r="J780" s="35" t="str">
        <f aca="false">IF($A780="","",IF(Setup!$B$6=1,YEAR($A780),YEAR($A780)+IF(MONTH($A780)&gt;=Setup!$B$6,1,0)))</f>
        <v/>
      </c>
      <c r="K780" s="35" t="str">
        <f aca="false">IF($A780="","",MOD(MONTH($A780)-Setup!$B$6+12,12)+1)</f>
        <v/>
      </c>
      <c r="L780" s="36" t="str">
        <f aca="false">IF($A780="","",TEXT($A780,"MMM-YY"))</f>
        <v/>
      </c>
      <c r="M780" s="37" t="str">
        <f aca="false">IF($A780="","",IF($Q780=0,"UNMAPPED",INDEX(COA_Mapping!$C$7:$C$256,$Q780)))</f>
        <v/>
      </c>
      <c r="N780" s="38" t="str">
        <f aca="false">IF($A780="","",IF($Q780=0,"",INDEX(COA_Mapping!$E$7:$E$256,$Q780)))</f>
        <v/>
      </c>
      <c r="O780" s="38" t="n">
        <f aca="false">IF($A780="",1,IF($Q780=0,1,INDEX(COA_Mapping!$F$7:$F$256,$Q780)))</f>
        <v>1</v>
      </c>
      <c r="P780" s="34" t="str">
        <f aca="false">IF($A780="","",$I780*$O780)</f>
        <v/>
      </c>
      <c r="Q780" s="39" t="n">
        <f aca="false">IF($B780="",0,IFERROR(MATCH($B780,COA_Mapping!$A$7:$A$256,0),0))</f>
        <v>0</v>
      </c>
      <c r="R780" s="39" t="n">
        <f aca="false">IF($A780="",-1,IF($J780=Setup!$B$7,1,IF($J780=Setup!$B$9,0,-1)))</f>
        <v>-1</v>
      </c>
      <c r="S780" s="35" t="n">
        <f aca="false">IF(OR($A780="",$Q780=0,$R780=-1),0,$Q780*1000+$R780*100+$K780)</f>
        <v>0</v>
      </c>
      <c r="T780" s="37" t="str">
        <f aca="false">IF($A780="","",IF($B780="","NO ACCOUNT",IF($Q780=0,"UNMAPPED",IF($R780=-1,"OUTSIDE FY RANGE","OK"))))</f>
        <v/>
      </c>
      <c r="U780" s="40" t="str">
        <f aca="false">IF($A780="","",$B780&amp;"|"&amp;TEXT($A780,"yyyymmdd")&amp;"|"&amp;TEXT($I780,"0.00"))</f>
        <v/>
      </c>
      <c r="V780" s="35" t="str">
        <f aca="false">IF($A780="","",COUNTIF($U$8:$U$5007,$U780))</f>
        <v/>
      </c>
    </row>
    <row r="781" customFormat="false" ht="15" hidden="false" customHeight="false" outlineLevel="0" collapsed="false">
      <c r="A781" s="31"/>
      <c r="B781" s="32"/>
      <c r="C781" s="32"/>
      <c r="D781" s="32"/>
      <c r="E781" s="32"/>
      <c r="F781" s="32"/>
      <c r="G781" s="33"/>
      <c r="H781" s="33"/>
      <c r="I781" s="34" t="str">
        <f aca="false">IF($A781="","",$G781-$H781)</f>
        <v/>
      </c>
      <c r="J781" s="35" t="str">
        <f aca="false">IF($A781="","",IF(Setup!$B$6=1,YEAR($A781),YEAR($A781)+IF(MONTH($A781)&gt;=Setup!$B$6,1,0)))</f>
        <v/>
      </c>
      <c r="K781" s="35" t="str">
        <f aca="false">IF($A781="","",MOD(MONTH($A781)-Setup!$B$6+12,12)+1)</f>
        <v/>
      </c>
      <c r="L781" s="36" t="str">
        <f aca="false">IF($A781="","",TEXT($A781,"MMM-YY"))</f>
        <v/>
      </c>
      <c r="M781" s="37" t="str">
        <f aca="false">IF($A781="","",IF($Q781=0,"UNMAPPED",INDEX(COA_Mapping!$C$7:$C$256,$Q781)))</f>
        <v/>
      </c>
      <c r="N781" s="38" t="str">
        <f aca="false">IF($A781="","",IF($Q781=0,"",INDEX(COA_Mapping!$E$7:$E$256,$Q781)))</f>
        <v/>
      </c>
      <c r="O781" s="38" t="n">
        <f aca="false">IF($A781="",1,IF($Q781=0,1,INDEX(COA_Mapping!$F$7:$F$256,$Q781)))</f>
        <v>1</v>
      </c>
      <c r="P781" s="34" t="str">
        <f aca="false">IF($A781="","",$I781*$O781)</f>
        <v/>
      </c>
      <c r="Q781" s="39" t="n">
        <f aca="false">IF($B781="",0,IFERROR(MATCH($B781,COA_Mapping!$A$7:$A$256,0),0))</f>
        <v>0</v>
      </c>
      <c r="R781" s="39" t="n">
        <f aca="false">IF($A781="",-1,IF($J781=Setup!$B$7,1,IF($J781=Setup!$B$9,0,-1)))</f>
        <v>-1</v>
      </c>
      <c r="S781" s="35" t="n">
        <f aca="false">IF(OR($A781="",$Q781=0,$R781=-1),0,$Q781*1000+$R781*100+$K781)</f>
        <v>0</v>
      </c>
      <c r="T781" s="37" t="str">
        <f aca="false">IF($A781="","",IF($B781="","NO ACCOUNT",IF($Q781=0,"UNMAPPED",IF($R781=-1,"OUTSIDE FY RANGE","OK"))))</f>
        <v/>
      </c>
      <c r="U781" s="40" t="str">
        <f aca="false">IF($A781="","",$B781&amp;"|"&amp;TEXT($A781,"yyyymmdd")&amp;"|"&amp;TEXT($I781,"0.00"))</f>
        <v/>
      </c>
      <c r="V781" s="35" t="str">
        <f aca="false">IF($A781="","",COUNTIF($U$8:$U$5007,$U781))</f>
        <v/>
      </c>
    </row>
    <row r="782" customFormat="false" ht="15" hidden="false" customHeight="false" outlineLevel="0" collapsed="false">
      <c r="A782" s="31"/>
      <c r="B782" s="32"/>
      <c r="C782" s="32"/>
      <c r="D782" s="32"/>
      <c r="E782" s="32"/>
      <c r="F782" s="32"/>
      <c r="G782" s="33"/>
      <c r="H782" s="33"/>
      <c r="I782" s="34" t="str">
        <f aca="false">IF($A782="","",$G782-$H782)</f>
        <v/>
      </c>
      <c r="J782" s="35" t="str">
        <f aca="false">IF($A782="","",IF(Setup!$B$6=1,YEAR($A782),YEAR($A782)+IF(MONTH($A782)&gt;=Setup!$B$6,1,0)))</f>
        <v/>
      </c>
      <c r="K782" s="35" t="str">
        <f aca="false">IF($A782="","",MOD(MONTH($A782)-Setup!$B$6+12,12)+1)</f>
        <v/>
      </c>
      <c r="L782" s="36" t="str">
        <f aca="false">IF($A782="","",TEXT($A782,"MMM-YY"))</f>
        <v/>
      </c>
      <c r="M782" s="37" t="str">
        <f aca="false">IF($A782="","",IF($Q782=0,"UNMAPPED",INDEX(COA_Mapping!$C$7:$C$256,$Q782)))</f>
        <v/>
      </c>
      <c r="N782" s="38" t="str">
        <f aca="false">IF($A782="","",IF($Q782=0,"",INDEX(COA_Mapping!$E$7:$E$256,$Q782)))</f>
        <v/>
      </c>
      <c r="O782" s="38" t="n">
        <f aca="false">IF($A782="",1,IF($Q782=0,1,INDEX(COA_Mapping!$F$7:$F$256,$Q782)))</f>
        <v>1</v>
      </c>
      <c r="P782" s="34" t="str">
        <f aca="false">IF($A782="","",$I782*$O782)</f>
        <v/>
      </c>
      <c r="Q782" s="39" t="n">
        <f aca="false">IF($B782="",0,IFERROR(MATCH($B782,COA_Mapping!$A$7:$A$256,0),0))</f>
        <v>0</v>
      </c>
      <c r="R782" s="39" t="n">
        <f aca="false">IF($A782="",-1,IF($J782=Setup!$B$7,1,IF($J782=Setup!$B$9,0,-1)))</f>
        <v>-1</v>
      </c>
      <c r="S782" s="35" t="n">
        <f aca="false">IF(OR($A782="",$Q782=0,$R782=-1),0,$Q782*1000+$R782*100+$K782)</f>
        <v>0</v>
      </c>
      <c r="T782" s="37" t="str">
        <f aca="false">IF($A782="","",IF($B782="","NO ACCOUNT",IF($Q782=0,"UNMAPPED",IF($R782=-1,"OUTSIDE FY RANGE","OK"))))</f>
        <v/>
      </c>
      <c r="U782" s="40" t="str">
        <f aca="false">IF($A782="","",$B782&amp;"|"&amp;TEXT($A782,"yyyymmdd")&amp;"|"&amp;TEXT($I782,"0.00"))</f>
        <v/>
      </c>
      <c r="V782" s="35" t="str">
        <f aca="false">IF($A782="","",COUNTIF($U$8:$U$5007,$U782))</f>
        <v/>
      </c>
    </row>
    <row r="783" customFormat="false" ht="15" hidden="false" customHeight="false" outlineLevel="0" collapsed="false">
      <c r="A783" s="31"/>
      <c r="B783" s="32"/>
      <c r="C783" s="32"/>
      <c r="D783" s="32"/>
      <c r="E783" s="32"/>
      <c r="F783" s="32"/>
      <c r="G783" s="33"/>
      <c r="H783" s="33"/>
      <c r="I783" s="34" t="str">
        <f aca="false">IF($A783="","",$G783-$H783)</f>
        <v/>
      </c>
      <c r="J783" s="35" t="str">
        <f aca="false">IF($A783="","",IF(Setup!$B$6=1,YEAR($A783),YEAR($A783)+IF(MONTH($A783)&gt;=Setup!$B$6,1,0)))</f>
        <v/>
      </c>
      <c r="K783" s="35" t="str">
        <f aca="false">IF($A783="","",MOD(MONTH($A783)-Setup!$B$6+12,12)+1)</f>
        <v/>
      </c>
      <c r="L783" s="36" t="str">
        <f aca="false">IF($A783="","",TEXT($A783,"MMM-YY"))</f>
        <v/>
      </c>
      <c r="M783" s="37" t="str">
        <f aca="false">IF($A783="","",IF($Q783=0,"UNMAPPED",INDEX(COA_Mapping!$C$7:$C$256,$Q783)))</f>
        <v/>
      </c>
      <c r="N783" s="38" t="str">
        <f aca="false">IF($A783="","",IF($Q783=0,"",INDEX(COA_Mapping!$E$7:$E$256,$Q783)))</f>
        <v/>
      </c>
      <c r="O783" s="38" t="n">
        <f aca="false">IF($A783="",1,IF($Q783=0,1,INDEX(COA_Mapping!$F$7:$F$256,$Q783)))</f>
        <v>1</v>
      </c>
      <c r="P783" s="34" t="str">
        <f aca="false">IF($A783="","",$I783*$O783)</f>
        <v/>
      </c>
      <c r="Q783" s="39" t="n">
        <f aca="false">IF($B783="",0,IFERROR(MATCH($B783,COA_Mapping!$A$7:$A$256,0),0))</f>
        <v>0</v>
      </c>
      <c r="R783" s="39" t="n">
        <f aca="false">IF($A783="",-1,IF($J783=Setup!$B$7,1,IF($J783=Setup!$B$9,0,-1)))</f>
        <v>-1</v>
      </c>
      <c r="S783" s="35" t="n">
        <f aca="false">IF(OR($A783="",$Q783=0,$R783=-1),0,$Q783*1000+$R783*100+$K783)</f>
        <v>0</v>
      </c>
      <c r="T783" s="37" t="str">
        <f aca="false">IF($A783="","",IF($B783="","NO ACCOUNT",IF($Q783=0,"UNMAPPED",IF($R783=-1,"OUTSIDE FY RANGE","OK"))))</f>
        <v/>
      </c>
      <c r="U783" s="40" t="str">
        <f aca="false">IF($A783="","",$B783&amp;"|"&amp;TEXT($A783,"yyyymmdd")&amp;"|"&amp;TEXT($I783,"0.00"))</f>
        <v/>
      </c>
      <c r="V783" s="35" t="str">
        <f aca="false">IF($A783="","",COUNTIF($U$8:$U$5007,$U783))</f>
        <v/>
      </c>
    </row>
    <row r="784" customFormat="false" ht="15" hidden="false" customHeight="false" outlineLevel="0" collapsed="false">
      <c r="A784" s="31"/>
      <c r="B784" s="32"/>
      <c r="C784" s="32"/>
      <c r="D784" s="32"/>
      <c r="E784" s="32"/>
      <c r="F784" s="32"/>
      <c r="G784" s="33"/>
      <c r="H784" s="33"/>
      <c r="I784" s="34" t="str">
        <f aca="false">IF($A784="","",$G784-$H784)</f>
        <v/>
      </c>
      <c r="J784" s="35" t="str">
        <f aca="false">IF($A784="","",IF(Setup!$B$6=1,YEAR($A784),YEAR($A784)+IF(MONTH($A784)&gt;=Setup!$B$6,1,0)))</f>
        <v/>
      </c>
      <c r="K784" s="35" t="str">
        <f aca="false">IF($A784="","",MOD(MONTH($A784)-Setup!$B$6+12,12)+1)</f>
        <v/>
      </c>
      <c r="L784" s="36" t="str">
        <f aca="false">IF($A784="","",TEXT($A784,"MMM-YY"))</f>
        <v/>
      </c>
      <c r="M784" s="37" t="str">
        <f aca="false">IF($A784="","",IF($Q784=0,"UNMAPPED",INDEX(COA_Mapping!$C$7:$C$256,$Q784)))</f>
        <v/>
      </c>
      <c r="N784" s="38" t="str">
        <f aca="false">IF($A784="","",IF($Q784=0,"",INDEX(COA_Mapping!$E$7:$E$256,$Q784)))</f>
        <v/>
      </c>
      <c r="O784" s="38" t="n">
        <f aca="false">IF($A784="",1,IF($Q784=0,1,INDEX(COA_Mapping!$F$7:$F$256,$Q784)))</f>
        <v>1</v>
      </c>
      <c r="P784" s="34" t="str">
        <f aca="false">IF($A784="","",$I784*$O784)</f>
        <v/>
      </c>
      <c r="Q784" s="39" t="n">
        <f aca="false">IF($B784="",0,IFERROR(MATCH($B784,COA_Mapping!$A$7:$A$256,0),0))</f>
        <v>0</v>
      </c>
      <c r="R784" s="39" t="n">
        <f aca="false">IF($A784="",-1,IF($J784=Setup!$B$7,1,IF($J784=Setup!$B$9,0,-1)))</f>
        <v>-1</v>
      </c>
      <c r="S784" s="35" t="n">
        <f aca="false">IF(OR($A784="",$Q784=0,$R784=-1),0,$Q784*1000+$R784*100+$K784)</f>
        <v>0</v>
      </c>
      <c r="T784" s="37" t="str">
        <f aca="false">IF($A784="","",IF($B784="","NO ACCOUNT",IF($Q784=0,"UNMAPPED",IF($R784=-1,"OUTSIDE FY RANGE","OK"))))</f>
        <v/>
      </c>
      <c r="U784" s="40" t="str">
        <f aca="false">IF($A784="","",$B784&amp;"|"&amp;TEXT($A784,"yyyymmdd")&amp;"|"&amp;TEXT($I784,"0.00"))</f>
        <v/>
      </c>
      <c r="V784" s="35" t="str">
        <f aca="false">IF($A784="","",COUNTIF($U$8:$U$5007,$U784))</f>
        <v/>
      </c>
    </row>
    <row r="785" customFormat="false" ht="15" hidden="false" customHeight="false" outlineLevel="0" collapsed="false">
      <c r="A785" s="31"/>
      <c r="B785" s="32"/>
      <c r="C785" s="32"/>
      <c r="D785" s="32"/>
      <c r="E785" s="32"/>
      <c r="F785" s="32"/>
      <c r="G785" s="33"/>
      <c r="H785" s="33"/>
      <c r="I785" s="34" t="str">
        <f aca="false">IF($A785="","",$G785-$H785)</f>
        <v/>
      </c>
      <c r="J785" s="35" t="str">
        <f aca="false">IF($A785="","",IF(Setup!$B$6=1,YEAR($A785),YEAR($A785)+IF(MONTH($A785)&gt;=Setup!$B$6,1,0)))</f>
        <v/>
      </c>
      <c r="K785" s="35" t="str">
        <f aca="false">IF($A785="","",MOD(MONTH($A785)-Setup!$B$6+12,12)+1)</f>
        <v/>
      </c>
      <c r="L785" s="36" t="str">
        <f aca="false">IF($A785="","",TEXT($A785,"MMM-YY"))</f>
        <v/>
      </c>
      <c r="M785" s="37" t="str">
        <f aca="false">IF($A785="","",IF($Q785=0,"UNMAPPED",INDEX(COA_Mapping!$C$7:$C$256,$Q785)))</f>
        <v/>
      </c>
      <c r="N785" s="38" t="str">
        <f aca="false">IF($A785="","",IF($Q785=0,"",INDEX(COA_Mapping!$E$7:$E$256,$Q785)))</f>
        <v/>
      </c>
      <c r="O785" s="38" t="n">
        <f aca="false">IF($A785="",1,IF($Q785=0,1,INDEX(COA_Mapping!$F$7:$F$256,$Q785)))</f>
        <v>1</v>
      </c>
      <c r="P785" s="34" t="str">
        <f aca="false">IF($A785="","",$I785*$O785)</f>
        <v/>
      </c>
      <c r="Q785" s="39" t="n">
        <f aca="false">IF($B785="",0,IFERROR(MATCH($B785,COA_Mapping!$A$7:$A$256,0),0))</f>
        <v>0</v>
      </c>
      <c r="R785" s="39" t="n">
        <f aca="false">IF($A785="",-1,IF($J785=Setup!$B$7,1,IF($J785=Setup!$B$9,0,-1)))</f>
        <v>-1</v>
      </c>
      <c r="S785" s="35" t="n">
        <f aca="false">IF(OR($A785="",$Q785=0,$R785=-1),0,$Q785*1000+$R785*100+$K785)</f>
        <v>0</v>
      </c>
      <c r="T785" s="37" t="str">
        <f aca="false">IF($A785="","",IF($B785="","NO ACCOUNT",IF($Q785=0,"UNMAPPED",IF($R785=-1,"OUTSIDE FY RANGE","OK"))))</f>
        <v/>
      </c>
      <c r="U785" s="40" t="str">
        <f aca="false">IF($A785="","",$B785&amp;"|"&amp;TEXT($A785,"yyyymmdd")&amp;"|"&amp;TEXT($I785,"0.00"))</f>
        <v/>
      </c>
      <c r="V785" s="35" t="str">
        <f aca="false">IF($A785="","",COUNTIF($U$8:$U$5007,$U785))</f>
        <v/>
      </c>
    </row>
    <row r="786" customFormat="false" ht="15" hidden="false" customHeight="false" outlineLevel="0" collapsed="false">
      <c r="A786" s="31"/>
      <c r="B786" s="32"/>
      <c r="C786" s="32"/>
      <c r="D786" s="32"/>
      <c r="E786" s="32"/>
      <c r="F786" s="32"/>
      <c r="G786" s="33"/>
      <c r="H786" s="33"/>
      <c r="I786" s="34" t="str">
        <f aca="false">IF($A786="","",$G786-$H786)</f>
        <v/>
      </c>
      <c r="J786" s="35" t="str">
        <f aca="false">IF($A786="","",IF(Setup!$B$6=1,YEAR($A786),YEAR($A786)+IF(MONTH($A786)&gt;=Setup!$B$6,1,0)))</f>
        <v/>
      </c>
      <c r="K786" s="35" t="str">
        <f aca="false">IF($A786="","",MOD(MONTH($A786)-Setup!$B$6+12,12)+1)</f>
        <v/>
      </c>
      <c r="L786" s="36" t="str">
        <f aca="false">IF($A786="","",TEXT($A786,"MMM-YY"))</f>
        <v/>
      </c>
      <c r="M786" s="37" t="str">
        <f aca="false">IF($A786="","",IF($Q786=0,"UNMAPPED",INDEX(COA_Mapping!$C$7:$C$256,$Q786)))</f>
        <v/>
      </c>
      <c r="N786" s="38" t="str">
        <f aca="false">IF($A786="","",IF($Q786=0,"",INDEX(COA_Mapping!$E$7:$E$256,$Q786)))</f>
        <v/>
      </c>
      <c r="O786" s="38" t="n">
        <f aca="false">IF($A786="",1,IF($Q786=0,1,INDEX(COA_Mapping!$F$7:$F$256,$Q786)))</f>
        <v>1</v>
      </c>
      <c r="P786" s="34" t="str">
        <f aca="false">IF($A786="","",$I786*$O786)</f>
        <v/>
      </c>
      <c r="Q786" s="39" t="n">
        <f aca="false">IF($B786="",0,IFERROR(MATCH($B786,COA_Mapping!$A$7:$A$256,0),0))</f>
        <v>0</v>
      </c>
      <c r="R786" s="39" t="n">
        <f aca="false">IF($A786="",-1,IF($J786=Setup!$B$7,1,IF($J786=Setup!$B$9,0,-1)))</f>
        <v>-1</v>
      </c>
      <c r="S786" s="35" t="n">
        <f aca="false">IF(OR($A786="",$Q786=0,$R786=-1),0,$Q786*1000+$R786*100+$K786)</f>
        <v>0</v>
      </c>
      <c r="T786" s="37" t="str">
        <f aca="false">IF($A786="","",IF($B786="","NO ACCOUNT",IF($Q786=0,"UNMAPPED",IF($R786=-1,"OUTSIDE FY RANGE","OK"))))</f>
        <v/>
      </c>
      <c r="U786" s="40" t="str">
        <f aca="false">IF($A786="","",$B786&amp;"|"&amp;TEXT($A786,"yyyymmdd")&amp;"|"&amp;TEXT($I786,"0.00"))</f>
        <v/>
      </c>
      <c r="V786" s="35" t="str">
        <f aca="false">IF($A786="","",COUNTIF($U$8:$U$5007,$U786))</f>
        <v/>
      </c>
    </row>
    <row r="787" customFormat="false" ht="15" hidden="false" customHeight="false" outlineLevel="0" collapsed="false">
      <c r="A787" s="31"/>
      <c r="B787" s="32"/>
      <c r="C787" s="32"/>
      <c r="D787" s="32"/>
      <c r="E787" s="32"/>
      <c r="F787" s="32"/>
      <c r="G787" s="33"/>
      <c r="H787" s="33"/>
      <c r="I787" s="34" t="str">
        <f aca="false">IF($A787="","",$G787-$H787)</f>
        <v/>
      </c>
      <c r="J787" s="35" t="str">
        <f aca="false">IF($A787="","",IF(Setup!$B$6=1,YEAR($A787),YEAR($A787)+IF(MONTH($A787)&gt;=Setup!$B$6,1,0)))</f>
        <v/>
      </c>
      <c r="K787" s="35" t="str">
        <f aca="false">IF($A787="","",MOD(MONTH($A787)-Setup!$B$6+12,12)+1)</f>
        <v/>
      </c>
      <c r="L787" s="36" t="str">
        <f aca="false">IF($A787="","",TEXT($A787,"MMM-YY"))</f>
        <v/>
      </c>
      <c r="M787" s="37" t="str">
        <f aca="false">IF($A787="","",IF($Q787=0,"UNMAPPED",INDEX(COA_Mapping!$C$7:$C$256,$Q787)))</f>
        <v/>
      </c>
      <c r="N787" s="38" t="str">
        <f aca="false">IF($A787="","",IF($Q787=0,"",INDEX(COA_Mapping!$E$7:$E$256,$Q787)))</f>
        <v/>
      </c>
      <c r="O787" s="38" t="n">
        <f aca="false">IF($A787="",1,IF($Q787=0,1,INDEX(COA_Mapping!$F$7:$F$256,$Q787)))</f>
        <v>1</v>
      </c>
      <c r="P787" s="34" t="str">
        <f aca="false">IF($A787="","",$I787*$O787)</f>
        <v/>
      </c>
      <c r="Q787" s="39" t="n">
        <f aca="false">IF($B787="",0,IFERROR(MATCH($B787,COA_Mapping!$A$7:$A$256,0),0))</f>
        <v>0</v>
      </c>
      <c r="R787" s="39" t="n">
        <f aca="false">IF($A787="",-1,IF($J787=Setup!$B$7,1,IF($J787=Setup!$B$9,0,-1)))</f>
        <v>-1</v>
      </c>
      <c r="S787" s="35" t="n">
        <f aca="false">IF(OR($A787="",$Q787=0,$R787=-1),0,$Q787*1000+$R787*100+$K787)</f>
        <v>0</v>
      </c>
      <c r="T787" s="37" t="str">
        <f aca="false">IF($A787="","",IF($B787="","NO ACCOUNT",IF($Q787=0,"UNMAPPED",IF($R787=-1,"OUTSIDE FY RANGE","OK"))))</f>
        <v/>
      </c>
      <c r="U787" s="40" t="str">
        <f aca="false">IF($A787="","",$B787&amp;"|"&amp;TEXT($A787,"yyyymmdd")&amp;"|"&amp;TEXT($I787,"0.00"))</f>
        <v/>
      </c>
      <c r="V787" s="35" t="str">
        <f aca="false">IF($A787="","",COUNTIF($U$8:$U$5007,$U787))</f>
        <v/>
      </c>
    </row>
    <row r="788" customFormat="false" ht="15" hidden="false" customHeight="false" outlineLevel="0" collapsed="false">
      <c r="A788" s="31"/>
      <c r="B788" s="32"/>
      <c r="C788" s="32"/>
      <c r="D788" s="32"/>
      <c r="E788" s="32"/>
      <c r="F788" s="32"/>
      <c r="G788" s="33"/>
      <c r="H788" s="33"/>
      <c r="I788" s="34" t="str">
        <f aca="false">IF($A788="","",$G788-$H788)</f>
        <v/>
      </c>
      <c r="J788" s="35" t="str">
        <f aca="false">IF($A788="","",IF(Setup!$B$6=1,YEAR($A788),YEAR($A788)+IF(MONTH($A788)&gt;=Setup!$B$6,1,0)))</f>
        <v/>
      </c>
      <c r="K788" s="35" t="str">
        <f aca="false">IF($A788="","",MOD(MONTH($A788)-Setup!$B$6+12,12)+1)</f>
        <v/>
      </c>
      <c r="L788" s="36" t="str">
        <f aca="false">IF($A788="","",TEXT($A788,"MMM-YY"))</f>
        <v/>
      </c>
      <c r="M788" s="37" t="str">
        <f aca="false">IF($A788="","",IF($Q788=0,"UNMAPPED",INDEX(COA_Mapping!$C$7:$C$256,$Q788)))</f>
        <v/>
      </c>
      <c r="N788" s="38" t="str">
        <f aca="false">IF($A788="","",IF($Q788=0,"",INDEX(COA_Mapping!$E$7:$E$256,$Q788)))</f>
        <v/>
      </c>
      <c r="O788" s="38" t="n">
        <f aca="false">IF($A788="",1,IF($Q788=0,1,INDEX(COA_Mapping!$F$7:$F$256,$Q788)))</f>
        <v>1</v>
      </c>
      <c r="P788" s="34" t="str">
        <f aca="false">IF($A788="","",$I788*$O788)</f>
        <v/>
      </c>
      <c r="Q788" s="39" t="n">
        <f aca="false">IF($B788="",0,IFERROR(MATCH($B788,COA_Mapping!$A$7:$A$256,0),0))</f>
        <v>0</v>
      </c>
      <c r="R788" s="39" t="n">
        <f aca="false">IF($A788="",-1,IF($J788=Setup!$B$7,1,IF($J788=Setup!$B$9,0,-1)))</f>
        <v>-1</v>
      </c>
      <c r="S788" s="35" t="n">
        <f aca="false">IF(OR($A788="",$Q788=0,$R788=-1),0,$Q788*1000+$R788*100+$K788)</f>
        <v>0</v>
      </c>
      <c r="T788" s="37" t="str">
        <f aca="false">IF($A788="","",IF($B788="","NO ACCOUNT",IF($Q788=0,"UNMAPPED",IF($R788=-1,"OUTSIDE FY RANGE","OK"))))</f>
        <v/>
      </c>
      <c r="U788" s="40" t="str">
        <f aca="false">IF($A788="","",$B788&amp;"|"&amp;TEXT($A788,"yyyymmdd")&amp;"|"&amp;TEXT($I788,"0.00"))</f>
        <v/>
      </c>
      <c r="V788" s="35" t="str">
        <f aca="false">IF($A788="","",COUNTIF($U$8:$U$5007,$U788))</f>
        <v/>
      </c>
    </row>
    <row r="789" customFormat="false" ht="15" hidden="false" customHeight="false" outlineLevel="0" collapsed="false">
      <c r="A789" s="31"/>
      <c r="B789" s="32"/>
      <c r="C789" s="32"/>
      <c r="D789" s="32"/>
      <c r="E789" s="32"/>
      <c r="F789" s="32"/>
      <c r="G789" s="33"/>
      <c r="H789" s="33"/>
      <c r="I789" s="34" t="str">
        <f aca="false">IF($A789="","",$G789-$H789)</f>
        <v/>
      </c>
      <c r="J789" s="35" t="str">
        <f aca="false">IF($A789="","",IF(Setup!$B$6=1,YEAR($A789),YEAR($A789)+IF(MONTH($A789)&gt;=Setup!$B$6,1,0)))</f>
        <v/>
      </c>
      <c r="K789" s="35" t="str">
        <f aca="false">IF($A789="","",MOD(MONTH($A789)-Setup!$B$6+12,12)+1)</f>
        <v/>
      </c>
      <c r="L789" s="36" t="str">
        <f aca="false">IF($A789="","",TEXT($A789,"MMM-YY"))</f>
        <v/>
      </c>
      <c r="M789" s="37" t="str">
        <f aca="false">IF($A789="","",IF($Q789=0,"UNMAPPED",INDEX(COA_Mapping!$C$7:$C$256,$Q789)))</f>
        <v/>
      </c>
      <c r="N789" s="38" t="str">
        <f aca="false">IF($A789="","",IF($Q789=0,"",INDEX(COA_Mapping!$E$7:$E$256,$Q789)))</f>
        <v/>
      </c>
      <c r="O789" s="38" t="n">
        <f aca="false">IF($A789="",1,IF($Q789=0,1,INDEX(COA_Mapping!$F$7:$F$256,$Q789)))</f>
        <v>1</v>
      </c>
      <c r="P789" s="34" t="str">
        <f aca="false">IF($A789="","",$I789*$O789)</f>
        <v/>
      </c>
      <c r="Q789" s="39" t="n">
        <f aca="false">IF($B789="",0,IFERROR(MATCH($B789,COA_Mapping!$A$7:$A$256,0),0))</f>
        <v>0</v>
      </c>
      <c r="R789" s="39" t="n">
        <f aca="false">IF($A789="",-1,IF($J789=Setup!$B$7,1,IF($J789=Setup!$B$9,0,-1)))</f>
        <v>-1</v>
      </c>
      <c r="S789" s="35" t="n">
        <f aca="false">IF(OR($A789="",$Q789=0,$R789=-1),0,$Q789*1000+$R789*100+$K789)</f>
        <v>0</v>
      </c>
      <c r="T789" s="37" t="str">
        <f aca="false">IF($A789="","",IF($B789="","NO ACCOUNT",IF($Q789=0,"UNMAPPED",IF($R789=-1,"OUTSIDE FY RANGE","OK"))))</f>
        <v/>
      </c>
      <c r="U789" s="40" t="str">
        <f aca="false">IF($A789="","",$B789&amp;"|"&amp;TEXT($A789,"yyyymmdd")&amp;"|"&amp;TEXT($I789,"0.00"))</f>
        <v/>
      </c>
      <c r="V789" s="35" t="str">
        <f aca="false">IF($A789="","",COUNTIF($U$8:$U$5007,$U789))</f>
        <v/>
      </c>
    </row>
    <row r="790" customFormat="false" ht="15" hidden="false" customHeight="false" outlineLevel="0" collapsed="false">
      <c r="A790" s="31"/>
      <c r="B790" s="32"/>
      <c r="C790" s="32"/>
      <c r="D790" s="32"/>
      <c r="E790" s="32"/>
      <c r="F790" s="32"/>
      <c r="G790" s="33"/>
      <c r="H790" s="33"/>
      <c r="I790" s="34" t="str">
        <f aca="false">IF($A790="","",$G790-$H790)</f>
        <v/>
      </c>
      <c r="J790" s="35" t="str">
        <f aca="false">IF($A790="","",IF(Setup!$B$6=1,YEAR($A790),YEAR($A790)+IF(MONTH($A790)&gt;=Setup!$B$6,1,0)))</f>
        <v/>
      </c>
      <c r="K790" s="35" t="str">
        <f aca="false">IF($A790="","",MOD(MONTH($A790)-Setup!$B$6+12,12)+1)</f>
        <v/>
      </c>
      <c r="L790" s="36" t="str">
        <f aca="false">IF($A790="","",TEXT($A790,"MMM-YY"))</f>
        <v/>
      </c>
      <c r="M790" s="37" t="str">
        <f aca="false">IF($A790="","",IF($Q790=0,"UNMAPPED",INDEX(COA_Mapping!$C$7:$C$256,$Q790)))</f>
        <v/>
      </c>
      <c r="N790" s="38" t="str">
        <f aca="false">IF($A790="","",IF($Q790=0,"",INDEX(COA_Mapping!$E$7:$E$256,$Q790)))</f>
        <v/>
      </c>
      <c r="O790" s="38" t="n">
        <f aca="false">IF($A790="",1,IF($Q790=0,1,INDEX(COA_Mapping!$F$7:$F$256,$Q790)))</f>
        <v>1</v>
      </c>
      <c r="P790" s="34" t="str">
        <f aca="false">IF($A790="","",$I790*$O790)</f>
        <v/>
      </c>
      <c r="Q790" s="39" t="n">
        <f aca="false">IF($B790="",0,IFERROR(MATCH($B790,COA_Mapping!$A$7:$A$256,0),0))</f>
        <v>0</v>
      </c>
      <c r="R790" s="39" t="n">
        <f aca="false">IF($A790="",-1,IF($J790=Setup!$B$7,1,IF($J790=Setup!$B$9,0,-1)))</f>
        <v>-1</v>
      </c>
      <c r="S790" s="35" t="n">
        <f aca="false">IF(OR($A790="",$Q790=0,$R790=-1),0,$Q790*1000+$R790*100+$K790)</f>
        <v>0</v>
      </c>
      <c r="T790" s="37" t="str">
        <f aca="false">IF($A790="","",IF($B790="","NO ACCOUNT",IF($Q790=0,"UNMAPPED",IF($R790=-1,"OUTSIDE FY RANGE","OK"))))</f>
        <v/>
      </c>
      <c r="U790" s="40" t="str">
        <f aca="false">IF($A790="","",$B790&amp;"|"&amp;TEXT($A790,"yyyymmdd")&amp;"|"&amp;TEXT($I790,"0.00"))</f>
        <v/>
      </c>
      <c r="V790" s="35" t="str">
        <f aca="false">IF($A790="","",COUNTIF($U$8:$U$5007,$U790))</f>
        <v/>
      </c>
    </row>
    <row r="791" customFormat="false" ht="15" hidden="false" customHeight="false" outlineLevel="0" collapsed="false">
      <c r="A791" s="31"/>
      <c r="B791" s="32"/>
      <c r="C791" s="32"/>
      <c r="D791" s="32"/>
      <c r="E791" s="32"/>
      <c r="F791" s="32"/>
      <c r="G791" s="33"/>
      <c r="H791" s="33"/>
      <c r="I791" s="34" t="str">
        <f aca="false">IF($A791="","",$G791-$H791)</f>
        <v/>
      </c>
      <c r="J791" s="35" t="str">
        <f aca="false">IF($A791="","",IF(Setup!$B$6=1,YEAR($A791),YEAR($A791)+IF(MONTH($A791)&gt;=Setup!$B$6,1,0)))</f>
        <v/>
      </c>
      <c r="K791" s="35" t="str">
        <f aca="false">IF($A791="","",MOD(MONTH($A791)-Setup!$B$6+12,12)+1)</f>
        <v/>
      </c>
      <c r="L791" s="36" t="str">
        <f aca="false">IF($A791="","",TEXT($A791,"MMM-YY"))</f>
        <v/>
      </c>
      <c r="M791" s="37" t="str">
        <f aca="false">IF($A791="","",IF($Q791=0,"UNMAPPED",INDEX(COA_Mapping!$C$7:$C$256,$Q791)))</f>
        <v/>
      </c>
      <c r="N791" s="38" t="str">
        <f aca="false">IF($A791="","",IF($Q791=0,"",INDEX(COA_Mapping!$E$7:$E$256,$Q791)))</f>
        <v/>
      </c>
      <c r="O791" s="38" t="n">
        <f aca="false">IF($A791="",1,IF($Q791=0,1,INDEX(COA_Mapping!$F$7:$F$256,$Q791)))</f>
        <v>1</v>
      </c>
      <c r="P791" s="34" t="str">
        <f aca="false">IF($A791="","",$I791*$O791)</f>
        <v/>
      </c>
      <c r="Q791" s="39" t="n">
        <f aca="false">IF($B791="",0,IFERROR(MATCH($B791,COA_Mapping!$A$7:$A$256,0),0))</f>
        <v>0</v>
      </c>
      <c r="R791" s="39" t="n">
        <f aca="false">IF($A791="",-1,IF($J791=Setup!$B$7,1,IF($J791=Setup!$B$9,0,-1)))</f>
        <v>-1</v>
      </c>
      <c r="S791" s="35" t="n">
        <f aca="false">IF(OR($A791="",$Q791=0,$R791=-1),0,$Q791*1000+$R791*100+$K791)</f>
        <v>0</v>
      </c>
      <c r="T791" s="37" t="str">
        <f aca="false">IF($A791="","",IF($B791="","NO ACCOUNT",IF($Q791=0,"UNMAPPED",IF($R791=-1,"OUTSIDE FY RANGE","OK"))))</f>
        <v/>
      </c>
      <c r="U791" s="40" t="str">
        <f aca="false">IF($A791="","",$B791&amp;"|"&amp;TEXT($A791,"yyyymmdd")&amp;"|"&amp;TEXT($I791,"0.00"))</f>
        <v/>
      </c>
      <c r="V791" s="35" t="str">
        <f aca="false">IF($A791="","",COUNTIF($U$8:$U$5007,$U791))</f>
        <v/>
      </c>
    </row>
    <row r="792" customFormat="false" ht="15" hidden="false" customHeight="false" outlineLevel="0" collapsed="false">
      <c r="A792" s="31"/>
      <c r="B792" s="32"/>
      <c r="C792" s="32"/>
      <c r="D792" s="32"/>
      <c r="E792" s="32"/>
      <c r="F792" s="32"/>
      <c r="G792" s="33"/>
      <c r="H792" s="33"/>
      <c r="I792" s="34" t="str">
        <f aca="false">IF($A792="","",$G792-$H792)</f>
        <v/>
      </c>
      <c r="J792" s="35" t="str">
        <f aca="false">IF($A792="","",IF(Setup!$B$6=1,YEAR($A792),YEAR($A792)+IF(MONTH($A792)&gt;=Setup!$B$6,1,0)))</f>
        <v/>
      </c>
      <c r="K792" s="35" t="str">
        <f aca="false">IF($A792="","",MOD(MONTH($A792)-Setup!$B$6+12,12)+1)</f>
        <v/>
      </c>
      <c r="L792" s="36" t="str">
        <f aca="false">IF($A792="","",TEXT($A792,"MMM-YY"))</f>
        <v/>
      </c>
      <c r="M792" s="37" t="str">
        <f aca="false">IF($A792="","",IF($Q792=0,"UNMAPPED",INDEX(COA_Mapping!$C$7:$C$256,$Q792)))</f>
        <v/>
      </c>
      <c r="N792" s="38" t="str">
        <f aca="false">IF($A792="","",IF($Q792=0,"",INDEX(COA_Mapping!$E$7:$E$256,$Q792)))</f>
        <v/>
      </c>
      <c r="O792" s="38" t="n">
        <f aca="false">IF($A792="",1,IF($Q792=0,1,INDEX(COA_Mapping!$F$7:$F$256,$Q792)))</f>
        <v>1</v>
      </c>
      <c r="P792" s="34" t="str">
        <f aca="false">IF($A792="","",$I792*$O792)</f>
        <v/>
      </c>
      <c r="Q792" s="39" t="n">
        <f aca="false">IF($B792="",0,IFERROR(MATCH($B792,COA_Mapping!$A$7:$A$256,0),0))</f>
        <v>0</v>
      </c>
      <c r="R792" s="39" t="n">
        <f aca="false">IF($A792="",-1,IF($J792=Setup!$B$7,1,IF($J792=Setup!$B$9,0,-1)))</f>
        <v>-1</v>
      </c>
      <c r="S792" s="35" t="n">
        <f aca="false">IF(OR($A792="",$Q792=0,$R792=-1),0,$Q792*1000+$R792*100+$K792)</f>
        <v>0</v>
      </c>
      <c r="T792" s="37" t="str">
        <f aca="false">IF($A792="","",IF($B792="","NO ACCOUNT",IF($Q792=0,"UNMAPPED",IF($R792=-1,"OUTSIDE FY RANGE","OK"))))</f>
        <v/>
      </c>
      <c r="U792" s="40" t="str">
        <f aca="false">IF($A792="","",$B792&amp;"|"&amp;TEXT($A792,"yyyymmdd")&amp;"|"&amp;TEXT($I792,"0.00"))</f>
        <v/>
      </c>
      <c r="V792" s="35" t="str">
        <f aca="false">IF($A792="","",COUNTIF($U$8:$U$5007,$U792))</f>
        <v/>
      </c>
    </row>
    <row r="793" customFormat="false" ht="15" hidden="false" customHeight="false" outlineLevel="0" collapsed="false">
      <c r="A793" s="31"/>
      <c r="B793" s="32"/>
      <c r="C793" s="32"/>
      <c r="D793" s="32"/>
      <c r="E793" s="32"/>
      <c r="F793" s="32"/>
      <c r="G793" s="33"/>
      <c r="H793" s="33"/>
      <c r="I793" s="34" t="str">
        <f aca="false">IF($A793="","",$G793-$H793)</f>
        <v/>
      </c>
      <c r="J793" s="35" t="str">
        <f aca="false">IF($A793="","",IF(Setup!$B$6=1,YEAR($A793),YEAR($A793)+IF(MONTH($A793)&gt;=Setup!$B$6,1,0)))</f>
        <v/>
      </c>
      <c r="K793" s="35" t="str">
        <f aca="false">IF($A793="","",MOD(MONTH($A793)-Setup!$B$6+12,12)+1)</f>
        <v/>
      </c>
      <c r="L793" s="36" t="str">
        <f aca="false">IF($A793="","",TEXT($A793,"MMM-YY"))</f>
        <v/>
      </c>
      <c r="M793" s="37" t="str">
        <f aca="false">IF($A793="","",IF($Q793=0,"UNMAPPED",INDEX(COA_Mapping!$C$7:$C$256,$Q793)))</f>
        <v/>
      </c>
      <c r="N793" s="38" t="str">
        <f aca="false">IF($A793="","",IF($Q793=0,"",INDEX(COA_Mapping!$E$7:$E$256,$Q793)))</f>
        <v/>
      </c>
      <c r="O793" s="38" t="n">
        <f aca="false">IF($A793="",1,IF($Q793=0,1,INDEX(COA_Mapping!$F$7:$F$256,$Q793)))</f>
        <v>1</v>
      </c>
      <c r="P793" s="34" t="str">
        <f aca="false">IF($A793="","",$I793*$O793)</f>
        <v/>
      </c>
      <c r="Q793" s="39" t="n">
        <f aca="false">IF($B793="",0,IFERROR(MATCH($B793,COA_Mapping!$A$7:$A$256,0),0))</f>
        <v>0</v>
      </c>
      <c r="R793" s="39" t="n">
        <f aca="false">IF($A793="",-1,IF($J793=Setup!$B$7,1,IF($J793=Setup!$B$9,0,-1)))</f>
        <v>-1</v>
      </c>
      <c r="S793" s="35" t="n">
        <f aca="false">IF(OR($A793="",$Q793=0,$R793=-1),0,$Q793*1000+$R793*100+$K793)</f>
        <v>0</v>
      </c>
      <c r="T793" s="37" t="str">
        <f aca="false">IF($A793="","",IF($B793="","NO ACCOUNT",IF($Q793=0,"UNMAPPED",IF($R793=-1,"OUTSIDE FY RANGE","OK"))))</f>
        <v/>
      </c>
      <c r="U793" s="40" t="str">
        <f aca="false">IF($A793="","",$B793&amp;"|"&amp;TEXT($A793,"yyyymmdd")&amp;"|"&amp;TEXT($I793,"0.00"))</f>
        <v/>
      </c>
      <c r="V793" s="35" t="str">
        <f aca="false">IF($A793="","",COUNTIF($U$8:$U$5007,$U793))</f>
        <v/>
      </c>
    </row>
    <row r="794" customFormat="false" ht="15" hidden="false" customHeight="false" outlineLevel="0" collapsed="false">
      <c r="A794" s="31"/>
      <c r="B794" s="32"/>
      <c r="C794" s="32"/>
      <c r="D794" s="32"/>
      <c r="E794" s="32"/>
      <c r="F794" s="32"/>
      <c r="G794" s="33"/>
      <c r="H794" s="33"/>
      <c r="I794" s="34" t="str">
        <f aca="false">IF($A794="","",$G794-$H794)</f>
        <v/>
      </c>
      <c r="J794" s="35" t="str">
        <f aca="false">IF($A794="","",IF(Setup!$B$6=1,YEAR($A794),YEAR($A794)+IF(MONTH($A794)&gt;=Setup!$B$6,1,0)))</f>
        <v/>
      </c>
      <c r="K794" s="35" t="str">
        <f aca="false">IF($A794="","",MOD(MONTH($A794)-Setup!$B$6+12,12)+1)</f>
        <v/>
      </c>
      <c r="L794" s="36" t="str">
        <f aca="false">IF($A794="","",TEXT($A794,"MMM-YY"))</f>
        <v/>
      </c>
      <c r="M794" s="37" t="str">
        <f aca="false">IF($A794="","",IF($Q794=0,"UNMAPPED",INDEX(COA_Mapping!$C$7:$C$256,$Q794)))</f>
        <v/>
      </c>
      <c r="N794" s="38" t="str">
        <f aca="false">IF($A794="","",IF($Q794=0,"",INDEX(COA_Mapping!$E$7:$E$256,$Q794)))</f>
        <v/>
      </c>
      <c r="O794" s="38" t="n">
        <f aca="false">IF($A794="",1,IF($Q794=0,1,INDEX(COA_Mapping!$F$7:$F$256,$Q794)))</f>
        <v>1</v>
      </c>
      <c r="P794" s="34" t="str">
        <f aca="false">IF($A794="","",$I794*$O794)</f>
        <v/>
      </c>
      <c r="Q794" s="39" t="n">
        <f aca="false">IF($B794="",0,IFERROR(MATCH($B794,COA_Mapping!$A$7:$A$256,0),0))</f>
        <v>0</v>
      </c>
      <c r="R794" s="39" t="n">
        <f aca="false">IF($A794="",-1,IF($J794=Setup!$B$7,1,IF($J794=Setup!$B$9,0,-1)))</f>
        <v>-1</v>
      </c>
      <c r="S794" s="35" t="n">
        <f aca="false">IF(OR($A794="",$Q794=0,$R794=-1),0,$Q794*1000+$R794*100+$K794)</f>
        <v>0</v>
      </c>
      <c r="T794" s="37" t="str">
        <f aca="false">IF($A794="","",IF($B794="","NO ACCOUNT",IF($Q794=0,"UNMAPPED",IF($R794=-1,"OUTSIDE FY RANGE","OK"))))</f>
        <v/>
      </c>
      <c r="U794" s="40" t="str">
        <f aca="false">IF($A794="","",$B794&amp;"|"&amp;TEXT($A794,"yyyymmdd")&amp;"|"&amp;TEXT($I794,"0.00"))</f>
        <v/>
      </c>
      <c r="V794" s="35" t="str">
        <f aca="false">IF($A794="","",COUNTIF($U$8:$U$5007,$U794))</f>
        <v/>
      </c>
    </row>
    <row r="795" customFormat="false" ht="15" hidden="false" customHeight="false" outlineLevel="0" collapsed="false">
      <c r="A795" s="31"/>
      <c r="B795" s="32"/>
      <c r="C795" s="32"/>
      <c r="D795" s="32"/>
      <c r="E795" s="32"/>
      <c r="F795" s="32"/>
      <c r="G795" s="33"/>
      <c r="H795" s="33"/>
      <c r="I795" s="34" t="str">
        <f aca="false">IF($A795="","",$G795-$H795)</f>
        <v/>
      </c>
      <c r="J795" s="35" t="str">
        <f aca="false">IF($A795="","",IF(Setup!$B$6=1,YEAR($A795),YEAR($A795)+IF(MONTH($A795)&gt;=Setup!$B$6,1,0)))</f>
        <v/>
      </c>
      <c r="K795" s="35" t="str">
        <f aca="false">IF($A795="","",MOD(MONTH($A795)-Setup!$B$6+12,12)+1)</f>
        <v/>
      </c>
      <c r="L795" s="36" t="str">
        <f aca="false">IF($A795="","",TEXT($A795,"MMM-YY"))</f>
        <v/>
      </c>
      <c r="M795" s="37" t="str">
        <f aca="false">IF($A795="","",IF($Q795=0,"UNMAPPED",INDEX(COA_Mapping!$C$7:$C$256,$Q795)))</f>
        <v/>
      </c>
      <c r="N795" s="38" t="str">
        <f aca="false">IF($A795="","",IF($Q795=0,"",INDEX(COA_Mapping!$E$7:$E$256,$Q795)))</f>
        <v/>
      </c>
      <c r="O795" s="38" t="n">
        <f aca="false">IF($A795="",1,IF($Q795=0,1,INDEX(COA_Mapping!$F$7:$F$256,$Q795)))</f>
        <v>1</v>
      </c>
      <c r="P795" s="34" t="str">
        <f aca="false">IF($A795="","",$I795*$O795)</f>
        <v/>
      </c>
      <c r="Q795" s="39" t="n">
        <f aca="false">IF($B795="",0,IFERROR(MATCH($B795,COA_Mapping!$A$7:$A$256,0),0))</f>
        <v>0</v>
      </c>
      <c r="R795" s="39" t="n">
        <f aca="false">IF($A795="",-1,IF($J795=Setup!$B$7,1,IF($J795=Setup!$B$9,0,-1)))</f>
        <v>-1</v>
      </c>
      <c r="S795" s="35" t="n">
        <f aca="false">IF(OR($A795="",$Q795=0,$R795=-1),0,$Q795*1000+$R795*100+$K795)</f>
        <v>0</v>
      </c>
      <c r="T795" s="37" t="str">
        <f aca="false">IF($A795="","",IF($B795="","NO ACCOUNT",IF($Q795=0,"UNMAPPED",IF($R795=-1,"OUTSIDE FY RANGE","OK"))))</f>
        <v/>
      </c>
      <c r="U795" s="40" t="str">
        <f aca="false">IF($A795="","",$B795&amp;"|"&amp;TEXT($A795,"yyyymmdd")&amp;"|"&amp;TEXT($I795,"0.00"))</f>
        <v/>
      </c>
      <c r="V795" s="35" t="str">
        <f aca="false">IF($A795="","",COUNTIF($U$8:$U$5007,$U795))</f>
        <v/>
      </c>
    </row>
    <row r="796" customFormat="false" ht="15" hidden="false" customHeight="false" outlineLevel="0" collapsed="false">
      <c r="A796" s="31"/>
      <c r="B796" s="32"/>
      <c r="C796" s="32"/>
      <c r="D796" s="32"/>
      <c r="E796" s="32"/>
      <c r="F796" s="32"/>
      <c r="G796" s="33"/>
      <c r="H796" s="33"/>
      <c r="I796" s="34" t="str">
        <f aca="false">IF($A796="","",$G796-$H796)</f>
        <v/>
      </c>
      <c r="J796" s="35" t="str">
        <f aca="false">IF($A796="","",IF(Setup!$B$6=1,YEAR($A796),YEAR($A796)+IF(MONTH($A796)&gt;=Setup!$B$6,1,0)))</f>
        <v/>
      </c>
      <c r="K796" s="35" t="str">
        <f aca="false">IF($A796="","",MOD(MONTH($A796)-Setup!$B$6+12,12)+1)</f>
        <v/>
      </c>
      <c r="L796" s="36" t="str">
        <f aca="false">IF($A796="","",TEXT($A796,"MMM-YY"))</f>
        <v/>
      </c>
      <c r="M796" s="37" t="str">
        <f aca="false">IF($A796="","",IF($Q796=0,"UNMAPPED",INDEX(COA_Mapping!$C$7:$C$256,$Q796)))</f>
        <v/>
      </c>
      <c r="N796" s="38" t="str">
        <f aca="false">IF($A796="","",IF($Q796=0,"",INDEX(COA_Mapping!$E$7:$E$256,$Q796)))</f>
        <v/>
      </c>
      <c r="O796" s="38" t="n">
        <f aca="false">IF($A796="",1,IF($Q796=0,1,INDEX(COA_Mapping!$F$7:$F$256,$Q796)))</f>
        <v>1</v>
      </c>
      <c r="P796" s="34" t="str">
        <f aca="false">IF($A796="","",$I796*$O796)</f>
        <v/>
      </c>
      <c r="Q796" s="39" t="n">
        <f aca="false">IF($B796="",0,IFERROR(MATCH($B796,COA_Mapping!$A$7:$A$256,0),0))</f>
        <v>0</v>
      </c>
      <c r="R796" s="39" t="n">
        <f aca="false">IF($A796="",-1,IF($J796=Setup!$B$7,1,IF($J796=Setup!$B$9,0,-1)))</f>
        <v>-1</v>
      </c>
      <c r="S796" s="35" t="n">
        <f aca="false">IF(OR($A796="",$Q796=0,$R796=-1),0,$Q796*1000+$R796*100+$K796)</f>
        <v>0</v>
      </c>
      <c r="T796" s="37" t="str">
        <f aca="false">IF($A796="","",IF($B796="","NO ACCOUNT",IF($Q796=0,"UNMAPPED",IF($R796=-1,"OUTSIDE FY RANGE","OK"))))</f>
        <v/>
      </c>
      <c r="U796" s="40" t="str">
        <f aca="false">IF($A796="","",$B796&amp;"|"&amp;TEXT($A796,"yyyymmdd")&amp;"|"&amp;TEXT($I796,"0.00"))</f>
        <v/>
      </c>
      <c r="V796" s="35" t="str">
        <f aca="false">IF($A796="","",COUNTIF($U$8:$U$5007,$U796))</f>
        <v/>
      </c>
    </row>
    <row r="797" customFormat="false" ht="15" hidden="false" customHeight="false" outlineLevel="0" collapsed="false">
      <c r="A797" s="31"/>
      <c r="B797" s="32"/>
      <c r="C797" s="32"/>
      <c r="D797" s="32"/>
      <c r="E797" s="32"/>
      <c r="F797" s="32"/>
      <c r="G797" s="33"/>
      <c r="H797" s="33"/>
      <c r="I797" s="34" t="str">
        <f aca="false">IF($A797="","",$G797-$H797)</f>
        <v/>
      </c>
      <c r="J797" s="35" t="str">
        <f aca="false">IF($A797="","",IF(Setup!$B$6=1,YEAR($A797),YEAR($A797)+IF(MONTH($A797)&gt;=Setup!$B$6,1,0)))</f>
        <v/>
      </c>
      <c r="K797" s="35" t="str">
        <f aca="false">IF($A797="","",MOD(MONTH($A797)-Setup!$B$6+12,12)+1)</f>
        <v/>
      </c>
      <c r="L797" s="36" t="str">
        <f aca="false">IF($A797="","",TEXT($A797,"MMM-YY"))</f>
        <v/>
      </c>
      <c r="M797" s="37" t="str">
        <f aca="false">IF($A797="","",IF($Q797=0,"UNMAPPED",INDEX(COA_Mapping!$C$7:$C$256,$Q797)))</f>
        <v/>
      </c>
      <c r="N797" s="38" t="str">
        <f aca="false">IF($A797="","",IF($Q797=0,"",INDEX(COA_Mapping!$E$7:$E$256,$Q797)))</f>
        <v/>
      </c>
      <c r="O797" s="38" t="n">
        <f aca="false">IF($A797="",1,IF($Q797=0,1,INDEX(COA_Mapping!$F$7:$F$256,$Q797)))</f>
        <v>1</v>
      </c>
      <c r="P797" s="34" t="str">
        <f aca="false">IF($A797="","",$I797*$O797)</f>
        <v/>
      </c>
      <c r="Q797" s="39" t="n">
        <f aca="false">IF($B797="",0,IFERROR(MATCH($B797,COA_Mapping!$A$7:$A$256,0),0))</f>
        <v>0</v>
      </c>
      <c r="R797" s="39" t="n">
        <f aca="false">IF($A797="",-1,IF($J797=Setup!$B$7,1,IF($J797=Setup!$B$9,0,-1)))</f>
        <v>-1</v>
      </c>
      <c r="S797" s="35" t="n">
        <f aca="false">IF(OR($A797="",$Q797=0,$R797=-1),0,$Q797*1000+$R797*100+$K797)</f>
        <v>0</v>
      </c>
      <c r="T797" s="37" t="str">
        <f aca="false">IF($A797="","",IF($B797="","NO ACCOUNT",IF($Q797=0,"UNMAPPED",IF($R797=-1,"OUTSIDE FY RANGE","OK"))))</f>
        <v/>
      </c>
      <c r="U797" s="40" t="str">
        <f aca="false">IF($A797="","",$B797&amp;"|"&amp;TEXT($A797,"yyyymmdd")&amp;"|"&amp;TEXT($I797,"0.00"))</f>
        <v/>
      </c>
      <c r="V797" s="35" t="str">
        <f aca="false">IF($A797="","",COUNTIF($U$8:$U$5007,$U797))</f>
        <v/>
      </c>
    </row>
    <row r="798" customFormat="false" ht="15" hidden="false" customHeight="false" outlineLevel="0" collapsed="false">
      <c r="A798" s="31"/>
      <c r="B798" s="32"/>
      <c r="C798" s="32"/>
      <c r="D798" s="32"/>
      <c r="E798" s="32"/>
      <c r="F798" s="32"/>
      <c r="G798" s="33"/>
      <c r="H798" s="33"/>
      <c r="I798" s="34" t="str">
        <f aca="false">IF($A798="","",$G798-$H798)</f>
        <v/>
      </c>
      <c r="J798" s="35" t="str">
        <f aca="false">IF($A798="","",IF(Setup!$B$6=1,YEAR($A798),YEAR($A798)+IF(MONTH($A798)&gt;=Setup!$B$6,1,0)))</f>
        <v/>
      </c>
      <c r="K798" s="35" t="str">
        <f aca="false">IF($A798="","",MOD(MONTH($A798)-Setup!$B$6+12,12)+1)</f>
        <v/>
      </c>
      <c r="L798" s="36" t="str">
        <f aca="false">IF($A798="","",TEXT($A798,"MMM-YY"))</f>
        <v/>
      </c>
      <c r="M798" s="37" t="str">
        <f aca="false">IF($A798="","",IF($Q798=0,"UNMAPPED",INDEX(COA_Mapping!$C$7:$C$256,$Q798)))</f>
        <v/>
      </c>
      <c r="N798" s="38" t="str">
        <f aca="false">IF($A798="","",IF($Q798=0,"",INDEX(COA_Mapping!$E$7:$E$256,$Q798)))</f>
        <v/>
      </c>
      <c r="O798" s="38" t="n">
        <f aca="false">IF($A798="",1,IF($Q798=0,1,INDEX(COA_Mapping!$F$7:$F$256,$Q798)))</f>
        <v>1</v>
      </c>
      <c r="P798" s="34" t="str">
        <f aca="false">IF($A798="","",$I798*$O798)</f>
        <v/>
      </c>
      <c r="Q798" s="39" t="n">
        <f aca="false">IF($B798="",0,IFERROR(MATCH($B798,COA_Mapping!$A$7:$A$256,0),0))</f>
        <v>0</v>
      </c>
      <c r="R798" s="39" t="n">
        <f aca="false">IF($A798="",-1,IF($J798=Setup!$B$7,1,IF($J798=Setup!$B$9,0,-1)))</f>
        <v>-1</v>
      </c>
      <c r="S798" s="35" t="n">
        <f aca="false">IF(OR($A798="",$Q798=0,$R798=-1),0,$Q798*1000+$R798*100+$K798)</f>
        <v>0</v>
      </c>
      <c r="T798" s="37" t="str">
        <f aca="false">IF($A798="","",IF($B798="","NO ACCOUNT",IF($Q798=0,"UNMAPPED",IF($R798=-1,"OUTSIDE FY RANGE","OK"))))</f>
        <v/>
      </c>
      <c r="U798" s="40" t="str">
        <f aca="false">IF($A798="","",$B798&amp;"|"&amp;TEXT($A798,"yyyymmdd")&amp;"|"&amp;TEXT($I798,"0.00"))</f>
        <v/>
      </c>
      <c r="V798" s="35" t="str">
        <f aca="false">IF($A798="","",COUNTIF($U$8:$U$5007,$U798))</f>
        <v/>
      </c>
    </row>
    <row r="799" customFormat="false" ht="15" hidden="false" customHeight="false" outlineLevel="0" collapsed="false">
      <c r="A799" s="31"/>
      <c r="B799" s="32"/>
      <c r="C799" s="32"/>
      <c r="D799" s="32"/>
      <c r="E799" s="32"/>
      <c r="F799" s="32"/>
      <c r="G799" s="33"/>
      <c r="H799" s="33"/>
      <c r="I799" s="34" t="str">
        <f aca="false">IF($A799="","",$G799-$H799)</f>
        <v/>
      </c>
      <c r="J799" s="35" t="str">
        <f aca="false">IF($A799="","",IF(Setup!$B$6=1,YEAR($A799),YEAR($A799)+IF(MONTH($A799)&gt;=Setup!$B$6,1,0)))</f>
        <v/>
      </c>
      <c r="K799" s="35" t="str">
        <f aca="false">IF($A799="","",MOD(MONTH($A799)-Setup!$B$6+12,12)+1)</f>
        <v/>
      </c>
      <c r="L799" s="36" t="str">
        <f aca="false">IF($A799="","",TEXT($A799,"MMM-YY"))</f>
        <v/>
      </c>
      <c r="M799" s="37" t="str">
        <f aca="false">IF($A799="","",IF($Q799=0,"UNMAPPED",INDEX(COA_Mapping!$C$7:$C$256,$Q799)))</f>
        <v/>
      </c>
      <c r="N799" s="38" t="str">
        <f aca="false">IF($A799="","",IF($Q799=0,"",INDEX(COA_Mapping!$E$7:$E$256,$Q799)))</f>
        <v/>
      </c>
      <c r="O799" s="38" t="n">
        <f aca="false">IF($A799="",1,IF($Q799=0,1,INDEX(COA_Mapping!$F$7:$F$256,$Q799)))</f>
        <v>1</v>
      </c>
      <c r="P799" s="34" t="str">
        <f aca="false">IF($A799="","",$I799*$O799)</f>
        <v/>
      </c>
      <c r="Q799" s="39" t="n">
        <f aca="false">IF($B799="",0,IFERROR(MATCH($B799,COA_Mapping!$A$7:$A$256,0),0))</f>
        <v>0</v>
      </c>
      <c r="R799" s="39" t="n">
        <f aca="false">IF($A799="",-1,IF($J799=Setup!$B$7,1,IF($J799=Setup!$B$9,0,-1)))</f>
        <v>-1</v>
      </c>
      <c r="S799" s="35" t="n">
        <f aca="false">IF(OR($A799="",$Q799=0,$R799=-1),0,$Q799*1000+$R799*100+$K799)</f>
        <v>0</v>
      </c>
      <c r="T799" s="37" t="str">
        <f aca="false">IF($A799="","",IF($B799="","NO ACCOUNT",IF($Q799=0,"UNMAPPED",IF($R799=-1,"OUTSIDE FY RANGE","OK"))))</f>
        <v/>
      </c>
      <c r="U799" s="40" t="str">
        <f aca="false">IF($A799="","",$B799&amp;"|"&amp;TEXT($A799,"yyyymmdd")&amp;"|"&amp;TEXT($I799,"0.00"))</f>
        <v/>
      </c>
      <c r="V799" s="35" t="str">
        <f aca="false">IF($A799="","",COUNTIF($U$8:$U$5007,$U799))</f>
        <v/>
      </c>
    </row>
    <row r="800" customFormat="false" ht="15" hidden="false" customHeight="false" outlineLevel="0" collapsed="false">
      <c r="A800" s="31"/>
      <c r="B800" s="32"/>
      <c r="C800" s="32"/>
      <c r="D800" s="32"/>
      <c r="E800" s="32"/>
      <c r="F800" s="32"/>
      <c r="G800" s="33"/>
      <c r="H800" s="33"/>
      <c r="I800" s="34" t="str">
        <f aca="false">IF($A800="","",$G800-$H800)</f>
        <v/>
      </c>
      <c r="J800" s="35" t="str">
        <f aca="false">IF($A800="","",IF(Setup!$B$6=1,YEAR($A800),YEAR($A800)+IF(MONTH($A800)&gt;=Setup!$B$6,1,0)))</f>
        <v/>
      </c>
      <c r="K800" s="35" t="str">
        <f aca="false">IF($A800="","",MOD(MONTH($A800)-Setup!$B$6+12,12)+1)</f>
        <v/>
      </c>
      <c r="L800" s="36" t="str">
        <f aca="false">IF($A800="","",TEXT($A800,"MMM-YY"))</f>
        <v/>
      </c>
      <c r="M800" s="37" t="str">
        <f aca="false">IF($A800="","",IF($Q800=0,"UNMAPPED",INDEX(COA_Mapping!$C$7:$C$256,$Q800)))</f>
        <v/>
      </c>
      <c r="N800" s="38" t="str">
        <f aca="false">IF($A800="","",IF($Q800=0,"",INDEX(COA_Mapping!$E$7:$E$256,$Q800)))</f>
        <v/>
      </c>
      <c r="O800" s="38" t="n">
        <f aca="false">IF($A800="",1,IF($Q800=0,1,INDEX(COA_Mapping!$F$7:$F$256,$Q800)))</f>
        <v>1</v>
      </c>
      <c r="P800" s="34" t="str">
        <f aca="false">IF($A800="","",$I800*$O800)</f>
        <v/>
      </c>
      <c r="Q800" s="39" t="n">
        <f aca="false">IF($B800="",0,IFERROR(MATCH($B800,COA_Mapping!$A$7:$A$256,0),0))</f>
        <v>0</v>
      </c>
      <c r="R800" s="39" t="n">
        <f aca="false">IF($A800="",-1,IF($J800=Setup!$B$7,1,IF($J800=Setup!$B$9,0,-1)))</f>
        <v>-1</v>
      </c>
      <c r="S800" s="35" t="n">
        <f aca="false">IF(OR($A800="",$Q800=0,$R800=-1),0,$Q800*1000+$R800*100+$K800)</f>
        <v>0</v>
      </c>
      <c r="T800" s="37" t="str">
        <f aca="false">IF($A800="","",IF($B800="","NO ACCOUNT",IF($Q800=0,"UNMAPPED",IF($R800=-1,"OUTSIDE FY RANGE","OK"))))</f>
        <v/>
      </c>
      <c r="U800" s="40" t="str">
        <f aca="false">IF($A800="","",$B800&amp;"|"&amp;TEXT($A800,"yyyymmdd")&amp;"|"&amp;TEXT($I800,"0.00"))</f>
        <v/>
      </c>
      <c r="V800" s="35" t="str">
        <f aca="false">IF($A800="","",COUNTIF($U$8:$U$5007,$U800))</f>
        <v/>
      </c>
    </row>
    <row r="801" customFormat="false" ht="15" hidden="false" customHeight="false" outlineLevel="0" collapsed="false">
      <c r="A801" s="31"/>
      <c r="B801" s="32"/>
      <c r="C801" s="32"/>
      <c r="D801" s="32"/>
      <c r="E801" s="32"/>
      <c r="F801" s="32"/>
      <c r="G801" s="33"/>
      <c r="H801" s="33"/>
      <c r="I801" s="34" t="str">
        <f aca="false">IF($A801="","",$G801-$H801)</f>
        <v/>
      </c>
      <c r="J801" s="35" t="str">
        <f aca="false">IF($A801="","",IF(Setup!$B$6=1,YEAR($A801),YEAR($A801)+IF(MONTH($A801)&gt;=Setup!$B$6,1,0)))</f>
        <v/>
      </c>
      <c r="K801" s="35" t="str">
        <f aca="false">IF($A801="","",MOD(MONTH($A801)-Setup!$B$6+12,12)+1)</f>
        <v/>
      </c>
      <c r="L801" s="36" t="str">
        <f aca="false">IF($A801="","",TEXT($A801,"MMM-YY"))</f>
        <v/>
      </c>
      <c r="M801" s="37" t="str">
        <f aca="false">IF($A801="","",IF($Q801=0,"UNMAPPED",INDEX(COA_Mapping!$C$7:$C$256,$Q801)))</f>
        <v/>
      </c>
      <c r="N801" s="38" t="str">
        <f aca="false">IF($A801="","",IF($Q801=0,"",INDEX(COA_Mapping!$E$7:$E$256,$Q801)))</f>
        <v/>
      </c>
      <c r="O801" s="38" t="n">
        <f aca="false">IF($A801="",1,IF($Q801=0,1,INDEX(COA_Mapping!$F$7:$F$256,$Q801)))</f>
        <v>1</v>
      </c>
      <c r="P801" s="34" t="str">
        <f aca="false">IF($A801="","",$I801*$O801)</f>
        <v/>
      </c>
      <c r="Q801" s="39" t="n">
        <f aca="false">IF($B801="",0,IFERROR(MATCH($B801,COA_Mapping!$A$7:$A$256,0),0))</f>
        <v>0</v>
      </c>
      <c r="R801" s="39" t="n">
        <f aca="false">IF($A801="",-1,IF($J801=Setup!$B$7,1,IF($J801=Setup!$B$9,0,-1)))</f>
        <v>-1</v>
      </c>
      <c r="S801" s="35" t="n">
        <f aca="false">IF(OR($A801="",$Q801=0,$R801=-1),0,$Q801*1000+$R801*100+$K801)</f>
        <v>0</v>
      </c>
      <c r="T801" s="37" t="str">
        <f aca="false">IF($A801="","",IF($B801="","NO ACCOUNT",IF($Q801=0,"UNMAPPED",IF($R801=-1,"OUTSIDE FY RANGE","OK"))))</f>
        <v/>
      </c>
      <c r="U801" s="40" t="str">
        <f aca="false">IF($A801="","",$B801&amp;"|"&amp;TEXT($A801,"yyyymmdd")&amp;"|"&amp;TEXT($I801,"0.00"))</f>
        <v/>
      </c>
      <c r="V801" s="35" t="str">
        <f aca="false">IF($A801="","",COUNTIF($U$8:$U$5007,$U801))</f>
        <v/>
      </c>
    </row>
    <row r="802" customFormat="false" ht="15" hidden="false" customHeight="false" outlineLevel="0" collapsed="false">
      <c r="A802" s="31"/>
      <c r="B802" s="32"/>
      <c r="C802" s="32"/>
      <c r="D802" s="32"/>
      <c r="E802" s="32"/>
      <c r="F802" s="32"/>
      <c r="G802" s="33"/>
      <c r="H802" s="33"/>
      <c r="I802" s="34" t="str">
        <f aca="false">IF($A802="","",$G802-$H802)</f>
        <v/>
      </c>
      <c r="J802" s="35" t="str">
        <f aca="false">IF($A802="","",IF(Setup!$B$6=1,YEAR($A802),YEAR($A802)+IF(MONTH($A802)&gt;=Setup!$B$6,1,0)))</f>
        <v/>
      </c>
      <c r="K802" s="35" t="str">
        <f aca="false">IF($A802="","",MOD(MONTH($A802)-Setup!$B$6+12,12)+1)</f>
        <v/>
      </c>
      <c r="L802" s="36" t="str">
        <f aca="false">IF($A802="","",TEXT($A802,"MMM-YY"))</f>
        <v/>
      </c>
      <c r="M802" s="37" t="str">
        <f aca="false">IF($A802="","",IF($Q802=0,"UNMAPPED",INDEX(COA_Mapping!$C$7:$C$256,$Q802)))</f>
        <v/>
      </c>
      <c r="N802" s="38" t="str">
        <f aca="false">IF($A802="","",IF($Q802=0,"",INDEX(COA_Mapping!$E$7:$E$256,$Q802)))</f>
        <v/>
      </c>
      <c r="O802" s="38" t="n">
        <f aca="false">IF($A802="",1,IF($Q802=0,1,INDEX(COA_Mapping!$F$7:$F$256,$Q802)))</f>
        <v>1</v>
      </c>
      <c r="P802" s="34" t="str">
        <f aca="false">IF($A802="","",$I802*$O802)</f>
        <v/>
      </c>
      <c r="Q802" s="39" t="n">
        <f aca="false">IF($B802="",0,IFERROR(MATCH($B802,COA_Mapping!$A$7:$A$256,0),0))</f>
        <v>0</v>
      </c>
      <c r="R802" s="39" t="n">
        <f aca="false">IF($A802="",-1,IF($J802=Setup!$B$7,1,IF($J802=Setup!$B$9,0,-1)))</f>
        <v>-1</v>
      </c>
      <c r="S802" s="35" t="n">
        <f aca="false">IF(OR($A802="",$Q802=0,$R802=-1),0,$Q802*1000+$R802*100+$K802)</f>
        <v>0</v>
      </c>
      <c r="T802" s="37" t="str">
        <f aca="false">IF($A802="","",IF($B802="","NO ACCOUNT",IF($Q802=0,"UNMAPPED",IF($R802=-1,"OUTSIDE FY RANGE","OK"))))</f>
        <v/>
      </c>
      <c r="U802" s="40" t="str">
        <f aca="false">IF($A802="","",$B802&amp;"|"&amp;TEXT($A802,"yyyymmdd")&amp;"|"&amp;TEXT($I802,"0.00"))</f>
        <v/>
      </c>
      <c r="V802" s="35" t="str">
        <f aca="false">IF($A802="","",COUNTIF($U$8:$U$5007,$U802))</f>
        <v/>
      </c>
    </row>
    <row r="803" customFormat="false" ht="15" hidden="false" customHeight="false" outlineLevel="0" collapsed="false">
      <c r="A803" s="31"/>
      <c r="B803" s="32"/>
      <c r="C803" s="32"/>
      <c r="D803" s="32"/>
      <c r="E803" s="32"/>
      <c r="F803" s="32"/>
      <c r="G803" s="33"/>
      <c r="H803" s="33"/>
      <c r="I803" s="34" t="str">
        <f aca="false">IF($A803="","",$G803-$H803)</f>
        <v/>
      </c>
      <c r="J803" s="35" t="str">
        <f aca="false">IF($A803="","",IF(Setup!$B$6=1,YEAR($A803),YEAR($A803)+IF(MONTH($A803)&gt;=Setup!$B$6,1,0)))</f>
        <v/>
      </c>
      <c r="K803" s="35" t="str">
        <f aca="false">IF($A803="","",MOD(MONTH($A803)-Setup!$B$6+12,12)+1)</f>
        <v/>
      </c>
      <c r="L803" s="36" t="str">
        <f aca="false">IF($A803="","",TEXT($A803,"MMM-YY"))</f>
        <v/>
      </c>
      <c r="M803" s="37" t="str">
        <f aca="false">IF($A803="","",IF($Q803=0,"UNMAPPED",INDEX(COA_Mapping!$C$7:$C$256,$Q803)))</f>
        <v/>
      </c>
      <c r="N803" s="38" t="str">
        <f aca="false">IF($A803="","",IF($Q803=0,"",INDEX(COA_Mapping!$E$7:$E$256,$Q803)))</f>
        <v/>
      </c>
      <c r="O803" s="38" t="n">
        <f aca="false">IF($A803="",1,IF($Q803=0,1,INDEX(COA_Mapping!$F$7:$F$256,$Q803)))</f>
        <v>1</v>
      </c>
      <c r="P803" s="34" t="str">
        <f aca="false">IF($A803="","",$I803*$O803)</f>
        <v/>
      </c>
      <c r="Q803" s="39" t="n">
        <f aca="false">IF($B803="",0,IFERROR(MATCH($B803,COA_Mapping!$A$7:$A$256,0),0))</f>
        <v>0</v>
      </c>
      <c r="R803" s="39" t="n">
        <f aca="false">IF($A803="",-1,IF($J803=Setup!$B$7,1,IF($J803=Setup!$B$9,0,-1)))</f>
        <v>-1</v>
      </c>
      <c r="S803" s="35" t="n">
        <f aca="false">IF(OR($A803="",$Q803=0,$R803=-1),0,$Q803*1000+$R803*100+$K803)</f>
        <v>0</v>
      </c>
      <c r="T803" s="37" t="str">
        <f aca="false">IF($A803="","",IF($B803="","NO ACCOUNT",IF($Q803=0,"UNMAPPED",IF($R803=-1,"OUTSIDE FY RANGE","OK"))))</f>
        <v/>
      </c>
      <c r="U803" s="40" t="str">
        <f aca="false">IF($A803="","",$B803&amp;"|"&amp;TEXT($A803,"yyyymmdd")&amp;"|"&amp;TEXT($I803,"0.00"))</f>
        <v/>
      </c>
      <c r="V803" s="35" t="str">
        <f aca="false">IF($A803="","",COUNTIF($U$8:$U$5007,$U803))</f>
        <v/>
      </c>
    </row>
    <row r="804" customFormat="false" ht="15" hidden="false" customHeight="false" outlineLevel="0" collapsed="false">
      <c r="A804" s="31"/>
      <c r="B804" s="32"/>
      <c r="C804" s="32"/>
      <c r="D804" s="32"/>
      <c r="E804" s="32"/>
      <c r="F804" s="32"/>
      <c r="G804" s="33"/>
      <c r="H804" s="33"/>
      <c r="I804" s="34" t="str">
        <f aca="false">IF($A804="","",$G804-$H804)</f>
        <v/>
      </c>
      <c r="J804" s="35" t="str">
        <f aca="false">IF($A804="","",IF(Setup!$B$6=1,YEAR($A804),YEAR($A804)+IF(MONTH($A804)&gt;=Setup!$B$6,1,0)))</f>
        <v/>
      </c>
      <c r="K804" s="35" t="str">
        <f aca="false">IF($A804="","",MOD(MONTH($A804)-Setup!$B$6+12,12)+1)</f>
        <v/>
      </c>
      <c r="L804" s="36" t="str">
        <f aca="false">IF($A804="","",TEXT($A804,"MMM-YY"))</f>
        <v/>
      </c>
      <c r="M804" s="37" t="str">
        <f aca="false">IF($A804="","",IF($Q804=0,"UNMAPPED",INDEX(COA_Mapping!$C$7:$C$256,$Q804)))</f>
        <v/>
      </c>
      <c r="N804" s="38" t="str">
        <f aca="false">IF($A804="","",IF($Q804=0,"",INDEX(COA_Mapping!$E$7:$E$256,$Q804)))</f>
        <v/>
      </c>
      <c r="O804" s="38" t="n">
        <f aca="false">IF($A804="",1,IF($Q804=0,1,INDEX(COA_Mapping!$F$7:$F$256,$Q804)))</f>
        <v>1</v>
      </c>
      <c r="P804" s="34" t="str">
        <f aca="false">IF($A804="","",$I804*$O804)</f>
        <v/>
      </c>
      <c r="Q804" s="39" t="n">
        <f aca="false">IF($B804="",0,IFERROR(MATCH($B804,COA_Mapping!$A$7:$A$256,0),0))</f>
        <v>0</v>
      </c>
      <c r="R804" s="39" t="n">
        <f aca="false">IF($A804="",-1,IF($J804=Setup!$B$7,1,IF($J804=Setup!$B$9,0,-1)))</f>
        <v>-1</v>
      </c>
      <c r="S804" s="35" t="n">
        <f aca="false">IF(OR($A804="",$Q804=0,$R804=-1),0,$Q804*1000+$R804*100+$K804)</f>
        <v>0</v>
      </c>
      <c r="T804" s="37" t="str">
        <f aca="false">IF($A804="","",IF($B804="","NO ACCOUNT",IF($Q804=0,"UNMAPPED",IF($R804=-1,"OUTSIDE FY RANGE","OK"))))</f>
        <v/>
      </c>
      <c r="U804" s="40" t="str">
        <f aca="false">IF($A804="","",$B804&amp;"|"&amp;TEXT($A804,"yyyymmdd")&amp;"|"&amp;TEXT($I804,"0.00"))</f>
        <v/>
      </c>
      <c r="V804" s="35" t="str">
        <f aca="false">IF($A804="","",COUNTIF($U$8:$U$5007,$U804))</f>
        <v/>
      </c>
    </row>
    <row r="805" customFormat="false" ht="15" hidden="false" customHeight="false" outlineLevel="0" collapsed="false">
      <c r="A805" s="31"/>
      <c r="B805" s="32"/>
      <c r="C805" s="32"/>
      <c r="D805" s="32"/>
      <c r="E805" s="32"/>
      <c r="F805" s="32"/>
      <c r="G805" s="33"/>
      <c r="H805" s="33"/>
      <c r="I805" s="34" t="str">
        <f aca="false">IF($A805="","",$G805-$H805)</f>
        <v/>
      </c>
      <c r="J805" s="35" t="str">
        <f aca="false">IF($A805="","",IF(Setup!$B$6=1,YEAR($A805),YEAR($A805)+IF(MONTH($A805)&gt;=Setup!$B$6,1,0)))</f>
        <v/>
      </c>
      <c r="K805" s="35" t="str">
        <f aca="false">IF($A805="","",MOD(MONTH($A805)-Setup!$B$6+12,12)+1)</f>
        <v/>
      </c>
      <c r="L805" s="36" t="str">
        <f aca="false">IF($A805="","",TEXT($A805,"MMM-YY"))</f>
        <v/>
      </c>
      <c r="M805" s="37" t="str">
        <f aca="false">IF($A805="","",IF($Q805=0,"UNMAPPED",INDEX(COA_Mapping!$C$7:$C$256,$Q805)))</f>
        <v/>
      </c>
      <c r="N805" s="38" t="str">
        <f aca="false">IF($A805="","",IF($Q805=0,"",INDEX(COA_Mapping!$E$7:$E$256,$Q805)))</f>
        <v/>
      </c>
      <c r="O805" s="38" t="n">
        <f aca="false">IF($A805="",1,IF($Q805=0,1,INDEX(COA_Mapping!$F$7:$F$256,$Q805)))</f>
        <v>1</v>
      </c>
      <c r="P805" s="34" t="str">
        <f aca="false">IF($A805="","",$I805*$O805)</f>
        <v/>
      </c>
      <c r="Q805" s="39" t="n">
        <f aca="false">IF($B805="",0,IFERROR(MATCH($B805,COA_Mapping!$A$7:$A$256,0),0))</f>
        <v>0</v>
      </c>
      <c r="R805" s="39" t="n">
        <f aca="false">IF($A805="",-1,IF($J805=Setup!$B$7,1,IF($J805=Setup!$B$9,0,-1)))</f>
        <v>-1</v>
      </c>
      <c r="S805" s="35" t="n">
        <f aca="false">IF(OR($A805="",$Q805=0,$R805=-1),0,$Q805*1000+$R805*100+$K805)</f>
        <v>0</v>
      </c>
      <c r="T805" s="37" t="str">
        <f aca="false">IF($A805="","",IF($B805="","NO ACCOUNT",IF($Q805=0,"UNMAPPED",IF($R805=-1,"OUTSIDE FY RANGE","OK"))))</f>
        <v/>
      </c>
      <c r="U805" s="40" t="str">
        <f aca="false">IF($A805="","",$B805&amp;"|"&amp;TEXT($A805,"yyyymmdd")&amp;"|"&amp;TEXT($I805,"0.00"))</f>
        <v/>
      </c>
      <c r="V805" s="35" t="str">
        <f aca="false">IF($A805="","",COUNTIF($U$8:$U$5007,$U805))</f>
        <v/>
      </c>
    </row>
    <row r="806" customFormat="false" ht="15" hidden="false" customHeight="false" outlineLevel="0" collapsed="false">
      <c r="A806" s="31"/>
      <c r="B806" s="32"/>
      <c r="C806" s="32"/>
      <c r="D806" s="32"/>
      <c r="E806" s="32"/>
      <c r="F806" s="32"/>
      <c r="G806" s="33"/>
      <c r="H806" s="33"/>
      <c r="I806" s="34" t="str">
        <f aca="false">IF($A806="","",$G806-$H806)</f>
        <v/>
      </c>
      <c r="J806" s="35" t="str">
        <f aca="false">IF($A806="","",IF(Setup!$B$6=1,YEAR($A806),YEAR($A806)+IF(MONTH($A806)&gt;=Setup!$B$6,1,0)))</f>
        <v/>
      </c>
      <c r="K806" s="35" t="str">
        <f aca="false">IF($A806="","",MOD(MONTH($A806)-Setup!$B$6+12,12)+1)</f>
        <v/>
      </c>
      <c r="L806" s="36" t="str">
        <f aca="false">IF($A806="","",TEXT($A806,"MMM-YY"))</f>
        <v/>
      </c>
      <c r="M806" s="37" t="str">
        <f aca="false">IF($A806="","",IF($Q806=0,"UNMAPPED",INDEX(COA_Mapping!$C$7:$C$256,$Q806)))</f>
        <v/>
      </c>
      <c r="N806" s="38" t="str">
        <f aca="false">IF($A806="","",IF($Q806=0,"",INDEX(COA_Mapping!$E$7:$E$256,$Q806)))</f>
        <v/>
      </c>
      <c r="O806" s="38" t="n">
        <f aca="false">IF($A806="",1,IF($Q806=0,1,INDEX(COA_Mapping!$F$7:$F$256,$Q806)))</f>
        <v>1</v>
      </c>
      <c r="P806" s="34" t="str">
        <f aca="false">IF($A806="","",$I806*$O806)</f>
        <v/>
      </c>
      <c r="Q806" s="39" t="n">
        <f aca="false">IF($B806="",0,IFERROR(MATCH($B806,COA_Mapping!$A$7:$A$256,0),0))</f>
        <v>0</v>
      </c>
      <c r="R806" s="39" t="n">
        <f aca="false">IF($A806="",-1,IF($J806=Setup!$B$7,1,IF($J806=Setup!$B$9,0,-1)))</f>
        <v>-1</v>
      </c>
      <c r="S806" s="35" t="n">
        <f aca="false">IF(OR($A806="",$Q806=0,$R806=-1),0,$Q806*1000+$R806*100+$K806)</f>
        <v>0</v>
      </c>
      <c r="T806" s="37" t="str">
        <f aca="false">IF($A806="","",IF($B806="","NO ACCOUNT",IF($Q806=0,"UNMAPPED",IF($R806=-1,"OUTSIDE FY RANGE","OK"))))</f>
        <v/>
      </c>
      <c r="U806" s="40" t="str">
        <f aca="false">IF($A806="","",$B806&amp;"|"&amp;TEXT($A806,"yyyymmdd")&amp;"|"&amp;TEXT($I806,"0.00"))</f>
        <v/>
      </c>
      <c r="V806" s="35" t="str">
        <f aca="false">IF($A806="","",COUNTIF($U$8:$U$5007,$U806))</f>
        <v/>
      </c>
    </row>
    <row r="807" customFormat="false" ht="15" hidden="false" customHeight="false" outlineLevel="0" collapsed="false">
      <c r="A807" s="31"/>
      <c r="B807" s="32"/>
      <c r="C807" s="32"/>
      <c r="D807" s="32"/>
      <c r="E807" s="32"/>
      <c r="F807" s="32"/>
      <c r="G807" s="33"/>
      <c r="H807" s="33"/>
      <c r="I807" s="34" t="str">
        <f aca="false">IF($A807="","",$G807-$H807)</f>
        <v/>
      </c>
      <c r="J807" s="35" t="str">
        <f aca="false">IF($A807="","",IF(Setup!$B$6=1,YEAR($A807),YEAR($A807)+IF(MONTH($A807)&gt;=Setup!$B$6,1,0)))</f>
        <v/>
      </c>
      <c r="K807" s="35" t="str">
        <f aca="false">IF($A807="","",MOD(MONTH($A807)-Setup!$B$6+12,12)+1)</f>
        <v/>
      </c>
      <c r="L807" s="36" t="str">
        <f aca="false">IF($A807="","",TEXT($A807,"MMM-YY"))</f>
        <v/>
      </c>
      <c r="M807" s="37" t="str">
        <f aca="false">IF($A807="","",IF($Q807=0,"UNMAPPED",INDEX(COA_Mapping!$C$7:$C$256,$Q807)))</f>
        <v/>
      </c>
      <c r="N807" s="38" t="str">
        <f aca="false">IF($A807="","",IF($Q807=0,"",INDEX(COA_Mapping!$E$7:$E$256,$Q807)))</f>
        <v/>
      </c>
      <c r="O807" s="38" t="n">
        <f aca="false">IF($A807="",1,IF($Q807=0,1,INDEX(COA_Mapping!$F$7:$F$256,$Q807)))</f>
        <v>1</v>
      </c>
      <c r="P807" s="34" t="str">
        <f aca="false">IF($A807="","",$I807*$O807)</f>
        <v/>
      </c>
      <c r="Q807" s="39" t="n">
        <f aca="false">IF($B807="",0,IFERROR(MATCH($B807,COA_Mapping!$A$7:$A$256,0),0))</f>
        <v>0</v>
      </c>
      <c r="R807" s="39" t="n">
        <f aca="false">IF($A807="",-1,IF($J807=Setup!$B$7,1,IF($J807=Setup!$B$9,0,-1)))</f>
        <v>-1</v>
      </c>
      <c r="S807" s="35" t="n">
        <f aca="false">IF(OR($A807="",$Q807=0,$R807=-1),0,$Q807*1000+$R807*100+$K807)</f>
        <v>0</v>
      </c>
      <c r="T807" s="37" t="str">
        <f aca="false">IF($A807="","",IF($B807="","NO ACCOUNT",IF($Q807=0,"UNMAPPED",IF($R807=-1,"OUTSIDE FY RANGE","OK"))))</f>
        <v/>
      </c>
      <c r="U807" s="40" t="str">
        <f aca="false">IF($A807="","",$B807&amp;"|"&amp;TEXT($A807,"yyyymmdd")&amp;"|"&amp;TEXT($I807,"0.00"))</f>
        <v/>
      </c>
      <c r="V807" s="35" t="str">
        <f aca="false">IF($A807="","",COUNTIF($U$8:$U$5007,$U807))</f>
        <v/>
      </c>
    </row>
    <row r="808" customFormat="false" ht="15" hidden="false" customHeight="false" outlineLevel="0" collapsed="false">
      <c r="A808" s="31"/>
      <c r="B808" s="32"/>
      <c r="C808" s="32"/>
      <c r="D808" s="32"/>
      <c r="E808" s="32"/>
      <c r="F808" s="32"/>
      <c r="G808" s="33"/>
      <c r="H808" s="33"/>
      <c r="I808" s="34" t="str">
        <f aca="false">IF($A808="","",$G808-$H808)</f>
        <v/>
      </c>
      <c r="J808" s="35" t="str">
        <f aca="false">IF($A808="","",IF(Setup!$B$6=1,YEAR($A808),YEAR($A808)+IF(MONTH($A808)&gt;=Setup!$B$6,1,0)))</f>
        <v/>
      </c>
      <c r="K808" s="35" t="str">
        <f aca="false">IF($A808="","",MOD(MONTH($A808)-Setup!$B$6+12,12)+1)</f>
        <v/>
      </c>
      <c r="L808" s="36" t="str">
        <f aca="false">IF($A808="","",TEXT($A808,"MMM-YY"))</f>
        <v/>
      </c>
      <c r="M808" s="37" t="str">
        <f aca="false">IF($A808="","",IF($Q808=0,"UNMAPPED",INDEX(COA_Mapping!$C$7:$C$256,$Q808)))</f>
        <v/>
      </c>
      <c r="N808" s="38" t="str">
        <f aca="false">IF($A808="","",IF($Q808=0,"",INDEX(COA_Mapping!$E$7:$E$256,$Q808)))</f>
        <v/>
      </c>
      <c r="O808" s="38" t="n">
        <f aca="false">IF($A808="",1,IF($Q808=0,1,INDEX(COA_Mapping!$F$7:$F$256,$Q808)))</f>
        <v>1</v>
      </c>
      <c r="P808" s="34" t="str">
        <f aca="false">IF($A808="","",$I808*$O808)</f>
        <v/>
      </c>
      <c r="Q808" s="39" t="n">
        <f aca="false">IF($B808="",0,IFERROR(MATCH($B808,COA_Mapping!$A$7:$A$256,0),0))</f>
        <v>0</v>
      </c>
      <c r="R808" s="39" t="n">
        <f aca="false">IF($A808="",-1,IF($J808=Setup!$B$7,1,IF($J808=Setup!$B$9,0,-1)))</f>
        <v>-1</v>
      </c>
      <c r="S808" s="35" t="n">
        <f aca="false">IF(OR($A808="",$Q808=0,$R808=-1),0,$Q808*1000+$R808*100+$K808)</f>
        <v>0</v>
      </c>
      <c r="T808" s="37" t="str">
        <f aca="false">IF($A808="","",IF($B808="","NO ACCOUNT",IF($Q808=0,"UNMAPPED",IF($R808=-1,"OUTSIDE FY RANGE","OK"))))</f>
        <v/>
      </c>
      <c r="U808" s="40" t="str">
        <f aca="false">IF($A808="","",$B808&amp;"|"&amp;TEXT($A808,"yyyymmdd")&amp;"|"&amp;TEXT($I808,"0.00"))</f>
        <v/>
      </c>
      <c r="V808" s="35" t="str">
        <f aca="false">IF($A808="","",COUNTIF($U$8:$U$5007,$U808))</f>
        <v/>
      </c>
    </row>
    <row r="809" customFormat="false" ht="15" hidden="false" customHeight="false" outlineLevel="0" collapsed="false">
      <c r="A809" s="31"/>
      <c r="B809" s="32"/>
      <c r="C809" s="32"/>
      <c r="D809" s="32"/>
      <c r="E809" s="32"/>
      <c r="F809" s="32"/>
      <c r="G809" s="33"/>
      <c r="H809" s="33"/>
      <c r="I809" s="34" t="str">
        <f aca="false">IF($A809="","",$G809-$H809)</f>
        <v/>
      </c>
      <c r="J809" s="35" t="str">
        <f aca="false">IF($A809="","",IF(Setup!$B$6=1,YEAR($A809),YEAR($A809)+IF(MONTH($A809)&gt;=Setup!$B$6,1,0)))</f>
        <v/>
      </c>
      <c r="K809" s="35" t="str">
        <f aca="false">IF($A809="","",MOD(MONTH($A809)-Setup!$B$6+12,12)+1)</f>
        <v/>
      </c>
      <c r="L809" s="36" t="str">
        <f aca="false">IF($A809="","",TEXT($A809,"MMM-YY"))</f>
        <v/>
      </c>
      <c r="M809" s="37" t="str">
        <f aca="false">IF($A809="","",IF($Q809=0,"UNMAPPED",INDEX(COA_Mapping!$C$7:$C$256,$Q809)))</f>
        <v/>
      </c>
      <c r="N809" s="38" t="str">
        <f aca="false">IF($A809="","",IF($Q809=0,"",INDEX(COA_Mapping!$E$7:$E$256,$Q809)))</f>
        <v/>
      </c>
      <c r="O809" s="38" t="n">
        <f aca="false">IF($A809="",1,IF($Q809=0,1,INDEX(COA_Mapping!$F$7:$F$256,$Q809)))</f>
        <v>1</v>
      </c>
      <c r="P809" s="34" t="str">
        <f aca="false">IF($A809="","",$I809*$O809)</f>
        <v/>
      </c>
      <c r="Q809" s="39" t="n">
        <f aca="false">IF($B809="",0,IFERROR(MATCH($B809,COA_Mapping!$A$7:$A$256,0),0))</f>
        <v>0</v>
      </c>
      <c r="R809" s="39" t="n">
        <f aca="false">IF($A809="",-1,IF($J809=Setup!$B$7,1,IF($J809=Setup!$B$9,0,-1)))</f>
        <v>-1</v>
      </c>
      <c r="S809" s="35" t="n">
        <f aca="false">IF(OR($A809="",$Q809=0,$R809=-1),0,$Q809*1000+$R809*100+$K809)</f>
        <v>0</v>
      </c>
      <c r="T809" s="37" t="str">
        <f aca="false">IF($A809="","",IF($B809="","NO ACCOUNT",IF($Q809=0,"UNMAPPED",IF($R809=-1,"OUTSIDE FY RANGE","OK"))))</f>
        <v/>
      </c>
      <c r="U809" s="40" t="str">
        <f aca="false">IF($A809="","",$B809&amp;"|"&amp;TEXT($A809,"yyyymmdd")&amp;"|"&amp;TEXT($I809,"0.00"))</f>
        <v/>
      </c>
      <c r="V809" s="35" t="str">
        <f aca="false">IF($A809="","",COUNTIF($U$8:$U$5007,$U809))</f>
        <v/>
      </c>
    </row>
    <row r="810" customFormat="false" ht="15" hidden="false" customHeight="false" outlineLevel="0" collapsed="false">
      <c r="A810" s="31"/>
      <c r="B810" s="32"/>
      <c r="C810" s="32"/>
      <c r="D810" s="32"/>
      <c r="E810" s="32"/>
      <c r="F810" s="32"/>
      <c r="G810" s="33"/>
      <c r="H810" s="33"/>
      <c r="I810" s="34" t="str">
        <f aca="false">IF($A810="","",$G810-$H810)</f>
        <v/>
      </c>
      <c r="J810" s="35" t="str">
        <f aca="false">IF($A810="","",IF(Setup!$B$6=1,YEAR($A810),YEAR($A810)+IF(MONTH($A810)&gt;=Setup!$B$6,1,0)))</f>
        <v/>
      </c>
      <c r="K810" s="35" t="str">
        <f aca="false">IF($A810="","",MOD(MONTH($A810)-Setup!$B$6+12,12)+1)</f>
        <v/>
      </c>
      <c r="L810" s="36" t="str">
        <f aca="false">IF($A810="","",TEXT($A810,"MMM-YY"))</f>
        <v/>
      </c>
      <c r="M810" s="37" t="str">
        <f aca="false">IF($A810="","",IF($Q810=0,"UNMAPPED",INDEX(COA_Mapping!$C$7:$C$256,$Q810)))</f>
        <v/>
      </c>
      <c r="N810" s="38" t="str">
        <f aca="false">IF($A810="","",IF($Q810=0,"",INDEX(COA_Mapping!$E$7:$E$256,$Q810)))</f>
        <v/>
      </c>
      <c r="O810" s="38" t="n">
        <f aca="false">IF($A810="",1,IF($Q810=0,1,INDEX(COA_Mapping!$F$7:$F$256,$Q810)))</f>
        <v>1</v>
      </c>
      <c r="P810" s="34" t="str">
        <f aca="false">IF($A810="","",$I810*$O810)</f>
        <v/>
      </c>
      <c r="Q810" s="39" t="n">
        <f aca="false">IF($B810="",0,IFERROR(MATCH($B810,COA_Mapping!$A$7:$A$256,0),0))</f>
        <v>0</v>
      </c>
      <c r="R810" s="39" t="n">
        <f aca="false">IF($A810="",-1,IF($J810=Setup!$B$7,1,IF($J810=Setup!$B$9,0,-1)))</f>
        <v>-1</v>
      </c>
      <c r="S810" s="35" t="n">
        <f aca="false">IF(OR($A810="",$Q810=0,$R810=-1),0,$Q810*1000+$R810*100+$K810)</f>
        <v>0</v>
      </c>
      <c r="T810" s="37" t="str">
        <f aca="false">IF($A810="","",IF($B810="","NO ACCOUNT",IF($Q810=0,"UNMAPPED",IF($R810=-1,"OUTSIDE FY RANGE","OK"))))</f>
        <v/>
      </c>
      <c r="U810" s="40" t="str">
        <f aca="false">IF($A810="","",$B810&amp;"|"&amp;TEXT($A810,"yyyymmdd")&amp;"|"&amp;TEXT($I810,"0.00"))</f>
        <v/>
      </c>
      <c r="V810" s="35" t="str">
        <f aca="false">IF($A810="","",COUNTIF($U$8:$U$5007,$U810))</f>
        <v/>
      </c>
    </row>
    <row r="811" customFormat="false" ht="15" hidden="false" customHeight="false" outlineLevel="0" collapsed="false">
      <c r="A811" s="31"/>
      <c r="B811" s="32"/>
      <c r="C811" s="32"/>
      <c r="D811" s="32"/>
      <c r="E811" s="32"/>
      <c r="F811" s="32"/>
      <c r="G811" s="33"/>
      <c r="H811" s="33"/>
      <c r="I811" s="34" t="str">
        <f aca="false">IF($A811="","",$G811-$H811)</f>
        <v/>
      </c>
      <c r="J811" s="35" t="str">
        <f aca="false">IF($A811="","",IF(Setup!$B$6=1,YEAR($A811),YEAR($A811)+IF(MONTH($A811)&gt;=Setup!$B$6,1,0)))</f>
        <v/>
      </c>
      <c r="K811" s="35" t="str">
        <f aca="false">IF($A811="","",MOD(MONTH($A811)-Setup!$B$6+12,12)+1)</f>
        <v/>
      </c>
      <c r="L811" s="36" t="str">
        <f aca="false">IF($A811="","",TEXT($A811,"MMM-YY"))</f>
        <v/>
      </c>
      <c r="M811" s="37" t="str">
        <f aca="false">IF($A811="","",IF($Q811=0,"UNMAPPED",INDEX(COA_Mapping!$C$7:$C$256,$Q811)))</f>
        <v/>
      </c>
      <c r="N811" s="38" t="str">
        <f aca="false">IF($A811="","",IF($Q811=0,"",INDEX(COA_Mapping!$E$7:$E$256,$Q811)))</f>
        <v/>
      </c>
      <c r="O811" s="38" t="n">
        <f aca="false">IF($A811="",1,IF($Q811=0,1,INDEX(COA_Mapping!$F$7:$F$256,$Q811)))</f>
        <v>1</v>
      </c>
      <c r="P811" s="34" t="str">
        <f aca="false">IF($A811="","",$I811*$O811)</f>
        <v/>
      </c>
      <c r="Q811" s="39" t="n">
        <f aca="false">IF($B811="",0,IFERROR(MATCH($B811,COA_Mapping!$A$7:$A$256,0),0))</f>
        <v>0</v>
      </c>
      <c r="R811" s="39" t="n">
        <f aca="false">IF($A811="",-1,IF($J811=Setup!$B$7,1,IF($J811=Setup!$B$9,0,-1)))</f>
        <v>-1</v>
      </c>
      <c r="S811" s="35" t="n">
        <f aca="false">IF(OR($A811="",$Q811=0,$R811=-1),0,$Q811*1000+$R811*100+$K811)</f>
        <v>0</v>
      </c>
      <c r="T811" s="37" t="str">
        <f aca="false">IF($A811="","",IF($B811="","NO ACCOUNT",IF($Q811=0,"UNMAPPED",IF($R811=-1,"OUTSIDE FY RANGE","OK"))))</f>
        <v/>
      </c>
      <c r="U811" s="40" t="str">
        <f aca="false">IF($A811="","",$B811&amp;"|"&amp;TEXT($A811,"yyyymmdd")&amp;"|"&amp;TEXT($I811,"0.00"))</f>
        <v/>
      </c>
      <c r="V811" s="35" t="str">
        <f aca="false">IF($A811="","",COUNTIF($U$8:$U$5007,$U811))</f>
        <v/>
      </c>
    </row>
    <row r="812" customFormat="false" ht="15" hidden="false" customHeight="false" outlineLevel="0" collapsed="false">
      <c r="A812" s="31"/>
      <c r="B812" s="32"/>
      <c r="C812" s="32"/>
      <c r="D812" s="32"/>
      <c r="E812" s="32"/>
      <c r="F812" s="32"/>
      <c r="G812" s="33"/>
      <c r="H812" s="33"/>
      <c r="I812" s="34" t="str">
        <f aca="false">IF($A812="","",$G812-$H812)</f>
        <v/>
      </c>
      <c r="J812" s="35" t="str">
        <f aca="false">IF($A812="","",IF(Setup!$B$6=1,YEAR($A812),YEAR($A812)+IF(MONTH($A812)&gt;=Setup!$B$6,1,0)))</f>
        <v/>
      </c>
      <c r="K812" s="35" t="str">
        <f aca="false">IF($A812="","",MOD(MONTH($A812)-Setup!$B$6+12,12)+1)</f>
        <v/>
      </c>
      <c r="L812" s="36" t="str">
        <f aca="false">IF($A812="","",TEXT($A812,"MMM-YY"))</f>
        <v/>
      </c>
      <c r="M812" s="37" t="str">
        <f aca="false">IF($A812="","",IF($Q812=0,"UNMAPPED",INDEX(COA_Mapping!$C$7:$C$256,$Q812)))</f>
        <v/>
      </c>
      <c r="N812" s="38" t="str">
        <f aca="false">IF($A812="","",IF($Q812=0,"",INDEX(COA_Mapping!$E$7:$E$256,$Q812)))</f>
        <v/>
      </c>
      <c r="O812" s="38" t="n">
        <f aca="false">IF($A812="",1,IF($Q812=0,1,INDEX(COA_Mapping!$F$7:$F$256,$Q812)))</f>
        <v>1</v>
      </c>
      <c r="P812" s="34" t="str">
        <f aca="false">IF($A812="","",$I812*$O812)</f>
        <v/>
      </c>
      <c r="Q812" s="39" t="n">
        <f aca="false">IF($B812="",0,IFERROR(MATCH($B812,COA_Mapping!$A$7:$A$256,0),0))</f>
        <v>0</v>
      </c>
      <c r="R812" s="39" t="n">
        <f aca="false">IF($A812="",-1,IF($J812=Setup!$B$7,1,IF($J812=Setup!$B$9,0,-1)))</f>
        <v>-1</v>
      </c>
      <c r="S812" s="35" t="n">
        <f aca="false">IF(OR($A812="",$Q812=0,$R812=-1),0,$Q812*1000+$R812*100+$K812)</f>
        <v>0</v>
      </c>
      <c r="T812" s="37" t="str">
        <f aca="false">IF($A812="","",IF($B812="","NO ACCOUNT",IF($Q812=0,"UNMAPPED",IF($R812=-1,"OUTSIDE FY RANGE","OK"))))</f>
        <v/>
      </c>
      <c r="U812" s="40" t="str">
        <f aca="false">IF($A812="","",$B812&amp;"|"&amp;TEXT($A812,"yyyymmdd")&amp;"|"&amp;TEXT($I812,"0.00"))</f>
        <v/>
      </c>
      <c r="V812" s="35" t="str">
        <f aca="false">IF($A812="","",COUNTIF($U$8:$U$5007,$U812))</f>
        <v/>
      </c>
    </row>
    <row r="813" customFormat="false" ht="15" hidden="false" customHeight="false" outlineLevel="0" collapsed="false">
      <c r="A813" s="31"/>
      <c r="B813" s="32"/>
      <c r="C813" s="32"/>
      <c r="D813" s="32"/>
      <c r="E813" s="32"/>
      <c r="F813" s="32"/>
      <c r="G813" s="33"/>
      <c r="H813" s="33"/>
      <c r="I813" s="34" t="str">
        <f aca="false">IF($A813="","",$G813-$H813)</f>
        <v/>
      </c>
      <c r="J813" s="35" t="str">
        <f aca="false">IF($A813="","",IF(Setup!$B$6=1,YEAR($A813),YEAR($A813)+IF(MONTH($A813)&gt;=Setup!$B$6,1,0)))</f>
        <v/>
      </c>
      <c r="K813" s="35" t="str">
        <f aca="false">IF($A813="","",MOD(MONTH($A813)-Setup!$B$6+12,12)+1)</f>
        <v/>
      </c>
      <c r="L813" s="36" t="str">
        <f aca="false">IF($A813="","",TEXT($A813,"MMM-YY"))</f>
        <v/>
      </c>
      <c r="M813" s="37" t="str">
        <f aca="false">IF($A813="","",IF($Q813=0,"UNMAPPED",INDEX(COA_Mapping!$C$7:$C$256,$Q813)))</f>
        <v/>
      </c>
      <c r="N813" s="38" t="str">
        <f aca="false">IF($A813="","",IF($Q813=0,"",INDEX(COA_Mapping!$E$7:$E$256,$Q813)))</f>
        <v/>
      </c>
      <c r="O813" s="38" t="n">
        <f aca="false">IF($A813="",1,IF($Q813=0,1,INDEX(COA_Mapping!$F$7:$F$256,$Q813)))</f>
        <v>1</v>
      </c>
      <c r="P813" s="34" t="str">
        <f aca="false">IF($A813="","",$I813*$O813)</f>
        <v/>
      </c>
      <c r="Q813" s="39" t="n">
        <f aca="false">IF($B813="",0,IFERROR(MATCH($B813,COA_Mapping!$A$7:$A$256,0),0))</f>
        <v>0</v>
      </c>
      <c r="R813" s="39" t="n">
        <f aca="false">IF($A813="",-1,IF($J813=Setup!$B$7,1,IF($J813=Setup!$B$9,0,-1)))</f>
        <v>-1</v>
      </c>
      <c r="S813" s="35" t="n">
        <f aca="false">IF(OR($A813="",$Q813=0,$R813=-1),0,$Q813*1000+$R813*100+$K813)</f>
        <v>0</v>
      </c>
      <c r="T813" s="37" t="str">
        <f aca="false">IF($A813="","",IF($B813="","NO ACCOUNT",IF($Q813=0,"UNMAPPED",IF($R813=-1,"OUTSIDE FY RANGE","OK"))))</f>
        <v/>
      </c>
      <c r="U813" s="40" t="str">
        <f aca="false">IF($A813="","",$B813&amp;"|"&amp;TEXT($A813,"yyyymmdd")&amp;"|"&amp;TEXT($I813,"0.00"))</f>
        <v/>
      </c>
      <c r="V813" s="35" t="str">
        <f aca="false">IF($A813="","",COUNTIF($U$8:$U$5007,$U813))</f>
        <v/>
      </c>
    </row>
    <row r="814" customFormat="false" ht="15" hidden="false" customHeight="false" outlineLevel="0" collapsed="false">
      <c r="A814" s="31"/>
      <c r="B814" s="32"/>
      <c r="C814" s="32"/>
      <c r="D814" s="32"/>
      <c r="E814" s="32"/>
      <c r="F814" s="32"/>
      <c r="G814" s="33"/>
      <c r="H814" s="33"/>
      <c r="I814" s="34" t="str">
        <f aca="false">IF($A814="","",$G814-$H814)</f>
        <v/>
      </c>
      <c r="J814" s="35" t="str">
        <f aca="false">IF($A814="","",IF(Setup!$B$6=1,YEAR($A814),YEAR($A814)+IF(MONTH($A814)&gt;=Setup!$B$6,1,0)))</f>
        <v/>
      </c>
      <c r="K814" s="35" t="str">
        <f aca="false">IF($A814="","",MOD(MONTH($A814)-Setup!$B$6+12,12)+1)</f>
        <v/>
      </c>
      <c r="L814" s="36" t="str">
        <f aca="false">IF($A814="","",TEXT($A814,"MMM-YY"))</f>
        <v/>
      </c>
      <c r="M814" s="37" t="str">
        <f aca="false">IF($A814="","",IF($Q814=0,"UNMAPPED",INDEX(COA_Mapping!$C$7:$C$256,$Q814)))</f>
        <v/>
      </c>
      <c r="N814" s="38" t="str">
        <f aca="false">IF($A814="","",IF($Q814=0,"",INDEX(COA_Mapping!$E$7:$E$256,$Q814)))</f>
        <v/>
      </c>
      <c r="O814" s="38" t="n">
        <f aca="false">IF($A814="",1,IF($Q814=0,1,INDEX(COA_Mapping!$F$7:$F$256,$Q814)))</f>
        <v>1</v>
      </c>
      <c r="P814" s="34" t="str">
        <f aca="false">IF($A814="","",$I814*$O814)</f>
        <v/>
      </c>
      <c r="Q814" s="39" t="n">
        <f aca="false">IF($B814="",0,IFERROR(MATCH($B814,COA_Mapping!$A$7:$A$256,0),0))</f>
        <v>0</v>
      </c>
      <c r="R814" s="39" t="n">
        <f aca="false">IF($A814="",-1,IF($J814=Setup!$B$7,1,IF($J814=Setup!$B$9,0,-1)))</f>
        <v>-1</v>
      </c>
      <c r="S814" s="35" t="n">
        <f aca="false">IF(OR($A814="",$Q814=0,$R814=-1),0,$Q814*1000+$R814*100+$K814)</f>
        <v>0</v>
      </c>
      <c r="T814" s="37" t="str">
        <f aca="false">IF($A814="","",IF($B814="","NO ACCOUNT",IF($Q814=0,"UNMAPPED",IF($R814=-1,"OUTSIDE FY RANGE","OK"))))</f>
        <v/>
      </c>
      <c r="U814" s="40" t="str">
        <f aca="false">IF($A814="","",$B814&amp;"|"&amp;TEXT($A814,"yyyymmdd")&amp;"|"&amp;TEXT($I814,"0.00"))</f>
        <v/>
      </c>
      <c r="V814" s="35" t="str">
        <f aca="false">IF($A814="","",COUNTIF($U$8:$U$5007,$U814))</f>
        <v/>
      </c>
    </row>
    <row r="815" customFormat="false" ht="15" hidden="false" customHeight="false" outlineLevel="0" collapsed="false">
      <c r="A815" s="31"/>
      <c r="B815" s="32"/>
      <c r="C815" s="32"/>
      <c r="D815" s="32"/>
      <c r="E815" s="32"/>
      <c r="F815" s="32"/>
      <c r="G815" s="33"/>
      <c r="H815" s="33"/>
      <c r="I815" s="34" t="str">
        <f aca="false">IF($A815="","",$G815-$H815)</f>
        <v/>
      </c>
      <c r="J815" s="35" t="str">
        <f aca="false">IF($A815="","",IF(Setup!$B$6=1,YEAR($A815),YEAR($A815)+IF(MONTH($A815)&gt;=Setup!$B$6,1,0)))</f>
        <v/>
      </c>
      <c r="K815" s="35" t="str">
        <f aca="false">IF($A815="","",MOD(MONTH($A815)-Setup!$B$6+12,12)+1)</f>
        <v/>
      </c>
      <c r="L815" s="36" t="str">
        <f aca="false">IF($A815="","",TEXT($A815,"MMM-YY"))</f>
        <v/>
      </c>
      <c r="M815" s="37" t="str">
        <f aca="false">IF($A815="","",IF($Q815=0,"UNMAPPED",INDEX(COA_Mapping!$C$7:$C$256,$Q815)))</f>
        <v/>
      </c>
      <c r="N815" s="38" t="str">
        <f aca="false">IF($A815="","",IF($Q815=0,"",INDEX(COA_Mapping!$E$7:$E$256,$Q815)))</f>
        <v/>
      </c>
      <c r="O815" s="38" t="n">
        <f aca="false">IF($A815="",1,IF($Q815=0,1,INDEX(COA_Mapping!$F$7:$F$256,$Q815)))</f>
        <v>1</v>
      </c>
      <c r="P815" s="34" t="str">
        <f aca="false">IF($A815="","",$I815*$O815)</f>
        <v/>
      </c>
      <c r="Q815" s="39" t="n">
        <f aca="false">IF($B815="",0,IFERROR(MATCH($B815,COA_Mapping!$A$7:$A$256,0),0))</f>
        <v>0</v>
      </c>
      <c r="R815" s="39" t="n">
        <f aca="false">IF($A815="",-1,IF($J815=Setup!$B$7,1,IF($J815=Setup!$B$9,0,-1)))</f>
        <v>-1</v>
      </c>
      <c r="S815" s="35" t="n">
        <f aca="false">IF(OR($A815="",$Q815=0,$R815=-1),0,$Q815*1000+$R815*100+$K815)</f>
        <v>0</v>
      </c>
      <c r="T815" s="37" t="str">
        <f aca="false">IF($A815="","",IF($B815="","NO ACCOUNT",IF($Q815=0,"UNMAPPED",IF($R815=-1,"OUTSIDE FY RANGE","OK"))))</f>
        <v/>
      </c>
      <c r="U815" s="40" t="str">
        <f aca="false">IF($A815="","",$B815&amp;"|"&amp;TEXT($A815,"yyyymmdd")&amp;"|"&amp;TEXT($I815,"0.00"))</f>
        <v/>
      </c>
      <c r="V815" s="35" t="str">
        <f aca="false">IF($A815="","",COUNTIF($U$8:$U$5007,$U815))</f>
        <v/>
      </c>
    </row>
    <row r="816" customFormat="false" ht="15" hidden="false" customHeight="false" outlineLevel="0" collapsed="false">
      <c r="A816" s="31"/>
      <c r="B816" s="32"/>
      <c r="C816" s="32"/>
      <c r="D816" s="32"/>
      <c r="E816" s="32"/>
      <c r="F816" s="32"/>
      <c r="G816" s="33"/>
      <c r="H816" s="33"/>
      <c r="I816" s="34" t="str">
        <f aca="false">IF($A816="","",$G816-$H816)</f>
        <v/>
      </c>
      <c r="J816" s="35" t="str">
        <f aca="false">IF($A816="","",IF(Setup!$B$6=1,YEAR($A816),YEAR($A816)+IF(MONTH($A816)&gt;=Setup!$B$6,1,0)))</f>
        <v/>
      </c>
      <c r="K816" s="35" t="str">
        <f aca="false">IF($A816="","",MOD(MONTH($A816)-Setup!$B$6+12,12)+1)</f>
        <v/>
      </c>
      <c r="L816" s="36" t="str">
        <f aca="false">IF($A816="","",TEXT($A816,"MMM-YY"))</f>
        <v/>
      </c>
      <c r="M816" s="37" t="str">
        <f aca="false">IF($A816="","",IF($Q816=0,"UNMAPPED",INDEX(COA_Mapping!$C$7:$C$256,$Q816)))</f>
        <v/>
      </c>
      <c r="N816" s="38" t="str">
        <f aca="false">IF($A816="","",IF($Q816=0,"",INDEX(COA_Mapping!$E$7:$E$256,$Q816)))</f>
        <v/>
      </c>
      <c r="O816" s="38" t="n">
        <f aca="false">IF($A816="",1,IF($Q816=0,1,INDEX(COA_Mapping!$F$7:$F$256,$Q816)))</f>
        <v>1</v>
      </c>
      <c r="P816" s="34" t="str">
        <f aca="false">IF($A816="","",$I816*$O816)</f>
        <v/>
      </c>
      <c r="Q816" s="39" t="n">
        <f aca="false">IF($B816="",0,IFERROR(MATCH($B816,COA_Mapping!$A$7:$A$256,0),0))</f>
        <v>0</v>
      </c>
      <c r="R816" s="39" t="n">
        <f aca="false">IF($A816="",-1,IF($J816=Setup!$B$7,1,IF($J816=Setup!$B$9,0,-1)))</f>
        <v>-1</v>
      </c>
      <c r="S816" s="35" t="n">
        <f aca="false">IF(OR($A816="",$Q816=0,$R816=-1),0,$Q816*1000+$R816*100+$K816)</f>
        <v>0</v>
      </c>
      <c r="T816" s="37" t="str">
        <f aca="false">IF($A816="","",IF($B816="","NO ACCOUNT",IF($Q816=0,"UNMAPPED",IF($R816=-1,"OUTSIDE FY RANGE","OK"))))</f>
        <v/>
      </c>
      <c r="U816" s="40" t="str">
        <f aca="false">IF($A816="","",$B816&amp;"|"&amp;TEXT($A816,"yyyymmdd")&amp;"|"&amp;TEXT($I816,"0.00"))</f>
        <v/>
      </c>
      <c r="V816" s="35" t="str">
        <f aca="false">IF($A816="","",COUNTIF($U$8:$U$5007,$U816))</f>
        <v/>
      </c>
    </row>
    <row r="817" customFormat="false" ht="15" hidden="false" customHeight="false" outlineLevel="0" collapsed="false">
      <c r="A817" s="31"/>
      <c r="B817" s="32"/>
      <c r="C817" s="32"/>
      <c r="D817" s="32"/>
      <c r="E817" s="32"/>
      <c r="F817" s="32"/>
      <c r="G817" s="33"/>
      <c r="H817" s="33"/>
      <c r="I817" s="34" t="str">
        <f aca="false">IF($A817="","",$G817-$H817)</f>
        <v/>
      </c>
      <c r="J817" s="35" t="str">
        <f aca="false">IF($A817="","",IF(Setup!$B$6=1,YEAR($A817),YEAR($A817)+IF(MONTH($A817)&gt;=Setup!$B$6,1,0)))</f>
        <v/>
      </c>
      <c r="K817" s="35" t="str">
        <f aca="false">IF($A817="","",MOD(MONTH($A817)-Setup!$B$6+12,12)+1)</f>
        <v/>
      </c>
      <c r="L817" s="36" t="str">
        <f aca="false">IF($A817="","",TEXT($A817,"MMM-YY"))</f>
        <v/>
      </c>
      <c r="M817" s="37" t="str">
        <f aca="false">IF($A817="","",IF($Q817=0,"UNMAPPED",INDEX(COA_Mapping!$C$7:$C$256,$Q817)))</f>
        <v/>
      </c>
      <c r="N817" s="38" t="str">
        <f aca="false">IF($A817="","",IF($Q817=0,"",INDEX(COA_Mapping!$E$7:$E$256,$Q817)))</f>
        <v/>
      </c>
      <c r="O817" s="38" t="n">
        <f aca="false">IF($A817="",1,IF($Q817=0,1,INDEX(COA_Mapping!$F$7:$F$256,$Q817)))</f>
        <v>1</v>
      </c>
      <c r="P817" s="34" t="str">
        <f aca="false">IF($A817="","",$I817*$O817)</f>
        <v/>
      </c>
      <c r="Q817" s="39" t="n">
        <f aca="false">IF($B817="",0,IFERROR(MATCH($B817,COA_Mapping!$A$7:$A$256,0),0))</f>
        <v>0</v>
      </c>
      <c r="R817" s="39" t="n">
        <f aca="false">IF($A817="",-1,IF($J817=Setup!$B$7,1,IF($J817=Setup!$B$9,0,-1)))</f>
        <v>-1</v>
      </c>
      <c r="S817" s="35" t="n">
        <f aca="false">IF(OR($A817="",$Q817=0,$R817=-1),0,$Q817*1000+$R817*100+$K817)</f>
        <v>0</v>
      </c>
      <c r="T817" s="37" t="str">
        <f aca="false">IF($A817="","",IF($B817="","NO ACCOUNT",IF($Q817=0,"UNMAPPED",IF($R817=-1,"OUTSIDE FY RANGE","OK"))))</f>
        <v/>
      </c>
      <c r="U817" s="40" t="str">
        <f aca="false">IF($A817="","",$B817&amp;"|"&amp;TEXT($A817,"yyyymmdd")&amp;"|"&amp;TEXT($I817,"0.00"))</f>
        <v/>
      </c>
      <c r="V817" s="35" t="str">
        <f aca="false">IF($A817="","",COUNTIF($U$8:$U$5007,$U817))</f>
        <v/>
      </c>
    </row>
    <row r="818" customFormat="false" ht="15" hidden="false" customHeight="false" outlineLevel="0" collapsed="false">
      <c r="A818" s="31"/>
      <c r="B818" s="32"/>
      <c r="C818" s="32"/>
      <c r="D818" s="32"/>
      <c r="E818" s="32"/>
      <c r="F818" s="32"/>
      <c r="G818" s="33"/>
      <c r="H818" s="33"/>
      <c r="I818" s="34" t="str">
        <f aca="false">IF($A818="","",$G818-$H818)</f>
        <v/>
      </c>
      <c r="J818" s="35" t="str">
        <f aca="false">IF($A818="","",IF(Setup!$B$6=1,YEAR($A818),YEAR($A818)+IF(MONTH($A818)&gt;=Setup!$B$6,1,0)))</f>
        <v/>
      </c>
      <c r="K818" s="35" t="str">
        <f aca="false">IF($A818="","",MOD(MONTH($A818)-Setup!$B$6+12,12)+1)</f>
        <v/>
      </c>
      <c r="L818" s="36" t="str">
        <f aca="false">IF($A818="","",TEXT($A818,"MMM-YY"))</f>
        <v/>
      </c>
      <c r="M818" s="37" t="str">
        <f aca="false">IF($A818="","",IF($Q818=0,"UNMAPPED",INDEX(COA_Mapping!$C$7:$C$256,$Q818)))</f>
        <v/>
      </c>
      <c r="N818" s="38" t="str">
        <f aca="false">IF($A818="","",IF($Q818=0,"",INDEX(COA_Mapping!$E$7:$E$256,$Q818)))</f>
        <v/>
      </c>
      <c r="O818" s="38" t="n">
        <f aca="false">IF($A818="",1,IF($Q818=0,1,INDEX(COA_Mapping!$F$7:$F$256,$Q818)))</f>
        <v>1</v>
      </c>
      <c r="P818" s="34" t="str">
        <f aca="false">IF($A818="","",$I818*$O818)</f>
        <v/>
      </c>
      <c r="Q818" s="39" t="n">
        <f aca="false">IF($B818="",0,IFERROR(MATCH($B818,COA_Mapping!$A$7:$A$256,0),0))</f>
        <v>0</v>
      </c>
      <c r="R818" s="39" t="n">
        <f aca="false">IF($A818="",-1,IF($J818=Setup!$B$7,1,IF($J818=Setup!$B$9,0,-1)))</f>
        <v>-1</v>
      </c>
      <c r="S818" s="35" t="n">
        <f aca="false">IF(OR($A818="",$Q818=0,$R818=-1),0,$Q818*1000+$R818*100+$K818)</f>
        <v>0</v>
      </c>
      <c r="T818" s="37" t="str">
        <f aca="false">IF($A818="","",IF($B818="","NO ACCOUNT",IF($Q818=0,"UNMAPPED",IF($R818=-1,"OUTSIDE FY RANGE","OK"))))</f>
        <v/>
      </c>
      <c r="U818" s="40" t="str">
        <f aca="false">IF($A818="","",$B818&amp;"|"&amp;TEXT($A818,"yyyymmdd")&amp;"|"&amp;TEXT($I818,"0.00"))</f>
        <v/>
      </c>
      <c r="V818" s="35" t="str">
        <f aca="false">IF($A818="","",COUNTIF($U$8:$U$5007,$U818))</f>
        <v/>
      </c>
    </row>
    <row r="819" customFormat="false" ht="15" hidden="false" customHeight="false" outlineLevel="0" collapsed="false">
      <c r="A819" s="31"/>
      <c r="B819" s="32"/>
      <c r="C819" s="32"/>
      <c r="D819" s="32"/>
      <c r="E819" s="32"/>
      <c r="F819" s="32"/>
      <c r="G819" s="33"/>
      <c r="H819" s="33"/>
      <c r="I819" s="34" t="str">
        <f aca="false">IF($A819="","",$G819-$H819)</f>
        <v/>
      </c>
      <c r="J819" s="35" t="str">
        <f aca="false">IF($A819="","",IF(Setup!$B$6=1,YEAR($A819),YEAR($A819)+IF(MONTH($A819)&gt;=Setup!$B$6,1,0)))</f>
        <v/>
      </c>
      <c r="K819" s="35" t="str">
        <f aca="false">IF($A819="","",MOD(MONTH($A819)-Setup!$B$6+12,12)+1)</f>
        <v/>
      </c>
      <c r="L819" s="36" t="str">
        <f aca="false">IF($A819="","",TEXT($A819,"MMM-YY"))</f>
        <v/>
      </c>
      <c r="M819" s="37" t="str">
        <f aca="false">IF($A819="","",IF($Q819=0,"UNMAPPED",INDEX(COA_Mapping!$C$7:$C$256,$Q819)))</f>
        <v/>
      </c>
      <c r="N819" s="38" t="str">
        <f aca="false">IF($A819="","",IF($Q819=0,"",INDEX(COA_Mapping!$E$7:$E$256,$Q819)))</f>
        <v/>
      </c>
      <c r="O819" s="38" t="n">
        <f aca="false">IF($A819="",1,IF($Q819=0,1,INDEX(COA_Mapping!$F$7:$F$256,$Q819)))</f>
        <v>1</v>
      </c>
      <c r="P819" s="34" t="str">
        <f aca="false">IF($A819="","",$I819*$O819)</f>
        <v/>
      </c>
      <c r="Q819" s="39" t="n">
        <f aca="false">IF($B819="",0,IFERROR(MATCH($B819,COA_Mapping!$A$7:$A$256,0),0))</f>
        <v>0</v>
      </c>
      <c r="R819" s="39" t="n">
        <f aca="false">IF($A819="",-1,IF($J819=Setup!$B$7,1,IF($J819=Setup!$B$9,0,-1)))</f>
        <v>-1</v>
      </c>
      <c r="S819" s="35" t="n">
        <f aca="false">IF(OR($A819="",$Q819=0,$R819=-1),0,$Q819*1000+$R819*100+$K819)</f>
        <v>0</v>
      </c>
      <c r="T819" s="37" t="str">
        <f aca="false">IF($A819="","",IF($B819="","NO ACCOUNT",IF($Q819=0,"UNMAPPED",IF($R819=-1,"OUTSIDE FY RANGE","OK"))))</f>
        <v/>
      </c>
      <c r="U819" s="40" t="str">
        <f aca="false">IF($A819="","",$B819&amp;"|"&amp;TEXT($A819,"yyyymmdd")&amp;"|"&amp;TEXT($I819,"0.00"))</f>
        <v/>
      </c>
      <c r="V819" s="35" t="str">
        <f aca="false">IF($A819="","",COUNTIF($U$8:$U$5007,$U819))</f>
        <v/>
      </c>
    </row>
    <row r="820" customFormat="false" ht="15" hidden="false" customHeight="false" outlineLevel="0" collapsed="false">
      <c r="A820" s="31"/>
      <c r="B820" s="32"/>
      <c r="C820" s="32"/>
      <c r="D820" s="32"/>
      <c r="E820" s="32"/>
      <c r="F820" s="32"/>
      <c r="G820" s="33"/>
      <c r="H820" s="33"/>
      <c r="I820" s="34" t="str">
        <f aca="false">IF($A820="","",$G820-$H820)</f>
        <v/>
      </c>
      <c r="J820" s="35" t="str">
        <f aca="false">IF($A820="","",IF(Setup!$B$6=1,YEAR($A820),YEAR($A820)+IF(MONTH($A820)&gt;=Setup!$B$6,1,0)))</f>
        <v/>
      </c>
      <c r="K820" s="35" t="str">
        <f aca="false">IF($A820="","",MOD(MONTH($A820)-Setup!$B$6+12,12)+1)</f>
        <v/>
      </c>
      <c r="L820" s="36" t="str">
        <f aca="false">IF($A820="","",TEXT($A820,"MMM-YY"))</f>
        <v/>
      </c>
      <c r="M820" s="37" t="str">
        <f aca="false">IF($A820="","",IF($Q820=0,"UNMAPPED",INDEX(COA_Mapping!$C$7:$C$256,$Q820)))</f>
        <v/>
      </c>
      <c r="N820" s="38" t="str">
        <f aca="false">IF($A820="","",IF($Q820=0,"",INDEX(COA_Mapping!$E$7:$E$256,$Q820)))</f>
        <v/>
      </c>
      <c r="O820" s="38" t="n">
        <f aca="false">IF($A820="",1,IF($Q820=0,1,INDEX(COA_Mapping!$F$7:$F$256,$Q820)))</f>
        <v>1</v>
      </c>
      <c r="P820" s="34" t="str">
        <f aca="false">IF($A820="","",$I820*$O820)</f>
        <v/>
      </c>
      <c r="Q820" s="39" t="n">
        <f aca="false">IF($B820="",0,IFERROR(MATCH($B820,COA_Mapping!$A$7:$A$256,0),0))</f>
        <v>0</v>
      </c>
      <c r="R820" s="39" t="n">
        <f aca="false">IF($A820="",-1,IF($J820=Setup!$B$7,1,IF($J820=Setup!$B$9,0,-1)))</f>
        <v>-1</v>
      </c>
      <c r="S820" s="35" t="n">
        <f aca="false">IF(OR($A820="",$Q820=0,$R820=-1),0,$Q820*1000+$R820*100+$K820)</f>
        <v>0</v>
      </c>
      <c r="T820" s="37" t="str">
        <f aca="false">IF($A820="","",IF($B820="","NO ACCOUNT",IF($Q820=0,"UNMAPPED",IF($R820=-1,"OUTSIDE FY RANGE","OK"))))</f>
        <v/>
      </c>
      <c r="U820" s="40" t="str">
        <f aca="false">IF($A820="","",$B820&amp;"|"&amp;TEXT($A820,"yyyymmdd")&amp;"|"&amp;TEXT($I820,"0.00"))</f>
        <v/>
      </c>
      <c r="V820" s="35" t="str">
        <f aca="false">IF($A820="","",COUNTIF($U$8:$U$5007,$U820))</f>
        <v/>
      </c>
    </row>
    <row r="821" customFormat="false" ht="15" hidden="false" customHeight="false" outlineLevel="0" collapsed="false">
      <c r="A821" s="31"/>
      <c r="B821" s="32"/>
      <c r="C821" s="32"/>
      <c r="D821" s="32"/>
      <c r="E821" s="32"/>
      <c r="F821" s="32"/>
      <c r="G821" s="33"/>
      <c r="H821" s="33"/>
      <c r="I821" s="34" t="str">
        <f aca="false">IF($A821="","",$G821-$H821)</f>
        <v/>
      </c>
      <c r="J821" s="35" t="str">
        <f aca="false">IF($A821="","",IF(Setup!$B$6=1,YEAR($A821),YEAR($A821)+IF(MONTH($A821)&gt;=Setup!$B$6,1,0)))</f>
        <v/>
      </c>
      <c r="K821" s="35" t="str">
        <f aca="false">IF($A821="","",MOD(MONTH($A821)-Setup!$B$6+12,12)+1)</f>
        <v/>
      </c>
      <c r="L821" s="36" t="str">
        <f aca="false">IF($A821="","",TEXT($A821,"MMM-YY"))</f>
        <v/>
      </c>
      <c r="M821" s="37" t="str">
        <f aca="false">IF($A821="","",IF($Q821=0,"UNMAPPED",INDEX(COA_Mapping!$C$7:$C$256,$Q821)))</f>
        <v/>
      </c>
      <c r="N821" s="38" t="str">
        <f aca="false">IF($A821="","",IF($Q821=0,"",INDEX(COA_Mapping!$E$7:$E$256,$Q821)))</f>
        <v/>
      </c>
      <c r="O821" s="38" t="n">
        <f aca="false">IF($A821="",1,IF($Q821=0,1,INDEX(COA_Mapping!$F$7:$F$256,$Q821)))</f>
        <v>1</v>
      </c>
      <c r="P821" s="34" t="str">
        <f aca="false">IF($A821="","",$I821*$O821)</f>
        <v/>
      </c>
      <c r="Q821" s="39" t="n">
        <f aca="false">IF($B821="",0,IFERROR(MATCH($B821,COA_Mapping!$A$7:$A$256,0),0))</f>
        <v>0</v>
      </c>
      <c r="R821" s="39" t="n">
        <f aca="false">IF($A821="",-1,IF($J821=Setup!$B$7,1,IF($J821=Setup!$B$9,0,-1)))</f>
        <v>-1</v>
      </c>
      <c r="S821" s="35" t="n">
        <f aca="false">IF(OR($A821="",$Q821=0,$R821=-1),0,$Q821*1000+$R821*100+$K821)</f>
        <v>0</v>
      </c>
      <c r="T821" s="37" t="str">
        <f aca="false">IF($A821="","",IF($B821="","NO ACCOUNT",IF($Q821=0,"UNMAPPED",IF($R821=-1,"OUTSIDE FY RANGE","OK"))))</f>
        <v/>
      </c>
      <c r="U821" s="40" t="str">
        <f aca="false">IF($A821="","",$B821&amp;"|"&amp;TEXT($A821,"yyyymmdd")&amp;"|"&amp;TEXT($I821,"0.00"))</f>
        <v/>
      </c>
      <c r="V821" s="35" t="str">
        <f aca="false">IF($A821="","",COUNTIF($U$8:$U$5007,$U821))</f>
        <v/>
      </c>
    </row>
    <row r="822" customFormat="false" ht="15" hidden="false" customHeight="false" outlineLevel="0" collapsed="false">
      <c r="A822" s="31"/>
      <c r="B822" s="32"/>
      <c r="C822" s="32"/>
      <c r="D822" s="32"/>
      <c r="E822" s="32"/>
      <c r="F822" s="32"/>
      <c r="G822" s="33"/>
      <c r="H822" s="33"/>
      <c r="I822" s="34" t="str">
        <f aca="false">IF($A822="","",$G822-$H822)</f>
        <v/>
      </c>
      <c r="J822" s="35" t="str">
        <f aca="false">IF($A822="","",IF(Setup!$B$6=1,YEAR($A822),YEAR($A822)+IF(MONTH($A822)&gt;=Setup!$B$6,1,0)))</f>
        <v/>
      </c>
      <c r="K822" s="35" t="str">
        <f aca="false">IF($A822="","",MOD(MONTH($A822)-Setup!$B$6+12,12)+1)</f>
        <v/>
      </c>
      <c r="L822" s="36" t="str">
        <f aca="false">IF($A822="","",TEXT($A822,"MMM-YY"))</f>
        <v/>
      </c>
      <c r="M822" s="37" t="str">
        <f aca="false">IF($A822="","",IF($Q822=0,"UNMAPPED",INDEX(COA_Mapping!$C$7:$C$256,$Q822)))</f>
        <v/>
      </c>
      <c r="N822" s="38" t="str">
        <f aca="false">IF($A822="","",IF($Q822=0,"",INDEX(COA_Mapping!$E$7:$E$256,$Q822)))</f>
        <v/>
      </c>
      <c r="O822" s="38" t="n">
        <f aca="false">IF($A822="",1,IF($Q822=0,1,INDEX(COA_Mapping!$F$7:$F$256,$Q822)))</f>
        <v>1</v>
      </c>
      <c r="P822" s="34" t="str">
        <f aca="false">IF($A822="","",$I822*$O822)</f>
        <v/>
      </c>
      <c r="Q822" s="39" t="n">
        <f aca="false">IF($B822="",0,IFERROR(MATCH($B822,COA_Mapping!$A$7:$A$256,0),0))</f>
        <v>0</v>
      </c>
      <c r="R822" s="39" t="n">
        <f aca="false">IF($A822="",-1,IF($J822=Setup!$B$7,1,IF($J822=Setup!$B$9,0,-1)))</f>
        <v>-1</v>
      </c>
      <c r="S822" s="35" t="n">
        <f aca="false">IF(OR($A822="",$Q822=0,$R822=-1),0,$Q822*1000+$R822*100+$K822)</f>
        <v>0</v>
      </c>
      <c r="T822" s="37" t="str">
        <f aca="false">IF($A822="","",IF($B822="","NO ACCOUNT",IF($Q822=0,"UNMAPPED",IF($R822=-1,"OUTSIDE FY RANGE","OK"))))</f>
        <v/>
      </c>
      <c r="U822" s="40" t="str">
        <f aca="false">IF($A822="","",$B822&amp;"|"&amp;TEXT($A822,"yyyymmdd")&amp;"|"&amp;TEXT($I822,"0.00"))</f>
        <v/>
      </c>
      <c r="V822" s="35" t="str">
        <f aca="false">IF($A822="","",COUNTIF($U$8:$U$5007,$U822))</f>
        <v/>
      </c>
    </row>
    <row r="823" customFormat="false" ht="15" hidden="false" customHeight="false" outlineLevel="0" collapsed="false">
      <c r="A823" s="31"/>
      <c r="B823" s="32"/>
      <c r="C823" s="32"/>
      <c r="D823" s="32"/>
      <c r="E823" s="32"/>
      <c r="F823" s="32"/>
      <c r="G823" s="33"/>
      <c r="H823" s="33"/>
      <c r="I823" s="34" t="str">
        <f aca="false">IF($A823="","",$G823-$H823)</f>
        <v/>
      </c>
      <c r="J823" s="35" t="str">
        <f aca="false">IF($A823="","",IF(Setup!$B$6=1,YEAR($A823),YEAR($A823)+IF(MONTH($A823)&gt;=Setup!$B$6,1,0)))</f>
        <v/>
      </c>
      <c r="K823" s="35" t="str">
        <f aca="false">IF($A823="","",MOD(MONTH($A823)-Setup!$B$6+12,12)+1)</f>
        <v/>
      </c>
      <c r="L823" s="36" t="str">
        <f aca="false">IF($A823="","",TEXT($A823,"MMM-YY"))</f>
        <v/>
      </c>
      <c r="M823" s="37" t="str">
        <f aca="false">IF($A823="","",IF($Q823=0,"UNMAPPED",INDEX(COA_Mapping!$C$7:$C$256,$Q823)))</f>
        <v/>
      </c>
      <c r="N823" s="38" t="str">
        <f aca="false">IF($A823="","",IF($Q823=0,"",INDEX(COA_Mapping!$E$7:$E$256,$Q823)))</f>
        <v/>
      </c>
      <c r="O823" s="38" t="n">
        <f aca="false">IF($A823="",1,IF($Q823=0,1,INDEX(COA_Mapping!$F$7:$F$256,$Q823)))</f>
        <v>1</v>
      </c>
      <c r="P823" s="34" t="str">
        <f aca="false">IF($A823="","",$I823*$O823)</f>
        <v/>
      </c>
      <c r="Q823" s="39" t="n">
        <f aca="false">IF($B823="",0,IFERROR(MATCH($B823,COA_Mapping!$A$7:$A$256,0),0))</f>
        <v>0</v>
      </c>
      <c r="R823" s="39" t="n">
        <f aca="false">IF($A823="",-1,IF($J823=Setup!$B$7,1,IF($J823=Setup!$B$9,0,-1)))</f>
        <v>-1</v>
      </c>
      <c r="S823" s="35" t="n">
        <f aca="false">IF(OR($A823="",$Q823=0,$R823=-1),0,$Q823*1000+$R823*100+$K823)</f>
        <v>0</v>
      </c>
      <c r="T823" s="37" t="str">
        <f aca="false">IF($A823="","",IF($B823="","NO ACCOUNT",IF($Q823=0,"UNMAPPED",IF($R823=-1,"OUTSIDE FY RANGE","OK"))))</f>
        <v/>
      </c>
      <c r="U823" s="40" t="str">
        <f aca="false">IF($A823="","",$B823&amp;"|"&amp;TEXT($A823,"yyyymmdd")&amp;"|"&amp;TEXT($I823,"0.00"))</f>
        <v/>
      </c>
      <c r="V823" s="35" t="str">
        <f aca="false">IF($A823="","",COUNTIF($U$8:$U$5007,$U823))</f>
        <v/>
      </c>
    </row>
    <row r="824" customFormat="false" ht="15" hidden="false" customHeight="false" outlineLevel="0" collapsed="false">
      <c r="A824" s="31"/>
      <c r="B824" s="32"/>
      <c r="C824" s="32"/>
      <c r="D824" s="32"/>
      <c r="E824" s="32"/>
      <c r="F824" s="32"/>
      <c r="G824" s="33"/>
      <c r="H824" s="33"/>
      <c r="I824" s="34" t="str">
        <f aca="false">IF($A824="","",$G824-$H824)</f>
        <v/>
      </c>
      <c r="J824" s="35" t="str">
        <f aca="false">IF($A824="","",IF(Setup!$B$6=1,YEAR($A824),YEAR($A824)+IF(MONTH($A824)&gt;=Setup!$B$6,1,0)))</f>
        <v/>
      </c>
      <c r="K824" s="35" t="str">
        <f aca="false">IF($A824="","",MOD(MONTH($A824)-Setup!$B$6+12,12)+1)</f>
        <v/>
      </c>
      <c r="L824" s="36" t="str">
        <f aca="false">IF($A824="","",TEXT($A824,"MMM-YY"))</f>
        <v/>
      </c>
      <c r="M824" s="37" t="str">
        <f aca="false">IF($A824="","",IF($Q824=0,"UNMAPPED",INDEX(COA_Mapping!$C$7:$C$256,$Q824)))</f>
        <v/>
      </c>
      <c r="N824" s="38" t="str">
        <f aca="false">IF($A824="","",IF($Q824=0,"",INDEX(COA_Mapping!$E$7:$E$256,$Q824)))</f>
        <v/>
      </c>
      <c r="O824" s="38" t="n">
        <f aca="false">IF($A824="",1,IF($Q824=0,1,INDEX(COA_Mapping!$F$7:$F$256,$Q824)))</f>
        <v>1</v>
      </c>
      <c r="P824" s="34" t="str">
        <f aca="false">IF($A824="","",$I824*$O824)</f>
        <v/>
      </c>
      <c r="Q824" s="39" t="n">
        <f aca="false">IF($B824="",0,IFERROR(MATCH($B824,COA_Mapping!$A$7:$A$256,0),0))</f>
        <v>0</v>
      </c>
      <c r="R824" s="39" t="n">
        <f aca="false">IF($A824="",-1,IF($J824=Setup!$B$7,1,IF($J824=Setup!$B$9,0,-1)))</f>
        <v>-1</v>
      </c>
      <c r="S824" s="35" t="n">
        <f aca="false">IF(OR($A824="",$Q824=0,$R824=-1),0,$Q824*1000+$R824*100+$K824)</f>
        <v>0</v>
      </c>
      <c r="T824" s="37" t="str">
        <f aca="false">IF($A824="","",IF($B824="","NO ACCOUNT",IF($Q824=0,"UNMAPPED",IF($R824=-1,"OUTSIDE FY RANGE","OK"))))</f>
        <v/>
      </c>
      <c r="U824" s="40" t="str">
        <f aca="false">IF($A824="","",$B824&amp;"|"&amp;TEXT($A824,"yyyymmdd")&amp;"|"&amp;TEXT($I824,"0.00"))</f>
        <v/>
      </c>
      <c r="V824" s="35" t="str">
        <f aca="false">IF($A824="","",COUNTIF($U$8:$U$5007,$U824))</f>
        <v/>
      </c>
    </row>
    <row r="825" customFormat="false" ht="15" hidden="false" customHeight="false" outlineLevel="0" collapsed="false">
      <c r="A825" s="31"/>
      <c r="B825" s="32"/>
      <c r="C825" s="32"/>
      <c r="D825" s="32"/>
      <c r="E825" s="32"/>
      <c r="F825" s="32"/>
      <c r="G825" s="33"/>
      <c r="H825" s="33"/>
      <c r="I825" s="34" t="str">
        <f aca="false">IF($A825="","",$G825-$H825)</f>
        <v/>
      </c>
      <c r="J825" s="35" t="str">
        <f aca="false">IF($A825="","",IF(Setup!$B$6=1,YEAR($A825),YEAR($A825)+IF(MONTH($A825)&gt;=Setup!$B$6,1,0)))</f>
        <v/>
      </c>
      <c r="K825" s="35" t="str">
        <f aca="false">IF($A825="","",MOD(MONTH($A825)-Setup!$B$6+12,12)+1)</f>
        <v/>
      </c>
      <c r="L825" s="36" t="str">
        <f aca="false">IF($A825="","",TEXT($A825,"MMM-YY"))</f>
        <v/>
      </c>
      <c r="M825" s="37" t="str">
        <f aca="false">IF($A825="","",IF($Q825=0,"UNMAPPED",INDEX(COA_Mapping!$C$7:$C$256,$Q825)))</f>
        <v/>
      </c>
      <c r="N825" s="38" t="str">
        <f aca="false">IF($A825="","",IF($Q825=0,"",INDEX(COA_Mapping!$E$7:$E$256,$Q825)))</f>
        <v/>
      </c>
      <c r="O825" s="38" t="n">
        <f aca="false">IF($A825="",1,IF($Q825=0,1,INDEX(COA_Mapping!$F$7:$F$256,$Q825)))</f>
        <v>1</v>
      </c>
      <c r="P825" s="34" t="str">
        <f aca="false">IF($A825="","",$I825*$O825)</f>
        <v/>
      </c>
      <c r="Q825" s="39" t="n">
        <f aca="false">IF($B825="",0,IFERROR(MATCH($B825,COA_Mapping!$A$7:$A$256,0),0))</f>
        <v>0</v>
      </c>
      <c r="R825" s="39" t="n">
        <f aca="false">IF($A825="",-1,IF($J825=Setup!$B$7,1,IF($J825=Setup!$B$9,0,-1)))</f>
        <v>-1</v>
      </c>
      <c r="S825" s="35" t="n">
        <f aca="false">IF(OR($A825="",$Q825=0,$R825=-1),0,$Q825*1000+$R825*100+$K825)</f>
        <v>0</v>
      </c>
      <c r="T825" s="37" t="str">
        <f aca="false">IF($A825="","",IF($B825="","NO ACCOUNT",IF($Q825=0,"UNMAPPED",IF($R825=-1,"OUTSIDE FY RANGE","OK"))))</f>
        <v/>
      </c>
      <c r="U825" s="40" t="str">
        <f aca="false">IF($A825="","",$B825&amp;"|"&amp;TEXT($A825,"yyyymmdd")&amp;"|"&amp;TEXT($I825,"0.00"))</f>
        <v/>
      </c>
      <c r="V825" s="35" t="str">
        <f aca="false">IF($A825="","",COUNTIF($U$8:$U$5007,$U825))</f>
        <v/>
      </c>
    </row>
    <row r="826" customFormat="false" ht="15" hidden="false" customHeight="false" outlineLevel="0" collapsed="false">
      <c r="A826" s="31"/>
      <c r="B826" s="32"/>
      <c r="C826" s="32"/>
      <c r="D826" s="32"/>
      <c r="E826" s="32"/>
      <c r="F826" s="32"/>
      <c r="G826" s="33"/>
      <c r="H826" s="33"/>
      <c r="I826" s="34" t="str">
        <f aca="false">IF($A826="","",$G826-$H826)</f>
        <v/>
      </c>
      <c r="J826" s="35" t="str">
        <f aca="false">IF($A826="","",IF(Setup!$B$6=1,YEAR($A826),YEAR($A826)+IF(MONTH($A826)&gt;=Setup!$B$6,1,0)))</f>
        <v/>
      </c>
      <c r="K826" s="35" t="str">
        <f aca="false">IF($A826="","",MOD(MONTH($A826)-Setup!$B$6+12,12)+1)</f>
        <v/>
      </c>
      <c r="L826" s="36" t="str">
        <f aca="false">IF($A826="","",TEXT($A826,"MMM-YY"))</f>
        <v/>
      </c>
      <c r="M826" s="37" t="str">
        <f aca="false">IF($A826="","",IF($Q826=0,"UNMAPPED",INDEX(COA_Mapping!$C$7:$C$256,$Q826)))</f>
        <v/>
      </c>
      <c r="N826" s="38" t="str">
        <f aca="false">IF($A826="","",IF($Q826=0,"",INDEX(COA_Mapping!$E$7:$E$256,$Q826)))</f>
        <v/>
      </c>
      <c r="O826" s="38" t="n">
        <f aca="false">IF($A826="",1,IF($Q826=0,1,INDEX(COA_Mapping!$F$7:$F$256,$Q826)))</f>
        <v>1</v>
      </c>
      <c r="P826" s="34" t="str">
        <f aca="false">IF($A826="","",$I826*$O826)</f>
        <v/>
      </c>
      <c r="Q826" s="39" t="n">
        <f aca="false">IF($B826="",0,IFERROR(MATCH($B826,COA_Mapping!$A$7:$A$256,0),0))</f>
        <v>0</v>
      </c>
      <c r="R826" s="39" t="n">
        <f aca="false">IF($A826="",-1,IF($J826=Setup!$B$7,1,IF($J826=Setup!$B$9,0,-1)))</f>
        <v>-1</v>
      </c>
      <c r="S826" s="35" t="n">
        <f aca="false">IF(OR($A826="",$Q826=0,$R826=-1),0,$Q826*1000+$R826*100+$K826)</f>
        <v>0</v>
      </c>
      <c r="T826" s="37" t="str">
        <f aca="false">IF($A826="","",IF($B826="","NO ACCOUNT",IF($Q826=0,"UNMAPPED",IF($R826=-1,"OUTSIDE FY RANGE","OK"))))</f>
        <v/>
      </c>
      <c r="U826" s="40" t="str">
        <f aca="false">IF($A826="","",$B826&amp;"|"&amp;TEXT($A826,"yyyymmdd")&amp;"|"&amp;TEXT($I826,"0.00"))</f>
        <v/>
      </c>
      <c r="V826" s="35" t="str">
        <f aca="false">IF($A826="","",COUNTIF($U$8:$U$5007,$U826))</f>
        <v/>
      </c>
    </row>
    <row r="827" customFormat="false" ht="15" hidden="false" customHeight="false" outlineLevel="0" collapsed="false">
      <c r="A827" s="31"/>
      <c r="B827" s="32"/>
      <c r="C827" s="32"/>
      <c r="D827" s="32"/>
      <c r="E827" s="32"/>
      <c r="F827" s="32"/>
      <c r="G827" s="33"/>
      <c r="H827" s="33"/>
      <c r="I827" s="34" t="str">
        <f aca="false">IF($A827="","",$G827-$H827)</f>
        <v/>
      </c>
      <c r="J827" s="35" t="str">
        <f aca="false">IF($A827="","",IF(Setup!$B$6=1,YEAR($A827),YEAR($A827)+IF(MONTH($A827)&gt;=Setup!$B$6,1,0)))</f>
        <v/>
      </c>
      <c r="K827" s="35" t="str">
        <f aca="false">IF($A827="","",MOD(MONTH($A827)-Setup!$B$6+12,12)+1)</f>
        <v/>
      </c>
      <c r="L827" s="36" t="str">
        <f aca="false">IF($A827="","",TEXT($A827,"MMM-YY"))</f>
        <v/>
      </c>
      <c r="M827" s="37" t="str">
        <f aca="false">IF($A827="","",IF($Q827=0,"UNMAPPED",INDEX(COA_Mapping!$C$7:$C$256,$Q827)))</f>
        <v/>
      </c>
      <c r="N827" s="38" t="str">
        <f aca="false">IF($A827="","",IF($Q827=0,"",INDEX(COA_Mapping!$E$7:$E$256,$Q827)))</f>
        <v/>
      </c>
      <c r="O827" s="38" t="n">
        <f aca="false">IF($A827="",1,IF($Q827=0,1,INDEX(COA_Mapping!$F$7:$F$256,$Q827)))</f>
        <v>1</v>
      </c>
      <c r="P827" s="34" t="str">
        <f aca="false">IF($A827="","",$I827*$O827)</f>
        <v/>
      </c>
      <c r="Q827" s="39" t="n">
        <f aca="false">IF($B827="",0,IFERROR(MATCH($B827,COA_Mapping!$A$7:$A$256,0),0))</f>
        <v>0</v>
      </c>
      <c r="R827" s="39" t="n">
        <f aca="false">IF($A827="",-1,IF($J827=Setup!$B$7,1,IF($J827=Setup!$B$9,0,-1)))</f>
        <v>-1</v>
      </c>
      <c r="S827" s="35" t="n">
        <f aca="false">IF(OR($A827="",$Q827=0,$R827=-1),0,$Q827*1000+$R827*100+$K827)</f>
        <v>0</v>
      </c>
      <c r="T827" s="37" t="str">
        <f aca="false">IF($A827="","",IF($B827="","NO ACCOUNT",IF($Q827=0,"UNMAPPED",IF($R827=-1,"OUTSIDE FY RANGE","OK"))))</f>
        <v/>
      </c>
      <c r="U827" s="40" t="str">
        <f aca="false">IF($A827="","",$B827&amp;"|"&amp;TEXT($A827,"yyyymmdd")&amp;"|"&amp;TEXT($I827,"0.00"))</f>
        <v/>
      </c>
      <c r="V827" s="35" t="str">
        <f aca="false">IF($A827="","",COUNTIF($U$8:$U$5007,$U827))</f>
        <v/>
      </c>
    </row>
    <row r="828" customFormat="false" ht="15" hidden="false" customHeight="false" outlineLevel="0" collapsed="false">
      <c r="A828" s="31"/>
      <c r="B828" s="32"/>
      <c r="C828" s="32"/>
      <c r="D828" s="32"/>
      <c r="E828" s="32"/>
      <c r="F828" s="32"/>
      <c r="G828" s="33"/>
      <c r="H828" s="33"/>
      <c r="I828" s="34" t="str">
        <f aca="false">IF($A828="","",$G828-$H828)</f>
        <v/>
      </c>
      <c r="J828" s="35" t="str">
        <f aca="false">IF($A828="","",IF(Setup!$B$6=1,YEAR($A828),YEAR($A828)+IF(MONTH($A828)&gt;=Setup!$B$6,1,0)))</f>
        <v/>
      </c>
      <c r="K828" s="35" t="str">
        <f aca="false">IF($A828="","",MOD(MONTH($A828)-Setup!$B$6+12,12)+1)</f>
        <v/>
      </c>
      <c r="L828" s="36" t="str">
        <f aca="false">IF($A828="","",TEXT($A828,"MMM-YY"))</f>
        <v/>
      </c>
      <c r="M828" s="37" t="str">
        <f aca="false">IF($A828="","",IF($Q828=0,"UNMAPPED",INDEX(COA_Mapping!$C$7:$C$256,$Q828)))</f>
        <v/>
      </c>
      <c r="N828" s="38" t="str">
        <f aca="false">IF($A828="","",IF($Q828=0,"",INDEX(COA_Mapping!$E$7:$E$256,$Q828)))</f>
        <v/>
      </c>
      <c r="O828" s="38" t="n">
        <f aca="false">IF($A828="",1,IF($Q828=0,1,INDEX(COA_Mapping!$F$7:$F$256,$Q828)))</f>
        <v>1</v>
      </c>
      <c r="P828" s="34" t="str">
        <f aca="false">IF($A828="","",$I828*$O828)</f>
        <v/>
      </c>
      <c r="Q828" s="39" t="n">
        <f aca="false">IF($B828="",0,IFERROR(MATCH($B828,COA_Mapping!$A$7:$A$256,0),0))</f>
        <v>0</v>
      </c>
      <c r="R828" s="39" t="n">
        <f aca="false">IF($A828="",-1,IF($J828=Setup!$B$7,1,IF($J828=Setup!$B$9,0,-1)))</f>
        <v>-1</v>
      </c>
      <c r="S828" s="35" t="n">
        <f aca="false">IF(OR($A828="",$Q828=0,$R828=-1),0,$Q828*1000+$R828*100+$K828)</f>
        <v>0</v>
      </c>
      <c r="T828" s="37" t="str">
        <f aca="false">IF($A828="","",IF($B828="","NO ACCOUNT",IF($Q828=0,"UNMAPPED",IF($R828=-1,"OUTSIDE FY RANGE","OK"))))</f>
        <v/>
      </c>
      <c r="U828" s="40" t="str">
        <f aca="false">IF($A828="","",$B828&amp;"|"&amp;TEXT($A828,"yyyymmdd")&amp;"|"&amp;TEXT($I828,"0.00"))</f>
        <v/>
      </c>
      <c r="V828" s="35" t="str">
        <f aca="false">IF($A828="","",COUNTIF($U$8:$U$5007,$U828))</f>
        <v/>
      </c>
    </row>
    <row r="829" customFormat="false" ht="15" hidden="false" customHeight="false" outlineLevel="0" collapsed="false">
      <c r="A829" s="31"/>
      <c r="B829" s="32"/>
      <c r="C829" s="32"/>
      <c r="D829" s="32"/>
      <c r="E829" s="32"/>
      <c r="F829" s="32"/>
      <c r="G829" s="33"/>
      <c r="H829" s="33"/>
      <c r="I829" s="34" t="str">
        <f aca="false">IF($A829="","",$G829-$H829)</f>
        <v/>
      </c>
      <c r="J829" s="35" t="str">
        <f aca="false">IF($A829="","",IF(Setup!$B$6=1,YEAR($A829),YEAR($A829)+IF(MONTH($A829)&gt;=Setup!$B$6,1,0)))</f>
        <v/>
      </c>
      <c r="K829" s="35" t="str">
        <f aca="false">IF($A829="","",MOD(MONTH($A829)-Setup!$B$6+12,12)+1)</f>
        <v/>
      </c>
      <c r="L829" s="36" t="str">
        <f aca="false">IF($A829="","",TEXT($A829,"MMM-YY"))</f>
        <v/>
      </c>
      <c r="M829" s="37" t="str">
        <f aca="false">IF($A829="","",IF($Q829=0,"UNMAPPED",INDEX(COA_Mapping!$C$7:$C$256,$Q829)))</f>
        <v/>
      </c>
      <c r="N829" s="38" t="str">
        <f aca="false">IF($A829="","",IF($Q829=0,"",INDEX(COA_Mapping!$E$7:$E$256,$Q829)))</f>
        <v/>
      </c>
      <c r="O829" s="38" t="n">
        <f aca="false">IF($A829="",1,IF($Q829=0,1,INDEX(COA_Mapping!$F$7:$F$256,$Q829)))</f>
        <v>1</v>
      </c>
      <c r="P829" s="34" t="str">
        <f aca="false">IF($A829="","",$I829*$O829)</f>
        <v/>
      </c>
      <c r="Q829" s="39" t="n">
        <f aca="false">IF($B829="",0,IFERROR(MATCH($B829,COA_Mapping!$A$7:$A$256,0),0))</f>
        <v>0</v>
      </c>
      <c r="R829" s="39" t="n">
        <f aca="false">IF($A829="",-1,IF($J829=Setup!$B$7,1,IF($J829=Setup!$B$9,0,-1)))</f>
        <v>-1</v>
      </c>
      <c r="S829" s="35" t="n">
        <f aca="false">IF(OR($A829="",$Q829=0,$R829=-1),0,$Q829*1000+$R829*100+$K829)</f>
        <v>0</v>
      </c>
      <c r="T829" s="37" t="str">
        <f aca="false">IF($A829="","",IF($B829="","NO ACCOUNT",IF($Q829=0,"UNMAPPED",IF($R829=-1,"OUTSIDE FY RANGE","OK"))))</f>
        <v/>
      </c>
      <c r="U829" s="40" t="str">
        <f aca="false">IF($A829="","",$B829&amp;"|"&amp;TEXT($A829,"yyyymmdd")&amp;"|"&amp;TEXT($I829,"0.00"))</f>
        <v/>
      </c>
      <c r="V829" s="35" t="str">
        <f aca="false">IF($A829="","",COUNTIF($U$8:$U$5007,$U829))</f>
        <v/>
      </c>
    </row>
    <row r="830" customFormat="false" ht="15" hidden="false" customHeight="false" outlineLevel="0" collapsed="false">
      <c r="A830" s="31"/>
      <c r="B830" s="32"/>
      <c r="C830" s="32"/>
      <c r="D830" s="32"/>
      <c r="E830" s="32"/>
      <c r="F830" s="32"/>
      <c r="G830" s="33"/>
      <c r="H830" s="33"/>
      <c r="I830" s="34" t="str">
        <f aca="false">IF($A830="","",$G830-$H830)</f>
        <v/>
      </c>
      <c r="J830" s="35" t="str">
        <f aca="false">IF($A830="","",IF(Setup!$B$6=1,YEAR($A830),YEAR($A830)+IF(MONTH($A830)&gt;=Setup!$B$6,1,0)))</f>
        <v/>
      </c>
      <c r="K830" s="35" t="str">
        <f aca="false">IF($A830="","",MOD(MONTH($A830)-Setup!$B$6+12,12)+1)</f>
        <v/>
      </c>
      <c r="L830" s="36" t="str">
        <f aca="false">IF($A830="","",TEXT($A830,"MMM-YY"))</f>
        <v/>
      </c>
      <c r="M830" s="37" t="str">
        <f aca="false">IF($A830="","",IF($Q830=0,"UNMAPPED",INDEX(COA_Mapping!$C$7:$C$256,$Q830)))</f>
        <v/>
      </c>
      <c r="N830" s="38" t="str">
        <f aca="false">IF($A830="","",IF($Q830=0,"",INDEX(COA_Mapping!$E$7:$E$256,$Q830)))</f>
        <v/>
      </c>
      <c r="O830" s="38" t="n">
        <f aca="false">IF($A830="",1,IF($Q830=0,1,INDEX(COA_Mapping!$F$7:$F$256,$Q830)))</f>
        <v>1</v>
      </c>
      <c r="P830" s="34" t="str">
        <f aca="false">IF($A830="","",$I830*$O830)</f>
        <v/>
      </c>
      <c r="Q830" s="39" t="n">
        <f aca="false">IF($B830="",0,IFERROR(MATCH($B830,COA_Mapping!$A$7:$A$256,0),0))</f>
        <v>0</v>
      </c>
      <c r="R830" s="39" t="n">
        <f aca="false">IF($A830="",-1,IF($J830=Setup!$B$7,1,IF($J830=Setup!$B$9,0,-1)))</f>
        <v>-1</v>
      </c>
      <c r="S830" s="35" t="n">
        <f aca="false">IF(OR($A830="",$Q830=0,$R830=-1),0,$Q830*1000+$R830*100+$K830)</f>
        <v>0</v>
      </c>
      <c r="T830" s="37" t="str">
        <f aca="false">IF($A830="","",IF($B830="","NO ACCOUNT",IF($Q830=0,"UNMAPPED",IF($R830=-1,"OUTSIDE FY RANGE","OK"))))</f>
        <v/>
      </c>
      <c r="U830" s="40" t="str">
        <f aca="false">IF($A830="","",$B830&amp;"|"&amp;TEXT($A830,"yyyymmdd")&amp;"|"&amp;TEXT($I830,"0.00"))</f>
        <v/>
      </c>
      <c r="V830" s="35" t="str">
        <f aca="false">IF($A830="","",COUNTIF($U$8:$U$5007,$U830))</f>
        <v/>
      </c>
    </row>
    <row r="831" customFormat="false" ht="15" hidden="false" customHeight="false" outlineLevel="0" collapsed="false">
      <c r="A831" s="31"/>
      <c r="B831" s="32"/>
      <c r="C831" s="32"/>
      <c r="D831" s="32"/>
      <c r="E831" s="32"/>
      <c r="F831" s="32"/>
      <c r="G831" s="33"/>
      <c r="H831" s="33"/>
      <c r="I831" s="34" t="str">
        <f aca="false">IF($A831="","",$G831-$H831)</f>
        <v/>
      </c>
      <c r="J831" s="35" t="str">
        <f aca="false">IF($A831="","",IF(Setup!$B$6=1,YEAR($A831),YEAR($A831)+IF(MONTH($A831)&gt;=Setup!$B$6,1,0)))</f>
        <v/>
      </c>
      <c r="K831" s="35" t="str">
        <f aca="false">IF($A831="","",MOD(MONTH($A831)-Setup!$B$6+12,12)+1)</f>
        <v/>
      </c>
      <c r="L831" s="36" t="str">
        <f aca="false">IF($A831="","",TEXT($A831,"MMM-YY"))</f>
        <v/>
      </c>
      <c r="M831" s="37" t="str">
        <f aca="false">IF($A831="","",IF($Q831=0,"UNMAPPED",INDEX(COA_Mapping!$C$7:$C$256,$Q831)))</f>
        <v/>
      </c>
      <c r="N831" s="38" t="str">
        <f aca="false">IF($A831="","",IF($Q831=0,"",INDEX(COA_Mapping!$E$7:$E$256,$Q831)))</f>
        <v/>
      </c>
      <c r="O831" s="38" t="n">
        <f aca="false">IF($A831="",1,IF($Q831=0,1,INDEX(COA_Mapping!$F$7:$F$256,$Q831)))</f>
        <v>1</v>
      </c>
      <c r="P831" s="34" t="str">
        <f aca="false">IF($A831="","",$I831*$O831)</f>
        <v/>
      </c>
      <c r="Q831" s="39" t="n">
        <f aca="false">IF($B831="",0,IFERROR(MATCH($B831,COA_Mapping!$A$7:$A$256,0),0))</f>
        <v>0</v>
      </c>
      <c r="R831" s="39" t="n">
        <f aca="false">IF($A831="",-1,IF($J831=Setup!$B$7,1,IF($J831=Setup!$B$9,0,-1)))</f>
        <v>-1</v>
      </c>
      <c r="S831" s="35" t="n">
        <f aca="false">IF(OR($A831="",$Q831=0,$R831=-1),0,$Q831*1000+$R831*100+$K831)</f>
        <v>0</v>
      </c>
      <c r="T831" s="37" t="str">
        <f aca="false">IF($A831="","",IF($B831="","NO ACCOUNT",IF($Q831=0,"UNMAPPED",IF($R831=-1,"OUTSIDE FY RANGE","OK"))))</f>
        <v/>
      </c>
      <c r="U831" s="40" t="str">
        <f aca="false">IF($A831="","",$B831&amp;"|"&amp;TEXT($A831,"yyyymmdd")&amp;"|"&amp;TEXT($I831,"0.00"))</f>
        <v/>
      </c>
      <c r="V831" s="35" t="str">
        <f aca="false">IF($A831="","",COUNTIF($U$8:$U$5007,$U831))</f>
        <v/>
      </c>
    </row>
    <row r="832" customFormat="false" ht="15" hidden="false" customHeight="false" outlineLevel="0" collapsed="false">
      <c r="A832" s="31"/>
      <c r="B832" s="32"/>
      <c r="C832" s="32"/>
      <c r="D832" s="32"/>
      <c r="E832" s="32"/>
      <c r="F832" s="32"/>
      <c r="G832" s="33"/>
      <c r="H832" s="33"/>
      <c r="I832" s="34" t="str">
        <f aca="false">IF($A832="","",$G832-$H832)</f>
        <v/>
      </c>
      <c r="J832" s="35" t="str">
        <f aca="false">IF($A832="","",IF(Setup!$B$6=1,YEAR($A832),YEAR($A832)+IF(MONTH($A832)&gt;=Setup!$B$6,1,0)))</f>
        <v/>
      </c>
      <c r="K832" s="35" t="str">
        <f aca="false">IF($A832="","",MOD(MONTH($A832)-Setup!$B$6+12,12)+1)</f>
        <v/>
      </c>
      <c r="L832" s="36" t="str">
        <f aca="false">IF($A832="","",TEXT($A832,"MMM-YY"))</f>
        <v/>
      </c>
      <c r="M832" s="37" t="str">
        <f aca="false">IF($A832="","",IF($Q832=0,"UNMAPPED",INDEX(COA_Mapping!$C$7:$C$256,$Q832)))</f>
        <v/>
      </c>
      <c r="N832" s="38" t="str">
        <f aca="false">IF($A832="","",IF($Q832=0,"",INDEX(COA_Mapping!$E$7:$E$256,$Q832)))</f>
        <v/>
      </c>
      <c r="O832" s="38" t="n">
        <f aca="false">IF($A832="",1,IF($Q832=0,1,INDEX(COA_Mapping!$F$7:$F$256,$Q832)))</f>
        <v>1</v>
      </c>
      <c r="P832" s="34" t="str">
        <f aca="false">IF($A832="","",$I832*$O832)</f>
        <v/>
      </c>
      <c r="Q832" s="39" t="n">
        <f aca="false">IF($B832="",0,IFERROR(MATCH($B832,COA_Mapping!$A$7:$A$256,0),0))</f>
        <v>0</v>
      </c>
      <c r="R832" s="39" t="n">
        <f aca="false">IF($A832="",-1,IF($J832=Setup!$B$7,1,IF($J832=Setup!$B$9,0,-1)))</f>
        <v>-1</v>
      </c>
      <c r="S832" s="35" t="n">
        <f aca="false">IF(OR($A832="",$Q832=0,$R832=-1),0,$Q832*1000+$R832*100+$K832)</f>
        <v>0</v>
      </c>
      <c r="T832" s="37" t="str">
        <f aca="false">IF($A832="","",IF($B832="","NO ACCOUNT",IF($Q832=0,"UNMAPPED",IF($R832=-1,"OUTSIDE FY RANGE","OK"))))</f>
        <v/>
      </c>
      <c r="U832" s="40" t="str">
        <f aca="false">IF($A832="","",$B832&amp;"|"&amp;TEXT($A832,"yyyymmdd")&amp;"|"&amp;TEXT($I832,"0.00"))</f>
        <v/>
      </c>
      <c r="V832" s="35" t="str">
        <f aca="false">IF($A832="","",COUNTIF($U$8:$U$5007,$U832))</f>
        <v/>
      </c>
    </row>
    <row r="833" customFormat="false" ht="15" hidden="false" customHeight="false" outlineLevel="0" collapsed="false">
      <c r="A833" s="31"/>
      <c r="B833" s="32"/>
      <c r="C833" s="32"/>
      <c r="D833" s="32"/>
      <c r="E833" s="32"/>
      <c r="F833" s="32"/>
      <c r="G833" s="33"/>
      <c r="H833" s="33"/>
      <c r="I833" s="34" t="str">
        <f aca="false">IF($A833="","",$G833-$H833)</f>
        <v/>
      </c>
      <c r="J833" s="35" t="str">
        <f aca="false">IF($A833="","",IF(Setup!$B$6=1,YEAR($A833),YEAR($A833)+IF(MONTH($A833)&gt;=Setup!$B$6,1,0)))</f>
        <v/>
      </c>
      <c r="K833" s="35" t="str">
        <f aca="false">IF($A833="","",MOD(MONTH($A833)-Setup!$B$6+12,12)+1)</f>
        <v/>
      </c>
      <c r="L833" s="36" t="str">
        <f aca="false">IF($A833="","",TEXT($A833,"MMM-YY"))</f>
        <v/>
      </c>
      <c r="M833" s="37" t="str">
        <f aca="false">IF($A833="","",IF($Q833=0,"UNMAPPED",INDEX(COA_Mapping!$C$7:$C$256,$Q833)))</f>
        <v/>
      </c>
      <c r="N833" s="38" t="str">
        <f aca="false">IF($A833="","",IF($Q833=0,"",INDEX(COA_Mapping!$E$7:$E$256,$Q833)))</f>
        <v/>
      </c>
      <c r="O833" s="38" t="n">
        <f aca="false">IF($A833="",1,IF($Q833=0,1,INDEX(COA_Mapping!$F$7:$F$256,$Q833)))</f>
        <v>1</v>
      </c>
      <c r="P833" s="34" t="str">
        <f aca="false">IF($A833="","",$I833*$O833)</f>
        <v/>
      </c>
      <c r="Q833" s="39" t="n">
        <f aca="false">IF($B833="",0,IFERROR(MATCH($B833,COA_Mapping!$A$7:$A$256,0),0))</f>
        <v>0</v>
      </c>
      <c r="R833" s="39" t="n">
        <f aca="false">IF($A833="",-1,IF($J833=Setup!$B$7,1,IF($J833=Setup!$B$9,0,-1)))</f>
        <v>-1</v>
      </c>
      <c r="S833" s="35" t="n">
        <f aca="false">IF(OR($A833="",$Q833=0,$R833=-1),0,$Q833*1000+$R833*100+$K833)</f>
        <v>0</v>
      </c>
      <c r="T833" s="37" t="str">
        <f aca="false">IF($A833="","",IF($B833="","NO ACCOUNT",IF($Q833=0,"UNMAPPED",IF($R833=-1,"OUTSIDE FY RANGE","OK"))))</f>
        <v/>
      </c>
      <c r="U833" s="40" t="str">
        <f aca="false">IF($A833="","",$B833&amp;"|"&amp;TEXT($A833,"yyyymmdd")&amp;"|"&amp;TEXT($I833,"0.00"))</f>
        <v/>
      </c>
      <c r="V833" s="35" t="str">
        <f aca="false">IF($A833="","",COUNTIF($U$8:$U$5007,$U833))</f>
        <v/>
      </c>
    </row>
    <row r="834" customFormat="false" ht="15" hidden="false" customHeight="false" outlineLevel="0" collapsed="false">
      <c r="A834" s="31"/>
      <c r="B834" s="32"/>
      <c r="C834" s="32"/>
      <c r="D834" s="32"/>
      <c r="E834" s="32"/>
      <c r="F834" s="32"/>
      <c r="G834" s="33"/>
      <c r="H834" s="33"/>
      <c r="I834" s="34" t="str">
        <f aca="false">IF($A834="","",$G834-$H834)</f>
        <v/>
      </c>
      <c r="J834" s="35" t="str">
        <f aca="false">IF($A834="","",IF(Setup!$B$6=1,YEAR($A834),YEAR($A834)+IF(MONTH($A834)&gt;=Setup!$B$6,1,0)))</f>
        <v/>
      </c>
      <c r="K834" s="35" t="str">
        <f aca="false">IF($A834="","",MOD(MONTH($A834)-Setup!$B$6+12,12)+1)</f>
        <v/>
      </c>
      <c r="L834" s="36" t="str">
        <f aca="false">IF($A834="","",TEXT($A834,"MMM-YY"))</f>
        <v/>
      </c>
      <c r="M834" s="37" t="str">
        <f aca="false">IF($A834="","",IF($Q834=0,"UNMAPPED",INDEX(COA_Mapping!$C$7:$C$256,$Q834)))</f>
        <v/>
      </c>
      <c r="N834" s="38" t="str">
        <f aca="false">IF($A834="","",IF($Q834=0,"",INDEX(COA_Mapping!$E$7:$E$256,$Q834)))</f>
        <v/>
      </c>
      <c r="O834" s="38" t="n">
        <f aca="false">IF($A834="",1,IF($Q834=0,1,INDEX(COA_Mapping!$F$7:$F$256,$Q834)))</f>
        <v>1</v>
      </c>
      <c r="P834" s="34" t="str">
        <f aca="false">IF($A834="","",$I834*$O834)</f>
        <v/>
      </c>
      <c r="Q834" s="39" t="n">
        <f aca="false">IF($B834="",0,IFERROR(MATCH($B834,COA_Mapping!$A$7:$A$256,0),0))</f>
        <v>0</v>
      </c>
      <c r="R834" s="39" t="n">
        <f aca="false">IF($A834="",-1,IF($J834=Setup!$B$7,1,IF($J834=Setup!$B$9,0,-1)))</f>
        <v>-1</v>
      </c>
      <c r="S834" s="35" t="n">
        <f aca="false">IF(OR($A834="",$Q834=0,$R834=-1),0,$Q834*1000+$R834*100+$K834)</f>
        <v>0</v>
      </c>
      <c r="T834" s="37" t="str">
        <f aca="false">IF($A834="","",IF($B834="","NO ACCOUNT",IF($Q834=0,"UNMAPPED",IF($R834=-1,"OUTSIDE FY RANGE","OK"))))</f>
        <v/>
      </c>
      <c r="U834" s="40" t="str">
        <f aca="false">IF($A834="","",$B834&amp;"|"&amp;TEXT($A834,"yyyymmdd")&amp;"|"&amp;TEXT($I834,"0.00"))</f>
        <v/>
      </c>
      <c r="V834" s="35" t="str">
        <f aca="false">IF($A834="","",COUNTIF($U$8:$U$5007,$U834))</f>
        <v/>
      </c>
    </row>
    <row r="835" customFormat="false" ht="15" hidden="false" customHeight="false" outlineLevel="0" collapsed="false">
      <c r="A835" s="31"/>
      <c r="B835" s="32"/>
      <c r="C835" s="32"/>
      <c r="D835" s="32"/>
      <c r="E835" s="32"/>
      <c r="F835" s="32"/>
      <c r="G835" s="33"/>
      <c r="H835" s="33"/>
      <c r="I835" s="34" t="str">
        <f aca="false">IF($A835="","",$G835-$H835)</f>
        <v/>
      </c>
      <c r="J835" s="35" t="str">
        <f aca="false">IF($A835="","",IF(Setup!$B$6=1,YEAR($A835),YEAR($A835)+IF(MONTH($A835)&gt;=Setup!$B$6,1,0)))</f>
        <v/>
      </c>
      <c r="K835" s="35" t="str">
        <f aca="false">IF($A835="","",MOD(MONTH($A835)-Setup!$B$6+12,12)+1)</f>
        <v/>
      </c>
      <c r="L835" s="36" t="str">
        <f aca="false">IF($A835="","",TEXT($A835,"MMM-YY"))</f>
        <v/>
      </c>
      <c r="M835" s="37" t="str">
        <f aca="false">IF($A835="","",IF($Q835=0,"UNMAPPED",INDEX(COA_Mapping!$C$7:$C$256,$Q835)))</f>
        <v/>
      </c>
      <c r="N835" s="38" t="str">
        <f aca="false">IF($A835="","",IF($Q835=0,"",INDEX(COA_Mapping!$E$7:$E$256,$Q835)))</f>
        <v/>
      </c>
      <c r="O835" s="38" t="n">
        <f aca="false">IF($A835="",1,IF($Q835=0,1,INDEX(COA_Mapping!$F$7:$F$256,$Q835)))</f>
        <v>1</v>
      </c>
      <c r="P835" s="34" t="str">
        <f aca="false">IF($A835="","",$I835*$O835)</f>
        <v/>
      </c>
      <c r="Q835" s="39" t="n">
        <f aca="false">IF($B835="",0,IFERROR(MATCH($B835,COA_Mapping!$A$7:$A$256,0),0))</f>
        <v>0</v>
      </c>
      <c r="R835" s="39" t="n">
        <f aca="false">IF($A835="",-1,IF($J835=Setup!$B$7,1,IF($J835=Setup!$B$9,0,-1)))</f>
        <v>-1</v>
      </c>
      <c r="S835" s="35" t="n">
        <f aca="false">IF(OR($A835="",$Q835=0,$R835=-1),0,$Q835*1000+$R835*100+$K835)</f>
        <v>0</v>
      </c>
      <c r="T835" s="37" t="str">
        <f aca="false">IF($A835="","",IF($B835="","NO ACCOUNT",IF($Q835=0,"UNMAPPED",IF($R835=-1,"OUTSIDE FY RANGE","OK"))))</f>
        <v/>
      </c>
      <c r="U835" s="40" t="str">
        <f aca="false">IF($A835="","",$B835&amp;"|"&amp;TEXT($A835,"yyyymmdd")&amp;"|"&amp;TEXT($I835,"0.00"))</f>
        <v/>
      </c>
      <c r="V835" s="35" t="str">
        <f aca="false">IF($A835="","",COUNTIF($U$8:$U$5007,$U835))</f>
        <v/>
      </c>
    </row>
    <row r="836" customFormat="false" ht="15" hidden="false" customHeight="false" outlineLevel="0" collapsed="false">
      <c r="A836" s="31"/>
      <c r="B836" s="32"/>
      <c r="C836" s="32"/>
      <c r="D836" s="32"/>
      <c r="E836" s="32"/>
      <c r="F836" s="32"/>
      <c r="G836" s="33"/>
      <c r="H836" s="33"/>
      <c r="I836" s="34" t="str">
        <f aca="false">IF($A836="","",$G836-$H836)</f>
        <v/>
      </c>
      <c r="J836" s="35" t="str">
        <f aca="false">IF($A836="","",IF(Setup!$B$6=1,YEAR($A836),YEAR($A836)+IF(MONTH($A836)&gt;=Setup!$B$6,1,0)))</f>
        <v/>
      </c>
      <c r="K836" s="35" t="str">
        <f aca="false">IF($A836="","",MOD(MONTH($A836)-Setup!$B$6+12,12)+1)</f>
        <v/>
      </c>
      <c r="L836" s="36" t="str">
        <f aca="false">IF($A836="","",TEXT($A836,"MMM-YY"))</f>
        <v/>
      </c>
      <c r="M836" s="37" t="str">
        <f aca="false">IF($A836="","",IF($Q836=0,"UNMAPPED",INDEX(COA_Mapping!$C$7:$C$256,$Q836)))</f>
        <v/>
      </c>
      <c r="N836" s="38" t="str">
        <f aca="false">IF($A836="","",IF($Q836=0,"",INDEX(COA_Mapping!$E$7:$E$256,$Q836)))</f>
        <v/>
      </c>
      <c r="O836" s="38" t="n">
        <f aca="false">IF($A836="",1,IF($Q836=0,1,INDEX(COA_Mapping!$F$7:$F$256,$Q836)))</f>
        <v>1</v>
      </c>
      <c r="P836" s="34" t="str">
        <f aca="false">IF($A836="","",$I836*$O836)</f>
        <v/>
      </c>
      <c r="Q836" s="39" t="n">
        <f aca="false">IF($B836="",0,IFERROR(MATCH($B836,COA_Mapping!$A$7:$A$256,0),0))</f>
        <v>0</v>
      </c>
      <c r="R836" s="39" t="n">
        <f aca="false">IF($A836="",-1,IF($J836=Setup!$B$7,1,IF($J836=Setup!$B$9,0,-1)))</f>
        <v>-1</v>
      </c>
      <c r="S836" s="35" t="n">
        <f aca="false">IF(OR($A836="",$Q836=0,$R836=-1),0,$Q836*1000+$R836*100+$K836)</f>
        <v>0</v>
      </c>
      <c r="T836" s="37" t="str">
        <f aca="false">IF($A836="","",IF($B836="","NO ACCOUNT",IF($Q836=0,"UNMAPPED",IF($R836=-1,"OUTSIDE FY RANGE","OK"))))</f>
        <v/>
      </c>
      <c r="U836" s="40" t="str">
        <f aca="false">IF($A836="","",$B836&amp;"|"&amp;TEXT($A836,"yyyymmdd")&amp;"|"&amp;TEXT($I836,"0.00"))</f>
        <v/>
      </c>
      <c r="V836" s="35" t="str">
        <f aca="false">IF($A836="","",COUNTIF($U$8:$U$5007,$U836))</f>
        <v/>
      </c>
    </row>
    <row r="837" customFormat="false" ht="15" hidden="false" customHeight="false" outlineLevel="0" collapsed="false">
      <c r="A837" s="31"/>
      <c r="B837" s="32"/>
      <c r="C837" s="32"/>
      <c r="D837" s="32"/>
      <c r="E837" s="32"/>
      <c r="F837" s="32"/>
      <c r="G837" s="33"/>
      <c r="H837" s="33"/>
      <c r="I837" s="34" t="str">
        <f aca="false">IF($A837="","",$G837-$H837)</f>
        <v/>
      </c>
      <c r="J837" s="35" t="str">
        <f aca="false">IF($A837="","",IF(Setup!$B$6=1,YEAR($A837),YEAR($A837)+IF(MONTH($A837)&gt;=Setup!$B$6,1,0)))</f>
        <v/>
      </c>
      <c r="K837" s="35" t="str">
        <f aca="false">IF($A837="","",MOD(MONTH($A837)-Setup!$B$6+12,12)+1)</f>
        <v/>
      </c>
      <c r="L837" s="36" t="str">
        <f aca="false">IF($A837="","",TEXT($A837,"MMM-YY"))</f>
        <v/>
      </c>
      <c r="M837" s="37" t="str">
        <f aca="false">IF($A837="","",IF($Q837=0,"UNMAPPED",INDEX(COA_Mapping!$C$7:$C$256,$Q837)))</f>
        <v/>
      </c>
      <c r="N837" s="38" t="str">
        <f aca="false">IF($A837="","",IF($Q837=0,"",INDEX(COA_Mapping!$E$7:$E$256,$Q837)))</f>
        <v/>
      </c>
      <c r="O837" s="38" t="n">
        <f aca="false">IF($A837="",1,IF($Q837=0,1,INDEX(COA_Mapping!$F$7:$F$256,$Q837)))</f>
        <v>1</v>
      </c>
      <c r="P837" s="34" t="str">
        <f aca="false">IF($A837="","",$I837*$O837)</f>
        <v/>
      </c>
      <c r="Q837" s="39" t="n">
        <f aca="false">IF($B837="",0,IFERROR(MATCH($B837,COA_Mapping!$A$7:$A$256,0),0))</f>
        <v>0</v>
      </c>
      <c r="R837" s="39" t="n">
        <f aca="false">IF($A837="",-1,IF($J837=Setup!$B$7,1,IF($J837=Setup!$B$9,0,-1)))</f>
        <v>-1</v>
      </c>
      <c r="S837" s="35" t="n">
        <f aca="false">IF(OR($A837="",$Q837=0,$R837=-1),0,$Q837*1000+$R837*100+$K837)</f>
        <v>0</v>
      </c>
      <c r="T837" s="37" t="str">
        <f aca="false">IF($A837="","",IF($B837="","NO ACCOUNT",IF($Q837=0,"UNMAPPED",IF($R837=-1,"OUTSIDE FY RANGE","OK"))))</f>
        <v/>
      </c>
      <c r="U837" s="40" t="str">
        <f aca="false">IF($A837="","",$B837&amp;"|"&amp;TEXT($A837,"yyyymmdd")&amp;"|"&amp;TEXT($I837,"0.00"))</f>
        <v/>
      </c>
      <c r="V837" s="35" t="str">
        <f aca="false">IF($A837="","",COUNTIF($U$8:$U$5007,$U837))</f>
        <v/>
      </c>
    </row>
    <row r="838" customFormat="false" ht="15" hidden="false" customHeight="false" outlineLevel="0" collapsed="false">
      <c r="A838" s="31"/>
      <c r="B838" s="32"/>
      <c r="C838" s="32"/>
      <c r="D838" s="32"/>
      <c r="E838" s="32"/>
      <c r="F838" s="32"/>
      <c r="G838" s="33"/>
      <c r="H838" s="33"/>
      <c r="I838" s="34" t="str">
        <f aca="false">IF($A838="","",$G838-$H838)</f>
        <v/>
      </c>
      <c r="J838" s="35" t="str">
        <f aca="false">IF($A838="","",IF(Setup!$B$6=1,YEAR($A838),YEAR($A838)+IF(MONTH($A838)&gt;=Setup!$B$6,1,0)))</f>
        <v/>
      </c>
      <c r="K838" s="35" t="str">
        <f aca="false">IF($A838="","",MOD(MONTH($A838)-Setup!$B$6+12,12)+1)</f>
        <v/>
      </c>
      <c r="L838" s="36" t="str">
        <f aca="false">IF($A838="","",TEXT($A838,"MMM-YY"))</f>
        <v/>
      </c>
      <c r="M838" s="37" t="str">
        <f aca="false">IF($A838="","",IF($Q838=0,"UNMAPPED",INDEX(COA_Mapping!$C$7:$C$256,$Q838)))</f>
        <v/>
      </c>
      <c r="N838" s="38" t="str">
        <f aca="false">IF($A838="","",IF($Q838=0,"",INDEX(COA_Mapping!$E$7:$E$256,$Q838)))</f>
        <v/>
      </c>
      <c r="O838" s="38" t="n">
        <f aca="false">IF($A838="",1,IF($Q838=0,1,INDEX(COA_Mapping!$F$7:$F$256,$Q838)))</f>
        <v>1</v>
      </c>
      <c r="P838" s="34" t="str">
        <f aca="false">IF($A838="","",$I838*$O838)</f>
        <v/>
      </c>
      <c r="Q838" s="39" t="n">
        <f aca="false">IF($B838="",0,IFERROR(MATCH($B838,COA_Mapping!$A$7:$A$256,0),0))</f>
        <v>0</v>
      </c>
      <c r="R838" s="39" t="n">
        <f aca="false">IF($A838="",-1,IF($J838=Setup!$B$7,1,IF($J838=Setup!$B$9,0,-1)))</f>
        <v>-1</v>
      </c>
      <c r="S838" s="35" t="n">
        <f aca="false">IF(OR($A838="",$Q838=0,$R838=-1),0,$Q838*1000+$R838*100+$K838)</f>
        <v>0</v>
      </c>
      <c r="T838" s="37" t="str">
        <f aca="false">IF($A838="","",IF($B838="","NO ACCOUNT",IF($Q838=0,"UNMAPPED",IF($R838=-1,"OUTSIDE FY RANGE","OK"))))</f>
        <v/>
      </c>
      <c r="U838" s="40" t="str">
        <f aca="false">IF($A838="","",$B838&amp;"|"&amp;TEXT($A838,"yyyymmdd")&amp;"|"&amp;TEXT($I838,"0.00"))</f>
        <v/>
      </c>
      <c r="V838" s="35" t="str">
        <f aca="false">IF($A838="","",COUNTIF($U$8:$U$5007,$U838))</f>
        <v/>
      </c>
    </row>
    <row r="839" customFormat="false" ht="15" hidden="false" customHeight="false" outlineLevel="0" collapsed="false">
      <c r="A839" s="31"/>
      <c r="B839" s="32"/>
      <c r="C839" s="32"/>
      <c r="D839" s="32"/>
      <c r="E839" s="32"/>
      <c r="F839" s="32"/>
      <c r="G839" s="33"/>
      <c r="H839" s="33"/>
      <c r="I839" s="34" t="str">
        <f aca="false">IF($A839="","",$G839-$H839)</f>
        <v/>
      </c>
      <c r="J839" s="35" t="str">
        <f aca="false">IF($A839="","",IF(Setup!$B$6=1,YEAR($A839),YEAR($A839)+IF(MONTH($A839)&gt;=Setup!$B$6,1,0)))</f>
        <v/>
      </c>
      <c r="K839" s="35" t="str">
        <f aca="false">IF($A839="","",MOD(MONTH($A839)-Setup!$B$6+12,12)+1)</f>
        <v/>
      </c>
      <c r="L839" s="36" t="str">
        <f aca="false">IF($A839="","",TEXT($A839,"MMM-YY"))</f>
        <v/>
      </c>
      <c r="M839" s="37" t="str">
        <f aca="false">IF($A839="","",IF($Q839=0,"UNMAPPED",INDEX(COA_Mapping!$C$7:$C$256,$Q839)))</f>
        <v/>
      </c>
      <c r="N839" s="38" t="str">
        <f aca="false">IF($A839="","",IF($Q839=0,"",INDEX(COA_Mapping!$E$7:$E$256,$Q839)))</f>
        <v/>
      </c>
      <c r="O839" s="38" t="n">
        <f aca="false">IF($A839="",1,IF($Q839=0,1,INDEX(COA_Mapping!$F$7:$F$256,$Q839)))</f>
        <v>1</v>
      </c>
      <c r="P839" s="34" t="str">
        <f aca="false">IF($A839="","",$I839*$O839)</f>
        <v/>
      </c>
      <c r="Q839" s="39" t="n">
        <f aca="false">IF($B839="",0,IFERROR(MATCH($B839,COA_Mapping!$A$7:$A$256,0),0))</f>
        <v>0</v>
      </c>
      <c r="R839" s="39" t="n">
        <f aca="false">IF($A839="",-1,IF($J839=Setup!$B$7,1,IF($J839=Setup!$B$9,0,-1)))</f>
        <v>-1</v>
      </c>
      <c r="S839" s="35" t="n">
        <f aca="false">IF(OR($A839="",$Q839=0,$R839=-1),0,$Q839*1000+$R839*100+$K839)</f>
        <v>0</v>
      </c>
      <c r="T839" s="37" t="str">
        <f aca="false">IF($A839="","",IF($B839="","NO ACCOUNT",IF($Q839=0,"UNMAPPED",IF($R839=-1,"OUTSIDE FY RANGE","OK"))))</f>
        <v/>
      </c>
      <c r="U839" s="40" t="str">
        <f aca="false">IF($A839="","",$B839&amp;"|"&amp;TEXT($A839,"yyyymmdd")&amp;"|"&amp;TEXT($I839,"0.00"))</f>
        <v/>
      </c>
      <c r="V839" s="35" t="str">
        <f aca="false">IF($A839="","",COUNTIF($U$8:$U$5007,$U839))</f>
        <v/>
      </c>
    </row>
    <row r="840" customFormat="false" ht="15" hidden="false" customHeight="false" outlineLevel="0" collapsed="false">
      <c r="A840" s="31"/>
      <c r="B840" s="32"/>
      <c r="C840" s="32"/>
      <c r="D840" s="32"/>
      <c r="E840" s="32"/>
      <c r="F840" s="32"/>
      <c r="G840" s="33"/>
      <c r="H840" s="33"/>
      <c r="I840" s="34" t="str">
        <f aca="false">IF($A840="","",$G840-$H840)</f>
        <v/>
      </c>
      <c r="J840" s="35" t="str">
        <f aca="false">IF($A840="","",IF(Setup!$B$6=1,YEAR($A840),YEAR($A840)+IF(MONTH($A840)&gt;=Setup!$B$6,1,0)))</f>
        <v/>
      </c>
      <c r="K840" s="35" t="str">
        <f aca="false">IF($A840="","",MOD(MONTH($A840)-Setup!$B$6+12,12)+1)</f>
        <v/>
      </c>
      <c r="L840" s="36" t="str">
        <f aca="false">IF($A840="","",TEXT($A840,"MMM-YY"))</f>
        <v/>
      </c>
      <c r="M840" s="37" t="str">
        <f aca="false">IF($A840="","",IF($Q840=0,"UNMAPPED",INDEX(COA_Mapping!$C$7:$C$256,$Q840)))</f>
        <v/>
      </c>
      <c r="N840" s="38" t="str">
        <f aca="false">IF($A840="","",IF($Q840=0,"",INDEX(COA_Mapping!$E$7:$E$256,$Q840)))</f>
        <v/>
      </c>
      <c r="O840" s="38" t="n">
        <f aca="false">IF($A840="",1,IF($Q840=0,1,INDEX(COA_Mapping!$F$7:$F$256,$Q840)))</f>
        <v>1</v>
      </c>
      <c r="P840" s="34" t="str">
        <f aca="false">IF($A840="","",$I840*$O840)</f>
        <v/>
      </c>
      <c r="Q840" s="39" t="n">
        <f aca="false">IF($B840="",0,IFERROR(MATCH($B840,COA_Mapping!$A$7:$A$256,0),0))</f>
        <v>0</v>
      </c>
      <c r="R840" s="39" t="n">
        <f aca="false">IF($A840="",-1,IF($J840=Setup!$B$7,1,IF($J840=Setup!$B$9,0,-1)))</f>
        <v>-1</v>
      </c>
      <c r="S840" s="35" t="n">
        <f aca="false">IF(OR($A840="",$Q840=0,$R840=-1),0,$Q840*1000+$R840*100+$K840)</f>
        <v>0</v>
      </c>
      <c r="T840" s="37" t="str">
        <f aca="false">IF($A840="","",IF($B840="","NO ACCOUNT",IF($Q840=0,"UNMAPPED",IF($R840=-1,"OUTSIDE FY RANGE","OK"))))</f>
        <v/>
      </c>
      <c r="U840" s="40" t="str">
        <f aca="false">IF($A840="","",$B840&amp;"|"&amp;TEXT($A840,"yyyymmdd")&amp;"|"&amp;TEXT($I840,"0.00"))</f>
        <v/>
      </c>
      <c r="V840" s="35" t="str">
        <f aca="false">IF($A840="","",COUNTIF($U$8:$U$5007,$U840))</f>
        <v/>
      </c>
    </row>
    <row r="841" customFormat="false" ht="15" hidden="false" customHeight="false" outlineLevel="0" collapsed="false">
      <c r="A841" s="31"/>
      <c r="B841" s="32"/>
      <c r="C841" s="32"/>
      <c r="D841" s="32"/>
      <c r="E841" s="32"/>
      <c r="F841" s="32"/>
      <c r="G841" s="33"/>
      <c r="H841" s="33"/>
      <c r="I841" s="34" t="str">
        <f aca="false">IF($A841="","",$G841-$H841)</f>
        <v/>
      </c>
      <c r="J841" s="35" t="str">
        <f aca="false">IF($A841="","",IF(Setup!$B$6=1,YEAR($A841),YEAR($A841)+IF(MONTH($A841)&gt;=Setup!$B$6,1,0)))</f>
        <v/>
      </c>
      <c r="K841" s="35" t="str">
        <f aca="false">IF($A841="","",MOD(MONTH($A841)-Setup!$B$6+12,12)+1)</f>
        <v/>
      </c>
      <c r="L841" s="36" t="str">
        <f aca="false">IF($A841="","",TEXT($A841,"MMM-YY"))</f>
        <v/>
      </c>
      <c r="M841" s="37" t="str">
        <f aca="false">IF($A841="","",IF($Q841=0,"UNMAPPED",INDEX(COA_Mapping!$C$7:$C$256,$Q841)))</f>
        <v/>
      </c>
      <c r="N841" s="38" t="str">
        <f aca="false">IF($A841="","",IF($Q841=0,"",INDEX(COA_Mapping!$E$7:$E$256,$Q841)))</f>
        <v/>
      </c>
      <c r="O841" s="38" t="n">
        <f aca="false">IF($A841="",1,IF($Q841=0,1,INDEX(COA_Mapping!$F$7:$F$256,$Q841)))</f>
        <v>1</v>
      </c>
      <c r="P841" s="34" t="str">
        <f aca="false">IF($A841="","",$I841*$O841)</f>
        <v/>
      </c>
      <c r="Q841" s="39" t="n">
        <f aca="false">IF($B841="",0,IFERROR(MATCH($B841,COA_Mapping!$A$7:$A$256,0),0))</f>
        <v>0</v>
      </c>
      <c r="R841" s="39" t="n">
        <f aca="false">IF($A841="",-1,IF($J841=Setup!$B$7,1,IF($J841=Setup!$B$9,0,-1)))</f>
        <v>-1</v>
      </c>
      <c r="S841" s="35" t="n">
        <f aca="false">IF(OR($A841="",$Q841=0,$R841=-1),0,$Q841*1000+$R841*100+$K841)</f>
        <v>0</v>
      </c>
      <c r="T841" s="37" t="str">
        <f aca="false">IF($A841="","",IF($B841="","NO ACCOUNT",IF($Q841=0,"UNMAPPED",IF($R841=-1,"OUTSIDE FY RANGE","OK"))))</f>
        <v/>
      </c>
      <c r="U841" s="40" t="str">
        <f aca="false">IF($A841="","",$B841&amp;"|"&amp;TEXT($A841,"yyyymmdd")&amp;"|"&amp;TEXT($I841,"0.00"))</f>
        <v/>
      </c>
      <c r="V841" s="35" t="str">
        <f aca="false">IF($A841="","",COUNTIF($U$8:$U$5007,$U841))</f>
        <v/>
      </c>
    </row>
    <row r="842" customFormat="false" ht="15" hidden="false" customHeight="false" outlineLevel="0" collapsed="false">
      <c r="A842" s="31"/>
      <c r="B842" s="32"/>
      <c r="C842" s="32"/>
      <c r="D842" s="32"/>
      <c r="E842" s="32"/>
      <c r="F842" s="32"/>
      <c r="G842" s="33"/>
      <c r="H842" s="33"/>
      <c r="I842" s="34" t="str">
        <f aca="false">IF($A842="","",$G842-$H842)</f>
        <v/>
      </c>
      <c r="J842" s="35" t="str">
        <f aca="false">IF($A842="","",IF(Setup!$B$6=1,YEAR($A842),YEAR($A842)+IF(MONTH($A842)&gt;=Setup!$B$6,1,0)))</f>
        <v/>
      </c>
      <c r="K842" s="35" t="str">
        <f aca="false">IF($A842="","",MOD(MONTH($A842)-Setup!$B$6+12,12)+1)</f>
        <v/>
      </c>
      <c r="L842" s="36" t="str">
        <f aca="false">IF($A842="","",TEXT($A842,"MMM-YY"))</f>
        <v/>
      </c>
      <c r="M842" s="37" t="str">
        <f aca="false">IF($A842="","",IF($Q842=0,"UNMAPPED",INDEX(COA_Mapping!$C$7:$C$256,$Q842)))</f>
        <v/>
      </c>
      <c r="N842" s="38" t="str">
        <f aca="false">IF($A842="","",IF($Q842=0,"",INDEX(COA_Mapping!$E$7:$E$256,$Q842)))</f>
        <v/>
      </c>
      <c r="O842" s="38" t="n">
        <f aca="false">IF($A842="",1,IF($Q842=0,1,INDEX(COA_Mapping!$F$7:$F$256,$Q842)))</f>
        <v>1</v>
      </c>
      <c r="P842" s="34" t="str">
        <f aca="false">IF($A842="","",$I842*$O842)</f>
        <v/>
      </c>
      <c r="Q842" s="39" t="n">
        <f aca="false">IF($B842="",0,IFERROR(MATCH($B842,COA_Mapping!$A$7:$A$256,0),0))</f>
        <v>0</v>
      </c>
      <c r="R842" s="39" t="n">
        <f aca="false">IF($A842="",-1,IF($J842=Setup!$B$7,1,IF($J842=Setup!$B$9,0,-1)))</f>
        <v>-1</v>
      </c>
      <c r="S842" s="35" t="n">
        <f aca="false">IF(OR($A842="",$Q842=0,$R842=-1),0,$Q842*1000+$R842*100+$K842)</f>
        <v>0</v>
      </c>
      <c r="T842" s="37" t="str">
        <f aca="false">IF($A842="","",IF($B842="","NO ACCOUNT",IF($Q842=0,"UNMAPPED",IF($R842=-1,"OUTSIDE FY RANGE","OK"))))</f>
        <v/>
      </c>
      <c r="U842" s="40" t="str">
        <f aca="false">IF($A842="","",$B842&amp;"|"&amp;TEXT($A842,"yyyymmdd")&amp;"|"&amp;TEXT($I842,"0.00"))</f>
        <v/>
      </c>
      <c r="V842" s="35" t="str">
        <f aca="false">IF($A842="","",COUNTIF($U$8:$U$5007,$U842))</f>
        <v/>
      </c>
    </row>
    <row r="843" customFormat="false" ht="15" hidden="false" customHeight="false" outlineLevel="0" collapsed="false">
      <c r="A843" s="31"/>
      <c r="B843" s="32"/>
      <c r="C843" s="32"/>
      <c r="D843" s="32"/>
      <c r="E843" s="32"/>
      <c r="F843" s="32"/>
      <c r="G843" s="33"/>
      <c r="H843" s="33"/>
      <c r="I843" s="34" t="str">
        <f aca="false">IF($A843="","",$G843-$H843)</f>
        <v/>
      </c>
      <c r="J843" s="35" t="str">
        <f aca="false">IF($A843="","",IF(Setup!$B$6=1,YEAR($A843),YEAR($A843)+IF(MONTH($A843)&gt;=Setup!$B$6,1,0)))</f>
        <v/>
      </c>
      <c r="K843" s="35" t="str">
        <f aca="false">IF($A843="","",MOD(MONTH($A843)-Setup!$B$6+12,12)+1)</f>
        <v/>
      </c>
      <c r="L843" s="36" t="str">
        <f aca="false">IF($A843="","",TEXT($A843,"MMM-YY"))</f>
        <v/>
      </c>
      <c r="M843" s="37" t="str">
        <f aca="false">IF($A843="","",IF($Q843=0,"UNMAPPED",INDEX(COA_Mapping!$C$7:$C$256,$Q843)))</f>
        <v/>
      </c>
      <c r="N843" s="38" t="str">
        <f aca="false">IF($A843="","",IF($Q843=0,"",INDEX(COA_Mapping!$E$7:$E$256,$Q843)))</f>
        <v/>
      </c>
      <c r="O843" s="38" t="n">
        <f aca="false">IF($A843="",1,IF($Q843=0,1,INDEX(COA_Mapping!$F$7:$F$256,$Q843)))</f>
        <v>1</v>
      </c>
      <c r="P843" s="34" t="str">
        <f aca="false">IF($A843="","",$I843*$O843)</f>
        <v/>
      </c>
      <c r="Q843" s="39" t="n">
        <f aca="false">IF($B843="",0,IFERROR(MATCH($B843,COA_Mapping!$A$7:$A$256,0),0))</f>
        <v>0</v>
      </c>
      <c r="R843" s="39" t="n">
        <f aca="false">IF($A843="",-1,IF($J843=Setup!$B$7,1,IF($J843=Setup!$B$9,0,-1)))</f>
        <v>-1</v>
      </c>
      <c r="S843" s="35" t="n">
        <f aca="false">IF(OR($A843="",$Q843=0,$R843=-1),0,$Q843*1000+$R843*100+$K843)</f>
        <v>0</v>
      </c>
      <c r="T843" s="37" t="str">
        <f aca="false">IF($A843="","",IF($B843="","NO ACCOUNT",IF($Q843=0,"UNMAPPED",IF($R843=-1,"OUTSIDE FY RANGE","OK"))))</f>
        <v/>
      </c>
      <c r="U843" s="40" t="str">
        <f aca="false">IF($A843="","",$B843&amp;"|"&amp;TEXT($A843,"yyyymmdd")&amp;"|"&amp;TEXT($I843,"0.00"))</f>
        <v/>
      </c>
      <c r="V843" s="35" t="str">
        <f aca="false">IF($A843="","",COUNTIF($U$8:$U$5007,$U843))</f>
        <v/>
      </c>
    </row>
    <row r="844" customFormat="false" ht="15" hidden="false" customHeight="false" outlineLevel="0" collapsed="false">
      <c r="A844" s="31"/>
      <c r="B844" s="32"/>
      <c r="C844" s="32"/>
      <c r="D844" s="32"/>
      <c r="E844" s="32"/>
      <c r="F844" s="32"/>
      <c r="G844" s="33"/>
      <c r="H844" s="33"/>
      <c r="I844" s="34" t="str">
        <f aca="false">IF($A844="","",$G844-$H844)</f>
        <v/>
      </c>
      <c r="J844" s="35" t="str">
        <f aca="false">IF($A844="","",IF(Setup!$B$6=1,YEAR($A844),YEAR($A844)+IF(MONTH($A844)&gt;=Setup!$B$6,1,0)))</f>
        <v/>
      </c>
      <c r="K844" s="35" t="str">
        <f aca="false">IF($A844="","",MOD(MONTH($A844)-Setup!$B$6+12,12)+1)</f>
        <v/>
      </c>
      <c r="L844" s="36" t="str">
        <f aca="false">IF($A844="","",TEXT($A844,"MMM-YY"))</f>
        <v/>
      </c>
      <c r="M844" s="37" t="str">
        <f aca="false">IF($A844="","",IF($Q844=0,"UNMAPPED",INDEX(COA_Mapping!$C$7:$C$256,$Q844)))</f>
        <v/>
      </c>
      <c r="N844" s="38" t="str">
        <f aca="false">IF($A844="","",IF($Q844=0,"",INDEX(COA_Mapping!$E$7:$E$256,$Q844)))</f>
        <v/>
      </c>
      <c r="O844" s="38" t="n">
        <f aca="false">IF($A844="",1,IF($Q844=0,1,INDEX(COA_Mapping!$F$7:$F$256,$Q844)))</f>
        <v>1</v>
      </c>
      <c r="P844" s="34" t="str">
        <f aca="false">IF($A844="","",$I844*$O844)</f>
        <v/>
      </c>
      <c r="Q844" s="39" t="n">
        <f aca="false">IF($B844="",0,IFERROR(MATCH($B844,COA_Mapping!$A$7:$A$256,0),0))</f>
        <v>0</v>
      </c>
      <c r="R844" s="39" t="n">
        <f aca="false">IF($A844="",-1,IF($J844=Setup!$B$7,1,IF($J844=Setup!$B$9,0,-1)))</f>
        <v>-1</v>
      </c>
      <c r="S844" s="35" t="n">
        <f aca="false">IF(OR($A844="",$Q844=0,$R844=-1),0,$Q844*1000+$R844*100+$K844)</f>
        <v>0</v>
      </c>
      <c r="T844" s="37" t="str">
        <f aca="false">IF($A844="","",IF($B844="","NO ACCOUNT",IF($Q844=0,"UNMAPPED",IF($R844=-1,"OUTSIDE FY RANGE","OK"))))</f>
        <v/>
      </c>
      <c r="U844" s="40" t="str">
        <f aca="false">IF($A844="","",$B844&amp;"|"&amp;TEXT($A844,"yyyymmdd")&amp;"|"&amp;TEXT($I844,"0.00"))</f>
        <v/>
      </c>
      <c r="V844" s="35" t="str">
        <f aca="false">IF($A844="","",COUNTIF($U$8:$U$5007,$U844))</f>
        <v/>
      </c>
    </row>
    <row r="845" customFormat="false" ht="15" hidden="false" customHeight="false" outlineLevel="0" collapsed="false">
      <c r="A845" s="31"/>
      <c r="B845" s="32"/>
      <c r="C845" s="32"/>
      <c r="D845" s="32"/>
      <c r="E845" s="32"/>
      <c r="F845" s="32"/>
      <c r="G845" s="33"/>
      <c r="H845" s="33"/>
      <c r="I845" s="34" t="str">
        <f aca="false">IF($A845="","",$G845-$H845)</f>
        <v/>
      </c>
      <c r="J845" s="35" t="str">
        <f aca="false">IF($A845="","",IF(Setup!$B$6=1,YEAR($A845),YEAR($A845)+IF(MONTH($A845)&gt;=Setup!$B$6,1,0)))</f>
        <v/>
      </c>
      <c r="K845" s="35" t="str">
        <f aca="false">IF($A845="","",MOD(MONTH($A845)-Setup!$B$6+12,12)+1)</f>
        <v/>
      </c>
      <c r="L845" s="36" t="str">
        <f aca="false">IF($A845="","",TEXT($A845,"MMM-YY"))</f>
        <v/>
      </c>
      <c r="M845" s="37" t="str">
        <f aca="false">IF($A845="","",IF($Q845=0,"UNMAPPED",INDEX(COA_Mapping!$C$7:$C$256,$Q845)))</f>
        <v/>
      </c>
      <c r="N845" s="38" t="str">
        <f aca="false">IF($A845="","",IF($Q845=0,"",INDEX(COA_Mapping!$E$7:$E$256,$Q845)))</f>
        <v/>
      </c>
      <c r="O845" s="38" t="n">
        <f aca="false">IF($A845="",1,IF($Q845=0,1,INDEX(COA_Mapping!$F$7:$F$256,$Q845)))</f>
        <v>1</v>
      </c>
      <c r="P845" s="34" t="str">
        <f aca="false">IF($A845="","",$I845*$O845)</f>
        <v/>
      </c>
      <c r="Q845" s="39" t="n">
        <f aca="false">IF($B845="",0,IFERROR(MATCH($B845,COA_Mapping!$A$7:$A$256,0),0))</f>
        <v>0</v>
      </c>
      <c r="R845" s="39" t="n">
        <f aca="false">IF($A845="",-1,IF($J845=Setup!$B$7,1,IF($J845=Setup!$B$9,0,-1)))</f>
        <v>-1</v>
      </c>
      <c r="S845" s="35" t="n">
        <f aca="false">IF(OR($A845="",$Q845=0,$R845=-1),0,$Q845*1000+$R845*100+$K845)</f>
        <v>0</v>
      </c>
      <c r="T845" s="37" t="str">
        <f aca="false">IF($A845="","",IF($B845="","NO ACCOUNT",IF($Q845=0,"UNMAPPED",IF($R845=-1,"OUTSIDE FY RANGE","OK"))))</f>
        <v/>
      </c>
      <c r="U845" s="40" t="str">
        <f aca="false">IF($A845="","",$B845&amp;"|"&amp;TEXT($A845,"yyyymmdd")&amp;"|"&amp;TEXT($I845,"0.00"))</f>
        <v/>
      </c>
      <c r="V845" s="35" t="str">
        <f aca="false">IF($A845="","",COUNTIF($U$8:$U$5007,$U845))</f>
        <v/>
      </c>
    </row>
    <row r="846" customFormat="false" ht="15" hidden="false" customHeight="false" outlineLevel="0" collapsed="false">
      <c r="A846" s="31"/>
      <c r="B846" s="32"/>
      <c r="C846" s="32"/>
      <c r="D846" s="32"/>
      <c r="E846" s="32"/>
      <c r="F846" s="32"/>
      <c r="G846" s="33"/>
      <c r="H846" s="33"/>
      <c r="I846" s="34" t="str">
        <f aca="false">IF($A846="","",$G846-$H846)</f>
        <v/>
      </c>
      <c r="J846" s="35" t="str">
        <f aca="false">IF($A846="","",IF(Setup!$B$6=1,YEAR($A846),YEAR($A846)+IF(MONTH($A846)&gt;=Setup!$B$6,1,0)))</f>
        <v/>
      </c>
      <c r="K846" s="35" t="str">
        <f aca="false">IF($A846="","",MOD(MONTH($A846)-Setup!$B$6+12,12)+1)</f>
        <v/>
      </c>
      <c r="L846" s="36" t="str">
        <f aca="false">IF($A846="","",TEXT($A846,"MMM-YY"))</f>
        <v/>
      </c>
      <c r="M846" s="37" t="str">
        <f aca="false">IF($A846="","",IF($Q846=0,"UNMAPPED",INDEX(COA_Mapping!$C$7:$C$256,$Q846)))</f>
        <v/>
      </c>
      <c r="N846" s="38" t="str">
        <f aca="false">IF($A846="","",IF($Q846=0,"",INDEX(COA_Mapping!$E$7:$E$256,$Q846)))</f>
        <v/>
      </c>
      <c r="O846" s="38" t="n">
        <f aca="false">IF($A846="",1,IF($Q846=0,1,INDEX(COA_Mapping!$F$7:$F$256,$Q846)))</f>
        <v>1</v>
      </c>
      <c r="P846" s="34" t="str">
        <f aca="false">IF($A846="","",$I846*$O846)</f>
        <v/>
      </c>
      <c r="Q846" s="39" t="n">
        <f aca="false">IF($B846="",0,IFERROR(MATCH($B846,COA_Mapping!$A$7:$A$256,0),0))</f>
        <v>0</v>
      </c>
      <c r="R846" s="39" t="n">
        <f aca="false">IF($A846="",-1,IF($J846=Setup!$B$7,1,IF($J846=Setup!$B$9,0,-1)))</f>
        <v>-1</v>
      </c>
      <c r="S846" s="35" t="n">
        <f aca="false">IF(OR($A846="",$Q846=0,$R846=-1),0,$Q846*1000+$R846*100+$K846)</f>
        <v>0</v>
      </c>
      <c r="T846" s="37" t="str">
        <f aca="false">IF($A846="","",IF($B846="","NO ACCOUNT",IF($Q846=0,"UNMAPPED",IF($R846=-1,"OUTSIDE FY RANGE","OK"))))</f>
        <v/>
      </c>
      <c r="U846" s="40" t="str">
        <f aca="false">IF($A846="","",$B846&amp;"|"&amp;TEXT($A846,"yyyymmdd")&amp;"|"&amp;TEXT($I846,"0.00"))</f>
        <v/>
      </c>
      <c r="V846" s="35" t="str">
        <f aca="false">IF($A846="","",COUNTIF($U$8:$U$5007,$U846))</f>
        <v/>
      </c>
    </row>
    <row r="847" customFormat="false" ht="15" hidden="false" customHeight="false" outlineLevel="0" collapsed="false">
      <c r="A847" s="31"/>
      <c r="B847" s="32"/>
      <c r="C847" s="32"/>
      <c r="D847" s="32"/>
      <c r="E847" s="32"/>
      <c r="F847" s="32"/>
      <c r="G847" s="33"/>
      <c r="H847" s="33"/>
      <c r="I847" s="34" t="str">
        <f aca="false">IF($A847="","",$G847-$H847)</f>
        <v/>
      </c>
      <c r="J847" s="35" t="str">
        <f aca="false">IF($A847="","",IF(Setup!$B$6=1,YEAR($A847),YEAR($A847)+IF(MONTH($A847)&gt;=Setup!$B$6,1,0)))</f>
        <v/>
      </c>
      <c r="K847" s="35" t="str">
        <f aca="false">IF($A847="","",MOD(MONTH($A847)-Setup!$B$6+12,12)+1)</f>
        <v/>
      </c>
      <c r="L847" s="36" t="str">
        <f aca="false">IF($A847="","",TEXT($A847,"MMM-YY"))</f>
        <v/>
      </c>
      <c r="M847" s="37" t="str">
        <f aca="false">IF($A847="","",IF($Q847=0,"UNMAPPED",INDEX(COA_Mapping!$C$7:$C$256,$Q847)))</f>
        <v/>
      </c>
      <c r="N847" s="38" t="str">
        <f aca="false">IF($A847="","",IF($Q847=0,"",INDEX(COA_Mapping!$E$7:$E$256,$Q847)))</f>
        <v/>
      </c>
      <c r="O847" s="38" t="n">
        <f aca="false">IF($A847="",1,IF($Q847=0,1,INDEX(COA_Mapping!$F$7:$F$256,$Q847)))</f>
        <v>1</v>
      </c>
      <c r="P847" s="34" t="str">
        <f aca="false">IF($A847="","",$I847*$O847)</f>
        <v/>
      </c>
      <c r="Q847" s="39" t="n">
        <f aca="false">IF($B847="",0,IFERROR(MATCH($B847,COA_Mapping!$A$7:$A$256,0),0))</f>
        <v>0</v>
      </c>
      <c r="R847" s="39" t="n">
        <f aca="false">IF($A847="",-1,IF($J847=Setup!$B$7,1,IF($J847=Setup!$B$9,0,-1)))</f>
        <v>-1</v>
      </c>
      <c r="S847" s="35" t="n">
        <f aca="false">IF(OR($A847="",$Q847=0,$R847=-1),0,$Q847*1000+$R847*100+$K847)</f>
        <v>0</v>
      </c>
      <c r="T847" s="37" t="str">
        <f aca="false">IF($A847="","",IF($B847="","NO ACCOUNT",IF($Q847=0,"UNMAPPED",IF($R847=-1,"OUTSIDE FY RANGE","OK"))))</f>
        <v/>
      </c>
      <c r="U847" s="40" t="str">
        <f aca="false">IF($A847="","",$B847&amp;"|"&amp;TEXT($A847,"yyyymmdd")&amp;"|"&amp;TEXT($I847,"0.00"))</f>
        <v/>
      </c>
      <c r="V847" s="35" t="str">
        <f aca="false">IF($A847="","",COUNTIF($U$8:$U$5007,$U847))</f>
        <v/>
      </c>
    </row>
    <row r="848" customFormat="false" ht="15" hidden="false" customHeight="false" outlineLevel="0" collapsed="false">
      <c r="A848" s="31"/>
      <c r="B848" s="32"/>
      <c r="C848" s="32"/>
      <c r="D848" s="32"/>
      <c r="E848" s="32"/>
      <c r="F848" s="32"/>
      <c r="G848" s="33"/>
      <c r="H848" s="33"/>
      <c r="I848" s="34" t="str">
        <f aca="false">IF($A848="","",$G848-$H848)</f>
        <v/>
      </c>
      <c r="J848" s="35" t="str">
        <f aca="false">IF($A848="","",IF(Setup!$B$6=1,YEAR($A848),YEAR($A848)+IF(MONTH($A848)&gt;=Setup!$B$6,1,0)))</f>
        <v/>
      </c>
      <c r="K848" s="35" t="str">
        <f aca="false">IF($A848="","",MOD(MONTH($A848)-Setup!$B$6+12,12)+1)</f>
        <v/>
      </c>
      <c r="L848" s="36" t="str">
        <f aca="false">IF($A848="","",TEXT($A848,"MMM-YY"))</f>
        <v/>
      </c>
      <c r="M848" s="37" t="str">
        <f aca="false">IF($A848="","",IF($Q848=0,"UNMAPPED",INDEX(COA_Mapping!$C$7:$C$256,$Q848)))</f>
        <v/>
      </c>
      <c r="N848" s="38" t="str">
        <f aca="false">IF($A848="","",IF($Q848=0,"",INDEX(COA_Mapping!$E$7:$E$256,$Q848)))</f>
        <v/>
      </c>
      <c r="O848" s="38" t="n">
        <f aca="false">IF($A848="",1,IF($Q848=0,1,INDEX(COA_Mapping!$F$7:$F$256,$Q848)))</f>
        <v>1</v>
      </c>
      <c r="P848" s="34" t="str">
        <f aca="false">IF($A848="","",$I848*$O848)</f>
        <v/>
      </c>
      <c r="Q848" s="39" t="n">
        <f aca="false">IF($B848="",0,IFERROR(MATCH($B848,COA_Mapping!$A$7:$A$256,0),0))</f>
        <v>0</v>
      </c>
      <c r="R848" s="39" t="n">
        <f aca="false">IF($A848="",-1,IF($J848=Setup!$B$7,1,IF($J848=Setup!$B$9,0,-1)))</f>
        <v>-1</v>
      </c>
      <c r="S848" s="35" t="n">
        <f aca="false">IF(OR($A848="",$Q848=0,$R848=-1),0,$Q848*1000+$R848*100+$K848)</f>
        <v>0</v>
      </c>
      <c r="T848" s="37" t="str">
        <f aca="false">IF($A848="","",IF($B848="","NO ACCOUNT",IF($Q848=0,"UNMAPPED",IF($R848=-1,"OUTSIDE FY RANGE","OK"))))</f>
        <v/>
      </c>
      <c r="U848" s="40" t="str">
        <f aca="false">IF($A848="","",$B848&amp;"|"&amp;TEXT($A848,"yyyymmdd")&amp;"|"&amp;TEXT($I848,"0.00"))</f>
        <v/>
      </c>
      <c r="V848" s="35" t="str">
        <f aca="false">IF($A848="","",COUNTIF($U$8:$U$5007,$U848))</f>
        <v/>
      </c>
    </row>
    <row r="849" customFormat="false" ht="15" hidden="false" customHeight="false" outlineLevel="0" collapsed="false">
      <c r="A849" s="31"/>
      <c r="B849" s="32"/>
      <c r="C849" s="32"/>
      <c r="D849" s="32"/>
      <c r="E849" s="32"/>
      <c r="F849" s="32"/>
      <c r="G849" s="33"/>
      <c r="H849" s="33"/>
      <c r="I849" s="34" t="str">
        <f aca="false">IF($A849="","",$G849-$H849)</f>
        <v/>
      </c>
      <c r="J849" s="35" t="str">
        <f aca="false">IF($A849="","",IF(Setup!$B$6=1,YEAR($A849),YEAR($A849)+IF(MONTH($A849)&gt;=Setup!$B$6,1,0)))</f>
        <v/>
      </c>
      <c r="K849" s="35" t="str">
        <f aca="false">IF($A849="","",MOD(MONTH($A849)-Setup!$B$6+12,12)+1)</f>
        <v/>
      </c>
      <c r="L849" s="36" t="str">
        <f aca="false">IF($A849="","",TEXT($A849,"MMM-YY"))</f>
        <v/>
      </c>
      <c r="M849" s="37" t="str">
        <f aca="false">IF($A849="","",IF($Q849=0,"UNMAPPED",INDEX(COA_Mapping!$C$7:$C$256,$Q849)))</f>
        <v/>
      </c>
      <c r="N849" s="38" t="str">
        <f aca="false">IF($A849="","",IF($Q849=0,"",INDEX(COA_Mapping!$E$7:$E$256,$Q849)))</f>
        <v/>
      </c>
      <c r="O849" s="38" t="n">
        <f aca="false">IF($A849="",1,IF($Q849=0,1,INDEX(COA_Mapping!$F$7:$F$256,$Q849)))</f>
        <v>1</v>
      </c>
      <c r="P849" s="34" t="str">
        <f aca="false">IF($A849="","",$I849*$O849)</f>
        <v/>
      </c>
      <c r="Q849" s="39" t="n">
        <f aca="false">IF($B849="",0,IFERROR(MATCH($B849,COA_Mapping!$A$7:$A$256,0),0))</f>
        <v>0</v>
      </c>
      <c r="R849" s="39" t="n">
        <f aca="false">IF($A849="",-1,IF($J849=Setup!$B$7,1,IF($J849=Setup!$B$9,0,-1)))</f>
        <v>-1</v>
      </c>
      <c r="S849" s="35" t="n">
        <f aca="false">IF(OR($A849="",$Q849=0,$R849=-1),0,$Q849*1000+$R849*100+$K849)</f>
        <v>0</v>
      </c>
      <c r="T849" s="37" t="str">
        <f aca="false">IF($A849="","",IF($B849="","NO ACCOUNT",IF($Q849=0,"UNMAPPED",IF($R849=-1,"OUTSIDE FY RANGE","OK"))))</f>
        <v/>
      </c>
      <c r="U849" s="40" t="str">
        <f aca="false">IF($A849="","",$B849&amp;"|"&amp;TEXT($A849,"yyyymmdd")&amp;"|"&amp;TEXT($I849,"0.00"))</f>
        <v/>
      </c>
      <c r="V849" s="35" t="str">
        <f aca="false">IF($A849="","",COUNTIF($U$8:$U$5007,$U849))</f>
        <v/>
      </c>
    </row>
    <row r="850" customFormat="false" ht="15" hidden="false" customHeight="false" outlineLevel="0" collapsed="false">
      <c r="A850" s="31"/>
      <c r="B850" s="32"/>
      <c r="C850" s="32"/>
      <c r="D850" s="32"/>
      <c r="E850" s="32"/>
      <c r="F850" s="32"/>
      <c r="G850" s="33"/>
      <c r="H850" s="33"/>
      <c r="I850" s="34" t="str">
        <f aca="false">IF($A850="","",$G850-$H850)</f>
        <v/>
      </c>
      <c r="J850" s="35" t="str">
        <f aca="false">IF($A850="","",IF(Setup!$B$6=1,YEAR($A850),YEAR($A850)+IF(MONTH($A850)&gt;=Setup!$B$6,1,0)))</f>
        <v/>
      </c>
      <c r="K850" s="35" t="str">
        <f aca="false">IF($A850="","",MOD(MONTH($A850)-Setup!$B$6+12,12)+1)</f>
        <v/>
      </c>
      <c r="L850" s="36" t="str">
        <f aca="false">IF($A850="","",TEXT($A850,"MMM-YY"))</f>
        <v/>
      </c>
      <c r="M850" s="37" t="str">
        <f aca="false">IF($A850="","",IF($Q850=0,"UNMAPPED",INDEX(COA_Mapping!$C$7:$C$256,$Q850)))</f>
        <v/>
      </c>
      <c r="N850" s="38" t="str">
        <f aca="false">IF($A850="","",IF($Q850=0,"",INDEX(COA_Mapping!$E$7:$E$256,$Q850)))</f>
        <v/>
      </c>
      <c r="O850" s="38" t="n">
        <f aca="false">IF($A850="",1,IF($Q850=0,1,INDEX(COA_Mapping!$F$7:$F$256,$Q850)))</f>
        <v>1</v>
      </c>
      <c r="P850" s="34" t="str">
        <f aca="false">IF($A850="","",$I850*$O850)</f>
        <v/>
      </c>
      <c r="Q850" s="39" t="n">
        <f aca="false">IF($B850="",0,IFERROR(MATCH($B850,COA_Mapping!$A$7:$A$256,0),0))</f>
        <v>0</v>
      </c>
      <c r="R850" s="39" t="n">
        <f aca="false">IF($A850="",-1,IF($J850=Setup!$B$7,1,IF($J850=Setup!$B$9,0,-1)))</f>
        <v>-1</v>
      </c>
      <c r="S850" s="35" t="n">
        <f aca="false">IF(OR($A850="",$Q850=0,$R850=-1),0,$Q850*1000+$R850*100+$K850)</f>
        <v>0</v>
      </c>
      <c r="T850" s="37" t="str">
        <f aca="false">IF($A850="","",IF($B850="","NO ACCOUNT",IF($Q850=0,"UNMAPPED",IF($R850=-1,"OUTSIDE FY RANGE","OK"))))</f>
        <v/>
      </c>
      <c r="U850" s="40" t="str">
        <f aca="false">IF($A850="","",$B850&amp;"|"&amp;TEXT($A850,"yyyymmdd")&amp;"|"&amp;TEXT($I850,"0.00"))</f>
        <v/>
      </c>
      <c r="V850" s="35" t="str">
        <f aca="false">IF($A850="","",COUNTIF($U$8:$U$5007,$U850))</f>
        <v/>
      </c>
    </row>
    <row r="851" customFormat="false" ht="15" hidden="false" customHeight="false" outlineLevel="0" collapsed="false">
      <c r="A851" s="31"/>
      <c r="B851" s="32"/>
      <c r="C851" s="32"/>
      <c r="D851" s="32"/>
      <c r="E851" s="32"/>
      <c r="F851" s="32"/>
      <c r="G851" s="33"/>
      <c r="H851" s="33"/>
      <c r="I851" s="34" t="str">
        <f aca="false">IF($A851="","",$G851-$H851)</f>
        <v/>
      </c>
      <c r="J851" s="35" t="str">
        <f aca="false">IF($A851="","",IF(Setup!$B$6=1,YEAR($A851),YEAR($A851)+IF(MONTH($A851)&gt;=Setup!$B$6,1,0)))</f>
        <v/>
      </c>
      <c r="K851" s="35" t="str">
        <f aca="false">IF($A851="","",MOD(MONTH($A851)-Setup!$B$6+12,12)+1)</f>
        <v/>
      </c>
      <c r="L851" s="36" t="str">
        <f aca="false">IF($A851="","",TEXT($A851,"MMM-YY"))</f>
        <v/>
      </c>
      <c r="M851" s="37" t="str">
        <f aca="false">IF($A851="","",IF($Q851=0,"UNMAPPED",INDEX(COA_Mapping!$C$7:$C$256,$Q851)))</f>
        <v/>
      </c>
      <c r="N851" s="38" t="str">
        <f aca="false">IF($A851="","",IF($Q851=0,"",INDEX(COA_Mapping!$E$7:$E$256,$Q851)))</f>
        <v/>
      </c>
      <c r="O851" s="38" t="n">
        <f aca="false">IF($A851="",1,IF($Q851=0,1,INDEX(COA_Mapping!$F$7:$F$256,$Q851)))</f>
        <v>1</v>
      </c>
      <c r="P851" s="34" t="str">
        <f aca="false">IF($A851="","",$I851*$O851)</f>
        <v/>
      </c>
      <c r="Q851" s="39" t="n">
        <f aca="false">IF($B851="",0,IFERROR(MATCH($B851,COA_Mapping!$A$7:$A$256,0),0))</f>
        <v>0</v>
      </c>
      <c r="R851" s="39" t="n">
        <f aca="false">IF($A851="",-1,IF($J851=Setup!$B$7,1,IF($J851=Setup!$B$9,0,-1)))</f>
        <v>-1</v>
      </c>
      <c r="S851" s="35" t="n">
        <f aca="false">IF(OR($A851="",$Q851=0,$R851=-1),0,$Q851*1000+$R851*100+$K851)</f>
        <v>0</v>
      </c>
      <c r="T851" s="37" t="str">
        <f aca="false">IF($A851="","",IF($B851="","NO ACCOUNT",IF($Q851=0,"UNMAPPED",IF($R851=-1,"OUTSIDE FY RANGE","OK"))))</f>
        <v/>
      </c>
      <c r="U851" s="40" t="str">
        <f aca="false">IF($A851="","",$B851&amp;"|"&amp;TEXT($A851,"yyyymmdd")&amp;"|"&amp;TEXT($I851,"0.00"))</f>
        <v/>
      </c>
      <c r="V851" s="35" t="str">
        <f aca="false">IF($A851="","",COUNTIF($U$8:$U$5007,$U851))</f>
        <v/>
      </c>
    </row>
    <row r="852" customFormat="false" ht="15" hidden="false" customHeight="false" outlineLevel="0" collapsed="false">
      <c r="A852" s="31"/>
      <c r="B852" s="32"/>
      <c r="C852" s="32"/>
      <c r="D852" s="32"/>
      <c r="E852" s="32"/>
      <c r="F852" s="32"/>
      <c r="G852" s="33"/>
      <c r="H852" s="33"/>
      <c r="I852" s="34" t="str">
        <f aca="false">IF($A852="","",$G852-$H852)</f>
        <v/>
      </c>
      <c r="J852" s="35" t="str">
        <f aca="false">IF($A852="","",IF(Setup!$B$6=1,YEAR($A852),YEAR($A852)+IF(MONTH($A852)&gt;=Setup!$B$6,1,0)))</f>
        <v/>
      </c>
      <c r="K852" s="35" t="str">
        <f aca="false">IF($A852="","",MOD(MONTH($A852)-Setup!$B$6+12,12)+1)</f>
        <v/>
      </c>
      <c r="L852" s="36" t="str">
        <f aca="false">IF($A852="","",TEXT($A852,"MMM-YY"))</f>
        <v/>
      </c>
      <c r="M852" s="37" t="str">
        <f aca="false">IF($A852="","",IF($Q852=0,"UNMAPPED",INDEX(COA_Mapping!$C$7:$C$256,$Q852)))</f>
        <v/>
      </c>
      <c r="N852" s="38" t="str">
        <f aca="false">IF($A852="","",IF($Q852=0,"",INDEX(COA_Mapping!$E$7:$E$256,$Q852)))</f>
        <v/>
      </c>
      <c r="O852" s="38" t="n">
        <f aca="false">IF($A852="",1,IF($Q852=0,1,INDEX(COA_Mapping!$F$7:$F$256,$Q852)))</f>
        <v>1</v>
      </c>
      <c r="P852" s="34" t="str">
        <f aca="false">IF($A852="","",$I852*$O852)</f>
        <v/>
      </c>
      <c r="Q852" s="39" t="n">
        <f aca="false">IF($B852="",0,IFERROR(MATCH($B852,COA_Mapping!$A$7:$A$256,0),0))</f>
        <v>0</v>
      </c>
      <c r="R852" s="39" t="n">
        <f aca="false">IF($A852="",-1,IF($J852=Setup!$B$7,1,IF($J852=Setup!$B$9,0,-1)))</f>
        <v>-1</v>
      </c>
      <c r="S852" s="35" t="n">
        <f aca="false">IF(OR($A852="",$Q852=0,$R852=-1),0,$Q852*1000+$R852*100+$K852)</f>
        <v>0</v>
      </c>
      <c r="T852" s="37" t="str">
        <f aca="false">IF($A852="","",IF($B852="","NO ACCOUNT",IF($Q852=0,"UNMAPPED",IF($R852=-1,"OUTSIDE FY RANGE","OK"))))</f>
        <v/>
      </c>
      <c r="U852" s="40" t="str">
        <f aca="false">IF($A852="","",$B852&amp;"|"&amp;TEXT($A852,"yyyymmdd")&amp;"|"&amp;TEXT($I852,"0.00"))</f>
        <v/>
      </c>
      <c r="V852" s="35" t="str">
        <f aca="false">IF($A852="","",COUNTIF($U$8:$U$5007,$U852))</f>
        <v/>
      </c>
    </row>
    <row r="853" customFormat="false" ht="15" hidden="false" customHeight="false" outlineLevel="0" collapsed="false">
      <c r="A853" s="31"/>
      <c r="B853" s="32"/>
      <c r="C853" s="32"/>
      <c r="D853" s="32"/>
      <c r="E853" s="32"/>
      <c r="F853" s="32"/>
      <c r="G853" s="33"/>
      <c r="H853" s="33"/>
      <c r="I853" s="34" t="str">
        <f aca="false">IF($A853="","",$G853-$H853)</f>
        <v/>
      </c>
      <c r="J853" s="35" t="str">
        <f aca="false">IF($A853="","",IF(Setup!$B$6=1,YEAR($A853),YEAR($A853)+IF(MONTH($A853)&gt;=Setup!$B$6,1,0)))</f>
        <v/>
      </c>
      <c r="K853" s="35" t="str">
        <f aca="false">IF($A853="","",MOD(MONTH($A853)-Setup!$B$6+12,12)+1)</f>
        <v/>
      </c>
      <c r="L853" s="36" t="str">
        <f aca="false">IF($A853="","",TEXT($A853,"MMM-YY"))</f>
        <v/>
      </c>
      <c r="M853" s="37" t="str">
        <f aca="false">IF($A853="","",IF($Q853=0,"UNMAPPED",INDEX(COA_Mapping!$C$7:$C$256,$Q853)))</f>
        <v/>
      </c>
      <c r="N853" s="38" t="str">
        <f aca="false">IF($A853="","",IF($Q853=0,"",INDEX(COA_Mapping!$E$7:$E$256,$Q853)))</f>
        <v/>
      </c>
      <c r="O853" s="38" t="n">
        <f aca="false">IF($A853="",1,IF($Q853=0,1,INDEX(COA_Mapping!$F$7:$F$256,$Q853)))</f>
        <v>1</v>
      </c>
      <c r="P853" s="34" t="str">
        <f aca="false">IF($A853="","",$I853*$O853)</f>
        <v/>
      </c>
      <c r="Q853" s="39" t="n">
        <f aca="false">IF($B853="",0,IFERROR(MATCH($B853,COA_Mapping!$A$7:$A$256,0),0))</f>
        <v>0</v>
      </c>
      <c r="R853" s="39" t="n">
        <f aca="false">IF($A853="",-1,IF($J853=Setup!$B$7,1,IF($J853=Setup!$B$9,0,-1)))</f>
        <v>-1</v>
      </c>
      <c r="S853" s="35" t="n">
        <f aca="false">IF(OR($A853="",$Q853=0,$R853=-1),0,$Q853*1000+$R853*100+$K853)</f>
        <v>0</v>
      </c>
      <c r="T853" s="37" t="str">
        <f aca="false">IF($A853="","",IF($B853="","NO ACCOUNT",IF($Q853=0,"UNMAPPED",IF($R853=-1,"OUTSIDE FY RANGE","OK"))))</f>
        <v/>
      </c>
      <c r="U853" s="40" t="str">
        <f aca="false">IF($A853="","",$B853&amp;"|"&amp;TEXT($A853,"yyyymmdd")&amp;"|"&amp;TEXT($I853,"0.00"))</f>
        <v/>
      </c>
      <c r="V853" s="35" t="str">
        <f aca="false">IF($A853="","",COUNTIF($U$8:$U$5007,$U853))</f>
        <v/>
      </c>
    </row>
    <row r="854" customFormat="false" ht="15" hidden="false" customHeight="false" outlineLevel="0" collapsed="false">
      <c r="A854" s="31"/>
      <c r="B854" s="32"/>
      <c r="C854" s="32"/>
      <c r="D854" s="32"/>
      <c r="E854" s="32"/>
      <c r="F854" s="32"/>
      <c r="G854" s="33"/>
      <c r="H854" s="33"/>
      <c r="I854" s="34" t="str">
        <f aca="false">IF($A854="","",$G854-$H854)</f>
        <v/>
      </c>
      <c r="J854" s="35" t="str">
        <f aca="false">IF($A854="","",IF(Setup!$B$6=1,YEAR($A854),YEAR($A854)+IF(MONTH($A854)&gt;=Setup!$B$6,1,0)))</f>
        <v/>
      </c>
      <c r="K854" s="35" t="str">
        <f aca="false">IF($A854="","",MOD(MONTH($A854)-Setup!$B$6+12,12)+1)</f>
        <v/>
      </c>
      <c r="L854" s="36" t="str">
        <f aca="false">IF($A854="","",TEXT($A854,"MMM-YY"))</f>
        <v/>
      </c>
      <c r="M854" s="37" t="str">
        <f aca="false">IF($A854="","",IF($Q854=0,"UNMAPPED",INDEX(COA_Mapping!$C$7:$C$256,$Q854)))</f>
        <v/>
      </c>
      <c r="N854" s="38" t="str">
        <f aca="false">IF($A854="","",IF($Q854=0,"",INDEX(COA_Mapping!$E$7:$E$256,$Q854)))</f>
        <v/>
      </c>
      <c r="O854" s="38" t="n">
        <f aca="false">IF($A854="",1,IF($Q854=0,1,INDEX(COA_Mapping!$F$7:$F$256,$Q854)))</f>
        <v>1</v>
      </c>
      <c r="P854" s="34" t="str">
        <f aca="false">IF($A854="","",$I854*$O854)</f>
        <v/>
      </c>
      <c r="Q854" s="39" t="n">
        <f aca="false">IF($B854="",0,IFERROR(MATCH($B854,COA_Mapping!$A$7:$A$256,0),0))</f>
        <v>0</v>
      </c>
      <c r="R854" s="39" t="n">
        <f aca="false">IF($A854="",-1,IF($J854=Setup!$B$7,1,IF($J854=Setup!$B$9,0,-1)))</f>
        <v>-1</v>
      </c>
      <c r="S854" s="35" t="n">
        <f aca="false">IF(OR($A854="",$Q854=0,$R854=-1),0,$Q854*1000+$R854*100+$K854)</f>
        <v>0</v>
      </c>
      <c r="T854" s="37" t="str">
        <f aca="false">IF($A854="","",IF($B854="","NO ACCOUNT",IF($Q854=0,"UNMAPPED",IF($R854=-1,"OUTSIDE FY RANGE","OK"))))</f>
        <v/>
      </c>
      <c r="U854" s="40" t="str">
        <f aca="false">IF($A854="","",$B854&amp;"|"&amp;TEXT($A854,"yyyymmdd")&amp;"|"&amp;TEXT($I854,"0.00"))</f>
        <v/>
      </c>
      <c r="V854" s="35" t="str">
        <f aca="false">IF($A854="","",COUNTIF($U$8:$U$5007,$U854))</f>
        <v/>
      </c>
    </row>
    <row r="855" customFormat="false" ht="15" hidden="false" customHeight="false" outlineLevel="0" collapsed="false">
      <c r="A855" s="31"/>
      <c r="B855" s="32"/>
      <c r="C855" s="32"/>
      <c r="D855" s="32"/>
      <c r="E855" s="32"/>
      <c r="F855" s="32"/>
      <c r="G855" s="33"/>
      <c r="H855" s="33"/>
      <c r="I855" s="34" t="str">
        <f aca="false">IF($A855="","",$G855-$H855)</f>
        <v/>
      </c>
      <c r="J855" s="35" t="str">
        <f aca="false">IF($A855="","",IF(Setup!$B$6=1,YEAR($A855),YEAR($A855)+IF(MONTH($A855)&gt;=Setup!$B$6,1,0)))</f>
        <v/>
      </c>
      <c r="K855" s="35" t="str">
        <f aca="false">IF($A855="","",MOD(MONTH($A855)-Setup!$B$6+12,12)+1)</f>
        <v/>
      </c>
      <c r="L855" s="36" t="str">
        <f aca="false">IF($A855="","",TEXT($A855,"MMM-YY"))</f>
        <v/>
      </c>
      <c r="M855" s="37" t="str">
        <f aca="false">IF($A855="","",IF($Q855=0,"UNMAPPED",INDEX(COA_Mapping!$C$7:$C$256,$Q855)))</f>
        <v/>
      </c>
      <c r="N855" s="38" t="str">
        <f aca="false">IF($A855="","",IF($Q855=0,"",INDEX(COA_Mapping!$E$7:$E$256,$Q855)))</f>
        <v/>
      </c>
      <c r="O855" s="38" t="n">
        <f aca="false">IF($A855="",1,IF($Q855=0,1,INDEX(COA_Mapping!$F$7:$F$256,$Q855)))</f>
        <v>1</v>
      </c>
      <c r="P855" s="34" t="str">
        <f aca="false">IF($A855="","",$I855*$O855)</f>
        <v/>
      </c>
      <c r="Q855" s="39" t="n">
        <f aca="false">IF($B855="",0,IFERROR(MATCH($B855,COA_Mapping!$A$7:$A$256,0),0))</f>
        <v>0</v>
      </c>
      <c r="R855" s="39" t="n">
        <f aca="false">IF($A855="",-1,IF($J855=Setup!$B$7,1,IF($J855=Setup!$B$9,0,-1)))</f>
        <v>-1</v>
      </c>
      <c r="S855" s="35" t="n">
        <f aca="false">IF(OR($A855="",$Q855=0,$R855=-1),0,$Q855*1000+$R855*100+$K855)</f>
        <v>0</v>
      </c>
      <c r="T855" s="37" t="str">
        <f aca="false">IF($A855="","",IF($B855="","NO ACCOUNT",IF($Q855=0,"UNMAPPED",IF($R855=-1,"OUTSIDE FY RANGE","OK"))))</f>
        <v/>
      </c>
      <c r="U855" s="40" t="str">
        <f aca="false">IF($A855="","",$B855&amp;"|"&amp;TEXT($A855,"yyyymmdd")&amp;"|"&amp;TEXT($I855,"0.00"))</f>
        <v/>
      </c>
      <c r="V855" s="35" t="str">
        <f aca="false">IF($A855="","",COUNTIF($U$8:$U$5007,$U855))</f>
        <v/>
      </c>
    </row>
    <row r="856" customFormat="false" ht="15" hidden="false" customHeight="false" outlineLevel="0" collapsed="false">
      <c r="A856" s="31"/>
      <c r="B856" s="32"/>
      <c r="C856" s="32"/>
      <c r="D856" s="32"/>
      <c r="E856" s="32"/>
      <c r="F856" s="32"/>
      <c r="G856" s="33"/>
      <c r="H856" s="33"/>
      <c r="I856" s="34" t="str">
        <f aca="false">IF($A856="","",$G856-$H856)</f>
        <v/>
      </c>
      <c r="J856" s="35" t="str">
        <f aca="false">IF($A856="","",IF(Setup!$B$6=1,YEAR($A856),YEAR($A856)+IF(MONTH($A856)&gt;=Setup!$B$6,1,0)))</f>
        <v/>
      </c>
      <c r="K856" s="35" t="str">
        <f aca="false">IF($A856="","",MOD(MONTH($A856)-Setup!$B$6+12,12)+1)</f>
        <v/>
      </c>
      <c r="L856" s="36" t="str">
        <f aca="false">IF($A856="","",TEXT($A856,"MMM-YY"))</f>
        <v/>
      </c>
      <c r="M856" s="37" t="str">
        <f aca="false">IF($A856="","",IF($Q856=0,"UNMAPPED",INDEX(COA_Mapping!$C$7:$C$256,$Q856)))</f>
        <v/>
      </c>
      <c r="N856" s="38" t="str">
        <f aca="false">IF($A856="","",IF($Q856=0,"",INDEX(COA_Mapping!$E$7:$E$256,$Q856)))</f>
        <v/>
      </c>
      <c r="O856" s="38" t="n">
        <f aca="false">IF($A856="",1,IF($Q856=0,1,INDEX(COA_Mapping!$F$7:$F$256,$Q856)))</f>
        <v>1</v>
      </c>
      <c r="P856" s="34" t="str">
        <f aca="false">IF($A856="","",$I856*$O856)</f>
        <v/>
      </c>
      <c r="Q856" s="39" t="n">
        <f aca="false">IF($B856="",0,IFERROR(MATCH($B856,COA_Mapping!$A$7:$A$256,0),0))</f>
        <v>0</v>
      </c>
      <c r="R856" s="39" t="n">
        <f aca="false">IF($A856="",-1,IF($J856=Setup!$B$7,1,IF($J856=Setup!$B$9,0,-1)))</f>
        <v>-1</v>
      </c>
      <c r="S856" s="35" t="n">
        <f aca="false">IF(OR($A856="",$Q856=0,$R856=-1),0,$Q856*1000+$R856*100+$K856)</f>
        <v>0</v>
      </c>
      <c r="T856" s="37" t="str">
        <f aca="false">IF($A856="","",IF($B856="","NO ACCOUNT",IF($Q856=0,"UNMAPPED",IF($R856=-1,"OUTSIDE FY RANGE","OK"))))</f>
        <v/>
      </c>
      <c r="U856" s="40" t="str">
        <f aca="false">IF($A856="","",$B856&amp;"|"&amp;TEXT($A856,"yyyymmdd")&amp;"|"&amp;TEXT($I856,"0.00"))</f>
        <v/>
      </c>
      <c r="V856" s="35" t="str">
        <f aca="false">IF($A856="","",COUNTIF($U$8:$U$5007,$U856))</f>
        <v/>
      </c>
    </row>
    <row r="857" customFormat="false" ht="15" hidden="false" customHeight="false" outlineLevel="0" collapsed="false">
      <c r="A857" s="31"/>
      <c r="B857" s="32"/>
      <c r="C857" s="32"/>
      <c r="D857" s="32"/>
      <c r="E857" s="32"/>
      <c r="F857" s="32"/>
      <c r="G857" s="33"/>
      <c r="H857" s="33"/>
      <c r="I857" s="34" t="str">
        <f aca="false">IF($A857="","",$G857-$H857)</f>
        <v/>
      </c>
      <c r="J857" s="35" t="str">
        <f aca="false">IF($A857="","",IF(Setup!$B$6=1,YEAR($A857),YEAR($A857)+IF(MONTH($A857)&gt;=Setup!$B$6,1,0)))</f>
        <v/>
      </c>
      <c r="K857" s="35" t="str">
        <f aca="false">IF($A857="","",MOD(MONTH($A857)-Setup!$B$6+12,12)+1)</f>
        <v/>
      </c>
      <c r="L857" s="36" t="str">
        <f aca="false">IF($A857="","",TEXT($A857,"MMM-YY"))</f>
        <v/>
      </c>
      <c r="M857" s="37" t="str">
        <f aca="false">IF($A857="","",IF($Q857=0,"UNMAPPED",INDEX(COA_Mapping!$C$7:$C$256,$Q857)))</f>
        <v/>
      </c>
      <c r="N857" s="38" t="str">
        <f aca="false">IF($A857="","",IF($Q857=0,"",INDEX(COA_Mapping!$E$7:$E$256,$Q857)))</f>
        <v/>
      </c>
      <c r="O857" s="38" t="n">
        <f aca="false">IF($A857="",1,IF($Q857=0,1,INDEX(COA_Mapping!$F$7:$F$256,$Q857)))</f>
        <v>1</v>
      </c>
      <c r="P857" s="34" t="str">
        <f aca="false">IF($A857="","",$I857*$O857)</f>
        <v/>
      </c>
      <c r="Q857" s="39" t="n">
        <f aca="false">IF($B857="",0,IFERROR(MATCH($B857,COA_Mapping!$A$7:$A$256,0),0))</f>
        <v>0</v>
      </c>
      <c r="R857" s="39" t="n">
        <f aca="false">IF($A857="",-1,IF($J857=Setup!$B$7,1,IF($J857=Setup!$B$9,0,-1)))</f>
        <v>-1</v>
      </c>
      <c r="S857" s="35" t="n">
        <f aca="false">IF(OR($A857="",$Q857=0,$R857=-1),0,$Q857*1000+$R857*100+$K857)</f>
        <v>0</v>
      </c>
      <c r="T857" s="37" t="str">
        <f aca="false">IF($A857="","",IF($B857="","NO ACCOUNT",IF($Q857=0,"UNMAPPED",IF($R857=-1,"OUTSIDE FY RANGE","OK"))))</f>
        <v/>
      </c>
      <c r="U857" s="40" t="str">
        <f aca="false">IF($A857="","",$B857&amp;"|"&amp;TEXT($A857,"yyyymmdd")&amp;"|"&amp;TEXT($I857,"0.00"))</f>
        <v/>
      </c>
      <c r="V857" s="35" t="str">
        <f aca="false">IF($A857="","",COUNTIF($U$8:$U$5007,$U857))</f>
        <v/>
      </c>
    </row>
    <row r="858" customFormat="false" ht="15" hidden="false" customHeight="false" outlineLevel="0" collapsed="false">
      <c r="A858" s="31"/>
      <c r="B858" s="32"/>
      <c r="C858" s="32"/>
      <c r="D858" s="32"/>
      <c r="E858" s="32"/>
      <c r="F858" s="32"/>
      <c r="G858" s="33"/>
      <c r="H858" s="33"/>
      <c r="I858" s="34" t="str">
        <f aca="false">IF($A858="","",$G858-$H858)</f>
        <v/>
      </c>
      <c r="J858" s="35" t="str">
        <f aca="false">IF($A858="","",IF(Setup!$B$6=1,YEAR($A858),YEAR($A858)+IF(MONTH($A858)&gt;=Setup!$B$6,1,0)))</f>
        <v/>
      </c>
      <c r="K858" s="35" t="str">
        <f aca="false">IF($A858="","",MOD(MONTH($A858)-Setup!$B$6+12,12)+1)</f>
        <v/>
      </c>
      <c r="L858" s="36" t="str">
        <f aca="false">IF($A858="","",TEXT($A858,"MMM-YY"))</f>
        <v/>
      </c>
      <c r="M858" s="37" t="str">
        <f aca="false">IF($A858="","",IF($Q858=0,"UNMAPPED",INDEX(COA_Mapping!$C$7:$C$256,$Q858)))</f>
        <v/>
      </c>
      <c r="N858" s="38" t="str">
        <f aca="false">IF($A858="","",IF($Q858=0,"",INDEX(COA_Mapping!$E$7:$E$256,$Q858)))</f>
        <v/>
      </c>
      <c r="O858" s="38" t="n">
        <f aca="false">IF($A858="",1,IF($Q858=0,1,INDEX(COA_Mapping!$F$7:$F$256,$Q858)))</f>
        <v>1</v>
      </c>
      <c r="P858" s="34" t="str">
        <f aca="false">IF($A858="","",$I858*$O858)</f>
        <v/>
      </c>
      <c r="Q858" s="39" t="n">
        <f aca="false">IF($B858="",0,IFERROR(MATCH($B858,COA_Mapping!$A$7:$A$256,0),0))</f>
        <v>0</v>
      </c>
      <c r="R858" s="39" t="n">
        <f aca="false">IF($A858="",-1,IF($J858=Setup!$B$7,1,IF($J858=Setup!$B$9,0,-1)))</f>
        <v>-1</v>
      </c>
      <c r="S858" s="35" t="n">
        <f aca="false">IF(OR($A858="",$Q858=0,$R858=-1),0,$Q858*1000+$R858*100+$K858)</f>
        <v>0</v>
      </c>
      <c r="T858" s="37" t="str">
        <f aca="false">IF($A858="","",IF($B858="","NO ACCOUNT",IF($Q858=0,"UNMAPPED",IF($R858=-1,"OUTSIDE FY RANGE","OK"))))</f>
        <v/>
      </c>
      <c r="U858" s="40" t="str">
        <f aca="false">IF($A858="","",$B858&amp;"|"&amp;TEXT($A858,"yyyymmdd")&amp;"|"&amp;TEXT($I858,"0.00"))</f>
        <v/>
      </c>
      <c r="V858" s="35" t="str">
        <f aca="false">IF($A858="","",COUNTIF($U$8:$U$5007,$U858))</f>
        <v/>
      </c>
    </row>
    <row r="859" customFormat="false" ht="15" hidden="false" customHeight="false" outlineLevel="0" collapsed="false">
      <c r="A859" s="31"/>
      <c r="B859" s="32"/>
      <c r="C859" s="32"/>
      <c r="D859" s="32"/>
      <c r="E859" s="32"/>
      <c r="F859" s="32"/>
      <c r="G859" s="33"/>
      <c r="H859" s="33"/>
      <c r="I859" s="34" t="str">
        <f aca="false">IF($A859="","",$G859-$H859)</f>
        <v/>
      </c>
      <c r="J859" s="35" t="str">
        <f aca="false">IF($A859="","",IF(Setup!$B$6=1,YEAR($A859),YEAR($A859)+IF(MONTH($A859)&gt;=Setup!$B$6,1,0)))</f>
        <v/>
      </c>
      <c r="K859" s="35" t="str">
        <f aca="false">IF($A859="","",MOD(MONTH($A859)-Setup!$B$6+12,12)+1)</f>
        <v/>
      </c>
      <c r="L859" s="36" t="str">
        <f aca="false">IF($A859="","",TEXT($A859,"MMM-YY"))</f>
        <v/>
      </c>
      <c r="M859" s="37" t="str">
        <f aca="false">IF($A859="","",IF($Q859=0,"UNMAPPED",INDEX(COA_Mapping!$C$7:$C$256,$Q859)))</f>
        <v/>
      </c>
      <c r="N859" s="38" t="str">
        <f aca="false">IF($A859="","",IF($Q859=0,"",INDEX(COA_Mapping!$E$7:$E$256,$Q859)))</f>
        <v/>
      </c>
      <c r="O859" s="38" t="n">
        <f aca="false">IF($A859="",1,IF($Q859=0,1,INDEX(COA_Mapping!$F$7:$F$256,$Q859)))</f>
        <v>1</v>
      </c>
      <c r="P859" s="34" t="str">
        <f aca="false">IF($A859="","",$I859*$O859)</f>
        <v/>
      </c>
      <c r="Q859" s="39" t="n">
        <f aca="false">IF($B859="",0,IFERROR(MATCH($B859,COA_Mapping!$A$7:$A$256,0),0))</f>
        <v>0</v>
      </c>
      <c r="R859" s="39" t="n">
        <f aca="false">IF($A859="",-1,IF($J859=Setup!$B$7,1,IF($J859=Setup!$B$9,0,-1)))</f>
        <v>-1</v>
      </c>
      <c r="S859" s="35" t="n">
        <f aca="false">IF(OR($A859="",$Q859=0,$R859=-1),0,$Q859*1000+$R859*100+$K859)</f>
        <v>0</v>
      </c>
      <c r="T859" s="37" t="str">
        <f aca="false">IF($A859="","",IF($B859="","NO ACCOUNT",IF($Q859=0,"UNMAPPED",IF($R859=-1,"OUTSIDE FY RANGE","OK"))))</f>
        <v/>
      </c>
      <c r="U859" s="40" t="str">
        <f aca="false">IF($A859="","",$B859&amp;"|"&amp;TEXT($A859,"yyyymmdd")&amp;"|"&amp;TEXT($I859,"0.00"))</f>
        <v/>
      </c>
      <c r="V859" s="35" t="str">
        <f aca="false">IF($A859="","",COUNTIF($U$8:$U$5007,$U859))</f>
        <v/>
      </c>
    </row>
    <row r="860" customFormat="false" ht="15" hidden="false" customHeight="false" outlineLevel="0" collapsed="false">
      <c r="A860" s="31"/>
      <c r="B860" s="32"/>
      <c r="C860" s="32"/>
      <c r="D860" s="32"/>
      <c r="E860" s="32"/>
      <c r="F860" s="32"/>
      <c r="G860" s="33"/>
      <c r="H860" s="33"/>
      <c r="I860" s="34" t="str">
        <f aca="false">IF($A860="","",$G860-$H860)</f>
        <v/>
      </c>
      <c r="J860" s="35" t="str">
        <f aca="false">IF($A860="","",IF(Setup!$B$6=1,YEAR($A860),YEAR($A860)+IF(MONTH($A860)&gt;=Setup!$B$6,1,0)))</f>
        <v/>
      </c>
      <c r="K860" s="35" t="str">
        <f aca="false">IF($A860="","",MOD(MONTH($A860)-Setup!$B$6+12,12)+1)</f>
        <v/>
      </c>
      <c r="L860" s="36" t="str">
        <f aca="false">IF($A860="","",TEXT($A860,"MMM-YY"))</f>
        <v/>
      </c>
      <c r="M860" s="37" t="str">
        <f aca="false">IF($A860="","",IF($Q860=0,"UNMAPPED",INDEX(COA_Mapping!$C$7:$C$256,$Q860)))</f>
        <v/>
      </c>
      <c r="N860" s="38" t="str">
        <f aca="false">IF($A860="","",IF($Q860=0,"",INDEX(COA_Mapping!$E$7:$E$256,$Q860)))</f>
        <v/>
      </c>
      <c r="O860" s="38" t="n">
        <f aca="false">IF($A860="",1,IF($Q860=0,1,INDEX(COA_Mapping!$F$7:$F$256,$Q860)))</f>
        <v>1</v>
      </c>
      <c r="P860" s="34" t="str">
        <f aca="false">IF($A860="","",$I860*$O860)</f>
        <v/>
      </c>
      <c r="Q860" s="39" t="n">
        <f aca="false">IF($B860="",0,IFERROR(MATCH($B860,COA_Mapping!$A$7:$A$256,0),0))</f>
        <v>0</v>
      </c>
      <c r="R860" s="39" t="n">
        <f aca="false">IF($A860="",-1,IF($J860=Setup!$B$7,1,IF($J860=Setup!$B$9,0,-1)))</f>
        <v>-1</v>
      </c>
      <c r="S860" s="35" t="n">
        <f aca="false">IF(OR($A860="",$Q860=0,$R860=-1),0,$Q860*1000+$R860*100+$K860)</f>
        <v>0</v>
      </c>
      <c r="T860" s="37" t="str">
        <f aca="false">IF($A860="","",IF($B860="","NO ACCOUNT",IF($Q860=0,"UNMAPPED",IF($R860=-1,"OUTSIDE FY RANGE","OK"))))</f>
        <v/>
      </c>
      <c r="U860" s="40" t="str">
        <f aca="false">IF($A860="","",$B860&amp;"|"&amp;TEXT($A860,"yyyymmdd")&amp;"|"&amp;TEXT($I860,"0.00"))</f>
        <v/>
      </c>
      <c r="V860" s="35" t="str">
        <f aca="false">IF($A860="","",COUNTIF($U$8:$U$5007,$U860))</f>
        <v/>
      </c>
    </row>
    <row r="861" customFormat="false" ht="15" hidden="false" customHeight="false" outlineLevel="0" collapsed="false">
      <c r="A861" s="31"/>
      <c r="B861" s="32"/>
      <c r="C861" s="32"/>
      <c r="D861" s="32"/>
      <c r="E861" s="32"/>
      <c r="F861" s="32"/>
      <c r="G861" s="33"/>
      <c r="H861" s="33"/>
      <c r="I861" s="34" t="str">
        <f aca="false">IF($A861="","",$G861-$H861)</f>
        <v/>
      </c>
      <c r="J861" s="35" t="str">
        <f aca="false">IF($A861="","",IF(Setup!$B$6=1,YEAR($A861),YEAR($A861)+IF(MONTH($A861)&gt;=Setup!$B$6,1,0)))</f>
        <v/>
      </c>
      <c r="K861" s="35" t="str">
        <f aca="false">IF($A861="","",MOD(MONTH($A861)-Setup!$B$6+12,12)+1)</f>
        <v/>
      </c>
      <c r="L861" s="36" t="str">
        <f aca="false">IF($A861="","",TEXT($A861,"MMM-YY"))</f>
        <v/>
      </c>
      <c r="M861" s="37" t="str">
        <f aca="false">IF($A861="","",IF($Q861=0,"UNMAPPED",INDEX(COA_Mapping!$C$7:$C$256,$Q861)))</f>
        <v/>
      </c>
      <c r="N861" s="38" t="str">
        <f aca="false">IF($A861="","",IF($Q861=0,"",INDEX(COA_Mapping!$E$7:$E$256,$Q861)))</f>
        <v/>
      </c>
      <c r="O861" s="38" t="n">
        <f aca="false">IF($A861="",1,IF($Q861=0,1,INDEX(COA_Mapping!$F$7:$F$256,$Q861)))</f>
        <v>1</v>
      </c>
      <c r="P861" s="34" t="str">
        <f aca="false">IF($A861="","",$I861*$O861)</f>
        <v/>
      </c>
      <c r="Q861" s="39" t="n">
        <f aca="false">IF($B861="",0,IFERROR(MATCH($B861,COA_Mapping!$A$7:$A$256,0),0))</f>
        <v>0</v>
      </c>
      <c r="R861" s="39" t="n">
        <f aca="false">IF($A861="",-1,IF($J861=Setup!$B$7,1,IF($J861=Setup!$B$9,0,-1)))</f>
        <v>-1</v>
      </c>
      <c r="S861" s="35" t="n">
        <f aca="false">IF(OR($A861="",$Q861=0,$R861=-1),0,$Q861*1000+$R861*100+$K861)</f>
        <v>0</v>
      </c>
      <c r="T861" s="37" t="str">
        <f aca="false">IF($A861="","",IF($B861="","NO ACCOUNT",IF($Q861=0,"UNMAPPED",IF($R861=-1,"OUTSIDE FY RANGE","OK"))))</f>
        <v/>
      </c>
      <c r="U861" s="40" t="str">
        <f aca="false">IF($A861="","",$B861&amp;"|"&amp;TEXT($A861,"yyyymmdd")&amp;"|"&amp;TEXT($I861,"0.00"))</f>
        <v/>
      </c>
      <c r="V861" s="35" t="str">
        <f aca="false">IF($A861="","",COUNTIF($U$8:$U$5007,$U861))</f>
        <v/>
      </c>
    </row>
    <row r="862" customFormat="false" ht="15" hidden="false" customHeight="false" outlineLevel="0" collapsed="false">
      <c r="A862" s="31"/>
      <c r="B862" s="32"/>
      <c r="C862" s="32"/>
      <c r="D862" s="32"/>
      <c r="E862" s="32"/>
      <c r="F862" s="32"/>
      <c r="G862" s="33"/>
      <c r="H862" s="33"/>
      <c r="I862" s="34" t="str">
        <f aca="false">IF($A862="","",$G862-$H862)</f>
        <v/>
      </c>
      <c r="J862" s="35" t="str">
        <f aca="false">IF($A862="","",IF(Setup!$B$6=1,YEAR($A862),YEAR($A862)+IF(MONTH($A862)&gt;=Setup!$B$6,1,0)))</f>
        <v/>
      </c>
      <c r="K862" s="35" t="str">
        <f aca="false">IF($A862="","",MOD(MONTH($A862)-Setup!$B$6+12,12)+1)</f>
        <v/>
      </c>
      <c r="L862" s="36" t="str">
        <f aca="false">IF($A862="","",TEXT($A862,"MMM-YY"))</f>
        <v/>
      </c>
      <c r="M862" s="37" t="str">
        <f aca="false">IF($A862="","",IF($Q862=0,"UNMAPPED",INDEX(COA_Mapping!$C$7:$C$256,$Q862)))</f>
        <v/>
      </c>
      <c r="N862" s="38" t="str">
        <f aca="false">IF($A862="","",IF($Q862=0,"",INDEX(COA_Mapping!$E$7:$E$256,$Q862)))</f>
        <v/>
      </c>
      <c r="O862" s="38" t="n">
        <f aca="false">IF($A862="",1,IF($Q862=0,1,INDEX(COA_Mapping!$F$7:$F$256,$Q862)))</f>
        <v>1</v>
      </c>
      <c r="P862" s="34" t="str">
        <f aca="false">IF($A862="","",$I862*$O862)</f>
        <v/>
      </c>
      <c r="Q862" s="39" t="n">
        <f aca="false">IF($B862="",0,IFERROR(MATCH($B862,COA_Mapping!$A$7:$A$256,0),0))</f>
        <v>0</v>
      </c>
      <c r="R862" s="39" t="n">
        <f aca="false">IF($A862="",-1,IF($J862=Setup!$B$7,1,IF($J862=Setup!$B$9,0,-1)))</f>
        <v>-1</v>
      </c>
      <c r="S862" s="35" t="n">
        <f aca="false">IF(OR($A862="",$Q862=0,$R862=-1),0,$Q862*1000+$R862*100+$K862)</f>
        <v>0</v>
      </c>
      <c r="T862" s="37" t="str">
        <f aca="false">IF($A862="","",IF($B862="","NO ACCOUNT",IF($Q862=0,"UNMAPPED",IF($R862=-1,"OUTSIDE FY RANGE","OK"))))</f>
        <v/>
      </c>
      <c r="U862" s="40" t="str">
        <f aca="false">IF($A862="","",$B862&amp;"|"&amp;TEXT($A862,"yyyymmdd")&amp;"|"&amp;TEXT($I862,"0.00"))</f>
        <v/>
      </c>
      <c r="V862" s="35" t="str">
        <f aca="false">IF($A862="","",COUNTIF($U$8:$U$5007,$U862))</f>
        <v/>
      </c>
    </row>
    <row r="863" customFormat="false" ht="15" hidden="false" customHeight="false" outlineLevel="0" collapsed="false">
      <c r="A863" s="31"/>
      <c r="B863" s="32"/>
      <c r="C863" s="32"/>
      <c r="D863" s="32"/>
      <c r="E863" s="32"/>
      <c r="F863" s="32"/>
      <c r="G863" s="33"/>
      <c r="H863" s="33"/>
      <c r="I863" s="34" t="str">
        <f aca="false">IF($A863="","",$G863-$H863)</f>
        <v/>
      </c>
      <c r="J863" s="35" t="str">
        <f aca="false">IF($A863="","",IF(Setup!$B$6=1,YEAR($A863),YEAR($A863)+IF(MONTH($A863)&gt;=Setup!$B$6,1,0)))</f>
        <v/>
      </c>
      <c r="K863" s="35" t="str">
        <f aca="false">IF($A863="","",MOD(MONTH($A863)-Setup!$B$6+12,12)+1)</f>
        <v/>
      </c>
      <c r="L863" s="36" t="str">
        <f aca="false">IF($A863="","",TEXT($A863,"MMM-YY"))</f>
        <v/>
      </c>
      <c r="M863" s="37" t="str">
        <f aca="false">IF($A863="","",IF($Q863=0,"UNMAPPED",INDEX(COA_Mapping!$C$7:$C$256,$Q863)))</f>
        <v/>
      </c>
      <c r="N863" s="38" t="str">
        <f aca="false">IF($A863="","",IF($Q863=0,"",INDEX(COA_Mapping!$E$7:$E$256,$Q863)))</f>
        <v/>
      </c>
      <c r="O863" s="38" t="n">
        <f aca="false">IF($A863="",1,IF($Q863=0,1,INDEX(COA_Mapping!$F$7:$F$256,$Q863)))</f>
        <v>1</v>
      </c>
      <c r="P863" s="34" t="str">
        <f aca="false">IF($A863="","",$I863*$O863)</f>
        <v/>
      </c>
      <c r="Q863" s="39" t="n">
        <f aca="false">IF($B863="",0,IFERROR(MATCH($B863,COA_Mapping!$A$7:$A$256,0),0))</f>
        <v>0</v>
      </c>
      <c r="R863" s="39" t="n">
        <f aca="false">IF($A863="",-1,IF($J863=Setup!$B$7,1,IF($J863=Setup!$B$9,0,-1)))</f>
        <v>-1</v>
      </c>
      <c r="S863" s="35" t="n">
        <f aca="false">IF(OR($A863="",$Q863=0,$R863=-1),0,$Q863*1000+$R863*100+$K863)</f>
        <v>0</v>
      </c>
      <c r="T863" s="37" t="str">
        <f aca="false">IF($A863="","",IF($B863="","NO ACCOUNT",IF($Q863=0,"UNMAPPED",IF($R863=-1,"OUTSIDE FY RANGE","OK"))))</f>
        <v/>
      </c>
      <c r="U863" s="40" t="str">
        <f aca="false">IF($A863="","",$B863&amp;"|"&amp;TEXT($A863,"yyyymmdd")&amp;"|"&amp;TEXT($I863,"0.00"))</f>
        <v/>
      </c>
      <c r="V863" s="35" t="str">
        <f aca="false">IF($A863="","",COUNTIF($U$8:$U$5007,$U863))</f>
        <v/>
      </c>
    </row>
    <row r="864" customFormat="false" ht="15" hidden="false" customHeight="false" outlineLevel="0" collapsed="false">
      <c r="A864" s="31"/>
      <c r="B864" s="32"/>
      <c r="C864" s="32"/>
      <c r="D864" s="32"/>
      <c r="E864" s="32"/>
      <c r="F864" s="32"/>
      <c r="G864" s="33"/>
      <c r="H864" s="33"/>
      <c r="I864" s="34" t="str">
        <f aca="false">IF($A864="","",$G864-$H864)</f>
        <v/>
      </c>
      <c r="J864" s="35" t="str">
        <f aca="false">IF($A864="","",IF(Setup!$B$6=1,YEAR($A864),YEAR($A864)+IF(MONTH($A864)&gt;=Setup!$B$6,1,0)))</f>
        <v/>
      </c>
      <c r="K864" s="35" t="str">
        <f aca="false">IF($A864="","",MOD(MONTH($A864)-Setup!$B$6+12,12)+1)</f>
        <v/>
      </c>
      <c r="L864" s="36" t="str">
        <f aca="false">IF($A864="","",TEXT($A864,"MMM-YY"))</f>
        <v/>
      </c>
      <c r="M864" s="37" t="str">
        <f aca="false">IF($A864="","",IF($Q864=0,"UNMAPPED",INDEX(COA_Mapping!$C$7:$C$256,$Q864)))</f>
        <v/>
      </c>
      <c r="N864" s="38" t="str">
        <f aca="false">IF($A864="","",IF($Q864=0,"",INDEX(COA_Mapping!$E$7:$E$256,$Q864)))</f>
        <v/>
      </c>
      <c r="O864" s="38" t="n">
        <f aca="false">IF($A864="",1,IF($Q864=0,1,INDEX(COA_Mapping!$F$7:$F$256,$Q864)))</f>
        <v>1</v>
      </c>
      <c r="P864" s="34" t="str">
        <f aca="false">IF($A864="","",$I864*$O864)</f>
        <v/>
      </c>
      <c r="Q864" s="39" t="n">
        <f aca="false">IF($B864="",0,IFERROR(MATCH($B864,COA_Mapping!$A$7:$A$256,0),0))</f>
        <v>0</v>
      </c>
      <c r="R864" s="39" t="n">
        <f aca="false">IF($A864="",-1,IF($J864=Setup!$B$7,1,IF($J864=Setup!$B$9,0,-1)))</f>
        <v>-1</v>
      </c>
      <c r="S864" s="35" t="n">
        <f aca="false">IF(OR($A864="",$Q864=0,$R864=-1),0,$Q864*1000+$R864*100+$K864)</f>
        <v>0</v>
      </c>
      <c r="T864" s="37" t="str">
        <f aca="false">IF($A864="","",IF($B864="","NO ACCOUNT",IF($Q864=0,"UNMAPPED",IF($R864=-1,"OUTSIDE FY RANGE","OK"))))</f>
        <v/>
      </c>
      <c r="U864" s="40" t="str">
        <f aca="false">IF($A864="","",$B864&amp;"|"&amp;TEXT($A864,"yyyymmdd")&amp;"|"&amp;TEXT($I864,"0.00"))</f>
        <v/>
      </c>
      <c r="V864" s="35" t="str">
        <f aca="false">IF($A864="","",COUNTIF($U$8:$U$5007,$U864))</f>
        <v/>
      </c>
    </row>
    <row r="865" customFormat="false" ht="15" hidden="false" customHeight="false" outlineLevel="0" collapsed="false">
      <c r="A865" s="31"/>
      <c r="B865" s="32"/>
      <c r="C865" s="32"/>
      <c r="D865" s="32"/>
      <c r="E865" s="32"/>
      <c r="F865" s="32"/>
      <c r="G865" s="33"/>
      <c r="H865" s="33"/>
      <c r="I865" s="34" t="str">
        <f aca="false">IF($A865="","",$G865-$H865)</f>
        <v/>
      </c>
      <c r="J865" s="35" t="str">
        <f aca="false">IF($A865="","",IF(Setup!$B$6=1,YEAR($A865),YEAR($A865)+IF(MONTH($A865)&gt;=Setup!$B$6,1,0)))</f>
        <v/>
      </c>
      <c r="K865" s="35" t="str">
        <f aca="false">IF($A865="","",MOD(MONTH($A865)-Setup!$B$6+12,12)+1)</f>
        <v/>
      </c>
      <c r="L865" s="36" t="str">
        <f aca="false">IF($A865="","",TEXT($A865,"MMM-YY"))</f>
        <v/>
      </c>
      <c r="M865" s="37" t="str">
        <f aca="false">IF($A865="","",IF($Q865=0,"UNMAPPED",INDEX(COA_Mapping!$C$7:$C$256,$Q865)))</f>
        <v/>
      </c>
      <c r="N865" s="38" t="str">
        <f aca="false">IF($A865="","",IF($Q865=0,"",INDEX(COA_Mapping!$E$7:$E$256,$Q865)))</f>
        <v/>
      </c>
      <c r="O865" s="38" t="n">
        <f aca="false">IF($A865="",1,IF($Q865=0,1,INDEX(COA_Mapping!$F$7:$F$256,$Q865)))</f>
        <v>1</v>
      </c>
      <c r="P865" s="34" t="str">
        <f aca="false">IF($A865="","",$I865*$O865)</f>
        <v/>
      </c>
      <c r="Q865" s="39" t="n">
        <f aca="false">IF($B865="",0,IFERROR(MATCH($B865,COA_Mapping!$A$7:$A$256,0),0))</f>
        <v>0</v>
      </c>
      <c r="R865" s="39" t="n">
        <f aca="false">IF($A865="",-1,IF($J865=Setup!$B$7,1,IF($J865=Setup!$B$9,0,-1)))</f>
        <v>-1</v>
      </c>
      <c r="S865" s="35" t="n">
        <f aca="false">IF(OR($A865="",$Q865=0,$R865=-1),0,$Q865*1000+$R865*100+$K865)</f>
        <v>0</v>
      </c>
      <c r="T865" s="37" t="str">
        <f aca="false">IF($A865="","",IF($B865="","NO ACCOUNT",IF($Q865=0,"UNMAPPED",IF($R865=-1,"OUTSIDE FY RANGE","OK"))))</f>
        <v/>
      </c>
      <c r="U865" s="40" t="str">
        <f aca="false">IF($A865="","",$B865&amp;"|"&amp;TEXT($A865,"yyyymmdd")&amp;"|"&amp;TEXT($I865,"0.00"))</f>
        <v/>
      </c>
      <c r="V865" s="35" t="str">
        <f aca="false">IF($A865="","",COUNTIF($U$8:$U$5007,$U865))</f>
        <v/>
      </c>
    </row>
    <row r="866" customFormat="false" ht="15" hidden="false" customHeight="false" outlineLevel="0" collapsed="false">
      <c r="A866" s="31"/>
      <c r="B866" s="32"/>
      <c r="C866" s="32"/>
      <c r="D866" s="32"/>
      <c r="E866" s="32"/>
      <c r="F866" s="32"/>
      <c r="G866" s="33"/>
      <c r="H866" s="33"/>
      <c r="I866" s="34" t="str">
        <f aca="false">IF($A866="","",$G866-$H866)</f>
        <v/>
      </c>
      <c r="J866" s="35" t="str">
        <f aca="false">IF($A866="","",IF(Setup!$B$6=1,YEAR($A866),YEAR($A866)+IF(MONTH($A866)&gt;=Setup!$B$6,1,0)))</f>
        <v/>
      </c>
      <c r="K866" s="35" t="str">
        <f aca="false">IF($A866="","",MOD(MONTH($A866)-Setup!$B$6+12,12)+1)</f>
        <v/>
      </c>
      <c r="L866" s="36" t="str">
        <f aca="false">IF($A866="","",TEXT($A866,"MMM-YY"))</f>
        <v/>
      </c>
      <c r="M866" s="37" t="str">
        <f aca="false">IF($A866="","",IF($Q866=0,"UNMAPPED",INDEX(COA_Mapping!$C$7:$C$256,$Q866)))</f>
        <v/>
      </c>
      <c r="N866" s="38" t="str">
        <f aca="false">IF($A866="","",IF($Q866=0,"",INDEX(COA_Mapping!$E$7:$E$256,$Q866)))</f>
        <v/>
      </c>
      <c r="O866" s="38" t="n">
        <f aca="false">IF($A866="",1,IF($Q866=0,1,INDEX(COA_Mapping!$F$7:$F$256,$Q866)))</f>
        <v>1</v>
      </c>
      <c r="P866" s="34" t="str">
        <f aca="false">IF($A866="","",$I866*$O866)</f>
        <v/>
      </c>
      <c r="Q866" s="39" t="n">
        <f aca="false">IF($B866="",0,IFERROR(MATCH($B866,COA_Mapping!$A$7:$A$256,0),0))</f>
        <v>0</v>
      </c>
      <c r="R866" s="39" t="n">
        <f aca="false">IF($A866="",-1,IF($J866=Setup!$B$7,1,IF($J866=Setup!$B$9,0,-1)))</f>
        <v>-1</v>
      </c>
      <c r="S866" s="35" t="n">
        <f aca="false">IF(OR($A866="",$Q866=0,$R866=-1),0,$Q866*1000+$R866*100+$K866)</f>
        <v>0</v>
      </c>
      <c r="T866" s="37" t="str">
        <f aca="false">IF($A866="","",IF($B866="","NO ACCOUNT",IF($Q866=0,"UNMAPPED",IF($R866=-1,"OUTSIDE FY RANGE","OK"))))</f>
        <v/>
      </c>
      <c r="U866" s="40" t="str">
        <f aca="false">IF($A866="","",$B866&amp;"|"&amp;TEXT($A866,"yyyymmdd")&amp;"|"&amp;TEXT($I866,"0.00"))</f>
        <v/>
      </c>
      <c r="V866" s="35" t="str">
        <f aca="false">IF($A866="","",COUNTIF($U$8:$U$5007,$U866))</f>
        <v/>
      </c>
    </row>
    <row r="867" customFormat="false" ht="15" hidden="false" customHeight="false" outlineLevel="0" collapsed="false">
      <c r="A867" s="31"/>
      <c r="B867" s="32"/>
      <c r="C867" s="32"/>
      <c r="D867" s="32"/>
      <c r="E867" s="32"/>
      <c r="F867" s="32"/>
      <c r="G867" s="33"/>
      <c r="H867" s="33"/>
      <c r="I867" s="34" t="str">
        <f aca="false">IF($A867="","",$G867-$H867)</f>
        <v/>
      </c>
      <c r="J867" s="35" t="str">
        <f aca="false">IF($A867="","",IF(Setup!$B$6=1,YEAR($A867),YEAR($A867)+IF(MONTH($A867)&gt;=Setup!$B$6,1,0)))</f>
        <v/>
      </c>
      <c r="K867" s="35" t="str">
        <f aca="false">IF($A867="","",MOD(MONTH($A867)-Setup!$B$6+12,12)+1)</f>
        <v/>
      </c>
      <c r="L867" s="36" t="str">
        <f aca="false">IF($A867="","",TEXT($A867,"MMM-YY"))</f>
        <v/>
      </c>
      <c r="M867" s="37" t="str">
        <f aca="false">IF($A867="","",IF($Q867=0,"UNMAPPED",INDEX(COA_Mapping!$C$7:$C$256,$Q867)))</f>
        <v/>
      </c>
      <c r="N867" s="38" t="str">
        <f aca="false">IF($A867="","",IF($Q867=0,"",INDEX(COA_Mapping!$E$7:$E$256,$Q867)))</f>
        <v/>
      </c>
      <c r="O867" s="38" t="n">
        <f aca="false">IF($A867="",1,IF($Q867=0,1,INDEX(COA_Mapping!$F$7:$F$256,$Q867)))</f>
        <v>1</v>
      </c>
      <c r="P867" s="34" t="str">
        <f aca="false">IF($A867="","",$I867*$O867)</f>
        <v/>
      </c>
      <c r="Q867" s="39" t="n">
        <f aca="false">IF($B867="",0,IFERROR(MATCH($B867,COA_Mapping!$A$7:$A$256,0),0))</f>
        <v>0</v>
      </c>
      <c r="R867" s="39" t="n">
        <f aca="false">IF($A867="",-1,IF($J867=Setup!$B$7,1,IF($J867=Setup!$B$9,0,-1)))</f>
        <v>-1</v>
      </c>
      <c r="S867" s="35" t="n">
        <f aca="false">IF(OR($A867="",$Q867=0,$R867=-1),0,$Q867*1000+$R867*100+$K867)</f>
        <v>0</v>
      </c>
      <c r="T867" s="37" t="str">
        <f aca="false">IF($A867="","",IF($B867="","NO ACCOUNT",IF($Q867=0,"UNMAPPED",IF($R867=-1,"OUTSIDE FY RANGE","OK"))))</f>
        <v/>
      </c>
      <c r="U867" s="40" t="str">
        <f aca="false">IF($A867="","",$B867&amp;"|"&amp;TEXT($A867,"yyyymmdd")&amp;"|"&amp;TEXT($I867,"0.00"))</f>
        <v/>
      </c>
      <c r="V867" s="35" t="str">
        <f aca="false">IF($A867="","",COUNTIF($U$8:$U$5007,$U867))</f>
        <v/>
      </c>
    </row>
    <row r="868" customFormat="false" ht="15" hidden="false" customHeight="false" outlineLevel="0" collapsed="false">
      <c r="A868" s="31"/>
      <c r="B868" s="32"/>
      <c r="C868" s="32"/>
      <c r="D868" s="32"/>
      <c r="E868" s="32"/>
      <c r="F868" s="32"/>
      <c r="G868" s="33"/>
      <c r="H868" s="33"/>
      <c r="I868" s="34" t="str">
        <f aca="false">IF($A868="","",$G868-$H868)</f>
        <v/>
      </c>
      <c r="J868" s="35" t="str">
        <f aca="false">IF($A868="","",IF(Setup!$B$6=1,YEAR($A868),YEAR($A868)+IF(MONTH($A868)&gt;=Setup!$B$6,1,0)))</f>
        <v/>
      </c>
      <c r="K868" s="35" t="str">
        <f aca="false">IF($A868="","",MOD(MONTH($A868)-Setup!$B$6+12,12)+1)</f>
        <v/>
      </c>
      <c r="L868" s="36" t="str">
        <f aca="false">IF($A868="","",TEXT($A868,"MMM-YY"))</f>
        <v/>
      </c>
      <c r="M868" s="37" t="str">
        <f aca="false">IF($A868="","",IF($Q868=0,"UNMAPPED",INDEX(COA_Mapping!$C$7:$C$256,$Q868)))</f>
        <v/>
      </c>
      <c r="N868" s="38" t="str">
        <f aca="false">IF($A868="","",IF($Q868=0,"",INDEX(COA_Mapping!$E$7:$E$256,$Q868)))</f>
        <v/>
      </c>
      <c r="O868" s="38" t="n">
        <f aca="false">IF($A868="",1,IF($Q868=0,1,INDEX(COA_Mapping!$F$7:$F$256,$Q868)))</f>
        <v>1</v>
      </c>
      <c r="P868" s="34" t="str">
        <f aca="false">IF($A868="","",$I868*$O868)</f>
        <v/>
      </c>
      <c r="Q868" s="39" t="n">
        <f aca="false">IF($B868="",0,IFERROR(MATCH($B868,COA_Mapping!$A$7:$A$256,0),0))</f>
        <v>0</v>
      </c>
      <c r="R868" s="39" t="n">
        <f aca="false">IF($A868="",-1,IF($J868=Setup!$B$7,1,IF($J868=Setup!$B$9,0,-1)))</f>
        <v>-1</v>
      </c>
      <c r="S868" s="35" t="n">
        <f aca="false">IF(OR($A868="",$Q868=0,$R868=-1),0,$Q868*1000+$R868*100+$K868)</f>
        <v>0</v>
      </c>
      <c r="T868" s="37" t="str">
        <f aca="false">IF($A868="","",IF($B868="","NO ACCOUNT",IF($Q868=0,"UNMAPPED",IF($R868=-1,"OUTSIDE FY RANGE","OK"))))</f>
        <v/>
      </c>
      <c r="U868" s="40" t="str">
        <f aca="false">IF($A868="","",$B868&amp;"|"&amp;TEXT($A868,"yyyymmdd")&amp;"|"&amp;TEXT($I868,"0.00"))</f>
        <v/>
      </c>
      <c r="V868" s="35" t="str">
        <f aca="false">IF($A868="","",COUNTIF($U$8:$U$5007,$U868))</f>
        <v/>
      </c>
    </row>
    <row r="869" customFormat="false" ht="15" hidden="false" customHeight="false" outlineLevel="0" collapsed="false">
      <c r="A869" s="31"/>
      <c r="B869" s="32"/>
      <c r="C869" s="32"/>
      <c r="D869" s="32"/>
      <c r="E869" s="32"/>
      <c r="F869" s="32"/>
      <c r="G869" s="33"/>
      <c r="H869" s="33"/>
      <c r="I869" s="34" t="str">
        <f aca="false">IF($A869="","",$G869-$H869)</f>
        <v/>
      </c>
      <c r="J869" s="35" t="str">
        <f aca="false">IF($A869="","",IF(Setup!$B$6=1,YEAR($A869),YEAR($A869)+IF(MONTH($A869)&gt;=Setup!$B$6,1,0)))</f>
        <v/>
      </c>
      <c r="K869" s="35" t="str">
        <f aca="false">IF($A869="","",MOD(MONTH($A869)-Setup!$B$6+12,12)+1)</f>
        <v/>
      </c>
      <c r="L869" s="36" t="str">
        <f aca="false">IF($A869="","",TEXT($A869,"MMM-YY"))</f>
        <v/>
      </c>
      <c r="M869" s="37" t="str">
        <f aca="false">IF($A869="","",IF($Q869=0,"UNMAPPED",INDEX(COA_Mapping!$C$7:$C$256,$Q869)))</f>
        <v/>
      </c>
      <c r="N869" s="38" t="str">
        <f aca="false">IF($A869="","",IF($Q869=0,"",INDEX(COA_Mapping!$E$7:$E$256,$Q869)))</f>
        <v/>
      </c>
      <c r="O869" s="38" t="n">
        <f aca="false">IF($A869="",1,IF($Q869=0,1,INDEX(COA_Mapping!$F$7:$F$256,$Q869)))</f>
        <v>1</v>
      </c>
      <c r="P869" s="34" t="str">
        <f aca="false">IF($A869="","",$I869*$O869)</f>
        <v/>
      </c>
      <c r="Q869" s="39" t="n">
        <f aca="false">IF($B869="",0,IFERROR(MATCH($B869,COA_Mapping!$A$7:$A$256,0),0))</f>
        <v>0</v>
      </c>
      <c r="R869" s="39" t="n">
        <f aca="false">IF($A869="",-1,IF($J869=Setup!$B$7,1,IF($J869=Setup!$B$9,0,-1)))</f>
        <v>-1</v>
      </c>
      <c r="S869" s="35" t="n">
        <f aca="false">IF(OR($A869="",$Q869=0,$R869=-1),0,$Q869*1000+$R869*100+$K869)</f>
        <v>0</v>
      </c>
      <c r="T869" s="37" t="str">
        <f aca="false">IF($A869="","",IF($B869="","NO ACCOUNT",IF($Q869=0,"UNMAPPED",IF($R869=-1,"OUTSIDE FY RANGE","OK"))))</f>
        <v/>
      </c>
      <c r="U869" s="40" t="str">
        <f aca="false">IF($A869="","",$B869&amp;"|"&amp;TEXT($A869,"yyyymmdd")&amp;"|"&amp;TEXT($I869,"0.00"))</f>
        <v/>
      </c>
      <c r="V869" s="35" t="str">
        <f aca="false">IF($A869="","",COUNTIF($U$8:$U$5007,$U869))</f>
        <v/>
      </c>
    </row>
    <row r="870" customFormat="false" ht="15" hidden="false" customHeight="false" outlineLevel="0" collapsed="false">
      <c r="A870" s="31"/>
      <c r="B870" s="32"/>
      <c r="C870" s="32"/>
      <c r="D870" s="32"/>
      <c r="E870" s="32"/>
      <c r="F870" s="32"/>
      <c r="G870" s="33"/>
      <c r="H870" s="33"/>
      <c r="I870" s="34" t="str">
        <f aca="false">IF($A870="","",$G870-$H870)</f>
        <v/>
      </c>
      <c r="J870" s="35" t="str">
        <f aca="false">IF($A870="","",IF(Setup!$B$6=1,YEAR($A870),YEAR($A870)+IF(MONTH($A870)&gt;=Setup!$B$6,1,0)))</f>
        <v/>
      </c>
      <c r="K870" s="35" t="str">
        <f aca="false">IF($A870="","",MOD(MONTH($A870)-Setup!$B$6+12,12)+1)</f>
        <v/>
      </c>
      <c r="L870" s="36" t="str">
        <f aca="false">IF($A870="","",TEXT($A870,"MMM-YY"))</f>
        <v/>
      </c>
      <c r="M870" s="37" t="str">
        <f aca="false">IF($A870="","",IF($Q870=0,"UNMAPPED",INDEX(COA_Mapping!$C$7:$C$256,$Q870)))</f>
        <v/>
      </c>
      <c r="N870" s="38" t="str">
        <f aca="false">IF($A870="","",IF($Q870=0,"",INDEX(COA_Mapping!$E$7:$E$256,$Q870)))</f>
        <v/>
      </c>
      <c r="O870" s="38" t="n">
        <f aca="false">IF($A870="",1,IF($Q870=0,1,INDEX(COA_Mapping!$F$7:$F$256,$Q870)))</f>
        <v>1</v>
      </c>
      <c r="P870" s="34" t="str">
        <f aca="false">IF($A870="","",$I870*$O870)</f>
        <v/>
      </c>
      <c r="Q870" s="39" t="n">
        <f aca="false">IF($B870="",0,IFERROR(MATCH($B870,COA_Mapping!$A$7:$A$256,0),0))</f>
        <v>0</v>
      </c>
      <c r="R870" s="39" t="n">
        <f aca="false">IF($A870="",-1,IF($J870=Setup!$B$7,1,IF($J870=Setup!$B$9,0,-1)))</f>
        <v>-1</v>
      </c>
      <c r="S870" s="35" t="n">
        <f aca="false">IF(OR($A870="",$Q870=0,$R870=-1),0,$Q870*1000+$R870*100+$K870)</f>
        <v>0</v>
      </c>
      <c r="T870" s="37" t="str">
        <f aca="false">IF($A870="","",IF($B870="","NO ACCOUNT",IF($Q870=0,"UNMAPPED",IF($R870=-1,"OUTSIDE FY RANGE","OK"))))</f>
        <v/>
      </c>
      <c r="U870" s="40" t="str">
        <f aca="false">IF($A870="","",$B870&amp;"|"&amp;TEXT($A870,"yyyymmdd")&amp;"|"&amp;TEXT($I870,"0.00"))</f>
        <v/>
      </c>
      <c r="V870" s="35" t="str">
        <f aca="false">IF($A870="","",COUNTIF($U$8:$U$5007,$U870))</f>
        <v/>
      </c>
    </row>
    <row r="871" customFormat="false" ht="15" hidden="false" customHeight="false" outlineLevel="0" collapsed="false">
      <c r="A871" s="31"/>
      <c r="B871" s="32"/>
      <c r="C871" s="32"/>
      <c r="D871" s="32"/>
      <c r="E871" s="32"/>
      <c r="F871" s="32"/>
      <c r="G871" s="33"/>
      <c r="H871" s="33"/>
      <c r="I871" s="34" t="str">
        <f aca="false">IF($A871="","",$G871-$H871)</f>
        <v/>
      </c>
      <c r="J871" s="35" t="str">
        <f aca="false">IF($A871="","",IF(Setup!$B$6=1,YEAR($A871),YEAR($A871)+IF(MONTH($A871)&gt;=Setup!$B$6,1,0)))</f>
        <v/>
      </c>
      <c r="K871" s="35" t="str">
        <f aca="false">IF($A871="","",MOD(MONTH($A871)-Setup!$B$6+12,12)+1)</f>
        <v/>
      </c>
      <c r="L871" s="36" t="str">
        <f aca="false">IF($A871="","",TEXT($A871,"MMM-YY"))</f>
        <v/>
      </c>
      <c r="M871" s="37" t="str">
        <f aca="false">IF($A871="","",IF($Q871=0,"UNMAPPED",INDEX(COA_Mapping!$C$7:$C$256,$Q871)))</f>
        <v/>
      </c>
      <c r="N871" s="38" t="str">
        <f aca="false">IF($A871="","",IF($Q871=0,"",INDEX(COA_Mapping!$E$7:$E$256,$Q871)))</f>
        <v/>
      </c>
      <c r="O871" s="38" t="n">
        <f aca="false">IF($A871="",1,IF($Q871=0,1,INDEX(COA_Mapping!$F$7:$F$256,$Q871)))</f>
        <v>1</v>
      </c>
      <c r="P871" s="34" t="str">
        <f aca="false">IF($A871="","",$I871*$O871)</f>
        <v/>
      </c>
      <c r="Q871" s="39" t="n">
        <f aca="false">IF($B871="",0,IFERROR(MATCH($B871,COA_Mapping!$A$7:$A$256,0),0))</f>
        <v>0</v>
      </c>
      <c r="R871" s="39" t="n">
        <f aca="false">IF($A871="",-1,IF($J871=Setup!$B$7,1,IF($J871=Setup!$B$9,0,-1)))</f>
        <v>-1</v>
      </c>
      <c r="S871" s="35" t="n">
        <f aca="false">IF(OR($A871="",$Q871=0,$R871=-1),0,$Q871*1000+$R871*100+$K871)</f>
        <v>0</v>
      </c>
      <c r="T871" s="37" t="str">
        <f aca="false">IF($A871="","",IF($B871="","NO ACCOUNT",IF($Q871=0,"UNMAPPED",IF($R871=-1,"OUTSIDE FY RANGE","OK"))))</f>
        <v/>
      </c>
      <c r="U871" s="40" t="str">
        <f aca="false">IF($A871="","",$B871&amp;"|"&amp;TEXT($A871,"yyyymmdd")&amp;"|"&amp;TEXT($I871,"0.00"))</f>
        <v/>
      </c>
      <c r="V871" s="35" t="str">
        <f aca="false">IF($A871="","",COUNTIF($U$8:$U$5007,$U871))</f>
        <v/>
      </c>
    </row>
    <row r="872" customFormat="false" ht="15" hidden="false" customHeight="false" outlineLevel="0" collapsed="false">
      <c r="A872" s="31"/>
      <c r="B872" s="32"/>
      <c r="C872" s="32"/>
      <c r="D872" s="32"/>
      <c r="E872" s="32"/>
      <c r="F872" s="32"/>
      <c r="G872" s="33"/>
      <c r="H872" s="33"/>
      <c r="I872" s="34" t="str">
        <f aca="false">IF($A872="","",$G872-$H872)</f>
        <v/>
      </c>
      <c r="J872" s="35" t="str">
        <f aca="false">IF($A872="","",IF(Setup!$B$6=1,YEAR($A872),YEAR($A872)+IF(MONTH($A872)&gt;=Setup!$B$6,1,0)))</f>
        <v/>
      </c>
      <c r="K872" s="35" t="str">
        <f aca="false">IF($A872="","",MOD(MONTH($A872)-Setup!$B$6+12,12)+1)</f>
        <v/>
      </c>
      <c r="L872" s="36" t="str">
        <f aca="false">IF($A872="","",TEXT($A872,"MMM-YY"))</f>
        <v/>
      </c>
      <c r="M872" s="37" t="str">
        <f aca="false">IF($A872="","",IF($Q872=0,"UNMAPPED",INDEX(COA_Mapping!$C$7:$C$256,$Q872)))</f>
        <v/>
      </c>
      <c r="N872" s="38" t="str">
        <f aca="false">IF($A872="","",IF($Q872=0,"",INDEX(COA_Mapping!$E$7:$E$256,$Q872)))</f>
        <v/>
      </c>
      <c r="O872" s="38" t="n">
        <f aca="false">IF($A872="",1,IF($Q872=0,1,INDEX(COA_Mapping!$F$7:$F$256,$Q872)))</f>
        <v>1</v>
      </c>
      <c r="P872" s="34" t="str">
        <f aca="false">IF($A872="","",$I872*$O872)</f>
        <v/>
      </c>
      <c r="Q872" s="39" t="n">
        <f aca="false">IF($B872="",0,IFERROR(MATCH($B872,COA_Mapping!$A$7:$A$256,0),0))</f>
        <v>0</v>
      </c>
      <c r="R872" s="39" t="n">
        <f aca="false">IF($A872="",-1,IF($J872=Setup!$B$7,1,IF($J872=Setup!$B$9,0,-1)))</f>
        <v>-1</v>
      </c>
      <c r="S872" s="35" t="n">
        <f aca="false">IF(OR($A872="",$Q872=0,$R872=-1),0,$Q872*1000+$R872*100+$K872)</f>
        <v>0</v>
      </c>
      <c r="T872" s="37" t="str">
        <f aca="false">IF($A872="","",IF($B872="","NO ACCOUNT",IF($Q872=0,"UNMAPPED",IF($R872=-1,"OUTSIDE FY RANGE","OK"))))</f>
        <v/>
      </c>
      <c r="U872" s="40" t="str">
        <f aca="false">IF($A872="","",$B872&amp;"|"&amp;TEXT($A872,"yyyymmdd")&amp;"|"&amp;TEXT($I872,"0.00"))</f>
        <v/>
      </c>
      <c r="V872" s="35" t="str">
        <f aca="false">IF($A872="","",COUNTIF($U$8:$U$5007,$U872))</f>
        <v/>
      </c>
    </row>
    <row r="873" customFormat="false" ht="15" hidden="false" customHeight="false" outlineLevel="0" collapsed="false">
      <c r="A873" s="31"/>
      <c r="B873" s="32"/>
      <c r="C873" s="32"/>
      <c r="D873" s="32"/>
      <c r="E873" s="32"/>
      <c r="F873" s="32"/>
      <c r="G873" s="33"/>
      <c r="H873" s="33"/>
      <c r="I873" s="34" t="str">
        <f aca="false">IF($A873="","",$G873-$H873)</f>
        <v/>
      </c>
      <c r="J873" s="35" t="str">
        <f aca="false">IF($A873="","",IF(Setup!$B$6=1,YEAR($A873),YEAR($A873)+IF(MONTH($A873)&gt;=Setup!$B$6,1,0)))</f>
        <v/>
      </c>
      <c r="K873" s="35" t="str">
        <f aca="false">IF($A873="","",MOD(MONTH($A873)-Setup!$B$6+12,12)+1)</f>
        <v/>
      </c>
      <c r="L873" s="36" t="str">
        <f aca="false">IF($A873="","",TEXT($A873,"MMM-YY"))</f>
        <v/>
      </c>
      <c r="M873" s="37" t="str">
        <f aca="false">IF($A873="","",IF($Q873=0,"UNMAPPED",INDEX(COA_Mapping!$C$7:$C$256,$Q873)))</f>
        <v/>
      </c>
      <c r="N873" s="38" t="str">
        <f aca="false">IF($A873="","",IF($Q873=0,"",INDEX(COA_Mapping!$E$7:$E$256,$Q873)))</f>
        <v/>
      </c>
      <c r="O873" s="38" t="n">
        <f aca="false">IF($A873="",1,IF($Q873=0,1,INDEX(COA_Mapping!$F$7:$F$256,$Q873)))</f>
        <v>1</v>
      </c>
      <c r="P873" s="34" t="str">
        <f aca="false">IF($A873="","",$I873*$O873)</f>
        <v/>
      </c>
      <c r="Q873" s="39" t="n">
        <f aca="false">IF($B873="",0,IFERROR(MATCH($B873,COA_Mapping!$A$7:$A$256,0),0))</f>
        <v>0</v>
      </c>
      <c r="R873" s="39" t="n">
        <f aca="false">IF($A873="",-1,IF($J873=Setup!$B$7,1,IF($J873=Setup!$B$9,0,-1)))</f>
        <v>-1</v>
      </c>
      <c r="S873" s="35" t="n">
        <f aca="false">IF(OR($A873="",$Q873=0,$R873=-1),0,$Q873*1000+$R873*100+$K873)</f>
        <v>0</v>
      </c>
      <c r="T873" s="37" t="str">
        <f aca="false">IF($A873="","",IF($B873="","NO ACCOUNT",IF($Q873=0,"UNMAPPED",IF($R873=-1,"OUTSIDE FY RANGE","OK"))))</f>
        <v/>
      </c>
      <c r="U873" s="40" t="str">
        <f aca="false">IF($A873="","",$B873&amp;"|"&amp;TEXT($A873,"yyyymmdd")&amp;"|"&amp;TEXT($I873,"0.00"))</f>
        <v/>
      </c>
      <c r="V873" s="35" t="str">
        <f aca="false">IF($A873="","",COUNTIF($U$8:$U$5007,$U873))</f>
        <v/>
      </c>
    </row>
    <row r="874" customFormat="false" ht="15" hidden="false" customHeight="false" outlineLevel="0" collapsed="false">
      <c r="A874" s="31"/>
      <c r="B874" s="32"/>
      <c r="C874" s="32"/>
      <c r="D874" s="32"/>
      <c r="E874" s="32"/>
      <c r="F874" s="32"/>
      <c r="G874" s="33"/>
      <c r="H874" s="33"/>
      <c r="I874" s="34" t="str">
        <f aca="false">IF($A874="","",$G874-$H874)</f>
        <v/>
      </c>
      <c r="J874" s="35" t="str">
        <f aca="false">IF($A874="","",IF(Setup!$B$6=1,YEAR($A874),YEAR($A874)+IF(MONTH($A874)&gt;=Setup!$B$6,1,0)))</f>
        <v/>
      </c>
      <c r="K874" s="35" t="str">
        <f aca="false">IF($A874="","",MOD(MONTH($A874)-Setup!$B$6+12,12)+1)</f>
        <v/>
      </c>
      <c r="L874" s="36" t="str">
        <f aca="false">IF($A874="","",TEXT($A874,"MMM-YY"))</f>
        <v/>
      </c>
      <c r="M874" s="37" t="str">
        <f aca="false">IF($A874="","",IF($Q874=0,"UNMAPPED",INDEX(COA_Mapping!$C$7:$C$256,$Q874)))</f>
        <v/>
      </c>
      <c r="N874" s="38" t="str">
        <f aca="false">IF($A874="","",IF($Q874=0,"",INDEX(COA_Mapping!$E$7:$E$256,$Q874)))</f>
        <v/>
      </c>
      <c r="O874" s="38" t="n">
        <f aca="false">IF($A874="",1,IF($Q874=0,1,INDEX(COA_Mapping!$F$7:$F$256,$Q874)))</f>
        <v>1</v>
      </c>
      <c r="P874" s="34" t="str">
        <f aca="false">IF($A874="","",$I874*$O874)</f>
        <v/>
      </c>
      <c r="Q874" s="39" t="n">
        <f aca="false">IF($B874="",0,IFERROR(MATCH($B874,COA_Mapping!$A$7:$A$256,0),0))</f>
        <v>0</v>
      </c>
      <c r="R874" s="39" t="n">
        <f aca="false">IF($A874="",-1,IF($J874=Setup!$B$7,1,IF($J874=Setup!$B$9,0,-1)))</f>
        <v>-1</v>
      </c>
      <c r="S874" s="35" t="n">
        <f aca="false">IF(OR($A874="",$Q874=0,$R874=-1),0,$Q874*1000+$R874*100+$K874)</f>
        <v>0</v>
      </c>
      <c r="T874" s="37" t="str">
        <f aca="false">IF($A874="","",IF($B874="","NO ACCOUNT",IF($Q874=0,"UNMAPPED",IF($R874=-1,"OUTSIDE FY RANGE","OK"))))</f>
        <v/>
      </c>
      <c r="U874" s="40" t="str">
        <f aca="false">IF($A874="","",$B874&amp;"|"&amp;TEXT($A874,"yyyymmdd")&amp;"|"&amp;TEXT($I874,"0.00"))</f>
        <v/>
      </c>
      <c r="V874" s="35" t="str">
        <f aca="false">IF($A874="","",COUNTIF($U$8:$U$5007,$U874))</f>
        <v/>
      </c>
    </row>
    <row r="875" customFormat="false" ht="15" hidden="false" customHeight="false" outlineLevel="0" collapsed="false">
      <c r="A875" s="31"/>
      <c r="B875" s="32"/>
      <c r="C875" s="32"/>
      <c r="D875" s="32"/>
      <c r="E875" s="32"/>
      <c r="F875" s="32"/>
      <c r="G875" s="33"/>
      <c r="H875" s="33"/>
      <c r="I875" s="34" t="str">
        <f aca="false">IF($A875="","",$G875-$H875)</f>
        <v/>
      </c>
      <c r="J875" s="35" t="str">
        <f aca="false">IF($A875="","",IF(Setup!$B$6=1,YEAR($A875),YEAR($A875)+IF(MONTH($A875)&gt;=Setup!$B$6,1,0)))</f>
        <v/>
      </c>
      <c r="K875" s="35" t="str">
        <f aca="false">IF($A875="","",MOD(MONTH($A875)-Setup!$B$6+12,12)+1)</f>
        <v/>
      </c>
      <c r="L875" s="36" t="str">
        <f aca="false">IF($A875="","",TEXT($A875,"MMM-YY"))</f>
        <v/>
      </c>
      <c r="M875" s="37" t="str">
        <f aca="false">IF($A875="","",IF($Q875=0,"UNMAPPED",INDEX(COA_Mapping!$C$7:$C$256,$Q875)))</f>
        <v/>
      </c>
      <c r="N875" s="38" t="str">
        <f aca="false">IF($A875="","",IF($Q875=0,"",INDEX(COA_Mapping!$E$7:$E$256,$Q875)))</f>
        <v/>
      </c>
      <c r="O875" s="38" t="n">
        <f aca="false">IF($A875="",1,IF($Q875=0,1,INDEX(COA_Mapping!$F$7:$F$256,$Q875)))</f>
        <v>1</v>
      </c>
      <c r="P875" s="34" t="str">
        <f aca="false">IF($A875="","",$I875*$O875)</f>
        <v/>
      </c>
      <c r="Q875" s="39" t="n">
        <f aca="false">IF($B875="",0,IFERROR(MATCH($B875,COA_Mapping!$A$7:$A$256,0),0))</f>
        <v>0</v>
      </c>
      <c r="R875" s="39" t="n">
        <f aca="false">IF($A875="",-1,IF($J875=Setup!$B$7,1,IF($J875=Setup!$B$9,0,-1)))</f>
        <v>-1</v>
      </c>
      <c r="S875" s="35" t="n">
        <f aca="false">IF(OR($A875="",$Q875=0,$R875=-1),0,$Q875*1000+$R875*100+$K875)</f>
        <v>0</v>
      </c>
      <c r="T875" s="37" t="str">
        <f aca="false">IF($A875="","",IF($B875="","NO ACCOUNT",IF($Q875=0,"UNMAPPED",IF($R875=-1,"OUTSIDE FY RANGE","OK"))))</f>
        <v/>
      </c>
      <c r="U875" s="40" t="str">
        <f aca="false">IF($A875="","",$B875&amp;"|"&amp;TEXT($A875,"yyyymmdd")&amp;"|"&amp;TEXT($I875,"0.00"))</f>
        <v/>
      </c>
      <c r="V875" s="35" t="str">
        <f aca="false">IF($A875="","",COUNTIF($U$8:$U$5007,$U875))</f>
        <v/>
      </c>
    </row>
    <row r="876" customFormat="false" ht="15" hidden="false" customHeight="false" outlineLevel="0" collapsed="false">
      <c r="A876" s="31"/>
      <c r="B876" s="32"/>
      <c r="C876" s="32"/>
      <c r="D876" s="32"/>
      <c r="E876" s="32"/>
      <c r="F876" s="32"/>
      <c r="G876" s="33"/>
      <c r="H876" s="33"/>
      <c r="I876" s="34" t="str">
        <f aca="false">IF($A876="","",$G876-$H876)</f>
        <v/>
      </c>
      <c r="J876" s="35" t="str">
        <f aca="false">IF($A876="","",IF(Setup!$B$6=1,YEAR($A876),YEAR($A876)+IF(MONTH($A876)&gt;=Setup!$B$6,1,0)))</f>
        <v/>
      </c>
      <c r="K876" s="35" t="str">
        <f aca="false">IF($A876="","",MOD(MONTH($A876)-Setup!$B$6+12,12)+1)</f>
        <v/>
      </c>
      <c r="L876" s="36" t="str">
        <f aca="false">IF($A876="","",TEXT($A876,"MMM-YY"))</f>
        <v/>
      </c>
      <c r="M876" s="37" t="str">
        <f aca="false">IF($A876="","",IF($Q876=0,"UNMAPPED",INDEX(COA_Mapping!$C$7:$C$256,$Q876)))</f>
        <v/>
      </c>
      <c r="N876" s="38" t="str">
        <f aca="false">IF($A876="","",IF($Q876=0,"",INDEX(COA_Mapping!$E$7:$E$256,$Q876)))</f>
        <v/>
      </c>
      <c r="O876" s="38" t="n">
        <f aca="false">IF($A876="",1,IF($Q876=0,1,INDEX(COA_Mapping!$F$7:$F$256,$Q876)))</f>
        <v>1</v>
      </c>
      <c r="P876" s="34" t="str">
        <f aca="false">IF($A876="","",$I876*$O876)</f>
        <v/>
      </c>
      <c r="Q876" s="39" t="n">
        <f aca="false">IF($B876="",0,IFERROR(MATCH($B876,COA_Mapping!$A$7:$A$256,0),0))</f>
        <v>0</v>
      </c>
      <c r="R876" s="39" t="n">
        <f aca="false">IF($A876="",-1,IF($J876=Setup!$B$7,1,IF($J876=Setup!$B$9,0,-1)))</f>
        <v>-1</v>
      </c>
      <c r="S876" s="35" t="n">
        <f aca="false">IF(OR($A876="",$Q876=0,$R876=-1),0,$Q876*1000+$R876*100+$K876)</f>
        <v>0</v>
      </c>
      <c r="T876" s="37" t="str">
        <f aca="false">IF($A876="","",IF($B876="","NO ACCOUNT",IF($Q876=0,"UNMAPPED",IF($R876=-1,"OUTSIDE FY RANGE","OK"))))</f>
        <v/>
      </c>
      <c r="U876" s="40" t="str">
        <f aca="false">IF($A876="","",$B876&amp;"|"&amp;TEXT($A876,"yyyymmdd")&amp;"|"&amp;TEXT($I876,"0.00"))</f>
        <v/>
      </c>
      <c r="V876" s="35" t="str">
        <f aca="false">IF($A876="","",COUNTIF($U$8:$U$5007,$U876))</f>
        <v/>
      </c>
    </row>
    <row r="877" customFormat="false" ht="15" hidden="false" customHeight="false" outlineLevel="0" collapsed="false">
      <c r="A877" s="31"/>
      <c r="B877" s="32"/>
      <c r="C877" s="32"/>
      <c r="D877" s="32"/>
      <c r="E877" s="32"/>
      <c r="F877" s="32"/>
      <c r="G877" s="33"/>
      <c r="H877" s="33"/>
      <c r="I877" s="34" t="str">
        <f aca="false">IF($A877="","",$G877-$H877)</f>
        <v/>
      </c>
      <c r="J877" s="35" t="str">
        <f aca="false">IF($A877="","",IF(Setup!$B$6=1,YEAR($A877),YEAR($A877)+IF(MONTH($A877)&gt;=Setup!$B$6,1,0)))</f>
        <v/>
      </c>
      <c r="K877" s="35" t="str">
        <f aca="false">IF($A877="","",MOD(MONTH($A877)-Setup!$B$6+12,12)+1)</f>
        <v/>
      </c>
      <c r="L877" s="36" t="str">
        <f aca="false">IF($A877="","",TEXT($A877,"MMM-YY"))</f>
        <v/>
      </c>
      <c r="M877" s="37" t="str">
        <f aca="false">IF($A877="","",IF($Q877=0,"UNMAPPED",INDEX(COA_Mapping!$C$7:$C$256,$Q877)))</f>
        <v/>
      </c>
      <c r="N877" s="38" t="str">
        <f aca="false">IF($A877="","",IF($Q877=0,"",INDEX(COA_Mapping!$E$7:$E$256,$Q877)))</f>
        <v/>
      </c>
      <c r="O877" s="38" t="n">
        <f aca="false">IF($A877="",1,IF($Q877=0,1,INDEX(COA_Mapping!$F$7:$F$256,$Q877)))</f>
        <v>1</v>
      </c>
      <c r="P877" s="34" t="str">
        <f aca="false">IF($A877="","",$I877*$O877)</f>
        <v/>
      </c>
      <c r="Q877" s="39" t="n">
        <f aca="false">IF($B877="",0,IFERROR(MATCH($B877,COA_Mapping!$A$7:$A$256,0),0))</f>
        <v>0</v>
      </c>
      <c r="R877" s="39" t="n">
        <f aca="false">IF($A877="",-1,IF($J877=Setup!$B$7,1,IF($J877=Setup!$B$9,0,-1)))</f>
        <v>-1</v>
      </c>
      <c r="S877" s="35" t="n">
        <f aca="false">IF(OR($A877="",$Q877=0,$R877=-1),0,$Q877*1000+$R877*100+$K877)</f>
        <v>0</v>
      </c>
      <c r="T877" s="37" t="str">
        <f aca="false">IF($A877="","",IF($B877="","NO ACCOUNT",IF($Q877=0,"UNMAPPED",IF($R877=-1,"OUTSIDE FY RANGE","OK"))))</f>
        <v/>
      </c>
      <c r="U877" s="40" t="str">
        <f aca="false">IF($A877="","",$B877&amp;"|"&amp;TEXT($A877,"yyyymmdd")&amp;"|"&amp;TEXT($I877,"0.00"))</f>
        <v/>
      </c>
      <c r="V877" s="35" t="str">
        <f aca="false">IF($A877="","",COUNTIF($U$8:$U$5007,$U877))</f>
        <v/>
      </c>
    </row>
    <row r="878" customFormat="false" ht="15" hidden="false" customHeight="false" outlineLevel="0" collapsed="false">
      <c r="A878" s="31"/>
      <c r="B878" s="32"/>
      <c r="C878" s="32"/>
      <c r="D878" s="32"/>
      <c r="E878" s="32"/>
      <c r="F878" s="32"/>
      <c r="G878" s="33"/>
      <c r="H878" s="33"/>
      <c r="I878" s="34" t="str">
        <f aca="false">IF($A878="","",$G878-$H878)</f>
        <v/>
      </c>
      <c r="J878" s="35" t="str">
        <f aca="false">IF($A878="","",IF(Setup!$B$6=1,YEAR($A878),YEAR($A878)+IF(MONTH($A878)&gt;=Setup!$B$6,1,0)))</f>
        <v/>
      </c>
      <c r="K878" s="35" t="str">
        <f aca="false">IF($A878="","",MOD(MONTH($A878)-Setup!$B$6+12,12)+1)</f>
        <v/>
      </c>
      <c r="L878" s="36" t="str">
        <f aca="false">IF($A878="","",TEXT($A878,"MMM-YY"))</f>
        <v/>
      </c>
      <c r="M878" s="37" t="str">
        <f aca="false">IF($A878="","",IF($Q878=0,"UNMAPPED",INDEX(COA_Mapping!$C$7:$C$256,$Q878)))</f>
        <v/>
      </c>
      <c r="N878" s="38" t="str">
        <f aca="false">IF($A878="","",IF($Q878=0,"",INDEX(COA_Mapping!$E$7:$E$256,$Q878)))</f>
        <v/>
      </c>
      <c r="O878" s="38" t="n">
        <f aca="false">IF($A878="",1,IF($Q878=0,1,INDEX(COA_Mapping!$F$7:$F$256,$Q878)))</f>
        <v>1</v>
      </c>
      <c r="P878" s="34" t="str">
        <f aca="false">IF($A878="","",$I878*$O878)</f>
        <v/>
      </c>
      <c r="Q878" s="39" t="n">
        <f aca="false">IF($B878="",0,IFERROR(MATCH($B878,COA_Mapping!$A$7:$A$256,0),0))</f>
        <v>0</v>
      </c>
      <c r="R878" s="39" t="n">
        <f aca="false">IF($A878="",-1,IF($J878=Setup!$B$7,1,IF($J878=Setup!$B$9,0,-1)))</f>
        <v>-1</v>
      </c>
      <c r="S878" s="35" t="n">
        <f aca="false">IF(OR($A878="",$Q878=0,$R878=-1),0,$Q878*1000+$R878*100+$K878)</f>
        <v>0</v>
      </c>
      <c r="T878" s="37" t="str">
        <f aca="false">IF($A878="","",IF($B878="","NO ACCOUNT",IF($Q878=0,"UNMAPPED",IF($R878=-1,"OUTSIDE FY RANGE","OK"))))</f>
        <v/>
      </c>
      <c r="U878" s="40" t="str">
        <f aca="false">IF($A878="","",$B878&amp;"|"&amp;TEXT($A878,"yyyymmdd")&amp;"|"&amp;TEXT($I878,"0.00"))</f>
        <v/>
      </c>
      <c r="V878" s="35" t="str">
        <f aca="false">IF($A878="","",COUNTIF($U$8:$U$5007,$U878))</f>
        <v/>
      </c>
    </row>
    <row r="879" customFormat="false" ht="15" hidden="false" customHeight="false" outlineLevel="0" collapsed="false">
      <c r="A879" s="31"/>
      <c r="B879" s="32"/>
      <c r="C879" s="32"/>
      <c r="D879" s="32"/>
      <c r="E879" s="32"/>
      <c r="F879" s="32"/>
      <c r="G879" s="33"/>
      <c r="H879" s="33"/>
      <c r="I879" s="34" t="str">
        <f aca="false">IF($A879="","",$G879-$H879)</f>
        <v/>
      </c>
      <c r="J879" s="35" t="str">
        <f aca="false">IF($A879="","",IF(Setup!$B$6=1,YEAR($A879),YEAR($A879)+IF(MONTH($A879)&gt;=Setup!$B$6,1,0)))</f>
        <v/>
      </c>
      <c r="K879" s="35" t="str">
        <f aca="false">IF($A879="","",MOD(MONTH($A879)-Setup!$B$6+12,12)+1)</f>
        <v/>
      </c>
      <c r="L879" s="36" t="str">
        <f aca="false">IF($A879="","",TEXT($A879,"MMM-YY"))</f>
        <v/>
      </c>
      <c r="M879" s="37" t="str">
        <f aca="false">IF($A879="","",IF($Q879=0,"UNMAPPED",INDEX(COA_Mapping!$C$7:$C$256,$Q879)))</f>
        <v/>
      </c>
      <c r="N879" s="38" t="str">
        <f aca="false">IF($A879="","",IF($Q879=0,"",INDEX(COA_Mapping!$E$7:$E$256,$Q879)))</f>
        <v/>
      </c>
      <c r="O879" s="38" t="n">
        <f aca="false">IF($A879="",1,IF($Q879=0,1,INDEX(COA_Mapping!$F$7:$F$256,$Q879)))</f>
        <v>1</v>
      </c>
      <c r="P879" s="34" t="str">
        <f aca="false">IF($A879="","",$I879*$O879)</f>
        <v/>
      </c>
      <c r="Q879" s="39" t="n">
        <f aca="false">IF($B879="",0,IFERROR(MATCH($B879,COA_Mapping!$A$7:$A$256,0),0))</f>
        <v>0</v>
      </c>
      <c r="R879" s="39" t="n">
        <f aca="false">IF($A879="",-1,IF($J879=Setup!$B$7,1,IF($J879=Setup!$B$9,0,-1)))</f>
        <v>-1</v>
      </c>
      <c r="S879" s="35" t="n">
        <f aca="false">IF(OR($A879="",$Q879=0,$R879=-1),0,$Q879*1000+$R879*100+$K879)</f>
        <v>0</v>
      </c>
      <c r="T879" s="37" t="str">
        <f aca="false">IF($A879="","",IF($B879="","NO ACCOUNT",IF($Q879=0,"UNMAPPED",IF($R879=-1,"OUTSIDE FY RANGE","OK"))))</f>
        <v/>
      </c>
      <c r="U879" s="40" t="str">
        <f aca="false">IF($A879="","",$B879&amp;"|"&amp;TEXT($A879,"yyyymmdd")&amp;"|"&amp;TEXT($I879,"0.00"))</f>
        <v/>
      </c>
      <c r="V879" s="35" t="str">
        <f aca="false">IF($A879="","",COUNTIF($U$8:$U$5007,$U879))</f>
        <v/>
      </c>
    </row>
    <row r="880" customFormat="false" ht="15" hidden="false" customHeight="false" outlineLevel="0" collapsed="false">
      <c r="A880" s="31"/>
      <c r="B880" s="32"/>
      <c r="C880" s="32"/>
      <c r="D880" s="32"/>
      <c r="E880" s="32"/>
      <c r="F880" s="32"/>
      <c r="G880" s="33"/>
      <c r="H880" s="33"/>
      <c r="I880" s="34" t="str">
        <f aca="false">IF($A880="","",$G880-$H880)</f>
        <v/>
      </c>
      <c r="J880" s="35" t="str">
        <f aca="false">IF($A880="","",IF(Setup!$B$6=1,YEAR($A880),YEAR($A880)+IF(MONTH($A880)&gt;=Setup!$B$6,1,0)))</f>
        <v/>
      </c>
      <c r="K880" s="35" t="str">
        <f aca="false">IF($A880="","",MOD(MONTH($A880)-Setup!$B$6+12,12)+1)</f>
        <v/>
      </c>
      <c r="L880" s="36" t="str">
        <f aca="false">IF($A880="","",TEXT($A880,"MMM-YY"))</f>
        <v/>
      </c>
      <c r="M880" s="37" t="str">
        <f aca="false">IF($A880="","",IF($Q880=0,"UNMAPPED",INDEX(COA_Mapping!$C$7:$C$256,$Q880)))</f>
        <v/>
      </c>
      <c r="N880" s="38" t="str">
        <f aca="false">IF($A880="","",IF($Q880=0,"",INDEX(COA_Mapping!$E$7:$E$256,$Q880)))</f>
        <v/>
      </c>
      <c r="O880" s="38" t="n">
        <f aca="false">IF($A880="",1,IF($Q880=0,1,INDEX(COA_Mapping!$F$7:$F$256,$Q880)))</f>
        <v>1</v>
      </c>
      <c r="P880" s="34" t="str">
        <f aca="false">IF($A880="","",$I880*$O880)</f>
        <v/>
      </c>
      <c r="Q880" s="39" t="n">
        <f aca="false">IF($B880="",0,IFERROR(MATCH($B880,COA_Mapping!$A$7:$A$256,0),0))</f>
        <v>0</v>
      </c>
      <c r="R880" s="39" t="n">
        <f aca="false">IF($A880="",-1,IF($J880=Setup!$B$7,1,IF($J880=Setup!$B$9,0,-1)))</f>
        <v>-1</v>
      </c>
      <c r="S880" s="35" t="n">
        <f aca="false">IF(OR($A880="",$Q880=0,$R880=-1),0,$Q880*1000+$R880*100+$K880)</f>
        <v>0</v>
      </c>
      <c r="T880" s="37" t="str">
        <f aca="false">IF($A880="","",IF($B880="","NO ACCOUNT",IF($Q880=0,"UNMAPPED",IF($R880=-1,"OUTSIDE FY RANGE","OK"))))</f>
        <v/>
      </c>
      <c r="U880" s="40" t="str">
        <f aca="false">IF($A880="","",$B880&amp;"|"&amp;TEXT($A880,"yyyymmdd")&amp;"|"&amp;TEXT($I880,"0.00"))</f>
        <v/>
      </c>
      <c r="V880" s="35" t="str">
        <f aca="false">IF($A880="","",COUNTIF($U$8:$U$5007,$U880))</f>
        <v/>
      </c>
    </row>
    <row r="881" customFormat="false" ht="15" hidden="false" customHeight="false" outlineLevel="0" collapsed="false">
      <c r="A881" s="31"/>
      <c r="B881" s="32"/>
      <c r="C881" s="32"/>
      <c r="D881" s="32"/>
      <c r="E881" s="32"/>
      <c r="F881" s="32"/>
      <c r="G881" s="33"/>
      <c r="H881" s="33"/>
      <c r="I881" s="34" t="str">
        <f aca="false">IF($A881="","",$G881-$H881)</f>
        <v/>
      </c>
      <c r="J881" s="35" t="str">
        <f aca="false">IF($A881="","",IF(Setup!$B$6=1,YEAR($A881),YEAR($A881)+IF(MONTH($A881)&gt;=Setup!$B$6,1,0)))</f>
        <v/>
      </c>
      <c r="K881" s="35" t="str">
        <f aca="false">IF($A881="","",MOD(MONTH($A881)-Setup!$B$6+12,12)+1)</f>
        <v/>
      </c>
      <c r="L881" s="36" t="str">
        <f aca="false">IF($A881="","",TEXT($A881,"MMM-YY"))</f>
        <v/>
      </c>
      <c r="M881" s="37" t="str">
        <f aca="false">IF($A881="","",IF($Q881=0,"UNMAPPED",INDEX(COA_Mapping!$C$7:$C$256,$Q881)))</f>
        <v/>
      </c>
      <c r="N881" s="38" t="str">
        <f aca="false">IF($A881="","",IF($Q881=0,"",INDEX(COA_Mapping!$E$7:$E$256,$Q881)))</f>
        <v/>
      </c>
      <c r="O881" s="38" t="n">
        <f aca="false">IF($A881="",1,IF($Q881=0,1,INDEX(COA_Mapping!$F$7:$F$256,$Q881)))</f>
        <v>1</v>
      </c>
      <c r="P881" s="34" t="str">
        <f aca="false">IF($A881="","",$I881*$O881)</f>
        <v/>
      </c>
      <c r="Q881" s="39" t="n">
        <f aca="false">IF($B881="",0,IFERROR(MATCH($B881,COA_Mapping!$A$7:$A$256,0),0))</f>
        <v>0</v>
      </c>
      <c r="R881" s="39" t="n">
        <f aca="false">IF($A881="",-1,IF($J881=Setup!$B$7,1,IF($J881=Setup!$B$9,0,-1)))</f>
        <v>-1</v>
      </c>
      <c r="S881" s="35" t="n">
        <f aca="false">IF(OR($A881="",$Q881=0,$R881=-1),0,$Q881*1000+$R881*100+$K881)</f>
        <v>0</v>
      </c>
      <c r="T881" s="37" t="str">
        <f aca="false">IF($A881="","",IF($B881="","NO ACCOUNT",IF($Q881=0,"UNMAPPED",IF($R881=-1,"OUTSIDE FY RANGE","OK"))))</f>
        <v/>
      </c>
      <c r="U881" s="40" t="str">
        <f aca="false">IF($A881="","",$B881&amp;"|"&amp;TEXT($A881,"yyyymmdd")&amp;"|"&amp;TEXT($I881,"0.00"))</f>
        <v/>
      </c>
      <c r="V881" s="35" t="str">
        <f aca="false">IF($A881="","",COUNTIF($U$8:$U$5007,$U881))</f>
        <v/>
      </c>
    </row>
    <row r="882" customFormat="false" ht="15" hidden="false" customHeight="false" outlineLevel="0" collapsed="false">
      <c r="A882" s="31"/>
      <c r="B882" s="32"/>
      <c r="C882" s="32"/>
      <c r="D882" s="32"/>
      <c r="E882" s="32"/>
      <c r="F882" s="32"/>
      <c r="G882" s="33"/>
      <c r="H882" s="33"/>
      <c r="I882" s="34" t="str">
        <f aca="false">IF($A882="","",$G882-$H882)</f>
        <v/>
      </c>
      <c r="J882" s="35" t="str">
        <f aca="false">IF($A882="","",IF(Setup!$B$6=1,YEAR($A882),YEAR($A882)+IF(MONTH($A882)&gt;=Setup!$B$6,1,0)))</f>
        <v/>
      </c>
      <c r="K882" s="35" t="str">
        <f aca="false">IF($A882="","",MOD(MONTH($A882)-Setup!$B$6+12,12)+1)</f>
        <v/>
      </c>
      <c r="L882" s="36" t="str">
        <f aca="false">IF($A882="","",TEXT($A882,"MMM-YY"))</f>
        <v/>
      </c>
      <c r="M882" s="37" t="str">
        <f aca="false">IF($A882="","",IF($Q882=0,"UNMAPPED",INDEX(COA_Mapping!$C$7:$C$256,$Q882)))</f>
        <v/>
      </c>
      <c r="N882" s="38" t="str">
        <f aca="false">IF($A882="","",IF($Q882=0,"",INDEX(COA_Mapping!$E$7:$E$256,$Q882)))</f>
        <v/>
      </c>
      <c r="O882" s="38" t="n">
        <f aca="false">IF($A882="",1,IF($Q882=0,1,INDEX(COA_Mapping!$F$7:$F$256,$Q882)))</f>
        <v>1</v>
      </c>
      <c r="P882" s="34" t="str">
        <f aca="false">IF($A882="","",$I882*$O882)</f>
        <v/>
      </c>
      <c r="Q882" s="39" t="n">
        <f aca="false">IF($B882="",0,IFERROR(MATCH($B882,COA_Mapping!$A$7:$A$256,0),0))</f>
        <v>0</v>
      </c>
      <c r="R882" s="39" t="n">
        <f aca="false">IF($A882="",-1,IF($J882=Setup!$B$7,1,IF($J882=Setup!$B$9,0,-1)))</f>
        <v>-1</v>
      </c>
      <c r="S882" s="35" t="n">
        <f aca="false">IF(OR($A882="",$Q882=0,$R882=-1),0,$Q882*1000+$R882*100+$K882)</f>
        <v>0</v>
      </c>
      <c r="T882" s="37" t="str">
        <f aca="false">IF($A882="","",IF($B882="","NO ACCOUNT",IF($Q882=0,"UNMAPPED",IF($R882=-1,"OUTSIDE FY RANGE","OK"))))</f>
        <v/>
      </c>
      <c r="U882" s="40" t="str">
        <f aca="false">IF($A882="","",$B882&amp;"|"&amp;TEXT($A882,"yyyymmdd")&amp;"|"&amp;TEXT($I882,"0.00"))</f>
        <v/>
      </c>
      <c r="V882" s="35" t="str">
        <f aca="false">IF($A882="","",COUNTIF($U$8:$U$5007,$U882))</f>
        <v/>
      </c>
    </row>
    <row r="883" customFormat="false" ht="15" hidden="false" customHeight="false" outlineLevel="0" collapsed="false">
      <c r="A883" s="31"/>
      <c r="B883" s="32"/>
      <c r="C883" s="32"/>
      <c r="D883" s="32"/>
      <c r="E883" s="32"/>
      <c r="F883" s="32"/>
      <c r="G883" s="33"/>
      <c r="H883" s="33"/>
      <c r="I883" s="34" t="str">
        <f aca="false">IF($A883="","",$G883-$H883)</f>
        <v/>
      </c>
      <c r="J883" s="35" t="str">
        <f aca="false">IF($A883="","",IF(Setup!$B$6=1,YEAR($A883),YEAR($A883)+IF(MONTH($A883)&gt;=Setup!$B$6,1,0)))</f>
        <v/>
      </c>
      <c r="K883" s="35" t="str">
        <f aca="false">IF($A883="","",MOD(MONTH($A883)-Setup!$B$6+12,12)+1)</f>
        <v/>
      </c>
      <c r="L883" s="36" t="str">
        <f aca="false">IF($A883="","",TEXT($A883,"MMM-YY"))</f>
        <v/>
      </c>
      <c r="M883" s="37" t="str">
        <f aca="false">IF($A883="","",IF($Q883=0,"UNMAPPED",INDEX(COA_Mapping!$C$7:$C$256,$Q883)))</f>
        <v/>
      </c>
      <c r="N883" s="38" t="str">
        <f aca="false">IF($A883="","",IF($Q883=0,"",INDEX(COA_Mapping!$E$7:$E$256,$Q883)))</f>
        <v/>
      </c>
      <c r="O883" s="38" t="n">
        <f aca="false">IF($A883="",1,IF($Q883=0,1,INDEX(COA_Mapping!$F$7:$F$256,$Q883)))</f>
        <v>1</v>
      </c>
      <c r="P883" s="34" t="str">
        <f aca="false">IF($A883="","",$I883*$O883)</f>
        <v/>
      </c>
      <c r="Q883" s="39" t="n">
        <f aca="false">IF($B883="",0,IFERROR(MATCH($B883,COA_Mapping!$A$7:$A$256,0),0))</f>
        <v>0</v>
      </c>
      <c r="R883" s="39" t="n">
        <f aca="false">IF($A883="",-1,IF($J883=Setup!$B$7,1,IF($J883=Setup!$B$9,0,-1)))</f>
        <v>-1</v>
      </c>
      <c r="S883" s="35" t="n">
        <f aca="false">IF(OR($A883="",$Q883=0,$R883=-1),0,$Q883*1000+$R883*100+$K883)</f>
        <v>0</v>
      </c>
      <c r="T883" s="37" t="str">
        <f aca="false">IF($A883="","",IF($B883="","NO ACCOUNT",IF($Q883=0,"UNMAPPED",IF($R883=-1,"OUTSIDE FY RANGE","OK"))))</f>
        <v/>
      </c>
      <c r="U883" s="40" t="str">
        <f aca="false">IF($A883="","",$B883&amp;"|"&amp;TEXT($A883,"yyyymmdd")&amp;"|"&amp;TEXT($I883,"0.00"))</f>
        <v/>
      </c>
      <c r="V883" s="35" t="str">
        <f aca="false">IF($A883="","",COUNTIF($U$8:$U$5007,$U883))</f>
        <v/>
      </c>
    </row>
    <row r="884" customFormat="false" ht="15" hidden="false" customHeight="false" outlineLevel="0" collapsed="false">
      <c r="A884" s="31"/>
      <c r="B884" s="32"/>
      <c r="C884" s="32"/>
      <c r="D884" s="32"/>
      <c r="E884" s="32"/>
      <c r="F884" s="32"/>
      <c r="G884" s="33"/>
      <c r="H884" s="33"/>
      <c r="I884" s="34" t="str">
        <f aca="false">IF($A884="","",$G884-$H884)</f>
        <v/>
      </c>
      <c r="J884" s="35" t="str">
        <f aca="false">IF($A884="","",IF(Setup!$B$6=1,YEAR($A884),YEAR($A884)+IF(MONTH($A884)&gt;=Setup!$B$6,1,0)))</f>
        <v/>
      </c>
      <c r="K884" s="35" t="str">
        <f aca="false">IF($A884="","",MOD(MONTH($A884)-Setup!$B$6+12,12)+1)</f>
        <v/>
      </c>
      <c r="L884" s="36" t="str">
        <f aca="false">IF($A884="","",TEXT($A884,"MMM-YY"))</f>
        <v/>
      </c>
      <c r="M884" s="37" t="str">
        <f aca="false">IF($A884="","",IF($Q884=0,"UNMAPPED",INDEX(COA_Mapping!$C$7:$C$256,$Q884)))</f>
        <v/>
      </c>
      <c r="N884" s="38" t="str">
        <f aca="false">IF($A884="","",IF($Q884=0,"",INDEX(COA_Mapping!$E$7:$E$256,$Q884)))</f>
        <v/>
      </c>
      <c r="O884" s="38" t="n">
        <f aca="false">IF($A884="",1,IF($Q884=0,1,INDEX(COA_Mapping!$F$7:$F$256,$Q884)))</f>
        <v>1</v>
      </c>
      <c r="P884" s="34" t="str">
        <f aca="false">IF($A884="","",$I884*$O884)</f>
        <v/>
      </c>
      <c r="Q884" s="39" t="n">
        <f aca="false">IF($B884="",0,IFERROR(MATCH($B884,COA_Mapping!$A$7:$A$256,0),0))</f>
        <v>0</v>
      </c>
      <c r="R884" s="39" t="n">
        <f aca="false">IF($A884="",-1,IF($J884=Setup!$B$7,1,IF($J884=Setup!$B$9,0,-1)))</f>
        <v>-1</v>
      </c>
      <c r="S884" s="35" t="n">
        <f aca="false">IF(OR($A884="",$Q884=0,$R884=-1),0,$Q884*1000+$R884*100+$K884)</f>
        <v>0</v>
      </c>
      <c r="T884" s="37" t="str">
        <f aca="false">IF($A884="","",IF($B884="","NO ACCOUNT",IF($Q884=0,"UNMAPPED",IF($R884=-1,"OUTSIDE FY RANGE","OK"))))</f>
        <v/>
      </c>
      <c r="U884" s="40" t="str">
        <f aca="false">IF($A884="","",$B884&amp;"|"&amp;TEXT($A884,"yyyymmdd")&amp;"|"&amp;TEXT($I884,"0.00"))</f>
        <v/>
      </c>
      <c r="V884" s="35" t="str">
        <f aca="false">IF($A884="","",COUNTIF($U$8:$U$5007,$U884))</f>
        <v/>
      </c>
    </row>
    <row r="885" customFormat="false" ht="15" hidden="false" customHeight="false" outlineLevel="0" collapsed="false">
      <c r="A885" s="31"/>
      <c r="B885" s="32"/>
      <c r="C885" s="32"/>
      <c r="D885" s="32"/>
      <c r="E885" s="32"/>
      <c r="F885" s="32"/>
      <c r="G885" s="33"/>
      <c r="H885" s="33"/>
      <c r="I885" s="34" t="str">
        <f aca="false">IF($A885="","",$G885-$H885)</f>
        <v/>
      </c>
      <c r="J885" s="35" t="str">
        <f aca="false">IF($A885="","",IF(Setup!$B$6=1,YEAR($A885),YEAR($A885)+IF(MONTH($A885)&gt;=Setup!$B$6,1,0)))</f>
        <v/>
      </c>
      <c r="K885" s="35" t="str">
        <f aca="false">IF($A885="","",MOD(MONTH($A885)-Setup!$B$6+12,12)+1)</f>
        <v/>
      </c>
      <c r="L885" s="36" t="str">
        <f aca="false">IF($A885="","",TEXT($A885,"MMM-YY"))</f>
        <v/>
      </c>
      <c r="M885" s="37" t="str">
        <f aca="false">IF($A885="","",IF($Q885=0,"UNMAPPED",INDEX(COA_Mapping!$C$7:$C$256,$Q885)))</f>
        <v/>
      </c>
      <c r="N885" s="38" t="str">
        <f aca="false">IF($A885="","",IF($Q885=0,"",INDEX(COA_Mapping!$E$7:$E$256,$Q885)))</f>
        <v/>
      </c>
      <c r="O885" s="38" t="n">
        <f aca="false">IF($A885="",1,IF($Q885=0,1,INDEX(COA_Mapping!$F$7:$F$256,$Q885)))</f>
        <v>1</v>
      </c>
      <c r="P885" s="34" t="str">
        <f aca="false">IF($A885="","",$I885*$O885)</f>
        <v/>
      </c>
      <c r="Q885" s="39" t="n">
        <f aca="false">IF($B885="",0,IFERROR(MATCH($B885,COA_Mapping!$A$7:$A$256,0),0))</f>
        <v>0</v>
      </c>
      <c r="R885" s="39" t="n">
        <f aca="false">IF($A885="",-1,IF($J885=Setup!$B$7,1,IF($J885=Setup!$B$9,0,-1)))</f>
        <v>-1</v>
      </c>
      <c r="S885" s="35" t="n">
        <f aca="false">IF(OR($A885="",$Q885=0,$R885=-1),0,$Q885*1000+$R885*100+$K885)</f>
        <v>0</v>
      </c>
      <c r="T885" s="37" t="str">
        <f aca="false">IF($A885="","",IF($B885="","NO ACCOUNT",IF($Q885=0,"UNMAPPED",IF($R885=-1,"OUTSIDE FY RANGE","OK"))))</f>
        <v/>
      </c>
      <c r="U885" s="40" t="str">
        <f aca="false">IF($A885="","",$B885&amp;"|"&amp;TEXT($A885,"yyyymmdd")&amp;"|"&amp;TEXT($I885,"0.00"))</f>
        <v/>
      </c>
      <c r="V885" s="35" t="str">
        <f aca="false">IF($A885="","",COUNTIF($U$8:$U$5007,$U885))</f>
        <v/>
      </c>
    </row>
    <row r="886" customFormat="false" ht="15" hidden="false" customHeight="false" outlineLevel="0" collapsed="false">
      <c r="A886" s="31"/>
      <c r="B886" s="32"/>
      <c r="C886" s="32"/>
      <c r="D886" s="32"/>
      <c r="E886" s="32"/>
      <c r="F886" s="32"/>
      <c r="G886" s="33"/>
      <c r="H886" s="33"/>
      <c r="I886" s="34" t="str">
        <f aca="false">IF($A886="","",$G886-$H886)</f>
        <v/>
      </c>
      <c r="J886" s="35" t="str">
        <f aca="false">IF($A886="","",IF(Setup!$B$6=1,YEAR($A886),YEAR($A886)+IF(MONTH($A886)&gt;=Setup!$B$6,1,0)))</f>
        <v/>
      </c>
      <c r="K886" s="35" t="str">
        <f aca="false">IF($A886="","",MOD(MONTH($A886)-Setup!$B$6+12,12)+1)</f>
        <v/>
      </c>
      <c r="L886" s="36" t="str">
        <f aca="false">IF($A886="","",TEXT($A886,"MMM-YY"))</f>
        <v/>
      </c>
      <c r="M886" s="37" t="str">
        <f aca="false">IF($A886="","",IF($Q886=0,"UNMAPPED",INDEX(COA_Mapping!$C$7:$C$256,$Q886)))</f>
        <v/>
      </c>
      <c r="N886" s="38" t="str">
        <f aca="false">IF($A886="","",IF($Q886=0,"",INDEX(COA_Mapping!$E$7:$E$256,$Q886)))</f>
        <v/>
      </c>
      <c r="O886" s="38" t="n">
        <f aca="false">IF($A886="",1,IF($Q886=0,1,INDEX(COA_Mapping!$F$7:$F$256,$Q886)))</f>
        <v>1</v>
      </c>
      <c r="P886" s="34" t="str">
        <f aca="false">IF($A886="","",$I886*$O886)</f>
        <v/>
      </c>
      <c r="Q886" s="39" t="n">
        <f aca="false">IF($B886="",0,IFERROR(MATCH($B886,COA_Mapping!$A$7:$A$256,0),0))</f>
        <v>0</v>
      </c>
      <c r="R886" s="39" t="n">
        <f aca="false">IF($A886="",-1,IF($J886=Setup!$B$7,1,IF($J886=Setup!$B$9,0,-1)))</f>
        <v>-1</v>
      </c>
      <c r="S886" s="35" t="n">
        <f aca="false">IF(OR($A886="",$Q886=0,$R886=-1),0,$Q886*1000+$R886*100+$K886)</f>
        <v>0</v>
      </c>
      <c r="T886" s="37" t="str">
        <f aca="false">IF($A886="","",IF($B886="","NO ACCOUNT",IF($Q886=0,"UNMAPPED",IF($R886=-1,"OUTSIDE FY RANGE","OK"))))</f>
        <v/>
      </c>
      <c r="U886" s="40" t="str">
        <f aca="false">IF($A886="","",$B886&amp;"|"&amp;TEXT($A886,"yyyymmdd")&amp;"|"&amp;TEXT($I886,"0.00"))</f>
        <v/>
      </c>
      <c r="V886" s="35" t="str">
        <f aca="false">IF($A886="","",COUNTIF($U$8:$U$5007,$U886))</f>
        <v/>
      </c>
    </row>
    <row r="887" customFormat="false" ht="15" hidden="false" customHeight="false" outlineLevel="0" collapsed="false">
      <c r="A887" s="31"/>
      <c r="B887" s="32"/>
      <c r="C887" s="32"/>
      <c r="D887" s="32"/>
      <c r="E887" s="32"/>
      <c r="F887" s="32"/>
      <c r="G887" s="33"/>
      <c r="H887" s="33"/>
      <c r="I887" s="34" t="str">
        <f aca="false">IF($A887="","",$G887-$H887)</f>
        <v/>
      </c>
      <c r="J887" s="35" t="str">
        <f aca="false">IF($A887="","",IF(Setup!$B$6=1,YEAR($A887),YEAR($A887)+IF(MONTH($A887)&gt;=Setup!$B$6,1,0)))</f>
        <v/>
      </c>
      <c r="K887" s="35" t="str">
        <f aca="false">IF($A887="","",MOD(MONTH($A887)-Setup!$B$6+12,12)+1)</f>
        <v/>
      </c>
      <c r="L887" s="36" t="str">
        <f aca="false">IF($A887="","",TEXT($A887,"MMM-YY"))</f>
        <v/>
      </c>
      <c r="M887" s="37" t="str">
        <f aca="false">IF($A887="","",IF($Q887=0,"UNMAPPED",INDEX(COA_Mapping!$C$7:$C$256,$Q887)))</f>
        <v/>
      </c>
      <c r="N887" s="38" t="str">
        <f aca="false">IF($A887="","",IF($Q887=0,"",INDEX(COA_Mapping!$E$7:$E$256,$Q887)))</f>
        <v/>
      </c>
      <c r="O887" s="38" t="n">
        <f aca="false">IF($A887="",1,IF($Q887=0,1,INDEX(COA_Mapping!$F$7:$F$256,$Q887)))</f>
        <v>1</v>
      </c>
      <c r="P887" s="34" t="str">
        <f aca="false">IF($A887="","",$I887*$O887)</f>
        <v/>
      </c>
      <c r="Q887" s="39" t="n">
        <f aca="false">IF($B887="",0,IFERROR(MATCH($B887,COA_Mapping!$A$7:$A$256,0),0))</f>
        <v>0</v>
      </c>
      <c r="R887" s="39" t="n">
        <f aca="false">IF($A887="",-1,IF($J887=Setup!$B$7,1,IF($J887=Setup!$B$9,0,-1)))</f>
        <v>-1</v>
      </c>
      <c r="S887" s="35" t="n">
        <f aca="false">IF(OR($A887="",$Q887=0,$R887=-1),0,$Q887*1000+$R887*100+$K887)</f>
        <v>0</v>
      </c>
      <c r="T887" s="37" t="str">
        <f aca="false">IF($A887="","",IF($B887="","NO ACCOUNT",IF($Q887=0,"UNMAPPED",IF($R887=-1,"OUTSIDE FY RANGE","OK"))))</f>
        <v/>
      </c>
      <c r="U887" s="40" t="str">
        <f aca="false">IF($A887="","",$B887&amp;"|"&amp;TEXT($A887,"yyyymmdd")&amp;"|"&amp;TEXT($I887,"0.00"))</f>
        <v/>
      </c>
      <c r="V887" s="35" t="str">
        <f aca="false">IF($A887="","",COUNTIF($U$8:$U$5007,$U887))</f>
        <v/>
      </c>
    </row>
    <row r="888" customFormat="false" ht="15" hidden="false" customHeight="false" outlineLevel="0" collapsed="false">
      <c r="A888" s="31"/>
      <c r="B888" s="32"/>
      <c r="C888" s="32"/>
      <c r="D888" s="32"/>
      <c r="E888" s="32"/>
      <c r="F888" s="32"/>
      <c r="G888" s="33"/>
      <c r="H888" s="33"/>
      <c r="I888" s="34" t="str">
        <f aca="false">IF($A888="","",$G888-$H888)</f>
        <v/>
      </c>
      <c r="J888" s="35" t="str">
        <f aca="false">IF($A888="","",IF(Setup!$B$6=1,YEAR($A888),YEAR($A888)+IF(MONTH($A888)&gt;=Setup!$B$6,1,0)))</f>
        <v/>
      </c>
      <c r="K888" s="35" t="str">
        <f aca="false">IF($A888="","",MOD(MONTH($A888)-Setup!$B$6+12,12)+1)</f>
        <v/>
      </c>
      <c r="L888" s="36" t="str">
        <f aca="false">IF($A888="","",TEXT($A888,"MMM-YY"))</f>
        <v/>
      </c>
      <c r="M888" s="37" t="str">
        <f aca="false">IF($A888="","",IF($Q888=0,"UNMAPPED",INDEX(COA_Mapping!$C$7:$C$256,$Q888)))</f>
        <v/>
      </c>
      <c r="N888" s="38" t="str">
        <f aca="false">IF($A888="","",IF($Q888=0,"",INDEX(COA_Mapping!$E$7:$E$256,$Q888)))</f>
        <v/>
      </c>
      <c r="O888" s="38" t="n">
        <f aca="false">IF($A888="",1,IF($Q888=0,1,INDEX(COA_Mapping!$F$7:$F$256,$Q888)))</f>
        <v>1</v>
      </c>
      <c r="P888" s="34" t="str">
        <f aca="false">IF($A888="","",$I888*$O888)</f>
        <v/>
      </c>
      <c r="Q888" s="39" t="n">
        <f aca="false">IF($B888="",0,IFERROR(MATCH($B888,COA_Mapping!$A$7:$A$256,0),0))</f>
        <v>0</v>
      </c>
      <c r="R888" s="39" t="n">
        <f aca="false">IF($A888="",-1,IF($J888=Setup!$B$7,1,IF($J888=Setup!$B$9,0,-1)))</f>
        <v>-1</v>
      </c>
      <c r="S888" s="35" t="n">
        <f aca="false">IF(OR($A888="",$Q888=0,$R888=-1),0,$Q888*1000+$R888*100+$K888)</f>
        <v>0</v>
      </c>
      <c r="T888" s="37" t="str">
        <f aca="false">IF($A888="","",IF($B888="","NO ACCOUNT",IF($Q888=0,"UNMAPPED",IF($R888=-1,"OUTSIDE FY RANGE","OK"))))</f>
        <v/>
      </c>
      <c r="U888" s="40" t="str">
        <f aca="false">IF($A888="","",$B888&amp;"|"&amp;TEXT($A888,"yyyymmdd")&amp;"|"&amp;TEXT($I888,"0.00"))</f>
        <v/>
      </c>
      <c r="V888" s="35" t="str">
        <f aca="false">IF($A888="","",COUNTIF($U$8:$U$5007,$U888))</f>
        <v/>
      </c>
    </row>
    <row r="889" customFormat="false" ht="15" hidden="false" customHeight="false" outlineLevel="0" collapsed="false">
      <c r="A889" s="31"/>
      <c r="B889" s="32"/>
      <c r="C889" s="32"/>
      <c r="D889" s="32"/>
      <c r="E889" s="32"/>
      <c r="F889" s="32"/>
      <c r="G889" s="33"/>
      <c r="H889" s="33"/>
      <c r="I889" s="34" t="str">
        <f aca="false">IF($A889="","",$G889-$H889)</f>
        <v/>
      </c>
      <c r="J889" s="35" t="str">
        <f aca="false">IF($A889="","",IF(Setup!$B$6=1,YEAR($A889),YEAR($A889)+IF(MONTH($A889)&gt;=Setup!$B$6,1,0)))</f>
        <v/>
      </c>
      <c r="K889" s="35" t="str">
        <f aca="false">IF($A889="","",MOD(MONTH($A889)-Setup!$B$6+12,12)+1)</f>
        <v/>
      </c>
      <c r="L889" s="36" t="str">
        <f aca="false">IF($A889="","",TEXT($A889,"MMM-YY"))</f>
        <v/>
      </c>
      <c r="M889" s="37" t="str">
        <f aca="false">IF($A889="","",IF($Q889=0,"UNMAPPED",INDEX(COA_Mapping!$C$7:$C$256,$Q889)))</f>
        <v/>
      </c>
      <c r="N889" s="38" t="str">
        <f aca="false">IF($A889="","",IF($Q889=0,"",INDEX(COA_Mapping!$E$7:$E$256,$Q889)))</f>
        <v/>
      </c>
      <c r="O889" s="38" t="n">
        <f aca="false">IF($A889="",1,IF($Q889=0,1,INDEX(COA_Mapping!$F$7:$F$256,$Q889)))</f>
        <v>1</v>
      </c>
      <c r="P889" s="34" t="str">
        <f aca="false">IF($A889="","",$I889*$O889)</f>
        <v/>
      </c>
      <c r="Q889" s="39" t="n">
        <f aca="false">IF($B889="",0,IFERROR(MATCH($B889,COA_Mapping!$A$7:$A$256,0),0))</f>
        <v>0</v>
      </c>
      <c r="R889" s="39" t="n">
        <f aca="false">IF($A889="",-1,IF($J889=Setup!$B$7,1,IF($J889=Setup!$B$9,0,-1)))</f>
        <v>-1</v>
      </c>
      <c r="S889" s="35" t="n">
        <f aca="false">IF(OR($A889="",$Q889=0,$R889=-1),0,$Q889*1000+$R889*100+$K889)</f>
        <v>0</v>
      </c>
      <c r="T889" s="37" t="str">
        <f aca="false">IF($A889="","",IF($B889="","NO ACCOUNT",IF($Q889=0,"UNMAPPED",IF($R889=-1,"OUTSIDE FY RANGE","OK"))))</f>
        <v/>
      </c>
      <c r="U889" s="40" t="str">
        <f aca="false">IF($A889="","",$B889&amp;"|"&amp;TEXT($A889,"yyyymmdd")&amp;"|"&amp;TEXT($I889,"0.00"))</f>
        <v/>
      </c>
      <c r="V889" s="35" t="str">
        <f aca="false">IF($A889="","",COUNTIF($U$8:$U$5007,$U889))</f>
        <v/>
      </c>
    </row>
    <row r="890" customFormat="false" ht="15" hidden="false" customHeight="false" outlineLevel="0" collapsed="false">
      <c r="A890" s="31"/>
      <c r="B890" s="32"/>
      <c r="C890" s="32"/>
      <c r="D890" s="32"/>
      <c r="E890" s="32"/>
      <c r="F890" s="32"/>
      <c r="G890" s="33"/>
      <c r="H890" s="33"/>
      <c r="I890" s="34" t="str">
        <f aca="false">IF($A890="","",$G890-$H890)</f>
        <v/>
      </c>
      <c r="J890" s="35" t="str">
        <f aca="false">IF($A890="","",IF(Setup!$B$6=1,YEAR($A890),YEAR($A890)+IF(MONTH($A890)&gt;=Setup!$B$6,1,0)))</f>
        <v/>
      </c>
      <c r="K890" s="35" t="str">
        <f aca="false">IF($A890="","",MOD(MONTH($A890)-Setup!$B$6+12,12)+1)</f>
        <v/>
      </c>
      <c r="L890" s="36" t="str">
        <f aca="false">IF($A890="","",TEXT($A890,"MMM-YY"))</f>
        <v/>
      </c>
      <c r="M890" s="37" t="str">
        <f aca="false">IF($A890="","",IF($Q890=0,"UNMAPPED",INDEX(COA_Mapping!$C$7:$C$256,$Q890)))</f>
        <v/>
      </c>
      <c r="N890" s="38" t="str">
        <f aca="false">IF($A890="","",IF($Q890=0,"",INDEX(COA_Mapping!$E$7:$E$256,$Q890)))</f>
        <v/>
      </c>
      <c r="O890" s="38" t="n">
        <f aca="false">IF($A890="",1,IF($Q890=0,1,INDEX(COA_Mapping!$F$7:$F$256,$Q890)))</f>
        <v>1</v>
      </c>
      <c r="P890" s="34" t="str">
        <f aca="false">IF($A890="","",$I890*$O890)</f>
        <v/>
      </c>
      <c r="Q890" s="39" t="n">
        <f aca="false">IF($B890="",0,IFERROR(MATCH($B890,COA_Mapping!$A$7:$A$256,0),0))</f>
        <v>0</v>
      </c>
      <c r="R890" s="39" t="n">
        <f aca="false">IF($A890="",-1,IF($J890=Setup!$B$7,1,IF($J890=Setup!$B$9,0,-1)))</f>
        <v>-1</v>
      </c>
      <c r="S890" s="35" t="n">
        <f aca="false">IF(OR($A890="",$Q890=0,$R890=-1),0,$Q890*1000+$R890*100+$K890)</f>
        <v>0</v>
      </c>
      <c r="T890" s="37" t="str">
        <f aca="false">IF($A890="","",IF($B890="","NO ACCOUNT",IF($Q890=0,"UNMAPPED",IF($R890=-1,"OUTSIDE FY RANGE","OK"))))</f>
        <v/>
      </c>
      <c r="U890" s="40" t="str">
        <f aca="false">IF($A890="","",$B890&amp;"|"&amp;TEXT($A890,"yyyymmdd")&amp;"|"&amp;TEXT($I890,"0.00"))</f>
        <v/>
      </c>
      <c r="V890" s="35" t="str">
        <f aca="false">IF($A890="","",COUNTIF($U$8:$U$5007,$U890))</f>
        <v/>
      </c>
    </row>
    <row r="891" customFormat="false" ht="15" hidden="false" customHeight="false" outlineLevel="0" collapsed="false">
      <c r="A891" s="31"/>
      <c r="B891" s="32"/>
      <c r="C891" s="32"/>
      <c r="D891" s="32"/>
      <c r="E891" s="32"/>
      <c r="F891" s="32"/>
      <c r="G891" s="33"/>
      <c r="H891" s="33"/>
      <c r="I891" s="34" t="str">
        <f aca="false">IF($A891="","",$G891-$H891)</f>
        <v/>
      </c>
      <c r="J891" s="35" t="str">
        <f aca="false">IF($A891="","",IF(Setup!$B$6=1,YEAR($A891),YEAR($A891)+IF(MONTH($A891)&gt;=Setup!$B$6,1,0)))</f>
        <v/>
      </c>
      <c r="K891" s="35" t="str">
        <f aca="false">IF($A891="","",MOD(MONTH($A891)-Setup!$B$6+12,12)+1)</f>
        <v/>
      </c>
      <c r="L891" s="36" t="str">
        <f aca="false">IF($A891="","",TEXT($A891,"MMM-YY"))</f>
        <v/>
      </c>
      <c r="M891" s="37" t="str">
        <f aca="false">IF($A891="","",IF($Q891=0,"UNMAPPED",INDEX(COA_Mapping!$C$7:$C$256,$Q891)))</f>
        <v/>
      </c>
      <c r="N891" s="38" t="str">
        <f aca="false">IF($A891="","",IF($Q891=0,"",INDEX(COA_Mapping!$E$7:$E$256,$Q891)))</f>
        <v/>
      </c>
      <c r="O891" s="38" t="n">
        <f aca="false">IF($A891="",1,IF($Q891=0,1,INDEX(COA_Mapping!$F$7:$F$256,$Q891)))</f>
        <v>1</v>
      </c>
      <c r="P891" s="34" t="str">
        <f aca="false">IF($A891="","",$I891*$O891)</f>
        <v/>
      </c>
      <c r="Q891" s="39" t="n">
        <f aca="false">IF($B891="",0,IFERROR(MATCH($B891,COA_Mapping!$A$7:$A$256,0),0))</f>
        <v>0</v>
      </c>
      <c r="R891" s="39" t="n">
        <f aca="false">IF($A891="",-1,IF($J891=Setup!$B$7,1,IF($J891=Setup!$B$9,0,-1)))</f>
        <v>-1</v>
      </c>
      <c r="S891" s="35" t="n">
        <f aca="false">IF(OR($A891="",$Q891=0,$R891=-1),0,$Q891*1000+$R891*100+$K891)</f>
        <v>0</v>
      </c>
      <c r="T891" s="37" t="str">
        <f aca="false">IF($A891="","",IF($B891="","NO ACCOUNT",IF($Q891=0,"UNMAPPED",IF($R891=-1,"OUTSIDE FY RANGE","OK"))))</f>
        <v/>
      </c>
      <c r="U891" s="40" t="str">
        <f aca="false">IF($A891="","",$B891&amp;"|"&amp;TEXT($A891,"yyyymmdd")&amp;"|"&amp;TEXT($I891,"0.00"))</f>
        <v/>
      </c>
      <c r="V891" s="35" t="str">
        <f aca="false">IF($A891="","",COUNTIF($U$8:$U$5007,$U891))</f>
        <v/>
      </c>
    </row>
    <row r="892" customFormat="false" ht="15" hidden="false" customHeight="false" outlineLevel="0" collapsed="false">
      <c r="A892" s="31"/>
      <c r="B892" s="32"/>
      <c r="C892" s="32"/>
      <c r="D892" s="32"/>
      <c r="E892" s="32"/>
      <c r="F892" s="32"/>
      <c r="G892" s="33"/>
      <c r="H892" s="33"/>
      <c r="I892" s="34" t="str">
        <f aca="false">IF($A892="","",$G892-$H892)</f>
        <v/>
      </c>
      <c r="J892" s="35" t="str">
        <f aca="false">IF($A892="","",IF(Setup!$B$6=1,YEAR($A892),YEAR($A892)+IF(MONTH($A892)&gt;=Setup!$B$6,1,0)))</f>
        <v/>
      </c>
      <c r="K892" s="35" t="str">
        <f aca="false">IF($A892="","",MOD(MONTH($A892)-Setup!$B$6+12,12)+1)</f>
        <v/>
      </c>
      <c r="L892" s="36" t="str">
        <f aca="false">IF($A892="","",TEXT($A892,"MMM-YY"))</f>
        <v/>
      </c>
      <c r="M892" s="37" t="str">
        <f aca="false">IF($A892="","",IF($Q892=0,"UNMAPPED",INDEX(COA_Mapping!$C$7:$C$256,$Q892)))</f>
        <v/>
      </c>
      <c r="N892" s="38" t="str">
        <f aca="false">IF($A892="","",IF($Q892=0,"",INDEX(COA_Mapping!$E$7:$E$256,$Q892)))</f>
        <v/>
      </c>
      <c r="O892" s="38" t="n">
        <f aca="false">IF($A892="",1,IF($Q892=0,1,INDEX(COA_Mapping!$F$7:$F$256,$Q892)))</f>
        <v>1</v>
      </c>
      <c r="P892" s="34" t="str">
        <f aca="false">IF($A892="","",$I892*$O892)</f>
        <v/>
      </c>
      <c r="Q892" s="39" t="n">
        <f aca="false">IF($B892="",0,IFERROR(MATCH($B892,COA_Mapping!$A$7:$A$256,0),0))</f>
        <v>0</v>
      </c>
      <c r="R892" s="39" t="n">
        <f aca="false">IF($A892="",-1,IF($J892=Setup!$B$7,1,IF($J892=Setup!$B$9,0,-1)))</f>
        <v>-1</v>
      </c>
      <c r="S892" s="35" t="n">
        <f aca="false">IF(OR($A892="",$Q892=0,$R892=-1),0,$Q892*1000+$R892*100+$K892)</f>
        <v>0</v>
      </c>
      <c r="T892" s="37" t="str">
        <f aca="false">IF($A892="","",IF($B892="","NO ACCOUNT",IF($Q892=0,"UNMAPPED",IF($R892=-1,"OUTSIDE FY RANGE","OK"))))</f>
        <v/>
      </c>
      <c r="U892" s="40" t="str">
        <f aca="false">IF($A892="","",$B892&amp;"|"&amp;TEXT($A892,"yyyymmdd")&amp;"|"&amp;TEXT($I892,"0.00"))</f>
        <v/>
      </c>
      <c r="V892" s="35" t="str">
        <f aca="false">IF($A892="","",COUNTIF($U$8:$U$5007,$U892))</f>
        <v/>
      </c>
    </row>
    <row r="893" customFormat="false" ht="15" hidden="false" customHeight="false" outlineLevel="0" collapsed="false">
      <c r="A893" s="31"/>
      <c r="B893" s="32"/>
      <c r="C893" s="32"/>
      <c r="D893" s="32"/>
      <c r="E893" s="32"/>
      <c r="F893" s="32"/>
      <c r="G893" s="33"/>
      <c r="H893" s="33"/>
      <c r="I893" s="34" t="str">
        <f aca="false">IF($A893="","",$G893-$H893)</f>
        <v/>
      </c>
      <c r="J893" s="35" t="str">
        <f aca="false">IF($A893="","",IF(Setup!$B$6=1,YEAR($A893),YEAR($A893)+IF(MONTH($A893)&gt;=Setup!$B$6,1,0)))</f>
        <v/>
      </c>
      <c r="K893" s="35" t="str">
        <f aca="false">IF($A893="","",MOD(MONTH($A893)-Setup!$B$6+12,12)+1)</f>
        <v/>
      </c>
      <c r="L893" s="36" t="str">
        <f aca="false">IF($A893="","",TEXT($A893,"MMM-YY"))</f>
        <v/>
      </c>
      <c r="M893" s="37" t="str">
        <f aca="false">IF($A893="","",IF($Q893=0,"UNMAPPED",INDEX(COA_Mapping!$C$7:$C$256,$Q893)))</f>
        <v/>
      </c>
      <c r="N893" s="38" t="str">
        <f aca="false">IF($A893="","",IF($Q893=0,"",INDEX(COA_Mapping!$E$7:$E$256,$Q893)))</f>
        <v/>
      </c>
      <c r="O893" s="38" t="n">
        <f aca="false">IF($A893="",1,IF($Q893=0,1,INDEX(COA_Mapping!$F$7:$F$256,$Q893)))</f>
        <v>1</v>
      </c>
      <c r="P893" s="34" t="str">
        <f aca="false">IF($A893="","",$I893*$O893)</f>
        <v/>
      </c>
      <c r="Q893" s="39" t="n">
        <f aca="false">IF($B893="",0,IFERROR(MATCH($B893,COA_Mapping!$A$7:$A$256,0),0))</f>
        <v>0</v>
      </c>
      <c r="R893" s="39" t="n">
        <f aca="false">IF($A893="",-1,IF($J893=Setup!$B$7,1,IF($J893=Setup!$B$9,0,-1)))</f>
        <v>-1</v>
      </c>
      <c r="S893" s="35" t="n">
        <f aca="false">IF(OR($A893="",$Q893=0,$R893=-1),0,$Q893*1000+$R893*100+$K893)</f>
        <v>0</v>
      </c>
      <c r="T893" s="37" t="str">
        <f aca="false">IF($A893="","",IF($B893="","NO ACCOUNT",IF($Q893=0,"UNMAPPED",IF($R893=-1,"OUTSIDE FY RANGE","OK"))))</f>
        <v/>
      </c>
      <c r="U893" s="40" t="str">
        <f aca="false">IF($A893="","",$B893&amp;"|"&amp;TEXT($A893,"yyyymmdd")&amp;"|"&amp;TEXT($I893,"0.00"))</f>
        <v/>
      </c>
      <c r="V893" s="35" t="str">
        <f aca="false">IF($A893="","",COUNTIF($U$8:$U$5007,$U893))</f>
        <v/>
      </c>
    </row>
    <row r="894" customFormat="false" ht="15" hidden="false" customHeight="false" outlineLevel="0" collapsed="false">
      <c r="A894" s="31"/>
      <c r="B894" s="32"/>
      <c r="C894" s="32"/>
      <c r="D894" s="32"/>
      <c r="E894" s="32"/>
      <c r="F894" s="32"/>
      <c r="G894" s="33"/>
      <c r="H894" s="33"/>
      <c r="I894" s="34" t="str">
        <f aca="false">IF($A894="","",$G894-$H894)</f>
        <v/>
      </c>
      <c r="J894" s="35" t="str">
        <f aca="false">IF($A894="","",IF(Setup!$B$6=1,YEAR($A894),YEAR($A894)+IF(MONTH($A894)&gt;=Setup!$B$6,1,0)))</f>
        <v/>
      </c>
      <c r="K894" s="35" t="str">
        <f aca="false">IF($A894="","",MOD(MONTH($A894)-Setup!$B$6+12,12)+1)</f>
        <v/>
      </c>
      <c r="L894" s="36" t="str">
        <f aca="false">IF($A894="","",TEXT($A894,"MMM-YY"))</f>
        <v/>
      </c>
      <c r="M894" s="37" t="str">
        <f aca="false">IF($A894="","",IF($Q894=0,"UNMAPPED",INDEX(COA_Mapping!$C$7:$C$256,$Q894)))</f>
        <v/>
      </c>
      <c r="N894" s="38" t="str">
        <f aca="false">IF($A894="","",IF($Q894=0,"",INDEX(COA_Mapping!$E$7:$E$256,$Q894)))</f>
        <v/>
      </c>
      <c r="O894" s="38" t="n">
        <f aca="false">IF($A894="",1,IF($Q894=0,1,INDEX(COA_Mapping!$F$7:$F$256,$Q894)))</f>
        <v>1</v>
      </c>
      <c r="P894" s="34" t="str">
        <f aca="false">IF($A894="","",$I894*$O894)</f>
        <v/>
      </c>
      <c r="Q894" s="39" t="n">
        <f aca="false">IF($B894="",0,IFERROR(MATCH($B894,COA_Mapping!$A$7:$A$256,0),0))</f>
        <v>0</v>
      </c>
      <c r="R894" s="39" t="n">
        <f aca="false">IF($A894="",-1,IF($J894=Setup!$B$7,1,IF($J894=Setup!$B$9,0,-1)))</f>
        <v>-1</v>
      </c>
      <c r="S894" s="35" t="n">
        <f aca="false">IF(OR($A894="",$Q894=0,$R894=-1),0,$Q894*1000+$R894*100+$K894)</f>
        <v>0</v>
      </c>
      <c r="T894" s="37" t="str">
        <f aca="false">IF($A894="","",IF($B894="","NO ACCOUNT",IF($Q894=0,"UNMAPPED",IF($R894=-1,"OUTSIDE FY RANGE","OK"))))</f>
        <v/>
      </c>
      <c r="U894" s="40" t="str">
        <f aca="false">IF($A894="","",$B894&amp;"|"&amp;TEXT($A894,"yyyymmdd")&amp;"|"&amp;TEXT($I894,"0.00"))</f>
        <v/>
      </c>
      <c r="V894" s="35" t="str">
        <f aca="false">IF($A894="","",COUNTIF($U$8:$U$5007,$U894))</f>
        <v/>
      </c>
    </row>
    <row r="895" customFormat="false" ht="15" hidden="false" customHeight="false" outlineLevel="0" collapsed="false">
      <c r="A895" s="31"/>
      <c r="B895" s="32"/>
      <c r="C895" s="32"/>
      <c r="D895" s="32"/>
      <c r="E895" s="32"/>
      <c r="F895" s="32"/>
      <c r="G895" s="33"/>
      <c r="H895" s="33"/>
      <c r="I895" s="34" t="str">
        <f aca="false">IF($A895="","",$G895-$H895)</f>
        <v/>
      </c>
      <c r="J895" s="35" t="str">
        <f aca="false">IF($A895="","",IF(Setup!$B$6=1,YEAR($A895),YEAR($A895)+IF(MONTH($A895)&gt;=Setup!$B$6,1,0)))</f>
        <v/>
      </c>
      <c r="K895" s="35" t="str">
        <f aca="false">IF($A895="","",MOD(MONTH($A895)-Setup!$B$6+12,12)+1)</f>
        <v/>
      </c>
      <c r="L895" s="36" t="str">
        <f aca="false">IF($A895="","",TEXT($A895,"MMM-YY"))</f>
        <v/>
      </c>
      <c r="M895" s="37" t="str">
        <f aca="false">IF($A895="","",IF($Q895=0,"UNMAPPED",INDEX(COA_Mapping!$C$7:$C$256,$Q895)))</f>
        <v/>
      </c>
      <c r="N895" s="38" t="str">
        <f aca="false">IF($A895="","",IF($Q895=0,"",INDEX(COA_Mapping!$E$7:$E$256,$Q895)))</f>
        <v/>
      </c>
      <c r="O895" s="38" t="n">
        <f aca="false">IF($A895="",1,IF($Q895=0,1,INDEX(COA_Mapping!$F$7:$F$256,$Q895)))</f>
        <v>1</v>
      </c>
      <c r="P895" s="34" t="str">
        <f aca="false">IF($A895="","",$I895*$O895)</f>
        <v/>
      </c>
      <c r="Q895" s="39" t="n">
        <f aca="false">IF($B895="",0,IFERROR(MATCH($B895,COA_Mapping!$A$7:$A$256,0),0))</f>
        <v>0</v>
      </c>
      <c r="R895" s="39" t="n">
        <f aca="false">IF($A895="",-1,IF($J895=Setup!$B$7,1,IF($J895=Setup!$B$9,0,-1)))</f>
        <v>-1</v>
      </c>
      <c r="S895" s="35" t="n">
        <f aca="false">IF(OR($A895="",$Q895=0,$R895=-1),0,$Q895*1000+$R895*100+$K895)</f>
        <v>0</v>
      </c>
      <c r="T895" s="37" t="str">
        <f aca="false">IF($A895="","",IF($B895="","NO ACCOUNT",IF($Q895=0,"UNMAPPED",IF($R895=-1,"OUTSIDE FY RANGE","OK"))))</f>
        <v/>
      </c>
      <c r="U895" s="40" t="str">
        <f aca="false">IF($A895="","",$B895&amp;"|"&amp;TEXT($A895,"yyyymmdd")&amp;"|"&amp;TEXT($I895,"0.00"))</f>
        <v/>
      </c>
      <c r="V895" s="35" t="str">
        <f aca="false">IF($A895="","",COUNTIF($U$8:$U$5007,$U895))</f>
        <v/>
      </c>
    </row>
    <row r="896" customFormat="false" ht="15" hidden="false" customHeight="false" outlineLevel="0" collapsed="false">
      <c r="A896" s="31"/>
      <c r="B896" s="32"/>
      <c r="C896" s="32"/>
      <c r="D896" s="32"/>
      <c r="E896" s="32"/>
      <c r="F896" s="32"/>
      <c r="G896" s="33"/>
      <c r="H896" s="33"/>
      <c r="I896" s="34" t="str">
        <f aca="false">IF($A896="","",$G896-$H896)</f>
        <v/>
      </c>
      <c r="J896" s="35" t="str">
        <f aca="false">IF($A896="","",IF(Setup!$B$6=1,YEAR($A896),YEAR($A896)+IF(MONTH($A896)&gt;=Setup!$B$6,1,0)))</f>
        <v/>
      </c>
      <c r="K896" s="35" t="str">
        <f aca="false">IF($A896="","",MOD(MONTH($A896)-Setup!$B$6+12,12)+1)</f>
        <v/>
      </c>
      <c r="L896" s="36" t="str">
        <f aca="false">IF($A896="","",TEXT($A896,"MMM-YY"))</f>
        <v/>
      </c>
      <c r="M896" s="37" t="str">
        <f aca="false">IF($A896="","",IF($Q896=0,"UNMAPPED",INDEX(COA_Mapping!$C$7:$C$256,$Q896)))</f>
        <v/>
      </c>
      <c r="N896" s="38" t="str">
        <f aca="false">IF($A896="","",IF($Q896=0,"",INDEX(COA_Mapping!$E$7:$E$256,$Q896)))</f>
        <v/>
      </c>
      <c r="O896" s="38" t="n">
        <f aca="false">IF($A896="",1,IF($Q896=0,1,INDEX(COA_Mapping!$F$7:$F$256,$Q896)))</f>
        <v>1</v>
      </c>
      <c r="P896" s="34" t="str">
        <f aca="false">IF($A896="","",$I896*$O896)</f>
        <v/>
      </c>
      <c r="Q896" s="39" t="n">
        <f aca="false">IF($B896="",0,IFERROR(MATCH($B896,COA_Mapping!$A$7:$A$256,0),0))</f>
        <v>0</v>
      </c>
      <c r="R896" s="39" t="n">
        <f aca="false">IF($A896="",-1,IF($J896=Setup!$B$7,1,IF($J896=Setup!$B$9,0,-1)))</f>
        <v>-1</v>
      </c>
      <c r="S896" s="35" t="n">
        <f aca="false">IF(OR($A896="",$Q896=0,$R896=-1),0,$Q896*1000+$R896*100+$K896)</f>
        <v>0</v>
      </c>
      <c r="T896" s="37" t="str">
        <f aca="false">IF($A896="","",IF($B896="","NO ACCOUNT",IF($Q896=0,"UNMAPPED",IF($R896=-1,"OUTSIDE FY RANGE","OK"))))</f>
        <v/>
      </c>
      <c r="U896" s="40" t="str">
        <f aca="false">IF($A896="","",$B896&amp;"|"&amp;TEXT($A896,"yyyymmdd")&amp;"|"&amp;TEXT($I896,"0.00"))</f>
        <v/>
      </c>
      <c r="V896" s="35" t="str">
        <f aca="false">IF($A896="","",COUNTIF($U$8:$U$5007,$U896))</f>
        <v/>
      </c>
    </row>
    <row r="897" customFormat="false" ht="15" hidden="false" customHeight="false" outlineLevel="0" collapsed="false">
      <c r="A897" s="31"/>
      <c r="B897" s="32"/>
      <c r="C897" s="32"/>
      <c r="D897" s="32"/>
      <c r="E897" s="32"/>
      <c r="F897" s="32"/>
      <c r="G897" s="33"/>
      <c r="H897" s="33"/>
      <c r="I897" s="34" t="str">
        <f aca="false">IF($A897="","",$G897-$H897)</f>
        <v/>
      </c>
      <c r="J897" s="35" t="str">
        <f aca="false">IF($A897="","",IF(Setup!$B$6=1,YEAR($A897),YEAR($A897)+IF(MONTH($A897)&gt;=Setup!$B$6,1,0)))</f>
        <v/>
      </c>
      <c r="K897" s="35" t="str">
        <f aca="false">IF($A897="","",MOD(MONTH($A897)-Setup!$B$6+12,12)+1)</f>
        <v/>
      </c>
      <c r="L897" s="36" t="str">
        <f aca="false">IF($A897="","",TEXT($A897,"MMM-YY"))</f>
        <v/>
      </c>
      <c r="M897" s="37" t="str">
        <f aca="false">IF($A897="","",IF($Q897=0,"UNMAPPED",INDEX(COA_Mapping!$C$7:$C$256,$Q897)))</f>
        <v/>
      </c>
      <c r="N897" s="38" t="str">
        <f aca="false">IF($A897="","",IF($Q897=0,"",INDEX(COA_Mapping!$E$7:$E$256,$Q897)))</f>
        <v/>
      </c>
      <c r="O897" s="38" t="n">
        <f aca="false">IF($A897="",1,IF($Q897=0,1,INDEX(COA_Mapping!$F$7:$F$256,$Q897)))</f>
        <v>1</v>
      </c>
      <c r="P897" s="34" t="str">
        <f aca="false">IF($A897="","",$I897*$O897)</f>
        <v/>
      </c>
      <c r="Q897" s="39" t="n">
        <f aca="false">IF($B897="",0,IFERROR(MATCH($B897,COA_Mapping!$A$7:$A$256,0),0))</f>
        <v>0</v>
      </c>
      <c r="R897" s="39" t="n">
        <f aca="false">IF($A897="",-1,IF($J897=Setup!$B$7,1,IF($J897=Setup!$B$9,0,-1)))</f>
        <v>-1</v>
      </c>
      <c r="S897" s="35" t="n">
        <f aca="false">IF(OR($A897="",$Q897=0,$R897=-1),0,$Q897*1000+$R897*100+$K897)</f>
        <v>0</v>
      </c>
      <c r="T897" s="37" t="str">
        <f aca="false">IF($A897="","",IF($B897="","NO ACCOUNT",IF($Q897=0,"UNMAPPED",IF($R897=-1,"OUTSIDE FY RANGE","OK"))))</f>
        <v/>
      </c>
      <c r="U897" s="40" t="str">
        <f aca="false">IF($A897="","",$B897&amp;"|"&amp;TEXT($A897,"yyyymmdd")&amp;"|"&amp;TEXT($I897,"0.00"))</f>
        <v/>
      </c>
      <c r="V897" s="35" t="str">
        <f aca="false">IF($A897="","",COUNTIF($U$8:$U$5007,$U897))</f>
        <v/>
      </c>
    </row>
    <row r="898" customFormat="false" ht="15" hidden="false" customHeight="false" outlineLevel="0" collapsed="false">
      <c r="A898" s="31"/>
      <c r="B898" s="32"/>
      <c r="C898" s="32"/>
      <c r="D898" s="32"/>
      <c r="E898" s="32"/>
      <c r="F898" s="32"/>
      <c r="G898" s="33"/>
      <c r="H898" s="33"/>
      <c r="I898" s="34" t="str">
        <f aca="false">IF($A898="","",$G898-$H898)</f>
        <v/>
      </c>
      <c r="J898" s="35" t="str">
        <f aca="false">IF($A898="","",IF(Setup!$B$6=1,YEAR($A898),YEAR($A898)+IF(MONTH($A898)&gt;=Setup!$B$6,1,0)))</f>
        <v/>
      </c>
      <c r="K898" s="35" t="str">
        <f aca="false">IF($A898="","",MOD(MONTH($A898)-Setup!$B$6+12,12)+1)</f>
        <v/>
      </c>
      <c r="L898" s="36" t="str">
        <f aca="false">IF($A898="","",TEXT($A898,"MMM-YY"))</f>
        <v/>
      </c>
      <c r="M898" s="37" t="str">
        <f aca="false">IF($A898="","",IF($Q898=0,"UNMAPPED",INDEX(COA_Mapping!$C$7:$C$256,$Q898)))</f>
        <v/>
      </c>
      <c r="N898" s="38" t="str">
        <f aca="false">IF($A898="","",IF($Q898=0,"",INDEX(COA_Mapping!$E$7:$E$256,$Q898)))</f>
        <v/>
      </c>
      <c r="O898" s="38" t="n">
        <f aca="false">IF($A898="",1,IF($Q898=0,1,INDEX(COA_Mapping!$F$7:$F$256,$Q898)))</f>
        <v>1</v>
      </c>
      <c r="P898" s="34" t="str">
        <f aca="false">IF($A898="","",$I898*$O898)</f>
        <v/>
      </c>
      <c r="Q898" s="39" t="n">
        <f aca="false">IF($B898="",0,IFERROR(MATCH($B898,COA_Mapping!$A$7:$A$256,0),0))</f>
        <v>0</v>
      </c>
      <c r="R898" s="39" t="n">
        <f aca="false">IF($A898="",-1,IF($J898=Setup!$B$7,1,IF($J898=Setup!$B$9,0,-1)))</f>
        <v>-1</v>
      </c>
      <c r="S898" s="35" t="n">
        <f aca="false">IF(OR($A898="",$Q898=0,$R898=-1),0,$Q898*1000+$R898*100+$K898)</f>
        <v>0</v>
      </c>
      <c r="T898" s="37" t="str">
        <f aca="false">IF($A898="","",IF($B898="","NO ACCOUNT",IF($Q898=0,"UNMAPPED",IF($R898=-1,"OUTSIDE FY RANGE","OK"))))</f>
        <v/>
      </c>
      <c r="U898" s="40" t="str">
        <f aca="false">IF($A898="","",$B898&amp;"|"&amp;TEXT($A898,"yyyymmdd")&amp;"|"&amp;TEXT($I898,"0.00"))</f>
        <v/>
      </c>
      <c r="V898" s="35" t="str">
        <f aca="false">IF($A898="","",COUNTIF($U$8:$U$5007,$U898))</f>
        <v/>
      </c>
    </row>
    <row r="899" customFormat="false" ht="15" hidden="false" customHeight="false" outlineLevel="0" collapsed="false">
      <c r="A899" s="31"/>
      <c r="B899" s="32"/>
      <c r="C899" s="32"/>
      <c r="D899" s="32"/>
      <c r="E899" s="32"/>
      <c r="F899" s="32"/>
      <c r="G899" s="33"/>
      <c r="H899" s="33"/>
      <c r="I899" s="34" t="str">
        <f aca="false">IF($A899="","",$G899-$H899)</f>
        <v/>
      </c>
      <c r="J899" s="35" t="str">
        <f aca="false">IF($A899="","",IF(Setup!$B$6=1,YEAR($A899),YEAR($A899)+IF(MONTH($A899)&gt;=Setup!$B$6,1,0)))</f>
        <v/>
      </c>
      <c r="K899" s="35" t="str">
        <f aca="false">IF($A899="","",MOD(MONTH($A899)-Setup!$B$6+12,12)+1)</f>
        <v/>
      </c>
      <c r="L899" s="36" t="str">
        <f aca="false">IF($A899="","",TEXT($A899,"MMM-YY"))</f>
        <v/>
      </c>
      <c r="M899" s="37" t="str">
        <f aca="false">IF($A899="","",IF($Q899=0,"UNMAPPED",INDEX(COA_Mapping!$C$7:$C$256,$Q899)))</f>
        <v/>
      </c>
      <c r="N899" s="38" t="str">
        <f aca="false">IF($A899="","",IF($Q899=0,"",INDEX(COA_Mapping!$E$7:$E$256,$Q899)))</f>
        <v/>
      </c>
      <c r="O899" s="38" t="n">
        <f aca="false">IF($A899="",1,IF($Q899=0,1,INDEX(COA_Mapping!$F$7:$F$256,$Q899)))</f>
        <v>1</v>
      </c>
      <c r="P899" s="34" t="str">
        <f aca="false">IF($A899="","",$I899*$O899)</f>
        <v/>
      </c>
      <c r="Q899" s="39" t="n">
        <f aca="false">IF($B899="",0,IFERROR(MATCH($B899,COA_Mapping!$A$7:$A$256,0),0))</f>
        <v>0</v>
      </c>
      <c r="R899" s="39" t="n">
        <f aca="false">IF($A899="",-1,IF($J899=Setup!$B$7,1,IF($J899=Setup!$B$9,0,-1)))</f>
        <v>-1</v>
      </c>
      <c r="S899" s="35" t="n">
        <f aca="false">IF(OR($A899="",$Q899=0,$R899=-1),0,$Q899*1000+$R899*100+$K899)</f>
        <v>0</v>
      </c>
      <c r="T899" s="37" t="str">
        <f aca="false">IF($A899="","",IF($B899="","NO ACCOUNT",IF($Q899=0,"UNMAPPED",IF($R899=-1,"OUTSIDE FY RANGE","OK"))))</f>
        <v/>
      </c>
      <c r="U899" s="40" t="str">
        <f aca="false">IF($A899="","",$B899&amp;"|"&amp;TEXT($A899,"yyyymmdd")&amp;"|"&amp;TEXT($I899,"0.00"))</f>
        <v/>
      </c>
      <c r="V899" s="35" t="str">
        <f aca="false">IF($A899="","",COUNTIF($U$8:$U$5007,$U899))</f>
        <v/>
      </c>
    </row>
    <row r="900" customFormat="false" ht="15" hidden="false" customHeight="false" outlineLevel="0" collapsed="false">
      <c r="A900" s="31"/>
      <c r="B900" s="32"/>
      <c r="C900" s="32"/>
      <c r="D900" s="32"/>
      <c r="E900" s="32"/>
      <c r="F900" s="32"/>
      <c r="G900" s="33"/>
      <c r="H900" s="33"/>
      <c r="I900" s="34" t="str">
        <f aca="false">IF($A900="","",$G900-$H900)</f>
        <v/>
      </c>
      <c r="J900" s="35" t="str">
        <f aca="false">IF($A900="","",IF(Setup!$B$6=1,YEAR($A900),YEAR($A900)+IF(MONTH($A900)&gt;=Setup!$B$6,1,0)))</f>
        <v/>
      </c>
      <c r="K900" s="35" t="str">
        <f aca="false">IF($A900="","",MOD(MONTH($A900)-Setup!$B$6+12,12)+1)</f>
        <v/>
      </c>
      <c r="L900" s="36" t="str">
        <f aca="false">IF($A900="","",TEXT($A900,"MMM-YY"))</f>
        <v/>
      </c>
      <c r="M900" s="37" t="str">
        <f aca="false">IF($A900="","",IF($Q900=0,"UNMAPPED",INDEX(COA_Mapping!$C$7:$C$256,$Q900)))</f>
        <v/>
      </c>
      <c r="N900" s="38" t="str">
        <f aca="false">IF($A900="","",IF($Q900=0,"",INDEX(COA_Mapping!$E$7:$E$256,$Q900)))</f>
        <v/>
      </c>
      <c r="O900" s="38" t="n">
        <f aca="false">IF($A900="",1,IF($Q900=0,1,INDEX(COA_Mapping!$F$7:$F$256,$Q900)))</f>
        <v>1</v>
      </c>
      <c r="P900" s="34" t="str">
        <f aca="false">IF($A900="","",$I900*$O900)</f>
        <v/>
      </c>
      <c r="Q900" s="39" t="n">
        <f aca="false">IF($B900="",0,IFERROR(MATCH($B900,COA_Mapping!$A$7:$A$256,0),0))</f>
        <v>0</v>
      </c>
      <c r="R900" s="39" t="n">
        <f aca="false">IF($A900="",-1,IF($J900=Setup!$B$7,1,IF($J900=Setup!$B$9,0,-1)))</f>
        <v>-1</v>
      </c>
      <c r="S900" s="35" t="n">
        <f aca="false">IF(OR($A900="",$Q900=0,$R900=-1),0,$Q900*1000+$R900*100+$K900)</f>
        <v>0</v>
      </c>
      <c r="T900" s="37" t="str">
        <f aca="false">IF($A900="","",IF($B900="","NO ACCOUNT",IF($Q900=0,"UNMAPPED",IF($R900=-1,"OUTSIDE FY RANGE","OK"))))</f>
        <v/>
      </c>
      <c r="U900" s="40" t="str">
        <f aca="false">IF($A900="","",$B900&amp;"|"&amp;TEXT($A900,"yyyymmdd")&amp;"|"&amp;TEXT($I900,"0.00"))</f>
        <v/>
      </c>
      <c r="V900" s="35" t="str">
        <f aca="false">IF($A900="","",COUNTIF($U$8:$U$5007,$U900))</f>
        <v/>
      </c>
    </row>
    <row r="901" customFormat="false" ht="15" hidden="false" customHeight="false" outlineLevel="0" collapsed="false">
      <c r="A901" s="31"/>
      <c r="B901" s="32"/>
      <c r="C901" s="32"/>
      <c r="D901" s="32"/>
      <c r="E901" s="32"/>
      <c r="F901" s="32"/>
      <c r="G901" s="33"/>
      <c r="H901" s="33"/>
      <c r="I901" s="34" t="str">
        <f aca="false">IF($A901="","",$G901-$H901)</f>
        <v/>
      </c>
      <c r="J901" s="35" t="str">
        <f aca="false">IF($A901="","",IF(Setup!$B$6=1,YEAR($A901),YEAR($A901)+IF(MONTH($A901)&gt;=Setup!$B$6,1,0)))</f>
        <v/>
      </c>
      <c r="K901" s="35" t="str">
        <f aca="false">IF($A901="","",MOD(MONTH($A901)-Setup!$B$6+12,12)+1)</f>
        <v/>
      </c>
      <c r="L901" s="36" t="str">
        <f aca="false">IF($A901="","",TEXT($A901,"MMM-YY"))</f>
        <v/>
      </c>
      <c r="M901" s="37" t="str">
        <f aca="false">IF($A901="","",IF($Q901=0,"UNMAPPED",INDEX(COA_Mapping!$C$7:$C$256,$Q901)))</f>
        <v/>
      </c>
      <c r="N901" s="38" t="str">
        <f aca="false">IF($A901="","",IF($Q901=0,"",INDEX(COA_Mapping!$E$7:$E$256,$Q901)))</f>
        <v/>
      </c>
      <c r="O901" s="38" t="n">
        <f aca="false">IF($A901="",1,IF($Q901=0,1,INDEX(COA_Mapping!$F$7:$F$256,$Q901)))</f>
        <v>1</v>
      </c>
      <c r="P901" s="34" t="str">
        <f aca="false">IF($A901="","",$I901*$O901)</f>
        <v/>
      </c>
      <c r="Q901" s="39" t="n">
        <f aca="false">IF($B901="",0,IFERROR(MATCH($B901,COA_Mapping!$A$7:$A$256,0),0))</f>
        <v>0</v>
      </c>
      <c r="R901" s="39" t="n">
        <f aca="false">IF($A901="",-1,IF($J901=Setup!$B$7,1,IF($J901=Setup!$B$9,0,-1)))</f>
        <v>-1</v>
      </c>
      <c r="S901" s="35" t="n">
        <f aca="false">IF(OR($A901="",$Q901=0,$R901=-1),0,$Q901*1000+$R901*100+$K901)</f>
        <v>0</v>
      </c>
      <c r="T901" s="37" t="str">
        <f aca="false">IF($A901="","",IF($B901="","NO ACCOUNT",IF($Q901=0,"UNMAPPED",IF($R901=-1,"OUTSIDE FY RANGE","OK"))))</f>
        <v/>
      </c>
      <c r="U901" s="40" t="str">
        <f aca="false">IF($A901="","",$B901&amp;"|"&amp;TEXT($A901,"yyyymmdd")&amp;"|"&amp;TEXT($I901,"0.00"))</f>
        <v/>
      </c>
      <c r="V901" s="35" t="str">
        <f aca="false">IF($A901="","",COUNTIF($U$8:$U$5007,$U901))</f>
        <v/>
      </c>
    </row>
    <row r="902" customFormat="false" ht="15" hidden="false" customHeight="false" outlineLevel="0" collapsed="false">
      <c r="A902" s="31"/>
      <c r="B902" s="32"/>
      <c r="C902" s="32"/>
      <c r="D902" s="32"/>
      <c r="E902" s="32"/>
      <c r="F902" s="32"/>
      <c r="G902" s="33"/>
      <c r="H902" s="33"/>
      <c r="I902" s="34" t="str">
        <f aca="false">IF($A902="","",$G902-$H902)</f>
        <v/>
      </c>
      <c r="J902" s="35" t="str">
        <f aca="false">IF($A902="","",IF(Setup!$B$6=1,YEAR($A902),YEAR($A902)+IF(MONTH($A902)&gt;=Setup!$B$6,1,0)))</f>
        <v/>
      </c>
      <c r="K902" s="35" t="str">
        <f aca="false">IF($A902="","",MOD(MONTH($A902)-Setup!$B$6+12,12)+1)</f>
        <v/>
      </c>
      <c r="L902" s="36" t="str">
        <f aca="false">IF($A902="","",TEXT($A902,"MMM-YY"))</f>
        <v/>
      </c>
      <c r="M902" s="37" t="str">
        <f aca="false">IF($A902="","",IF($Q902=0,"UNMAPPED",INDEX(COA_Mapping!$C$7:$C$256,$Q902)))</f>
        <v/>
      </c>
      <c r="N902" s="38" t="str">
        <f aca="false">IF($A902="","",IF($Q902=0,"",INDEX(COA_Mapping!$E$7:$E$256,$Q902)))</f>
        <v/>
      </c>
      <c r="O902" s="38" t="n">
        <f aca="false">IF($A902="",1,IF($Q902=0,1,INDEX(COA_Mapping!$F$7:$F$256,$Q902)))</f>
        <v>1</v>
      </c>
      <c r="P902" s="34" t="str">
        <f aca="false">IF($A902="","",$I902*$O902)</f>
        <v/>
      </c>
      <c r="Q902" s="39" t="n">
        <f aca="false">IF($B902="",0,IFERROR(MATCH($B902,COA_Mapping!$A$7:$A$256,0),0))</f>
        <v>0</v>
      </c>
      <c r="R902" s="39" t="n">
        <f aca="false">IF($A902="",-1,IF($J902=Setup!$B$7,1,IF($J902=Setup!$B$9,0,-1)))</f>
        <v>-1</v>
      </c>
      <c r="S902" s="35" t="n">
        <f aca="false">IF(OR($A902="",$Q902=0,$R902=-1),0,$Q902*1000+$R902*100+$K902)</f>
        <v>0</v>
      </c>
      <c r="T902" s="37" t="str">
        <f aca="false">IF($A902="","",IF($B902="","NO ACCOUNT",IF($Q902=0,"UNMAPPED",IF($R902=-1,"OUTSIDE FY RANGE","OK"))))</f>
        <v/>
      </c>
      <c r="U902" s="40" t="str">
        <f aca="false">IF($A902="","",$B902&amp;"|"&amp;TEXT($A902,"yyyymmdd")&amp;"|"&amp;TEXT($I902,"0.00"))</f>
        <v/>
      </c>
      <c r="V902" s="35" t="str">
        <f aca="false">IF($A902="","",COUNTIF($U$8:$U$5007,$U902))</f>
        <v/>
      </c>
    </row>
    <row r="903" customFormat="false" ht="15" hidden="false" customHeight="false" outlineLevel="0" collapsed="false">
      <c r="A903" s="31"/>
      <c r="B903" s="32"/>
      <c r="C903" s="32"/>
      <c r="D903" s="32"/>
      <c r="E903" s="32"/>
      <c r="F903" s="32"/>
      <c r="G903" s="33"/>
      <c r="H903" s="33"/>
      <c r="I903" s="34" t="str">
        <f aca="false">IF($A903="","",$G903-$H903)</f>
        <v/>
      </c>
      <c r="J903" s="35" t="str">
        <f aca="false">IF($A903="","",IF(Setup!$B$6=1,YEAR($A903),YEAR($A903)+IF(MONTH($A903)&gt;=Setup!$B$6,1,0)))</f>
        <v/>
      </c>
      <c r="K903" s="35" t="str">
        <f aca="false">IF($A903="","",MOD(MONTH($A903)-Setup!$B$6+12,12)+1)</f>
        <v/>
      </c>
      <c r="L903" s="36" t="str">
        <f aca="false">IF($A903="","",TEXT($A903,"MMM-YY"))</f>
        <v/>
      </c>
      <c r="M903" s="37" t="str">
        <f aca="false">IF($A903="","",IF($Q903=0,"UNMAPPED",INDEX(COA_Mapping!$C$7:$C$256,$Q903)))</f>
        <v/>
      </c>
      <c r="N903" s="38" t="str">
        <f aca="false">IF($A903="","",IF($Q903=0,"",INDEX(COA_Mapping!$E$7:$E$256,$Q903)))</f>
        <v/>
      </c>
      <c r="O903" s="38" t="n">
        <f aca="false">IF($A903="",1,IF($Q903=0,1,INDEX(COA_Mapping!$F$7:$F$256,$Q903)))</f>
        <v>1</v>
      </c>
      <c r="P903" s="34" t="str">
        <f aca="false">IF($A903="","",$I903*$O903)</f>
        <v/>
      </c>
      <c r="Q903" s="39" t="n">
        <f aca="false">IF($B903="",0,IFERROR(MATCH($B903,COA_Mapping!$A$7:$A$256,0),0))</f>
        <v>0</v>
      </c>
      <c r="R903" s="39" t="n">
        <f aca="false">IF($A903="",-1,IF($J903=Setup!$B$7,1,IF($J903=Setup!$B$9,0,-1)))</f>
        <v>-1</v>
      </c>
      <c r="S903" s="35" t="n">
        <f aca="false">IF(OR($A903="",$Q903=0,$R903=-1),0,$Q903*1000+$R903*100+$K903)</f>
        <v>0</v>
      </c>
      <c r="T903" s="37" t="str">
        <f aca="false">IF($A903="","",IF($B903="","NO ACCOUNT",IF($Q903=0,"UNMAPPED",IF($R903=-1,"OUTSIDE FY RANGE","OK"))))</f>
        <v/>
      </c>
      <c r="U903" s="40" t="str">
        <f aca="false">IF($A903="","",$B903&amp;"|"&amp;TEXT($A903,"yyyymmdd")&amp;"|"&amp;TEXT($I903,"0.00"))</f>
        <v/>
      </c>
      <c r="V903" s="35" t="str">
        <f aca="false">IF($A903="","",COUNTIF($U$8:$U$5007,$U903))</f>
        <v/>
      </c>
    </row>
    <row r="904" customFormat="false" ht="15" hidden="false" customHeight="false" outlineLevel="0" collapsed="false">
      <c r="A904" s="31"/>
      <c r="B904" s="32"/>
      <c r="C904" s="32"/>
      <c r="D904" s="32"/>
      <c r="E904" s="32"/>
      <c r="F904" s="32"/>
      <c r="G904" s="33"/>
      <c r="H904" s="33"/>
      <c r="I904" s="34" t="str">
        <f aca="false">IF($A904="","",$G904-$H904)</f>
        <v/>
      </c>
      <c r="J904" s="35" t="str">
        <f aca="false">IF($A904="","",IF(Setup!$B$6=1,YEAR($A904),YEAR($A904)+IF(MONTH($A904)&gt;=Setup!$B$6,1,0)))</f>
        <v/>
      </c>
      <c r="K904" s="35" t="str">
        <f aca="false">IF($A904="","",MOD(MONTH($A904)-Setup!$B$6+12,12)+1)</f>
        <v/>
      </c>
      <c r="L904" s="36" t="str">
        <f aca="false">IF($A904="","",TEXT($A904,"MMM-YY"))</f>
        <v/>
      </c>
      <c r="M904" s="37" t="str">
        <f aca="false">IF($A904="","",IF($Q904=0,"UNMAPPED",INDEX(COA_Mapping!$C$7:$C$256,$Q904)))</f>
        <v/>
      </c>
      <c r="N904" s="38" t="str">
        <f aca="false">IF($A904="","",IF($Q904=0,"",INDEX(COA_Mapping!$E$7:$E$256,$Q904)))</f>
        <v/>
      </c>
      <c r="O904" s="38" t="n">
        <f aca="false">IF($A904="",1,IF($Q904=0,1,INDEX(COA_Mapping!$F$7:$F$256,$Q904)))</f>
        <v>1</v>
      </c>
      <c r="P904" s="34" t="str">
        <f aca="false">IF($A904="","",$I904*$O904)</f>
        <v/>
      </c>
      <c r="Q904" s="39" t="n">
        <f aca="false">IF($B904="",0,IFERROR(MATCH($B904,COA_Mapping!$A$7:$A$256,0),0))</f>
        <v>0</v>
      </c>
      <c r="R904" s="39" t="n">
        <f aca="false">IF($A904="",-1,IF($J904=Setup!$B$7,1,IF($J904=Setup!$B$9,0,-1)))</f>
        <v>-1</v>
      </c>
      <c r="S904" s="35" t="n">
        <f aca="false">IF(OR($A904="",$Q904=0,$R904=-1),0,$Q904*1000+$R904*100+$K904)</f>
        <v>0</v>
      </c>
      <c r="T904" s="37" t="str">
        <f aca="false">IF($A904="","",IF($B904="","NO ACCOUNT",IF($Q904=0,"UNMAPPED",IF($R904=-1,"OUTSIDE FY RANGE","OK"))))</f>
        <v/>
      </c>
      <c r="U904" s="40" t="str">
        <f aca="false">IF($A904="","",$B904&amp;"|"&amp;TEXT($A904,"yyyymmdd")&amp;"|"&amp;TEXT($I904,"0.00"))</f>
        <v/>
      </c>
      <c r="V904" s="35" t="str">
        <f aca="false">IF($A904="","",COUNTIF($U$8:$U$5007,$U904))</f>
        <v/>
      </c>
    </row>
    <row r="905" customFormat="false" ht="15" hidden="false" customHeight="false" outlineLevel="0" collapsed="false">
      <c r="A905" s="31"/>
      <c r="B905" s="32"/>
      <c r="C905" s="32"/>
      <c r="D905" s="32"/>
      <c r="E905" s="32"/>
      <c r="F905" s="32"/>
      <c r="G905" s="33"/>
      <c r="H905" s="33"/>
      <c r="I905" s="34" t="str">
        <f aca="false">IF($A905="","",$G905-$H905)</f>
        <v/>
      </c>
      <c r="J905" s="35" t="str">
        <f aca="false">IF($A905="","",IF(Setup!$B$6=1,YEAR($A905),YEAR($A905)+IF(MONTH($A905)&gt;=Setup!$B$6,1,0)))</f>
        <v/>
      </c>
      <c r="K905" s="35" t="str">
        <f aca="false">IF($A905="","",MOD(MONTH($A905)-Setup!$B$6+12,12)+1)</f>
        <v/>
      </c>
      <c r="L905" s="36" t="str">
        <f aca="false">IF($A905="","",TEXT($A905,"MMM-YY"))</f>
        <v/>
      </c>
      <c r="M905" s="37" t="str">
        <f aca="false">IF($A905="","",IF($Q905=0,"UNMAPPED",INDEX(COA_Mapping!$C$7:$C$256,$Q905)))</f>
        <v/>
      </c>
      <c r="N905" s="38" t="str">
        <f aca="false">IF($A905="","",IF($Q905=0,"",INDEX(COA_Mapping!$E$7:$E$256,$Q905)))</f>
        <v/>
      </c>
      <c r="O905" s="38" t="n">
        <f aca="false">IF($A905="",1,IF($Q905=0,1,INDEX(COA_Mapping!$F$7:$F$256,$Q905)))</f>
        <v>1</v>
      </c>
      <c r="P905" s="34" t="str">
        <f aca="false">IF($A905="","",$I905*$O905)</f>
        <v/>
      </c>
      <c r="Q905" s="39" t="n">
        <f aca="false">IF($B905="",0,IFERROR(MATCH($B905,COA_Mapping!$A$7:$A$256,0),0))</f>
        <v>0</v>
      </c>
      <c r="R905" s="39" t="n">
        <f aca="false">IF($A905="",-1,IF($J905=Setup!$B$7,1,IF($J905=Setup!$B$9,0,-1)))</f>
        <v>-1</v>
      </c>
      <c r="S905" s="35" t="n">
        <f aca="false">IF(OR($A905="",$Q905=0,$R905=-1),0,$Q905*1000+$R905*100+$K905)</f>
        <v>0</v>
      </c>
      <c r="T905" s="37" t="str">
        <f aca="false">IF($A905="","",IF($B905="","NO ACCOUNT",IF($Q905=0,"UNMAPPED",IF($R905=-1,"OUTSIDE FY RANGE","OK"))))</f>
        <v/>
      </c>
      <c r="U905" s="40" t="str">
        <f aca="false">IF($A905="","",$B905&amp;"|"&amp;TEXT($A905,"yyyymmdd")&amp;"|"&amp;TEXT($I905,"0.00"))</f>
        <v/>
      </c>
      <c r="V905" s="35" t="str">
        <f aca="false">IF($A905="","",COUNTIF($U$8:$U$5007,$U905))</f>
        <v/>
      </c>
    </row>
    <row r="906" customFormat="false" ht="15" hidden="false" customHeight="false" outlineLevel="0" collapsed="false">
      <c r="A906" s="31"/>
      <c r="B906" s="32"/>
      <c r="C906" s="32"/>
      <c r="D906" s="32"/>
      <c r="E906" s="32"/>
      <c r="F906" s="32"/>
      <c r="G906" s="33"/>
      <c r="H906" s="33"/>
      <c r="I906" s="34" t="str">
        <f aca="false">IF($A906="","",$G906-$H906)</f>
        <v/>
      </c>
      <c r="J906" s="35" t="str">
        <f aca="false">IF($A906="","",IF(Setup!$B$6=1,YEAR($A906),YEAR($A906)+IF(MONTH($A906)&gt;=Setup!$B$6,1,0)))</f>
        <v/>
      </c>
      <c r="K906" s="35" t="str">
        <f aca="false">IF($A906="","",MOD(MONTH($A906)-Setup!$B$6+12,12)+1)</f>
        <v/>
      </c>
      <c r="L906" s="36" t="str">
        <f aca="false">IF($A906="","",TEXT($A906,"MMM-YY"))</f>
        <v/>
      </c>
      <c r="M906" s="37" t="str">
        <f aca="false">IF($A906="","",IF($Q906=0,"UNMAPPED",INDEX(COA_Mapping!$C$7:$C$256,$Q906)))</f>
        <v/>
      </c>
      <c r="N906" s="38" t="str">
        <f aca="false">IF($A906="","",IF($Q906=0,"",INDEX(COA_Mapping!$E$7:$E$256,$Q906)))</f>
        <v/>
      </c>
      <c r="O906" s="38" t="n">
        <f aca="false">IF($A906="",1,IF($Q906=0,1,INDEX(COA_Mapping!$F$7:$F$256,$Q906)))</f>
        <v>1</v>
      </c>
      <c r="P906" s="34" t="str">
        <f aca="false">IF($A906="","",$I906*$O906)</f>
        <v/>
      </c>
      <c r="Q906" s="39" t="n">
        <f aca="false">IF($B906="",0,IFERROR(MATCH($B906,COA_Mapping!$A$7:$A$256,0),0))</f>
        <v>0</v>
      </c>
      <c r="R906" s="39" t="n">
        <f aca="false">IF($A906="",-1,IF($J906=Setup!$B$7,1,IF($J906=Setup!$B$9,0,-1)))</f>
        <v>-1</v>
      </c>
      <c r="S906" s="35" t="n">
        <f aca="false">IF(OR($A906="",$Q906=0,$R906=-1),0,$Q906*1000+$R906*100+$K906)</f>
        <v>0</v>
      </c>
      <c r="T906" s="37" t="str">
        <f aca="false">IF($A906="","",IF($B906="","NO ACCOUNT",IF($Q906=0,"UNMAPPED",IF($R906=-1,"OUTSIDE FY RANGE","OK"))))</f>
        <v/>
      </c>
      <c r="U906" s="40" t="str">
        <f aca="false">IF($A906="","",$B906&amp;"|"&amp;TEXT($A906,"yyyymmdd")&amp;"|"&amp;TEXT($I906,"0.00"))</f>
        <v/>
      </c>
      <c r="V906" s="35" t="str">
        <f aca="false">IF($A906="","",COUNTIF($U$8:$U$5007,$U906))</f>
        <v/>
      </c>
    </row>
    <row r="907" customFormat="false" ht="15" hidden="false" customHeight="false" outlineLevel="0" collapsed="false">
      <c r="A907" s="31"/>
      <c r="B907" s="32"/>
      <c r="C907" s="32"/>
      <c r="D907" s="32"/>
      <c r="E907" s="32"/>
      <c r="F907" s="32"/>
      <c r="G907" s="33"/>
      <c r="H907" s="33"/>
      <c r="I907" s="34" t="str">
        <f aca="false">IF($A907="","",$G907-$H907)</f>
        <v/>
      </c>
      <c r="J907" s="35" t="str">
        <f aca="false">IF($A907="","",IF(Setup!$B$6=1,YEAR($A907),YEAR($A907)+IF(MONTH($A907)&gt;=Setup!$B$6,1,0)))</f>
        <v/>
      </c>
      <c r="K907" s="35" t="str">
        <f aca="false">IF($A907="","",MOD(MONTH($A907)-Setup!$B$6+12,12)+1)</f>
        <v/>
      </c>
      <c r="L907" s="36" t="str">
        <f aca="false">IF($A907="","",TEXT($A907,"MMM-YY"))</f>
        <v/>
      </c>
      <c r="M907" s="37" t="str">
        <f aca="false">IF($A907="","",IF($Q907=0,"UNMAPPED",INDEX(COA_Mapping!$C$7:$C$256,$Q907)))</f>
        <v/>
      </c>
      <c r="N907" s="38" t="str">
        <f aca="false">IF($A907="","",IF($Q907=0,"",INDEX(COA_Mapping!$E$7:$E$256,$Q907)))</f>
        <v/>
      </c>
      <c r="O907" s="38" t="n">
        <f aca="false">IF($A907="",1,IF($Q907=0,1,INDEX(COA_Mapping!$F$7:$F$256,$Q907)))</f>
        <v>1</v>
      </c>
      <c r="P907" s="34" t="str">
        <f aca="false">IF($A907="","",$I907*$O907)</f>
        <v/>
      </c>
      <c r="Q907" s="39" t="n">
        <f aca="false">IF($B907="",0,IFERROR(MATCH($B907,COA_Mapping!$A$7:$A$256,0),0))</f>
        <v>0</v>
      </c>
      <c r="R907" s="39" t="n">
        <f aca="false">IF($A907="",-1,IF($J907=Setup!$B$7,1,IF($J907=Setup!$B$9,0,-1)))</f>
        <v>-1</v>
      </c>
      <c r="S907" s="35" t="n">
        <f aca="false">IF(OR($A907="",$Q907=0,$R907=-1),0,$Q907*1000+$R907*100+$K907)</f>
        <v>0</v>
      </c>
      <c r="T907" s="37" t="str">
        <f aca="false">IF($A907="","",IF($B907="","NO ACCOUNT",IF($Q907=0,"UNMAPPED",IF($R907=-1,"OUTSIDE FY RANGE","OK"))))</f>
        <v/>
      </c>
      <c r="U907" s="40" t="str">
        <f aca="false">IF($A907="","",$B907&amp;"|"&amp;TEXT($A907,"yyyymmdd")&amp;"|"&amp;TEXT($I907,"0.00"))</f>
        <v/>
      </c>
      <c r="V907" s="35" t="str">
        <f aca="false">IF($A907="","",COUNTIF($U$8:$U$5007,$U907))</f>
        <v/>
      </c>
    </row>
    <row r="908" customFormat="false" ht="15" hidden="false" customHeight="false" outlineLevel="0" collapsed="false">
      <c r="A908" s="31"/>
      <c r="B908" s="32"/>
      <c r="C908" s="32"/>
      <c r="D908" s="32"/>
      <c r="E908" s="32"/>
      <c r="F908" s="32"/>
      <c r="G908" s="33"/>
      <c r="H908" s="33"/>
      <c r="I908" s="34" t="str">
        <f aca="false">IF($A908="","",$G908-$H908)</f>
        <v/>
      </c>
      <c r="J908" s="35" t="str">
        <f aca="false">IF($A908="","",IF(Setup!$B$6=1,YEAR($A908),YEAR($A908)+IF(MONTH($A908)&gt;=Setup!$B$6,1,0)))</f>
        <v/>
      </c>
      <c r="K908" s="35" t="str">
        <f aca="false">IF($A908="","",MOD(MONTH($A908)-Setup!$B$6+12,12)+1)</f>
        <v/>
      </c>
      <c r="L908" s="36" t="str">
        <f aca="false">IF($A908="","",TEXT($A908,"MMM-YY"))</f>
        <v/>
      </c>
      <c r="M908" s="37" t="str">
        <f aca="false">IF($A908="","",IF($Q908=0,"UNMAPPED",INDEX(COA_Mapping!$C$7:$C$256,$Q908)))</f>
        <v/>
      </c>
      <c r="N908" s="38" t="str">
        <f aca="false">IF($A908="","",IF($Q908=0,"",INDEX(COA_Mapping!$E$7:$E$256,$Q908)))</f>
        <v/>
      </c>
      <c r="O908" s="38" t="n">
        <f aca="false">IF($A908="",1,IF($Q908=0,1,INDEX(COA_Mapping!$F$7:$F$256,$Q908)))</f>
        <v>1</v>
      </c>
      <c r="P908" s="34" t="str">
        <f aca="false">IF($A908="","",$I908*$O908)</f>
        <v/>
      </c>
      <c r="Q908" s="39" t="n">
        <f aca="false">IF($B908="",0,IFERROR(MATCH($B908,COA_Mapping!$A$7:$A$256,0),0))</f>
        <v>0</v>
      </c>
      <c r="R908" s="39" t="n">
        <f aca="false">IF($A908="",-1,IF($J908=Setup!$B$7,1,IF($J908=Setup!$B$9,0,-1)))</f>
        <v>-1</v>
      </c>
      <c r="S908" s="35" t="n">
        <f aca="false">IF(OR($A908="",$Q908=0,$R908=-1),0,$Q908*1000+$R908*100+$K908)</f>
        <v>0</v>
      </c>
      <c r="T908" s="37" t="str">
        <f aca="false">IF($A908="","",IF($B908="","NO ACCOUNT",IF($Q908=0,"UNMAPPED",IF($R908=-1,"OUTSIDE FY RANGE","OK"))))</f>
        <v/>
      </c>
      <c r="U908" s="40" t="str">
        <f aca="false">IF($A908="","",$B908&amp;"|"&amp;TEXT($A908,"yyyymmdd")&amp;"|"&amp;TEXT($I908,"0.00"))</f>
        <v/>
      </c>
      <c r="V908" s="35" t="str">
        <f aca="false">IF($A908="","",COUNTIF($U$8:$U$5007,$U908))</f>
        <v/>
      </c>
    </row>
    <row r="909" customFormat="false" ht="15" hidden="false" customHeight="false" outlineLevel="0" collapsed="false">
      <c r="A909" s="31"/>
      <c r="B909" s="32"/>
      <c r="C909" s="32"/>
      <c r="D909" s="32"/>
      <c r="E909" s="32"/>
      <c r="F909" s="32"/>
      <c r="G909" s="33"/>
      <c r="H909" s="33"/>
      <c r="I909" s="34" t="str">
        <f aca="false">IF($A909="","",$G909-$H909)</f>
        <v/>
      </c>
      <c r="J909" s="35" t="str">
        <f aca="false">IF($A909="","",IF(Setup!$B$6=1,YEAR($A909),YEAR($A909)+IF(MONTH($A909)&gt;=Setup!$B$6,1,0)))</f>
        <v/>
      </c>
      <c r="K909" s="35" t="str">
        <f aca="false">IF($A909="","",MOD(MONTH($A909)-Setup!$B$6+12,12)+1)</f>
        <v/>
      </c>
      <c r="L909" s="36" t="str">
        <f aca="false">IF($A909="","",TEXT($A909,"MMM-YY"))</f>
        <v/>
      </c>
      <c r="M909" s="37" t="str">
        <f aca="false">IF($A909="","",IF($Q909=0,"UNMAPPED",INDEX(COA_Mapping!$C$7:$C$256,$Q909)))</f>
        <v/>
      </c>
      <c r="N909" s="38" t="str">
        <f aca="false">IF($A909="","",IF($Q909=0,"",INDEX(COA_Mapping!$E$7:$E$256,$Q909)))</f>
        <v/>
      </c>
      <c r="O909" s="38" t="n">
        <f aca="false">IF($A909="",1,IF($Q909=0,1,INDEX(COA_Mapping!$F$7:$F$256,$Q909)))</f>
        <v>1</v>
      </c>
      <c r="P909" s="34" t="str">
        <f aca="false">IF($A909="","",$I909*$O909)</f>
        <v/>
      </c>
      <c r="Q909" s="39" t="n">
        <f aca="false">IF($B909="",0,IFERROR(MATCH($B909,COA_Mapping!$A$7:$A$256,0),0))</f>
        <v>0</v>
      </c>
      <c r="R909" s="39" t="n">
        <f aca="false">IF($A909="",-1,IF($J909=Setup!$B$7,1,IF($J909=Setup!$B$9,0,-1)))</f>
        <v>-1</v>
      </c>
      <c r="S909" s="35" t="n">
        <f aca="false">IF(OR($A909="",$Q909=0,$R909=-1),0,$Q909*1000+$R909*100+$K909)</f>
        <v>0</v>
      </c>
      <c r="T909" s="37" t="str">
        <f aca="false">IF($A909="","",IF($B909="","NO ACCOUNT",IF($Q909=0,"UNMAPPED",IF($R909=-1,"OUTSIDE FY RANGE","OK"))))</f>
        <v/>
      </c>
      <c r="U909" s="40" t="str">
        <f aca="false">IF($A909="","",$B909&amp;"|"&amp;TEXT($A909,"yyyymmdd")&amp;"|"&amp;TEXT($I909,"0.00"))</f>
        <v/>
      </c>
      <c r="V909" s="35" t="str">
        <f aca="false">IF($A909="","",COUNTIF($U$8:$U$5007,$U909))</f>
        <v/>
      </c>
    </row>
    <row r="910" customFormat="false" ht="15" hidden="false" customHeight="false" outlineLevel="0" collapsed="false">
      <c r="A910" s="31"/>
      <c r="B910" s="32"/>
      <c r="C910" s="32"/>
      <c r="D910" s="32"/>
      <c r="E910" s="32"/>
      <c r="F910" s="32"/>
      <c r="G910" s="33"/>
      <c r="H910" s="33"/>
      <c r="I910" s="34" t="str">
        <f aca="false">IF($A910="","",$G910-$H910)</f>
        <v/>
      </c>
      <c r="J910" s="35" t="str">
        <f aca="false">IF($A910="","",IF(Setup!$B$6=1,YEAR($A910),YEAR($A910)+IF(MONTH($A910)&gt;=Setup!$B$6,1,0)))</f>
        <v/>
      </c>
      <c r="K910" s="35" t="str">
        <f aca="false">IF($A910="","",MOD(MONTH($A910)-Setup!$B$6+12,12)+1)</f>
        <v/>
      </c>
      <c r="L910" s="36" t="str">
        <f aca="false">IF($A910="","",TEXT($A910,"MMM-YY"))</f>
        <v/>
      </c>
      <c r="M910" s="37" t="str">
        <f aca="false">IF($A910="","",IF($Q910=0,"UNMAPPED",INDEX(COA_Mapping!$C$7:$C$256,$Q910)))</f>
        <v/>
      </c>
      <c r="N910" s="38" t="str">
        <f aca="false">IF($A910="","",IF($Q910=0,"",INDEX(COA_Mapping!$E$7:$E$256,$Q910)))</f>
        <v/>
      </c>
      <c r="O910" s="38" t="n">
        <f aca="false">IF($A910="",1,IF($Q910=0,1,INDEX(COA_Mapping!$F$7:$F$256,$Q910)))</f>
        <v>1</v>
      </c>
      <c r="P910" s="34" t="str">
        <f aca="false">IF($A910="","",$I910*$O910)</f>
        <v/>
      </c>
      <c r="Q910" s="39" t="n">
        <f aca="false">IF($B910="",0,IFERROR(MATCH($B910,COA_Mapping!$A$7:$A$256,0),0))</f>
        <v>0</v>
      </c>
      <c r="R910" s="39" t="n">
        <f aca="false">IF($A910="",-1,IF($J910=Setup!$B$7,1,IF($J910=Setup!$B$9,0,-1)))</f>
        <v>-1</v>
      </c>
      <c r="S910" s="35" t="n">
        <f aca="false">IF(OR($A910="",$Q910=0,$R910=-1),0,$Q910*1000+$R910*100+$K910)</f>
        <v>0</v>
      </c>
      <c r="T910" s="37" t="str">
        <f aca="false">IF($A910="","",IF($B910="","NO ACCOUNT",IF($Q910=0,"UNMAPPED",IF($R910=-1,"OUTSIDE FY RANGE","OK"))))</f>
        <v/>
      </c>
      <c r="U910" s="40" t="str">
        <f aca="false">IF($A910="","",$B910&amp;"|"&amp;TEXT($A910,"yyyymmdd")&amp;"|"&amp;TEXT($I910,"0.00"))</f>
        <v/>
      </c>
      <c r="V910" s="35" t="str">
        <f aca="false">IF($A910="","",COUNTIF($U$8:$U$5007,$U910))</f>
        <v/>
      </c>
    </row>
    <row r="911" customFormat="false" ht="15" hidden="false" customHeight="false" outlineLevel="0" collapsed="false">
      <c r="A911" s="31"/>
      <c r="B911" s="32"/>
      <c r="C911" s="32"/>
      <c r="D911" s="32"/>
      <c r="E911" s="32"/>
      <c r="F911" s="32"/>
      <c r="G911" s="33"/>
      <c r="H911" s="33"/>
      <c r="I911" s="34" t="str">
        <f aca="false">IF($A911="","",$G911-$H911)</f>
        <v/>
      </c>
      <c r="J911" s="35" t="str">
        <f aca="false">IF($A911="","",IF(Setup!$B$6=1,YEAR($A911),YEAR($A911)+IF(MONTH($A911)&gt;=Setup!$B$6,1,0)))</f>
        <v/>
      </c>
      <c r="K911" s="35" t="str">
        <f aca="false">IF($A911="","",MOD(MONTH($A911)-Setup!$B$6+12,12)+1)</f>
        <v/>
      </c>
      <c r="L911" s="36" t="str">
        <f aca="false">IF($A911="","",TEXT($A911,"MMM-YY"))</f>
        <v/>
      </c>
      <c r="M911" s="37" t="str">
        <f aca="false">IF($A911="","",IF($Q911=0,"UNMAPPED",INDEX(COA_Mapping!$C$7:$C$256,$Q911)))</f>
        <v/>
      </c>
      <c r="N911" s="38" t="str">
        <f aca="false">IF($A911="","",IF($Q911=0,"",INDEX(COA_Mapping!$E$7:$E$256,$Q911)))</f>
        <v/>
      </c>
      <c r="O911" s="38" t="n">
        <f aca="false">IF($A911="",1,IF($Q911=0,1,INDEX(COA_Mapping!$F$7:$F$256,$Q911)))</f>
        <v>1</v>
      </c>
      <c r="P911" s="34" t="str">
        <f aca="false">IF($A911="","",$I911*$O911)</f>
        <v/>
      </c>
      <c r="Q911" s="39" t="n">
        <f aca="false">IF($B911="",0,IFERROR(MATCH($B911,COA_Mapping!$A$7:$A$256,0),0))</f>
        <v>0</v>
      </c>
      <c r="R911" s="39" t="n">
        <f aca="false">IF($A911="",-1,IF($J911=Setup!$B$7,1,IF($J911=Setup!$B$9,0,-1)))</f>
        <v>-1</v>
      </c>
      <c r="S911" s="35" t="n">
        <f aca="false">IF(OR($A911="",$Q911=0,$R911=-1),0,$Q911*1000+$R911*100+$K911)</f>
        <v>0</v>
      </c>
      <c r="T911" s="37" t="str">
        <f aca="false">IF($A911="","",IF($B911="","NO ACCOUNT",IF($Q911=0,"UNMAPPED",IF($R911=-1,"OUTSIDE FY RANGE","OK"))))</f>
        <v/>
      </c>
      <c r="U911" s="40" t="str">
        <f aca="false">IF($A911="","",$B911&amp;"|"&amp;TEXT($A911,"yyyymmdd")&amp;"|"&amp;TEXT($I911,"0.00"))</f>
        <v/>
      </c>
      <c r="V911" s="35" t="str">
        <f aca="false">IF($A911="","",COUNTIF($U$8:$U$5007,$U911))</f>
        <v/>
      </c>
    </row>
    <row r="912" customFormat="false" ht="15" hidden="false" customHeight="false" outlineLevel="0" collapsed="false">
      <c r="A912" s="31"/>
      <c r="B912" s="32"/>
      <c r="C912" s="32"/>
      <c r="D912" s="32"/>
      <c r="E912" s="32"/>
      <c r="F912" s="32"/>
      <c r="G912" s="33"/>
      <c r="H912" s="33"/>
      <c r="I912" s="34" t="str">
        <f aca="false">IF($A912="","",$G912-$H912)</f>
        <v/>
      </c>
      <c r="J912" s="35" t="str">
        <f aca="false">IF($A912="","",IF(Setup!$B$6=1,YEAR($A912),YEAR($A912)+IF(MONTH($A912)&gt;=Setup!$B$6,1,0)))</f>
        <v/>
      </c>
      <c r="K912" s="35" t="str">
        <f aca="false">IF($A912="","",MOD(MONTH($A912)-Setup!$B$6+12,12)+1)</f>
        <v/>
      </c>
      <c r="L912" s="36" t="str">
        <f aca="false">IF($A912="","",TEXT($A912,"MMM-YY"))</f>
        <v/>
      </c>
      <c r="M912" s="37" t="str">
        <f aca="false">IF($A912="","",IF($Q912=0,"UNMAPPED",INDEX(COA_Mapping!$C$7:$C$256,$Q912)))</f>
        <v/>
      </c>
      <c r="N912" s="38" t="str">
        <f aca="false">IF($A912="","",IF($Q912=0,"",INDEX(COA_Mapping!$E$7:$E$256,$Q912)))</f>
        <v/>
      </c>
      <c r="O912" s="38" t="n">
        <f aca="false">IF($A912="",1,IF($Q912=0,1,INDEX(COA_Mapping!$F$7:$F$256,$Q912)))</f>
        <v>1</v>
      </c>
      <c r="P912" s="34" t="str">
        <f aca="false">IF($A912="","",$I912*$O912)</f>
        <v/>
      </c>
      <c r="Q912" s="39" t="n">
        <f aca="false">IF($B912="",0,IFERROR(MATCH($B912,COA_Mapping!$A$7:$A$256,0),0))</f>
        <v>0</v>
      </c>
      <c r="R912" s="39" t="n">
        <f aca="false">IF($A912="",-1,IF($J912=Setup!$B$7,1,IF($J912=Setup!$B$9,0,-1)))</f>
        <v>-1</v>
      </c>
      <c r="S912" s="35" t="n">
        <f aca="false">IF(OR($A912="",$Q912=0,$R912=-1),0,$Q912*1000+$R912*100+$K912)</f>
        <v>0</v>
      </c>
      <c r="T912" s="37" t="str">
        <f aca="false">IF($A912="","",IF($B912="","NO ACCOUNT",IF($Q912=0,"UNMAPPED",IF($R912=-1,"OUTSIDE FY RANGE","OK"))))</f>
        <v/>
      </c>
      <c r="U912" s="40" t="str">
        <f aca="false">IF($A912="","",$B912&amp;"|"&amp;TEXT($A912,"yyyymmdd")&amp;"|"&amp;TEXT($I912,"0.00"))</f>
        <v/>
      </c>
      <c r="V912" s="35" t="str">
        <f aca="false">IF($A912="","",COUNTIF($U$8:$U$5007,$U912))</f>
        <v/>
      </c>
    </row>
    <row r="913" customFormat="false" ht="15" hidden="false" customHeight="false" outlineLevel="0" collapsed="false">
      <c r="A913" s="31"/>
      <c r="B913" s="32"/>
      <c r="C913" s="32"/>
      <c r="D913" s="32"/>
      <c r="E913" s="32"/>
      <c r="F913" s="32"/>
      <c r="G913" s="33"/>
      <c r="H913" s="33"/>
      <c r="I913" s="34" t="str">
        <f aca="false">IF($A913="","",$G913-$H913)</f>
        <v/>
      </c>
      <c r="J913" s="35" t="str">
        <f aca="false">IF($A913="","",IF(Setup!$B$6=1,YEAR($A913),YEAR($A913)+IF(MONTH($A913)&gt;=Setup!$B$6,1,0)))</f>
        <v/>
      </c>
      <c r="K913" s="35" t="str">
        <f aca="false">IF($A913="","",MOD(MONTH($A913)-Setup!$B$6+12,12)+1)</f>
        <v/>
      </c>
      <c r="L913" s="36" t="str">
        <f aca="false">IF($A913="","",TEXT($A913,"MMM-YY"))</f>
        <v/>
      </c>
      <c r="M913" s="37" t="str">
        <f aca="false">IF($A913="","",IF($Q913=0,"UNMAPPED",INDEX(COA_Mapping!$C$7:$C$256,$Q913)))</f>
        <v/>
      </c>
      <c r="N913" s="38" t="str">
        <f aca="false">IF($A913="","",IF($Q913=0,"",INDEX(COA_Mapping!$E$7:$E$256,$Q913)))</f>
        <v/>
      </c>
      <c r="O913" s="38" t="n">
        <f aca="false">IF($A913="",1,IF($Q913=0,1,INDEX(COA_Mapping!$F$7:$F$256,$Q913)))</f>
        <v>1</v>
      </c>
      <c r="P913" s="34" t="str">
        <f aca="false">IF($A913="","",$I913*$O913)</f>
        <v/>
      </c>
      <c r="Q913" s="39" t="n">
        <f aca="false">IF($B913="",0,IFERROR(MATCH($B913,COA_Mapping!$A$7:$A$256,0),0))</f>
        <v>0</v>
      </c>
      <c r="R913" s="39" t="n">
        <f aca="false">IF($A913="",-1,IF($J913=Setup!$B$7,1,IF($J913=Setup!$B$9,0,-1)))</f>
        <v>-1</v>
      </c>
      <c r="S913" s="35" t="n">
        <f aca="false">IF(OR($A913="",$Q913=0,$R913=-1),0,$Q913*1000+$R913*100+$K913)</f>
        <v>0</v>
      </c>
      <c r="T913" s="37" t="str">
        <f aca="false">IF($A913="","",IF($B913="","NO ACCOUNT",IF($Q913=0,"UNMAPPED",IF($R913=-1,"OUTSIDE FY RANGE","OK"))))</f>
        <v/>
      </c>
      <c r="U913" s="40" t="str">
        <f aca="false">IF($A913="","",$B913&amp;"|"&amp;TEXT($A913,"yyyymmdd")&amp;"|"&amp;TEXT($I913,"0.00"))</f>
        <v/>
      </c>
      <c r="V913" s="35" t="str">
        <f aca="false">IF($A913="","",COUNTIF($U$8:$U$5007,$U913))</f>
        <v/>
      </c>
    </row>
    <row r="914" customFormat="false" ht="15" hidden="false" customHeight="false" outlineLevel="0" collapsed="false">
      <c r="A914" s="31"/>
      <c r="B914" s="32"/>
      <c r="C914" s="32"/>
      <c r="D914" s="32"/>
      <c r="E914" s="32"/>
      <c r="F914" s="32"/>
      <c r="G914" s="33"/>
      <c r="H914" s="33"/>
      <c r="I914" s="34" t="str">
        <f aca="false">IF($A914="","",$G914-$H914)</f>
        <v/>
      </c>
      <c r="J914" s="35" t="str">
        <f aca="false">IF($A914="","",IF(Setup!$B$6=1,YEAR($A914),YEAR($A914)+IF(MONTH($A914)&gt;=Setup!$B$6,1,0)))</f>
        <v/>
      </c>
      <c r="K914" s="35" t="str">
        <f aca="false">IF($A914="","",MOD(MONTH($A914)-Setup!$B$6+12,12)+1)</f>
        <v/>
      </c>
      <c r="L914" s="36" t="str">
        <f aca="false">IF($A914="","",TEXT($A914,"MMM-YY"))</f>
        <v/>
      </c>
      <c r="M914" s="37" t="str">
        <f aca="false">IF($A914="","",IF($Q914=0,"UNMAPPED",INDEX(COA_Mapping!$C$7:$C$256,$Q914)))</f>
        <v/>
      </c>
      <c r="N914" s="38" t="str">
        <f aca="false">IF($A914="","",IF($Q914=0,"",INDEX(COA_Mapping!$E$7:$E$256,$Q914)))</f>
        <v/>
      </c>
      <c r="O914" s="38" t="n">
        <f aca="false">IF($A914="",1,IF($Q914=0,1,INDEX(COA_Mapping!$F$7:$F$256,$Q914)))</f>
        <v>1</v>
      </c>
      <c r="P914" s="34" t="str">
        <f aca="false">IF($A914="","",$I914*$O914)</f>
        <v/>
      </c>
      <c r="Q914" s="39" t="n">
        <f aca="false">IF($B914="",0,IFERROR(MATCH($B914,COA_Mapping!$A$7:$A$256,0),0))</f>
        <v>0</v>
      </c>
      <c r="R914" s="39" t="n">
        <f aca="false">IF($A914="",-1,IF($J914=Setup!$B$7,1,IF($J914=Setup!$B$9,0,-1)))</f>
        <v>-1</v>
      </c>
      <c r="S914" s="35" t="n">
        <f aca="false">IF(OR($A914="",$Q914=0,$R914=-1),0,$Q914*1000+$R914*100+$K914)</f>
        <v>0</v>
      </c>
      <c r="T914" s="37" t="str">
        <f aca="false">IF($A914="","",IF($B914="","NO ACCOUNT",IF($Q914=0,"UNMAPPED",IF($R914=-1,"OUTSIDE FY RANGE","OK"))))</f>
        <v/>
      </c>
      <c r="U914" s="40" t="str">
        <f aca="false">IF($A914="","",$B914&amp;"|"&amp;TEXT($A914,"yyyymmdd")&amp;"|"&amp;TEXT($I914,"0.00"))</f>
        <v/>
      </c>
      <c r="V914" s="35" t="str">
        <f aca="false">IF($A914="","",COUNTIF($U$8:$U$5007,$U914))</f>
        <v/>
      </c>
    </row>
    <row r="915" customFormat="false" ht="15" hidden="false" customHeight="false" outlineLevel="0" collapsed="false">
      <c r="A915" s="31"/>
      <c r="B915" s="32"/>
      <c r="C915" s="32"/>
      <c r="D915" s="32"/>
      <c r="E915" s="32"/>
      <c r="F915" s="32"/>
      <c r="G915" s="33"/>
      <c r="H915" s="33"/>
      <c r="I915" s="34" t="str">
        <f aca="false">IF($A915="","",$G915-$H915)</f>
        <v/>
      </c>
      <c r="J915" s="35" t="str">
        <f aca="false">IF($A915="","",IF(Setup!$B$6=1,YEAR($A915),YEAR($A915)+IF(MONTH($A915)&gt;=Setup!$B$6,1,0)))</f>
        <v/>
      </c>
      <c r="K915" s="35" t="str">
        <f aca="false">IF($A915="","",MOD(MONTH($A915)-Setup!$B$6+12,12)+1)</f>
        <v/>
      </c>
      <c r="L915" s="36" t="str">
        <f aca="false">IF($A915="","",TEXT($A915,"MMM-YY"))</f>
        <v/>
      </c>
      <c r="M915" s="37" t="str">
        <f aca="false">IF($A915="","",IF($Q915=0,"UNMAPPED",INDEX(COA_Mapping!$C$7:$C$256,$Q915)))</f>
        <v/>
      </c>
      <c r="N915" s="38" t="str">
        <f aca="false">IF($A915="","",IF($Q915=0,"",INDEX(COA_Mapping!$E$7:$E$256,$Q915)))</f>
        <v/>
      </c>
      <c r="O915" s="38" t="n">
        <f aca="false">IF($A915="",1,IF($Q915=0,1,INDEX(COA_Mapping!$F$7:$F$256,$Q915)))</f>
        <v>1</v>
      </c>
      <c r="P915" s="34" t="str">
        <f aca="false">IF($A915="","",$I915*$O915)</f>
        <v/>
      </c>
      <c r="Q915" s="39" t="n">
        <f aca="false">IF($B915="",0,IFERROR(MATCH($B915,COA_Mapping!$A$7:$A$256,0),0))</f>
        <v>0</v>
      </c>
      <c r="R915" s="39" t="n">
        <f aca="false">IF($A915="",-1,IF($J915=Setup!$B$7,1,IF($J915=Setup!$B$9,0,-1)))</f>
        <v>-1</v>
      </c>
      <c r="S915" s="35" t="n">
        <f aca="false">IF(OR($A915="",$Q915=0,$R915=-1),0,$Q915*1000+$R915*100+$K915)</f>
        <v>0</v>
      </c>
      <c r="T915" s="37" t="str">
        <f aca="false">IF($A915="","",IF($B915="","NO ACCOUNT",IF($Q915=0,"UNMAPPED",IF($R915=-1,"OUTSIDE FY RANGE","OK"))))</f>
        <v/>
      </c>
      <c r="U915" s="40" t="str">
        <f aca="false">IF($A915="","",$B915&amp;"|"&amp;TEXT($A915,"yyyymmdd")&amp;"|"&amp;TEXT($I915,"0.00"))</f>
        <v/>
      </c>
      <c r="V915" s="35" t="str">
        <f aca="false">IF($A915="","",COUNTIF($U$8:$U$5007,$U915))</f>
        <v/>
      </c>
    </row>
    <row r="916" customFormat="false" ht="15" hidden="false" customHeight="false" outlineLevel="0" collapsed="false">
      <c r="A916" s="31"/>
      <c r="B916" s="32"/>
      <c r="C916" s="32"/>
      <c r="D916" s="32"/>
      <c r="E916" s="32"/>
      <c r="F916" s="32"/>
      <c r="G916" s="33"/>
      <c r="H916" s="33"/>
      <c r="I916" s="34" t="str">
        <f aca="false">IF($A916="","",$G916-$H916)</f>
        <v/>
      </c>
      <c r="J916" s="35" t="str">
        <f aca="false">IF($A916="","",IF(Setup!$B$6=1,YEAR($A916),YEAR($A916)+IF(MONTH($A916)&gt;=Setup!$B$6,1,0)))</f>
        <v/>
      </c>
      <c r="K916" s="35" t="str">
        <f aca="false">IF($A916="","",MOD(MONTH($A916)-Setup!$B$6+12,12)+1)</f>
        <v/>
      </c>
      <c r="L916" s="36" t="str">
        <f aca="false">IF($A916="","",TEXT($A916,"MMM-YY"))</f>
        <v/>
      </c>
      <c r="M916" s="37" t="str">
        <f aca="false">IF($A916="","",IF($Q916=0,"UNMAPPED",INDEX(COA_Mapping!$C$7:$C$256,$Q916)))</f>
        <v/>
      </c>
      <c r="N916" s="38" t="str">
        <f aca="false">IF($A916="","",IF($Q916=0,"",INDEX(COA_Mapping!$E$7:$E$256,$Q916)))</f>
        <v/>
      </c>
      <c r="O916" s="38" t="n">
        <f aca="false">IF($A916="",1,IF($Q916=0,1,INDEX(COA_Mapping!$F$7:$F$256,$Q916)))</f>
        <v>1</v>
      </c>
      <c r="P916" s="34" t="str">
        <f aca="false">IF($A916="","",$I916*$O916)</f>
        <v/>
      </c>
      <c r="Q916" s="39" t="n">
        <f aca="false">IF($B916="",0,IFERROR(MATCH($B916,COA_Mapping!$A$7:$A$256,0),0))</f>
        <v>0</v>
      </c>
      <c r="R916" s="39" t="n">
        <f aca="false">IF($A916="",-1,IF($J916=Setup!$B$7,1,IF($J916=Setup!$B$9,0,-1)))</f>
        <v>-1</v>
      </c>
      <c r="S916" s="35" t="n">
        <f aca="false">IF(OR($A916="",$Q916=0,$R916=-1),0,$Q916*1000+$R916*100+$K916)</f>
        <v>0</v>
      </c>
      <c r="T916" s="37" t="str">
        <f aca="false">IF($A916="","",IF($B916="","NO ACCOUNT",IF($Q916=0,"UNMAPPED",IF($R916=-1,"OUTSIDE FY RANGE","OK"))))</f>
        <v/>
      </c>
      <c r="U916" s="40" t="str">
        <f aca="false">IF($A916="","",$B916&amp;"|"&amp;TEXT($A916,"yyyymmdd")&amp;"|"&amp;TEXT($I916,"0.00"))</f>
        <v/>
      </c>
      <c r="V916" s="35" t="str">
        <f aca="false">IF($A916="","",COUNTIF($U$8:$U$5007,$U916))</f>
        <v/>
      </c>
    </row>
    <row r="917" customFormat="false" ht="15" hidden="false" customHeight="false" outlineLevel="0" collapsed="false">
      <c r="A917" s="31"/>
      <c r="B917" s="32"/>
      <c r="C917" s="32"/>
      <c r="D917" s="32"/>
      <c r="E917" s="32"/>
      <c r="F917" s="32"/>
      <c r="G917" s="33"/>
      <c r="H917" s="33"/>
      <c r="I917" s="34" t="str">
        <f aca="false">IF($A917="","",$G917-$H917)</f>
        <v/>
      </c>
      <c r="J917" s="35" t="str">
        <f aca="false">IF($A917="","",IF(Setup!$B$6=1,YEAR($A917),YEAR($A917)+IF(MONTH($A917)&gt;=Setup!$B$6,1,0)))</f>
        <v/>
      </c>
      <c r="K917" s="35" t="str">
        <f aca="false">IF($A917="","",MOD(MONTH($A917)-Setup!$B$6+12,12)+1)</f>
        <v/>
      </c>
      <c r="L917" s="36" t="str">
        <f aca="false">IF($A917="","",TEXT($A917,"MMM-YY"))</f>
        <v/>
      </c>
      <c r="M917" s="37" t="str">
        <f aca="false">IF($A917="","",IF($Q917=0,"UNMAPPED",INDEX(COA_Mapping!$C$7:$C$256,$Q917)))</f>
        <v/>
      </c>
      <c r="N917" s="38" t="str">
        <f aca="false">IF($A917="","",IF($Q917=0,"",INDEX(COA_Mapping!$E$7:$E$256,$Q917)))</f>
        <v/>
      </c>
      <c r="O917" s="38" t="n">
        <f aca="false">IF($A917="",1,IF($Q917=0,1,INDEX(COA_Mapping!$F$7:$F$256,$Q917)))</f>
        <v>1</v>
      </c>
      <c r="P917" s="34" t="str">
        <f aca="false">IF($A917="","",$I917*$O917)</f>
        <v/>
      </c>
      <c r="Q917" s="39" t="n">
        <f aca="false">IF($B917="",0,IFERROR(MATCH($B917,COA_Mapping!$A$7:$A$256,0),0))</f>
        <v>0</v>
      </c>
      <c r="R917" s="39" t="n">
        <f aca="false">IF($A917="",-1,IF($J917=Setup!$B$7,1,IF($J917=Setup!$B$9,0,-1)))</f>
        <v>-1</v>
      </c>
      <c r="S917" s="35" t="n">
        <f aca="false">IF(OR($A917="",$Q917=0,$R917=-1),0,$Q917*1000+$R917*100+$K917)</f>
        <v>0</v>
      </c>
      <c r="T917" s="37" t="str">
        <f aca="false">IF($A917="","",IF($B917="","NO ACCOUNT",IF($Q917=0,"UNMAPPED",IF($R917=-1,"OUTSIDE FY RANGE","OK"))))</f>
        <v/>
      </c>
      <c r="U917" s="40" t="str">
        <f aca="false">IF($A917="","",$B917&amp;"|"&amp;TEXT($A917,"yyyymmdd")&amp;"|"&amp;TEXT($I917,"0.00"))</f>
        <v/>
      </c>
      <c r="V917" s="35" t="str">
        <f aca="false">IF($A917="","",COUNTIF($U$8:$U$5007,$U917))</f>
        <v/>
      </c>
    </row>
    <row r="918" customFormat="false" ht="15" hidden="false" customHeight="false" outlineLevel="0" collapsed="false">
      <c r="A918" s="31"/>
      <c r="B918" s="32"/>
      <c r="C918" s="32"/>
      <c r="D918" s="32"/>
      <c r="E918" s="32"/>
      <c r="F918" s="32"/>
      <c r="G918" s="33"/>
      <c r="H918" s="33"/>
      <c r="I918" s="34" t="str">
        <f aca="false">IF($A918="","",$G918-$H918)</f>
        <v/>
      </c>
      <c r="J918" s="35" t="str">
        <f aca="false">IF($A918="","",IF(Setup!$B$6=1,YEAR($A918),YEAR($A918)+IF(MONTH($A918)&gt;=Setup!$B$6,1,0)))</f>
        <v/>
      </c>
      <c r="K918" s="35" t="str">
        <f aca="false">IF($A918="","",MOD(MONTH($A918)-Setup!$B$6+12,12)+1)</f>
        <v/>
      </c>
      <c r="L918" s="36" t="str">
        <f aca="false">IF($A918="","",TEXT($A918,"MMM-YY"))</f>
        <v/>
      </c>
      <c r="M918" s="37" t="str">
        <f aca="false">IF($A918="","",IF($Q918=0,"UNMAPPED",INDEX(COA_Mapping!$C$7:$C$256,$Q918)))</f>
        <v/>
      </c>
      <c r="N918" s="38" t="str">
        <f aca="false">IF($A918="","",IF($Q918=0,"",INDEX(COA_Mapping!$E$7:$E$256,$Q918)))</f>
        <v/>
      </c>
      <c r="O918" s="38" t="n">
        <f aca="false">IF($A918="",1,IF($Q918=0,1,INDEX(COA_Mapping!$F$7:$F$256,$Q918)))</f>
        <v>1</v>
      </c>
      <c r="P918" s="34" t="str">
        <f aca="false">IF($A918="","",$I918*$O918)</f>
        <v/>
      </c>
      <c r="Q918" s="39" t="n">
        <f aca="false">IF($B918="",0,IFERROR(MATCH($B918,COA_Mapping!$A$7:$A$256,0),0))</f>
        <v>0</v>
      </c>
      <c r="R918" s="39" t="n">
        <f aca="false">IF($A918="",-1,IF($J918=Setup!$B$7,1,IF($J918=Setup!$B$9,0,-1)))</f>
        <v>-1</v>
      </c>
      <c r="S918" s="35" t="n">
        <f aca="false">IF(OR($A918="",$Q918=0,$R918=-1),0,$Q918*1000+$R918*100+$K918)</f>
        <v>0</v>
      </c>
      <c r="T918" s="37" t="str">
        <f aca="false">IF($A918="","",IF($B918="","NO ACCOUNT",IF($Q918=0,"UNMAPPED",IF($R918=-1,"OUTSIDE FY RANGE","OK"))))</f>
        <v/>
      </c>
      <c r="U918" s="40" t="str">
        <f aca="false">IF($A918="","",$B918&amp;"|"&amp;TEXT($A918,"yyyymmdd")&amp;"|"&amp;TEXT($I918,"0.00"))</f>
        <v/>
      </c>
      <c r="V918" s="35" t="str">
        <f aca="false">IF($A918="","",COUNTIF($U$8:$U$5007,$U918))</f>
        <v/>
      </c>
    </row>
    <row r="919" customFormat="false" ht="15" hidden="false" customHeight="false" outlineLevel="0" collapsed="false">
      <c r="A919" s="31"/>
      <c r="B919" s="32"/>
      <c r="C919" s="32"/>
      <c r="D919" s="32"/>
      <c r="E919" s="32"/>
      <c r="F919" s="32"/>
      <c r="G919" s="33"/>
      <c r="H919" s="33"/>
      <c r="I919" s="34" t="str">
        <f aca="false">IF($A919="","",$G919-$H919)</f>
        <v/>
      </c>
      <c r="J919" s="35" t="str">
        <f aca="false">IF($A919="","",IF(Setup!$B$6=1,YEAR($A919),YEAR($A919)+IF(MONTH($A919)&gt;=Setup!$B$6,1,0)))</f>
        <v/>
      </c>
      <c r="K919" s="35" t="str">
        <f aca="false">IF($A919="","",MOD(MONTH($A919)-Setup!$B$6+12,12)+1)</f>
        <v/>
      </c>
      <c r="L919" s="36" t="str">
        <f aca="false">IF($A919="","",TEXT($A919,"MMM-YY"))</f>
        <v/>
      </c>
      <c r="M919" s="37" t="str">
        <f aca="false">IF($A919="","",IF($Q919=0,"UNMAPPED",INDEX(COA_Mapping!$C$7:$C$256,$Q919)))</f>
        <v/>
      </c>
      <c r="N919" s="38" t="str">
        <f aca="false">IF($A919="","",IF($Q919=0,"",INDEX(COA_Mapping!$E$7:$E$256,$Q919)))</f>
        <v/>
      </c>
      <c r="O919" s="38" t="n">
        <f aca="false">IF($A919="",1,IF($Q919=0,1,INDEX(COA_Mapping!$F$7:$F$256,$Q919)))</f>
        <v>1</v>
      </c>
      <c r="P919" s="34" t="str">
        <f aca="false">IF($A919="","",$I919*$O919)</f>
        <v/>
      </c>
      <c r="Q919" s="39" t="n">
        <f aca="false">IF($B919="",0,IFERROR(MATCH($B919,COA_Mapping!$A$7:$A$256,0),0))</f>
        <v>0</v>
      </c>
      <c r="R919" s="39" t="n">
        <f aca="false">IF($A919="",-1,IF($J919=Setup!$B$7,1,IF($J919=Setup!$B$9,0,-1)))</f>
        <v>-1</v>
      </c>
      <c r="S919" s="35" t="n">
        <f aca="false">IF(OR($A919="",$Q919=0,$R919=-1),0,$Q919*1000+$R919*100+$K919)</f>
        <v>0</v>
      </c>
      <c r="T919" s="37" t="str">
        <f aca="false">IF($A919="","",IF($B919="","NO ACCOUNT",IF($Q919=0,"UNMAPPED",IF($R919=-1,"OUTSIDE FY RANGE","OK"))))</f>
        <v/>
      </c>
      <c r="U919" s="40" t="str">
        <f aca="false">IF($A919="","",$B919&amp;"|"&amp;TEXT($A919,"yyyymmdd")&amp;"|"&amp;TEXT($I919,"0.00"))</f>
        <v/>
      </c>
      <c r="V919" s="35" t="str">
        <f aca="false">IF($A919="","",COUNTIF($U$8:$U$5007,$U919))</f>
        <v/>
      </c>
    </row>
    <row r="920" customFormat="false" ht="15" hidden="false" customHeight="false" outlineLevel="0" collapsed="false">
      <c r="A920" s="31"/>
      <c r="B920" s="32"/>
      <c r="C920" s="32"/>
      <c r="D920" s="32"/>
      <c r="E920" s="32"/>
      <c r="F920" s="32"/>
      <c r="G920" s="33"/>
      <c r="H920" s="33"/>
      <c r="I920" s="34" t="str">
        <f aca="false">IF($A920="","",$G920-$H920)</f>
        <v/>
      </c>
      <c r="J920" s="35" t="str">
        <f aca="false">IF($A920="","",IF(Setup!$B$6=1,YEAR($A920),YEAR($A920)+IF(MONTH($A920)&gt;=Setup!$B$6,1,0)))</f>
        <v/>
      </c>
      <c r="K920" s="35" t="str">
        <f aca="false">IF($A920="","",MOD(MONTH($A920)-Setup!$B$6+12,12)+1)</f>
        <v/>
      </c>
      <c r="L920" s="36" t="str">
        <f aca="false">IF($A920="","",TEXT($A920,"MMM-YY"))</f>
        <v/>
      </c>
      <c r="M920" s="37" t="str">
        <f aca="false">IF($A920="","",IF($Q920=0,"UNMAPPED",INDEX(COA_Mapping!$C$7:$C$256,$Q920)))</f>
        <v/>
      </c>
      <c r="N920" s="38" t="str">
        <f aca="false">IF($A920="","",IF($Q920=0,"",INDEX(COA_Mapping!$E$7:$E$256,$Q920)))</f>
        <v/>
      </c>
      <c r="O920" s="38" t="n">
        <f aca="false">IF($A920="",1,IF($Q920=0,1,INDEX(COA_Mapping!$F$7:$F$256,$Q920)))</f>
        <v>1</v>
      </c>
      <c r="P920" s="34" t="str">
        <f aca="false">IF($A920="","",$I920*$O920)</f>
        <v/>
      </c>
      <c r="Q920" s="39" t="n">
        <f aca="false">IF($B920="",0,IFERROR(MATCH($B920,COA_Mapping!$A$7:$A$256,0),0))</f>
        <v>0</v>
      </c>
      <c r="R920" s="39" t="n">
        <f aca="false">IF($A920="",-1,IF($J920=Setup!$B$7,1,IF($J920=Setup!$B$9,0,-1)))</f>
        <v>-1</v>
      </c>
      <c r="S920" s="35" t="n">
        <f aca="false">IF(OR($A920="",$Q920=0,$R920=-1),0,$Q920*1000+$R920*100+$K920)</f>
        <v>0</v>
      </c>
      <c r="T920" s="37" t="str">
        <f aca="false">IF($A920="","",IF($B920="","NO ACCOUNT",IF($Q920=0,"UNMAPPED",IF($R920=-1,"OUTSIDE FY RANGE","OK"))))</f>
        <v/>
      </c>
      <c r="U920" s="40" t="str">
        <f aca="false">IF($A920="","",$B920&amp;"|"&amp;TEXT($A920,"yyyymmdd")&amp;"|"&amp;TEXT($I920,"0.00"))</f>
        <v/>
      </c>
      <c r="V920" s="35" t="str">
        <f aca="false">IF($A920="","",COUNTIF($U$8:$U$5007,$U920))</f>
        <v/>
      </c>
    </row>
    <row r="921" customFormat="false" ht="15" hidden="false" customHeight="false" outlineLevel="0" collapsed="false">
      <c r="A921" s="31"/>
      <c r="B921" s="32"/>
      <c r="C921" s="32"/>
      <c r="D921" s="32"/>
      <c r="E921" s="32"/>
      <c r="F921" s="32"/>
      <c r="G921" s="33"/>
      <c r="H921" s="33"/>
      <c r="I921" s="34" t="str">
        <f aca="false">IF($A921="","",$G921-$H921)</f>
        <v/>
      </c>
      <c r="J921" s="35" t="str">
        <f aca="false">IF($A921="","",IF(Setup!$B$6=1,YEAR($A921),YEAR($A921)+IF(MONTH($A921)&gt;=Setup!$B$6,1,0)))</f>
        <v/>
      </c>
      <c r="K921" s="35" t="str">
        <f aca="false">IF($A921="","",MOD(MONTH($A921)-Setup!$B$6+12,12)+1)</f>
        <v/>
      </c>
      <c r="L921" s="36" t="str">
        <f aca="false">IF($A921="","",TEXT($A921,"MMM-YY"))</f>
        <v/>
      </c>
      <c r="M921" s="37" t="str">
        <f aca="false">IF($A921="","",IF($Q921=0,"UNMAPPED",INDEX(COA_Mapping!$C$7:$C$256,$Q921)))</f>
        <v/>
      </c>
      <c r="N921" s="38" t="str">
        <f aca="false">IF($A921="","",IF($Q921=0,"",INDEX(COA_Mapping!$E$7:$E$256,$Q921)))</f>
        <v/>
      </c>
      <c r="O921" s="38" t="n">
        <f aca="false">IF($A921="",1,IF($Q921=0,1,INDEX(COA_Mapping!$F$7:$F$256,$Q921)))</f>
        <v>1</v>
      </c>
      <c r="P921" s="34" t="str">
        <f aca="false">IF($A921="","",$I921*$O921)</f>
        <v/>
      </c>
      <c r="Q921" s="39" t="n">
        <f aca="false">IF($B921="",0,IFERROR(MATCH($B921,COA_Mapping!$A$7:$A$256,0),0))</f>
        <v>0</v>
      </c>
      <c r="R921" s="39" t="n">
        <f aca="false">IF($A921="",-1,IF($J921=Setup!$B$7,1,IF($J921=Setup!$B$9,0,-1)))</f>
        <v>-1</v>
      </c>
      <c r="S921" s="35" t="n">
        <f aca="false">IF(OR($A921="",$Q921=0,$R921=-1),0,$Q921*1000+$R921*100+$K921)</f>
        <v>0</v>
      </c>
      <c r="T921" s="37" t="str">
        <f aca="false">IF($A921="","",IF($B921="","NO ACCOUNT",IF($Q921=0,"UNMAPPED",IF($R921=-1,"OUTSIDE FY RANGE","OK"))))</f>
        <v/>
      </c>
      <c r="U921" s="40" t="str">
        <f aca="false">IF($A921="","",$B921&amp;"|"&amp;TEXT($A921,"yyyymmdd")&amp;"|"&amp;TEXT($I921,"0.00"))</f>
        <v/>
      </c>
      <c r="V921" s="35" t="str">
        <f aca="false">IF($A921="","",COUNTIF($U$8:$U$5007,$U921))</f>
        <v/>
      </c>
    </row>
    <row r="922" customFormat="false" ht="15" hidden="false" customHeight="false" outlineLevel="0" collapsed="false">
      <c r="A922" s="31"/>
      <c r="B922" s="32"/>
      <c r="C922" s="32"/>
      <c r="D922" s="32"/>
      <c r="E922" s="32"/>
      <c r="F922" s="32"/>
      <c r="G922" s="33"/>
      <c r="H922" s="33"/>
      <c r="I922" s="34" t="str">
        <f aca="false">IF($A922="","",$G922-$H922)</f>
        <v/>
      </c>
      <c r="J922" s="35" t="str">
        <f aca="false">IF($A922="","",IF(Setup!$B$6=1,YEAR($A922),YEAR($A922)+IF(MONTH($A922)&gt;=Setup!$B$6,1,0)))</f>
        <v/>
      </c>
      <c r="K922" s="35" t="str">
        <f aca="false">IF($A922="","",MOD(MONTH($A922)-Setup!$B$6+12,12)+1)</f>
        <v/>
      </c>
      <c r="L922" s="36" t="str">
        <f aca="false">IF($A922="","",TEXT($A922,"MMM-YY"))</f>
        <v/>
      </c>
      <c r="M922" s="37" t="str">
        <f aca="false">IF($A922="","",IF($Q922=0,"UNMAPPED",INDEX(COA_Mapping!$C$7:$C$256,$Q922)))</f>
        <v/>
      </c>
      <c r="N922" s="38" t="str">
        <f aca="false">IF($A922="","",IF($Q922=0,"",INDEX(COA_Mapping!$E$7:$E$256,$Q922)))</f>
        <v/>
      </c>
      <c r="O922" s="38" t="n">
        <f aca="false">IF($A922="",1,IF($Q922=0,1,INDEX(COA_Mapping!$F$7:$F$256,$Q922)))</f>
        <v>1</v>
      </c>
      <c r="P922" s="34" t="str">
        <f aca="false">IF($A922="","",$I922*$O922)</f>
        <v/>
      </c>
      <c r="Q922" s="39" t="n">
        <f aca="false">IF($B922="",0,IFERROR(MATCH($B922,COA_Mapping!$A$7:$A$256,0),0))</f>
        <v>0</v>
      </c>
      <c r="R922" s="39" t="n">
        <f aca="false">IF($A922="",-1,IF($J922=Setup!$B$7,1,IF($J922=Setup!$B$9,0,-1)))</f>
        <v>-1</v>
      </c>
      <c r="S922" s="35" t="n">
        <f aca="false">IF(OR($A922="",$Q922=0,$R922=-1),0,$Q922*1000+$R922*100+$K922)</f>
        <v>0</v>
      </c>
      <c r="T922" s="37" t="str">
        <f aca="false">IF($A922="","",IF($B922="","NO ACCOUNT",IF($Q922=0,"UNMAPPED",IF($R922=-1,"OUTSIDE FY RANGE","OK"))))</f>
        <v/>
      </c>
      <c r="U922" s="40" t="str">
        <f aca="false">IF($A922="","",$B922&amp;"|"&amp;TEXT($A922,"yyyymmdd")&amp;"|"&amp;TEXT($I922,"0.00"))</f>
        <v/>
      </c>
      <c r="V922" s="35" t="str">
        <f aca="false">IF($A922="","",COUNTIF($U$8:$U$5007,$U922))</f>
        <v/>
      </c>
    </row>
    <row r="923" customFormat="false" ht="15" hidden="false" customHeight="false" outlineLevel="0" collapsed="false">
      <c r="A923" s="31"/>
      <c r="B923" s="32"/>
      <c r="C923" s="32"/>
      <c r="D923" s="32"/>
      <c r="E923" s="32"/>
      <c r="F923" s="32"/>
      <c r="G923" s="33"/>
      <c r="H923" s="33"/>
      <c r="I923" s="34" t="str">
        <f aca="false">IF($A923="","",$G923-$H923)</f>
        <v/>
      </c>
      <c r="J923" s="35" t="str">
        <f aca="false">IF($A923="","",IF(Setup!$B$6=1,YEAR($A923),YEAR($A923)+IF(MONTH($A923)&gt;=Setup!$B$6,1,0)))</f>
        <v/>
      </c>
      <c r="K923" s="35" t="str">
        <f aca="false">IF($A923="","",MOD(MONTH($A923)-Setup!$B$6+12,12)+1)</f>
        <v/>
      </c>
      <c r="L923" s="36" t="str">
        <f aca="false">IF($A923="","",TEXT($A923,"MMM-YY"))</f>
        <v/>
      </c>
      <c r="M923" s="37" t="str">
        <f aca="false">IF($A923="","",IF($Q923=0,"UNMAPPED",INDEX(COA_Mapping!$C$7:$C$256,$Q923)))</f>
        <v/>
      </c>
      <c r="N923" s="38" t="str">
        <f aca="false">IF($A923="","",IF($Q923=0,"",INDEX(COA_Mapping!$E$7:$E$256,$Q923)))</f>
        <v/>
      </c>
      <c r="O923" s="38" t="n">
        <f aca="false">IF($A923="",1,IF($Q923=0,1,INDEX(COA_Mapping!$F$7:$F$256,$Q923)))</f>
        <v>1</v>
      </c>
      <c r="P923" s="34" t="str">
        <f aca="false">IF($A923="","",$I923*$O923)</f>
        <v/>
      </c>
      <c r="Q923" s="39" t="n">
        <f aca="false">IF($B923="",0,IFERROR(MATCH($B923,COA_Mapping!$A$7:$A$256,0),0))</f>
        <v>0</v>
      </c>
      <c r="R923" s="39" t="n">
        <f aca="false">IF($A923="",-1,IF($J923=Setup!$B$7,1,IF($J923=Setup!$B$9,0,-1)))</f>
        <v>-1</v>
      </c>
      <c r="S923" s="35" t="n">
        <f aca="false">IF(OR($A923="",$Q923=0,$R923=-1),0,$Q923*1000+$R923*100+$K923)</f>
        <v>0</v>
      </c>
      <c r="T923" s="37" t="str">
        <f aca="false">IF($A923="","",IF($B923="","NO ACCOUNT",IF($Q923=0,"UNMAPPED",IF($R923=-1,"OUTSIDE FY RANGE","OK"))))</f>
        <v/>
      </c>
      <c r="U923" s="40" t="str">
        <f aca="false">IF($A923="","",$B923&amp;"|"&amp;TEXT($A923,"yyyymmdd")&amp;"|"&amp;TEXT($I923,"0.00"))</f>
        <v/>
      </c>
      <c r="V923" s="35" t="str">
        <f aca="false">IF($A923="","",COUNTIF($U$8:$U$5007,$U923))</f>
        <v/>
      </c>
    </row>
    <row r="924" customFormat="false" ht="15" hidden="false" customHeight="false" outlineLevel="0" collapsed="false">
      <c r="A924" s="31"/>
      <c r="B924" s="32"/>
      <c r="C924" s="32"/>
      <c r="D924" s="32"/>
      <c r="E924" s="32"/>
      <c r="F924" s="32"/>
      <c r="G924" s="33"/>
      <c r="H924" s="33"/>
      <c r="I924" s="34" t="str">
        <f aca="false">IF($A924="","",$G924-$H924)</f>
        <v/>
      </c>
      <c r="J924" s="35" t="str">
        <f aca="false">IF($A924="","",IF(Setup!$B$6=1,YEAR($A924),YEAR($A924)+IF(MONTH($A924)&gt;=Setup!$B$6,1,0)))</f>
        <v/>
      </c>
      <c r="K924" s="35" t="str">
        <f aca="false">IF($A924="","",MOD(MONTH($A924)-Setup!$B$6+12,12)+1)</f>
        <v/>
      </c>
      <c r="L924" s="36" t="str">
        <f aca="false">IF($A924="","",TEXT($A924,"MMM-YY"))</f>
        <v/>
      </c>
      <c r="M924" s="37" t="str">
        <f aca="false">IF($A924="","",IF($Q924=0,"UNMAPPED",INDEX(COA_Mapping!$C$7:$C$256,$Q924)))</f>
        <v/>
      </c>
      <c r="N924" s="38" t="str">
        <f aca="false">IF($A924="","",IF($Q924=0,"",INDEX(COA_Mapping!$E$7:$E$256,$Q924)))</f>
        <v/>
      </c>
      <c r="O924" s="38" t="n">
        <f aca="false">IF($A924="",1,IF($Q924=0,1,INDEX(COA_Mapping!$F$7:$F$256,$Q924)))</f>
        <v>1</v>
      </c>
      <c r="P924" s="34" t="str">
        <f aca="false">IF($A924="","",$I924*$O924)</f>
        <v/>
      </c>
      <c r="Q924" s="39" t="n">
        <f aca="false">IF($B924="",0,IFERROR(MATCH($B924,COA_Mapping!$A$7:$A$256,0),0))</f>
        <v>0</v>
      </c>
      <c r="R924" s="39" t="n">
        <f aca="false">IF($A924="",-1,IF($J924=Setup!$B$7,1,IF($J924=Setup!$B$9,0,-1)))</f>
        <v>-1</v>
      </c>
      <c r="S924" s="35" t="n">
        <f aca="false">IF(OR($A924="",$Q924=0,$R924=-1),0,$Q924*1000+$R924*100+$K924)</f>
        <v>0</v>
      </c>
      <c r="T924" s="37" t="str">
        <f aca="false">IF($A924="","",IF($B924="","NO ACCOUNT",IF($Q924=0,"UNMAPPED",IF($R924=-1,"OUTSIDE FY RANGE","OK"))))</f>
        <v/>
      </c>
      <c r="U924" s="40" t="str">
        <f aca="false">IF($A924="","",$B924&amp;"|"&amp;TEXT($A924,"yyyymmdd")&amp;"|"&amp;TEXT($I924,"0.00"))</f>
        <v/>
      </c>
      <c r="V924" s="35" t="str">
        <f aca="false">IF($A924="","",COUNTIF($U$8:$U$5007,$U924))</f>
        <v/>
      </c>
    </row>
    <row r="925" customFormat="false" ht="15" hidden="false" customHeight="false" outlineLevel="0" collapsed="false">
      <c r="A925" s="31"/>
      <c r="B925" s="32"/>
      <c r="C925" s="32"/>
      <c r="D925" s="32"/>
      <c r="E925" s="32"/>
      <c r="F925" s="32"/>
      <c r="G925" s="33"/>
      <c r="H925" s="33"/>
      <c r="I925" s="34" t="str">
        <f aca="false">IF($A925="","",$G925-$H925)</f>
        <v/>
      </c>
      <c r="J925" s="35" t="str">
        <f aca="false">IF($A925="","",IF(Setup!$B$6=1,YEAR($A925),YEAR($A925)+IF(MONTH($A925)&gt;=Setup!$B$6,1,0)))</f>
        <v/>
      </c>
      <c r="K925" s="35" t="str">
        <f aca="false">IF($A925="","",MOD(MONTH($A925)-Setup!$B$6+12,12)+1)</f>
        <v/>
      </c>
      <c r="L925" s="36" t="str">
        <f aca="false">IF($A925="","",TEXT($A925,"MMM-YY"))</f>
        <v/>
      </c>
      <c r="M925" s="37" t="str">
        <f aca="false">IF($A925="","",IF($Q925=0,"UNMAPPED",INDEX(COA_Mapping!$C$7:$C$256,$Q925)))</f>
        <v/>
      </c>
      <c r="N925" s="38" t="str">
        <f aca="false">IF($A925="","",IF($Q925=0,"",INDEX(COA_Mapping!$E$7:$E$256,$Q925)))</f>
        <v/>
      </c>
      <c r="O925" s="38" t="n">
        <f aca="false">IF($A925="",1,IF($Q925=0,1,INDEX(COA_Mapping!$F$7:$F$256,$Q925)))</f>
        <v>1</v>
      </c>
      <c r="P925" s="34" t="str">
        <f aca="false">IF($A925="","",$I925*$O925)</f>
        <v/>
      </c>
      <c r="Q925" s="39" t="n">
        <f aca="false">IF($B925="",0,IFERROR(MATCH($B925,COA_Mapping!$A$7:$A$256,0),0))</f>
        <v>0</v>
      </c>
      <c r="R925" s="39" t="n">
        <f aca="false">IF($A925="",-1,IF($J925=Setup!$B$7,1,IF($J925=Setup!$B$9,0,-1)))</f>
        <v>-1</v>
      </c>
      <c r="S925" s="35" t="n">
        <f aca="false">IF(OR($A925="",$Q925=0,$R925=-1),0,$Q925*1000+$R925*100+$K925)</f>
        <v>0</v>
      </c>
      <c r="T925" s="37" t="str">
        <f aca="false">IF($A925="","",IF($B925="","NO ACCOUNT",IF($Q925=0,"UNMAPPED",IF($R925=-1,"OUTSIDE FY RANGE","OK"))))</f>
        <v/>
      </c>
      <c r="U925" s="40" t="str">
        <f aca="false">IF($A925="","",$B925&amp;"|"&amp;TEXT($A925,"yyyymmdd")&amp;"|"&amp;TEXT($I925,"0.00"))</f>
        <v/>
      </c>
      <c r="V925" s="35" t="str">
        <f aca="false">IF($A925="","",COUNTIF($U$8:$U$5007,$U925))</f>
        <v/>
      </c>
    </row>
    <row r="926" customFormat="false" ht="15" hidden="false" customHeight="false" outlineLevel="0" collapsed="false">
      <c r="A926" s="31"/>
      <c r="B926" s="32"/>
      <c r="C926" s="32"/>
      <c r="D926" s="32"/>
      <c r="E926" s="32"/>
      <c r="F926" s="32"/>
      <c r="G926" s="33"/>
      <c r="H926" s="33"/>
      <c r="I926" s="34" t="str">
        <f aca="false">IF($A926="","",$G926-$H926)</f>
        <v/>
      </c>
      <c r="J926" s="35" t="str">
        <f aca="false">IF($A926="","",IF(Setup!$B$6=1,YEAR($A926),YEAR($A926)+IF(MONTH($A926)&gt;=Setup!$B$6,1,0)))</f>
        <v/>
      </c>
      <c r="K926" s="35" t="str">
        <f aca="false">IF($A926="","",MOD(MONTH($A926)-Setup!$B$6+12,12)+1)</f>
        <v/>
      </c>
      <c r="L926" s="36" t="str">
        <f aca="false">IF($A926="","",TEXT($A926,"MMM-YY"))</f>
        <v/>
      </c>
      <c r="M926" s="37" t="str">
        <f aca="false">IF($A926="","",IF($Q926=0,"UNMAPPED",INDEX(COA_Mapping!$C$7:$C$256,$Q926)))</f>
        <v/>
      </c>
      <c r="N926" s="38" t="str">
        <f aca="false">IF($A926="","",IF($Q926=0,"",INDEX(COA_Mapping!$E$7:$E$256,$Q926)))</f>
        <v/>
      </c>
      <c r="O926" s="38" t="n">
        <f aca="false">IF($A926="",1,IF($Q926=0,1,INDEX(COA_Mapping!$F$7:$F$256,$Q926)))</f>
        <v>1</v>
      </c>
      <c r="P926" s="34" t="str">
        <f aca="false">IF($A926="","",$I926*$O926)</f>
        <v/>
      </c>
      <c r="Q926" s="39" t="n">
        <f aca="false">IF($B926="",0,IFERROR(MATCH($B926,COA_Mapping!$A$7:$A$256,0),0))</f>
        <v>0</v>
      </c>
      <c r="R926" s="39" t="n">
        <f aca="false">IF($A926="",-1,IF($J926=Setup!$B$7,1,IF($J926=Setup!$B$9,0,-1)))</f>
        <v>-1</v>
      </c>
      <c r="S926" s="35" t="n">
        <f aca="false">IF(OR($A926="",$Q926=0,$R926=-1),0,$Q926*1000+$R926*100+$K926)</f>
        <v>0</v>
      </c>
      <c r="T926" s="37" t="str">
        <f aca="false">IF($A926="","",IF($B926="","NO ACCOUNT",IF($Q926=0,"UNMAPPED",IF($R926=-1,"OUTSIDE FY RANGE","OK"))))</f>
        <v/>
      </c>
      <c r="U926" s="40" t="str">
        <f aca="false">IF($A926="","",$B926&amp;"|"&amp;TEXT($A926,"yyyymmdd")&amp;"|"&amp;TEXT($I926,"0.00"))</f>
        <v/>
      </c>
      <c r="V926" s="35" t="str">
        <f aca="false">IF($A926="","",COUNTIF($U$8:$U$5007,$U926))</f>
        <v/>
      </c>
    </row>
    <row r="927" customFormat="false" ht="15" hidden="false" customHeight="false" outlineLevel="0" collapsed="false">
      <c r="A927" s="31"/>
      <c r="B927" s="32"/>
      <c r="C927" s="32"/>
      <c r="D927" s="32"/>
      <c r="E927" s="32"/>
      <c r="F927" s="32"/>
      <c r="G927" s="33"/>
      <c r="H927" s="33"/>
      <c r="I927" s="34" t="str">
        <f aca="false">IF($A927="","",$G927-$H927)</f>
        <v/>
      </c>
      <c r="J927" s="35" t="str">
        <f aca="false">IF($A927="","",IF(Setup!$B$6=1,YEAR($A927),YEAR($A927)+IF(MONTH($A927)&gt;=Setup!$B$6,1,0)))</f>
        <v/>
      </c>
      <c r="K927" s="35" t="str">
        <f aca="false">IF($A927="","",MOD(MONTH($A927)-Setup!$B$6+12,12)+1)</f>
        <v/>
      </c>
      <c r="L927" s="36" t="str">
        <f aca="false">IF($A927="","",TEXT($A927,"MMM-YY"))</f>
        <v/>
      </c>
      <c r="M927" s="37" t="str">
        <f aca="false">IF($A927="","",IF($Q927=0,"UNMAPPED",INDEX(COA_Mapping!$C$7:$C$256,$Q927)))</f>
        <v/>
      </c>
      <c r="N927" s="38" t="str">
        <f aca="false">IF($A927="","",IF($Q927=0,"",INDEX(COA_Mapping!$E$7:$E$256,$Q927)))</f>
        <v/>
      </c>
      <c r="O927" s="38" t="n">
        <f aca="false">IF($A927="",1,IF($Q927=0,1,INDEX(COA_Mapping!$F$7:$F$256,$Q927)))</f>
        <v>1</v>
      </c>
      <c r="P927" s="34" t="str">
        <f aca="false">IF($A927="","",$I927*$O927)</f>
        <v/>
      </c>
      <c r="Q927" s="39" t="n">
        <f aca="false">IF($B927="",0,IFERROR(MATCH($B927,COA_Mapping!$A$7:$A$256,0),0))</f>
        <v>0</v>
      </c>
      <c r="R927" s="39" t="n">
        <f aca="false">IF($A927="",-1,IF($J927=Setup!$B$7,1,IF($J927=Setup!$B$9,0,-1)))</f>
        <v>-1</v>
      </c>
      <c r="S927" s="35" t="n">
        <f aca="false">IF(OR($A927="",$Q927=0,$R927=-1),0,$Q927*1000+$R927*100+$K927)</f>
        <v>0</v>
      </c>
      <c r="T927" s="37" t="str">
        <f aca="false">IF($A927="","",IF($B927="","NO ACCOUNT",IF($Q927=0,"UNMAPPED",IF($R927=-1,"OUTSIDE FY RANGE","OK"))))</f>
        <v/>
      </c>
      <c r="U927" s="40" t="str">
        <f aca="false">IF($A927="","",$B927&amp;"|"&amp;TEXT($A927,"yyyymmdd")&amp;"|"&amp;TEXT($I927,"0.00"))</f>
        <v/>
      </c>
      <c r="V927" s="35" t="str">
        <f aca="false">IF($A927="","",COUNTIF($U$8:$U$5007,$U927))</f>
        <v/>
      </c>
    </row>
    <row r="928" customFormat="false" ht="15" hidden="false" customHeight="false" outlineLevel="0" collapsed="false">
      <c r="A928" s="31"/>
      <c r="B928" s="32"/>
      <c r="C928" s="32"/>
      <c r="D928" s="32"/>
      <c r="E928" s="32"/>
      <c r="F928" s="32"/>
      <c r="G928" s="33"/>
      <c r="H928" s="33"/>
      <c r="I928" s="34" t="str">
        <f aca="false">IF($A928="","",$G928-$H928)</f>
        <v/>
      </c>
      <c r="J928" s="35" t="str">
        <f aca="false">IF($A928="","",IF(Setup!$B$6=1,YEAR($A928),YEAR($A928)+IF(MONTH($A928)&gt;=Setup!$B$6,1,0)))</f>
        <v/>
      </c>
      <c r="K928" s="35" t="str">
        <f aca="false">IF($A928="","",MOD(MONTH($A928)-Setup!$B$6+12,12)+1)</f>
        <v/>
      </c>
      <c r="L928" s="36" t="str">
        <f aca="false">IF($A928="","",TEXT($A928,"MMM-YY"))</f>
        <v/>
      </c>
      <c r="M928" s="37" t="str">
        <f aca="false">IF($A928="","",IF($Q928=0,"UNMAPPED",INDEX(COA_Mapping!$C$7:$C$256,$Q928)))</f>
        <v/>
      </c>
      <c r="N928" s="38" t="str">
        <f aca="false">IF($A928="","",IF($Q928=0,"",INDEX(COA_Mapping!$E$7:$E$256,$Q928)))</f>
        <v/>
      </c>
      <c r="O928" s="38" t="n">
        <f aca="false">IF($A928="",1,IF($Q928=0,1,INDEX(COA_Mapping!$F$7:$F$256,$Q928)))</f>
        <v>1</v>
      </c>
      <c r="P928" s="34" t="str">
        <f aca="false">IF($A928="","",$I928*$O928)</f>
        <v/>
      </c>
      <c r="Q928" s="39" t="n">
        <f aca="false">IF($B928="",0,IFERROR(MATCH($B928,COA_Mapping!$A$7:$A$256,0),0))</f>
        <v>0</v>
      </c>
      <c r="R928" s="39" t="n">
        <f aca="false">IF($A928="",-1,IF($J928=Setup!$B$7,1,IF($J928=Setup!$B$9,0,-1)))</f>
        <v>-1</v>
      </c>
      <c r="S928" s="35" t="n">
        <f aca="false">IF(OR($A928="",$Q928=0,$R928=-1),0,$Q928*1000+$R928*100+$K928)</f>
        <v>0</v>
      </c>
      <c r="T928" s="37" t="str">
        <f aca="false">IF($A928="","",IF($B928="","NO ACCOUNT",IF($Q928=0,"UNMAPPED",IF($R928=-1,"OUTSIDE FY RANGE","OK"))))</f>
        <v/>
      </c>
      <c r="U928" s="40" t="str">
        <f aca="false">IF($A928="","",$B928&amp;"|"&amp;TEXT($A928,"yyyymmdd")&amp;"|"&amp;TEXT($I928,"0.00"))</f>
        <v/>
      </c>
      <c r="V928" s="35" t="str">
        <f aca="false">IF($A928="","",COUNTIF($U$8:$U$5007,$U928))</f>
        <v/>
      </c>
    </row>
    <row r="929" customFormat="false" ht="15" hidden="false" customHeight="false" outlineLevel="0" collapsed="false">
      <c r="A929" s="31"/>
      <c r="B929" s="32"/>
      <c r="C929" s="32"/>
      <c r="D929" s="32"/>
      <c r="E929" s="32"/>
      <c r="F929" s="32"/>
      <c r="G929" s="33"/>
      <c r="H929" s="33"/>
      <c r="I929" s="34" t="str">
        <f aca="false">IF($A929="","",$G929-$H929)</f>
        <v/>
      </c>
      <c r="J929" s="35" t="str">
        <f aca="false">IF($A929="","",IF(Setup!$B$6=1,YEAR($A929),YEAR($A929)+IF(MONTH($A929)&gt;=Setup!$B$6,1,0)))</f>
        <v/>
      </c>
      <c r="K929" s="35" t="str">
        <f aca="false">IF($A929="","",MOD(MONTH($A929)-Setup!$B$6+12,12)+1)</f>
        <v/>
      </c>
      <c r="L929" s="36" t="str">
        <f aca="false">IF($A929="","",TEXT($A929,"MMM-YY"))</f>
        <v/>
      </c>
      <c r="M929" s="37" t="str">
        <f aca="false">IF($A929="","",IF($Q929=0,"UNMAPPED",INDEX(COA_Mapping!$C$7:$C$256,$Q929)))</f>
        <v/>
      </c>
      <c r="N929" s="38" t="str">
        <f aca="false">IF($A929="","",IF($Q929=0,"",INDEX(COA_Mapping!$E$7:$E$256,$Q929)))</f>
        <v/>
      </c>
      <c r="O929" s="38" t="n">
        <f aca="false">IF($A929="",1,IF($Q929=0,1,INDEX(COA_Mapping!$F$7:$F$256,$Q929)))</f>
        <v>1</v>
      </c>
      <c r="P929" s="34" t="str">
        <f aca="false">IF($A929="","",$I929*$O929)</f>
        <v/>
      </c>
      <c r="Q929" s="39" t="n">
        <f aca="false">IF($B929="",0,IFERROR(MATCH($B929,COA_Mapping!$A$7:$A$256,0),0))</f>
        <v>0</v>
      </c>
      <c r="R929" s="39" t="n">
        <f aca="false">IF($A929="",-1,IF($J929=Setup!$B$7,1,IF($J929=Setup!$B$9,0,-1)))</f>
        <v>-1</v>
      </c>
      <c r="S929" s="35" t="n">
        <f aca="false">IF(OR($A929="",$Q929=0,$R929=-1),0,$Q929*1000+$R929*100+$K929)</f>
        <v>0</v>
      </c>
      <c r="T929" s="37" t="str">
        <f aca="false">IF($A929="","",IF($B929="","NO ACCOUNT",IF($Q929=0,"UNMAPPED",IF($R929=-1,"OUTSIDE FY RANGE","OK"))))</f>
        <v/>
      </c>
      <c r="U929" s="40" t="str">
        <f aca="false">IF($A929="","",$B929&amp;"|"&amp;TEXT($A929,"yyyymmdd")&amp;"|"&amp;TEXT($I929,"0.00"))</f>
        <v/>
      </c>
      <c r="V929" s="35" t="str">
        <f aca="false">IF($A929="","",COUNTIF($U$8:$U$5007,$U929))</f>
        <v/>
      </c>
    </row>
    <row r="930" customFormat="false" ht="15" hidden="false" customHeight="false" outlineLevel="0" collapsed="false">
      <c r="A930" s="31"/>
      <c r="B930" s="32"/>
      <c r="C930" s="32"/>
      <c r="D930" s="32"/>
      <c r="E930" s="32"/>
      <c r="F930" s="32"/>
      <c r="G930" s="33"/>
      <c r="H930" s="33"/>
      <c r="I930" s="34" t="str">
        <f aca="false">IF($A930="","",$G930-$H930)</f>
        <v/>
      </c>
      <c r="J930" s="35" t="str">
        <f aca="false">IF($A930="","",IF(Setup!$B$6=1,YEAR($A930),YEAR($A930)+IF(MONTH($A930)&gt;=Setup!$B$6,1,0)))</f>
        <v/>
      </c>
      <c r="K930" s="35" t="str">
        <f aca="false">IF($A930="","",MOD(MONTH($A930)-Setup!$B$6+12,12)+1)</f>
        <v/>
      </c>
      <c r="L930" s="36" t="str">
        <f aca="false">IF($A930="","",TEXT($A930,"MMM-YY"))</f>
        <v/>
      </c>
      <c r="M930" s="37" t="str">
        <f aca="false">IF($A930="","",IF($Q930=0,"UNMAPPED",INDEX(COA_Mapping!$C$7:$C$256,$Q930)))</f>
        <v/>
      </c>
      <c r="N930" s="38" t="str">
        <f aca="false">IF($A930="","",IF($Q930=0,"",INDEX(COA_Mapping!$E$7:$E$256,$Q930)))</f>
        <v/>
      </c>
      <c r="O930" s="38" t="n">
        <f aca="false">IF($A930="",1,IF($Q930=0,1,INDEX(COA_Mapping!$F$7:$F$256,$Q930)))</f>
        <v>1</v>
      </c>
      <c r="P930" s="34" t="str">
        <f aca="false">IF($A930="","",$I930*$O930)</f>
        <v/>
      </c>
      <c r="Q930" s="39" t="n">
        <f aca="false">IF($B930="",0,IFERROR(MATCH($B930,COA_Mapping!$A$7:$A$256,0),0))</f>
        <v>0</v>
      </c>
      <c r="R930" s="39" t="n">
        <f aca="false">IF($A930="",-1,IF($J930=Setup!$B$7,1,IF($J930=Setup!$B$9,0,-1)))</f>
        <v>-1</v>
      </c>
      <c r="S930" s="35" t="n">
        <f aca="false">IF(OR($A930="",$Q930=0,$R930=-1),0,$Q930*1000+$R930*100+$K930)</f>
        <v>0</v>
      </c>
      <c r="T930" s="37" t="str">
        <f aca="false">IF($A930="","",IF($B930="","NO ACCOUNT",IF($Q930=0,"UNMAPPED",IF($R930=-1,"OUTSIDE FY RANGE","OK"))))</f>
        <v/>
      </c>
      <c r="U930" s="40" t="str">
        <f aca="false">IF($A930="","",$B930&amp;"|"&amp;TEXT($A930,"yyyymmdd")&amp;"|"&amp;TEXT($I930,"0.00"))</f>
        <v/>
      </c>
      <c r="V930" s="35" t="str">
        <f aca="false">IF($A930="","",COUNTIF($U$8:$U$5007,$U930))</f>
        <v/>
      </c>
    </row>
    <row r="931" customFormat="false" ht="15" hidden="false" customHeight="false" outlineLevel="0" collapsed="false">
      <c r="A931" s="31"/>
      <c r="B931" s="32"/>
      <c r="C931" s="32"/>
      <c r="D931" s="32"/>
      <c r="E931" s="32"/>
      <c r="F931" s="32"/>
      <c r="G931" s="33"/>
      <c r="H931" s="33"/>
      <c r="I931" s="34" t="str">
        <f aca="false">IF($A931="","",$G931-$H931)</f>
        <v/>
      </c>
      <c r="J931" s="35" t="str">
        <f aca="false">IF($A931="","",IF(Setup!$B$6=1,YEAR($A931),YEAR($A931)+IF(MONTH($A931)&gt;=Setup!$B$6,1,0)))</f>
        <v/>
      </c>
      <c r="K931" s="35" t="str">
        <f aca="false">IF($A931="","",MOD(MONTH($A931)-Setup!$B$6+12,12)+1)</f>
        <v/>
      </c>
      <c r="L931" s="36" t="str">
        <f aca="false">IF($A931="","",TEXT($A931,"MMM-YY"))</f>
        <v/>
      </c>
      <c r="M931" s="37" t="str">
        <f aca="false">IF($A931="","",IF($Q931=0,"UNMAPPED",INDEX(COA_Mapping!$C$7:$C$256,$Q931)))</f>
        <v/>
      </c>
      <c r="N931" s="38" t="str">
        <f aca="false">IF($A931="","",IF($Q931=0,"",INDEX(COA_Mapping!$E$7:$E$256,$Q931)))</f>
        <v/>
      </c>
      <c r="O931" s="38" t="n">
        <f aca="false">IF($A931="",1,IF($Q931=0,1,INDEX(COA_Mapping!$F$7:$F$256,$Q931)))</f>
        <v>1</v>
      </c>
      <c r="P931" s="34" t="str">
        <f aca="false">IF($A931="","",$I931*$O931)</f>
        <v/>
      </c>
      <c r="Q931" s="39" t="n">
        <f aca="false">IF($B931="",0,IFERROR(MATCH($B931,COA_Mapping!$A$7:$A$256,0),0))</f>
        <v>0</v>
      </c>
      <c r="R931" s="39" t="n">
        <f aca="false">IF($A931="",-1,IF($J931=Setup!$B$7,1,IF($J931=Setup!$B$9,0,-1)))</f>
        <v>-1</v>
      </c>
      <c r="S931" s="35" t="n">
        <f aca="false">IF(OR($A931="",$Q931=0,$R931=-1),0,$Q931*1000+$R931*100+$K931)</f>
        <v>0</v>
      </c>
      <c r="T931" s="37" t="str">
        <f aca="false">IF($A931="","",IF($B931="","NO ACCOUNT",IF($Q931=0,"UNMAPPED",IF($R931=-1,"OUTSIDE FY RANGE","OK"))))</f>
        <v/>
      </c>
      <c r="U931" s="40" t="str">
        <f aca="false">IF($A931="","",$B931&amp;"|"&amp;TEXT($A931,"yyyymmdd")&amp;"|"&amp;TEXT($I931,"0.00"))</f>
        <v/>
      </c>
      <c r="V931" s="35" t="str">
        <f aca="false">IF($A931="","",COUNTIF($U$8:$U$5007,$U931))</f>
        <v/>
      </c>
    </row>
    <row r="932" customFormat="false" ht="15" hidden="false" customHeight="false" outlineLevel="0" collapsed="false">
      <c r="A932" s="31"/>
      <c r="B932" s="32"/>
      <c r="C932" s="32"/>
      <c r="D932" s="32"/>
      <c r="E932" s="32"/>
      <c r="F932" s="32"/>
      <c r="G932" s="33"/>
      <c r="H932" s="33"/>
      <c r="I932" s="34" t="str">
        <f aca="false">IF($A932="","",$G932-$H932)</f>
        <v/>
      </c>
      <c r="J932" s="35" t="str">
        <f aca="false">IF($A932="","",IF(Setup!$B$6=1,YEAR($A932),YEAR($A932)+IF(MONTH($A932)&gt;=Setup!$B$6,1,0)))</f>
        <v/>
      </c>
      <c r="K932" s="35" t="str">
        <f aca="false">IF($A932="","",MOD(MONTH($A932)-Setup!$B$6+12,12)+1)</f>
        <v/>
      </c>
      <c r="L932" s="36" t="str">
        <f aca="false">IF($A932="","",TEXT($A932,"MMM-YY"))</f>
        <v/>
      </c>
      <c r="M932" s="37" t="str">
        <f aca="false">IF($A932="","",IF($Q932=0,"UNMAPPED",INDEX(COA_Mapping!$C$7:$C$256,$Q932)))</f>
        <v/>
      </c>
      <c r="N932" s="38" t="str">
        <f aca="false">IF($A932="","",IF($Q932=0,"",INDEX(COA_Mapping!$E$7:$E$256,$Q932)))</f>
        <v/>
      </c>
      <c r="O932" s="38" t="n">
        <f aca="false">IF($A932="",1,IF($Q932=0,1,INDEX(COA_Mapping!$F$7:$F$256,$Q932)))</f>
        <v>1</v>
      </c>
      <c r="P932" s="34" t="str">
        <f aca="false">IF($A932="","",$I932*$O932)</f>
        <v/>
      </c>
      <c r="Q932" s="39" t="n">
        <f aca="false">IF($B932="",0,IFERROR(MATCH($B932,COA_Mapping!$A$7:$A$256,0),0))</f>
        <v>0</v>
      </c>
      <c r="R932" s="39" t="n">
        <f aca="false">IF($A932="",-1,IF($J932=Setup!$B$7,1,IF($J932=Setup!$B$9,0,-1)))</f>
        <v>-1</v>
      </c>
      <c r="S932" s="35" t="n">
        <f aca="false">IF(OR($A932="",$Q932=0,$R932=-1),0,$Q932*1000+$R932*100+$K932)</f>
        <v>0</v>
      </c>
      <c r="T932" s="37" t="str">
        <f aca="false">IF($A932="","",IF($B932="","NO ACCOUNT",IF($Q932=0,"UNMAPPED",IF($R932=-1,"OUTSIDE FY RANGE","OK"))))</f>
        <v/>
      </c>
      <c r="U932" s="40" t="str">
        <f aca="false">IF($A932="","",$B932&amp;"|"&amp;TEXT($A932,"yyyymmdd")&amp;"|"&amp;TEXT($I932,"0.00"))</f>
        <v/>
      </c>
      <c r="V932" s="35" t="str">
        <f aca="false">IF($A932="","",COUNTIF($U$8:$U$5007,$U932))</f>
        <v/>
      </c>
    </row>
    <row r="933" customFormat="false" ht="15" hidden="false" customHeight="false" outlineLevel="0" collapsed="false">
      <c r="A933" s="31"/>
      <c r="B933" s="32"/>
      <c r="C933" s="32"/>
      <c r="D933" s="32"/>
      <c r="E933" s="32"/>
      <c r="F933" s="32"/>
      <c r="G933" s="33"/>
      <c r="H933" s="33"/>
      <c r="I933" s="34" t="str">
        <f aca="false">IF($A933="","",$G933-$H933)</f>
        <v/>
      </c>
      <c r="J933" s="35" t="str">
        <f aca="false">IF($A933="","",IF(Setup!$B$6=1,YEAR($A933),YEAR($A933)+IF(MONTH($A933)&gt;=Setup!$B$6,1,0)))</f>
        <v/>
      </c>
      <c r="K933" s="35" t="str">
        <f aca="false">IF($A933="","",MOD(MONTH($A933)-Setup!$B$6+12,12)+1)</f>
        <v/>
      </c>
      <c r="L933" s="36" t="str">
        <f aca="false">IF($A933="","",TEXT($A933,"MMM-YY"))</f>
        <v/>
      </c>
      <c r="M933" s="37" t="str">
        <f aca="false">IF($A933="","",IF($Q933=0,"UNMAPPED",INDEX(COA_Mapping!$C$7:$C$256,$Q933)))</f>
        <v/>
      </c>
      <c r="N933" s="38" t="str">
        <f aca="false">IF($A933="","",IF($Q933=0,"",INDEX(COA_Mapping!$E$7:$E$256,$Q933)))</f>
        <v/>
      </c>
      <c r="O933" s="38" t="n">
        <f aca="false">IF($A933="",1,IF($Q933=0,1,INDEX(COA_Mapping!$F$7:$F$256,$Q933)))</f>
        <v>1</v>
      </c>
      <c r="P933" s="34" t="str">
        <f aca="false">IF($A933="","",$I933*$O933)</f>
        <v/>
      </c>
      <c r="Q933" s="39" t="n">
        <f aca="false">IF($B933="",0,IFERROR(MATCH($B933,COA_Mapping!$A$7:$A$256,0),0))</f>
        <v>0</v>
      </c>
      <c r="R933" s="39" t="n">
        <f aca="false">IF($A933="",-1,IF($J933=Setup!$B$7,1,IF($J933=Setup!$B$9,0,-1)))</f>
        <v>-1</v>
      </c>
      <c r="S933" s="35" t="n">
        <f aca="false">IF(OR($A933="",$Q933=0,$R933=-1),0,$Q933*1000+$R933*100+$K933)</f>
        <v>0</v>
      </c>
      <c r="T933" s="37" t="str">
        <f aca="false">IF($A933="","",IF($B933="","NO ACCOUNT",IF($Q933=0,"UNMAPPED",IF($R933=-1,"OUTSIDE FY RANGE","OK"))))</f>
        <v/>
      </c>
      <c r="U933" s="40" t="str">
        <f aca="false">IF($A933="","",$B933&amp;"|"&amp;TEXT($A933,"yyyymmdd")&amp;"|"&amp;TEXT($I933,"0.00"))</f>
        <v/>
      </c>
      <c r="V933" s="35" t="str">
        <f aca="false">IF($A933="","",COUNTIF($U$8:$U$5007,$U933))</f>
        <v/>
      </c>
    </row>
    <row r="934" customFormat="false" ht="15" hidden="false" customHeight="false" outlineLevel="0" collapsed="false">
      <c r="A934" s="31"/>
      <c r="B934" s="32"/>
      <c r="C934" s="32"/>
      <c r="D934" s="32"/>
      <c r="E934" s="32"/>
      <c r="F934" s="32"/>
      <c r="G934" s="33"/>
      <c r="H934" s="33"/>
      <c r="I934" s="34" t="str">
        <f aca="false">IF($A934="","",$G934-$H934)</f>
        <v/>
      </c>
      <c r="J934" s="35" t="str">
        <f aca="false">IF($A934="","",IF(Setup!$B$6=1,YEAR($A934),YEAR($A934)+IF(MONTH($A934)&gt;=Setup!$B$6,1,0)))</f>
        <v/>
      </c>
      <c r="K934" s="35" t="str">
        <f aca="false">IF($A934="","",MOD(MONTH($A934)-Setup!$B$6+12,12)+1)</f>
        <v/>
      </c>
      <c r="L934" s="36" t="str">
        <f aca="false">IF($A934="","",TEXT($A934,"MMM-YY"))</f>
        <v/>
      </c>
      <c r="M934" s="37" t="str">
        <f aca="false">IF($A934="","",IF($Q934=0,"UNMAPPED",INDEX(COA_Mapping!$C$7:$C$256,$Q934)))</f>
        <v/>
      </c>
      <c r="N934" s="38" t="str">
        <f aca="false">IF($A934="","",IF($Q934=0,"",INDEX(COA_Mapping!$E$7:$E$256,$Q934)))</f>
        <v/>
      </c>
      <c r="O934" s="38" t="n">
        <f aca="false">IF($A934="",1,IF($Q934=0,1,INDEX(COA_Mapping!$F$7:$F$256,$Q934)))</f>
        <v>1</v>
      </c>
      <c r="P934" s="34" t="str">
        <f aca="false">IF($A934="","",$I934*$O934)</f>
        <v/>
      </c>
      <c r="Q934" s="39" t="n">
        <f aca="false">IF($B934="",0,IFERROR(MATCH($B934,COA_Mapping!$A$7:$A$256,0),0))</f>
        <v>0</v>
      </c>
      <c r="R934" s="39" t="n">
        <f aca="false">IF($A934="",-1,IF($J934=Setup!$B$7,1,IF($J934=Setup!$B$9,0,-1)))</f>
        <v>-1</v>
      </c>
      <c r="S934" s="35" t="n">
        <f aca="false">IF(OR($A934="",$Q934=0,$R934=-1),0,$Q934*1000+$R934*100+$K934)</f>
        <v>0</v>
      </c>
      <c r="T934" s="37" t="str">
        <f aca="false">IF($A934="","",IF($B934="","NO ACCOUNT",IF($Q934=0,"UNMAPPED",IF($R934=-1,"OUTSIDE FY RANGE","OK"))))</f>
        <v/>
      </c>
      <c r="U934" s="40" t="str">
        <f aca="false">IF($A934="","",$B934&amp;"|"&amp;TEXT($A934,"yyyymmdd")&amp;"|"&amp;TEXT($I934,"0.00"))</f>
        <v/>
      </c>
      <c r="V934" s="35" t="str">
        <f aca="false">IF($A934="","",COUNTIF($U$8:$U$5007,$U934))</f>
        <v/>
      </c>
    </row>
    <row r="935" customFormat="false" ht="15" hidden="false" customHeight="false" outlineLevel="0" collapsed="false">
      <c r="A935" s="31"/>
      <c r="B935" s="32"/>
      <c r="C935" s="32"/>
      <c r="D935" s="32"/>
      <c r="E935" s="32"/>
      <c r="F935" s="32"/>
      <c r="G935" s="33"/>
      <c r="H935" s="33"/>
      <c r="I935" s="34" t="str">
        <f aca="false">IF($A935="","",$G935-$H935)</f>
        <v/>
      </c>
      <c r="J935" s="35" t="str">
        <f aca="false">IF($A935="","",IF(Setup!$B$6=1,YEAR($A935),YEAR($A935)+IF(MONTH($A935)&gt;=Setup!$B$6,1,0)))</f>
        <v/>
      </c>
      <c r="K935" s="35" t="str">
        <f aca="false">IF($A935="","",MOD(MONTH($A935)-Setup!$B$6+12,12)+1)</f>
        <v/>
      </c>
      <c r="L935" s="36" t="str">
        <f aca="false">IF($A935="","",TEXT($A935,"MMM-YY"))</f>
        <v/>
      </c>
      <c r="M935" s="37" t="str">
        <f aca="false">IF($A935="","",IF($Q935=0,"UNMAPPED",INDEX(COA_Mapping!$C$7:$C$256,$Q935)))</f>
        <v/>
      </c>
      <c r="N935" s="38" t="str">
        <f aca="false">IF($A935="","",IF($Q935=0,"",INDEX(COA_Mapping!$E$7:$E$256,$Q935)))</f>
        <v/>
      </c>
      <c r="O935" s="38" t="n">
        <f aca="false">IF($A935="",1,IF($Q935=0,1,INDEX(COA_Mapping!$F$7:$F$256,$Q935)))</f>
        <v>1</v>
      </c>
      <c r="P935" s="34" t="str">
        <f aca="false">IF($A935="","",$I935*$O935)</f>
        <v/>
      </c>
      <c r="Q935" s="39" t="n">
        <f aca="false">IF($B935="",0,IFERROR(MATCH($B935,COA_Mapping!$A$7:$A$256,0),0))</f>
        <v>0</v>
      </c>
      <c r="R935" s="39" t="n">
        <f aca="false">IF($A935="",-1,IF($J935=Setup!$B$7,1,IF($J935=Setup!$B$9,0,-1)))</f>
        <v>-1</v>
      </c>
      <c r="S935" s="35" t="n">
        <f aca="false">IF(OR($A935="",$Q935=0,$R935=-1),0,$Q935*1000+$R935*100+$K935)</f>
        <v>0</v>
      </c>
      <c r="T935" s="37" t="str">
        <f aca="false">IF($A935="","",IF($B935="","NO ACCOUNT",IF($Q935=0,"UNMAPPED",IF($R935=-1,"OUTSIDE FY RANGE","OK"))))</f>
        <v/>
      </c>
      <c r="U935" s="40" t="str">
        <f aca="false">IF($A935="","",$B935&amp;"|"&amp;TEXT($A935,"yyyymmdd")&amp;"|"&amp;TEXT($I935,"0.00"))</f>
        <v/>
      </c>
      <c r="V935" s="35" t="str">
        <f aca="false">IF($A935="","",COUNTIF($U$8:$U$5007,$U935))</f>
        <v/>
      </c>
    </row>
    <row r="936" customFormat="false" ht="15" hidden="false" customHeight="false" outlineLevel="0" collapsed="false">
      <c r="A936" s="31"/>
      <c r="B936" s="32"/>
      <c r="C936" s="32"/>
      <c r="D936" s="32"/>
      <c r="E936" s="32"/>
      <c r="F936" s="32"/>
      <c r="G936" s="33"/>
      <c r="H936" s="33"/>
      <c r="I936" s="34" t="str">
        <f aca="false">IF($A936="","",$G936-$H936)</f>
        <v/>
      </c>
      <c r="J936" s="35" t="str">
        <f aca="false">IF($A936="","",IF(Setup!$B$6=1,YEAR($A936),YEAR($A936)+IF(MONTH($A936)&gt;=Setup!$B$6,1,0)))</f>
        <v/>
      </c>
      <c r="K936" s="35" t="str">
        <f aca="false">IF($A936="","",MOD(MONTH($A936)-Setup!$B$6+12,12)+1)</f>
        <v/>
      </c>
      <c r="L936" s="36" t="str">
        <f aca="false">IF($A936="","",TEXT($A936,"MMM-YY"))</f>
        <v/>
      </c>
      <c r="M936" s="37" t="str">
        <f aca="false">IF($A936="","",IF($Q936=0,"UNMAPPED",INDEX(COA_Mapping!$C$7:$C$256,$Q936)))</f>
        <v/>
      </c>
      <c r="N936" s="38" t="str">
        <f aca="false">IF($A936="","",IF($Q936=0,"",INDEX(COA_Mapping!$E$7:$E$256,$Q936)))</f>
        <v/>
      </c>
      <c r="O936" s="38" t="n">
        <f aca="false">IF($A936="",1,IF($Q936=0,1,INDEX(COA_Mapping!$F$7:$F$256,$Q936)))</f>
        <v>1</v>
      </c>
      <c r="P936" s="34" t="str">
        <f aca="false">IF($A936="","",$I936*$O936)</f>
        <v/>
      </c>
      <c r="Q936" s="39" t="n">
        <f aca="false">IF($B936="",0,IFERROR(MATCH($B936,COA_Mapping!$A$7:$A$256,0),0))</f>
        <v>0</v>
      </c>
      <c r="R936" s="39" t="n">
        <f aca="false">IF($A936="",-1,IF($J936=Setup!$B$7,1,IF($J936=Setup!$B$9,0,-1)))</f>
        <v>-1</v>
      </c>
      <c r="S936" s="35" t="n">
        <f aca="false">IF(OR($A936="",$Q936=0,$R936=-1),0,$Q936*1000+$R936*100+$K936)</f>
        <v>0</v>
      </c>
      <c r="T936" s="37" t="str">
        <f aca="false">IF($A936="","",IF($B936="","NO ACCOUNT",IF($Q936=0,"UNMAPPED",IF($R936=-1,"OUTSIDE FY RANGE","OK"))))</f>
        <v/>
      </c>
      <c r="U936" s="40" t="str">
        <f aca="false">IF($A936="","",$B936&amp;"|"&amp;TEXT($A936,"yyyymmdd")&amp;"|"&amp;TEXT($I936,"0.00"))</f>
        <v/>
      </c>
      <c r="V936" s="35" t="str">
        <f aca="false">IF($A936="","",COUNTIF($U$8:$U$5007,$U936))</f>
        <v/>
      </c>
    </row>
    <row r="937" customFormat="false" ht="15" hidden="false" customHeight="false" outlineLevel="0" collapsed="false">
      <c r="A937" s="31"/>
      <c r="B937" s="32"/>
      <c r="C937" s="32"/>
      <c r="D937" s="32"/>
      <c r="E937" s="32"/>
      <c r="F937" s="32"/>
      <c r="G937" s="33"/>
      <c r="H937" s="33"/>
      <c r="I937" s="34" t="str">
        <f aca="false">IF($A937="","",$G937-$H937)</f>
        <v/>
      </c>
      <c r="J937" s="35" t="str">
        <f aca="false">IF($A937="","",IF(Setup!$B$6=1,YEAR($A937),YEAR($A937)+IF(MONTH($A937)&gt;=Setup!$B$6,1,0)))</f>
        <v/>
      </c>
      <c r="K937" s="35" t="str">
        <f aca="false">IF($A937="","",MOD(MONTH($A937)-Setup!$B$6+12,12)+1)</f>
        <v/>
      </c>
      <c r="L937" s="36" t="str">
        <f aca="false">IF($A937="","",TEXT($A937,"MMM-YY"))</f>
        <v/>
      </c>
      <c r="M937" s="37" t="str">
        <f aca="false">IF($A937="","",IF($Q937=0,"UNMAPPED",INDEX(COA_Mapping!$C$7:$C$256,$Q937)))</f>
        <v/>
      </c>
      <c r="N937" s="38" t="str">
        <f aca="false">IF($A937="","",IF($Q937=0,"",INDEX(COA_Mapping!$E$7:$E$256,$Q937)))</f>
        <v/>
      </c>
      <c r="O937" s="38" t="n">
        <f aca="false">IF($A937="",1,IF($Q937=0,1,INDEX(COA_Mapping!$F$7:$F$256,$Q937)))</f>
        <v>1</v>
      </c>
      <c r="P937" s="34" t="str">
        <f aca="false">IF($A937="","",$I937*$O937)</f>
        <v/>
      </c>
      <c r="Q937" s="39" t="n">
        <f aca="false">IF($B937="",0,IFERROR(MATCH($B937,COA_Mapping!$A$7:$A$256,0),0))</f>
        <v>0</v>
      </c>
      <c r="R937" s="39" t="n">
        <f aca="false">IF($A937="",-1,IF($J937=Setup!$B$7,1,IF($J937=Setup!$B$9,0,-1)))</f>
        <v>-1</v>
      </c>
      <c r="S937" s="35" t="n">
        <f aca="false">IF(OR($A937="",$Q937=0,$R937=-1),0,$Q937*1000+$R937*100+$K937)</f>
        <v>0</v>
      </c>
      <c r="T937" s="37" t="str">
        <f aca="false">IF($A937="","",IF($B937="","NO ACCOUNT",IF($Q937=0,"UNMAPPED",IF($R937=-1,"OUTSIDE FY RANGE","OK"))))</f>
        <v/>
      </c>
      <c r="U937" s="40" t="str">
        <f aca="false">IF($A937="","",$B937&amp;"|"&amp;TEXT($A937,"yyyymmdd")&amp;"|"&amp;TEXT($I937,"0.00"))</f>
        <v/>
      </c>
      <c r="V937" s="35" t="str">
        <f aca="false">IF($A937="","",COUNTIF($U$8:$U$5007,$U937))</f>
        <v/>
      </c>
    </row>
    <row r="938" customFormat="false" ht="15" hidden="false" customHeight="false" outlineLevel="0" collapsed="false">
      <c r="A938" s="31"/>
      <c r="B938" s="32"/>
      <c r="C938" s="32"/>
      <c r="D938" s="32"/>
      <c r="E938" s="32"/>
      <c r="F938" s="32"/>
      <c r="G938" s="33"/>
      <c r="H938" s="33"/>
      <c r="I938" s="34" t="str">
        <f aca="false">IF($A938="","",$G938-$H938)</f>
        <v/>
      </c>
      <c r="J938" s="35" t="str">
        <f aca="false">IF($A938="","",IF(Setup!$B$6=1,YEAR($A938),YEAR($A938)+IF(MONTH($A938)&gt;=Setup!$B$6,1,0)))</f>
        <v/>
      </c>
      <c r="K938" s="35" t="str">
        <f aca="false">IF($A938="","",MOD(MONTH($A938)-Setup!$B$6+12,12)+1)</f>
        <v/>
      </c>
      <c r="L938" s="36" t="str">
        <f aca="false">IF($A938="","",TEXT($A938,"MMM-YY"))</f>
        <v/>
      </c>
      <c r="M938" s="37" t="str">
        <f aca="false">IF($A938="","",IF($Q938=0,"UNMAPPED",INDEX(COA_Mapping!$C$7:$C$256,$Q938)))</f>
        <v/>
      </c>
      <c r="N938" s="38" t="str">
        <f aca="false">IF($A938="","",IF($Q938=0,"",INDEX(COA_Mapping!$E$7:$E$256,$Q938)))</f>
        <v/>
      </c>
      <c r="O938" s="38" t="n">
        <f aca="false">IF($A938="",1,IF($Q938=0,1,INDEX(COA_Mapping!$F$7:$F$256,$Q938)))</f>
        <v>1</v>
      </c>
      <c r="P938" s="34" t="str">
        <f aca="false">IF($A938="","",$I938*$O938)</f>
        <v/>
      </c>
      <c r="Q938" s="39" t="n">
        <f aca="false">IF($B938="",0,IFERROR(MATCH($B938,COA_Mapping!$A$7:$A$256,0),0))</f>
        <v>0</v>
      </c>
      <c r="R938" s="39" t="n">
        <f aca="false">IF($A938="",-1,IF($J938=Setup!$B$7,1,IF($J938=Setup!$B$9,0,-1)))</f>
        <v>-1</v>
      </c>
      <c r="S938" s="35" t="n">
        <f aca="false">IF(OR($A938="",$Q938=0,$R938=-1),0,$Q938*1000+$R938*100+$K938)</f>
        <v>0</v>
      </c>
      <c r="T938" s="37" t="str">
        <f aca="false">IF($A938="","",IF($B938="","NO ACCOUNT",IF($Q938=0,"UNMAPPED",IF($R938=-1,"OUTSIDE FY RANGE","OK"))))</f>
        <v/>
      </c>
      <c r="U938" s="40" t="str">
        <f aca="false">IF($A938="","",$B938&amp;"|"&amp;TEXT($A938,"yyyymmdd")&amp;"|"&amp;TEXT($I938,"0.00"))</f>
        <v/>
      </c>
      <c r="V938" s="35" t="str">
        <f aca="false">IF($A938="","",COUNTIF($U$8:$U$5007,$U938))</f>
        <v/>
      </c>
    </row>
    <row r="939" customFormat="false" ht="15" hidden="false" customHeight="false" outlineLevel="0" collapsed="false">
      <c r="A939" s="31"/>
      <c r="B939" s="32"/>
      <c r="C939" s="32"/>
      <c r="D939" s="32"/>
      <c r="E939" s="32"/>
      <c r="F939" s="32"/>
      <c r="G939" s="33"/>
      <c r="H939" s="33"/>
      <c r="I939" s="34" t="str">
        <f aca="false">IF($A939="","",$G939-$H939)</f>
        <v/>
      </c>
      <c r="J939" s="35" t="str">
        <f aca="false">IF($A939="","",IF(Setup!$B$6=1,YEAR($A939),YEAR($A939)+IF(MONTH($A939)&gt;=Setup!$B$6,1,0)))</f>
        <v/>
      </c>
      <c r="K939" s="35" t="str">
        <f aca="false">IF($A939="","",MOD(MONTH($A939)-Setup!$B$6+12,12)+1)</f>
        <v/>
      </c>
      <c r="L939" s="36" t="str">
        <f aca="false">IF($A939="","",TEXT($A939,"MMM-YY"))</f>
        <v/>
      </c>
      <c r="M939" s="37" t="str">
        <f aca="false">IF($A939="","",IF($Q939=0,"UNMAPPED",INDEX(COA_Mapping!$C$7:$C$256,$Q939)))</f>
        <v/>
      </c>
      <c r="N939" s="38" t="str">
        <f aca="false">IF($A939="","",IF($Q939=0,"",INDEX(COA_Mapping!$E$7:$E$256,$Q939)))</f>
        <v/>
      </c>
      <c r="O939" s="38" t="n">
        <f aca="false">IF($A939="",1,IF($Q939=0,1,INDEX(COA_Mapping!$F$7:$F$256,$Q939)))</f>
        <v>1</v>
      </c>
      <c r="P939" s="34" t="str">
        <f aca="false">IF($A939="","",$I939*$O939)</f>
        <v/>
      </c>
      <c r="Q939" s="39" t="n">
        <f aca="false">IF($B939="",0,IFERROR(MATCH($B939,COA_Mapping!$A$7:$A$256,0),0))</f>
        <v>0</v>
      </c>
      <c r="R939" s="39" t="n">
        <f aca="false">IF($A939="",-1,IF($J939=Setup!$B$7,1,IF($J939=Setup!$B$9,0,-1)))</f>
        <v>-1</v>
      </c>
      <c r="S939" s="35" t="n">
        <f aca="false">IF(OR($A939="",$Q939=0,$R939=-1),0,$Q939*1000+$R939*100+$K939)</f>
        <v>0</v>
      </c>
      <c r="T939" s="37" t="str">
        <f aca="false">IF($A939="","",IF($B939="","NO ACCOUNT",IF($Q939=0,"UNMAPPED",IF($R939=-1,"OUTSIDE FY RANGE","OK"))))</f>
        <v/>
      </c>
      <c r="U939" s="40" t="str">
        <f aca="false">IF($A939="","",$B939&amp;"|"&amp;TEXT($A939,"yyyymmdd")&amp;"|"&amp;TEXT($I939,"0.00"))</f>
        <v/>
      </c>
      <c r="V939" s="35" t="str">
        <f aca="false">IF($A939="","",COUNTIF($U$8:$U$5007,$U939))</f>
        <v/>
      </c>
    </row>
    <row r="940" customFormat="false" ht="15" hidden="false" customHeight="false" outlineLevel="0" collapsed="false">
      <c r="A940" s="31"/>
      <c r="B940" s="32"/>
      <c r="C940" s="32"/>
      <c r="D940" s="32"/>
      <c r="E940" s="32"/>
      <c r="F940" s="32"/>
      <c r="G940" s="33"/>
      <c r="H940" s="33"/>
      <c r="I940" s="34" t="str">
        <f aca="false">IF($A940="","",$G940-$H940)</f>
        <v/>
      </c>
      <c r="J940" s="35" t="str">
        <f aca="false">IF($A940="","",IF(Setup!$B$6=1,YEAR($A940),YEAR($A940)+IF(MONTH($A940)&gt;=Setup!$B$6,1,0)))</f>
        <v/>
      </c>
      <c r="K940" s="35" t="str">
        <f aca="false">IF($A940="","",MOD(MONTH($A940)-Setup!$B$6+12,12)+1)</f>
        <v/>
      </c>
      <c r="L940" s="36" t="str">
        <f aca="false">IF($A940="","",TEXT($A940,"MMM-YY"))</f>
        <v/>
      </c>
      <c r="M940" s="37" t="str">
        <f aca="false">IF($A940="","",IF($Q940=0,"UNMAPPED",INDEX(COA_Mapping!$C$7:$C$256,$Q940)))</f>
        <v/>
      </c>
      <c r="N940" s="38" t="str">
        <f aca="false">IF($A940="","",IF($Q940=0,"",INDEX(COA_Mapping!$E$7:$E$256,$Q940)))</f>
        <v/>
      </c>
      <c r="O940" s="38" t="n">
        <f aca="false">IF($A940="",1,IF($Q940=0,1,INDEX(COA_Mapping!$F$7:$F$256,$Q940)))</f>
        <v>1</v>
      </c>
      <c r="P940" s="34" t="str">
        <f aca="false">IF($A940="","",$I940*$O940)</f>
        <v/>
      </c>
      <c r="Q940" s="39" t="n">
        <f aca="false">IF($B940="",0,IFERROR(MATCH($B940,COA_Mapping!$A$7:$A$256,0),0))</f>
        <v>0</v>
      </c>
      <c r="R940" s="39" t="n">
        <f aca="false">IF($A940="",-1,IF($J940=Setup!$B$7,1,IF($J940=Setup!$B$9,0,-1)))</f>
        <v>-1</v>
      </c>
      <c r="S940" s="35" t="n">
        <f aca="false">IF(OR($A940="",$Q940=0,$R940=-1),0,$Q940*1000+$R940*100+$K940)</f>
        <v>0</v>
      </c>
      <c r="T940" s="37" t="str">
        <f aca="false">IF($A940="","",IF($B940="","NO ACCOUNT",IF($Q940=0,"UNMAPPED",IF($R940=-1,"OUTSIDE FY RANGE","OK"))))</f>
        <v/>
      </c>
      <c r="U940" s="40" t="str">
        <f aca="false">IF($A940="","",$B940&amp;"|"&amp;TEXT($A940,"yyyymmdd")&amp;"|"&amp;TEXT($I940,"0.00"))</f>
        <v/>
      </c>
      <c r="V940" s="35" t="str">
        <f aca="false">IF($A940="","",COUNTIF($U$8:$U$5007,$U940))</f>
        <v/>
      </c>
    </row>
    <row r="941" customFormat="false" ht="15" hidden="false" customHeight="false" outlineLevel="0" collapsed="false">
      <c r="A941" s="31"/>
      <c r="B941" s="32"/>
      <c r="C941" s="32"/>
      <c r="D941" s="32"/>
      <c r="E941" s="32"/>
      <c r="F941" s="32"/>
      <c r="G941" s="33"/>
      <c r="H941" s="33"/>
      <c r="I941" s="34" t="str">
        <f aca="false">IF($A941="","",$G941-$H941)</f>
        <v/>
      </c>
      <c r="J941" s="35" t="str">
        <f aca="false">IF($A941="","",IF(Setup!$B$6=1,YEAR($A941),YEAR($A941)+IF(MONTH($A941)&gt;=Setup!$B$6,1,0)))</f>
        <v/>
      </c>
      <c r="K941" s="35" t="str">
        <f aca="false">IF($A941="","",MOD(MONTH($A941)-Setup!$B$6+12,12)+1)</f>
        <v/>
      </c>
      <c r="L941" s="36" t="str">
        <f aca="false">IF($A941="","",TEXT($A941,"MMM-YY"))</f>
        <v/>
      </c>
      <c r="M941" s="37" t="str">
        <f aca="false">IF($A941="","",IF($Q941=0,"UNMAPPED",INDEX(COA_Mapping!$C$7:$C$256,$Q941)))</f>
        <v/>
      </c>
      <c r="N941" s="38" t="str">
        <f aca="false">IF($A941="","",IF($Q941=0,"",INDEX(COA_Mapping!$E$7:$E$256,$Q941)))</f>
        <v/>
      </c>
      <c r="O941" s="38" t="n">
        <f aca="false">IF($A941="",1,IF($Q941=0,1,INDEX(COA_Mapping!$F$7:$F$256,$Q941)))</f>
        <v>1</v>
      </c>
      <c r="P941" s="34" t="str">
        <f aca="false">IF($A941="","",$I941*$O941)</f>
        <v/>
      </c>
      <c r="Q941" s="39" t="n">
        <f aca="false">IF($B941="",0,IFERROR(MATCH($B941,COA_Mapping!$A$7:$A$256,0),0))</f>
        <v>0</v>
      </c>
      <c r="R941" s="39" t="n">
        <f aca="false">IF($A941="",-1,IF($J941=Setup!$B$7,1,IF($J941=Setup!$B$9,0,-1)))</f>
        <v>-1</v>
      </c>
      <c r="S941" s="35" t="n">
        <f aca="false">IF(OR($A941="",$Q941=0,$R941=-1),0,$Q941*1000+$R941*100+$K941)</f>
        <v>0</v>
      </c>
      <c r="T941" s="37" t="str">
        <f aca="false">IF($A941="","",IF($B941="","NO ACCOUNT",IF($Q941=0,"UNMAPPED",IF($R941=-1,"OUTSIDE FY RANGE","OK"))))</f>
        <v/>
      </c>
      <c r="U941" s="40" t="str">
        <f aca="false">IF($A941="","",$B941&amp;"|"&amp;TEXT($A941,"yyyymmdd")&amp;"|"&amp;TEXT($I941,"0.00"))</f>
        <v/>
      </c>
      <c r="V941" s="35" t="str">
        <f aca="false">IF($A941="","",COUNTIF($U$8:$U$5007,$U941))</f>
        <v/>
      </c>
    </row>
    <row r="942" customFormat="false" ht="15" hidden="false" customHeight="false" outlineLevel="0" collapsed="false">
      <c r="A942" s="31"/>
      <c r="B942" s="32"/>
      <c r="C942" s="32"/>
      <c r="D942" s="32"/>
      <c r="E942" s="32"/>
      <c r="F942" s="32"/>
      <c r="G942" s="33"/>
      <c r="H942" s="33"/>
      <c r="I942" s="34" t="str">
        <f aca="false">IF($A942="","",$G942-$H942)</f>
        <v/>
      </c>
      <c r="J942" s="35" t="str">
        <f aca="false">IF($A942="","",IF(Setup!$B$6=1,YEAR($A942),YEAR($A942)+IF(MONTH($A942)&gt;=Setup!$B$6,1,0)))</f>
        <v/>
      </c>
      <c r="K942" s="35" t="str">
        <f aca="false">IF($A942="","",MOD(MONTH($A942)-Setup!$B$6+12,12)+1)</f>
        <v/>
      </c>
      <c r="L942" s="36" t="str">
        <f aca="false">IF($A942="","",TEXT($A942,"MMM-YY"))</f>
        <v/>
      </c>
      <c r="M942" s="37" t="str">
        <f aca="false">IF($A942="","",IF($Q942=0,"UNMAPPED",INDEX(COA_Mapping!$C$7:$C$256,$Q942)))</f>
        <v/>
      </c>
      <c r="N942" s="38" t="str">
        <f aca="false">IF($A942="","",IF($Q942=0,"",INDEX(COA_Mapping!$E$7:$E$256,$Q942)))</f>
        <v/>
      </c>
      <c r="O942" s="38" t="n">
        <f aca="false">IF($A942="",1,IF($Q942=0,1,INDEX(COA_Mapping!$F$7:$F$256,$Q942)))</f>
        <v>1</v>
      </c>
      <c r="P942" s="34" t="str">
        <f aca="false">IF($A942="","",$I942*$O942)</f>
        <v/>
      </c>
      <c r="Q942" s="39" t="n">
        <f aca="false">IF($B942="",0,IFERROR(MATCH($B942,COA_Mapping!$A$7:$A$256,0),0))</f>
        <v>0</v>
      </c>
      <c r="R942" s="39" t="n">
        <f aca="false">IF($A942="",-1,IF($J942=Setup!$B$7,1,IF($J942=Setup!$B$9,0,-1)))</f>
        <v>-1</v>
      </c>
      <c r="S942" s="35" t="n">
        <f aca="false">IF(OR($A942="",$Q942=0,$R942=-1),0,$Q942*1000+$R942*100+$K942)</f>
        <v>0</v>
      </c>
      <c r="T942" s="37" t="str">
        <f aca="false">IF($A942="","",IF($B942="","NO ACCOUNT",IF($Q942=0,"UNMAPPED",IF($R942=-1,"OUTSIDE FY RANGE","OK"))))</f>
        <v/>
      </c>
      <c r="U942" s="40" t="str">
        <f aca="false">IF($A942="","",$B942&amp;"|"&amp;TEXT($A942,"yyyymmdd")&amp;"|"&amp;TEXT($I942,"0.00"))</f>
        <v/>
      </c>
      <c r="V942" s="35" t="str">
        <f aca="false">IF($A942="","",COUNTIF($U$8:$U$5007,$U942))</f>
        <v/>
      </c>
    </row>
    <row r="943" customFormat="false" ht="15" hidden="false" customHeight="false" outlineLevel="0" collapsed="false">
      <c r="A943" s="31"/>
      <c r="B943" s="32"/>
      <c r="C943" s="32"/>
      <c r="D943" s="32"/>
      <c r="E943" s="32"/>
      <c r="F943" s="32"/>
      <c r="G943" s="33"/>
      <c r="H943" s="33"/>
      <c r="I943" s="34" t="str">
        <f aca="false">IF($A943="","",$G943-$H943)</f>
        <v/>
      </c>
      <c r="J943" s="35" t="str">
        <f aca="false">IF($A943="","",IF(Setup!$B$6=1,YEAR($A943),YEAR($A943)+IF(MONTH($A943)&gt;=Setup!$B$6,1,0)))</f>
        <v/>
      </c>
      <c r="K943" s="35" t="str">
        <f aca="false">IF($A943="","",MOD(MONTH($A943)-Setup!$B$6+12,12)+1)</f>
        <v/>
      </c>
      <c r="L943" s="36" t="str">
        <f aca="false">IF($A943="","",TEXT($A943,"MMM-YY"))</f>
        <v/>
      </c>
      <c r="M943" s="37" t="str">
        <f aca="false">IF($A943="","",IF($Q943=0,"UNMAPPED",INDEX(COA_Mapping!$C$7:$C$256,$Q943)))</f>
        <v/>
      </c>
      <c r="N943" s="38" t="str">
        <f aca="false">IF($A943="","",IF($Q943=0,"",INDEX(COA_Mapping!$E$7:$E$256,$Q943)))</f>
        <v/>
      </c>
      <c r="O943" s="38" t="n">
        <f aca="false">IF($A943="",1,IF($Q943=0,1,INDEX(COA_Mapping!$F$7:$F$256,$Q943)))</f>
        <v>1</v>
      </c>
      <c r="P943" s="34" t="str">
        <f aca="false">IF($A943="","",$I943*$O943)</f>
        <v/>
      </c>
      <c r="Q943" s="39" t="n">
        <f aca="false">IF($B943="",0,IFERROR(MATCH($B943,COA_Mapping!$A$7:$A$256,0),0))</f>
        <v>0</v>
      </c>
      <c r="R943" s="39" t="n">
        <f aca="false">IF($A943="",-1,IF($J943=Setup!$B$7,1,IF($J943=Setup!$B$9,0,-1)))</f>
        <v>-1</v>
      </c>
      <c r="S943" s="35" t="n">
        <f aca="false">IF(OR($A943="",$Q943=0,$R943=-1),0,$Q943*1000+$R943*100+$K943)</f>
        <v>0</v>
      </c>
      <c r="T943" s="37" t="str">
        <f aca="false">IF($A943="","",IF($B943="","NO ACCOUNT",IF($Q943=0,"UNMAPPED",IF($R943=-1,"OUTSIDE FY RANGE","OK"))))</f>
        <v/>
      </c>
      <c r="U943" s="40" t="str">
        <f aca="false">IF($A943="","",$B943&amp;"|"&amp;TEXT($A943,"yyyymmdd")&amp;"|"&amp;TEXT($I943,"0.00"))</f>
        <v/>
      </c>
      <c r="V943" s="35" t="str">
        <f aca="false">IF($A943="","",COUNTIF($U$8:$U$5007,$U943))</f>
        <v/>
      </c>
    </row>
    <row r="944" customFormat="false" ht="15" hidden="false" customHeight="false" outlineLevel="0" collapsed="false">
      <c r="A944" s="31"/>
      <c r="B944" s="32"/>
      <c r="C944" s="32"/>
      <c r="D944" s="32"/>
      <c r="E944" s="32"/>
      <c r="F944" s="32"/>
      <c r="G944" s="33"/>
      <c r="H944" s="33"/>
      <c r="I944" s="34" t="str">
        <f aca="false">IF($A944="","",$G944-$H944)</f>
        <v/>
      </c>
      <c r="J944" s="35" t="str">
        <f aca="false">IF($A944="","",IF(Setup!$B$6=1,YEAR($A944),YEAR($A944)+IF(MONTH($A944)&gt;=Setup!$B$6,1,0)))</f>
        <v/>
      </c>
      <c r="K944" s="35" t="str">
        <f aca="false">IF($A944="","",MOD(MONTH($A944)-Setup!$B$6+12,12)+1)</f>
        <v/>
      </c>
      <c r="L944" s="36" t="str">
        <f aca="false">IF($A944="","",TEXT($A944,"MMM-YY"))</f>
        <v/>
      </c>
      <c r="M944" s="37" t="str">
        <f aca="false">IF($A944="","",IF($Q944=0,"UNMAPPED",INDEX(COA_Mapping!$C$7:$C$256,$Q944)))</f>
        <v/>
      </c>
      <c r="N944" s="38" t="str">
        <f aca="false">IF($A944="","",IF($Q944=0,"",INDEX(COA_Mapping!$E$7:$E$256,$Q944)))</f>
        <v/>
      </c>
      <c r="O944" s="38" t="n">
        <f aca="false">IF($A944="",1,IF($Q944=0,1,INDEX(COA_Mapping!$F$7:$F$256,$Q944)))</f>
        <v>1</v>
      </c>
      <c r="P944" s="34" t="str">
        <f aca="false">IF($A944="","",$I944*$O944)</f>
        <v/>
      </c>
      <c r="Q944" s="39" t="n">
        <f aca="false">IF($B944="",0,IFERROR(MATCH($B944,COA_Mapping!$A$7:$A$256,0),0))</f>
        <v>0</v>
      </c>
      <c r="R944" s="39" t="n">
        <f aca="false">IF($A944="",-1,IF($J944=Setup!$B$7,1,IF($J944=Setup!$B$9,0,-1)))</f>
        <v>-1</v>
      </c>
      <c r="S944" s="35" t="n">
        <f aca="false">IF(OR($A944="",$Q944=0,$R944=-1),0,$Q944*1000+$R944*100+$K944)</f>
        <v>0</v>
      </c>
      <c r="T944" s="37" t="str">
        <f aca="false">IF($A944="","",IF($B944="","NO ACCOUNT",IF($Q944=0,"UNMAPPED",IF($R944=-1,"OUTSIDE FY RANGE","OK"))))</f>
        <v/>
      </c>
      <c r="U944" s="40" t="str">
        <f aca="false">IF($A944="","",$B944&amp;"|"&amp;TEXT($A944,"yyyymmdd")&amp;"|"&amp;TEXT($I944,"0.00"))</f>
        <v/>
      </c>
      <c r="V944" s="35" t="str">
        <f aca="false">IF($A944="","",COUNTIF($U$8:$U$5007,$U944))</f>
        <v/>
      </c>
    </row>
    <row r="945" customFormat="false" ht="15" hidden="false" customHeight="false" outlineLevel="0" collapsed="false">
      <c r="A945" s="31"/>
      <c r="B945" s="32"/>
      <c r="C945" s="32"/>
      <c r="D945" s="32"/>
      <c r="E945" s="32"/>
      <c r="F945" s="32"/>
      <c r="G945" s="33"/>
      <c r="H945" s="33"/>
      <c r="I945" s="34" t="str">
        <f aca="false">IF($A945="","",$G945-$H945)</f>
        <v/>
      </c>
      <c r="J945" s="35" t="str">
        <f aca="false">IF($A945="","",IF(Setup!$B$6=1,YEAR($A945),YEAR($A945)+IF(MONTH($A945)&gt;=Setup!$B$6,1,0)))</f>
        <v/>
      </c>
      <c r="K945" s="35" t="str">
        <f aca="false">IF($A945="","",MOD(MONTH($A945)-Setup!$B$6+12,12)+1)</f>
        <v/>
      </c>
      <c r="L945" s="36" t="str">
        <f aca="false">IF($A945="","",TEXT($A945,"MMM-YY"))</f>
        <v/>
      </c>
      <c r="M945" s="37" t="str">
        <f aca="false">IF($A945="","",IF($Q945=0,"UNMAPPED",INDEX(COA_Mapping!$C$7:$C$256,$Q945)))</f>
        <v/>
      </c>
      <c r="N945" s="38" t="str">
        <f aca="false">IF($A945="","",IF($Q945=0,"",INDEX(COA_Mapping!$E$7:$E$256,$Q945)))</f>
        <v/>
      </c>
      <c r="O945" s="38" t="n">
        <f aca="false">IF($A945="",1,IF($Q945=0,1,INDEX(COA_Mapping!$F$7:$F$256,$Q945)))</f>
        <v>1</v>
      </c>
      <c r="P945" s="34" t="str">
        <f aca="false">IF($A945="","",$I945*$O945)</f>
        <v/>
      </c>
      <c r="Q945" s="39" t="n">
        <f aca="false">IF($B945="",0,IFERROR(MATCH($B945,COA_Mapping!$A$7:$A$256,0),0))</f>
        <v>0</v>
      </c>
      <c r="R945" s="39" t="n">
        <f aca="false">IF($A945="",-1,IF($J945=Setup!$B$7,1,IF($J945=Setup!$B$9,0,-1)))</f>
        <v>-1</v>
      </c>
      <c r="S945" s="35" t="n">
        <f aca="false">IF(OR($A945="",$Q945=0,$R945=-1),0,$Q945*1000+$R945*100+$K945)</f>
        <v>0</v>
      </c>
      <c r="T945" s="37" t="str">
        <f aca="false">IF($A945="","",IF($B945="","NO ACCOUNT",IF($Q945=0,"UNMAPPED",IF($R945=-1,"OUTSIDE FY RANGE","OK"))))</f>
        <v/>
      </c>
      <c r="U945" s="40" t="str">
        <f aca="false">IF($A945="","",$B945&amp;"|"&amp;TEXT($A945,"yyyymmdd")&amp;"|"&amp;TEXT($I945,"0.00"))</f>
        <v/>
      </c>
      <c r="V945" s="35" t="str">
        <f aca="false">IF($A945="","",COUNTIF($U$8:$U$5007,$U945))</f>
        <v/>
      </c>
    </row>
    <row r="946" customFormat="false" ht="15" hidden="false" customHeight="false" outlineLevel="0" collapsed="false">
      <c r="A946" s="31"/>
      <c r="B946" s="32"/>
      <c r="C946" s="32"/>
      <c r="D946" s="32"/>
      <c r="E946" s="32"/>
      <c r="F946" s="32"/>
      <c r="G946" s="33"/>
      <c r="H946" s="33"/>
      <c r="I946" s="34" t="str">
        <f aca="false">IF($A946="","",$G946-$H946)</f>
        <v/>
      </c>
      <c r="J946" s="35" t="str">
        <f aca="false">IF($A946="","",IF(Setup!$B$6=1,YEAR($A946),YEAR($A946)+IF(MONTH($A946)&gt;=Setup!$B$6,1,0)))</f>
        <v/>
      </c>
      <c r="K946" s="35" t="str">
        <f aca="false">IF($A946="","",MOD(MONTH($A946)-Setup!$B$6+12,12)+1)</f>
        <v/>
      </c>
      <c r="L946" s="36" t="str">
        <f aca="false">IF($A946="","",TEXT($A946,"MMM-YY"))</f>
        <v/>
      </c>
      <c r="M946" s="37" t="str">
        <f aca="false">IF($A946="","",IF($Q946=0,"UNMAPPED",INDEX(COA_Mapping!$C$7:$C$256,$Q946)))</f>
        <v/>
      </c>
      <c r="N946" s="38" t="str">
        <f aca="false">IF($A946="","",IF($Q946=0,"",INDEX(COA_Mapping!$E$7:$E$256,$Q946)))</f>
        <v/>
      </c>
      <c r="O946" s="38" t="n">
        <f aca="false">IF($A946="",1,IF($Q946=0,1,INDEX(COA_Mapping!$F$7:$F$256,$Q946)))</f>
        <v>1</v>
      </c>
      <c r="P946" s="34" t="str">
        <f aca="false">IF($A946="","",$I946*$O946)</f>
        <v/>
      </c>
      <c r="Q946" s="39" t="n">
        <f aca="false">IF($B946="",0,IFERROR(MATCH($B946,COA_Mapping!$A$7:$A$256,0),0))</f>
        <v>0</v>
      </c>
      <c r="R946" s="39" t="n">
        <f aca="false">IF($A946="",-1,IF($J946=Setup!$B$7,1,IF($J946=Setup!$B$9,0,-1)))</f>
        <v>-1</v>
      </c>
      <c r="S946" s="35" t="n">
        <f aca="false">IF(OR($A946="",$Q946=0,$R946=-1),0,$Q946*1000+$R946*100+$K946)</f>
        <v>0</v>
      </c>
      <c r="T946" s="37" t="str">
        <f aca="false">IF($A946="","",IF($B946="","NO ACCOUNT",IF($Q946=0,"UNMAPPED",IF($R946=-1,"OUTSIDE FY RANGE","OK"))))</f>
        <v/>
      </c>
      <c r="U946" s="40" t="str">
        <f aca="false">IF($A946="","",$B946&amp;"|"&amp;TEXT($A946,"yyyymmdd")&amp;"|"&amp;TEXT($I946,"0.00"))</f>
        <v/>
      </c>
      <c r="V946" s="35" t="str">
        <f aca="false">IF($A946="","",COUNTIF($U$8:$U$5007,$U946))</f>
        <v/>
      </c>
    </row>
    <row r="947" customFormat="false" ht="15" hidden="false" customHeight="false" outlineLevel="0" collapsed="false">
      <c r="A947" s="31"/>
      <c r="B947" s="32"/>
      <c r="C947" s="32"/>
      <c r="D947" s="32"/>
      <c r="E947" s="32"/>
      <c r="F947" s="32"/>
      <c r="G947" s="33"/>
      <c r="H947" s="33"/>
      <c r="I947" s="34" t="str">
        <f aca="false">IF($A947="","",$G947-$H947)</f>
        <v/>
      </c>
      <c r="J947" s="35" t="str">
        <f aca="false">IF($A947="","",IF(Setup!$B$6=1,YEAR($A947),YEAR($A947)+IF(MONTH($A947)&gt;=Setup!$B$6,1,0)))</f>
        <v/>
      </c>
      <c r="K947" s="35" t="str">
        <f aca="false">IF($A947="","",MOD(MONTH($A947)-Setup!$B$6+12,12)+1)</f>
        <v/>
      </c>
      <c r="L947" s="36" t="str">
        <f aca="false">IF($A947="","",TEXT($A947,"MMM-YY"))</f>
        <v/>
      </c>
      <c r="M947" s="37" t="str">
        <f aca="false">IF($A947="","",IF($Q947=0,"UNMAPPED",INDEX(COA_Mapping!$C$7:$C$256,$Q947)))</f>
        <v/>
      </c>
      <c r="N947" s="38" t="str">
        <f aca="false">IF($A947="","",IF($Q947=0,"",INDEX(COA_Mapping!$E$7:$E$256,$Q947)))</f>
        <v/>
      </c>
      <c r="O947" s="38" t="n">
        <f aca="false">IF($A947="",1,IF($Q947=0,1,INDEX(COA_Mapping!$F$7:$F$256,$Q947)))</f>
        <v>1</v>
      </c>
      <c r="P947" s="34" t="str">
        <f aca="false">IF($A947="","",$I947*$O947)</f>
        <v/>
      </c>
      <c r="Q947" s="39" t="n">
        <f aca="false">IF($B947="",0,IFERROR(MATCH($B947,COA_Mapping!$A$7:$A$256,0),0))</f>
        <v>0</v>
      </c>
      <c r="R947" s="39" t="n">
        <f aca="false">IF($A947="",-1,IF($J947=Setup!$B$7,1,IF($J947=Setup!$B$9,0,-1)))</f>
        <v>-1</v>
      </c>
      <c r="S947" s="35" t="n">
        <f aca="false">IF(OR($A947="",$Q947=0,$R947=-1),0,$Q947*1000+$R947*100+$K947)</f>
        <v>0</v>
      </c>
      <c r="T947" s="37" t="str">
        <f aca="false">IF($A947="","",IF($B947="","NO ACCOUNT",IF($Q947=0,"UNMAPPED",IF($R947=-1,"OUTSIDE FY RANGE","OK"))))</f>
        <v/>
      </c>
      <c r="U947" s="40" t="str">
        <f aca="false">IF($A947="","",$B947&amp;"|"&amp;TEXT($A947,"yyyymmdd")&amp;"|"&amp;TEXT($I947,"0.00"))</f>
        <v/>
      </c>
      <c r="V947" s="35" t="str">
        <f aca="false">IF($A947="","",COUNTIF($U$8:$U$5007,$U947))</f>
        <v/>
      </c>
    </row>
    <row r="948" customFormat="false" ht="15" hidden="false" customHeight="false" outlineLevel="0" collapsed="false">
      <c r="A948" s="31"/>
      <c r="B948" s="32"/>
      <c r="C948" s="32"/>
      <c r="D948" s="32"/>
      <c r="E948" s="32"/>
      <c r="F948" s="32"/>
      <c r="G948" s="33"/>
      <c r="H948" s="33"/>
      <c r="I948" s="34" t="str">
        <f aca="false">IF($A948="","",$G948-$H948)</f>
        <v/>
      </c>
      <c r="J948" s="35" t="str">
        <f aca="false">IF($A948="","",IF(Setup!$B$6=1,YEAR($A948),YEAR($A948)+IF(MONTH($A948)&gt;=Setup!$B$6,1,0)))</f>
        <v/>
      </c>
      <c r="K948" s="35" t="str">
        <f aca="false">IF($A948="","",MOD(MONTH($A948)-Setup!$B$6+12,12)+1)</f>
        <v/>
      </c>
      <c r="L948" s="36" t="str">
        <f aca="false">IF($A948="","",TEXT($A948,"MMM-YY"))</f>
        <v/>
      </c>
      <c r="M948" s="37" t="str">
        <f aca="false">IF($A948="","",IF($Q948=0,"UNMAPPED",INDEX(COA_Mapping!$C$7:$C$256,$Q948)))</f>
        <v/>
      </c>
      <c r="N948" s="38" t="str">
        <f aca="false">IF($A948="","",IF($Q948=0,"",INDEX(COA_Mapping!$E$7:$E$256,$Q948)))</f>
        <v/>
      </c>
      <c r="O948" s="38" t="n">
        <f aca="false">IF($A948="",1,IF($Q948=0,1,INDEX(COA_Mapping!$F$7:$F$256,$Q948)))</f>
        <v>1</v>
      </c>
      <c r="P948" s="34" t="str">
        <f aca="false">IF($A948="","",$I948*$O948)</f>
        <v/>
      </c>
      <c r="Q948" s="39" t="n">
        <f aca="false">IF($B948="",0,IFERROR(MATCH($B948,COA_Mapping!$A$7:$A$256,0),0))</f>
        <v>0</v>
      </c>
      <c r="R948" s="39" t="n">
        <f aca="false">IF($A948="",-1,IF($J948=Setup!$B$7,1,IF($J948=Setup!$B$9,0,-1)))</f>
        <v>-1</v>
      </c>
      <c r="S948" s="35" t="n">
        <f aca="false">IF(OR($A948="",$Q948=0,$R948=-1),0,$Q948*1000+$R948*100+$K948)</f>
        <v>0</v>
      </c>
      <c r="T948" s="37" t="str">
        <f aca="false">IF($A948="","",IF($B948="","NO ACCOUNT",IF($Q948=0,"UNMAPPED",IF($R948=-1,"OUTSIDE FY RANGE","OK"))))</f>
        <v/>
      </c>
      <c r="U948" s="40" t="str">
        <f aca="false">IF($A948="","",$B948&amp;"|"&amp;TEXT($A948,"yyyymmdd")&amp;"|"&amp;TEXT($I948,"0.00"))</f>
        <v/>
      </c>
      <c r="V948" s="35" t="str">
        <f aca="false">IF($A948="","",COUNTIF($U$8:$U$5007,$U948))</f>
        <v/>
      </c>
    </row>
    <row r="949" customFormat="false" ht="15" hidden="false" customHeight="false" outlineLevel="0" collapsed="false">
      <c r="A949" s="31"/>
      <c r="B949" s="32"/>
      <c r="C949" s="32"/>
      <c r="D949" s="32"/>
      <c r="E949" s="32"/>
      <c r="F949" s="32"/>
      <c r="G949" s="33"/>
      <c r="H949" s="33"/>
      <c r="I949" s="34" t="str">
        <f aca="false">IF($A949="","",$G949-$H949)</f>
        <v/>
      </c>
      <c r="J949" s="35" t="str">
        <f aca="false">IF($A949="","",IF(Setup!$B$6=1,YEAR($A949),YEAR($A949)+IF(MONTH($A949)&gt;=Setup!$B$6,1,0)))</f>
        <v/>
      </c>
      <c r="K949" s="35" t="str">
        <f aca="false">IF($A949="","",MOD(MONTH($A949)-Setup!$B$6+12,12)+1)</f>
        <v/>
      </c>
      <c r="L949" s="36" t="str">
        <f aca="false">IF($A949="","",TEXT($A949,"MMM-YY"))</f>
        <v/>
      </c>
      <c r="M949" s="37" t="str">
        <f aca="false">IF($A949="","",IF($Q949=0,"UNMAPPED",INDEX(COA_Mapping!$C$7:$C$256,$Q949)))</f>
        <v/>
      </c>
      <c r="N949" s="38" t="str">
        <f aca="false">IF($A949="","",IF($Q949=0,"",INDEX(COA_Mapping!$E$7:$E$256,$Q949)))</f>
        <v/>
      </c>
      <c r="O949" s="38" t="n">
        <f aca="false">IF($A949="",1,IF($Q949=0,1,INDEX(COA_Mapping!$F$7:$F$256,$Q949)))</f>
        <v>1</v>
      </c>
      <c r="P949" s="34" t="str">
        <f aca="false">IF($A949="","",$I949*$O949)</f>
        <v/>
      </c>
      <c r="Q949" s="39" t="n">
        <f aca="false">IF($B949="",0,IFERROR(MATCH($B949,COA_Mapping!$A$7:$A$256,0),0))</f>
        <v>0</v>
      </c>
      <c r="R949" s="39" t="n">
        <f aca="false">IF($A949="",-1,IF($J949=Setup!$B$7,1,IF($J949=Setup!$B$9,0,-1)))</f>
        <v>-1</v>
      </c>
      <c r="S949" s="35" t="n">
        <f aca="false">IF(OR($A949="",$Q949=0,$R949=-1),0,$Q949*1000+$R949*100+$K949)</f>
        <v>0</v>
      </c>
      <c r="T949" s="37" t="str">
        <f aca="false">IF($A949="","",IF($B949="","NO ACCOUNT",IF($Q949=0,"UNMAPPED",IF($R949=-1,"OUTSIDE FY RANGE","OK"))))</f>
        <v/>
      </c>
      <c r="U949" s="40" t="str">
        <f aca="false">IF($A949="","",$B949&amp;"|"&amp;TEXT($A949,"yyyymmdd")&amp;"|"&amp;TEXT($I949,"0.00"))</f>
        <v/>
      </c>
      <c r="V949" s="35" t="str">
        <f aca="false">IF($A949="","",COUNTIF($U$8:$U$5007,$U949))</f>
        <v/>
      </c>
    </row>
    <row r="950" customFormat="false" ht="15" hidden="false" customHeight="false" outlineLevel="0" collapsed="false">
      <c r="A950" s="31"/>
      <c r="B950" s="32"/>
      <c r="C950" s="32"/>
      <c r="D950" s="32"/>
      <c r="E950" s="32"/>
      <c r="F950" s="32"/>
      <c r="G950" s="33"/>
      <c r="H950" s="33"/>
      <c r="I950" s="34" t="str">
        <f aca="false">IF($A950="","",$G950-$H950)</f>
        <v/>
      </c>
      <c r="J950" s="35" t="str">
        <f aca="false">IF($A950="","",IF(Setup!$B$6=1,YEAR($A950),YEAR($A950)+IF(MONTH($A950)&gt;=Setup!$B$6,1,0)))</f>
        <v/>
      </c>
      <c r="K950" s="35" t="str">
        <f aca="false">IF($A950="","",MOD(MONTH($A950)-Setup!$B$6+12,12)+1)</f>
        <v/>
      </c>
      <c r="L950" s="36" t="str">
        <f aca="false">IF($A950="","",TEXT($A950,"MMM-YY"))</f>
        <v/>
      </c>
      <c r="M950" s="37" t="str">
        <f aca="false">IF($A950="","",IF($Q950=0,"UNMAPPED",INDEX(COA_Mapping!$C$7:$C$256,$Q950)))</f>
        <v/>
      </c>
      <c r="N950" s="38" t="str">
        <f aca="false">IF($A950="","",IF($Q950=0,"",INDEX(COA_Mapping!$E$7:$E$256,$Q950)))</f>
        <v/>
      </c>
      <c r="O950" s="38" t="n">
        <f aca="false">IF($A950="",1,IF($Q950=0,1,INDEX(COA_Mapping!$F$7:$F$256,$Q950)))</f>
        <v>1</v>
      </c>
      <c r="P950" s="34" t="str">
        <f aca="false">IF($A950="","",$I950*$O950)</f>
        <v/>
      </c>
      <c r="Q950" s="39" t="n">
        <f aca="false">IF($B950="",0,IFERROR(MATCH($B950,COA_Mapping!$A$7:$A$256,0),0))</f>
        <v>0</v>
      </c>
      <c r="R950" s="39" t="n">
        <f aca="false">IF($A950="",-1,IF($J950=Setup!$B$7,1,IF($J950=Setup!$B$9,0,-1)))</f>
        <v>-1</v>
      </c>
      <c r="S950" s="35" t="n">
        <f aca="false">IF(OR($A950="",$Q950=0,$R950=-1),0,$Q950*1000+$R950*100+$K950)</f>
        <v>0</v>
      </c>
      <c r="T950" s="37" t="str">
        <f aca="false">IF($A950="","",IF($B950="","NO ACCOUNT",IF($Q950=0,"UNMAPPED",IF($R950=-1,"OUTSIDE FY RANGE","OK"))))</f>
        <v/>
      </c>
      <c r="U950" s="40" t="str">
        <f aca="false">IF($A950="","",$B950&amp;"|"&amp;TEXT($A950,"yyyymmdd")&amp;"|"&amp;TEXT($I950,"0.00"))</f>
        <v/>
      </c>
      <c r="V950" s="35" t="str">
        <f aca="false">IF($A950="","",COUNTIF($U$8:$U$5007,$U950))</f>
        <v/>
      </c>
    </row>
    <row r="951" customFormat="false" ht="15" hidden="false" customHeight="false" outlineLevel="0" collapsed="false">
      <c r="A951" s="31"/>
      <c r="B951" s="32"/>
      <c r="C951" s="32"/>
      <c r="D951" s="32"/>
      <c r="E951" s="32"/>
      <c r="F951" s="32"/>
      <c r="G951" s="33"/>
      <c r="H951" s="33"/>
      <c r="I951" s="34" t="str">
        <f aca="false">IF($A951="","",$G951-$H951)</f>
        <v/>
      </c>
      <c r="J951" s="35" t="str">
        <f aca="false">IF($A951="","",IF(Setup!$B$6=1,YEAR($A951),YEAR($A951)+IF(MONTH($A951)&gt;=Setup!$B$6,1,0)))</f>
        <v/>
      </c>
      <c r="K951" s="35" t="str">
        <f aca="false">IF($A951="","",MOD(MONTH($A951)-Setup!$B$6+12,12)+1)</f>
        <v/>
      </c>
      <c r="L951" s="36" t="str">
        <f aca="false">IF($A951="","",TEXT($A951,"MMM-YY"))</f>
        <v/>
      </c>
      <c r="M951" s="37" t="str">
        <f aca="false">IF($A951="","",IF($Q951=0,"UNMAPPED",INDEX(COA_Mapping!$C$7:$C$256,$Q951)))</f>
        <v/>
      </c>
      <c r="N951" s="38" t="str">
        <f aca="false">IF($A951="","",IF($Q951=0,"",INDEX(COA_Mapping!$E$7:$E$256,$Q951)))</f>
        <v/>
      </c>
      <c r="O951" s="38" t="n">
        <f aca="false">IF($A951="",1,IF($Q951=0,1,INDEX(COA_Mapping!$F$7:$F$256,$Q951)))</f>
        <v>1</v>
      </c>
      <c r="P951" s="34" t="str">
        <f aca="false">IF($A951="","",$I951*$O951)</f>
        <v/>
      </c>
      <c r="Q951" s="39" t="n">
        <f aca="false">IF($B951="",0,IFERROR(MATCH($B951,COA_Mapping!$A$7:$A$256,0),0))</f>
        <v>0</v>
      </c>
      <c r="R951" s="39" t="n">
        <f aca="false">IF($A951="",-1,IF($J951=Setup!$B$7,1,IF($J951=Setup!$B$9,0,-1)))</f>
        <v>-1</v>
      </c>
      <c r="S951" s="35" t="n">
        <f aca="false">IF(OR($A951="",$Q951=0,$R951=-1),0,$Q951*1000+$R951*100+$K951)</f>
        <v>0</v>
      </c>
      <c r="T951" s="37" t="str">
        <f aca="false">IF($A951="","",IF($B951="","NO ACCOUNT",IF($Q951=0,"UNMAPPED",IF($R951=-1,"OUTSIDE FY RANGE","OK"))))</f>
        <v/>
      </c>
      <c r="U951" s="40" t="str">
        <f aca="false">IF($A951="","",$B951&amp;"|"&amp;TEXT($A951,"yyyymmdd")&amp;"|"&amp;TEXT($I951,"0.00"))</f>
        <v/>
      </c>
      <c r="V951" s="35" t="str">
        <f aca="false">IF($A951="","",COUNTIF($U$8:$U$5007,$U951))</f>
        <v/>
      </c>
    </row>
    <row r="952" customFormat="false" ht="15" hidden="false" customHeight="false" outlineLevel="0" collapsed="false">
      <c r="A952" s="31"/>
      <c r="B952" s="32"/>
      <c r="C952" s="32"/>
      <c r="D952" s="32"/>
      <c r="E952" s="32"/>
      <c r="F952" s="32"/>
      <c r="G952" s="33"/>
      <c r="H952" s="33"/>
      <c r="I952" s="34" t="str">
        <f aca="false">IF($A952="","",$G952-$H952)</f>
        <v/>
      </c>
      <c r="J952" s="35" t="str">
        <f aca="false">IF($A952="","",IF(Setup!$B$6=1,YEAR($A952),YEAR($A952)+IF(MONTH($A952)&gt;=Setup!$B$6,1,0)))</f>
        <v/>
      </c>
      <c r="K952" s="35" t="str">
        <f aca="false">IF($A952="","",MOD(MONTH($A952)-Setup!$B$6+12,12)+1)</f>
        <v/>
      </c>
      <c r="L952" s="36" t="str">
        <f aca="false">IF($A952="","",TEXT($A952,"MMM-YY"))</f>
        <v/>
      </c>
      <c r="M952" s="37" t="str">
        <f aca="false">IF($A952="","",IF($Q952=0,"UNMAPPED",INDEX(COA_Mapping!$C$7:$C$256,$Q952)))</f>
        <v/>
      </c>
      <c r="N952" s="38" t="str">
        <f aca="false">IF($A952="","",IF($Q952=0,"",INDEX(COA_Mapping!$E$7:$E$256,$Q952)))</f>
        <v/>
      </c>
      <c r="O952" s="38" t="n">
        <f aca="false">IF($A952="",1,IF($Q952=0,1,INDEX(COA_Mapping!$F$7:$F$256,$Q952)))</f>
        <v>1</v>
      </c>
      <c r="P952" s="34" t="str">
        <f aca="false">IF($A952="","",$I952*$O952)</f>
        <v/>
      </c>
      <c r="Q952" s="39" t="n">
        <f aca="false">IF($B952="",0,IFERROR(MATCH($B952,COA_Mapping!$A$7:$A$256,0),0))</f>
        <v>0</v>
      </c>
      <c r="R952" s="39" t="n">
        <f aca="false">IF($A952="",-1,IF($J952=Setup!$B$7,1,IF($J952=Setup!$B$9,0,-1)))</f>
        <v>-1</v>
      </c>
      <c r="S952" s="35" t="n">
        <f aca="false">IF(OR($A952="",$Q952=0,$R952=-1),0,$Q952*1000+$R952*100+$K952)</f>
        <v>0</v>
      </c>
      <c r="T952" s="37" t="str">
        <f aca="false">IF($A952="","",IF($B952="","NO ACCOUNT",IF($Q952=0,"UNMAPPED",IF($R952=-1,"OUTSIDE FY RANGE","OK"))))</f>
        <v/>
      </c>
      <c r="U952" s="40" t="str">
        <f aca="false">IF($A952="","",$B952&amp;"|"&amp;TEXT($A952,"yyyymmdd")&amp;"|"&amp;TEXT($I952,"0.00"))</f>
        <v/>
      </c>
      <c r="V952" s="35" t="str">
        <f aca="false">IF($A952="","",COUNTIF($U$8:$U$5007,$U952))</f>
        <v/>
      </c>
    </row>
    <row r="953" customFormat="false" ht="15" hidden="false" customHeight="false" outlineLevel="0" collapsed="false">
      <c r="A953" s="31"/>
      <c r="B953" s="32"/>
      <c r="C953" s="32"/>
      <c r="D953" s="32"/>
      <c r="E953" s="32"/>
      <c r="F953" s="32"/>
      <c r="G953" s="33"/>
      <c r="H953" s="33"/>
      <c r="I953" s="34" t="str">
        <f aca="false">IF($A953="","",$G953-$H953)</f>
        <v/>
      </c>
      <c r="J953" s="35" t="str">
        <f aca="false">IF($A953="","",IF(Setup!$B$6=1,YEAR($A953),YEAR($A953)+IF(MONTH($A953)&gt;=Setup!$B$6,1,0)))</f>
        <v/>
      </c>
      <c r="K953" s="35" t="str">
        <f aca="false">IF($A953="","",MOD(MONTH($A953)-Setup!$B$6+12,12)+1)</f>
        <v/>
      </c>
      <c r="L953" s="36" t="str">
        <f aca="false">IF($A953="","",TEXT($A953,"MMM-YY"))</f>
        <v/>
      </c>
      <c r="M953" s="37" t="str">
        <f aca="false">IF($A953="","",IF($Q953=0,"UNMAPPED",INDEX(COA_Mapping!$C$7:$C$256,$Q953)))</f>
        <v/>
      </c>
      <c r="N953" s="38" t="str">
        <f aca="false">IF($A953="","",IF($Q953=0,"",INDEX(COA_Mapping!$E$7:$E$256,$Q953)))</f>
        <v/>
      </c>
      <c r="O953" s="38" t="n">
        <f aca="false">IF($A953="",1,IF($Q953=0,1,INDEX(COA_Mapping!$F$7:$F$256,$Q953)))</f>
        <v>1</v>
      </c>
      <c r="P953" s="34" t="str">
        <f aca="false">IF($A953="","",$I953*$O953)</f>
        <v/>
      </c>
      <c r="Q953" s="39" t="n">
        <f aca="false">IF($B953="",0,IFERROR(MATCH($B953,COA_Mapping!$A$7:$A$256,0),0))</f>
        <v>0</v>
      </c>
      <c r="R953" s="39" t="n">
        <f aca="false">IF($A953="",-1,IF($J953=Setup!$B$7,1,IF($J953=Setup!$B$9,0,-1)))</f>
        <v>-1</v>
      </c>
      <c r="S953" s="35" t="n">
        <f aca="false">IF(OR($A953="",$Q953=0,$R953=-1),0,$Q953*1000+$R953*100+$K953)</f>
        <v>0</v>
      </c>
      <c r="T953" s="37" t="str">
        <f aca="false">IF($A953="","",IF($B953="","NO ACCOUNT",IF($Q953=0,"UNMAPPED",IF($R953=-1,"OUTSIDE FY RANGE","OK"))))</f>
        <v/>
      </c>
      <c r="U953" s="40" t="str">
        <f aca="false">IF($A953="","",$B953&amp;"|"&amp;TEXT($A953,"yyyymmdd")&amp;"|"&amp;TEXT($I953,"0.00"))</f>
        <v/>
      </c>
      <c r="V953" s="35" t="str">
        <f aca="false">IF($A953="","",COUNTIF($U$8:$U$5007,$U953))</f>
        <v/>
      </c>
    </row>
    <row r="954" customFormat="false" ht="15" hidden="false" customHeight="false" outlineLevel="0" collapsed="false">
      <c r="A954" s="31"/>
      <c r="B954" s="32"/>
      <c r="C954" s="32"/>
      <c r="D954" s="32"/>
      <c r="E954" s="32"/>
      <c r="F954" s="32"/>
      <c r="G954" s="33"/>
      <c r="H954" s="33"/>
      <c r="I954" s="34" t="str">
        <f aca="false">IF($A954="","",$G954-$H954)</f>
        <v/>
      </c>
      <c r="J954" s="35" t="str">
        <f aca="false">IF($A954="","",IF(Setup!$B$6=1,YEAR($A954),YEAR($A954)+IF(MONTH($A954)&gt;=Setup!$B$6,1,0)))</f>
        <v/>
      </c>
      <c r="K954" s="35" t="str">
        <f aca="false">IF($A954="","",MOD(MONTH($A954)-Setup!$B$6+12,12)+1)</f>
        <v/>
      </c>
      <c r="L954" s="36" t="str">
        <f aca="false">IF($A954="","",TEXT($A954,"MMM-YY"))</f>
        <v/>
      </c>
      <c r="M954" s="37" t="str">
        <f aca="false">IF($A954="","",IF($Q954=0,"UNMAPPED",INDEX(COA_Mapping!$C$7:$C$256,$Q954)))</f>
        <v/>
      </c>
      <c r="N954" s="38" t="str">
        <f aca="false">IF($A954="","",IF($Q954=0,"",INDEX(COA_Mapping!$E$7:$E$256,$Q954)))</f>
        <v/>
      </c>
      <c r="O954" s="38" t="n">
        <f aca="false">IF($A954="",1,IF($Q954=0,1,INDEX(COA_Mapping!$F$7:$F$256,$Q954)))</f>
        <v>1</v>
      </c>
      <c r="P954" s="34" t="str">
        <f aca="false">IF($A954="","",$I954*$O954)</f>
        <v/>
      </c>
      <c r="Q954" s="39" t="n">
        <f aca="false">IF($B954="",0,IFERROR(MATCH($B954,COA_Mapping!$A$7:$A$256,0),0))</f>
        <v>0</v>
      </c>
      <c r="R954" s="39" t="n">
        <f aca="false">IF($A954="",-1,IF($J954=Setup!$B$7,1,IF($J954=Setup!$B$9,0,-1)))</f>
        <v>-1</v>
      </c>
      <c r="S954" s="35" t="n">
        <f aca="false">IF(OR($A954="",$Q954=0,$R954=-1),0,$Q954*1000+$R954*100+$K954)</f>
        <v>0</v>
      </c>
      <c r="T954" s="37" t="str">
        <f aca="false">IF($A954="","",IF($B954="","NO ACCOUNT",IF($Q954=0,"UNMAPPED",IF($R954=-1,"OUTSIDE FY RANGE","OK"))))</f>
        <v/>
      </c>
      <c r="U954" s="40" t="str">
        <f aca="false">IF($A954="","",$B954&amp;"|"&amp;TEXT($A954,"yyyymmdd")&amp;"|"&amp;TEXT($I954,"0.00"))</f>
        <v/>
      </c>
      <c r="V954" s="35" t="str">
        <f aca="false">IF($A954="","",COUNTIF($U$8:$U$5007,$U954))</f>
        <v/>
      </c>
    </row>
    <row r="955" customFormat="false" ht="15" hidden="false" customHeight="false" outlineLevel="0" collapsed="false">
      <c r="A955" s="31"/>
      <c r="B955" s="32"/>
      <c r="C955" s="32"/>
      <c r="D955" s="32"/>
      <c r="E955" s="32"/>
      <c r="F955" s="32"/>
      <c r="G955" s="33"/>
      <c r="H955" s="33"/>
      <c r="I955" s="34" t="str">
        <f aca="false">IF($A955="","",$G955-$H955)</f>
        <v/>
      </c>
      <c r="J955" s="35" t="str">
        <f aca="false">IF($A955="","",IF(Setup!$B$6=1,YEAR($A955),YEAR($A955)+IF(MONTH($A955)&gt;=Setup!$B$6,1,0)))</f>
        <v/>
      </c>
      <c r="K955" s="35" t="str">
        <f aca="false">IF($A955="","",MOD(MONTH($A955)-Setup!$B$6+12,12)+1)</f>
        <v/>
      </c>
      <c r="L955" s="36" t="str">
        <f aca="false">IF($A955="","",TEXT($A955,"MMM-YY"))</f>
        <v/>
      </c>
      <c r="M955" s="37" t="str">
        <f aca="false">IF($A955="","",IF($Q955=0,"UNMAPPED",INDEX(COA_Mapping!$C$7:$C$256,$Q955)))</f>
        <v/>
      </c>
      <c r="N955" s="38" t="str">
        <f aca="false">IF($A955="","",IF($Q955=0,"",INDEX(COA_Mapping!$E$7:$E$256,$Q955)))</f>
        <v/>
      </c>
      <c r="O955" s="38" t="n">
        <f aca="false">IF($A955="",1,IF($Q955=0,1,INDEX(COA_Mapping!$F$7:$F$256,$Q955)))</f>
        <v>1</v>
      </c>
      <c r="P955" s="34" t="str">
        <f aca="false">IF($A955="","",$I955*$O955)</f>
        <v/>
      </c>
      <c r="Q955" s="39" t="n">
        <f aca="false">IF($B955="",0,IFERROR(MATCH($B955,COA_Mapping!$A$7:$A$256,0),0))</f>
        <v>0</v>
      </c>
      <c r="R955" s="39" t="n">
        <f aca="false">IF($A955="",-1,IF($J955=Setup!$B$7,1,IF($J955=Setup!$B$9,0,-1)))</f>
        <v>-1</v>
      </c>
      <c r="S955" s="35" t="n">
        <f aca="false">IF(OR($A955="",$Q955=0,$R955=-1),0,$Q955*1000+$R955*100+$K955)</f>
        <v>0</v>
      </c>
      <c r="T955" s="37" t="str">
        <f aca="false">IF($A955="","",IF($B955="","NO ACCOUNT",IF($Q955=0,"UNMAPPED",IF($R955=-1,"OUTSIDE FY RANGE","OK"))))</f>
        <v/>
      </c>
      <c r="U955" s="40" t="str">
        <f aca="false">IF($A955="","",$B955&amp;"|"&amp;TEXT($A955,"yyyymmdd")&amp;"|"&amp;TEXT($I955,"0.00"))</f>
        <v/>
      </c>
      <c r="V955" s="35" t="str">
        <f aca="false">IF($A955="","",COUNTIF($U$8:$U$5007,$U955))</f>
        <v/>
      </c>
    </row>
    <row r="956" customFormat="false" ht="15" hidden="false" customHeight="false" outlineLevel="0" collapsed="false">
      <c r="A956" s="31"/>
      <c r="B956" s="32"/>
      <c r="C956" s="32"/>
      <c r="D956" s="32"/>
      <c r="E956" s="32"/>
      <c r="F956" s="32"/>
      <c r="G956" s="33"/>
      <c r="H956" s="33"/>
      <c r="I956" s="34" t="str">
        <f aca="false">IF($A956="","",$G956-$H956)</f>
        <v/>
      </c>
      <c r="J956" s="35" t="str">
        <f aca="false">IF($A956="","",IF(Setup!$B$6=1,YEAR($A956),YEAR($A956)+IF(MONTH($A956)&gt;=Setup!$B$6,1,0)))</f>
        <v/>
      </c>
      <c r="K956" s="35" t="str">
        <f aca="false">IF($A956="","",MOD(MONTH($A956)-Setup!$B$6+12,12)+1)</f>
        <v/>
      </c>
      <c r="L956" s="36" t="str">
        <f aca="false">IF($A956="","",TEXT($A956,"MMM-YY"))</f>
        <v/>
      </c>
      <c r="M956" s="37" t="str">
        <f aca="false">IF($A956="","",IF($Q956=0,"UNMAPPED",INDEX(COA_Mapping!$C$7:$C$256,$Q956)))</f>
        <v/>
      </c>
      <c r="N956" s="38" t="str">
        <f aca="false">IF($A956="","",IF($Q956=0,"",INDEX(COA_Mapping!$E$7:$E$256,$Q956)))</f>
        <v/>
      </c>
      <c r="O956" s="38" t="n">
        <f aca="false">IF($A956="",1,IF($Q956=0,1,INDEX(COA_Mapping!$F$7:$F$256,$Q956)))</f>
        <v>1</v>
      </c>
      <c r="P956" s="34" t="str">
        <f aca="false">IF($A956="","",$I956*$O956)</f>
        <v/>
      </c>
      <c r="Q956" s="39" t="n">
        <f aca="false">IF($B956="",0,IFERROR(MATCH($B956,COA_Mapping!$A$7:$A$256,0),0))</f>
        <v>0</v>
      </c>
      <c r="R956" s="39" t="n">
        <f aca="false">IF($A956="",-1,IF($J956=Setup!$B$7,1,IF($J956=Setup!$B$9,0,-1)))</f>
        <v>-1</v>
      </c>
      <c r="S956" s="35" t="n">
        <f aca="false">IF(OR($A956="",$Q956=0,$R956=-1),0,$Q956*1000+$R956*100+$K956)</f>
        <v>0</v>
      </c>
      <c r="T956" s="37" t="str">
        <f aca="false">IF($A956="","",IF($B956="","NO ACCOUNT",IF($Q956=0,"UNMAPPED",IF($R956=-1,"OUTSIDE FY RANGE","OK"))))</f>
        <v/>
      </c>
      <c r="U956" s="40" t="str">
        <f aca="false">IF($A956="","",$B956&amp;"|"&amp;TEXT($A956,"yyyymmdd")&amp;"|"&amp;TEXT($I956,"0.00"))</f>
        <v/>
      </c>
      <c r="V956" s="35" t="str">
        <f aca="false">IF($A956="","",COUNTIF($U$8:$U$5007,$U956))</f>
        <v/>
      </c>
    </row>
    <row r="957" customFormat="false" ht="15" hidden="false" customHeight="false" outlineLevel="0" collapsed="false">
      <c r="A957" s="31"/>
      <c r="B957" s="32"/>
      <c r="C957" s="32"/>
      <c r="D957" s="32"/>
      <c r="E957" s="32"/>
      <c r="F957" s="32"/>
      <c r="G957" s="33"/>
      <c r="H957" s="33"/>
      <c r="I957" s="34" t="str">
        <f aca="false">IF($A957="","",$G957-$H957)</f>
        <v/>
      </c>
      <c r="J957" s="35" t="str">
        <f aca="false">IF($A957="","",IF(Setup!$B$6=1,YEAR($A957),YEAR($A957)+IF(MONTH($A957)&gt;=Setup!$B$6,1,0)))</f>
        <v/>
      </c>
      <c r="K957" s="35" t="str">
        <f aca="false">IF($A957="","",MOD(MONTH($A957)-Setup!$B$6+12,12)+1)</f>
        <v/>
      </c>
      <c r="L957" s="36" t="str">
        <f aca="false">IF($A957="","",TEXT($A957,"MMM-YY"))</f>
        <v/>
      </c>
      <c r="M957" s="37" t="str">
        <f aca="false">IF($A957="","",IF($Q957=0,"UNMAPPED",INDEX(COA_Mapping!$C$7:$C$256,$Q957)))</f>
        <v/>
      </c>
      <c r="N957" s="38" t="str">
        <f aca="false">IF($A957="","",IF($Q957=0,"",INDEX(COA_Mapping!$E$7:$E$256,$Q957)))</f>
        <v/>
      </c>
      <c r="O957" s="38" t="n">
        <f aca="false">IF($A957="",1,IF($Q957=0,1,INDEX(COA_Mapping!$F$7:$F$256,$Q957)))</f>
        <v>1</v>
      </c>
      <c r="P957" s="34" t="str">
        <f aca="false">IF($A957="","",$I957*$O957)</f>
        <v/>
      </c>
      <c r="Q957" s="39" t="n">
        <f aca="false">IF($B957="",0,IFERROR(MATCH($B957,COA_Mapping!$A$7:$A$256,0),0))</f>
        <v>0</v>
      </c>
      <c r="R957" s="39" t="n">
        <f aca="false">IF($A957="",-1,IF($J957=Setup!$B$7,1,IF($J957=Setup!$B$9,0,-1)))</f>
        <v>-1</v>
      </c>
      <c r="S957" s="35" t="n">
        <f aca="false">IF(OR($A957="",$Q957=0,$R957=-1),0,$Q957*1000+$R957*100+$K957)</f>
        <v>0</v>
      </c>
      <c r="T957" s="37" t="str">
        <f aca="false">IF($A957="","",IF($B957="","NO ACCOUNT",IF($Q957=0,"UNMAPPED",IF($R957=-1,"OUTSIDE FY RANGE","OK"))))</f>
        <v/>
      </c>
      <c r="U957" s="40" t="str">
        <f aca="false">IF($A957="","",$B957&amp;"|"&amp;TEXT($A957,"yyyymmdd")&amp;"|"&amp;TEXT($I957,"0.00"))</f>
        <v/>
      </c>
      <c r="V957" s="35" t="str">
        <f aca="false">IF($A957="","",COUNTIF($U$8:$U$5007,$U957))</f>
        <v/>
      </c>
    </row>
    <row r="958" customFormat="false" ht="15" hidden="false" customHeight="false" outlineLevel="0" collapsed="false">
      <c r="A958" s="31"/>
      <c r="B958" s="32"/>
      <c r="C958" s="32"/>
      <c r="D958" s="32"/>
      <c r="E958" s="32"/>
      <c r="F958" s="32"/>
      <c r="G958" s="33"/>
      <c r="H958" s="33"/>
      <c r="I958" s="34" t="str">
        <f aca="false">IF($A958="","",$G958-$H958)</f>
        <v/>
      </c>
      <c r="J958" s="35" t="str">
        <f aca="false">IF($A958="","",IF(Setup!$B$6=1,YEAR($A958),YEAR($A958)+IF(MONTH($A958)&gt;=Setup!$B$6,1,0)))</f>
        <v/>
      </c>
      <c r="K958" s="35" t="str">
        <f aca="false">IF($A958="","",MOD(MONTH($A958)-Setup!$B$6+12,12)+1)</f>
        <v/>
      </c>
      <c r="L958" s="36" t="str">
        <f aca="false">IF($A958="","",TEXT($A958,"MMM-YY"))</f>
        <v/>
      </c>
      <c r="M958" s="37" t="str">
        <f aca="false">IF($A958="","",IF($Q958=0,"UNMAPPED",INDEX(COA_Mapping!$C$7:$C$256,$Q958)))</f>
        <v/>
      </c>
      <c r="N958" s="38" t="str">
        <f aca="false">IF($A958="","",IF($Q958=0,"",INDEX(COA_Mapping!$E$7:$E$256,$Q958)))</f>
        <v/>
      </c>
      <c r="O958" s="38" t="n">
        <f aca="false">IF($A958="",1,IF($Q958=0,1,INDEX(COA_Mapping!$F$7:$F$256,$Q958)))</f>
        <v>1</v>
      </c>
      <c r="P958" s="34" t="str">
        <f aca="false">IF($A958="","",$I958*$O958)</f>
        <v/>
      </c>
      <c r="Q958" s="39" t="n">
        <f aca="false">IF($B958="",0,IFERROR(MATCH($B958,COA_Mapping!$A$7:$A$256,0),0))</f>
        <v>0</v>
      </c>
      <c r="R958" s="39" t="n">
        <f aca="false">IF($A958="",-1,IF($J958=Setup!$B$7,1,IF($J958=Setup!$B$9,0,-1)))</f>
        <v>-1</v>
      </c>
      <c r="S958" s="35" t="n">
        <f aca="false">IF(OR($A958="",$Q958=0,$R958=-1),0,$Q958*1000+$R958*100+$K958)</f>
        <v>0</v>
      </c>
      <c r="T958" s="37" t="str">
        <f aca="false">IF($A958="","",IF($B958="","NO ACCOUNT",IF($Q958=0,"UNMAPPED",IF($R958=-1,"OUTSIDE FY RANGE","OK"))))</f>
        <v/>
      </c>
      <c r="U958" s="40" t="str">
        <f aca="false">IF($A958="","",$B958&amp;"|"&amp;TEXT($A958,"yyyymmdd")&amp;"|"&amp;TEXT($I958,"0.00"))</f>
        <v/>
      </c>
      <c r="V958" s="35" t="str">
        <f aca="false">IF($A958="","",COUNTIF($U$8:$U$5007,$U958))</f>
        <v/>
      </c>
    </row>
    <row r="959" customFormat="false" ht="15" hidden="false" customHeight="false" outlineLevel="0" collapsed="false">
      <c r="A959" s="31"/>
      <c r="B959" s="32"/>
      <c r="C959" s="32"/>
      <c r="D959" s="32"/>
      <c r="E959" s="32"/>
      <c r="F959" s="32"/>
      <c r="G959" s="33"/>
      <c r="H959" s="33"/>
      <c r="I959" s="34" t="str">
        <f aca="false">IF($A959="","",$G959-$H959)</f>
        <v/>
      </c>
      <c r="J959" s="35" t="str">
        <f aca="false">IF($A959="","",IF(Setup!$B$6=1,YEAR($A959),YEAR($A959)+IF(MONTH($A959)&gt;=Setup!$B$6,1,0)))</f>
        <v/>
      </c>
      <c r="K959" s="35" t="str">
        <f aca="false">IF($A959="","",MOD(MONTH($A959)-Setup!$B$6+12,12)+1)</f>
        <v/>
      </c>
      <c r="L959" s="36" t="str">
        <f aca="false">IF($A959="","",TEXT($A959,"MMM-YY"))</f>
        <v/>
      </c>
      <c r="M959" s="37" t="str">
        <f aca="false">IF($A959="","",IF($Q959=0,"UNMAPPED",INDEX(COA_Mapping!$C$7:$C$256,$Q959)))</f>
        <v/>
      </c>
      <c r="N959" s="38" t="str">
        <f aca="false">IF($A959="","",IF($Q959=0,"",INDEX(COA_Mapping!$E$7:$E$256,$Q959)))</f>
        <v/>
      </c>
      <c r="O959" s="38" t="n">
        <f aca="false">IF($A959="",1,IF($Q959=0,1,INDEX(COA_Mapping!$F$7:$F$256,$Q959)))</f>
        <v>1</v>
      </c>
      <c r="P959" s="34" t="str">
        <f aca="false">IF($A959="","",$I959*$O959)</f>
        <v/>
      </c>
      <c r="Q959" s="39" t="n">
        <f aca="false">IF($B959="",0,IFERROR(MATCH($B959,COA_Mapping!$A$7:$A$256,0),0))</f>
        <v>0</v>
      </c>
      <c r="R959" s="39" t="n">
        <f aca="false">IF($A959="",-1,IF($J959=Setup!$B$7,1,IF($J959=Setup!$B$9,0,-1)))</f>
        <v>-1</v>
      </c>
      <c r="S959" s="35" t="n">
        <f aca="false">IF(OR($A959="",$Q959=0,$R959=-1),0,$Q959*1000+$R959*100+$K959)</f>
        <v>0</v>
      </c>
      <c r="T959" s="37" t="str">
        <f aca="false">IF($A959="","",IF($B959="","NO ACCOUNT",IF($Q959=0,"UNMAPPED",IF($R959=-1,"OUTSIDE FY RANGE","OK"))))</f>
        <v/>
      </c>
      <c r="U959" s="40" t="str">
        <f aca="false">IF($A959="","",$B959&amp;"|"&amp;TEXT($A959,"yyyymmdd")&amp;"|"&amp;TEXT($I959,"0.00"))</f>
        <v/>
      </c>
      <c r="V959" s="35" t="str">
        <f aca="false">IF($A959="","",COUNTIF($U$8:$U$5007,$U959))</f>
        <v/>
      </c>
    </row>
    <row r="960" customFormat="false" ht="15" hidden="false" customHeight="false" outlineLevel="0" collapsed="false">
      <c r="A960" s="31"/>
      <c r="B960" s="32"/>
      <c r="C960" s="32"/>
      <c r="D960" s="32"/>
      <c r="E960" s="32"/>
      <c r="F960" s="32"/>
      <c r="G960" s="33"/>
      <c r="H960" s="33"/>
      <c r="I960" s="34" t="str">
        <f aca="false">IF($A960="","",$G960-$H960)</f>
        <v/>
      </c>
      <c r="J960" s="35" t="str">
        <f aca="false">IF($A960="","",IF(Setup!$B$6=1,YEAR($A960),YEAR($A960)+IF(MONTH($A960)&gt;=Setup!$B$6,1,0)))</f>
        <v/>
      </c>
      <c r="K960" s="35" t="str">
        <f aca="false">IF($A960="","",MOD(MONTH($A960)-Setup!$B$6+12,12)+1)</f>
        <v/>
      </c>
      <c r="L960" s="36" t="str">
        <f aca="false">IF($A960="","",TEXT($A960,"MMM-YY"))</f>
        <v/>
      </c>
      <c r="M960" s="37" t="str">
        <f aca="false">IF($A960="","",IF($Q960=0,"UNMAPPED",INDEX(COA_Mapping!$C$7:$C$256,$Q960)))</f>
        <v/>
      </c>
      <c r="N960" s="38" t="str">
        <f aca="false">IF($A960="","",IF($Q960=0,"",INDEX(COA_Mapping!$E$7:$E$256,$Q960)))</f>
        <v/>
      </c>
      <c r="O960" s="38" t="n">
        <f aca="false">IF($A960="",1,IF($Q960=0,1,INDEX(COA_Mapping!$F$7:$F$256,$Q960)))</f>
        <v>1</v>
      </c>
      <c r="P960" s="34" t="str">
        <f aca="false">IF($A960="","",$I960*$O960)</f>
        <v/>
      </c>
      <c r="Q960" s="39" t="n">
        <f aca="false">IF($B960="",0,IFERROR(MATCH($B960,COA_Mapping!$A$7:$A$256,0),0))</f>
        <v>0</v>
      </c>
      <c r="R960" s="39" t="n">
        <f aca="false">IF($A960="",-1,IF($J960=Setup!$B$7,1,IF($J960=Setup!$B$9,0,-1)))</f>
        <v>-1</v>
      </c>
      <c r="S960" s="35" t="n">
        <f aca="false">IF(OR($A960="",$Q960=0,$R960=-1),0,$Q960*1000+$R960*100+$K960)</f>
        <v>0</v>
      </c>
      <c r="T960" s="37" t="str">
        <f aca="false">IF($A960="","",IF($B960="","NO ACCOUNT",IF($Q960=0,"UNMAPPED",IF($R960=-1,"OUTSIDE FY RANGE","OK"))))</f>
        <v/>
      </c>
      <c r="U960" s="40" t="str">
        <f aca="false">IF($A960="","",$B960&amp;"|"&amp;TEXT($A960,"yyyymmdd")&amp;"|"&amp;TEXT($I960,"0.00"))</f>
        <v/>
      </c>
      <c r="V960" s="35" t="str">
        <f aca="false">IF($A960="","",COUNTIF($U$8:$U$5007,$U960))</f>
        <v/>
      </c>
    </row>
    <row r="961" customFormat="false" ht="15" hidden="false" customHeight="false" outlineLevel="0" collapsed="false">
      <c r="A961" s="31"/>
      <c r="B961" s="32"/>
      <c r="C961" s="32"/>
      <c r="D961" s="32"/>
      <c r="E961" s="32"/>
      <c r="F961" s="32"/>
      <c r="G961" s="33"/>
      <c r="H961" s="33"/>
      <c r="I961" s="34" t="str">
        <f aca="false">IF($A961="","",$G961-$H961)</f>
        <v/>
      </c>
      <c r="J961" s="35" t="str">
        <f aca="false">IF($A961="","",IF(Setup!$B$6=1,YEAR($A961),YEAR($A961)+IF(MONTH($A961)&gt;=Setup!$B$6,1,0)))</f>
        <v/>
      </c>
      <c r="K961" s="35" t="str">
        <f aca="false">IF($A961="","",MOD(MONTH($A961)-Setup!$B$6+12,12)+1)</f>
        <v/>
      </c>
      <c r="L961" s="36" t="str">
        <f aca="false">IF($A961="","",TEXT($A961,"MMM-YY"))</f>
        <v/>
      </c>
      <c r="M961" s="37" t="str">
        <f aca="false">IF($A961="","",IF($Q961=0,"UNMAPPED",INDEX(COA_Mapping!$C$7:$C$256,$Q961)))</f>
        <v/>
      </c>
      <c r="N961" s="38" t="str">
        <f aca="false">IF($A961="","",IF($Q961=0,"",INDEX(COA_Mapping!$E$7:$E$256,$Q961)))</f>
        <v/>
      </c>
      <c r="O961" s="38" t="n">
        <f aca="false">IF($A961="",1,IF($Q961=0,1,INDEX(COA_Mapping!$F$7:$F$256,$Q961)))</f>
        <v>1</v>
      </c>
      <c r="P961" s="34" t="str">
        <f aca="false">IF($A961="","",$I961*$O961)</f>
        <v/>
      </c>
      <c r="Q961" s="39" t="n">
        <f aca="false">IF($B961="",0,IFERROR(MATCH($B961,COA_Mapping!$A$7:$A$256,0),0))</f>
        <v>0</v>
      </c>
      <c r="R961" s="39" t="n">
        <f aca="false">IF($A961="",-1,IF($J961=Setup!$B$7,1,IF($J961=Setup!$B$9,0,-1)))</f>
        <v>-1</v>
      </c>
      <c r="S961" s="35" t="n">
        <f aca="false">IF(OR($A961="",$Q961=0,$R961=-1),0,$Q961*1000+$R961*100+$K961)</f>
        <v>0</v>
      </c>
      <c r="T961" s="37" t="str">
        <f aca="false">IF($A961="","",IF($B961="","NO ACCOUNT",IF($Q961=0,"UNMAPPED",IF($R961=-1,"OUTSIDE FY RANGE","OK"))))</f>
        <v/>
      </c>
      <c r="U961" s="40" t="str">
        <f aca="false">IF($A961="","",$B961&amp;"|"&amp;TEXT($A961,"yyyymmdd")&amp;"|"&amp;TEXT($I961,"0.00"))</f>
        <v/>
      </c>
      <c r="V961" s="35" t="str">
        <f aca="false">IF($A961="","",COUNTIF($U$8:$U$5007,$U961))</f>
        <v/>
      </c>
    </row>
    <row r="962" customFormat="false" ht="15" hidden="false" customHeight="false" outlineLevel="0" collapsed="false">
      <c r="A962" s="31"/>
      <c r="B962" s="32"/>
      <c r="C962" s="32"/>
      <c r="D962" s="32"/>
      <c r="E962" s="32"/>
      <c r="F962" s="32"/>
      <c r="G962" s="33"/>
      <c r="H962" s="33"/>
      <c r="I962" s="34" t="str">
        <f aca="false">IF($A962="","",$G962-$H962)</f>
        <v/>
      </c>
      <c r="J962" s="35" t="str">
        <f aca="false">IF($A962="","",IF(Setup!$B$6=1,YEAR($A962),YEAR($A962)+IF(MONTH($A962)&gt;=Setup!$B$6,1,0)))</f>
        <v/>
      </c>
      <c r="K962" s="35" t="str">
        <f aca="false">IF($A962="","",MOD(MONTH($A962)-Setup!$B$6+12,12)+1)</f>
        <v/>
      </c>
      <c r="L962" s="36" t="str">
        <f aca="false">IF($A962="","",TEXT($A962,"MMM-YY"))</f>
        <v/>
      </c>
      <c r="M962" s="37" t="str">
        <f aca="false">IF($A962="","",IF($Q962=0,"UNMAPPED",INDEX(COA_Mapping!$C$7:$C$256,$Q962)))</f>
        <v/>
      </c>
      <c r="N962" s="38" t="str">
        <f aca="false">IF($A962="","",IF($Q962=0,"",INDEX(COA_Mapping!$E$7:$E$256,$Q962)))</f>
        <v/>
      </c>
      <c r="O962" s="38" t="n">
        <f aca="false">IF($A962="",1,IF($Q962=0,1,INDEX(COA_Mapping!$F$7:$F$256,$Q962)))</f>
        <v>1</v>
      </c>
      <c r="P962" s="34" t="str">
        <f aca="false">IF($A962="","",$I962*$O962)</f>
        <v/>
      </c>
      <c r="Q962" s="39" t="n">
        <f aca="false">IF($B962="",0,IFERROR(MATCH($B962,COA_Mapping!$A$7:$A$256,0),0))</f>
        <v>0</v>
      </c>
      <c r="R962" s="39" t="n">
        <f aca="false">IF($A962="",-1,IF($J962=Setup!$B$7,1,IF($J962=Setup!$B$9,0,-1)))</f>
        <v>-1</v>
      </c>
      <c r="S962" s="35" t="n">
        <f aca="false">IF(OR($A962="",$Q962=0,$R962=-1),0,$Q962*1000+$R962*100+$K962)</f>
        <v>0</v>
      </c>
      <c r="T962" s="37" t="str">
        <f aca="false">IF($A962="","",IF($B962="","NO ACCOUNT",IF($Q962=0,"UNMAPPED",IF($R962=-1,"OUTSIDE FY RANGE","OK"))))</f>
        <v/>
      </c>
      <c r="U962" s="40" t="str">
        <f aca="false">IF($A962="","",$B962&amp;"|"&amp;TEXT($A962,"yyyymmdd")&amp;"|"&amp;TEXT($I962,"0.00"))</f>
        <v/>
      </c>
      <c r="V962" s="35" t="str">
        <f aca="false">IF($A962="","",COUNTIF($U$8:$U$5007,$U962))</f>
        <v/>
      </c>
    </row>
    <row r="963" customFormat="false" ht="15" hidden="false" customHeight="false" outlineLevel="0" collapsed="false">
      <c r="A963" s="31"/>
      <c r="B963" s="32"/>
      <c r="C963" s="32"/>
      <c r="D963" s="32"/>
      <c r="E963" s="32"/>
      <c r="F963" s="32"/>
      <c r="G963" s="33"/>
      <c r="H963" s="33"/>
      <c r="I963" s="34" t="str">
        <f aca="false">IF($A963="","",$G963-$H963)</f>
        <v/>
      </c>
      <c r="J963" s="35" t="str">
        <f aca="false">IF($A963="","",IF(Setup!$B$6=1,YEAR($A963),YEAR($A963)+IF(MONTH($A963)&gt;=Setup!$B$6,1,0)))</f>
        <v/>
      </c>
      <c r="K963" s="35" t="str">
        <f aca="false">IF($A963="","",MOD(MONTH($A963)-Setup!$B$6+12,12)+1)</f>
        <v/>
      </c>
      <c r="L963" s="36" t="str">
        <f aca="false">IF($A963="","",TEXT($A963,"MMM-YY"))</f>
        <v/>
      </c>
      <c r="M963" s="37" t="str">
        <f aca="false">IF($A963="","",IF($Q963=0,"UNMAPPED",INDEX(COA_Mapping!$C$7:$C$256,$Q963)))</f>
        <v/>
      </c>
      <c r="N963" s="38" t="str">
        <f aca="false">IF($A963="","",IF($Q963=0,"",INDEX(COA_Mapping!$E$7:$E$256,$Q963)))</f>
        <v/>
      </c>
      <c r="O963" s="38" t="n">
        <f aca="false">IF($A963="",1,IF($Q963=0,1,INDEX(COA_Mapping!$F$7:$F$256,$Q963)))</f>
        <v>1</v>
      </c>
      <c r="P963" s="34" t="str">
        <f aca="false">IF($A963="","",$I963*$O963)</f>
        <v/>
      </c>
      <c r="Q963" s="39" t="n">
        <f aca="false">IF($B963="",0,IFERROR(MATCH($B963,COA_Mapping!$A$7:$A$256,0),0))</f>
        <v>0</v>
      </c>
      <c r="R963" s="39" t="n">
        <f aca="false">IF($A963="",-1,IF($J963=Setup!$B$7,1,IF($J963=Setup!$B$9,0,-1)))</f>
        <v>-1</v>
      </c>
      <c r="S963" s="35" t="n">
        <f aca="false">IF(OR($A963="",$Q963=0,$R963=-1),0,$Q963*1000+$R963*100+$K963)</f>
        <v>0</v>
      </c>
      <c r="T963" s="37" t="str">
        <f aca="false">IF($A963="","",IF($B963="","NO ACCOUNT",IF($Q963=0,"UNMAPPED",IF($R963=-1,"OUTSIDE FY RANGE","OK"))))</f>
        <v/>
      </c>
      <c r="U963" s="40" t="str">
        <f aca="false">IF($A963="","",$B963&amp;"|"&amp;TEXT($A963,"yyyymmdd")&amp;"|"&amp;TEXT($I963,"0.00"))</f>
        <v/>
      </c>
      <c r="V963" s="35" t="str">
        <f aca="false">IF($A963="","",COUNTIF($U$8:$U$5007,$U963))</f>
        <v/>
      </c>
    </row>
    <row r="964" customFormat="false" ht="15" hidden="false" customHeight="false" outlineLevel="0" collapsed="false">
      <c r="A964" s="31"/>
      <c r="B964" s="32"/>
      <c r="C964" s="32"/>
      <c r="D964" s="32"/>
      <c r="E964" s="32"/>
      <c r="F964" s="32"/>
      <c r="G964" s="33"/>
      <c r="H964" s="33"/>
      <c r="I964" s="34" t="str">
        <f aca="false">IF($A964="","",$G964-$H964)</f>
        <v/>
      </c>
      <c r="J964" s="35" t="str">
        <f aca="false">IF($A964="","",IF(Setup!$B$6=1,YEAR($A964),YEAR($A964)+IF(MONTH($A964)&gt;=Setup!$B$6,1,0)))</f>
        <v/>
      </c>
      <c r="K964" s="35" t="str">
        <f aca="false">IF($A964="","",MOD(MONTH($A964)-Setup!$B$6+12,12)+1)</f>
        <v/>
      </c>
      <c r="L964" s="36" t="str">
        <f aca="false">IF($A964="","",TEXT($A964,"MMM-YY"))</f>
        <v/>
      </c>
      <c r="M964" s="37" t="str">
        <f aca="false">IF($A964="","",IF($Q964=0,"UNMAPPED",INDEX(COA_Mapping!$C$7:$C$256,$Q964)))</f>
        <v/>
      </c>
      <c r="N964" s="38" t="str">
        <f aca="false">IF($A964="","",IF($Q964=0,"",INDEX(COA_Mapping!$E$7:$E$256,$Q964)))</f>
        <v/>
      </c>
      <c r="O964" s="38" t="n">
        <f aca="false">IF($A964="",1,IF($Q964=0,1,INDEX(COA_Mapping!$F$7:$F$256,$Q964)))</f>
        <v>1</v>
      </c>
      <c r="P964" s="34" t="str">
        <f aca="false">IF($A964="","",$I964*$O964)</f>
        <v/>
      </c>
      <c r="Q964" s="39" t="n">
        <f aca="false">IF($B964="",0,IFERROR(MATCH($B964,COA_Mapping!$A$7:$A$256,0),0))</f>
        <v>0</v>
      </c>
      <c r="R964" s="39" t="n">
        <f aca="false">IF($A964="",-1,IF($J964=Setup!$B$7,1,IF($J964=Setup!$B$9,0,-1)))</f>
        <v>-1</v>
      </c>
      <c r="S964" s="35" t="n">
        <f aca="false">IF(OR($A964="",$Q964=0,$R964=-1),0,$Q964*1000+$R964*100+$K964)</f>
        <v>0</v>
      </c>
      <c r="T964" s="37" t="str">
        <f aca="false">IF($A964="","",IF($B964="","NO ACCOUNT",IF($Q964=0,"UNMAPPED",IF($R964=-1,"OUTSIDE FY RANGE","OK"))))</f>
        <v/>
      </c>
      <c r="U964" s="40" t="str">
        <f aca="false">IF($A964="","",$B964&amp;"|"&amp;TEXT($A964,"yyyymmdd")&amp;"|"&amp;TEXT($I964,"0.00"))</f>
        <v/>
      </c>
      <c r="V964" s="35" t="str">
        <f aca="false">IF($A964="","",COUNTIF($U$8:$U$5007,$U964))</f>
        <v/>
      </c>
    </row>
    <row r="965" customFormat="false" ht="15" hidden="false" customHeight="false" outlineLevel="0" collapsed="false">
      <c r="A965" s="31"/>
      <c r="B965" s="32"/>
      <c r="C965" s="32"/>
      <c r="D965" s="32"/>
      <c r="E965" s="32"/>
      <c r="F965" s="32"/>
      <c r="G965" s="33"/>
      <c r="H965" s="33"/>
      <c r="I965" s="34" t="str">
        <f aca="false">IF($A965="","",$G965-$H965)</f>
        <v/>
      </c>
      <c r="J965" s="35" t="str">
        <f aca="false">IF($A965="","",IF(Setup!$B$6=1,YEAR($A965),YEAR($A965)+IF(MONTH($A965)&gt;=Setup!$B$6,1,0)))</f>
        <v/>
      </c>
      <c r="K965" s="35" t="str">
        <f aca="false">IF($A965="","",MOD(MONTH($A965)-Setup!$B$6+12,12)+1)</f>
        <v/>
      </c>
      <c r="L965" s="36" t="str">
        <f aca="false">IF($A965="","",TEXT($A965,"MMM-YY"))</f>
        <v/>
      </c>
      <c r="M965" s="37" t="str">
        <f aca="false">IF($A965="","",IF($Q965=0,"UNMAPPED",INDEX(COA_Mapping!$C$7:$C$256,$Q965)))</f>
        <v/>
      </c>
      <c r="N965" s="38" t="str">
        <f aca="false">IF($A965="","",IF($Q965=0,"",INDEX(COA_Mapping!$E$7:$E$256,$Q965)))</f>
        <v/>
      </c>
      <c r="O965" s="38" t="n">
        <f aca="false">IF($A965="",1,IF($Q965=0,1,INDEX(COA_Mapping!$F$7:$F$256,$Q965)))</f>
        <v>1</v>
      </c>
      <c r="P965" s="34" t="str">
        <f aca="false">IF($A965="","",$I965*$O965)</f>
        <v/>
      </c>
      <c r="Q965" s="39" t="n">
        <f aca="false">IF($B965="",0,IFERROR(MATCH($B965,COA_Mapping!$A$7:$A$256,0),0))</f>
        <v>0</v>
      </c>
      <c r="R965" s="39" t="n">
        <f aca="false">IF($A965="",-1,IF($J965=Setup!$B$7,1,IF($J965=Setup!$B$9,0,-1)))</f>
        <v>-1</v>
      </c>
      <c r="S965" s="35" t="n">
        <f aca="false">IF(OR($A965="",$Q965=0,$R965=-1),0,$Q965*1000+$R965*100+$K965)</f>
        <v>0</v>
      </c>
      <c r="T965" s="37" t="str">
        <f aca="false">IF($A965="","",IF($B965="","NO ACCOUNT",IF($Q965=0,"UNMAPPED",IF($R965=-1,"OUTSIDE FY RANGE","OK"))))</f>
        <v/>
      </c>
      <c r="U965" s="40" t="str">
        <f aca="false">IF($A965="","",$B965&amp;"|"&amp;TEXT($A965,"yyyymmdd")&amp;"|"&amp;TEXT($I965,"0.00"))</f>
        <v/>
      </c>
      <c r="V965" s="35" t="str">
        <f aca="false">IF($A965="","",COUNTIF($U$8:$U$5007,$U965))</f>
        <v/>
      </c>
    </row>
    <row r="966" customFormat="false" ht="15" hidden="false" customHeight="false" outlineLevel="0" collapsed="false">
      <c r="A966" s="31"/>
      <c r="B966" s="32"/>
      <c r="C966" s="32"/>
      <c r="D966" s="32"/>
      <c r="E966" s="32"/>
      <c r="F966" s="32"/>
      <c r="G966" s="33"/>
      <c r="H966" s="33"/>
      <c r="I966" s="34" t="str">
        <f aca="false">IF($A966="","",$G966-$H966)</f>
        <v/>
      </c>
      <c r="J966" s="35" t="str">
        <f aca="false">IF($A966="","",IF(Setup!$B$6=1,YEAR($A966),YEAR($A966)+IF(MONTH($A966)&gt;=Setup!$B$6,1,0)))</f>
        <v/>
      </c>
      <c r="K966" s="35" t="str">
        <f aca="false">IF($A966="","",MOD(MONTH($A966)-Setup!$B$6+12,12)+1)</f>
        <v/>
      </c>
      <c r="L966" s="36" t="str">
        <f aca="false">IF($A966="","",TEXT($A966,"MMM-YY"))</f>
        <v/>
      </c>
      <c r="M966" s="37" t="str">
        <f aca="false">IF($A966="","",IF($Q966=0,"UNMAPPED",INDEX(COA_Mapping!$C$7:$C$256,$Q966)))</f>
        <v/>
      </c>
      <c r="N966" s="38" t="str">
        <f aca="false">IF($A966="","",IF($Q966=0,"",INDEX(COA_Mapping!$E$7:$E$256,$Q966)))</f>
        <v/>
      </c>
      <c r="O966" s="38" t="n">
        <f aca="false">IF($A966="",1,IF($Q966=0,1,INDEX(COA_Mapping!$F$7:$F$256,$Q966)))</f>
        <v>1</v>
      </c>
      <c r="P966" s="34" t="str">
        <f aca="false">IF($A966="","",$I966*$O966)</f>
        <v/>
      </c>
      <c r="Q966" s="39" t="n">
        <f aca="false">IF($B966="",0,IFERROR(MATCH($B966,COA_Mapping!$A$7:$A$256,0),0))</f>
        <v>0</v>
      </c>
      <c r="R966" s="39" t="n">
        <f aca="false">IF($A966="",-1,IF($J966=Setup!$B$7,1,IF($J966=Setup!$B$9,0,-1)))</f>
        <v>-1</v>
      </c>
      <c r="S966" s="35" t="n">
        <f aca="false">IF(OR($A966="",$Q966=0,$R966=-1),0,$Q966*1000+$R966*100+$K966)</f>
        <v>0</v>
      </c>
      <c r="T966" s="37" t="str">
        <f aca="false">IF($A966="","",IF($B966="","NO ACCOUNT",IF($Q966=0,"UNMAPPED",IF($R966=-1,"OUTSIDE FY RANGE","OK"))))</f>
        <v/>
      </c>
      <c r="U966" s="40" t="str">
        <f aca="false">IF($A966="","",$B966&amp;"|"&amp;TEXT($A966,"yyyymmdd")&amp;"|"&amp;TEXT($I966,"0.00"))</f>
        <v/>
      </c>
      <c r="V966" s="35" t="str">
        <f aca="false">IF($A966="","",COUNTIF($U$8:$U$5007,$U966))</f>
        <v/>
      </c>
    </row>
    <row r="967" customFormat="false" ht="15" hidden="false" customHeight="false" outlineLevel="0" collapsed="false">
      <c r="A967" s="31"/>
      <c r="B967" s="32"/>
      <c r="C967" s="32"/>
      <c r="D967" s="32"/>
      <c r="E967" s="32"/>
      <c r="F967" s="32"/>
      <c r="G967" s="33"/>
      <c r="H967" s="33"/>
      <c r="I967" s="34" t="str">
        <f aca="false">IF($A967="","",$G967-$H967)</f>
        <v/>
      </c>
      <c r="J967" s="35" t="str">
        <f aca="false">IF($A967="","",IF(Setup!$B$6=1,YEAR($A967),YEAR($A967)+IF(MONTH($A967)&gt;=Setup!$B$6,1,0)))</f>
        <v/>
      </c>
      <c r="K967" s="35" t="str">
        <f aca="false">IF($A967="","",MOD(MONTH($A967)-Setup!$B$6+12,12)+1)</f>
        <v/>
      </c>
      <c r="L967" s="36" t="str">
        <f aca="false">IF($A967="","",TEXT($A967,"MMM-YY"))</f>
        <v/>
      </c>
      <c r="M967" s="37" t="str">
        <f aca="false">IF($A967="","",IF($Q967=0,"UNMAPPED",INDEX(COA_Mapping!$C$7:$C$256,$Q967)))</f>
        <v/>
      </c>
      <c r="N967" s="38" t="str">
        <f aca="false">IF($A967="","",IF($Q967=0,"",INDEX(COA_Mapping!$E$7:$E$256,$Q967)))</f>
        <v/>
      </c>
      <c r="O967" s="38" t="n">
        <f aca="false">IF($A967="",1,IF($Q967=0,1,INDEX(COA_Mapping!$F$7:$F$256,$Q967)))</f>
        <v>1</v>
      </c>
      <c r="P967" s="34" t="str">
        <f aca="false">IF($A967="","",$I967*$O967)</f>
        <v/>
      </c>
      <c r="Q967" s="39" t="n">
        <f aca="false">IF($B967="",0,IFERROR(MATCH($B967,COA_Mapping!$A$7:$A$256,0),0))</f>
        <v>0</v>
      </c>
      <c r="R967" s="39" t="n">
        <f aca="false">IF($A967="",-1,IF($J967=Setup!$B$7,1,IF($J967=Setup!$B$9,0,-1)))</f>
        <v>-1</v>
      </c>
      <c r="S967" s="35" t="n">
        <f aca="false">IF(OR($A967="",$Q967=0,$R967=-1),0,$Q967*1000+$R967*100+$K967)</f>
        <v>0</v>
      </c>
      <c r="T967" s="37" t="str">
        <f aca="false">IF($A967="","",IF($B967="","NO ACCOUNT",IF($Q967=0,"UNMAPPED",IF($R967=-1,"OUTSIDE FY RANGE","OK"))))</f>
        <v/>
      </c>
      <c r="U967" s="40" t="str">
        <f aca="false">IF($A967="","",$B967&amp;"|"&amp;TEXT($A967,"yyyymmdd")&amp;"|"&amp;TEXT($I967,"0.00"))</f>
        <v/>
      </c>
      <c r="V967" s="35" t="str">
        <f aca="false">IF($A967="","",COUNTIF($U$8:$U$5007,$U967))</f>
        <v/>
      </c>
    </row>
    <row r="968" customFormat="false" ht="15" hidden="false" customHeight="false" outlineLevel="0" collapsed="false">
      <c r="A968" s="31"/>
      <c r="B968" s="32"/>
      <c r="C968" s="32"/>
      <c r="D968" s="32"/>
      <c r="E968" s="32"/>
      <c r="F968" s="32"/>
      <c r="G968" s="33"/>
      <c r="H968" s="33"/>
      <c r="I968" s="34" t="str">
        <f aca="false">IF($A968="","",$G968-$H968)</f>
        <v/>
      </c>
      <c r="J968" s="35" t="str">
        <f aca="false">IF($A968="","",IF(Setup!$B$6=1,YEAR($A968),YEAR($A968)+IF(MONTH($A968)&gt;=Setup!$B$6,1,0)))</f>
        <v/>
      </c>
      <c r="K968" s="35" t="str">
        <f aca="false">IF($A968="","",MOD(MONTH($A968)-Setup!$B$6+12,12)+1)</f>
        <v/>
      </c>
      <c r="L968" s="36" t="str">
        <f aca="false">IF($A968="","",TEXT($A968,"MMM-YY"))</f>
        <v/>
      </c>
      <c r="M968" s="37" t="str">
        <f aca="false">IF($A968="","",IF($Q968=0,"UNMAPPED",INDEX(COA_Mapping!$C$7:$C$256,$Q968)))</f>
        <v/>
      </c>
      <c r="N968" s="38" t="str">
        <f aca="false">IF($A968="","",IF($Q968=0,"",INDEX(COA_Mapping!$E$7:$E$256,$Q968)))</f>
        <v/>
      </c>
      <c r="O968" s="38" t="n">
        <f aca="false">IF($A968="",1,IF($Q968=0,1,INDEX(COA_Mapping!$F$7:$F$256,$Q968)))</f>
        <v>1</v>
      </c>
      <c r="P968" s="34" t="str">
        <f aca="false">IF($A968="","",$I968*$O968)</f>
        <v/>
      </c>
      <c r="Q968" s="39" t="n">
        <f aca="false">IF($B968="",0,IFERROR(MATCH($B968,COA_Mapping!$A$7:$A$256,0),0))</f>
        <v>0</v>
      </c>
      <c r="R968" s="39" t="n">
        <f aca="false">IF($A968="",-1,IF($J968=Setup!$B$7,1,IF($J968=Setup!$B$9,0,-1)))</f>
        <v>-1</v>
      </c>
      <c r="S968" s="35" t="n">
        <f aca="false">IF(OR($A968="",$Q968=0,$R968=-1),0,$Q968*1000+$R968*100+$K968)</f>
        <v>0</v>
      </c>
      <c r="T968" s="37" t="str">
        <f aca="false">IF($A968="","",IF($B968="","NO ACCOUNT",IF($Q968=0,"UNMAPPED",IF($R968=-1,"OUTSIDE FY RANGE","OK"))))</f>
        <v/>
      </c>
      <c r="U968" s="40" t="str">
        <f aca="false">IF($A968="","",$B968&amp;"|"&amp;TEXT($A968,"yyyymmdd")&amp;"|"&amp;TEXT($I968,"0.00"))</f>
        <v/>
      </c>
      <c r="V968" s="35" t="str">
        <f aca="false">IF($A968="","",COUNTIF($U$8:$U$5007,$U968))</f>
        <v/>
      </c>
    </row>
    <row r="969" customFormat="false" ht="15" hidden="false" customHeight="false" outlineLevel="0" collapsed="false">
      <c r="A969" s="31"/>
      <c r="B969" s="32"/>
      <c r="C969" s="32"/>
      <c r="D969" s="32"/>
      <c r="E969" s="32"/>
      <c r="F969" s="32"/>
      <c r="G969" s="33"/>
      <c r="H969" s="33"/>
      <c r="I969" s="34" t="str">
        <f aca="false">IF($A969="","",$G969-$H969)</f>
        <v/>
      </c>
      <c r="J969" s="35" t="str">
        <f aca="false">IF($A969="","",IF(Setup!$B$6=1,YEAR($A969),YEAR($A969)+IF(MONTH($A969)&gt;=Setup!$B$6,1,0)))</f>
        <v/>
      </c>
      <c r="K969" s="35" t="str">
        <f aca="false">IF($A969="","",MOD(MONTH($A969)-Setup!$B$6+12,12)+1)</f>
        <v/>
      </c>
      <c r="L969" s="36" t="str">
        <f aca="false">IF($A969="","",TEXT($A969,"MMM-YY"))</f>
        <v/>
      </c>
      <c r="M969" s="37" t="str">
        <f aca="false">IF($A969="","",IF($Q969=0,"UNMAPPED",INDEX(COA_Mapping!$C$7:$C$256,$Q969)))</f>
        <v/>
      </c>
      <c r="N969" s="38" t="str">
        <f aca="false">IF($A969="","",IF($Q969=0,"",INDEX(COA_Mapping!$E$7:$E$256,$Q969)))</f>
        <v/>
      </c>
      <c r="O969" s="38" t="n">
        <f aca="false">IF($A969="",1,IF($Q969=0,1,INDEX(COA_Mapping!$F$7:$F$256,$Q969)))</f>
        <v>1</v>
      </c>
      <c r="P969" s="34" t="str">
        <f aca="false">IF($A969="","",$I969*$O969)</f>
        <v/>
      </c>
      <c r="Q969" s="39" t="n">
        <f aca="false">IF($B969="",0,IFERROR(MATCH($B969,COA_Mapping!$A$7:$A$256,0),0))</f>
        <v>0</v>
      </c>
      <c r="R969" s="39" t="n">
        <f aca="false">IF($A969="",-1,IF($J969=Setup!$B$7,1,IF($J969=Setup!$B$9,0,-1)))</f>
        <v>-1</v>
      </c>
      <c r="S969" s="35" t="n">
        <f aca="false">IF(OR($A969="",$Q969=0,$R969=-1),0,$Q969*1000+$R969*100+$K969)</f>
        <v>0</v>
      </c>
      <c r="T969" s="37" t="str">
        <f aca="false">IF($A969="","",IF($B969="","NO ACCOUNT",IF($Q969=0,"UNMAPPED",IF($R969=-1,"OUTSIDE FY RANGE","OK"))))</f>
        <v/>
      </c>
      <c r="U969" s="40" t="str">
        <f aca="false">IF($A969="","",$B969&amp;"|"&amp;TEXT($A969,"yyyymmdd")&amp;"|"&amp;TEXT($I969,"0.00"))</f>
        <v/>
      </c>
      <c r="V969" s="35" t="str">
        <f aca="false">IF($A969="","",COUNTIF($U$8:$U$5007,$U969))</f>
        <v/>
      </c>
    </row>
    <row r="970" customFormat="false" ht="15" hidden="false" customHeight="false" outlineLevel="0" collapsed="false">
      <c r="A970" s="31"/>
      <c r="B970" s="32"/>
      <c r="C970" s="32"/>
      <c r="D970" s="32"/>
      <c r="E970" s="32"/>
      <c r="F970" s="32"/>
      <c r="G970" s="33"/>
      <c r="H970" s="33"/>
      <c r="I970" s="34" t="str">
        <f aca="false">IF($A970="","",$G970-$H970)</f>
        <v/>
      </c>
      <c r="J970" s="35" t="str">
        <f aca="false">IF($A970="","",IF(Setup!$B$6=1,YEAR($A970),YEAR($A970)+IF(MONTH($A970)&gt;=Setup!$B$6,1,0)))</f>
        <v/>
      </c>
      <c r="K970" s="35" t="str">
        <f aca="false">IF($A970="","",MOD(MONTH($A970)-Setup!$B$6+12,12)+1)</f>
        <v/>
      </c>
      <c r="L970" s="36" t="str">
        <f aca="false">IF($A970="","",TEXT($A970,"MMM-YY"))</f>
        <v/>
      </c>
      <c r="M970" s="37" t="str">
        <f aca="false">IF($A970="","",IF($Q970=0,"UNMAPPED",INDEX(COA_Mapping!$C$7:$C$256,$Q970)))</f>
        <v/>
      </c>
      <c r="N970" s="38" t="str">
        <f aca="false">IF($A970="","",IF($Q970=0,"",INDEX(COA_Mapping!$E$7:$E$256,$Q970)))</f>
        <v/>
      </c>
      <c r="O970" s="38" t="n">
        <f aca="false">IF($A970="",1,IF($Q970=0,1,INDEX(COA_Mapping!$F$7:$F$256,$Q970)))</f>
        <v>1</v>
      </c>
      <c r="P970" s="34" t="str">
        <f aca="false">IF($A970="","",$I970*$O970)</f>
        <v/>
      </c>
      <c r="Q970" s="39" t="n">
        <f aca="false">IF($B970="",0,IFERROR(MATCH($B970,COA_Mapping!$A$7:$A$256,0),0))</f>
        <v>0</v>
      </c>
      <c r="R970" s="39" t="n">
        <f aca="false">IF($A970="",-1,IF($J970=Setup!$B$7,1,IF($J970=Setup!$B$9,0,-1)))</f>
        <v>-1</v>
      </c>
      <c r="S970" s="35" t="n">
        <f aca="false">IF(OR($A970="",$Q970=0,$R970=-1),0,$Q970*1000+$R970*100+$K970)</f>
        <v>0</v>
      </c>
      <c r="T970" s="37" t="str">
        <f aca="false">IF($A970="","",IF($B970="","NO ACCOUNT",IF($Q970=0,"UNMAPPED",IF($R970=-1,"OUTSIDE FY RANGE","OK"))))</f>
        <v/>
      </c>
      <c r="U970" s="40" t="str">
        <f aca="false">IF($A970="","",$B970&amp;"|"&amp;TEXT($A970,"yyyymmdd")&amp;"|"&amp;TEXT($I970,"0.00"))</f>
        <v/>
      </c>
      <c r="V970" s="35" t="str">
        <f aca="false">IF($A970="","",COUNTIF($U$8:$U$5007,$U970))</f>
        <v/>
      </c>
    </row>
    <row r="971" customFormat="false" ht="15" hidden="false" customHeight="false" outlineLevel="0" collapsed="false">
      <c r="A971" s="31"/>
      <c r="B971" s="32"/>
      <c r="C971" s="32"/>
      <c r="D971" s="32"/>
      <c r="E971" s="32"/>
      <c r="F971" s="32"/>
      <c r="G971" s="33"/>
      <c r="H971" s="33"/>
      <c r="I971" s="34" t="str">
        <f aca="false">IF($A971="","",$G971-$H971)</f>
        <v/>
      </c>
      <c r="J971" s="35" t="str">
        <f aca="false">IF($A971="","",IF(Setup!$B$6=1,YEAR($A971),YEAR($A971)+IF(MONTH($A971)&gt;=Setup!$B$6,1,0)))</f>
        <v/>
      </c>
      <c r="K971" s="35" t="str">
        <f aca="false">IF($A971="","",MOD(MONTH($A971)-Setup!$B$6+12,12)+1)</f>
        <v/>
      </c>
      <c r="L971" s="36" t="str">
        <f aca="false">IF($A971="","",TEXT($A971,"MMM-YY"))</f>
        <v/>
      </c>
      <c r="M971" s="37" t="str">
        <f aca="false">IF($A971="","",IF($Q971=0,"UNMAPPED",INDEX(COA_Mapping!$C$7:$C$256,$Q971)))</f>
        <v/>
      </c>
      <c r="N971" s="38" t="str">
        <f aca="false">IF($A971="","",IF($Q971=0,"",INDEX(COA_Mapping!$E$7:$E$256,$Q971)))</f>
        <v/>
      </c>
      <c r="O971" s="38" t="n">
        <f aca="false">IF($A971="",1,IF($Q971=0,1,INDEX(COA_Mapping!$F$7:$F$256,$Q971)))</f>
        <v>1</v>
      </c>
      <c r="P971" s="34" t="str">
        <f aca="false">IF($A971="","",$I971*$O971)</f>
        <v/>
      </c>
      <c r="Q971" s="39" t="n">
        <f aca="false">IF($B971="",0,IFERROR(MATCH($B971,COA_Mapping!$A$7:$A$256,0),0))</f>
        <v>0</v>
      </c>
      <c r="R971" s="39" t="n">
        <f aca="false">IF($A971="",-1,IF($J971=Setup!$B$7,1,IF($J971=Setup!$B$9,0,-1)))</f>
        <v>-1</v>
      </c>
      <c r="S971" s="35" t="n">
        <f aca="false">IF(OR($A971="",$Q971=0,$R971=-1),0,$Q971*1000+$R971*100+$K971)</f>
        <v>0</v>
      </c>
      <c r="T971" s="37" t="str">
        <f aca="false">IF($A971="","",IF($B971="","NO ACCOUNT",IF($Q971=0,"UNMAPPED",IF($R971=-1,"OUTSIDE FY RANGE","OK"))))</f>
        <v/>
      </c>
      <c r="U971" s="40" t="str">
        <f aca="false">IF($A971="","",$B971&amp;"|"&amp;TEXT($A971,"yyyymmdd")&amp;"|"&amp;TEXT($I971,"0.00"))</f>
        <v/>
      </c>
      <c r="V971" s="35" t="str">
        <f aca="false">IF($A971="","",COUNTIF($U$8:$U$5007,$U971))</f>
        <v/>
      </c>
    </row>
    <row r="972" customFormat="false" ht="15" hidden="false" customHeight="false" outlineLevel="0" collapsed="false">
      <c r="A972" s="31"/>
      <c r="B972" s="32"/>
      <c r="C972" s="32"/>
      <c r="D972" s="32"/>
      <c r="E972" s="32"/>
      <c r="F972" s="32"/>
      <c r="G972" s="33"/>
      <c r="H972" s="33"/>
      <c r="I972" s="34" t="str">
        <f aca="false">IF($A972="","",$G972-$H972)</f>
        <v/>
      </c>
      <c r="J972" s="35" t="str">
        <f aca="false">IF($A972="","",IF(Setup!$B$6=1,YEAR($A972),YEAR($A972)+IF(MONTH($A972)&gt;=Setup!$B$6,1,0)))</f>
        <v/>
      </c>
      <c r="K972" s="35" t="str">
        <f aca="false">IF($A972="","",MOD(MONTH($A972)-Setup!$B$6+12,12)+1)</f>
        <v/>
      </c>
      <c r="L972" s="36" t="str">
        <f aca="false">IF($A972="","",TEXT($A972,"MMM-YY"))</f>
        <v/>
      </c>
      <c r="M972" s="37" t="str">
        <f aca="false">IF($A972="","",IF($Q972=0,"UNMAPPED",INDEX(COA_Mapping!$C$7:$C$256,$Q972)))</f>
        <v/>
      </c>
      <c r="N972" s="38" t="str">
        <f aca="false">IF($A972="","",IF($Q972=0,"",INDEX(COA_Mapping!$E$7:$E$256,$Q972)))</f>
        <v/>
      </c>
      <c r="O972" s="38" t="n">
        <f aca="false">IF($A972="",1,IF($Q972=0,1,INDEX(COA_Mapping!$F$7:$F$256,$Q972)))</f>
        <v>1</v>
      </c>
      <c r="P972" s="34" t="str">
        <f aca="false">IF($A972="","",$I972*$O972)</f>
        <v/>
      </c>
      <c r="Q972" s="39" t="n">
        <f aca="false">IF($B972="",0,IFERROR(MATCH($B972,COA_Mapping!$A$7:$A$256,0),0))</f>
        <v>0</v>
      </c>
      <c r="R972" s="39" t="n">
        <f aca="false">IF($A972="",-1,IF($J972=Setup!$B$7,1,IF($J972=Setup!$B$9,0,-1)))</f>
        <v>-1</v>
      </c>
      <c r="S972" s="35" t="n">
        <f aca="false">IF(OR($A972="",$Q972=0,$R972=-1),0,$Q972*1000+$R972*100+$K972)</f>
        <v>0</v>
      </c>
      <c r="T972" s="37" t="str">
        <f aca="false">IF($A972="","",IF($B972="","NO ACCOUNT",IF($Q972=0,"UNMAPPED",IF($R972=-1,"OUTSIDE FY RANGE","OK"))))</f>
        <v/>
      </c>
      <c r="U972" s="40" t="str">
        <f aca="false">IF($A972="","",$B972&amp;"|"&amp;TEXT($A972,"yyyymmdd")&amp;"|"&amp;TEXT($I972,"0.00"))</f>
        <v/>
      </c>
      <c r="V972" s="35" t="str">
        <f aca="false">IF($A972="","",COUNTIF($U$8:$U$5007,$U972))</f>
        <v/>
      </c>
    </row>
    <row r="973" customFormat="false" ht="15" hidden="false" customHeight="false" outlineLevel="0" collapsed="false">
      <c r="A973" s="31"/>
      <c r="B973" s="32"/>
      <c r="C973" s="32"/>
      <c r="D973" s="32"/>
      <c r="E973" s="32"/>
      <c r="F973" s="32"/>
      <c r="G973" s="33"/>
      <c r="H973" s="33"/>
      <c r="I973" s="34" t="str">
        <f aca="false">IF($A973="","",$G973-$H973)</f>
        <v/>
      </c>
      <c r="J973" s="35" t="str">
        <f aca="false">IF($A973="","",IF(Setup!$B$6=1,YEAR($A973),YEAR($A973)+IF(MONTH($A973)&gt;=Setup!$B$6,1,0)))</f>
        <v/>
      </c>
      <c r="K973" s="35" t="str">
        <f aca="false">IF($A973="","",MOD(MONTH($A973)-Setup!$B$6+12,12)+1)</f>
        <v/>
      </c>
      <c r="L973" s="36" t="str">
        <f aca="false">IF($A973="","",TEXT($A973,"MMM-YY"))</f>
        <v/>
      </c>
      <c r="M973" s="37" t="str">
        <f aca="false">IF($A973="","",IF($Q973=0,"UNMAPPED",INDEX(COA_Mapping!$C$7:$C$256,$Q973)))</f>
        <v/>
      </c>
      <c r="N973" s="38" t="str">
        <f aca="false">IF($A973="","",IF($Q973=0,"",INDEX(COA_Mapping!$E$7:$E$256,$Q973)))</f>
        <v/>
      </c>
      <c r="O973" s="38" t="n">
        <f aca="false">IF($A973="",1,IF($Q973=0,1,INDEX(COA_Mapping!$F$7:$F$256,$Q973)))</f>
        <v>1</v>
      </c>
      <c r="P973" s="34" t="str">
        <f aca="false">IF($A973="","",$I973*$O973)</f>
        <v/>
      </c>
      <c r="Q973" s="39" t="n">
        <f aca="false">IF($B973="",0,IFERROR(MATCH($B973,COA_Mapping!$A$7:$A$256,0),0))</f>
        <v>0</v>
      </c>
      <c r="R973" s="39" t="n">
        <f aca="false">IF($A973="",-1,IF($J973=Setup!$B$7,1,IF($J973=Setup!$B$9,0,-1)))</f>
        <v>-1</v>
      </c>
      <c r="S973" s="35" t="n">
        <f aca="false">IF(OR($A973="",$Q973=0,$R973=-1),0,$Q973*1000+$R973*100+$K973)</f>
        <v>0</v>
      </c>
      <c r="T973" s="37" t="str">
        <f aca="false">IF($A973="","",IF($B973="","NO ACCOUNT",IF($Q973=0,"UNMAPPED",IF($R973=-1,"OUTSIDE FY RANGE","OK"))))</f>
        <v/>
      </c>
      <c r="U973" s="40" t="str">
        <f aca="false">IF($A973="","",$B973&amp;"|"&amp;TEXT($A973,"yyyymmdd")&amp;"|"&amp;TEXT($I973,"0.00"))</f>
        <v/>
      </c>
      <c r="V973" s="35" t="str">
        <f aca="false">IF($A973="","",COUNTIF($U$8:$U$5007,$U973))</f>
        <v/>
      </c>
    </row>
    <row r="974" customFormat="false" ht="15" hidden="false" customHeight="false" outlineLevel="0" collapsed="false">
      <c r="A974" s="31"/>
      <c r="B974" s="32"/>
      <c r="C974" s="32"/>
      <c r="D974" s="32"/>
      <c r="E974" s="32"/>
      <c r="F974" s="32"/>
      <c r="G974" s="33"/>
      <c r="H974" s="33"/>
      <c r="I974" s="34" t="str">
        <f aca="false">IF($A974="","",$G974-$H974)</f>
        <v/>
      </c>
      <c r="J974" s="35" t="str">
        <f aca="false">IF($A974="","",IF(Setup!$B$6=1,YEAR($A974),YEAR($A974)+IF(MONTH($A974)&gt;=Setup!$B$6,1,0)))</f>
        <v/>
      </c>
      <c r="K974" s="35" t="str">
        <f aca="false">IF($A974="","",MOD(MONTH($A974)-Setup!$B$6+12,12)+1)</f>
        <v/>
      </c>
      <c r="L974" s="36" t="str">
        <f aca="false">IF($A974="","",TEXT($A974,"MMM-YY"))</f>
        <v/>
      </c>
      <c r="M974" s="37" t="str">
        <f aca="false">IF($A974="","",IF($Q974=0,"UNMAPPED",INDEX(COA_Mapping!$C$7:$C$256,$Q974)))</f>
        <v/>
      </c>
      <c r="N974" s="38" t="str">
        <f aca="false">IF($A974="","",IF($Q974=0,"",INDEX(COA_Mapping!$E$7:$E$256,$Q974)))</f>
        <v/>
      </c>
      <c r="O974" s="38" t="n">
        <f aca="false">IF($A974="",1,IF($Q974=0,1,INDEX(COA_Mapping!$F$7:$F$256,$Q974)))</f>
        <v>1</v>
      </c>
      <c r="P974" s="34" t="str">
        <f aca="false">IF($A974="","",$I974*$O974)</f>
        <v/>
      </c>
      <c r="Q974" s="39" t="n">
        <f aca="false">IF($B974="",0,IFERROR(MATCH($B974,COA_Mapping!$A$7:$A$256,0),0))</f>
        <v>0</v>
      </c>
      <c r="R974" s="39" t="n">
        <f aca="false">IF($A974="",-1,IF($J974=Setup!$B$7,1,IF($J974=Setup!$B$9,0,-1)))</f>
        <v>-1</v>
      </c>
      <c r="S974" s="35" t="n">
        <f aca="false">IF(OR($A974="",$Q974=0,$R974=-1),0,$Q974*1000+$R974*100+$K974)</f>
        <v>0</v>
      </c>
      <c r="T974" s="37" t="str">
        <f aca="false">IF($A974="","",IF($B974="","NO ACCOUNT",IF($Q974=0,"UNMAPPED",IF($R974=-1,"OUTSIDE FY RANGE","OK"))))</f>
        <v/>
      </c>
      <c r="U974" s="40" t="str">
        <f aca="false">IF($A974="","",$B974&amp;"|"&amp;TEXT($A974,"yyyymmdd")&amp;"|"&amp;TEXT($I974,"0.00"))</f>
        <v/>
      </c>
      <c r="V974" s="35" t="str">
        <f aca="false">IF($A974="","",COUNTIF($U$8:$U$5007,$U974))</f>
        <v/>
      </c>
    </row>
    <row r="975" customFormat="false" ht="15" hidden="false" customHeight="false" outlineLevel="0" collapsed="false">
      <c r="A975" s="31"/>
      <c r="B975" s="32"/>
      <c r="C975" s="32"/>
      <c r="D975" s="32"/>
      <c r="E975" s="32"/>
      <c r="F975" s="32"/>
      <c r="G975" s="33"/>
      <c r="H975" s="33"/>
      <c r="I975" s="34" t="str">
        <f aca="false">IF($A975="","",$G975-$H975)</f>
        <v/>
      </c>
      <c r="J975" s="35" t="str">
        <f aca="false">IF($A975="","",IF(Setup!$B$6=1,YEAR($A975),YEAR($A975)+IF(MONTH($A975)&gt;=Setup!$B$6,1,0)))</f>
        <v/>
      </c>
      <c r="K975" s="35" t="str">
        <f aca="false">IF($A975="","",MOD(MONTH($A975)-Setup!$B$6+12,12)+1)</f>
        <v/>
      </c>
      <c r="L975" s="36" t="str">
        <f aca="false">IF($A975="","",TEXT($A975,"MMM-YY"))</f>
        <v/>
      </c>
      <c r="M975" s="37" t="str">
        <f aca="false">IF($A975="","",IF($Q975=0,"UNMAPPED",INDEX(COA_Mapping!$C$7:$C$256,$Q975)))</f>
        <v/>
      </c>
      <c r="N975" s="38" t="str">
        <f aca="false">IF($A975="","",IF($Q975=0,"",INDEX(COA_Mapping!$E$7:$E$256,$Q975)))</f>
        <v/>
      </c>
      <c r="O975" s="38" t="n">
        <f aca="false">IF($A975="",1,IF($Q975=0,1,INDEX(COA_Mapping!$F$7:$F$256,$Q975)))</f>
        <v>1</v>
      </c>
      <c r="P975" s="34" t="str">
        <f aca="false">IF($A975="","",$I975*$O975)</f>
        <v/>
      </c>
      <c r="Q975" s="39" t="n">
        <f aca="false">IF($B975="",0,IFERROR(MATCH($B975,COA_Mapping!$A$7:$A$256,0),0))</f>
        <v>0</v>
      </c>
      <c r="R975" s="39" t="n">
        <f aca="false">IF($A975="",-1,IF($J975=Setup!$B$7,1,IF($J975=Setup!$B$9,0,-1)))</f>
        <v>-1</v>
      </c>
      <c r="S975" s="35" t="n">
        <f aca="false">IF(OR($A975="",$Q975=0,$R975=-1),0,$Q975*1000+$R975*100+$K975)</f>
        <v>0</v>
      </c>
      <c r="T975" s="37" t="str">
        <f aca="false">IF($A975="","",IF($B975="","NO ACCOUNT",IF($Q975=0,"UNMAPPED",IF($R975=-1,"OUTSIDE FY RANGE","OK"))))</f>
        <v/>
      </c>
      <c r="U975" s="40" t="str">
        <f aca="false">IF($A975="","",$B975&amp;"|"&amp;TEXT($A975,"yyyymmdd")&amp;"|"&amp;TEXT($I975,"0.00"))</f>
        <v/>
      </c>
      <c r="V975" s="35" t="str">
        <f aca="false">IF($A975="","",COUNTIF($U$8:$U$5007,$U975))</f>
        <v/>
      </c>
    </row>
    <row r="976" customFormat="false" ht="15" hidden="false" customHeight="false" outlineLevel="0" collapsed="false">
      <c r="A976" s="31"/>
      <c r="B976" s="32"/>
      <c r="C976" s="32"/>
      <c r="D976" s="32"/>
      <c r="E976" s="32"/>
      <c r="F976" s="32"/>
      <c r="G976" s="33"/>
      <c r="H976" s="33"/>
      <c r="I976" s="34" t="str">
        <f aca="false">IF($A976="","",$G976-$H976)</f>
        <v/>
      </c>
      <c r="J976" s="35" t="str">
        <f aca="false">IF($A976="","",IF(Setup!$B$6=1,YEAR($A976),YEAR($A976)+IF(MONTH($A976)&gt;=Setup!$B$6,1,0)))</f>
        <v/>
      </c>
      <c r="K976" s="35" t="str">
        <f aca="false">IF($A976="","",MOD(MONTH($A976)-Setup!$B$6+12,12)+1)</f>
        <v/>
      </c>
      <c r="L976" s="36" t="str">
        <f aca="false">IF($A976="","",TEXT($A976,"MMM-YY"))</f>
        <v/>
      </c>
      <c r="M976" s="37" t="str">
        <f aca="false">IF($A976="","",IF($Q976=0,"UNMAPPED",INDEX(COA_Mapping!$C$7:$C$256,$Q976)))</f>
        <v/>
      </c>
      <c r="N976" s="38" t="str">
        <f aca="false">IF($A976="","",IF($Q976=0,"",INDEX(COA_Mapping!$E$7:$E$256,$Q976)))</f>
        <v/>
      </c>
      <c r="O976" s="38" t="n">
        <f aca="false">IF($A976="",1,IF($Q976=0,1,INDEX(COA_Mapping!$F$7:$F$256,$Q976)))</f>
        <v>1</v>
      </c>
      <c r="P976" s="34" t="str">
        <f aca="false">IF($A976="","",$I976*$O976)</f>
        <v/>
      </c>
      <c r="Q976" s="39" t="n">
        <f aca="false">IF($B976="",0,IFERROR(MATCH($B976,COA_Mapping!$A$7:$A$256,0),0))</f>
        <v>0</v>
      </c>
      <c r="R976" s="39" t="n">
        <f aca="false">IF($A976="",-1,IF($J976=Setup!$B$7,1,IF($J976=Setup!$B$9,0,-1)))</f>
        <v>-1</v>
      </c>
      <c r="S976" s="35" t="n">
        <f aca="false">IF(OR($A976="",$Q976=0,$R976=-1),0,$Q976*1000+$R976*100+$K976)</f>
        <v>0</v>
      </c>
      <c r="T976" s="37" t="str">
        <f aca="false">IF($A976="","",IF($B976="","NO ACCOUNT",IF($Q976=0,"UNMAPPED",IF($R976=-1,"OUTSIDE FY RANGE","OK"))))</f>
        <v/>
      </c>
      <c r="U976" s="40" t="str">
        <f aca="false">IF($A976="","",$B976&amp;"|"&amp;TEXT($A976,"yyyymmdd")&amp;"|"&amp;TEXT($I976,"0.00"))</f>
        <v/>
      </c>
      <c r="V976" s="35" t="str">
        <f aca="false">IF($A976="","",COUNTIF($U$8:$U$5007,$U976))</f>
        <v/>
      </c>
    </row>
    <row r="977" customFormat="false" ht="15" hidden="false" customHeight="false" outlineLevel="0" collapsed="false">
      <c r="A977" s="31"/>
      <c r="B977" s="32"/>
      <c r="C977" s="32"/>
      <c r="D977" s="32"/>
      <c r="E977" s="32"/>
      <c r="F977" s="32"/>
      <c r="G977" s="33"/>
      <c r="H977" s="33"/>
      <c r="I977" s="34" t="str">
        <f aca="false">IF($A977="","",$G977-$H977)</f>
        <v/>
      </c>
      <c r="J977" s="35" t="str">
        <f aca="false">IF($A977="","",IF(Setup!$B$6=1,YEAR($A977),YEAR($A977)+IF(MONTH($A977)&gt;=Setup!$B$6,1,0)))</f>
        <v/>
      </c>
      <c r="K977" s="35" t="str">
        <f aca="false">IF($A977="","",MOD(MONTH($A977)-Setup!$B$6+12,12)+1)</f>
        <v/>
      </c>
      <c r="L977" s="36" t="str">
        <f aca="false">IF($A977="","",TEXT($A977,"MMM-YY"))</f>
        <v/>
      </c>
      <c r="M977" s="37" t="str">
        <f aca="false">IF($A977="","",IF($Q977=0,"UNMAPPED",INDEX(COA_Mapping!$C$7:$C$256,$Q977)))</f>
        <v/>
      </c>
      <c r="N977" s="38" t="str">
        <f aca="false">IF($A977="","",IF($Q977=0,"",INDEX(COA_Mapping!$E$7:$E$256,$Q977)))</f>
        <v/>
      </c>
      <c r="O977" s="38" t="n">
        <f aca="false">IF($A977="",1,IF($Q977=0,1,INDEX(COA_Mapping!$F$7:$F$256,$Q977)))</f>
        <v>1</v>
      </c>
      <c r="P977" s="34" t="str">
        <f aca="false">IF($A977="","",$I977*$O977)</f>
        <v/>
      </c>
      <c r="Q977" s="39" t="n">
        <f aca="false">IF($B977="",0,IFERROR(MATCH($B977,COA_Mapping!$A$7:$A$256,0),0))</f>
        <v>0</v>
      </c>
      <c r="R977" s="39" t="n">
        <f aca="false">IF($A977="",-1,IF($J977=Setup!$B$7,1,IF($J977=Setup!$B$9,0,-1)))</f>
        <v>-1</v>
      </c>
      <c r="S977" s="35" t="n">
        <f aca="false">IF(OR($A977="",$Q977=0,$R977=-1),0,$Q977*1000+$R977*100+$K977)</f>
        <v>0</v>
      </c>
      <c r="T977" s="37" t="str">
        <f aca="false">IF($A977="","",IF($B977="","NO ACCOUNT",IF($Q977=0,"UNMAPPED",IF($R977=-1,"OUTSIDE FY RANGE","OK"))))</f>
        <v/>
      </c>
      <c r="U977" s="40" t="str">
        <f aca="false">IF($A977="","",$B977&amp;"|"&amp;TEXT($A977,"yyyymmdd")&amp;"|"&amp;TEXT($I977,"0.00"))</f>
        <v/>
      </c>
      <c r="V977" s="35" t="str">
        <f aca="false">IF($A977="","",COUNTIF($U$8:$U$5007,$U977))</f>
        <v/>
      </c>
    </row>
    <row r="978" customFormat="false" ht="15" hidden="false" customHeight="false" outlineLevel="0" collapsed="false">
      <c r="A978" s="31"/>
      <c r="B978" s="32"/>
      <c r="C978" s="32"/>
      <c r="D978" s="32"/>
      <c r="E978" s="32"/>
      <c r="F978" s="32"/>
      <c r="G978" s="33"/>
      <c r="H978" s="33"/>
      <c r="I978" s="34" t="str">
        <f aca="false">IF($A978="","",$G978-$H978)</f>
        <v/>
      </c>
      <c r="J978" s="35" t="str">
        <f aca="false">IF($A978="","",IF(Setup!$B$6=1,YEAR($A978),YEAR($A978)+IF(MONTH($A978)&gt;=Setup!$B$6,1,0)))</f>
        <v/>
      </c>
      <c r="K978" s="35" t="str">
        <f aca="false">IF($A978="","",MOD(MONTH($A978)-Setup!$B$6+12,12)+1)</f>
        <v/>
      </c>
      <c r="L978" s="36" t="str">
        <f aca="false">IF($A978="","",TEXT($A978,"MMM-YY"))</f>
        <v/>
      </c>
      <c r="M978" s="37" t="str">
        <f aca="false">IF($A978="","",IF($Q978=0,"UNMAPPED",INDEX(COA_Mapping!$C$7:$C$256,$Q978)))</f>
        <v/>
      </c>
      <c r="N978" s="38" t="str">
        <f aca="false">IF($A978="","",IF($Q978=0,"",INDEX(COA_Mapping!$E$7:$E$256,$Q978)))</f>
        <v/>
      </c>
      <c r="O978" s="38" t="n">
        <f aca="false">IF($A978="",1,IF($Q978=0,1,INDEX(COA_Mapping!$F$7:$F$256,$Q978)))</f>
        <v>1</v>
      </c>
      <c r="P978" s="34" t="str">
        <f aca="false">IF($A978="","",$I978*$O978)</f>
        <v/>
      </c>
      <c r="Q978" s="39" t="n">
        <f aca="false">IF($B978="",0,IFERROR(MATCH($B978,COA_Mapping!$A$7:$A$256,0),0))</f>
        <v>0</v>
      </c>
      <c r="R978" s="39" t="n">
        <f aca="false">IF($A978="",-1,IF($J978=Setup!$B$7,1,IF($J978=Setup!$B$9,0,-1)))</f>
        <v>-1</v>
      </c>
      <c r="S978" s="35" t="n">
        <f aca="false">IF(OR($A978="",$Q978=0,$R978=-1),0,$Q978*1000+$R978*100+$K978)</f>
        <v>0</v>
      </c>
      <c r="T978" s="37" t="str">
        <f aca="false">IF($A978="","",IF($B978="","NO ACCOUNT",IF($Q978=0,"UNMAPPED",IF($R978=-1,"OUTSIDE FY RANGE","OK"))))</f>
        <v/>
      </c>
      <c r="U978" s="40" t="str">
        <f aca="false">IF($A978="","",$B978&amp;"|"&amp;TEXT($A978,"yyyymmdd")&amp;"|"&amp;TEXT($I978,"0.00"))</f>
        <v/>
      </c>
      <c r="V978" s="35" t="str">
        <f aca="false">IF($A978="","",COUNTIF($U$8:$U$5007,$U978))</f>
        <v/>
      </c>
    </row>
    <row r="979" customFormat="false" ht="15" hidden="false" customHeight="false" outlineLevel="0" collapsed="false">
      <c r="A979" s="31"/>
      <c r="B979" s="32"/>
      <c r="C979" s="32"/>
      <c r="D979" s="32"/>
      <c r="E979" s="32"/>
      <c r="F979" s="32"/>
      <c r="G979" s="33"/>
      <c r="H979" s="33"/>
      <c r="I979" s="34" t="str">
        <f aca="false">IF($A979="","",$G979-$H979)</f>
        <v/>
      </c>
      <c r="J979" s="35" t="str">
        <f aca="false">IF($A979="","",IF(Setup!$B$6=1,YEAR($A979),YEAR($A979)+IF(MONTH($A979)&gt;=Setup!$B$6,1,0)))</f>
        <v/>
      </c>
      <c r="K979" s="35" t="str">
        <f aca="false">IF($A979="","",MOD(MONTH($A979)-Setup!$B$6+12,12)+1)</f>
        <v/>
      </c>
      <c r="L979" s="36" t="str">
        <f aca="false">IF($A979="","",TEXT($A979,"MMM-YY"))</f>
        <v/>
      </c>
      <c r="M979" s="37" t="str">
        <f aca="false">IF($A979="","",IF($Q979=0,"UNMAPPED",INDEX(COA_Mapping!$C$7:$C$256,$Q979)))</f>
        <v/>
      </c>
      <c r="N979" s="38" t="str">
        <f aca="false">IF($A979="","",IF($Q979=0,"",INDEX(COA_Mapping!$E$7:$E$256,$Q979)))</f>
        <v/>
      </c>
      <c r="O979" s="38" t="n">
        <f aca="false">IF($A979="",1,IF($Q979=0,1,INDEX(COA_Mapping!$F$7:$F$256,$Q979)))</f>
        <v>1</v>
      </c>
      <c r="P979" s="34" t="str">
        <f aca="false">IF($A979="","",$I979*$O979)</f>
        <v/>
      </c>
      <c r="Q979" s="39" t="n">
        <f aca="false">IF($B979="",0,IFERROR(MATCH($B979,COA_Mapping!$A$7:$A$256,0),0))</f>
        <v>0</v>
      </c>
      <c r="R979" s="39" t="n">
        <f aca="false">IF($A979="",-1,IF($J979=Setup!$B$7,1,IF($J979=Setup!$B$9,0,-1)))</f>
        <v>-1</v>
      </c>
      <c r="S979" s="35" t="n">
        <f aca="false">IF(OR($A979="",$Q979=0,$R979=-1),0,$Q979*1000+$R979*100+$K979)</f>
        <v>0</v>
      </c>
      <c r="T979" s="37" t="str">
        <f aca="false">IF($A979="","",IF($B979="","NO ACCOUNT",IF($Q979=0,"UNMAPPED",IF($R979=-1,"OUTSIDE FY RANGE","OK"))))</f>
        <v/>
      </c>
      <c r="U979" s="40" t="str">
        <f aca="false">IF($A979="","",$B979&amp;"|"&amp;TEXT($A979,"yyyymmdd")&amp;"|"&amp;TEXT($I979,"0.00"))</f>
        <v/>
      </c>
      <c r="V979" s="35" t="str">
        <f aca="false">IF($A979="","",COUNTIF($U$8:$U$5007,$U979))</f>
        <v/>
      </c>
    </row>
    <row r="980" customFormat="false" ht="15" hidden="false" customHeight="false" outlineLevel="0" collapsed="false">
      <c r="A980" s="31"/>
      <c r="B980" s="32"/>
      <c r="C980" s="32"/>
      <c r="D980" s="32"/>
      <c r="E980" s="32"/>
      <c r="F980" s="32"/>
      <c r="G980" s="33"/>
      <c r="H980" s="33"/>
      <c r="I980" s="34" t="str">
        <f aca="false">IF($A980="","",$G980-$H980)</f>
        <v/>
      </c>
      <c r="J980" s="35" t="str">
        <f aca="false">IF($A980="","",IF(Setup!$B$6=1,YEAR($A980),YEAR($A980)+IF(MONTH($A980)&gt;=Setup!$B$6,1,0)))</f>
        <v/>
      </c>
      <c r="K980" s="35" t="str">
        <f aca="false">IF($A980="","",MOD(MONTH($A980)-Setup!$B$6+12,12)+1)</f>
        <v/>
      </c>
      <c r="L980" s="36" t="str">
        <f aca="false">IF($A980="","",TEXT($A980,"MMM-YY"))</f>
        <v/>
      </c>
      <c r="M980" s="37" t="str">
        <f aca="false">IF($A980="","",IF($Q980=0,"UNMAPPED",INDEX(COA_Mapping!$C$7:$C$256,$Q980)))</f>
        <v/>
      </c>
      <c r="N980" s="38" t="str">
        <f aca="false">IF($A980="","",IF($Q980=0,"",INDEX(COA_Mapping!$E$7:$E$256,$Q980)))</f>
        <v/>
      </c>
      <c r="O980" s="38" t="n">
        <f aca="false">IF($A980="",1,IF($Q980=0,1,INDEX(COA_Mapping!$F$7:$F$256,$Q980)))</f>
        <v>1</v>
      </c>
      <c r="P980" s="34" t="str">
        <f aca="false">IF($A980="","",$I980*$O980)</f>
        <v/>
      </c>
      <c r="Q980" s="39" t="n">
        <f aca="false">IF($B980="",0,IFERROR(MATCH($B980,COA_Mapping!$A$7:$A$256,0),0))</f>
        <v>0</v>
      </c>
      <c r="R980" s="39" t="n">
        <f aca="false">IF($A980="",-1,IF($J980=Setup!$B$7,1,IF($J980=Setup!$B$9,0,-1)))</f>
        <v>-1</v>
      </c>
      <c r="S980" s="35" t="n">
        <f aca="false">IF(OR($A980="",$Q980=0,$R980=-1),0,$Q980*1000+$R980*100+$K980)</f>
        <v>0</v>
      </c>
      <c r="T980" s="37" t="str">
        <f aca="false">IF($A980="","",IF($B980="","NO ACCOUNT",IF($Q980=0,"UNMAPPED",IF($R980=-1,"OUTSIDE FY RANGE","OK"))))</f>
        <v/>
      </c>
      <c r="U980" s="40" t="str">
        <f aca="false">IF($A980="","",$B980&amp;"|"&amp;TEXT($A980,"yyyymmdd")&amp;"|"&amp;TEXT($I980,"0.00"))</f>
        <v/>
      </c>
      <c r="V980" s="35" t="str">
        <f aca="false">IF($A980="","",COUNTIF($U$8:$U$5007,$U980))</f>
        <v/>
      </c>
    </row>
    <row r="981" customFormat="false" ht="15" hidden="false" customHeight="false" outlineLevel="0" collapsed="false">
      <c r="A981" s="31"/>
      <c r="B981" s="32"/>
      <c r="C981" s="32"/>
      <c r="D981" s="32"/>
      <c r="E981" s="32"/>
      <c r="F981" s="32"/>
      <c r="G981" s="33"/>
      <c r="H981" s="33"/>
      <c r="I981" s="34" t="str">
        <f aca="false">IF($A981="","",$G981-$H981)</f>
        <v/>
      </c>
      <c r="J981" s="35" t="str">
        <f aca="false">IF($A981="","",IF(Setup!$B$6=1,YEAR($A981),YEAR($A981)+IF(MONTH($A981)&gt;=Setup!$B$6,1,0)))</f>
        <v/>
      </c>
      <c r="K981" s="35" t="str">
        <f aca="false">IF($A981="","",MOD(MONTH($A981)-Setup!$B$6+12,12)+1)</f>
        <v/>
      </c>
      <c r="L981" s="36" t="str">
        <f aca="false">IF($A981="","",TEXT($A981,"MMM-YY"))</f>
        <v/>
      </c>
      <c r="M981" s="37" t="str">
        <f aca="false">IF($A981="","",IF($Q981=0,"UNMAPPED",INDEX(COA_Mapping!$C$7:$C$256,$Q981)))</f>
        <v/>
      </c>
      <c r="N981" s="38" t="str">
        <f aca="false">IF($A981="","",IF($Q981=0,"",INDEX(COA_Mapping!$E$7:$E$256,$Q981)))</f>
        <v/>
      </c>
      <c r="O981" s="38" t="n">
        <f aca="false">IF($A981="",1,IF($Q981=0,1,INDEX(COA_Mapping!$F$7:$F$256,$Q981)))</f>
        <v>1</v>
      </c>
      <c r="P981" s="34" t="str">
        <f aca="false">IF($A981="","",$I981*$O981)</f>
        <v/>
      </c>
      <c r="Q981" s="39" t="n">
        <f aca="false">IF($B981="",0,IFERROR(MATCH($B981,COA_Mapping!$A$7:$A$256,0),0))</f>
        <v>0</v>
      </c>
      <c r="R981" s="39" t="n">
        <f aca="false">IF($A981="",-1,IF($J981=Setup!$B$7,1,IF($J981=Setup!$B$9,0,-1)))</f>
        <v>-1</v>
      </c>
      <c r="S981" s="35" t="n">
        <f aca="false">IF(OR($A981="",$Q981=0,$R981=-1),0,$Q981*1000+$R981*100+$K981)</f>
        <v>0</v>
      </c>
      <c r="T981" s="37" t="str">
        <f aca="false">IF($A981="","",IF($B981="","NO ACCOUNT",IF($Q981=0,"UNMAPPED",IF($R981=-1,"OUTSIDE FY RANGE","OK"))))</f>
        <v/>
      </c>
      <c r="U981" s="40" t="str">
        <f aca="false">IF($A981="","",$B981&amp;"|"&amp;TEXT($A981,"yyyymmdd")&amp;"|"&amp;TEXT($I981,"0.00"))</f>
        <v/>
      </c>
      <c r="V981" s="35" t="str">
        <f aca="false">IF($A981="","",COUNTIF($U$8:$U$5007,$U981))</f>
        <v/>
      </c>
    </row>
    <row r="982" customFormat="false" ht="15" hidden="false" customHeight="false" outlineLevel="0" collapsed="false">
      <c r="A982" s="31"/>
      <c r="B982" s="32"/>
      <c r="C982" s="32"/>
      <c r="D982" s="32"/>
      <c r="E982" s="32"/>
      <c r="F982" s="32"/>
      <c r="G982" s="33"/>
      <c r="H982" s="33"/>
      <c r="I982" s="34" t="str">
        <f aca="false">IF($A982="","",$G982-$H982)</f>
        <v/>
      </c>
      <c r="J982" s="35" t="str">
        <f aca="false">IF($A982="","",IF(Setup!$B$6=1,YEAR($A982),YEAR($A982)+IF(MONTH($A982)&gt;=Setup!$B$6,1,0)))</f>
        <v/>
      </c>
      <c r="K982" s="35" t="str">
        <f aca="false">IF($A982="","",MOD(MONTH($A982)-Setup!$B$6+12,12)+1)</f>
        <v/>
      </c>
      <c r="L982" s="36" t="str">
        <f aca="false">IF($A982="","",TEXT($A982,"MMM-YY"))</f>
        <v/>
      </c>
      <c r="M982" s="37" t="str">
        <f aca="false">IF($A982="","",IF($Q982=0,"UNMAPPED",INDEX(COA_Mapping!$C$7:$C$256,$Q982)))</f>
        <v/>
      </c>
      <c r="N982" s="38" t="str">
        <f aca="false">IF($A982="","",IF($Q982=0,"",INDEX(COA_Mapping!$E$7:$E$256,$Q982)))</f>
        <v/>
      </c>
      <c r="O982" s="38" t="n">
        <f aca="false">IF($A982="",1,IF($Q982=0,1,INDEX(COA_Mapping!$F$7:$F$256,$Q982)))</f>
        <v>1</v>
      </c>
      <c r="P982" s="34" t="str">
        <f aca="false">IF($A982="","",$I982*$O982)</f>
        <v/>
      </c>
      <c r="Q982" s="39" t="n">
        <f aca="false">IF($B982="",0,IFERROR(MATCH($B982,COA_Mapping!$A$7:$A$256,0),0))</f>
        <v>0</v>
      </c>
      <c r="R982" s="39" t="n">
        <f aca="false">IF($A982="",-1,IF($J982=Setup!$B$7,1,IF($J982=Setup!$B$9,0,-1)))</f>
        <v>-1</v>
      </c>
      <c r="S982" s="35" t="n">
        <f aca="false">IF(OR($A982="",$Q982=0,$R982=-1),0,$Q982*1000+$R982*100+$K982)</f>
        <v>0</v>
      </c>
      <c r="T982" s="37" t="str">
        <f aca="false">IF($A982="","",IF($B982="","NO ACCOUNT",IF($Q982=0,"UNMAPPED",IF($R982=-1,"OUTSIDE FY RANGE","OK"))))</f>
        <v/>
      </c>
      <c r="U982" s="40" t="str">
        <f aca="false">IF($A982="","",$B982&amp;"|"&amp;TEXT($A982,"yyyymmdd")&amp;"|"&amp;TEXT($I982,"0.00"))</f>
        <v/>
      </c>
      <c r="V982" s="35" t="str">
        <f aca="false">IF($A982="","",COUNTIF($U$8:$U$5007,$U982))</f>
        <v/>
      </c>
    </row>
    <row r="983" customFormat="false" ht="15" hidden="false" customHeight="false" outlineLevel="0" collapsed="false">
      <c r="A983" s="31"/>
      <c r="B983" s="32"/>
      <c r="C983" s="32"/>
      <c r="D983" s="32"/>
      <c r="E983" s="32"/>
      <c r="F983" s="32"/>
      <c r="G983" s="33"/>
      <c r="H983" s="33"/>
      <c r="I983" s="34" t="str">
        <f aca="false">IF($A983="","",$G983-$H983)</f>
        <v/>
      </c>
      <c r="J983" s="35" t="str">
        <f aca="false">IF($A983="","",IF(Setup!$B$6=1,YEAR($A983),YEAR($A983)+IF(MONTH($A983)&gt;=Setup!$B$6,1,0)))</f>
        <v/>
      </c>
      <c r="K983" s="35" t="str">
        <f aca="false">IF($A983="","",MOD(MONTH($A983)-Setup!$B$6+12,12)+1)</f>
        <v/>
      </c>
      <c r="L983" s="36" t="str">
        <f aca="false">IF($A983="","",TEXT($A983,"MMM-YY"))</f>
        <v/>
      </c>
      <c r="M983" s="37" t="str">
        <f aca="false">IF($A983="","",IF($Q983=0,"UNMAPPED",INDEX(COA_Mapping!$C$7:$C$256,$Q983)))</f>
        <v/>
      </c>
      <c r="N983" s="38" t="str">
        <f aca="false">IF($A983="","",IF($Q983=0,"",INDEX(COA_Mapping!$E$7:$E$256,$Q983)))</f>
        <v/>
      </c>
      <c r="O983" s="38" t="n">
        <f aca="false">IF($A983="",1,IF($Q983=0,1,INDEX(COA_Mapping!$F$7:$F$256,$Q983)))</f>
        <v>1</v>
      </c>
      <c r="P983" s="34" t="str">
        <f aca="false">IF($A983="","",$I983*$O983)</f>
        <v/>
      </c>
      <c r="Q983" s="39" t="n">
        <f aca="false">IF($B983="",0,IFERROR(MATCH($B983,COA_Mapping!$A$7:$A$256,0),0))</f>
        <v>0</v>
      </c>
      <c r="R983" s="39" t="n">
        <f aca="false">IF($A983="",-1,IF($J983=Setup!$B$7,1,IF($J983=Setup!$B$9,0,-1)))</f>
        <v>-1</v>
      </c>
      <c r="S983" s="35" t="n">
        <f aca="false">IF(OR($A983="",$Q983=0,$R983=-1),0,$Q983*1000+$R983*100+$K983)</f>
        <v>0</v>
      </c>
      <c r="T983" s="37" t="str">
        <f aca="false">IF($A983="","",IF($B983="","NO ACCOUNT",IF($Q983=0,"UNMAPPED",IF($R983=-1,"OUTSIDE FY RANGE","OK"))))</f>
        <v/>
      </c>
      <c r="U983" s="40" t="str">
        <f aca="false">IF($A983="","",$B983&amp;"|"&amp;TEXT($A983,"yyyymmdd")&amp;"|"&amp;TEXT($I983,"0.00"))</f>
        <v/>
      </c>
      <c r="V983" s="35" t="str">
        <f aca="false">IF($A983="","",COUNTIF($U$8:$U$5007,$U983))</f>
        <v/>
      </c>
    </row>
    <row r="984" customFormat="false" ht="15" hidden="false" customHeight="false" outlineLevel="0" collapsed="false">
      <c r="A984" s="31"/>
      <c r="B984" s="32"/>
      <c r="C984" s="32"/>
      <c r="D984" s="32"/>
      <c r="E984" s="32"/>
      <c r="F984" s="32"/>
      <c r="G984" s="33"/>
      <c r="H984" s="33"/>
      <c r="I984" s="34" t="str">
        <f aca="false">IF($A984="","",$G984-$H984)</f>
        <v/>
      </c>
      <c r="J984" s="35" t="str">
        <f aca="false">IF($A984="","",IF(Setup!$B$6=1,YEAR($A984),YEAR($A984)+IF(MONTH($A984)&gt;=Setup!$B$6,1,0)))</f>
        <v/>
      </c>
      <c r="K984" s="35" t="str">
        <f aca="false">IF($A984="","",MOD(MONTH($A984)-Setup!$B$6+12,12)+1)</f>
        <v/>
      </c>
      <c r="L984" s="36" t="str">
        <f aca="false">IF($A984="","",TEXT($A984,"MMM-YY"))</f>
        <v/>
      </c>
      <c r="M984" s="37" t="str">
        <f aca="false">IF($A984="","",IF($Q984=0,"UNMAPPED",INDEX(COA_Mapping!$C$7:$C$256,$Q984)))</f>
        <v/>
      </c>
      <c r="N984" s="38" t="str">
        <f aca="false">IF($A984="","",IF($Q984=0,"",INDEX(COA_Mapping!$E$7:$E$256,$Q984)))</f>
        <v/>
      </c>
      <c r="O984" s="38" t="n">
        <f aca="false">IF($A984="",1,IF($Q984=0,1,INDEX(COA_Mapping!$F$7:$F$256,$Q984)))</f>
        <v>1</v>
      </c>
      <c r="P984" s="34" t="str">
        <f aca="false">IF($A984="","",$I984*$O984)</f>
        <v/>
      </c>
      <c r="Q984" s="39" t="n">
        <f aca="false">IF($B984="",0,IFERROR(MATCH($B984,COA_Mapping!$A$7:$A$256,0),0))</f>
        <v>0</v>
      </c>
      <c r="R984" s="39" t="n">
        <f aca="false">IF($A984="",-1,IF($J984=Setup!$B$7,1,IF($J984=Setup!$B$9,0,-1)))</f>
        <v>-1</v>
      </c>
      <c r="S984" s="35" t="n">
        <f aca="false">IF(OR($A984="",$Q984=0,$R984=-1),0,$Q984*1000+$R984*100+$K984)</f>
        <v>0</v>
      </c>
      <c r="T984" s="37" t="str">
        <f aca="false">IF($A984="","",IF($B984="","NO ACCOUNT",IF($Q984=0,"UNMAPPED",IF($R984=-1,"OUTSIDE FY RANGE","OK"))))</f>
        <v/>
      </c>
      <c r="U984" s="40" t="str">
        <f aca="false">IF($A984="","",$B984&amp;"|"&amp;TEXT($A984,"yyyymmdd")&amp;"|"&amp;TEXT($I984,"0.00"))</f>
        <v/>
      </c>
      <c r="V984" s="35" t="str">
        <f aca="false">IF($A984="","",COUNTIF($U$8:$U$5007,$U984))</f>
        <v/>
      </c>
    </row>
    <row r="985" customFormat="false" ht="15" hidden="false" customHeight="false" outlineLevel="0" collapsed="false">
      <c r="A985" s="31"/>
      <c r="B985" s="32"/>
      <c r="C985" s="32"/>
      <c r="D985" s="32"/>
      <c r="E985" s="32"/>
      <c r="F985" s="32"/>
      <c r="G985" s="33"/>
      <c r="H985" s="33"/>
      <c r="I985" s="34" t="str">
        <f aca="false">IF($A985="","",$G985-$H985)</f>
        <v/>
      </c>
      <c r="J985" s="35" t="str">
        <f aca="false">IF($A985="","",IF(Setup!$B$6=1,YEAR($A985),YEAR($A985)+IF(MONTH($A985)&gt;=Setup!$B$6,1,0)))</f>
        <v/>
      </c>
      <c r="K985" s="35" t="str">
        <f aca="false">IF($A985="","",MOD(MONTH($A985)-Setup!$B$6+12,12)+1)</f>
        <v/>
      </c>
      <c r="L985" s="36" t="str">
        <f aca="false">IF($A985="","",TEXT($A985,"MMM-YY"))</f>
        <v/>
      </c>
      <c r="M985" s="37" t="str">
        <f aca="false">IF($A985="","",IF($Q985=0,"UNMAPPED",INDEX(COA_Mapping!$C$7:$C$256,$Q985)))</f>
        <v/>
      </c>
      <c r="N985" s="38" t="str">
        <f aca="false">IF($A985="","",IF($Q985=0,"",INDEX(COA_Mapping!$E$7:$E$256,$Q985)))</f>
        <v/>
      </c>
      <c r="O985" s="38" t="n">
        <f aca="false">IF($A985="",1,IF($Q985=0,1,INDEX(COA_Mapping!$F$7:$F$256,$Q985)))</f>
        <v>1</v>
      </c>
      <c r="P985" s="34" t="str">
        <f aca="false">IF($A985="","",$I985*$O985)</f>
        <v/>
      </c>
      <c r="Q985" s="39" t="n">
        <f aca="false">IF($B985="",0,IFERROR(MATCH($B985,COA_Mapping!$A$7:$A$256,0),0))</f>
        <v>0</v>
      </c>
      <c r="R985" s="39" t="n">
        <f aca="false">IF($A985="",-1,IF($J985=Setup!$B$7,1,IF($J985=Setup!$B$9,0,-1)))</f>
        <v>-1</v>
      </c>
      <c r="S985" s="35" t="n">
        <f aca="false">IF(OR($A985="",$Q985=0,$R985=-1),0,$Q985*1000+$R985*100+$K985)</f>
        <v>0</v>
      </c>
      <c r="T985" s="37" t="str">
        <f aca="false">IF($A985="","",IF($B985="","NO ACCOUNT",IF($Q985=0,"UNMAPPED",IF($R985=-1,"OUTSIDE FY RANGE","OK"))))</f>
        <v/>
      </c>
      <c r="U985" s="40" t="str">
        <f aca="false">IF($A985="","",$B985&amp;"|"&amp;TEXT($A985,"yyyymmdd")&amp;"|"&amp;TEXT($I985,"0.00"))</f>
        <v/>
      </c>
      <c r="V985" s="35" t="str">
        <f aca="false">IF($A985="","",COUNTIF($U$8:$U$5007,$U985))</f>
        <v/>
      </c>
    </row>
    <row r="986" customFormat="false" ht="15" hidden="false" customHeight="false" outlineLevel="0" collapsed="false">
      <c r="A986" s="31"/>
      <c r="B986" s="32"/>
      <c r="C986" s="32"/>
      <c r="D986" s="32"/>
      <c r="E986" s="32"/>
      <c r="F986" s="32"/>
      <c r="G986" s="33"/>
      <c r="H986" s="33"/>
      <c r="I986" s="34" t="str">
        <f aca="false">IF($A986="","",$G986-$H986)</f>
        <v/>
      </c>
      <c r="J986" s="35" t="str">
        <f aca="false">IF($A986="","",IF(Setup!$B$6=1,YEAR($A986),YEAR($A986)+IF(MONTH($A986)&gt;=Setup!$B$6,1,0)))</f>
        <v/>
      </c>
      <c r="K986" s="35" t="str">
        <f aca="false">IF($A986="","",MOD(MONTH($A986)-Setup!$B$6+12,12)+1)</f>
        <v/>
      </c>
      <c r="L986" s="36" t="str">
        <f aca="false">IF($A986="","",TEXT($A986,"MMM-YY"))</f>
        <v/>
      </c>
      <c r="M986" s="37" t="str">
        <f aca="false">IF($A986="","",IF($Q986=0,"UNMAPPED",INDEX(COA_Mapping!$C$7:$C$256,$Q986)))</f>
        <v/>
      </c>
      <c r="N986" s="38" t="str">
        <f aca="false">IF($A986="","",IF($Q986=0,"",INDEX(COA_Mapping!$E$7:$E$256,$Q986)))</f>
        <v/>
      </c>
      <c r="O986" s="38" t="n">
        <f aca="false">IF($A986="",1,IF($Q986=0,1,INDEX(COA_Mapping!$F$7:$F$256,$Q986)))</f>
        <v>1</v>
      </c>
      <c r="P986" s="34" t="str">
        <f aca="false">IF($A986="","",$I986*$O986)</f>
        <v/>
      </c>
      <c r="Q986" s="39" t="n">
        <f aca="false">IF($B986="",0,IFERROR(MATCH($B986,COA_Mapping!$A$7:$A$256,0),0))</f>
        <v>0</v>
      </c>
      <c r="R986" s="39" t="n">
        <f aca="false">IF($A986="",-1,IF($J986=Setup!$B$7,1,IF($J986=Setup!$B$9,0,-1)))</f>
        <v>-1</v>
      </c>
      <c r="S986" s="35" t="n">
        <f aca="false">IF(OR($A986="",$Q986=0,$R986=-1),0,$Q986*1000+$R986*100+$K986)</f>
        <v>0</v>
      </c>
      <c r="T986" s="37" t="str">
        <f aca="false">IF($A986="","",IF($B986="","NO ACCOUNT",IF($Q986=0,"UNMAPPED",IF($R986=-1,"OUTSIDE FY RANGE","OK"))))</f>
        <v/>
      </c>
      <c r="U986" s="40" t="str">
        <f aca="false">IF($A986="","",$B986&amp;"|"&amp;TEXT($A986,"yyyymmdd")&amp;"|"&amp;TEXT($I986,"0.00"))</f>
        <v/>
      </c>
      <c r="V986" s="35" t="str">
        <f aca="false">IF($A986="","",COUNTIF($U$8:$U$5007,$U986))</f>
        <v/>
      </c>
    </row>
    <row r="987" customFormat="false" ht="15" hidden="false" customHeight="false" outlineLevel="0" collapsed="false">
      <c r="A987" s="31"/>
      <c r="B987" s="32"/>
      <c r="C987" s="32"/>
      <c r="D987" s="32"/>
      <c r="E987" s="32"/>
      <c r="F987" s="32"/>
      <c r="G987" s="33"/>
      <c r="H987" s="33"/>
      <c r="I987" s="34" t="str">
        <f aca="false">IF($A987="","",$G987-$H987)</f>
        <v/>
      </c>
      <c r="J987" s="35" t="str">
        <f aca="false">IF($A987="","",IF(Setup!$B$6=1,YEAR($A987),YEAR($A987)+IF(MONTH($A987)&gt;=Setup!$B$6,1,0)))</f>
        <v/>
      </c>
      <c r="K987" s="35" t="str">
        <f aca="false">IF($A987="","",MOD(MONTH($A987)-Setup!$B$6+12,12)+1)</f>
        <v/>
      </c>
      <c r="L987" s="36" t="str">
        <f aca="false">IF($A987="","",TEXT($A987,"MMM-YY"))</f>
        <v/>
      </c>
      <c r="M987" s="37" t="str">
        <f aca="false">IF($A987="","",IF($Q987=0,"UNMAPPED",INDEX(COA_Mapping!$C$7:$C$256,$Q987)))</f>
        <v/>
      </c>
      <c r="N987" s="38" t="str">
        <f aca="false">IF($A987="","",IF($Q987=0,"",INDEX(COA_Mapping!$E$7:$E$256,$Q987)))</f>
        <v/>
      </c>
      <c r="O987" s="38" t="n">
        <f aca="false">IF($A987="",1,IF($Q987=0,1,INDEX(COA_Mapping!$F$7:$F$256,$Q987)))</f>
        <v>1</v>
      </c>
      <c r="P987" s="34" t="str">
        <f aca="false">IF($A987="","",$I987*$O987)</f>
        <v/>
      </c>
      <c r="Q987" s="39" t="n">
        <f aca="false">IF($B987="",0,IFERROR(MATCH($B987,COA_Mapping!$A$7:$A$256,0),0))</f>
        <v>0</v>
      </c>
      <c r="R987" s="39" t="n">
        <f aca="false">IF($A987="",-1,IF($J987=Setup!$B$7,1,IF($J987=Setup!$B$9,0,-1)))</f>
        <v>-1</v>
      </c>
      <c r="S987" s="35" t="n">
        <f aca="false">IF(OR($A987="",$Q987=0,$R987=-1),0,$Q987*1000+$R987*100+$K987)</f>
        <v>0</v>
      </c>
      <c r="T987" s="37" t="str">
        <f aca="false">IF($A987="","",IF($B987="","NO ACCOUNT",IF($Q987=0,"UNMAPPED",IF($R987=-1,"OUTSIDE FY RANGE","OK"))))</f>
        <v/>
      </c>
      <c r="U987" s="40" t="str">
        <f aca="false">IF($A987="","",$B987&amp;"|"&amp;TEXT($A987,"yyyymmdd")&amp;"|"&amp;TEXT($I987,"0.00"))</f>
        <v/>
      </c>
      <c r="V987" s="35" t="str">
        <f aca="false">IF($A987="","",COUNTIF($U$8:$U$5007,$U987))</f>
        <v/>
      </c>
    </row>
    <row r="988" customFormat="false" ht="15" hidden="false" customHeight="false" outlineLevel="0" collapsed="false">
      <c r="A988" s="31"/>
      <c r="B988" s="32"/>
      <c r="C988" s="32"/>
      <c r="D988" s="32"/>
      <c r="E988" s="32"/>
      <c r="F988" s="32"/>
      <c r="G988" s="33"/>
      <c r="H988" s="33"/>
      <c r="I988" s="34" t="str">
        <f aca="false">IF($A988="","",$G988-$H988)</f>
        <v/>
      </c>
      <c r="J988" s="35" t="str">
        <f aca="false">IF($A988="","",IF(Setup!$B$6=1,YEAR($A988),YEAR($A988)+IF(MONTH($A988)&gt;=Setup!$B$6,1,0)))</f>
        <v/>
      </c>
      <c r="K988" s="35" t="str">
        <f aca="false">IF($A988="","",MOD(MONTH($A988)-Setup!$B$6+12,12)+1)</f>
        <v/>
      </c>
      <c r="L988" s="36" t="str">
        <f aca="false">IF($A988="","",TEXT($A988,"MMM-YY"))</f>
        <v/>
      </c>
      <c r="M988" s="37" t="str">
        <f aca="false">IF($A988="","",IF($Q988=0,"UNMAPPED",INDEX(COA_Mapping!$C$7:$C$256,$Q988)))</f>
        <v/>
      </c>
      <c r="N988" s="38" t="str">
        <f aca="false">IF($A988="","",IF($Q988=0,"",INDEX(COA_Mapping!$E$7:$E$256,$Q988)))</f>
        <v/>
      </c>
      <c r="O988" s="38" t="n">
        <f aca="false">IF($A988="",1,IF($Q988=0,1,INDEX(COA_Mapping!$F$7:$F$256,$Q988)))</f>
        <v>1</v>
      </c>
      <c r="P988" s="34" t="str">
        <f aca="false">IF($A988="","",$I988*$O988)</f>
        <v/>
      </c>
      <c r="Q988" s="39" t="n">
        <f aca="false">IF($B988="",0,IFERROR(MATCH($B988,COA_Mapping!$A$7:$A$256,0),0))</f>
        <v>0</v>
      </c>
      <c r="R988" s="39" t="n">
        <f aca="false">IF($A988="",-1,IF($J988=Setup!$B$7,1,IF($J988=Setup!$B$9,0,-1)))</f>
        <v>-1</v>
      </c>
      <c r="S988" s="35" t="n">
        <f aca="false">IF(OR($A988="",$Q988=0,$R988=-1),0,$Q988*1000+$R988*100+$K988)</f>
        <v>0</v>
      </c>
      <c r="T988" s="37" t="str">
        <f aca="false">IF($A988="","",IF($B988="","NO ACCOUNT",IF($Q988=0,"UNMAPPED",IF($R988=-1,"OUTSIDE FY RANGE","OK"))))</f>
        <v/>
      </c>
      <c r="U988" s="40" t="str">
        <f aca="false">IF($A988="","",$B988&amp;"|"&amp;TEXT($A988,"yyyymmdd")&amp;"|"&amp;TEXT($I988,"0.00"))</f>
        <v/>
      </c>
      <c r="V988" s="35" t="str">
        <f aca="false">IF($A988="","",COUNTIF($U$8:$U$5007,$U988))</f>
        <v/>
      </c>
    </row>
    <row r="989" customFormat="false" ht="15" hidden="false" customHeight="false" outlineLevel="0" collapsed="false">
      <c r="A989" s="31"/>
      <c r="B989" s="32"/>
      <c r="C989" s="32"/>
      <c r="D989" s="32"/>
      <c r="E989" s="32"/>
      <c r="F989" s="32"/>
      <c r="G989" s="33"/>
      <c r="H989" s="33"/>
      <c r="I989" s="34" t="str">
        <f aca="false">IF($A989="","",$G989-$H989)</f>
        <v/>
      </c>
      <c r="J989" s="35" t="str">
        <f aca="false">IF($A989="","",IF(Setup!$B$6=1,YEAR($A989),YEAR($A989)+IF(MONTH($A989)&gt;=Setup!$B$6,1,0)))</f>
        <v/>
      </c>
      <c r="K989" s="35" t="str">
        <f aca="false">IF($A989="","",MOD(MONTH($A989)-Setup!$B$6+12,12)+1)</f>
        <v/>
      </c>
      <c r="L989" s="36" t="str">
        <f aca="false">IF($A989="","",TEXT($A989,"MMM-YY"))</f>
        <v/>
      </c>
      <c r="M989" s="37" t="str">
        <f aca="false">IF($A989="","",IF($Q989=0,"UNMAPPED",INDEX(COA_Mapping!$C$7:$C$256,$Q989)))</f>
        <v/>
      </c>
      <c r="N989" s="38" t="str">
        <f aca="false">IF($A989="","",IF($Q989=0,"",INDEX(COA_Mapping!$E$7:$E$256,$Q989)))</f>
        <v/>
      </c>
      <c r="O989" s="38" t="n">
        <f aca="false">IF($A989="",1,IF($Q989=0,1,INDEX(COA_Mapping!$F$7:$F$256,$Q989)))</f>
        <v>1</v>
      </c>
      <c r="P989" s="34" t="str">
        <f aca="false">IF($A989="","",$I989*$O989)</f>
        <v/>
      </c>
      <c r="Q989" s="39" t="n">
        <f aca="false">IF($B989="",0,IFERROR(MATCH($B989,COA_Mapping!$A$7:$A$256,0),0))</f>
        <v>0</v>
      </c>
      <c r="R989" s="39" t="n">
        <f aca="false">IF($A989="",-1,IF($J989=Setup!$B$7,1,IF($J989=Setup!$B$9,0,-1)))</f>
        <v>-1</v>
      </c>
      <c r="S989" s="35" t="n">
        <f aca="false">IF(OR($A989="",$Q989=0,$R989=-1),0,$Q989*1000+$R989*100+$K989)</f>
        <v>0</v>
      </c>
      <c r="T989" s="37" t="str">
        <f aca="false">IF($A989="","",IF($B989="","NO ACCOUNT",IF($Q989=0,"UNMAPPED",IF($R989=-1,"OUTSIDE FY RANGE","OK"))))</f>
        <v/>
      </c>
      <c r="U989" s="40" t="str">
        <f aca="false">IF($A989="","",$B989&amp;"|"&amp;TEXT($A989,"yyyymmdd")&amp;"|"&amp;TEXT($I989,"0.00"))</f>
        <v/>
      </c>
      <c r="V989" s="35" t="str">
        <f aca="false">IF($A989="","",COUNTIF($U$8:$U$5007,$U989))</f>
        <v/>
      </c>
    </row>
    <row r="990" customFormat="false" ht="15" hidden="false" customHeight="false" outlineLevel="0" collapsed="false">
      <c r="A990" s="31"/>
      <c r="B990" s="32"/>
      <c r="C990" s="32"/>
      <c r="D990" s="32"/>
      <c r="E990" s="32"/>
      <c r="F990" s="32"/>
      <c r="G990" s="33"/>
      <c r="H990" s="33"/>
      <c r="I990" s="34" t="str">
        <f aca="false">IF($A990="","",$G990-$H990)</f>
        <v/>
      </c>
      <c r="J990" s="35" t="str">
        <f aca="false">IF($A990="","",IF(Setup!$B$6=1,YEAR($A990),YEAR($A990)+IF(MONTH($A990)&gt;=Setup!$B$6,1,0)))</f>
        <v/>
      </c>
      <c r="K990" s="35" t="str">
        <f aca="false">IF($A990="","",MOD(MONTH($A990)-Setup!$B$6+12,12)+1)</f>
        <v/>
      </c>
      <c r="L990" s="36" t="str">
        <f aca="false">IF($A990="","",TEXT($A990,"MMM-YY"))</f>
        <v/>
      </c>
      <c r="M990" s="37" t="str">
        <f aca="false">IF($A990="","",IF($Q990=0,"UNMAPPED",INDEX(COA_Mapping!$C$7:$C$256,$Q990)))</f>
        <v/>
      </c>
      <c r="N990" s="38" t="str">
        <f aca="false">IF($A990="","",IF($Q990=0,"",INDEX(COA_Mapping!$E$7:$E$256,$Q990)))</f>
        <v/>
      </c>
      <c r="O990" s="38" t="n">
        <f aca="false">IF($A990="",1,IF($Q990=0,1,INDEX(COA_Mapping!$F$7:$F$256,$Q990)))</f>
        <v>1</v>
      </c>
      <c r="P990" s="34" t="str">
        <f aca="false">IF($A990="","",$I990*$O990)</f>
        <v/>
      </c>
      <c r="Q990" s="39" t="n">
        <f aca="false">IF($B990="",0,IFERROR(MATCH($B990,COA_Mapping!$A$7:$A$256,0),0))</f>
        <v>0</v>
      </c>
      <c r="R990" s="39" t="n">
        <f aca="false">IF($A990="",-1,IF($J990=Setup!$B$7,1,IF($J990=Setup!$B$9,0,-1)))</f>
        <v>-1</v>
      </c>
      <c r="S990" s="35" t="n">
        <f aca="false">IF(OR($A990="",$Q990=0,$R990=-1),0,$Q990*1000+$R990*100+$K990)</f>
        <v>0</v>
      </c>
      <c r="T990" s="37" t="str">
        <f aca="false">IF($A990="","",IF($B990="","NO ACCOUNT",IF($Q990=0,"UNMAPPED",IF($R990=-1,"OUTSIDE FY RANGE","OK"))))</f>
        <v/>
      </c>
      <c r="U990" s="40" t="str">
        <f aca="false">IF($A990="","",$B990&amp;"|"&amp;TEXT($A990,"yyyymmdd")&amp;"|"&amp;TEXT($I990,"0.00"))</f>
        <v/>
      </c>
      <c r="V990" s="35" t="str">
        <f aca="false">IF($A990="","",COUNTIF($U$8:$U$5007,$U990))</f>
        <v/>
      </c>
    </row>
    <row r="991" customFormat="false" ht="15" hidden="false" customHeight="false" outlineLevel="0" collapsed="false">
      <c r="A991" s="31"/>
      <c r="B991" s="32"/>
      <c r="C991" s="32"/>
      <c r="D991" s="32"/>
      <c r="E991" s="32"/>
      <c r="F991" s="32"/>
      <c r="G991" s="33"/>
      <c r="H991" s="33"/>
      <c r="I991" s="34" t="str">
        <f aca="false">IF($A991="","",$G991-$H991)</f>
        <v/>
      </c>
      <c r="J991" s="35" t="str">
        <f aca="false">IF($A991="","",IF(Setup!$B$6=1,YEAR($A991),YEAR($A991)+IF(MONTH($A991)&gt;=Setup!$B$6,1,0)))</f>
        <v/>
      </c>
      <c r="K991" s="35" t="str">
        <f aca="false">IF($A991="","",MOD(MONTH($A991)-Setup!$B$6+12,12)+1)</f>
        <v/>
      </c>
      <c r="L991" s="36" t="str">
        <f aca="false">IF($A991="","",TEXT($A991,"MMM-YY"))</f>
        <v/>
      </c>
      <c r="M991" s="37" t="str">
        <f aca="false">IF($A991="","",IF($Q991=0,"UNMAPPED",INDEX(COA_Mapping!$C$7:$C$256,$Q991)))</f>
        <v/>
      </c>
      <c r="N991" s="38" t="str">
        <f aca="false">IF($A991="","",IF($Q991=0,"",INDEX(COA_Mapping!$E$7:$E$256,$Q991)))</f>
        <v/>
      </c>
      <c r="O991" s="38" t="n">
        <f aca="false">IF($A991="",1,IF($Q991=0,1,INDEX(COA_Mapping!$F$7:$F$256,$Q991)))</f>
        <v>1</v>
      </c>
      <c r="P991" s="34" t="str">
        <f aca="false">IF($A991="","",$I991*$O991)</f>
        <v/>
      </c>
      <c r="Q991" s="39" t="n">
        <f aca="false">IF($B991="",0,IFERROR(MATCH($B991,COA_Mapping!$A$7:$A$256,0),0))</f>
        <v>0</v>
      </c>
      <c r="R991" s="39" t="n">
        <f aca="false">IF($A991="",-1,IF($J991=Setup!$B$7,1,IF($J991=Setup!$B$9,0,-1)))</f>
        <v>-1</v>
      </c>
      <c r="S991" s="35" t="n">
        <f aca="false">IF(OR($A991="",$Q991=0,$R991=-1),0,$Q991*1000+$R991*100+$K991)</f>
        <v>0</v>
      </c>
      <c r="T991" s="37" t="str">
        <f aca="false">IF($A991="","",IF($B991="","NO ACCOUNT",IF($Q991=0,"UNMAPPED",IF($R991=-1,"OUTSIDE FY RANGE","OK"))))</f>
        <v/>
      </c>
      <c r="U991" s="40" t="str">
        <f aca="false">IF($A991="","",$B991&amp;"|"&amp;TEXT($A991,"yyyymmdd")&amp;"|"&amp;TEXT($I991,"0.00"))</f>
        <v/>
      </c>
      <c r="V991" s="35" t="str">
        <f aca="false">IF($A991="","",COUNTIF($U$8:$U$5007,$U991))</f>
        <v/>
      </c>
    </row>
    <row r="992" customFormat="false" ht="15" hidden="false" customHeight="false" outlineLevel="0" collapsed="false">
      <c r="A992" s="31"/>
      <c r="B992" s="32"/>
      <c r="C992" s="32"/>
      <c r="D992" s="32"/>
      <c r="E992" s="32"/>
      <c r="F992" s="32"/>
      <c r="G992" s="33"/>
      <c r="H992" s="33"/>
      <c r="I992" s="34" t="str">
        <f aca="false">IF($A992="","",$G992-$H992)</f>
        <v/>
      </c>
      <c r="J992" s="35" t="str">
        <f aca="false">IF($A992="","",IF(Setup!$B$6=1,YEAR($A992),YEAR($A992)+IF(MONTH($A992)&gt;=Setup!$B$6,1,0)))</f>
        <v/>
      </c>
      <c r="K992" s="35" t="str">
        <f aca="false">IF($A992="","",MOD(MONTH($A992)-Setup!$B$6+12,12)+1)</f>
        <v/>
      </c>
      <c r="L992" s="36" t="str">
        <f aca="false">IF($A992="","",TEXT($A992,"MMM-YY"))</f>
        <v/>
      </c>
      <c r="M992" s="37" t="str">
        <f aca="false">IF($A992="","",IF($Q992=0,"UNMAPPED",INDEX(COA_Mapping!$C$7:$C$256,$Q992)))</f>
        <v/>
      </c>
      <c r="N992" s="38" t="str">
        <f aca="false">IF($A992="","",IF($Q992=0,"",INDEX(COA_Mapping!$E$7:$E$256,$Q992)))</f>
        <v/>
      </c>
      <c r="O992" s="38" t="n">
        <f aca="false">IF($A992="",1,IF($Q992=0,1,INDEX(COA_Mapping!$F$7:$F$256,$Q992)))</f>
        <v>1</v>
      </c>
      <c r="P992" s="34" t="str">
        <f aca="false">IF($A992="","",$I992*$O992)</f>
        <v/>
      </c>
      <c r="Q992" s="39" t="n">
        <f aca="false">IF($B992="",0,IFERROR(MATCH($B992,COA_Mapping!$A$7:$A$256,0),0))</f>
        <v>0</v>
      </c>
      <c r="R992" s="39" t="n">
        <f aca="false">IF($A992="",-1,IF($J992=Setup!$B$7,1,IF($J992=Setup!$B$9,0,-1)))</f>
        <v>-1</v>
      </c>
      <c r="S992" s="35" t="n">
        <f aca="false">IF(OR($A992="",$Q992=0,$R992=-1),0,$Q992*1000+$R992*100+$K992)</f>
        <v>0</v>
      </c>
      <c r="T992" s="37" t="str">
        <f aca="false">IF($A992="","",IF($B992="","NO ACCOUNT",IF($Q992=0,"UNMAPPED",IF($R992=-1,"OUTSIDE FY RANGE","OK"))))</f>
        <v/>
      </c>
      <c r="U992" s="40" t="str">
        <f aca="false">IF($A992="","",$B992&amp;"|"&amp;TEXT($A992,"yyyymmdd")&amp;"|"&amp;TEXT($I992,"0.00"))</f>
        <v/>
      </c>
      <c r="V992" s="35" t="str">
        <f aca="false">IF($A992="","",COUNTIF($U$8:$U$5007,$U992))</f>
        <v/>
      </c>
    </row>
    <row r="993" customFormat="false" ht="15" hidden="false" customHeight="false" outlineLevel="0" collapsed="false">
      <c r="A993" s="31"/>
      <c r="B993" s="32"/>
      <c r="C993" s="32"/>
      <c r="D993" s="32"/>
      <c r="E993" s="32"/>
      <c r="F993" s="32"/>
      <c r="G993" s="33"/>
      <c r="H993" s="33"/>
      <c r="I993" s="34" t="str">
        <f aca="false">IF($A993="","",$G993-$H993)</f>
        <v/>
      </c>
      <c r="J993" s="35" t="str">
        <f aca="false">IF($A993="","",IF(Setup!$B$6=1,YEAR($A993),YEAR($A993)+IF(MONTH($A993)&gt;=Setup!$B$6,1,0)))</f>
        <v/>
      </c>
      <c r="K993" s="35" t="str">
        <f aca="false">IF($A993="","",MOD(MONTH($A993)-Setup!$B$6+12,12)+1)</f>
        <v/>
      </c>
      <c r="L993" s="36" t="str">
        <f aca="false">IF($A993="","",TEXT($A993,"MMM-YY"))</f>
        <v/>
      </c>
      <c r="M993" s="37" t="str">
        <f aca="false">IF($A993="","",IF($Q993=0,"UNMAPPED",INDEX(COA_Mapping!$C$7:$C$256,$Q993)))</f>
        <v/>
      </c>
      <c r="N993" s="38" t="str">
        <f aca="false">IF($A993="","",IF($Q993=0,"",INDEX(COA_Mapping!$E$7:$E$256,$Q993)))</f>
        <v/>
      </c>
      <c r="O993" s="38" t="n">
        <f aca="false">IF($A993="",1,IF($Q993=0,1,INDEX(COA_Mapping!$F$7:$F$256,$Q993)))</f>
        <v>1</v>
      </c>
      <c r="P993" s="34" t="str">
        <f aca="false">IF($A993="","",$I993*$O993)</f>
        <v/>
      </c>
      <c r="Q993" s="39" t="n">
        <f aca="false">IF($B993="",0,IFERROR(MATCH($B993,COA_Mapping!$A$7:$A$256,0),0))</f>
        <v>0</v>
      </c>
      <c r="R993" s="39" t="n">
        <f aca="false">IF($A993="",-1,IF($J993=Setup!$B$7,1,IF($J993=Setup!$B$9,0,-1)))</f>
        <v>-1</v>
      </c>
      <c r="S993" s="35" t="n">
        <f aca="false">IF(OR($A993="",$Q993=0,$R993=-1),0,$Q993*1000+$R993*100+$K993)</f>
        <v>0</v>
      </c>
      <c r="T993" s="37" t="str">
        <f aca="false">IF($A993="","",IF($B993="","NO ACCOUNT",IF($Q993=0,"UNMAPPED",IF($R993=-1,"OUTSIDE FY RANGE","OK"))))</f>
        <v/>
      </c>
      <c r="U993" s="40" t="str">
        <f aca="false">IF($A993="","",$B993&amp;"|"&amp;TEXT($A993,"yyyymmdd")&amp;"|"&amp;TEXT($I993,"0.00"))</f>
        <v/>
      </c>
      <c r="V993" s="35" t="str">
        <f aca="false">IF($A993="","",COUNTIF($U$8:$U$5007,$U993))</f>
        <v/>
      </c>
    </row>
    <row r="994" customFormat="false" ht="15" hidden="false" customHeight="false" outlineLevel="0" collapsed="false">
      <c r="A994" s="31"/>
      <c r="B994" s="32"/>
      <c r="C994" s="32"/>
      <c r="D994" s="32"/>
      <c r="E994" s="32"/>
      <c r="F994" s="32"/>
      <c r="G994" s="33"/>
      <c r="H994" s="33"/>
      <c r="I994" s="34" t="str">
        <f aca="false">IF($A994="","",$G994-$H994)</f>
        <v/>
      </c>
      <c r="J994" s="35" t="str">
        <f aca="false">IF($A994="","",IF(Setup!$B$6=1,YEAR($A994),YEAR($A994)+IF(MONTH($A994)&gt;=Setup!$B$6,1,0)))</f>
        <v/>
      </c>
      <c r="K994" s="35" t="str">
        <f aca="false">IF($A994="","",MOD(MONTH($A994)-Setup!$B$6+12,12)+1)</f>
        <v/>
      </c>
      <c r="L994" s="36" t="str">
        <f aca="false">IF($A994="","",TEXT($A994,"MMM-YY"))</f>
        <v/>
      </c>
      <c r="M994" s="37" t="str">
        <f aca="false">IF($A994="","",IF($Q994=0,"UNMAPPED",INDEX(COA_Mapping!$C$7:$C$256,$Q994)))</f>
        <v/>
      </c>
      <c r="N994" s="38" t="str">
        <f aca="false">IF($A994="","",IF($Q994=0,"",INDEX(COA_Mapping!$E$7:$E$256,$Q994)))</f>
        <v/>
      </c>
      <c r="O994" s="38" t="n">
        <f aca="false">IF($A994="",1,IF($Q994=0,1,INDEX(COA_Mapping!$F$7:$F$256,$Q994)))</f>
        <v>1</v>
      </c>
      <c r="P994" s="34" t="str">
        <f aca="false">IF($A994="","",$I994*$O994)</f>
        <v/>
      </c>
      <c r="Q994" s="39" t="n">
        <f aca="false">IF($B994="",0,IFERROR(MATCH($B994,COA_Mapping!$A$7:$A$256,0),0))</f>
        <v>0</v>
      </c>
      <c r="R994" s="39" t="n">
        <f aca="false">IF($A994="",-1,IF($J994=Setup!$B$7,1,IF($J994=Setup!$B$9,0,-1)))</f>
        <v>-1</v>
      </c>
      <c r="S994" s="35" t="n">
        <f aca="false">IF(OR($A994="",$Q994=0,$R994=-1),0,$Q994*1000+$R994*100+$K994)</f>
        <v>0</v>
      </c>
      <c r="T994" s="37" t="str">
        <f aca="false">IF($A994="","",IF($B994="","NO ACCOUNT",IF($Q994=0,"UNMAPPED",IF($R994=-1,"OUTSIDE FY RANGE","OK"))))</f>
        <v/>
      </c>
      <c r="U994" s="40" t="str">
        <f aca="false">IF($A994="","",$B994&amp;"|"&amp;TEXT($A994,"yyyymmdd")&amp;"|"&amp;TEXT($I994,"0.00"))</f>
        <v/>
      </c>
      <c r="V994" s="35" t="str">
        <f aca="false">IF($A994="","",COUNTIF($U$8:$U$5007,$U994))</f>
        <v/>
      </c>
    </row>
    <row r="995" customFormat="false" ht="15" hidden="false" customHeight="false" outlineLevel="0" collapsed="false">
      <c r="A995" s="31"/>
      <c r="B995" s="32"/>
      <c r="C995" s="32"/>
      <c r="D995" s="32"/>
      <c r="E995" s="32"/>
      <c r="F995" s="32"/>
      <c r="G995" s="33"/>
      <c r="H995" s="33"/>
      <c r="I995" s="34" t="str">
        <f aca="false">IF($A995="","",$G995-$H995)</f>
        <v/>
      </c>
      <c r="J995" s="35" t="str">
        <f aca="false">IF($A995="","",IF(Setup!$B$6=1,YEAR($A995),YEAR($A995)+IF(MONTH($A995)&gt;=Setup!$B$6,1,0)))</f>
        <v/>
      </c>
      <c r="K995" s="35" t="str">
        <f aca="false">IF($A995="","",MOD(MONTH($A995)-Setup!$B$6+12,12)+1)</f>
        <v/>
      </c>
      <c r="L995" s="36" t="str">
        <f aca="false">IF($A995="","",TEXT($A995,"MMM-YY"))</f>
        <v/>
      </c>
      <c r="M995" s="37" t="str">
        <f aca="false">IF($A995="","",IF($Q995=0,"UNMAPPED",INDEX(COA_Mapping!$C$7:$C$256,$Q995)))</f>
        <v/>
      </c>
      <c r="N995" s="38" t="str">
        <f aca="false">IF($A995="","",IF($Q995=0,"",INDEX(COA_Mapping!$E$7:$E$256,$Q995)))</f>
        <v/>
      </c>
      <c r="O995" s="38" t="n">
        <f aca="false">IF($A995="",1,IF($Q995=0,1,INDEX(COA_Mapping!$F$7:$F$256,$Q995)))</f>
        <v>1</v>
      </c>
      <c r="P995" s="34" t="str">
        <f aca="false">IF($A995="","",$I995*$O995)</f>
        <v/>
      </c>
      <c r="Q995" s="39" t="n">
        <f aca="false">IF($B995="",0,IFERROR(MATCH($B995,COA_Mapping!$A$7:$A$256,0),0))</f>
        <v>0</v>
      </c>
      <c r="R995" s="39" t="n">
        <f aca="false">IF($A995="",-1,IF($J995=Setup!$B$7,1,IF($J995=Setup!$B$9,0,-1)))</f>
        <v>-1</v>
      </c>
      <c r="S995" s="35" t="n">
        <f aca="false">IF(OR($A995="",$Q995=0,$R995=-1),0,$Q995*1000+$R995*100+$K995)</f>
        <v>0</v>
      </c>
      <c r="T995" s="37" t="str">
        <f aca="false">IF($A995="","",IF($B995="","NO ACCOUNT",IF($Q995=0,"UNMAPPED",IF($R995=-1,"OUTSIDE FY RANGE","OK"))))</f>
        <v/>
      </c>
      <c r="U995" s="40" t="str">
        <f aca="false">IF($A995="","",$B995&amp;"|"&amp;TEXT($A995,"yyyymmdd")&amp;"|"&amp;TEXT($I995,"0.00"))</f>
        <v/>
      </c>
      <c r="V995" s="35" t="str">
        <f aca="false">IF($A995="","",COUNTIF($U$8:$U$5007,$U995))</f>
        <v/>
      </c>
    </row>
    <row r="996" customFormat="false" ht="15" hidden="false" customHeight="false" outlineLevel="0" collapsed="false">
      <c r="A996" s="31"/>
      <c r="B996" s="32"/>
      <c r="C996" s="32"/>
      <c r="D996" s="32"/>
      <c r="E996" s="32"/>
      <c r="F996" s="32"/>
      <c r="G996" s="33"/>
      <c r="H996" s="33"/>
      <c r="I996" s="34" t="str">
        <f aca="false">IF($A996="","",$G996-$H996)</f>
        <v/>
      </c>
      <c r="J996" s="35" t="str">
        <f aca="false">IF($A996="","",IF(Setup!$B$6=1,YEAR($A996),YEAR($A996)+IF(MONTH($A996)&gt;=Setup!$B$6,1,0)))</f>
        <v/>
      </c>
      <c r="K996" s="35" t="str">
        <f aca="false">IF($A996="","",MOD(MONTH($A996)-Setup!$B$6+12,12)+1)</f>
        <v/>
      </c>
      <c r="L996" s="36" t="str">
        <f aca="false">IF($A996="","",TEXT($A996,"MMM-YY"))</f>
        <v/>
      </c>
      <c r="M996" s="37" t="str">
        <f aca="false">IF($A996="","",IF($Q996=0,"UNMAPPED",INDEX(COA_Mapping!$C$7:$C$256,$Q996)))</f>
        <v/>
      </c>
      <c r="N996" s="38" t="str">
        <f aca="false">IF($A996="","",IF($Q996=0,"",INDEX(COA_Mapping!$E$7:$E$256,$Q996)))</f>
        <v/>
      </c>
      <c r="O996" s="38" t="n">
        <f aca="false">IF($A996="",1,IF($Q996=0,1,INDEX(COA_Mapping!$F$7:$F$256,$Q996)))</f>
        <v>1</v>
      </c>
      <c r="P996" s="34" t="str">
        <f aca="false">IF($A996="","",$I996*$O996)</f>
        <v/>
      </c>
      <c r="Q996" s="39" t="n">
        <f aca="false">IF($B996="",0,IFERROR(MATCH($B996,COA_Mapping!$A$7:$A$256,0),0))</f>
        <v>0</v>
      </c>
      <c r="R996" s="39" t="n">
        <f aca="false">IF($A996="",-1,IF($J996=Setup!$B$7,1,IF($J996=Setup!$B$9,0,-1)))</f>
        <v>-1</v>
      </c>
      <c r="S996" s="35" t="n">
        <f aca="false">IF(OR($A996="",$Q996=0,$R996=-1),0,$Q996*1000+$R996*100+$K996)</f>
        <v>0</v>
      </c>
      <c r="T996" s="37" t="str">
        <f aca="false">IF($A996="","",IF($B996="","NO ACCOUNT",IF($Q996=0,"UNMAPPED",IF($R996=-1,"OUTSIDE FY RANGE","OK"))))</f>
        <v/>
      </c>
      <c r="U996" s="40" t="str">
        <f aca="false">IF($A996="","",$B996&amp;"|"&amp;TEXT($A996,"yyyymmdd")&amp;"|"&amp;TEXT($I996,"0.00"))</f>
        <v/>
      </c>
      <c r="V996" s="35" t="str">
        <f aca="false">IF($A996="","",COUNTIF($U$8:$U$5007,$U996))</f>
        <v/>
      </c>
    </row>
    <row r="997" customFormat="false" ht="15" hidden="false" customHeight="false" outlineLevel="0" collapsed="false">
      <c r="A997" s="31"/>
      <c r="B997" s="32"/>
      <c r="C997" s="32"/>
      <c r="D997" s="32"/>
      <c r="E997" s="32"/>
      <c r="F997" s="32"/>
      <c r="G997" s="33"/>
      <c r="H997" s="33"/>
      <c r="I997" s="34" t="str">
        <f aca="false">IF($A997="","",$G997-$H997)</f>
        <v/>
      </c>
      <c r="J997" s="35" t="str">
        <f aca="false">IF($A997="","",IF(Setup!$B$6=1,YEAR($A997),YEAR($A997)+IF(MONTH($A997)&gt;=Setup!$B$6,1,0)))</f>
        <v/>
      </c>
      <c r="K997" s="35" t="str">
        <f aca="false">IF($A997="","",MOD(MONTH($A997)-Setup!$B$6+12,12)+1)</f>
        <v/>
      </c>
      <c r="L997" s="36" t="str">
        <f aca="false">IF($A997="","",TEXT($A997,"MMM-YY"))</f>
        <v/>
      </c>
      <c r="M997" s="37" t="str">
        <f aca="false">IF($A997="","",IF($Q997=0,"UNMAPPED",INDEX(COA_Mapping!$C$7:$C$256,$Q997)))</f>
        <v/>
      </c>
      <c r="N997" s="38" t="str">
        <f aca="false">IF($A997="","",IF($Q997=0,"",INDEX(COA_Mapping!$E$7:$E$256,$Q997)))</f>
        <v/>
      </c>
      <c r="O997" s="38" t="n">
        <f aca="false">IF($A997="",1,IF($Q997=0,1,INDEX(COA_Mapping!$F$7:$F$256,$Q997)))</f>
        <v>1</v>
      </c>
      <c r="P997" s="34" t="str">
        <f aca="false">IF($A997="","",$I997*$O997)</f>
        <v/>
      </c>
      <c r="Q997" s="39" t="n">
        <f aca="false">IF($B997="",0,IFERROR(MATCH($B997,COA_Mapping!$A$7:$A$256,0),0))</f>
        <v>0</v>
      </c>
      <c r="R997" s="39" t="n">
        <f aca="false">IF($A997="",-1,IF($J997=Setup!$B$7,1,IF($J997=Setup!$B$9,0,-1)))</f>
        <v>-1</v>
      </c>
      <c r="S997" s="35" t="n">
        <f aca="false">IF(OR($A997="",$Q997=0,$R997=-1),0,$Q997*1000+$R997*100+$K997)</f>
        <v>0</v>
      </c>
      <c r="T997" s="37" t="str">
        <f aca="false">IF($A997="","",IF($B997="","NO ACCOUNT",IF($Q997=0,"UNMAPPED",IF($R997=-1,"OUTSIDE FY RANGE","OK"))))</f>
        <v/>
      </c>
      <c r="U997" s="40" t="str">
        <f aca="false">IF($A997="","",$B997&amp;"|"&amp;TEXT($A997,"yyyymmdd")&amp;"|"&amp;TEXT($I997,"0.00"))</f>
        <v/>
      </c>
      <c r="V997" s="35" t="str">
        <f aca="false">IF($A997="","",COUNTIF($U$8:$U$5007,$U997))</f>
        <v/>
      </c>
    </row>
    <row r="998" customFormat="false" ht="15" hidden="false" customHeight="false" outlineLevel="0" collapsed="false">
      <c r="A998" s="31"/>
      <c r="B998" s="32"/>
      <c r="C998" s="32"/>
      <c r="D998" s="32"/>
      <c r="E998" s="32"/>
      <c r="F998" s="32"/>
      <c r="G998" s="33"/>
      <c r="H998" s="33"/>
      <c r="I998" s="34" t="str">
        <f aca="false">IF($A998="","",$G998-$H998)</f>
        <v/>
      </c>
      <c r="J998" s="35" t="str">
        <f aca="false">IF($A998="","",IF(Setup!$B$6=1,YEAR($A998),YEAR($A998)+IF(MONTH($A998)&gt;=Setup!$B$6,1,0)))</f>
        <v/>
      </c>
      <c r="K998" s="35" t="str">
        <f aca="false">IF($A998="","",MOD(MONTH($A998)-Setup!$B$6+12,12)+1)</f>
        <v/>
      </c>
      <c r="L998" s="36" t="str">
        <f aca="false">IF($A998="","",TEXT($A998,"MMM-YY"))</f>
        <v/>
      </c>
      <c r="M998" s="37" t="str">
        <f aca="false">IF($A998="","",IF($Q998=0,"UNMAPPED",INDEX(COA_Mapping!$C$7:$C$256,$Q998)))</f>
        <v/>
      </c>
      <c r="N998" s="38" t="str">
        <f aca="false">IF($A998="","",IF($Q998=0,"",INDEX(COA_Mapping!$E$7:$E$256,$Q998)))</f>
        <v/>
      </c>
      <c r="O998" s="38" t="n">
        <f aca="false">IF($A998="",1,IF($Q998=0,1,INDEX(COA_Mapping!$F$7:$F$256,$Q998)))</f>
        <v>1</v>
      </c>
      <c r="P998" s="34" t="str">
        <f aca="false">IF($A998="","",$I998*$O998)</f>
        <v/>
      </c>
      <c r="Q998" s="39" t="n">
        <f aca="false">IF($B998="",0,IFERROR(MATCH($B998,COA_Mapping!$A$7:$A$256,0),0))</f>
        <v>0</v>
      </c>
      <c r="R998" s="39" t="n">
        <f aca="false">IF($A998="",-1,IF($J998=Setup!$B$7,1,IF($J998=Setup!$B$9,0,-1)))</f>
        <v>-1</v>
      </c>
      <c r="S998" s="35" t="n">
        <f aca="false">IF(OR($A998="",$Q998=0,$R998=-1),0,$Q998*1000+$R998*100+$K998)</f>
        <v>0</v>
      </c>
      <c r="T998" s="37" t="str">
        <f aca="false">IF($A998="","",IF($B998="","NO ACCOUNT",IF($Q998=0,"UNMAPPED",IF($R998=-1,"OUTSIDE FY RANGE","OK"))))</f>
        <v/>
      </c>
      <c r="U998" s="40" t="str">
        <f aca="false">IF($A998="","",$B998&amp;"|"&amp;TEXT($A998,"yyyymmdd")&amp;"|"&amp;TEXT($I998,"0.00"))</f>
        <v/>
      </c>
      <c r="V998" s="35" t="str">
        <f aca="false">IF($A998="","",COUNTIF($U$8:$U$5007,$U998))</f>
        <v/>
      </c>
    </row>
    <row r="999" customFormat="false" ht="15" hidden="false" customHeight="false" outlineLevel="0" collapsed="false">
      <c r="A999" s="31"/>
      <c r="B999" s="32"/>
      <c r="C999" s="32"/>
      <c r="D999" s="32"/>
      <c r="E999" s="32"/>
      <c r="F999" s="32"/>
      <c r="G999" s="33"/>
      <c r="H999" s="33"/>
      <c r="I999" s="34" t="str">
        <f aca="false">IF($A999="","",$G999-$H999)</f>
        <v/>
      </c>
      <c r="J999" s="35" t="str">
        <f aca="false">IF($A999="","",IF(Setup!$B$6=1,YEAR($A999),YEAR($A999)+IF(MONTH($A999)&gt;=Setup!$B$6,1,0)))</f>
        <v/>
      </c>
      <c r="K999" s="35" t="str">
        <f aca="false">IF($A999="","",MOD(MONTH($A999)-Setup!$B$6+12,12)+1)</f>
        <v/>
      </c>
      <c r="L999" s="36" t="str">
        <f aca="false">IF($A999="","",TEXT($A999,"MMM-YY"))</f>
        <v/>
      </c>
      <c r="M999" s="37" t="str">
        <f aca="false">IF($A999="","",IF($Q999=0,"UNMAPPED",INDEX(COA_Mapping!$C$7:$C$256,$Q999)))</f>
        <v/>
      </c>
      <c r="N999" s="38" t="str">
        <f aca="false">IF($A999="","",IF($Q999=0,"",INDEX(COA_Mapping!$E$7:$E$256,$Q999)))</f>
        <v/>
      </c>
      <c r="O999" s="38" t="n">
        <f aca="false">IF($A999="",1,IF($Q999=0,1,INDEX(COA_Mapping!$F$7:$F$256,$Q999)))</f>
        <v>1</v>
      </c>
      <c r="P999" s="34" t="str">
        <f aca="false">IF($A999="","",$I999*$O999)</f>
        <v/>
      </c>
      <c r="Q999" s="39" t="n">
        <f aca="false">IF($B999="",0,IFERROR(MATCH($B999,COA_Mapping!$A$7:$A$256,0),0))</f>
        <v>0</v>
      </c>
      <c r="R999" s="39" t="n">
        <f aca="false">IF($A999="",-1,IF($J999=Setup!$B$7,1,IF($J999=Setup!$B$9,0,-1)))</f>
        <v>-1</v>
      </c>
      <c r="S999" s="35" t="n">
        <f aca="false">IF(OR($A999="",$Q999=0,$R999=-1),0,$Q999*1000+$R999*100+$K999)</f>
        <v>0</v>
      </c>
      <c r="T999" s="37" t="str">
        <f aca="false">IF($A999="","",IF($B999="","NO ACCOUNT",IF($Q999=0,"UNMAPPED",IF($R999=-1,"OUTSIDE FY RANGE","OK"))))</f>
        <v/>
      </c>
      <c r="U999" s="40" t="str">
        <f aca="false">IF($A999="","",$B999&amp;"|"&amp;TEXT($A999,"yyyymmdd")&amp;"|"&amp;TEXT($I999,"0.00"))</f>
        <v/>
      </c>
      <c r="V999" s="35" t="str">
        <f aca="false">IF($A999="","",COUNTIF($U$8:$U$5007,$U999))</f>
        <v/>
      </c>
    </row>
    <row r="1000" customFormat="false" ht="15" hidden="false" customHeight="false" outlineLevel="0" collapsed="false">
      <c r="A1000" s="31"/>
      <c r="B1000" s="32"/>
      <c r="C1000" s="32"/>
      <c r="D1000" s="32"/>
      <c r="E1000" s="32"/>
      <c r="F1000" s="32"/>
      <c r="G1000" s="33"/>
      <c r="H1000" s="33"/>
      <c r="I1000" s="34" t="str">
        <f aca="false">IF($A1000="","",$G1000-$H1000)</f>
        <v/>
      </c>
      <c r="J1000" s="35" t="str">
        <f aca="false">IF($A1000="","",IF(Setup!$B$6=1,YEAR($A1000),YEAR($A1000)+IF(MONTH($A1000)&gt;=Setup!$B$6,1,0)))</f>
        <v/>
      </c>
      <c r="K1000" s="35" t="str">
        <f aca="false">IF($A1000="","",MOD(MONTH($A1000)-Setup!$B$6+12,12)+1)</f>
        <v/>
      </c>
      <c r="L1000" s="36" t="str">
        <f aca="false">IF($A1000="","",TEXT($A1000,"MMM-YY"))</f>
        <v/>
      </c>
      <c r="M1000" s="37" t="str">
        <f aca="false">IF($A1000="","",IF($Q1000=0,"UNMAPPED",INDEX(COA_Mapping!$C$7:$C$256,$Q1000)))</f>
        <v/>
      </c>
      <c r="N1000" s="38" t="str">
        <f aca="false">IF($A1000="","",IF($Q1000=0,"",INDEX(COA_Mapping!$E$7:$E$256,$Q1000)))</f>
        <v/>
      </c>
      <c r="O1000" s="38" t="n">
        <f aca="false">IF($A1000="",1,IF($Q1000=0,1,INDEX(COA_Mapping!$F$7:$F$256,$Q1000)))</f>
        <v>1</v>
      </c>
      <c r="P1000" s="34" t="str">
        <f aca="false">IF($A1000="","",$I1000*$O1000)</f>
        <v/>
      </c>
      <c r="Q1000" s="39" t="n">
        <f aca="false">IF($B1000="",0,IFERROR(MATCH($B1000,COA_Mapping!$A$7:$A$256,0),0))</f>
        <v>0</v>
      </c>
      <c r="R1000" s="39" t="n">
        <f aca="false">IF($A1000="",-1,IF($J1000=Setup!$B$7,1,IF($J1000=Setup!$B$9,0,-1)))</f>
        <v>-1</v>
      </c>
      <c r="S1000" s="35" t="n">
        <f aca="false">IF(OR($A1000="",$Q1000=0,$R1000=-1),0,$Q1000*1000+$R1000*100+$K1000)</f>
        <v>0</v>
      </c>
      <c r="T1000" s="37" t="str">
        <f aca="false">IF($A1000="","",IF($B1000="","NO ACCOUNT",IF($Q1000=0,"UNMAPPED",IF($R1000=-1,"OUTSIDE FY RANGE","OK"))))</f>
        <v/>
      </c>
      <c r="U1000" s="40" t="str">
        <f aca="false">IF($A1000="","",$B1000&amp;"|"&amp;TEXT($A1000,"yyyymmdd")&amp;"|"&amp;TEXT($I1000,"0.00"))</f>
        <v/>
      </c>
      <c r="V1000" s="35" t="str">
        <f aca="false">IF($A1000="","",COUNTIF($U$8:$U$5007,$U1000))</f>
        <v/>
      </c>
    </row>
    <row r="1001" customFormat="false" ht="15" hidden="false" customHeight="false" outlineLevel="0" collapsed="false">
      <c r="A1001" s="31"/>
      <c r="B1001" s="32"/>
      <c r="C1001" s="32"/>
      <c r="D1001" s="32"/>
      <c r="E1001" s="32"/>
      <c r="F1001" s="32"/>
      <c r="G1001" s="33"/>
      <c r="H1001" s="33"/>
      <c r="I1001" s="34" t="str">
        <f aca="false">IF($A1001="","",$G1001-$H1001)</f>
        <v/>
      </c>
      <c r="J1001" s="35" t="str">
        <f aca="false">IF($A1001="","",IF(Setup!$B$6=1,YEAR($A1001),YEAR($A1001)+IF(MONTH($A1001)&gt;=Setup!$B$6,1,0)))</f>
        <v/>
      </c>
      <c r="K1001" s="35" t="str">
        <f aca="false">IF($A1001="","",MOD(MONTH($A1001)-Setup!$B$6+12,12)+1)</f>
        <v/>
      </c>
      <c r="L1001" s="36" t="str">
        <f aca="false">IF($A1001="","",TEXT($A1001,"MMM-YY"))</f>
        <v/>
      </c>
      <c r="M1001" s="37" t="str">
        <f aca="false">IF($A1001="","",IF($Q1001=0,"UNMAPPED",INDEX(COA_Mapping!$C$7:$C$256,$Q1001)))</f>
        <v/>
      </c>
      <c r="N1001" s="38" t="str">
        <f aca="false">IF($A1001="","",IF($Q1001=0,"",INDEX(COA_Mapping!$E$7:$E$256,$Q1001)))</f>
        <v/>
      </c>
      <c r="O1001" s="38" t="n">
        <f aca="false">IF($A1001="",1,IF($Q1001=0,1,INDEX(COA_Mapping!$F$7:$F$256,$Q1001)))</f>
        <v>1</v>
      </c>
      <c r="P1001" s="34" t="str">
        <f aca="false">IF($A1001="","",$I1001*$O1001)</f>
        <v/>
      </c>
      <c r="Q1001" s="39" t="n">
        <f aca="false">IF($B1001="",0,IFERROR(MATCH($B1001,COA_Mapping!$A$7:$A$256,0),0))</f>
        <v>0</v>
      </c>
      <c r="R1001" s="39" t="n">
        <f aca="false">IF($A1001="",-1,IF($J1001=Setup!$B$7,1,IF($J1001=Setup!$B$9,0,-1)))</f>
        <v>-1</v>
      </c>
      <c r="S1001" s="35" t="n">
        <f aca="false">IF(OR($A1001="",$Q1001=0,$R1001=-1),0,$Q1001*1000+$R1001*100+$K1001)</f>
        <v>0</v>
      </c>
      <c r="T1001" s="37" t="str">
        <f aca="false">IF($A1001="","",IF($B1001="","NO ACCOUNT",IF($Q1001=0,"UNMAPPED",IF($R1001=-1,"OUTSIDE FY RANGE","OK"))))</f>
        <v/>
      </c>
      <c r="U1001" s="40" t="str">
        <f aca="false">IF($A1001="","",$B1001&amp;"|"&amp;TEXT($A1001,"yyyymmdd")&amp;"|"&amp;TEXT($I1001,"0.00"))</f>
        <v/>
      </c>
      <c r="V1001" s="35" t="str">
        <f aca="false">IF($A1001="","",COUNTIF($U$8:$U$5007,$U1001))</f>
        <v/>
      </c>
    </row>
    <row r="1002" customFormat="false" ht="15" hidden="false" customHeight="false" outlineLevel="0" collapsed="false">
      <c r="A1002" s="31"/>
      <c r="B1002" s="32"/>
      <c r="C1002" s="32"/>
      <c r="D1002" s="32"/>
      <c r="E1002" s="32"/>
      <c r="F1002" s="32"/>
      <c r="G1002" s="33"/>
      <c r="H1002" s="33"/>
      <c r="I1002" s="34" t="str">
        <f aca="false">IF($A1002="","",$G1002-$H1002)</f>
        <v/>
      </c>
      <c r="J1002" s="35" t="str">
        <f aca="false">IF($A1002="","",IF(Setup!$B$6=1,YEAR($A1002),YEAR($A1002)+IF(MONTH($A1002)&gt;=Setup!$B$6,1,0)))</f>
        <v/>
      </c>
      <c r="K1002" s="35" t="str">
        <f aca="false">IF($A1002="","",MOD(MONTH($A1002)-Setup!$B$6+12,12)+1)</f>
        <v/>
      </c>
      <c r="L1002" s="36" t="str">
        <f aca="false">IF($A1002="","",TEXT($A1002,"MMM-YY"))</f>
        <v/>
      </c>
      <c r="M1002" s="37" t="str">
        <f aca="false">IF($A1002="","",IF($Q1002=0,"UNMAPPED",INDEX(COA_Mapping!$C$7:$C$256,$Q1002)))</f>
        <v/>
      </c>
      <c r="N1002" s="38" t="str">
        <f aca="false">IF($A1002="","",IF($Q1002=0,"",INDEX(COA_Mapping!$E$7:$E$256,$Q1002)))</f>
        <v/>
      </c>
      <c r="O1002" s="38" t="n">
        <f aca="false">IF($A1002="",1,IF($Q1002=0,1,INDEX(COA_Mapping!$F$7:$F$256,$Q1002)))</f>
        <v>1</v>
      </c>
      <c r="P1002" s="34" t="str">
        <f aca="false">IF($A1002="","",$I1002*$O1002)</f>
        <v/>
      </c>
      <c r="Q1002" s="39" t="n">
        <f aca="false">IF($B1002="",0,IFERROR(MATCH($B1002,COA_Mapping!$A$7:$A$256,0),0))</f>
        <v>0</v>
      </c>
      <c r="R1002" s="39" t="n">
        <f aca="false">IF($A1002="",-1,IF($J1002=Setup!$B$7,1,IF($J1002=Setup!$B$9,0,-1)))</f>
        <v>-1</v>
      </c>
      <c r="S1002" s="35" t="n">
        <f aca="false">IF(OR($A1002="",$Q1002=0,$R1002=-1),0,$Q1002*1000+$R1002*100+$K1002)</f>
        <v>0</v>
      </c>
      <c r="T1002" s="37" t="str">
        <f aca="false">IF($A1002="","",IF($B1002="","NO ACCOUNT",IF($Q1002=0,"UNMAPPED",IF($R1002=-1,"OUTSIDE FY RANGE","OK"))))</f>
        <v/>
      </c>
      <c r="U1002" s="40" t="str">
        <f aca="false">IF($A1002="","",$B1002&amp;"|"&amp;TEXT($A1002,"yyyymmdd")&amp;"|"&amp;TEXT($I1002,"0.00"))</f>
        <v/>
      </c>
      <c r="V1002" s="35" t="str">
        <f aca="false">IF($A1002="","",COUNTIF($U$8:$U$5007,$U1002))</f>
        <v/>
      </c>
    </row>
    <row r="1003" customFormat="false" ht="15" hidden="false" customHeight="false" outlineLevel="0" collapsed="false">
      <c r="A1003" s="31"/>
      <c r="B1003" s="32"/>
      <c r="C1003" s="32"/>
      <c r="D1003" s="32"/>
      <c r="E1003" s="32"/>
      <c r="F1003" s="32"/>
      <c r="G1003" s="33"/>
      <c r="H1003" s="33"/>
      <c r="I1003" s="34" t="str">
        <f aca="false">IF($A1003="","",$G1003-$H1003)</f>
        <v/>
      </c>
      <c r="J1003" s="35" t="str">
        <f aca="false">IF($A1003="","",IF(Setup!$B$6=1,YEAR($A1003),YEAR($A1003)+IF(MONTH($A1003)&gt;=Setup!$B$6,1,0)))</f>
        <v/>
      </c>
      <c r="K1003" s="35" t="str">
        <f aca="false">IF($A1003="","",MOD(MONTH($A1003)-Setup!$B$6+12,12)+1)</f>
        <v/>
      </c>
      <c r="L1003" s="36" t="str">
        <f aca="false">IF($A1003="","",TEXT($A1003,"MMM-YY"))</f>
        <v/>
      </c>
      <c r="M1003" s="37" t="str">
        <f aca="false">IF($A1003="","",IF($Q1003=0,"UNMAPPED",INDEX(COA_Mapping!$C$7:$C$256,$Q1003)))</f>
        <v/>
      </c>
      <c r="N1003" s="38" t="str">
        <f aca="false">IF($A1003="","",IF($Q1003=0,"",INDEX(COA_Mapping!$E$7:$E$256,$Q1003)))</f>
        <v/>
      </c>
      <c r="O1003" s="38" t="n">
        <f aca="false">IF($A1003="",1,IF($Q1003=0,1,INDEX(COA_Mapping!$F$7:$F$256,$Q1003)))</f>
        <v>1</v>
      </c>
      <c r="P1003" s="34" t="str">
        <f aca="false">IF($A1003="","",$I1003*$O1003)</f>
        <v/>
      </c>
      <c r="Q1003" s="39" t="n">
        <f aca="false">IF($B1003="",0,IFERROR(MATCH($B1003,COA_Mapping!$A$7:$A$256,0),0))</f>
        <v>0</v>
      </c>
      <c r="R1003" s="39" t="n">
        <f aca="false">IF($A1003="",-1,IF($J1003=Setup!$B$7,1,IF($J1003=Setup!$B$9,0,-1)))</f>
        <v>-1</v>
      </c>
      <c r="S1003" s="35" t="n">
        <f aca="false">IF(OR($A1003="",$Q1003=0,$R1003=-1),0,$Q1003*1000+$R1003*100+$K1003)</f>
        <v>0</v>
      </c>
      <c r="T1003" s="37" t="str">
        <f aca="false">IF($A1003="","",IF($B1003="","NO ACCOUNT",IF($Q1003=0,"UNMAPPED",IF($R1003=-1,"OUTSIDE FY RANGE","OK"))))</f>
        <v/>
      </c>
      <c r="U1003" s="40" t="str">
        <f aca="false">IF($A1003="","",$B1003&amp;"|"&amp;TEXT($A1003,"yyyymmdd")&amp;"|"&amp;TEXT($I1003,"0.00"))</f>
        <v/>
      </c>
      <c r="V1003" s="35" t="str">
        <f aca="false">IF($A1003="","",COUNTIF($U$8:$U$5007,$U1003))</f>
        <v/>
      </c>
    </row>
    <row r="1004" customFormat="false" ht="15" hidden="false" customHeight="false" outlineLevel="0" collapsed="false">
      <c r="A1004" s="31"/>
      <c r="B1004" s="32"/>
      <c r="C1004" s="32"/>
      <c r="D1004" s="32"/>
      <c r="E1004" s="32"/>
      <c r="F1004" s="32"/>
      <c r="G1004" s="33"/>
      <c r="H1004" s="33"/>
      <c r="I1004" s="34" t="str">
        <f aca="false">IF($A1004="","",$G1004-$H1004)</f>
        <v/>
      </c>
      <c r="J1004" s="35" t="str">
        <f aca="false">IF($A1004="","",IF(Setup!$B$6=1,YEAR($A1004),YEAR($A1004)+IF(MONTH($A1004)&gt;=Setup!$B$6,1,0)))</f>
        <v/>
      </c>
      <c r="K1004" s="35" t="str">
        <f aca="false">IF($A1004="","",MOD(MONTH($A1004)-Setup!$B$6+12,12)+1)</f>
        <v/>
      </c>
      <c r="L1004" s="36" t="str">
        <f aca="false">IF($A1004="","",TEXT($A1004,"MMM-YY"))</f>
        <v/>
      </c>
      <c r="M1004" s="37" t="str">
        <f aca="false">IF($A1004="","",IF($Q1004=0,"UNMAPPED",INDEX(COA_Mapping!$C$7:$C$256,$Q1004)))</f>
        <v/>
      </c>
      <c r="N1004" s="38" t="str">
        <f aca="false">IF($A1004="","",IF($Q1004=0,"",INDEX(COA_Mapping!$E$7:$E$256,$Q1004)))</f>
        <v/>
      </c>
      <c r="O1004" s="38" t="n">
        <f aca="false">IF($A1004="",1,IF($Q1004=0,1,INDEX(COA_Mapping!$F$7:$F$256,$Q1004)))</f>
        <v>1</v>
      </c>
      <c r="P1004" s="34" t="str">
        <f aca="false">IF($A1004="","",$I1004*$O1004)</f>
        <v/>
      </c>
      <c r="Q1004" s="39" t="n">
        <f aca="false">IF($B1004="",0,IFERROR(MATCH($B1004,COA_Mapping!$A$7:$A$256,0),0))</f>
        <v>0</v>
      </c>
      <c r="R1004" s="39" t="n">
        <f aca="false">IF($A1004="",-1,IF($J1004=Setup!$B$7,1,IF($J1004=Setup!$B$9,0,-1)))</f>
        <v>-1</v>
      </c>
      <c r="S1004" s="35" t="n">
        <f aca="false">IF(OR($A1004="",$Q1004=0,$R1004=-1),0,$Q1004*1000+$R1004*100+$K1004)</f>
        <v>0</v>
      </c>
      <c r="T1004" s="37" t="str">
        <f aca="false">IF($A1004="","",IF($B1004="","NO ACCOUNT",IF($Q1004=0,"UNMAPPED",IF($R1004=-1,"OUTSIDE FY RANGE","OK"))))</f>
        <v/>
      </c>
      <c r="U1004" s="40" t="str">
        <f aca="false">IF($A1004="","",$B1004&amp;"|"&amp;TEXT($A1004,"yyyymmdd")&amp;"|"&amp;TEXT($I1004,"0.00"))</f>
        <v/>
      </c>
      <c r="V1004" s="35" t="str">
        <f aca="false">IF($A1004="","",COUNTIF($U$8:$U$5007,$U1004))</f>
        <v/>
      </c>
    </row>
    <row r="1005" customFormat="false" ht="15" hidden="false" customHeight="false" outlineLevel="0" collapsed="false">
      <c r="A1005" s="31"/>
      <c r="B1005" s="32"/>
      <c r="C1005" s="32"/>
      <c r="D1005" s="32"/>
      <c r="E1005" s="32"/>
      <c r="F1005" s="32"/>
      <c r="G1005" s="33"/>
      <c r="H1005" s="33"/>
      <c r="I1005" s="34" t="str">
        <f aca="false">IF($A1005="","",$G1005-$H1005)</f>
        <v/>
      </c>
      <c r="J1005" s="35" t="str">
        <f aca="false">IF($A1005="","",IF(Setup!$B$6=1,YEAR($A1005),YEAR($A1005)+IF(MONTH($A1005)&gt;=Setup!$B$6,1,0)))</f>
        <v/>
      </c>
      <c r="K1005" s="35" t="str">
        <f aca="false">IF($A1005="","",MOD(MONTH($A1005)-Setup!$B$6+12,12)+1)</f>
        <v/>
      </c>
      <c r="L1005" s="36" t="str">
        <f aca="false">IF($A1005="","",TEXT($A1005,"MMM-YY"))</f>
        <v/>
      </c>
      <c r="M1005" s="37" t="str">
        <f aca="false">IF($A1005="","",IF($Q1005=0,"UNMAPPED",INDEX(COA_Mapping!$C$7:$C$256,$Q1005)))</f>
        <v/>
      </c>
      <c r="N1005" s="38" t="str">
        <f aca="false">IF($A1005="","",IF($Q1005=0,"",INDEX(COA_Mapping!$E$7:$E$256,$Q1005)))</f>
        <v/>
      </c>
      <c r="O1005" s="38" t="n">
        <f aca="false">IF($A1005="",1,IF($Q1005=0,1,INDEX(COA_Mapping!$F$7:$F$256,$Q1005)))</f>
        <v>1</v>
      </c>
      <c r="P1005" s="34" t="str">
        <f aca="false">IF($A1005="","",$I1005*$O1005)</f>
        <v/>
      </c>
      <c r="Q1005" s="39" t="n">
        <f aca="false">IF($B1005="",0,IFERROR(MATCH($B1005,COA_Mapping!$A$7:$A$256,0),0))</f>
        <v>0</v>
      </c>
      <c r="R1005" s="39" t="n">
        <f aca="false">IF($A1005="",-1,IF($J1005=Setup!$B$7,1,IF($J1005=Setup!$B$9,0,-1)))</f>
        <v>-1</v>
      </c>
      <c r="S1005" s="35" t="n">
        <f aca="false">IF(OR($A1005="",$Q1005=0,$R1005=-1),0,$Q1005*1000+$R1005*100+$K1005)</f>
        <v>0</v>
      </c>
      <c r="T1005" s="37" t="str">
        <f aca="false">IF($A1005="","",IF($B1005="","NO ACCOUNT",IF($Q1005=0,"UNMAPPED",IF($R1005=-1,"OUTSIDE FY RANGE","OK"))))</f>
        <v/>
      </c>
      <c r="U1005" s="40" t="str">
        <f aca="false">IF($A1005="","",$B1005&amp;"|"&amp;TEXT($A1005,"yyyymmdd")&amp;"|"&amp;TEXT($I1005,"0.00"))</f>
        <v/>
      </c>
      <c r="V1005" s="35" t="str">
        <f aca="false">IF($A1005="","",COUNTIF($U$8:$U$5007,$U1005))</f>
        <v/>
      </c>
    </row>
    <row r="1006" customFormat="false" ht="15" hidden="false" customHeight="false" outlineLevel="0" collapsed="false">
      <c r="A1006" s="31"/>
      <c r="B1006" s="32"/>
      <c r="C1006" s="32"/>
      <c r="D1006" s="32"/>
      <c r="E1006" s="32"/>
      <c r="F1006" s="32"/>
      <c r="G1006" s="33"/>
      <c r="H1006" s="33"/>
      <c r="I1006" s="34" t="str">
        <f aca="false">IF($A1006="","",$G1006-$H1006)</f>
        <v/>
      </c>
      <c r="J1006" s="35" t="str">
        <f aca="false">IF($A1006="","",IF(Setup!$B$6=1,YEAR($A1006),YEAR($A1006)+IF(MONTH($A1006)&gt;=Setup!$B$6,1,0)))</f>
        <v/>
      </c>
      <c r="K1006" s="35" t="str">
        <f aca="false">IF($A1006="","",MOD(MONTH($A1006)-Setup!$B$6+12,12)+1)</f>
        <v/>
      </c>
      <c r="L1006" s="36" t="str">
        <f aca="false">IF($A1006="","",TEXT($A1006,"MMM-YY"))</f>
        <v/>
      </c>
      <c r="M1006" s="37" t="str">
        <f aca="false">IF($A1006="","",IF($Q1006=0,"UNMAPPED",INDEX(COA_Mapping!$C$7:$C$256,$Q1006)))</f>
        <v/>
      </c>
      <c r="N1006" s="38" t="str">
        <f aca="false">IF($A1006="","",IF($Q1006=0,"",INDEX(COA_Mapping!$E$7:$E$256,$Q1006)))</f>
        <v/>
      </c>
      <c r="O1006" s="38" t="n">
        <f aca="false">IF($A1006="",1,IF($Q1006=0,1,INDEX(COA_Mapping!$F$7:$F$256,$Q1006)))</f>
        <v>1</v>
      </c>
      <c r="P1006" s="34" t="str">
        <f aca="false">IF($A1006="","",$I1006*$O1006)</f>
        <v/>
      </c>
      <c r="Q1006" s="39" t="n">
        <f aca="false">IF($B1006="",0,IFERROR(MATCH($B1006,COA_Mapping!$A$7:$A$256,0),0))</f>
        <v>0</v>
      </c>
      <c r="R1006" s="39" t="n">
        <f aca="false">IF($A1006="",-1,IF($J1006=Setup!$B$7,1,IF($J1006=Setup!$B$9,0,-1)))</f>
        <v>-1</v>
      </c>
      <c r="S1006" s="35" t="n">
        <f aca="false">IF(OR($A1006="",$Q1006=0,$R1006=-1),0,$Q1006*1000+$R1006*100+$K1006)</f>
        <v>0</v>
      </c>
      <c r="T1006" s="37" t="str">
        <f aca="false">IF($A1006="","",IF($B1006="","NO ACCOUNT",IF($Q1006=0,"UNMAPPED",IF($R1006=-1,"OUTSIDE FY RANGE","OK"))))</f>
        <v/>
      </c>
      <c r="U1006" s="40" t="str">
        <f aca="false">IF($A1006="","",$B1006&amp;"|"&amp;TEXT($A1006,"yyyymmdd")&amp;"|"&amp;TEXT($I1006,"0.00"))</f>
        <v/>
      </c>
      <c r="V1006" s="35" t="str">
        <f aca="false">IF($A1006="","",COUNTIF($U$8:$U$5007,$U1006))</f>
        <v/>
      </c>
    </row>
    <row r="1007" customFormat="false" ht="15" hidden="false" customHeight="false" outlineLevel="0" collapsed="false">
      <c r="A1007" s="31"/>
      <c r="B1007" s="32"/>
      <c r="C1007" s="32"/>
      <c r="D1007" s="32"/>
      <c r="E1007" s="32"/>
      <c r="F1007" s="32"/>
      <c r="G1007" s="33"/>
      <c r="H1007" s="33"/>
      <c r="I1007" s="34" t="str">
        <f aca="false">IF($A1007="","",$G1007-$H1007)</f>
        <v/>
      </c>
      <c r="J1007" s="35" t="str">
        <f aca="false">IF($A1007="","",IF(Setup!$B$6=1,YEAR($A1007),YEAR($A1007)+IF(MONTH($A1007)&gt;=Setup!$B$6,1,0)))</f>
        <v/>
      </c>
      <c r="K1007" s="35" t="str">
        <f aca="false">IF($A1007="","",MOD(MONTH($A1007)-Setup!$B$6+12,12)+1)</f>
        <v/>
      </c>
      <c r="L1007" s="36" t="str">
        <f aca="false">IF($A1007="","",TEXT($A1007,"MMM-YY"))</f>
        <v/>
      </c>
      <c r="M1007" s="37" t="str">
        <f aca="false">IF($A1007="","",IF($Q1007=0,"UNMAPPED",INDEX(COA_Mapping!$C$7:$C$256,$Q1007)))</f>
        <v/>
      </c>
      <c r="N1007" s="38" t="str">
        <f aca="false">IF($A1007="","",IF($Q1007=0,"",INDEX(COA_Mapping!$E$7:$E$256,$Q1007)))</f>
        <v/>
      </c>
      <c r="O1007" s="38" t="n">
        <f aca="false">IF($A1007="",1,IF($Q1007=0,1,INDEX(COA_Mapping!$F$7:$F$256,$Q1007)))</f>
        <v>1</v>
      </c>
      <c r="P1007" s="34" t="str">
        <f aca="false">IF($A1007="","",$I1007*$O1007)</f>
        <v/>
      </c>
      <c r="Q1007" s="39" t="n">
        <f aca="false">IF($B1007="",0,IFERROR(MATCH($B1007,COA_Mapping!$A$7:$A$256,0),0))</f>
        <v>0</v>
      </c>
      <c r="R1007" s="39" t="n">
        <f aca="false">IF($A1007="",-1,IF($J1007=Setup!$B$7,1,IF($J1007=Setup!$B$9,0,-1)))</f>
        <v>-1</v>
      </c>
      <c r="S1007" s="35" t="n">
        <f aca="false">IF(OR($A1007="",$Q1007=0,$R1007=-1),0,$Q1007*1000+$R1007*100+$K1007)</f>
        <v>0</v>
      </c>
      <c r="T1007" s="37" t="str">
        <f aca="false">IF($A1007="","",IF($B1007="","NO ACCOUNT",IF($Q1007=0,"UNMAPPED",IF($R1007=-1,"OUTSIDE FY RANGE","OK"))))</f>
        <v/>
      </c>
      <c r="U1007" s="40" t="str">
        <f aca="false">IF($A1007="","",$B1007&amp;"|"&amp;TEXT($A1007,"yyyymmdd")&amp;"|"&amp;TEXT($I1007,"0.00"))</f>
        <v/>
      </c>
      <c r="V1007" s="35" t="str">
        <f aca="false">IF($A1007="","",COUNTIF($U$8:$U$5007,$U1007))</f>
        <v/>
      </c>
    </row>
    <row r="1008" customFormat="false" ht="15" hidden="false" customHeight="false" outlineLevel="0" collapsed="false">
      <c r="A1008" s="31"/>
      <c r="B1008" s="32"/>
      <c r="C1008" s="32"/>
      <c r="D1008" s="32"/>
      <c r="E1008" s="32"/>
      <c r="F1008" s="32"/>
      <c r="G1008" s="33"/>
      <c r="H1008" s="33"/>
      <c r="I1008" s="34" t="str">
        <f aca="false">IF($A1008="","",$G1008-$H1008)</f>
        <v/>
      </c>
      <c r="J1008" s="35" t="str">
        <f aca="false">IF($A1008="","",IF(Setup!$B$6=1,YEAR($A1008),YEAR($A1008)+IF(MONTH($A1008)&gt;=Setup!$B$6,1,0)))</f>
        <v/>
      </c>
      <c r="K1008" s="35" t="str">
        <f aca="false">IF($A1008="","",MOD(MONTH($A1008)-Setup!$B$6+12,12)+1)</f>
        <v/>
      </c>
      <c r="L1008" s="36" t="str">
        <f aca="false">IF($A1008="","",TEXT($A1008,"MMM-YY"))</f>
        <v/>
      </c>
      <c r="M1008" s="37" t="str">
        <f aca="false">IF($A1008="","",IF($Q1008=0,"UNMAPPED",INDEX(COA_Mapping!$C$7:$C$256,$Q1008)))</f>
        <v/>
      </c>
      <c r="N1008" s="38" t="str">
        <f aca="false">IF($A1008="","",IF($Q1008=0,"",INDEX(COA_Mapping!$E$7:$E$256,$Q1008)))</f>
        <v/>
      </c>
      <c r="O1008" s="38" t="n">
        <f aca="false">IF($A1008="",1,IF($Q1008=0,1,INDEX(COA_Mapping!$F$7:$F$256,$Q1008)))</f>
        <v>1</v>
      </c>
      <c r="P1008" s="34" t="str">
        <f aca="false">IF($A1008="","",$I1008*$O1008)</f>
        <v/>
      </c>
      <c r="Q1008" s="39" t="n">
        <f aca="false">IF($B1008="",0,IFERROR(MATCH($B1008,COA_Mapping!$A$7:$A$256,0),0))</f>
        <v>0</v>
      </c>
      <c r="R1008" s="39" t="n">
        <f aca="false">IF($A1008="",-1,IF($J1008=Setup!$B$7,1,IF($J1008=Setup!$B$9,0,-1)))</f>
        <v>-1</v>
      </c>
      <c r="S1008" s="35" t="n">
        <f aca="false">IF(OR($A1008="",$Q1008=0,$R1008=-1),0,$Q1008*1000+$R1008*100+$K1008)</f>
        <v>0</v>
      </c>
      <c r="T1008" s="37" t="str">
        <f aca="false">IF($A1008="","",IF($B1008="","NO ACCOUNT",IF($Q1008=0,"UNMAPPED",IF($R1008=-1,"OUTSIDE FY RANGE","OK"))))</f>
        <v/>
      </c>
      <c r="U1008" s="40" t="str">
        <f aca="false">IF($A1008="","",$B1008&amp;"|"&amp;TEXT($A1008,"yyyymmdd")&amp;"|"&amp;TEXT($I1008,"0.00"))</f>
        <v/>
      </c>
      <c r="V1008" s="35" t="str">
        <f aca="false">IF($A1008="","",COUNTIF($U$8:$U$5007,$U1008))</f>
        <v/>
      </c>
    </row>
    <row r="1009" customFormat="false" ht="15" hidden="false" customHeight="false" outlineLevel="0" collapsed="false">
      <c r="A1009" s="31"/>
      <c r="B1009" s="32"/>
      <c r="C1009" s="32"/>
      <c r="D1009" s="32"/>
      <c r="E1009" s="32"/>
      <c r="F1009" s="32"/>
      <c r="G1009" s="33"/>
      <c r="H1009" s="33"/>
      <c r="I1009" s="34" t="str">
        <f aca="false">IF($A1009="","",$G1009-$H1009)</f>
        <v/>
      </c>
      <c r="J1009" s="35" t="str">
        <f aca="false">IF($A1009="","",IF(Setup!$B$6=1,YEAR($A1009),YEAR($A1009)+IF(MONTH($A1009)&gt;=Setup!$B$6,1,0)))</f>
        <v/>
      </c>
      <c r="K1009" s="35" t="str">
        <f aca="false">IF($A1009="","",MOD(MONTH($A1009)-Setup!$B$6+12,12)+1)</f>
        <v/>
      </c>
      <c r="L1009" s="36" t="str">
        <f aca="false">IF($A1009="","",TEXT($A1009,"MMM-YY"))</f>
        <v/>
      </c>
      <c r="M1009" s="37" t="str">
        <f aca="false">IF($A1009="","",IF($Q1009=0,"UNMAPPED",INDEX(COA_Mapping!$C$7:$C$256,$Q1009)))</f>
        <v/>
      </c>
      <c r="N1009" s="38" t="str">
        <f aca="false">IF($A1009="","",IF($Q1009=0,"",INDEX(COA_Mapping!$E$7:$E$256,$Q1009)))</f>
        <v/>
      </c>
      <c r="O1009" s="38" t="n">
        <f aca="false">IF($A1009="",1,IF($Q1009=0,1,INDEX(COA_Mapping!$F$7:$F$256,$Q1009)))</f>
        <v>1</v>
      </c>
      <c r="P1009" s="34" t="str">
        <f aca="false">IF($A1009="","",$I1009*$O1009)</f>
        <v/>
      </c>
      <c r="Q1009" s="39" t="n">
        <f aca="false">IF($B1009="",0,IFERROR(MATCH($B1009,COA_Mapping!$A$7:$A$256,0),0))</f>
        <v>0</v>
      </c>
      <c r="R1009" s="39" t="n">
        <f aca="false">IF($A1009="",-1,IF($J1009=Setup!$B$7,1,IF($J1009=Setup!$B$9,0,-1)))</f>
        <v>-1</v>
      </c>
      <c r="S1009" s="35" t="n">
        <f aca="false">IF(OR($A1009="",$Q1009=0,$R1009=-1),0,$Q1009*1000+$R1009*100+$K1009)</f>
        <v>0</v>
      </c>
      <c r="T1009" s="37" t="str">
        <f aca="false">IF($A1009="","",IF($B1009="","NO ACCOUNT",IF($Q1009=0,"UNMAPPED",IF($R1009=-1,"OUTSIDE FY RANGE","OK"))))</f>
        <v/>
      </c>
      <c r="U1009" s="40" t="str">
        <f aca="false">IF($A1009="","",$B1009&amp;"|"&amp;TEXT($A1009,"yyyymmdd")&amp;"|"&amp;TEXT($I1009,"0.00"))</f>
        <v/>
      </c>
      <c r="V1009" s="35" t="str">
        <f aca="false">IF($A1009="","",COUNTIF($U$8:$U$5007,$U1009))</f>
        <v/>
      </c>
    </row>
    <row r="1010" customFormat="false" ht="15" hidden="false" customHeight="false" outlineLevel="0" collapsed="false">
      <c r="A1010" s="31"/>
      <c r="B1010" s="32"/>
      <c r="C1010" s="32"/>
      <c r="D1010" s="32"/>
      <c r="E1010" s="32"/>
      <c r="F1010" s="32"/>
      <c r="G1010" s="33"/>
      <c r="H1010" s="33"/>
      <c r="I1010" s="34" t="str">
        <f aca="false">IF($A1010="","",$G1010-$H1010)</f>
        <v/>
      </c>
      <c r="J1010" s="35" t="str">
        <f aca="false">IF($A1010="","",IF(Setup!$B$6=1,YEAR($A1010),YEAR($A1010)+IF(MONTH($A1010)&gt;=Setup!$B$6,1,0)))</f>
        <v/>
      </c>
      <c r="K1010" s="35" t="str">
        <f aca="false">IF($A1010="","",MOD(MONTH($A1010)-Setup!$B$6+12,12)+1)</f>
        <v/>
      </c>
      <c r="L1010" s="36" t="str">
        <f aca="false">IF($A1010="","",TEXT($A1010,"MMM-YY"))</f>
        <v/>
      </c>
      <c r="M1010" s="37" t="str">
        <f aca="false">IF($A1010="","",IF($Q1010=0,"UNMAPPED",INDEX(COA_Mapping!$C$7:$C$256,$Q1010)))</f>
        <v/>
      </c>
      <c r="N1010" s="38" t="str">
        <f aca="false">IF($A1010="","",IF($Q1010=0,"",INDEX(COA_Mapping!$E$7:$E$256,$Q1010)))</f>
        <v/>
      </c>
      <c r="O1010" s="38" t="n">
        <f aca="false">IF($A1010="",1,IF($Q1010=0,1,INDEX(COA_Mapping!$F$7:$F$256,$Q1010)))</f>
        <v>1</v>
      </c>
      <c r="P1010" s="34" t="str">
        <f aca="false">IF($A1010="","",$I1010*$O1010)</f>
        <v/>
      </c>
      <c r="Q1010" s="39" t="n">
        <f aca="false">IF($B1010="",0,IFERROR(MATCH($B1010,COA_Mapping!$A$7:$A$256,0),0))</f>
        <v>0</v>
      </c>
      <c r="R1010" s="39" t="n">
        <f aca="false">IF($A1010="",-1,IF($J1010=Setup!$B$7,1,IF($J1010=Setup!$B$9,0,-1)))</f>
        <v>-1</v>
      </c>
      <c r="S1010" s="35" t="n">
        <f aca="false">IF(OR($A1010="",$Q1010=0,$R1010=-1),0,$Q1010*1000+$R1010*100+$K1010)</f>
        <v>0</v>
      </c>
      <c r="T1010" s="37" t="str">
        <f aca="false">IF($A1010="","",IF($B1010="","NO ACCOUNT",IF($Q1010=0,"UNMAPPED",IF($R1010=-1,"OUTSIDE FY RANGE","OK"))))</f>
        <v/>
      </c>
      <c r="U1010" s="40" t="str">
        <f aca="false">IF($A1010="","",$B1010&amp;"|"&amp;TEXT($A1010,"yyyymmdd")&amp;"|"&amp;TEXT($I1010,"0.00"))</f>
        <v/>
      </c>
      <c r="V1010" s="35" t="str">
        <f aca="false">IF($A1010="","",COUNTIF($U$8:$U$5007,$U1010))</f>
        <v/>
      </c>
    </row>
    <row r="1011" customFormat="false" ht="15" hidden="false" customHeight="false" outlineLevel="0" collapsed="false">
      <c r="A1011" s="31"/>
      <c r="B1011" s="32"/>
      <c r="C1011" s="32"/>
      <c r="D1011" s="32"/>
      <c r="E1011" s="32"/>
      <c r="F1011" s="32"/>
      <c r="G1011" s="33"/>
      <c r="H1011" s="33"/>
      <c r="I1011" s="34" t="str">
        <f aca="false">IF($A1011="","",$G1011-$H1011)</f>
        <v/>
      </c>
      <c r="J1011" s="35" t="str">
        <f aca="false">IF($A1011="","",IF(Setup!$B$6=1,YEAR($A1011),YEAR($A1011)+IF(MONTH($A1011)&gt;=Setup!$B$6,1,0)))</f>
        <v/>
      </c>
      <c r="K1011" s="35" t="str">
        <f aca="false">IF($A1011="","",MOD(MONTH($A1011)-Setup!$B$6+12,12)+1)</f>
        <v/>
      </c>
      <c r="L1011" s="36" t="str">
        <f aca="false">IF($A1011="","",TEXT($A1011,"MMM-YY"))</f>
        <v/>
      </c>
      <c r="M1011" s="37" t="str">
        <f aca="false">IF($A1011="","",IF($Q1011=0,"UNMAPPED",INDEX(COA_Mapping!$C$7:$C$256,$Q1011)))</f>
        <v/>
      </c>
      <c r="N1011" s="38" t="str">
        <f aca="false">IF($A1011="","",IF($Q1011=0,"",INDEX(COA_Mapping!$E$7:$E$256,$Q1011)))</f>
        <v/>
      </c>
      <c r="O1011" s="38" t="n">
        <f aca="false">IF($A1011="",1,IF($Q1011=0,1,INDEX(COA_Mapping!$F$7:$F$256,$Q1011)))</f>
        <v>1</v>
      </c>
      <c r="P1011" s="34" t="str">
        <f aca="false">IF($A1011="","",$I1011*$O1011)</f>
        <v/>
      </c>
      <c r="Q1011" s="39" t="n">
        <f aca="false">IF($B1011="",0,IFERROR(MATCH($B1011,COA_Mapping!$A$7:$A$256,0),0))</f>
        <v>0</v>
      </c>
      <c r="R1011" s="39" t="n">
        <f aca="false">IF($A1011="",-1,IF($J1011=Setup!$B$7,1,IF($J1011=Setup!$B$9,0,-1)))</f>
        <v>-1</v>
      </c>
      <c r="S1011" s="35" t="n">
        <f aca="false">IF(OR($A1011="",$Q1011=0,$R1011=-1),0,$Q1011*1000+$R1011*100+$K1011)</f>
        <v>0</v>
      </c>
      <c r="T1011" s="37" t="str">
        <f aca="false">IF($A1011="","",IF($B1011="","NO ACCOUNT",IF($Q1011=0,"UNMAPPED",IF($R1011=-1,"OUTSIDE FY RANGE","OK"))))</f>
        <v/>
      </c>
      <c r="U1011" s="40" t="str">
        <f aca="false">IF($A1011="","",$B1011&amp;"|"&amp;TEXT($A1011,"yyyymmdd")&amp;"|"&amp;TEXT($I1011,"0.00"))</f>
        <v/>
      </c>
      <c r="V1011" s="35" t="str">
        <f aca="false">IF($A1011="","",COUNTIF($U$8:$U$5007,$U1011))</f>
        <v/>
      </c>
    </row>
    <row r="1012" customFormat="false" ht="15" hidden="false" customHeight="false" outlineLevel="0" collapsed="false">
      <c r="A1012" s="31"/>
      <c r="B1012" s="32"/>
      <c r="C1012" s="32"/>
      <c r="D1012" s="32"/>
      <c r="E1012" s="32"/>
      <c r="F1012" s="32"/>
      <c r="G1012" s="33"/>
      <c r="H1012" s="33"/>
      <c r="I1012" s="34" t="str">
        <f aca="false">IF($A1012="","",$G1012-$H1012)</f>
        <v/>
      </c>
      <c r="J1012" s="35" t="str">
        <f aca="false">IF($A1012="","",IF(Setup!$B$6=1,YEAR($A1012),YEAR($A1012)+IF(MONTH($A1012)&gt;=Setup!$B$6,1,0)))</f>
        <v/>
      </c>
      <c r="K1012" s="35" t="str">
        <f aca="false">IF($A1012="","",MOD(MONTH($A1012)-Setup!$B$6+12,12)+1)</f>
        <v/>
      </c>
      <c r="L1012" s="36" t="str">
        <f aca="false">IF($A1012="","",TEXT($A1012,"MMM-YY"))</f>
        <v/>
      </c>
      <c r="M1012" s="37" t="str">
        <f aca="false">IF($A1012="","",IF($Q1012=0,"UNMAPPED",INDEX(COA_Mapping!$C$7:$C$256,$Q1012)))</f>
        <v/>
      </c>
      <c r="N1012" s="38" t="str">
        <f aca="false">IF($A1012="","",IF($Q1012=0,"",INDEX(COA_Mapping!$E$7:$E$256,$Q1012)))</f>
        <v/>
      </c>
      <c r="O1012" s="38" t="n">
        <f aca="false">IF($A1012="",1,IF($Q1012=0,1,INDEX(COA_Mapping!$F$7:$F$256,$Q1012)))</f>
        <v>1</v>
      </c>
      <c r="P1012" s="34" t="str">
        <f aca="false">IF($A1012="","",$I1012*$O1012)</f>
        <v/>
      </c>
      <c r="Q1012" s="39" t="n">
        <f aca="false">IF($B1012="",0,IFERROR(MATCH($B1012,COA_Mapping!$A$7:$A$256,0),0))</f>
        <v>0</v>
      </c>
      <c r="R1012" s="39" t="n">
        <f aca="false">IF($A1012="",-1,IF($J1012=Setup!$B$7,1,IF($J1012=Setup!$B$9,0,-1)))</f>
        <v>-1</v>
      </c>
      <c r="S1012" s="35" t="n">
        <f aca="false">IF(OR($A1012="",$Q1012=0,$R1012=-1),0,$Q1012*1000+$R1012*100+$K1012)</f>
        <v>0</v>
      </c>
      <c r="T1012" s="37" t="str">
        <f aca="false">IF($A1012="","",IF($B1012="","NO ACCOUNT",IF($Q1012=0,"UNMAPPED",IF($R1012=-1,"OUTSIDE FY RANGE","OK"))))</f>
        <v/>
      </c>
      <c r="U1012" s="40" t="str">
        <f aca="false">IF($A1012="","",$B1012&amp;"|"&amp;TEXT($A1012,"yyyymmdd")&amp;"|"&amp;TEXT($I1012,"0.00"))</f>
        <v/>
      </c>
      <c r="V1012" s="35" t="str">
        <f aca="false">IF($A1012="","",COUNTIF($U$8:$U$5007,$U1012))</f>
        <v/>
      </c>
    </row>
    <row r="1013" customFormat="false" ht="15" hidden="false" customHeight="false" outlineLevel="0" collapsed="false">
      <c r="A1013" s="31"/>
      <c r="B1013" s="32"/>
      <c r="C1013" s="32"/>
      <c r="D1013" s="32"/>
      <c r="E1013" s="32"/>
      <c r="F1013" s="32"/>
      <c r="G1013" s="33"/>
      <c r="H1013" s="33"/>
      <c r="I1013" s="34" t="str">
        <f aca="false">IF($A1013="","",$G1013-$H1013)</f>
        <v/>
      </c>
      <c r="J1013" s="35" t="str">
        <f aca="false">IF($A1013="","",IF(Setup!$B$6=1,YEAR($A1013),YEAR($A1013)+IF(MONTH($A1013)&gt;=Setup!$B$6,1,0)))</f>
        <v/>
      </c>
      <c r="K1013" s="35" t="str">
        <f aca="false">IF($A1013="","",MOD(MONTH($A1013)-Setup!$B$6+12,12)+1)</f>
        <v/>
      </c>
      <c r="L1013" s="36" t="str">
        <f aca="false">IF($A1013="","",TEXT($A1013,"MMM-YY"))</f>
        <v/>
      </c>
      <c r="M1013" s="37" t="str">
        <f aca="false">IF($A1013="","",IF($Q1013=0,"UNMAPPED",INDEX(COA_Mapping!$C$7:$C$256,$Q1013)))</f>
        <v/>
      </c>
      <c r="N1013" s="38" t="str">
        <f aca="false">IF($A1013="","",IF($Q1013=0,"",INDEX(COA_Mapping!$E$7:$E$256,$Q1013)))</f>
        <v/>
      </c>
      <c r="O1013" s="38" t="n">
        <f aca="false">IF($A1013="",1,IF($Q1013=0,1,INDEX(COA_Mapping!$F$7:$F$256,$Q1013)))</f>
        <v>1</v>
      </c>
      <c r="P1013" s="34" t="str">
        <f aca="false">IF($A1013="","",$I1013*$O1013)</f>
        <v/>
      </c>
      <c r="Q1013" s="39" t="n">
        <f aca="false">IF($B1013="",0,IFERROR(MATCH($B1013,COA_Mapping!$A$7:$A$256,0),0))</f>
        <v>0</v>
      </c>
      <c r="R1013" s="39" t="n">
        <f aca="false">IF($A1013="",-1,IF($J1013=Setup!$B$7,1,IF($J1013=Setup!$B$9,0,-1)))</f>
        <v>-1</v>
      </c>
      <c r="S1013" s="35" t="n">
        <f aca="false">IF(OR($A1013="",$Q1013=0,$R1013=-1),0,$Q1013*1000+$R1013*100+$K1013)</f>
        <v>0</v>
      </c>
      <c r="T1013" s="37" t="str">
        <f aca="false">IF($A1013="","",IF($B1013="","NO ACCOUNT",IF($Q1013=0,"UNMAPPED",IF($R1013=-1,"OUTSIDE FY RANGE","OK"))))</f>
        <v/>
      </c>
      <c r="U1013" s="40" t="str">
        <f aca="false">IF($A1013="","",$B1013&amp;"|"&amp;TEXT($A1013,"yyyymmdd")&amp;"|"&amp;TEXT($I1013,"0.00"))</f>
        <v/>
      </c>
      <c r="V1013" s="35" t="str">
        <f aca="false">IF($A1013="","",COUNTIF($U$8:$U$5007,$U1013))</f>
        <v/>
      </c>
    </row>
    <row r="1014" customFormat="false" ht="15" hidden="false" customHeight="false" outlineLevel="0" collapsed="false">
      <c r="A1014" s="31"/>
      <c r="B1014" s="32"/>
      <c r="C1014" s="32"/>
      <c r="D1014" s="32"/>
      <c r="E1014" s="32"/>
      <c r="F1014" s="32"/>
      <c r="G1014" s="33"/>
      <c r="H1014" s="33"/>
      <c r="I1014" s="34" t="str">
        <f aca="false">IF($A1014="","",$G1014-$H1014)</f>
        <v/>
      </c>
      <c r="J1014" s="35" t="str">
        <f aca="false">IF($A1014="","",IF(Setup!$B$6=1,YEAR($A1014),YEAR($A1014)+IF(MONTH($A1014)&gt;=Setup!$B$6,1,0)))</f>
        <v/>
      </c>
      <c r="K1014" s="35" t="str">
        <f aca="false">IF($A1014="","",MOD(MONTH($A1014)-Setup!$B$6+12,12)+1)</f>
        <v/>
      </c>
      <c r="L1014" s="36" t="str">
        <f aca="false">IF($A1014="","",TEXT($A1014,"MMM-YY"))</f>
        <v/>
      </c>
      <c r="M1014" s="37" t="str">
        <f aca="false">IF($A1014="","",IF($Q1014=0,"UNMAPPED",INDEX(COA_Mapping!$C$7:$C$256,$Q1014)))</f>
        <v/>
      </c>
      <c r="N1014" s="38" t="str">
        <f aca="false">IF($A1014="","",IF($Q1014=0,"",INDEX(COA_Mapping!$E$7:$E$256,$Q1014)))</f>
        <v/>
      </c>
      <c r="O1014" s="38" t="n">
        <f aca="false">IF($A1014="",1,IF($Q1014=0,1,INDEX(COA_Mapping!$F$7:$F$256,$Q1014)))</f>
        <v>1</v>
      </c>
      <c r="P1014" s="34" t="str">
        <f aca="false">IF($A1014="","",$I1014*$O1014)</f>
        <v/>
      </c>
      <c r="Q1014" s="39" t="n">
        <f aca="false">IF($B1014="",0,IFERROR(MATCH($B1014,COA_Mapping!$A$7:$A$256,0),0))</f>
        <v>0</v>
      </c>
      <c r="R1014" s="39" t="n">
        <f aca="false">IF($A1014="",-1,IF($J1014=Setup!$B$7,1,IF($J1014=Setup!$B$9,0,-1)))</f>
        <v>-1</v>
      </c>
      <c r="S1014" s="35" t="n">
        <f aca="false">IF(OR($A1014="",$Q1014=0,$R1014=-1),0,$Q1014*1000+$R1014*100+$K1014)</f>
        <v>0</v>
      </c>
      <c r="T1014" s="37" t="str">
        <f aca="false">IF($A1014="","",IF($B1014="","NO ACCOUNT",IF($Q1014=0,"UNMAPPED",IF($R1014=-1,"OUTSIDE FY RANGE","OK"))))</f>
        <v/>
      </c>
      <c r="U1014" s="40" t="str">
        <f aca="false">IF($A1014="","",$B1014&amp;"|"&amp;TEXT($A1014,"yyyymmdd")&amp;"|"&amp;TEXT($I1014,"0.00"))</f>
        <v/>
      </c>
      <c r="V1014" s="35" t="str">
        <f aca="false">IF($A1014="","",COUNTIF($U$8:$U$5007,$U1014))</f>
        <v/>
      </c>
    </row>
    <row r="1015" customFormat="false" ht="15" hidden="false" customHeight="false" outlineLevel="0" collapsed="false">
      <c r="A1015" s="31"/>
      <c r="B1015" s="32"/>
      <c r="C1015" s="32"/>
      <c r="D1015" s="32"/>
      <c r="E1015" s="32"/>
      <c r="F1015" s="32"/>
      <c r="G1015" s="33"/>
      <c r="H1015" s="33"/>
      <c r="I1015" s="34" t="str">
        <f aca="false">IF($A1015="","",$G1015-$H1015)</f>
        <v/>
      </c>
      <c r="J1015" s="35" t="str">
        <f aca="false">IF($A1015="","",IF(Setup!$B$6=1,YEAR($A1015),YEAR($A1015)+IF(MONTH($A1015)&gt;=Setup!$B$6,1,0)))</f>
        <v/>
      </c>
      <c r="K1015" s="35" t="str">
        <f aca="false">IF($A1015="","",MOD(MONTH($A1015)-Setup!$B$6+12,12)+1)</f>
        <v/>
      </c>
      <c r="L1015" s="36" t="str">
        <f aca="false">IF($A1015="","",TEXT($A1015,"MMM-YY"))</f>
        <v/>
      </c>
      <c r="M1015" s="37" t="str">
        <f aca="false">IF($A1015="","",IF($Q1015=0,"UNMAPPED",INDEX(COA_Mapping!$C$7:$C$256,$Q1015)))</f>
        <v/>
      </c>
      <c r="N1015" s="38" t="str">
        <f aca="false">IF($A1015="","",IF($Q1015=0,"",INDEX(COA_Mapping!$E$7:$E$256,$Q1015)))</f>
        <v/>
      </c>
      <c r="O1015" s="38" t="n">
        <f aca="false">IF($A1015="",1,IF($Q1015=0,1,INDEX(COA_Mapping!$F$7:$F$256,$Q1015)))</f>
        <v>1</v>
      </c>
      <c r="P1015" s="34" t="str">
        <f aca="false">IF($A1015="","",$I1015*$O1015)</f>
        <v/>
      </c>
      <c r="Q1015" s="39" t="n">
        <f aca="false">IF($B1015="",0,IFERROR(MATCH($B1015,COA_Mapping!$A$7:$A$256,0),0))</f>
        <v>0</v>
      </c>
      <c r="R1015" s="39" t="n">
        <f aca="false">IF($A1015="",-1,IF($J1015=Setup!$B$7,1,IF($J1015=Setup!$B$9,0,-1)))</f>
        <v>-1</v>
      </c>
      <c r="S1015" s="35" t="n">
        <f aca="false">IF(OR($A1015="",$Q1015=0,$R1015=-1),0,$Q1015*1000+$R1015*100+$K1015)</f>
        <v>0</v>
      </c>
      <c r="T1015" s="37" t="str">
        <f aca="false">IF($A1015="","",IF($B1015="","NO ACCOUNT",IF($Q1015=0,"UNMAPPED",IF($R1015=-1,"OUTSIDE FY RANGE","OK"))))</f>
        <v/>
      </c>
      <c r="U1015" s="40" t="str">
        <f aca="false">IF($A1015="","",$B1015&amp;"|"&amp;TEXT($A1015,"yyyymmdd")&amp;"|"&amp;TEXT($I1015,"0.00"))</f>
        <v/>
      </c>
      <c r="V1015" s="35" t="str">
        <f aca="false">IF($A1015="","",COUNTIF($U$8:$U$5007,$U1015))</f>
        <v/>
      </c>
    </row>
    <row r="1016" customFormat="false" ht="15" hidden="false" customHeight="false" outlineLevel="0" collapsed="false">
      <c r="A1016" s="31"/>
      <c r="B1016" s="32"/>
      <c r="C1016" s="32"/>
      <c r="D1016" s="32"/>
      <c r="E1016" s="32"/>
      <c r="F1016" s="32"/>
      <c r="G1016" s="33"/>
      <c r="H1016" s="33"/>
      <c r="I1016" s="34" t="str">
        <f aca="false">IF($A1016="","",$G1016-$H1016)</f>
        <v/>
      </c>
      <c r="J1016" s="35" t="str">
        <f aca="false">IF($A1016="","",IF(Setup!$B$6=1,YEAR($A1016),YEAR($A1016)+IF(MONTH($A1016)&gt;=Setup!$B$6,1,0)))</f>
        <v/>
      </c>
      <c r="K1016" s="35" t="str">
        <f aca="false">IF($A1016="","",MOD(MONTH($A1016)-Setup!$B$6+12,12)+1)</f>
        <v/>
      </c>
      <c r="L1016" s="36" t="str">
        <f aca="false">IF($A1016="","",TEXT($A1016,"MMM-YY"))</f>
        <v/>
      </c>
      <c r="M1016" s="37" t="str">
        <f aca="false">IF($A1016="","",IF($Q1016=0,"UNMAPPED",INDEX(COA_Mapping!$C$7:$C$256,$Q1016)))</f>
        <v/>
      </c>
      <c r="N1016" s="38" t="str">
        <f aca="false">IF($A1016="","",IF($Q1016=0,"",INDEX(COA_Mapping!$E$7:$E$256,$Q1016)))</f>
        <v/>
      </c>
      <c r="O1016" s="38" t="n">
        <f aca="false">IF($A1016="",1,IF($Q1016=0,1,INDEX(COA_Mapping!$F$7:$F$256,$Q1016)))</f>
        <v>1</v>
      </c>
      <c r="P1016" s="34" t="str">
        <f aca="false">IF($A1016="","",$I1016*$O1016)</f>
        <v/>
      </c>
      <c r="Q1016" s="39" t="n">
        <f aca="false">IF($B1016="",0,IFERROR(MATCH($B1016,COA_Mapping!$A$7:$A$256,0),0))</f>
        <v>0</v>
      </c>
      <c r="R1016" s="39" t="n">
        <f aca="false">IF($A1016="",-1,IF($J1016=Setup!$B$7,1,IF($J1016=Setup!$B$9,0,-1)))</f>
        <v>-1</v>
      </c>
      <c r="S1016" s="35" t="n">
        <f aca="false">IF(OR($A1016="",$Q1016=0,$R1016=-1),0,$Q1016*1000+$R1016*100+$K1016)</f>
        <v>0</v>
      </c>
      <c r="T1016" s="37" t="str">
        <f aca="false">IF($A1016="","",IF($B1016="","NO ACCOUNT",IF($Q1016=0,"UNMAPPED",IF($R1016=-1,"OUTSIDE FY RANGE","OK"))))</f>
        <v/>
      </c>
      <c r="U1016" s="40" t="str">
        <f aca="false">IF($A1016="","",$B1016&amp;"|"&amp;TEXT($A1016,"yyyymmdd")&amp;"|"&amp;TEXT($I1016,"0.00"))</f>
        <v/>
      </c>
      <c r="V1016" s="35" t="str">
        <f aca="false">IF($A1016="","",COUNTIF($U$8:$U$5007,$U1016))</f>
        <v/>
      </c>
    </row>
    <row r="1017" customFormat="false" ht="15" hidden="false" customHeight="false" outlineLevel="0" collapsed="false">
      <c r="A1017" s="31"/>
      <c r="B1017" s="32"/>
      <c r="C1017" s="32"/>
      <c r="D1017" s="32"/>
      <c r="E1017" s="32"/>
      <c r="F1017" s="32"/>
      <c r="G1017" s="33"/>
      <c r="H1017" s="33"/>
      <c r="I1017" s="34" t="str">
        <f aca="false">IF($A1017="","",$G1017-$H1017)</f>
        <v/>
      </c>
      <c r="J1017" s="35" t="str">
        <f aca="false">IF($A1017="","",IF(Setup!$B$6=1,YEAR($A1017),YEAR($A1017)+IF(MONTH($A1017)&gt;=Setup!$B$6,1,0)))</f>
        <v/>
      </c>
      <c r="K1017" s="35" t="str">
        <f aca="false">IF($A1017="","",MOD(MONTH($A1017)-Setup!$B$6+12,12)+1)</f>
        <v/>
      </c>
      <c r="L1017" s="36" t="str">
        <f aca="false">IF($A1017="","",TEXT($A1017,"MMM-YY"))</f>
        <v/>
      </c>
      <c r="M1017" s="37" t="str">
        <f aca="false">IF($A1017="","",IF($Q1017=0,"UNMAPPED",INDEX(COA_Mapping!$C$7:$C$256,$Q1017)))</f>
        <v/>
      </c>
      <c r="N1017" s="38" t="str">
        <f aca="false">IF($A1017="","",IF($Q1017=0,"",INDEX(COA_Mapping!$E$7:$E$256,$Q1017)))</f>
        <v/>
      </c>
      <c r="O1017" s="38" t="n">
        <f aca="false">IF($A1017="",1,IF($Q1017=0,1,INDEX(COA_Mapping!$F$7:$F$256,$Q1017)))</f>
        <v>1</v>
      </c>
      <c r="P1017" s="34" t="str">
        <f aca="false">IF($A1017="","",$I1017*$O1017)</f>
        <v/>
      </c>
      <c r="Q1017" s="39" t="n">
        <f aca="false">IF($B1017="",0,IFERROR(MATCH($B1017,COA_Mapping!$A$7:$A$256,0),0))</f>
        <v>0</v>
      </c>
      <c r="R1017" s="39" t="n">
        <f aca="false">IF($A1017="",-1,IF($J1017=Setup!$B$7,1,IF($J1017=Setup!$B$9,0,-1)))</f>
        <v>-1</v>
      </c>
      <c r="S1017" s="35" t="n">
        <f aca="false">IF(OR($A1017="",$Q1017=0,$R1017=-1),0,$Q1017*1000+$R1017*100+$K1017)</f>
        <v>0</v>
      </c>
      <c r="T1017" s="37" t="str">
        <f aca="false">IF($A1017="","",IF($B1017="","NO ACCOUNT",IF($Q1017=0,"UNMAPPED",IF($R1017=-1,"OUTSIDE FY RANGE","OK"))))</f>
        <v/>
      </c>
      <c r="U1017" s="40" t="str">
        <f aca="false">IF($A1017="","",$B1017&amp;"|"&amp;TEXT($A1017,"yyyymmdd")&amp;"|"&amp;TEXT($I1017,"0.00"))</f>
        <v/>
      </c>
      <c r="V1017" s="35" t="str">
        <f aca="false">IF($A1017="","",COUNTIF($U$8:$U$5007,$U1017))</f>
        <v/>
      </c>
    </row>
    <row r="1018" customFormat="false" ht="15" hidden="false" customHeight="false" outlineLevel="0" collapsed="false">
      <c r="A1018" s="31"/>
      <c r="B1018" s="32"/>
      <c r="C1018" s="32"/>
      <c r="D1018" s="32"/>
      <c r="E1018" s="32"/>
      <c r="F1018" s="32"/>
      <c r="G1018" s="33"/>
      <c r="H1018" s="33"/>
      <c r="I1018" s="34" t="str">
        <f aca="false">IF($A1018="","",$G1018-$H1018)</f>
        <v/>
      </c>
      <c r="J1018" s="35" t="str">
        <f aca="false">IF($A1018="","",IF(Setup!$B$6=1,YEAR($A1018),YEAR($A1018)+IF(MONTH($A1018)&gt;=Setup!$B$6,1,0)))</f>
        <v/>
      </c>
      <c r="K1018" s="35" t="str">
        <f aca="false">IF($A1018="","",MOD(MONTH($A1018)-Setup!$B$6+12,12)+1)</f>
        <v/>
      </c>
      <c r="L1018" s="36" t="str">
        <f aca="false">IF($A1018="","",TEXT($A1018,"MMM-YY"))</f>
        <v/>
      </c>
      <c r="M1018" s="37" t="str">
        <f aca="false">IF($A1018="","",IF($Q1018=0,"UNMAPPED",INDEX(COA_Mapping!$C$7:$C$256,$Q1018)))</f>
        <v/>
      </c>
      <c r="N1018" s="38" t="str">
        <f aca="false">IF($A1018="","",IF($Q1018=0,"",INDEX(COA_Mapping!$E$7:$E$256,$Q1018)))</f>
        <v/>
      </c>
      <c r="O1018" s="38" t="n">
        <f aca="false">IF($A1018="",1,IF($Q1018=0,1,INDEX(COA_Mapping!$F$7:$F$256,$Q1018)))</f>
        <v>1</v>
      </c>
      <c r="P1018" s="34" t="str">
        <f aca="false">IF($A1018="","",$I1018*$O1018)</f>
        <v/>
      </c>
      <c r="Q1018" s="39" t="n">
        <f aca="false">IF($B1018="",0,IFERROR(MATCH($B1018,COA_Mapping!$A$7:$A$256,0),0))</f>
        <v>0</v>
      </c>
      <c r="R1018" s="39" t="n">
        <f aca="false">IF($A1018="",-1,IF($J1018=Setup!$B$7,1,IF($J1018=Setup!$B$9,0,-1)))</f>
        <v>-1</v>
      </c>
      <c r="S1018" s="35" t="n">
        <f aca="false">IF(OR($A1018="",$Q1018=0,$R1018=-1),0,$Q1018*1000+$R1018*100+$K1018)</f>
        <v>0</v>
      </c>
      <c r="T1018" s="37" t="str">
        <f aca="false">IF($A1018="","",IF($B1018="","NO ACCOUNT",IF($Q1018=0,"UNMAPPED",IF($R1018=-1,"OUTSIDE FY RANGE","OK"))))</f>
        <v/>
      </c>
      <c r="U1018" s="40" t="str">
        <f aca="false">IF($A1018="","",$B1018&amp;"|"&amp;TEXT($A1018,"yyyymmdd")&amp;"|"&amp;TEXT($I1018,"0.00"))</f>
        <v/>
      </c>
      <c r="V1018" s="35" t="str">
        <f aca="false">IF($A1018="","",COUNTIF($U$8:$U$5007,$U1018))</f>
        <v/>
      </c>
    </row>
    <row r="1019" customFormat="false" ht="15" hidden="false" customHeight="false" outlineLevel="0" collapsed="false">
      <c r="A1019" s="31"/>
      <c r="B1019" s="32"/>
      <c r="C1019" s="32"/>
      <c r="D1019" s="32"/>
      <c r="E1019" s="32"/>
      <c r="F1019" s="32"/>
      <c r="G1019" s="33"/>
      <c r="H1019" s="33"/>
      <c r="I1019" s="34" t="str">
        <f aca="false">IF($A1019="","",$G1019-$H1019)</f>
        <v/>
      </c>
      <c r="J1019" s="35" t="str">
        <f aca="false">IF($A1019="","",IF(Setup!$B$6=1,YEAR($A1019),YEAR($A1019)+IF(MONTH($A1019)&gt;=Setup!$B$6,1,0)))</f>
        <v/>
      </c>
      <c r="K1019" s="35" t="str">
        <f aca="false">IF($A1019="","",MOD(MONTH($A1019)-Setup!$B$6+12,12)+1)</f>
        <v/>
      </c>
      <c r="L1019" s="36" t="str">
        <f aca="false">IF($A1019="","",TEXT($A1019,"MMM-YY"))</f>
        <v/>
      </c>
      <c r="M1019" s="37" t="str">
        <f aca="false">IF($A1019="","",IF($Q1019=0,"UNMAPPED",INDEX(COA_Mapping!$C$7:$C$256,$Q1019)))</f>
        <v/>
      </c>
      <c r="N1019" s="38" t="str">
        <f aca="false">IF($A1019="","",IF($Q1019=0,"",INDEX(COA_Mapping!$E$7:$E$256,$Q1019)))</f>
        <v/>
      </c>
      <c r="O1019" s="38" t="n">
        <f aca="false">IF($A1019="",1,IF($Q1019=0,1,INDEX(COA_Mapping!$F$7:$F$256,$Q1019)))</f>
        <v>1</v>
      </c>
      <c r="P1019" s="34" t="str">
        <f aca="false">IF($A1019="","",$I1019*$O1019)</f>
        <v/>
      </c>
      <c r="Q1019" s="39" t="n">
        <f aca="false">IF($B1019="",0,IFERROR(MATCH($B1019,COA_Mapping!$A$7:$A$256,0),0))</f>
        <v>0</v>
      </c>
      <c r="R1019" s="39" t="n">
        <f aca="false">IF($A1019="",-1,IF($J1019=Setup!$B$7,1,IF($J1019=Setup!$B$9,0,-1)))</f>
        <v>-1</v>
      </c>
      <c r="S1019" s="35" t="n">
        <f aca="false">IF(OR($A1019="",$Q1019=0,$R1019=-1),0,$Q1019*1000+$R1019*100+$K1019)</f>
        <v>0</v>
      </c>
      <c r="T1019" s="37" t="str">
        <f aca="false">IF($A1019="","",IF($B1019="","NO ACCOUNT",IF($Q1019=0,"UNMAPPED",IF($R1019=-1,"OUTSIDE FY RANGE","OK"))))</f>
        <v/>
      </c>
      <c r="U1019" s="40" t="str">
        <f aca="false">IF($A1019="","",$B1019&amp;"|"&amp;TEXT($A1019,"yyyymmdd")&amp;"|"&amp;TEXT($I1019,"0.00"))</f>
        <v/>
      </c>
      <c r="V1019" s="35" t="str">
        <f aca="false">IF($A1019="","",COUNTIF($U$8:$U$5007,$U1019))</f>
        <v/>
      </c>
    </row>
    <row r="1020" customFormat="false" ht="15" hidden="false" customHeight="false" outlineLevel="0" collapsed="false">
      <c r="A1020" s="31"/>
      <c r="B1020" s="32"/>
      <c r="C1020" s="32"/>
      <c r="D1020" s="32"/>
      <c r="E1020" s="32"/>
      <c r="F1020" s="32"/>
      <c r="G1020" s="33"/>
      <c r="H1020" s="33"/>
      <c r="I1020" s="34" t="str">
        <f aca="false">IF($A1020="","",$G1020-$H1020)</f>
        <v/>
      </c>
      <c r="J1020" s="35" t="str">
        <f aca="false">IF($A1020="","",IF(Setup!$B$6=1,YEAR($A1020),YEAR($A1020)+IF(MONTH($A1020)&gt;=Setup!$B$6,1,0)))</f>
        <v/>
      </c>
      <c r="K1020" s="35" t="str">
        <f aca="false">IF($A1020="","",MOD(MONTH($A1020)-Setup!$B$6+12,12)+1)</f>
        <v/>
      </c>
      <c r="L1020" s="36" t="str">
        <f aca="false">IF($A1020="","",TEXT($A1020,"MMM-YY"))</f>
        <v/>
      </c>
      <c r="M1020" s="37" t="str">
        <f aca="false">IF($A1020="","",IF($Q1020=0,"UNMAPPED",INDEX(COA_Mapping!$C$7:$C$256,$Q1020)))</f>
        <v/>
      </c>
      <c r="N1020" s="38" t="str">
        <f aca="false">IF($A1020="","",IF($Q1020=0,"",INDEX(COA_Mapping!$E$7:$E$256,$Q1020)))</f>
        <v/>
      </c>
      <c r="O1020" s="38" t="n">
        <f aca="false">IF($A1020="",1,IF($Q1020=0,1,INDEX(COA_Mapping!$F$7:$F$256,$Q1020)))</f>
        <v>1</v>
      </c>
      <c r="P1020" s="34" t="str">
        <f aca="false">IF($A1020="","",$I1020*$O1020)</f>
        <v/>
      </c>
      <c r="Q1020" s="39" t="n">
        <f aca="false">IF($B1020="",0,IFERROR(MATCH($B1020,COA_Mapping!$A$7:$A$256,0),0))</f>
        <v>0</v>
      </c>
      <c r="R1020" s="39" t="n">
        <f aca="false">IF($A1020="",-1,IF($J1020=Setup!$B$7,1,IF($J1020=Setup!$B$9,0,-1)))</f>
        <v>-1</v>
      </c>
      <c r="S1020" s="35" t="n">
        <f aca="false">IF(OR($A1020="",$Q1020=0,$R1020=-1),0,$Q1020*1000+$R1020*100+$K1020)</f>
        <v>0</v>
      </c>
      <c r="T1020" s="37" t="str">
        <f aca="false">IF($A1020="","",IF($B1020="","NO ACCOUNT",IF($Q1020=0,"UNMAPPED",IF($R1020=-1,"OUTSIDE FY RANGE","OK"))))</f>
        <v/>
      </c>
      <c r="U1020" s="40" t="str">
        <f aca="false">IF($A1020="","",$B1020&amp;"|"&amp;TEXT($A1020,"yyyymmdd")&amp;"|"&amp;TEXT($I1020,"0.00"))</f>
        <v/>
      </c>
      <c r="V1020" s="35" t="str">
        <f aca="false">IF($A1020="","",COUNTIF($U$8:$U$5007,$U1020))</f>
        <v/>
      </c>
    </row>
    <row r="1021" customFormat="false" ht="15" hidden="false" customHeight="false" outlineLevel="0" collapsed="false">
      <c r="A1021" s="31"/>
      <c r="B1021" s="32"/>
      <c r="C1021" s="32"/>
      <c r="D1021" s="32"/>
      <c r="E1021" s="32"/>
      <c r="F1021" s="32"/>
      <c r="G1021" s="33"/>
      <c r="H1021" s="33"/>
      <c r="I1021" s="34" t="str">
        <f aca="false">IF($A1021="","",$G1021-$H1021)</f>
        <v/>
      </c>
      <c r="J1021" s="35" t="str">
        <f aca="false">IF($A1021="","",IF(Setup!$B$6=1,YEAR($A1021),YEAR($A1021)+IF(MONTH($A1021)&gt;=Setup!$B$6,1,0)))</f>
        <v/>
      </c>
      <c r="K1021" s="35" t="str">
        <f aca="false">IF($A1021="","",MOD(MONTH($A1021)-Setup!$B$6+12,12)+1)</f>
        <v/>
      </c>
      <c r="L1021" s="36" t="str">
        <f aca="false">IF($A1021="","",TEXT($A1021,"MMM-YY"))</f>
        <v/>
      </c>
      <c r="M1021" s="37" t="str">
        <f aca="false">IF($A1021="","",IF($Q1021=0,"UNMAPPED",INDEX(COA_Mapping!$C$7:$C$256,$Q1021)))</f>
        <v/>
      </c>
      <c r="N1021" s="38" t="str">
        <f aca="false">IF($A1021="","",IF($Q1021=0,"",INDEX(COA_Mapping!$E$7:$E$256,$Q1021)))</f>
        <v/>
      </c>
      <c r="O1021" s="38" t="n">
        <f aca="false">IF($A1021="",1,IF($Q1021=0,1,INDEX(COA_Mapping!$F$7:$F$256,$Q1021)))</f>
        <v>1</v>
      </c>
      <c r="P1021" s="34" t="str">
        <f aca="false">IF($A1021="","",$I1021*$O1021)</f>
        <v/>
      </c>
      <c r="Q1021" s="39" t="n">
        <f aca="false">IF($B1021="",0,IFERROR(MATCH($B1021,COA_Mapping!$A$7:$A$256,0),0))</f>
        <v>0</v>
      </c>
      <c r="R1021" s="39" t="n">
        <f aca="false">IF($A1021="",-1,IF($J1021=Setup!$B$7,1,IF($J1021=Setup!$B$9,0,-1)))</f>
        <v>-1</v>
      </c>
      <c r="S1021" s="35" t="n">
        <f aca="false">IF(OR($A1021="",$Q1021=0,$R1021=-1),0,$Q1021*1000+$R1021*100+$K1021)</f>
        <v>0</v>
      </c>
      <c r="T1021" s="37" t="str">
        <f aca="false">IF($A1021="","",IF($B1021="","NO ACCOUNT",IF($Q1021=0,"UNMAPPED",IF($R1021=-1,"OUTSIDE FY RANGE","OK"))))</f>
        <v/>
      </c>
      <c r="U1021" s="40" t="str">
        <f aca="false">IF($A1021="","",$B1021&amp;"|"&amp;TEXT($A1021,"yyyymmdd")&amp;"|"&amp;TEXT($I1021,"0.00"))</f>
        <v/>
      </c>
      <c r="V1021" s="35" t="str">
        <f aca="false">IF($A1021="","",COUNTIF($U$8:$U$5007,$U1021))</f>
        <v/>
      </c>
    </row>
    <row r="1022" customFormat="false" ht="15" hidden="false" customHeight="false" outlineLevel="0" collapsed="false">
      <c r="A1022" s="31"/>
      <c r="B1022" s="32"/>
      <c r="C1022" s="32"/>
      <c r="D1022" s="32"/>
      <c r="E1022" s="32"/>
      <c r="F1022" s="32"/>
      <c r="G1022" s="33"/>
      <c r="H1022" s="33"/>
      <c r="I1022" s="34" t="str">
        <f aca="false">IF($A1022="","",$G1022-$H1022)</f>
        <v/>
      </c>
      <c r="J1022" s="35" t="str">
        <f aca="false">IF($A1022="","",IF(Setup!$B$6=1,YEAR($A1022),YEAR($A1022)+IF(MONTH($A1022)&gt;=Setup!$B$6,1,0)))</f>
        <v/>
      </c>
      <c r="K1022" s="35" t="str">
        <f aca="false">IF($A1022="","",MOD(MONTH($A1022)-Setup!$B$6+12,12)+1)</f>
        <v/>
      </c>
      <c r="L1022" s="36" t="str">
        <f aca="false">IF($A1022="","",TEXT($A1022,"MMM-YY"))</f>
        <v/>
      </c>
      <c r="M1022" s="37" t="str">
        <f aca="false">IF($A1022="","",IF($Q1022=0,"UNMAPPED",INDEX(COA_Mapping!$C$7:$C$256,$Q1022)))</f>
        <v/>
      </c>
      <c r="N1022" s="38" t="str">
        <f aca="false">IF($A1022="","",IF($Q1022=0,"",INDEX(COA_Mapping!$E$7:$E$256,$Q1022)))</f>
        <v/>
      </c>
      <c r="O1022" s="38" t="n">
        <f aca="false">IF($A1022="",1,IF($Q1022=0,1,INDEX(COA_Mapping!$F$7:$F$256,$Q1022)))</f>
        <v>1</v>
      </c>
      <c r="P1022" s="34" t="str">
        <f aca="false">IF($A1022="","",$I1022*$O1022)</f>
        <v/>
      </c>
      <c r="Q1022" s="39" t="n">
        <f aca="false">IF($B1022="",0,IFERROR(MATCH($B1022,COA_Mapping!$A$7:$A$256,0),0))</f>
        <v>0</v>
      </c>
      <c r="R1022" s="39" t="n">
        <f aca="false">IF($A1022="",-1,IF($J1022=Setup!$B$7,1,IF($J1022=Setup!$B$9,0,-1)))</f>
        <v>-1</v>
      </c>
      <c r="S1022" s="35" t="n">
        <f aca="false">IF(OR($A1022="",$Q1022=0,$R1022=-1),0,$Q1022*1000+$R1022*100+$K1022)</f>
        <v>0</v>
      </c>
      <c r="T1022" s="37" t="str">
        <f aca="false">IF($A1022="","",IF($B1022="","NO ACCOUNT",IF($Q1022=0,"UNMAPPED",IF($R1022=-1,"OUTSIDE FY RANGE","OK"))))</f>
        <v/>
      </c>
      <c r="U1022" s="40" t="str">
        <f aca="false">IF($A1022="","",$B1022&amp;"|"&amp;TEXT($A1022,"yyyymmdd")&amp;"|"&amp;TEXT($I1022,"0.00"))</f>
        <v/>
      </c>
      <c r="V1022" s="35" t="str">
        <f aca="false">IF($A1022="","",COUNTIF($U$8:$U$5007,$U1022))</f>
        <v/>
      </c>
    </row>
    <row r="1023" customFormat="false" ht="15" hidden="false" customHeight="false" outlineLevel="0" collapsed="false">
      <c r="A1023" s="31"/>
      <c r="B1023" s="32"/>
      <c r="C1023" s="32"/>
      <c r="D1023" s="32"/>
      <c r="E1023" s="32"/>
      <c r="F1023" s="32"/>
      <c r="G1023" s="33"/>
      <c r="H1023" s="33"/>
      <c r="I1023" s="34" t="str">
        <f aca="false">IF($A1023="","",$G1023-$H1023)</f>
        <v/>
      </c>
      <c r="J1023" s="35" t="str">
        <f aca="false">IF($A1023="","",IF(Setup!$B$6=1,YEAR($A1023),YEAR($A1023)+IF(MONTH($A1023)&gt;=Setup!$B$6,1,0)))</f>
        <v/>
      </c>
      <c r="K1023" s="35" t="str">
        <f aca="false">IF($A1023="","",MOD(MONTH($A1023)-Setup!$B$6+12,12)+1)</f>
        <v/>
      </c>
      <c r="L1023" s="36" t="str">
        <f aca="false">IF($A1023="","",TEXT($A1023,"MMM-YY"))</f>
        <v/>
      </c>
      <c r="M1023" s="37" t="str">
        <f aca="false">IF($A1023="","",IF($Q1023=0,"UNMAPPED",INDEX(COA_Mapping!$C$7:$C$256,$Q1023)))</f>
        <v/>
      </c>
      <c r="N1023" s="38" t="str">
        <f aca="false">IF($A1023="","",IF($Q1023=0,"",INDEX(COA_Mapping!$E$7:$E$256,$Q1023)))</f>
        <v/>
      </c>
      <c r="O1023" s="38" t="n">
        <f aca="false">IF($A1023="",1,IF($Q1023=0,1,INDEX(COA_Mapping!$F$7:$F$256,$Q1023)))</f>
        <v>1</v>
      </c>
      <c r="P1023" s="34" t="str">
        <f aca="false">IF($A1023="","",$I1023*$O1023)</f>
        <v/>
      </c>
      <c r="Q1023" s="39" t="n">
        <f aca="false">IF($B1023="",0,IFERROR(MATCH($B1023,COA_Mapping!$A$7:$A$256,0),0))</f>
        <v>0</v>
      </c>
      <c r="R1023" s="39" t="n">
        <f aca="false">IF($A1023="",-1,IF($J1023=Setup!$B$7,1,IF($J1023=Setup!$B$9,0,-1)))</f>
        <v>-1</v>
      </c>
      <c r="S1023" s="35" t="n">
        <f aca="false">IF(OR($A1023="",$Q1023=0,$R1023=-1),0,$Q1023*1000+$R1023*100+$K1023)</f>
        <v>0</v>
      </c>
      <c r="T1023" s="37" t="str">
        <f aca="false">IF($A1023="","",IF($B1023="","NO ACCOUNT",IF($Q1023=0,"UNMAPPED",IF($R1023=-1,"OUTSIDE FY RANGE","OK"))))</f>
        <v/>
      </c>
      <c r="U1023" s="40" t="str">
        <f aca="false">IF($A1023="","",$B1023&amp;"|"&amp;TEXT($A1023,"yyyymmdd")&amp;"|"&amp;TEXT($I1023,"0.00"))</f>
        <v/>
      </c>
      <c r="V1023" s="35" t="str">
        <f aca="false">IF($A1023="","",COUNTIF($U$8:$U$5007,$U1023))</f>
        <v/>
      </c>
    </row>
    <row r="1024" customFormat="false" ht="15" hidden="false" customHeight="false" outlineLevel="0" collapsed="false">
      <c r="A1024" s="31"/>
      <c r="B1024" s="32"/>
      <c r="C1024" s="32"/>
      <c r="D1024" s="32"/>
      <c r="E1024" s="32"/>
      <c r="F1024" s="32"/>
      <c r="G1024" s="33"/>
      <c r="H1024" s="33"/>
      <c r="I1024" s="34" t="str">
        <f aca="false">IF($A1024="","",$G1024-$H1024)</f>
        <v/>
      </c>
      <c r="J1024" s="35" t="str">
        <f aca="false">IF($A1024="","",IF(Setup!$B$6=1,YEAR($A1024),YEAR($A1024)+IF(MONTH($A1024)&gt;=Setup!$B$6,1,0)))</f>
        <v/>
      </c>
      <c r="K1024" s="35" t="str">
        <f aca="false">IF($A1024="","",MOD(MONTH($A1024)-Setup!$B$6+12,12)+1)</f>
        <v/>
      </c>
      <c r="L1024" s="36" t="str">
        <f aca="false">IF($A1024="","",TEXT($A1024,"MMM-YY"))</f>
        <v/>
      </c>
      <c r="M1024" s="37" t="str">
        <f aca="false">IF($A1024="","",IF($Q1024=0,"UNMAPPED",INDEX(COA_Mapping!$C$7:$C$256,$Q1024)))</f>
        <v/>
      </c>
      <c r="N1024" s="38" t="str">
        <f aca="false">IF($A1024="","",IF($Q1024=0,"",INDEX(COA_Mapping!$E$7:$E$256,$Q1024)))</f>
        <v/>
      </c>
      <c r="O1024" s="38" t="n">
        <f aca="false">IF($A1024="",1,IF($Q1024=0,1,INDEX(COA_Mapping!$F$7:$F$256,$Q1024)))</f>
        <v>1</v>
      </c>
      <c r="P1024" s="34" t="str">
        <f aca="false">IF($A1024="","",$I1024*$O1024)</f>
        <v/>
      </c>
      <c r="Q1024" s="39" t="n">
        <f aca="false">IF($B1024="",0,IFERROR(MATCH($B1024,COA_Mapping!$A$7:$A$256,0),0))</f>
        <v>0</v>
      </c>
      <c r="R1024" s="39" t="n">
        <f aca="false">IF($A1024="",-1,IF($J1024=Setup!$B$7,1,IF($J1024=Setup!$B$9,0,-1)))</f>
        <v>-1</v>
      </c>
      <c r="S1024" s="35" t="n">
        <f aca="false">IF(OR($A1024="",$Q1024=0,$R1024=-1),0,$Q1024*1000+$R1024*100+$K1024)</f>
        <v>0</v>
      </c>
      <c r="T1024" s="37" t="str">
        <f aca="false">IF($A1024="","",IF($B1024="","NO ACCOUNT",IF($Q1024=0,"UNMAPPED",IF($R1024=-1,"OUTSIDE FY RANGE","OK"))))</f>
        <v/>
      </c>
      <c r="U1024" s="40" t="str">
        <f aca="false">IF($A1024="","",$B1024&amp;"|"&amp;TEXT($A1024,"yyyymmdd")&amp;"|"&amp;TEXT($I1024,"0.00"))</f>
        <v/>
      </c>
      <c r="V1024" s="35" t="str">
        <f aca="false">IF($A1024="","",COUNTIF($U$8:$U$5007,$U1024))</f>
        <v/>
      </c>
    </row>
    <row r="1025" customFormat="false" ht="15" hidden="false" customHeight="false" outlineLevel="0" collapsed="false">
      <c r="A1025" s="31"/>
      <c r="B1025" s="32"/>
      <c r="C1025" s="32"/>
      <c r="D1025" s="32"/>
      <c r="E1025" s="32"/>
      <c r="F1025" s="32"/>
      <c r="G1025" s="33"/>
      <c r="H1025" s="33"/>
      <c r="I1025" s="34" t="str">
        <f aca="false">IF($A1025="","",$G1025-$H1025)</f>
        <v/>
      </c>
      <c r="J1025" s="35" t="str">
        <f aca="false">IF($A1025="","",IF(Setup!$B$6=1,YEAR($A1025),YEAR($A1025)+IF(MONTH($A1025)&gt;=Setup!$B$6,1,0)))</f>
        <v/>
      </c>
      <c r="K1025" s="35" t="str">
        <f aca="false">IF($A1025="","",MOD(MONTH($A1025)-Setup!$B$6+12,12)+1)</f>
        <v/>
      </c>
      <c r="L1025" s="36" t="str">
        <f aca="false">IF($A1025="","",TEXT($A1025,"MMM-YY"))</f>
        <v/>
      </c>
      <c r="M1025" s="37" t="str">
        <f aca="false">IF($A1025="","",IF($Q1025=0,"UNMAPPED",INDEX(COA_Mapping!$C$7:$C$256,$Q1025)))</f>
        <v/>
      </c>
      <c r="N1025" s="38" t="str">
        <f aca="false">IF($A1025="","",IF($Q1025=0,"",INDEX(COA_Mapping!$E$7:$E$256,$Q1025)))</f>
        <v/>
      </c>
      <c r="O1025" s="38" t="n">
        <f aca="false">IF($A1025="",1,IF($Q1025=0,1,INDEX(COA_Mapping!$F$7:$F$256,$Q1025)))</f>
        <v>1</v>
      </c>
      <c r="P1025" s="34" t="str">
        <f aca="false">IF($A1025="","",$I1025*$O1025)</f>
        <v/>
      </c>
      <c r="Q1025" s="39" t="n">
        <f aca="false">IF($B1025="",0,IFERROR(MATCH($B1025,COA_Mapping!$A$7:$A$256,0),0))</f>
        <v>0</v>
      </c>
      <c r="R1025" s="39" t="n">
        <f aca="false">IF($A1025="",-1,IF($J1025=Setup!$B$7,1,IF($J1025=Setup!$B$9,0,-1)))</f>
        <v>-1</v>
      </c>
      <c r="S1025" s="35" t="n">
        <f aca="false">IF(OR($A1025="",$Q1025=0,$R1025=-1),0,$Q1025*1000+$R1025*100+$K1025)</f>
        <v>0</v>
      </c>
      <c r="T1025" s="37" t="str">
        <f aca="false">IF($A1025="","",IF($B1025="","NO ACCOUNT",IF($Q1025=0,"UNMAPPED",IF($R1025=-1,"OUTSIDE FY RANGE","OK"))))</f>
        <v/>
      </c>
      <c r="U1025" s="40" t="str">
        <f aca="false">IF($A1025="","",$B1025&amp;"|"&amp;TEXT($A1025,"yyyymmdd")&amp;"|"&amp;TEXT($I1025,"0.00"))</f>
        <v/>
      </c>
      <c r="V1025" s="35" t="str">
        <f aca="false">IF($A1025="","",COUNTIF($U$8:$U$5007,$U1025))</f>
        <v/>
      </c>
    </row>
    <row r="1026" customFormat="false" ht="15" hidden="false" customHeight="false" outlineLevel="0" collapsed="false">
      <c r="A1026" s="31"/>
      <c r="B1026" s="32"/>
      <c r="C1026" s="32"/>
      <c r="D1026" s="32"/>
      <c r="E1026" s="32"/>
      <c r="F1026" s="32"/>
      <c r="G1026" s="33"/>
      <c r="H1026" s="33"/>
      <c r="I1026" s="34" t="str">
        <f aca="false">IF($A1026="","",$G1026-$H1026)</f>
        <v/>
      </c>
      <c r="J1026" s="35" t="str">
        <f aca="false">IF($A1026="","",IF(Setup!$B$6=1,YEAR($A1026),YEAR($A1026)+IF(MONTH($A1026)&gt;=Setup!$B$6,1,0)))</f>
        <v/>
      </c>
      <c r="K1026" s="35" t="str">
        <f aca="false">IF($A1026="","",MOD(MONTH($A1026)-Setup!$B$6+12,12)+1)</f>
        <v/>
      </c>
      <c r="L1026" s="36" t="str">
        <f aca="false">IF($A1026="","",TEXT($A1026,"MMM-YY"))</f>
        <v/>
      </c>
      <c r="M1026" s="37" t="str">
        <f aca="false">IF($A1026="","",IF($Q1026=0,"UNMAPPED",INDEX(COA_Mapping!$C$7:$C$256,$Q1026)))</f>
        <v/>
      </c>
      <c r="N1026" s="38" t="str">
        <f aca="false">IF($A1026="","",IF($Q1026=0,"",INDEX(COA_Mapping!$E$7:$E$256,$Q1026)))</f>
        <v/>
      </c>
      <c r="O1026" s="38" t="n">
        <f aca="false">IF($A1026="",1,IF($Q1026=0,1,INDEX(COA_Mapping!$F$7:$F$256,$Q1026)))</f>
        <v>1</v>
      </c>
      <c r="P1026" s="34" t="str">
        <f aca="false">IF($A1026="","",$I1026*$O1026)</f>
        <v/>
      </c>
      <c r="Q1026" s="39" t="n">
        <f aca="false">IF($B1026="",0,IFERROR(MATCH($B1026,COA_Mapping!$A$7:$A$256,0),0))</f>
        <v>0</v>
      </c>
      <c r="R1026" s="39" t="n">
        <f aca="false">IF($A1026="",-1,IF($J1026=Setup!$B$7,1,IF($J1026=Setup!$B$9,0,-1)))</f>
        <v>-1</v>
      </c>
      <c r="S1026" s="35" t="n">
        <f aca="false">IF(OR($A1026="",$Q1026=0,$R1026=-1),0,$Q1026*1000+$R1026*100+$K1026)</f>
        <v>0</v>
      </c>
      <c r="T1026" s="37" t="str">
        <f aca="false">IF($A1026="","",IF($B1026="","NO ACCOUNT",IF($Q1026=0,"UNMAPPED",IF($R1026=-1,"OUTSIDE FY RANGE","OK"))))</f>
        <v/>
      </c>
      <c r="U1026" s="40" t="str">
        <f aca="false">IF($A1026="","",$B1026&amp;"|"&amp;TEXT($A1026,"yyyymmdd")&amp;"|"&amp;TEXT($I1026,"0.00"))</f>
        <v/>
      </c>
      <c r="V1026" s="35" t="str">
        <f aca="false">IF($A1026="","",COUNTIF($U$8:$U$5007,$U1026))</f>
        <v/>
      </c>
    </row>
    <row r="1027" customFormat="false" ht="15" hidden="false" customHeight="false" outlineLevel="0" collapsed="false">
      <c r="A1027" s="31"/>
      <c r="B1027" s="32"/>
      <c r="C1027" s="32"/>
      <c r="D1027" s="32"/>
      <c r="E1027" s="32"/>
      <c r="F1027" s="32"/>
      <c r="G1027" s="33"/>
      <c r="H1027" s="33"/>
      <c r="I1027" s="34" t="str">
        <f aca="false">IF($A1027="","",$G1027-$H1027)</f>
        <v/>
      </c>
      <c r="J1027" s="35" t="str">
        <f aca="false">IF($A1027="","",IF(Setup!$B$6=1,YEAR($A1027),YEAR($A1027)+IF(MONTH($A1027)&gt;=Setup!$B$6,1,0)))</f>
        <v/>
      </c>
      <c r="K1027" s="35" t="str">
        <f aca="false">IF($A1027="","",MOD(MONTH($A1027)-Setup!$B$6+12,12)+1)</f>
        <v/>
      </c>
      <c r="L1027" s="36" t="str">
        <f aca="false">IF($A1027="","",TEXT($A1027,"MMM-YY"))</f>
        <v/>
      </c>
      <c r="M1027" s="37" t="str">
        <f aca="false">IF($A1027="","",IF($Q1027=0,"UNMAPPED",INDEX(COA_Mapping!$C$7:$C$256,$Q1027)))</f>
        <v/>
      </c>
      <c r="N1027" s="38" t="str">
        <f aca="false">IF($A1027="","",IF($Q1027=0,"",INDEX(COA_Mapping!$E$7:$E$256,$Q1027)))</f>
        <v/>
      </c>
      <c r="O1027" s="38" t="n">
        <f aca="false">IF($A1027="",1,IF($Q1027=0,1,INDEX(COA_Mapping!$F$7:$F$256,$Q1027)))</f>
        <v>1</v>
      </c>
      <c r="P1027" s="34" t="str">
        <f aca="false">IF($A1027="","",$I1027*$O1027)</f>
        <v/>
      </c>
      <c r="Q1027" s="39" t="n">
        <f aca="false">IF($B1027="",0,IFERROR(MATCH($B1027,COA_Mapping!$A$7:$A$256,0),0))</f>
        <v>0</v>
      </c>
      <c r="R1027" s="39" t="n">
        <f aca="false">IF($A1027="",-1,IF($J1027=Setup!$B$7,1,IF($J1027=Setup!$B$9,0,-1)))</f>
        <v>-1</v>
      </c>
      <c r="S1027" s="35" t="n">
        <f aca="false">IF(OR($A1027="",$Q1027=0,$R1027=-1),0,$Q1027*1000+$R1027*100+$K1027)</f>
        <v>0</v>
      </c>
      <c r="T1027" s="37" t="str">
        <f aca="false">IF($A1027="","",IF($B1027="","NO ACCOUNT",IF($Q1027=0,"UNMAPPED",IF($R1027=-1,"OUTSIDE FY RANGE","OK"))))</f>
        <v/>
      </c>
      <c r="U1027" s="40" t="str">
        <f aca="false">IF($A1027="","",$B1027&amp;"|"&amp;TEXT($A1027,"yyyymmdd")&amp;"|"&amp;TEXT($I1027,"0.00"))</f>
        <v/>
      </c>
      <c r="V1027" s="35" t="str">
        <f aca="false">IF($A1027="","",COUNTIF($U$8:$U$5007,$U1027))</f>
        <v/>
      </c>
    </row>
    <row r="1028" customFormat="false" ht="15" hidden="false" customHeight="false" outlineLevel="0" collapsed="false">
      <c r="A1028" s="31"/>
      <c r="B1028" s="32"/>
      <c r="C1028" s="32"/>
      <c r="D1028" s="32"/>
      <c r="E1028" s="32"/>
      <c r="F1028" s="32"/>
      <c r="G1028" s="33"/>
      <c r="H1028" s="33"/>
      <c r="I1028" s="34" t="str">
        <f aca="false">IF($A1028="","",$G1028-$H1028)</f>
        <v/>
      </c>
      <c r="J1028" s="35" t="str">
        <f aca="false">IF($A1028="","",IF(Setup!$B$6=1,YEAR($A1028),YEAR($A1028)+IF(MONTH($A1028)&gt;=Setup!$B$6,1,0)))</f>
        <v/>
      </c>
      <c r="K1028" s="35" t="str">
        <f aca="false">IF($A1028="","",MOD(MONTH($A1028)-Setup!$B$6+12,12)+1)</f>
        <v/>
      </c>
      <c r="L1028" s="36" t="str">
        <f aca="false">IF($A1028="","",TEXT($A1028,"MMM-YY"))</f>
        <v/>
      </c>
      <c r="M1028" s="37" t="str">
        <f aca="false">IF($A1028="","",IF($Q1028=0,"UNMAPPED",INDEX(COA_Mapping!$C$7:$C$256,$Q1028)))</f>
        <v/>
      </c>
      <c r="N1028" s="38" t="str">
        <f aca="false">IF($A1028="","",IF($Q1028=0,"",INDEX(COA_Mapping!$E$7:$E$256,$Q1028)))</f>
        <v/>
      </c>
      <c r="O1028" s="38" t="n">
        <f aca="false">IF($A1028="",1,IF($Q1028=0,1,INDEX(COA_Mapping!$F$7:$F$256,$Q1028)))</f>
        <v>1</v>
      </c>
      <c r="P1028" s="34" t="str">
        <f aca="false">IF($A1028="","",$I1028*$O1028)</f>
        <v/>
      </c>
      <c r="Q1028" s="39" t="n">
        <f aca="false">IF($B1028="",0,IFERROR(MATCH($B1028,COA_Mapping!$A$7:$A$256,0),0))</f>
        <v>0</v>
      </c>
      <c r="R1028" s="39" t="n">
        <f aca="false">IF($A1028="",-1,IF($J1028=Setup!$B$7,1,IF($J1028=Setup!$B$9,0,-1)))</f>
        <v>-1</v>
      </c>
      <c r="S1028" s="35" t="n">
        <f aca="false">IF(OR($A1028="",$Q1028=0,$R1028=-1),0,$Q1028*1000+$R1028*100+$K1028)</f>
        <v>0</v>
      </c>
      <c r="T1028" s="37" t="str">
        <f aca="false">IF($A1028="","",IF($B1028="","NO ACCOUNT",IF($Q1028=0,"UNMAPPED",IF($R1028=-1,"OUTSIDE FY RANGE","OK"))))</f>
        <v/>
      </c>
      <c r="U1028" s="40" t="str">
        <f aca="false">IF($A1028="","",$B1028&amp;"|"&amp;TEXT($A1028,"yyyymmdd")&amp;"|"&amp;TEXT($I1028,"0.00"))</f>
        <v/>
      </c>
      <c r="V1028" s="35" t="str">
        <f aca="false">IF($A1028="","",COUNTIF($U$8:$U$5007,$U1028))</f>
        <v/>
      </c>
    </row>
    <row r="1029" customFormat="false" ht="15" hidden="false" customHeight="false" outlineLevel="0" collapsed="false">
      <c r="A1029" s="31"/>
      <c r="B1029" s="32"/>
      <c r="C1029" s="32"/>
      <c r="D1029" s="32"/>
      <c r="E1029" s="32"/>
      <c r="F1029" s="32"/>
      <c r="G1029" s="33"/>
      <c r="H1029" s="33"/>
      <c r="I1029" s="34" t="str">
        <f aca="false">IF($A1029="","",$G1029-$H1029)</f>
        <v/>
      </c>
      <c r="J1029" s="35" t="str">
        <f aca="false">IF($A1029="","",IF(Setup!$B$6=1,YEAR($A1029),YEAR($A1029)+IF(MONTH($A1029)&gt;=Setup!$B$6,1,0)))</f>
        <v/>
      </c>
      <c r="K1029" s="35" t="str">
        <f aca="false">IF($A1029="","",MOD(MONTH($A1029)-Setup!$B$6+12,12)+1)</f>
        <v/>
      </c>
      <c r="L1029" s="36" t="str">
        <f aca="false">IF($A1029="","",TEXT($A1029,"MMM-YY"))</f>
        <v/>
      </c>
      <c r="M1029" s="37" t="str">
        <f aca="false">IF($A1029="","",IF($Q1029=0,"UNMAPPED",INDEX(COA_Mapping!$C$7:$C$256,$Q1029)))</f>
        <v/>
      </c>
      <c r="N1029" s="38" t="str">
        <f aca="false">IF($A1029="","",IF($Q1029=0,"",INDEX(COA_Mapping!$E$7:$E$256,$Q1029)))</f>
        <v/>
      </c>
      <c r="O1029" s="38" t="n">
        <f aca="false">IF($A1029="",1,IF($Q1029=0,1,INDEX(COA_Mapping!$F$7:$F$256,$Q1029)))</f>
        <v>1</v>
      </c>
      <c r="P1029" s="34" t="str">
        <f aca="false">IF($A1029="","",$I1029*$O1029)</f>
        <v/>
      </c>
      <c r="Q1029" s="39" t="n">
        <f aca="false">IF($B1029="",0,IFERROR(MATCH($B1029,COA_Mapping!$A$7:$A$256,0),0))</f>
        <v>0</v>
      </c>
      <c r="R1029" s="39" t="n">
        <f aca="false">IF($A1029="",-1,IF($J1029=Setup!$B$7,1,IF($J1029=Setup!$B$9,0,-1)))</f>
        <v>-1</v>
      </c>
      <c r="S1029" s="35" t="n">
        <f aca="false">IF(OR($A1029="",$Q1029=0,$R1029=-1),0,$Q1029*1000+$R1029*100+$K1029)</f>
        <v>0</v>
      </c>
      <c r="T1029" s="37" t="str">
        <f aca="false">IF($A1029="","",IF($B1029="","NO ACCOUNT",IF($Q1029=0,"UNMAPPED",IF($R1029=-1,"OUTSIDE FY RANGE","OK"))))</f>
        <v/>
      </c>
      <c r="U1029" s="40" t="str">
        <f aca="false">IF($A1029="","",$B1029&amp;"|"&amp;TEXT($A1029,"yyyymmdd")&amp;"|"&amp;TEXT($I1029,"0.00"))</f>
        <v/>
      </c>
      <c r="V1029" s="35" t="str">
        <f aca="false">IF($A1029="","",COUNTIF($U$8:$U$5007,$U1029))</f>
        <v/>
      </c>
    </row>
    <row r="1030" customFormat="false" ht="15" hidden="false" customHeight="false" outlineLevel="0" collapsed="false">
      <c r="A1030" s="31"/>
      <c r="B1030" s="32"/>
      <c r="C1030" s="32"/>
      <c r="D1030" s="32"/>
      <c r="E1030" s="32"/>
      <c r="F1030" s="32"/>
      <c r="G1030" s="33"/>
      <c r="H1030" s="33"/>
      <c r="I1030" s="34" t="str">
        <f aca="false">IF($A1030="","",$G1030-$H1030)</f>
        <v/>
      </c>
      <c r="J1030" s="35" t="str">
        <f aca="false">IF($A1030="","",IF(Setup!$B$6=1,YEAR($A1030),YEAR($A1030)+IF(MONTH($A1030)&gt;=Setup!$B$6,1,0)))</f>
        <v/>
      </c>
      <c r="K1030" s="35" t="str">
        <f aca="false">IF($A1030="","",MOD(MONTH($A1030)-Setup!$B$6+12,12)+1)</f>
        <v/>
      </c>
      <c r="L1030" s="36" t="str">
        <f aca="false">IF($A1030="","",TEXT($A1030,"MMM-YY"))</f>
        <v/>
      </c>
      <c r="M1030" s="37" t="str">
        <f aca="false">IF($A1030="","",IF($Q1030=0,"UNMAPPED",INDEX(COA_Mapping!$C$7:$C$256,$Q1030)))</f>
        <v/>
      </c>
      <c r="N1030" s="38" t="str">
        <f aca="false">IF($A1030="","",IF($Q1030=0,"",INDEX(COA_Mapping!$E$7:$E$256,$Q1030)))</f>
        <v/>
      </c>
      <c r="O1030" s="38" t="n">
        <f aca="false">IF($A1030="",1,IF($Q1030=0,1,INDEX(COA_Mapping!$F$7:$F$256,$Q1030)))</f>
        <v>1</v>
      </c>
      <c r="P1030" s="34" t="str">
        <f aca="false">IF($A1030="","",$I1030*$O1030)</f>
        <v/>
      </c>
      <c r="Q1030" s="39" t="n">
        <f aca="false">IF($B1030="",0,IFERROR(MATCH($B1030,COA_Mapping!$A$7:$A$256,0),0))</f>
        <v>0</v>
      </c>
      <c r="R1030" s="39" t="n">
        <f aca="false">IF($A1030="",-1,IF($J1030=Setup!$B$7,1,IF($J1030=Setup!$B$9,0,-1)))</f>
        <v>-1</v>
      </c>
      <c r="S1030" s="35" t="n">
        <f aca="false">IF(OR($A1030="",$Q1030=0,$R1030=-1),0,$Q1030*1000+$R1030*100+$K1030)</f>
        <v>0</v>
      </c>
      <c r="T1030" s="37" t="str">
        <f aca="false">IF($A1030="","",IF($B1030="","NO ACCOUNT",IF($Q1030=0,"UNMAPPED",IF($R1030=-1,"OUTSIDE FY RANGE","OK"))))</f>
        <v/>
      </c>
      <c r="U1030" s="40" t="str">
        <f aca="false">IF($A1030="","",$B1030&amp;"|"&amp;TEXT($A1030,"yyyymmdd")&amp;"|"&amp;TEXT($I1030,"0.00"))</f>
        <v/>
      </c>
      <c r="V1030" s="35" t="str">
        <f aca="false">IF($A1030="","",COUNTIF($U$8:$U$5007,$U1030))</f>
        <v/>
      </c>
    </row>
    <row r="1031" customFormat="false" ht="15" hidden="false" customHeight="false" outlineLevel="0" collapsed="false">
      <c r="A1031" s="31"/>
      <c r="B1031" s="32"/>
      <c r="C1031" s="32"/>
      <c r="D1031" s="32"/>
      <c r="E1031" s="32"/>
      <c r="F1031" s="32"/>
      <c r="G1031" s="33"/>
      <c r="H1031" s="33"/>
      <c r="I1031" s="34" t="str">
        <f aca="false">IF($A1031="","",$G1031-$H1031)</f>
        <v/>
      </c>
      <c r="J1031" s="35" t="str">
        <f aca="false">IF($A1031="","",IF(Setup!$B$6=1,YEAR($A1031),YEAR($A1031)+IF(MONTH($A1031)&gt;=Setup!$B$6,1,0)))</f>
        <v/>
      </c>
      <c r="K1031" s="35" t="str">
        <f aca="false">IF($A1031="","",MOD(MONTH($A1031)-Setup!$B$6+12,12)+1)</f>
        <v/>
      </c>
      <c r="L1031" s="36" t="str">
        <f aca="false">IF($A1031="","",TEXT($A1031,"MMM-YY"))</f>
        <v/>
      </c>
      <c r="M1031" s="37" t="str">
        <f aca="false">IF($A1031="","",IF($Q1031=0,"UNMAPPED",INDEX(COA_Mapping!$C$7:$C$256,$Q1031)))</f>
        <v/>
      </c>
      <c r="N1031" s="38" t="str">
        <f aca="false">IF($A1031="","",IF($Q1031=0,"",INDEX(COA_Mapping!$E$7:$E$256,$Q1031)))</f>
        <v/>
      </c>
      <c r="O1031" s="38" t="n">
        <f aca="false">IF($A1031="",1,IF($Q1031=0,1,INDEX(COA_Mapping!$F$7:$F$256,$Q1031)))</f>
        <v>1</v>
      </c>
      <c r="P1031" s="34" t="str">
        <f aca="false">IF($A1031="","",$I1031*$O1031)</f>
        <v/>
      </c>
      <c r="Q1031" s="39" t="n">
        <f aca="false">IF($B1031="",0,IFERROR(MATCH($B1031,COA_Mapping!$A$7:$A$256,0),0))</f>
        <v>0</v>
      </c>
      <c r="R1031" s="39" t="n">
        <f aca="false">IF($A1031="",-1,IF($J1031=Setup!$B$7,1,IF($J1031=Setup!$B$9,0,-1)))</f>
        <v>-1</v>
      </c>
      <c r="S1031" s="35" t="n">
        <f aca="false">IF(OR($A1031="",$Q1031=0,$R1031=-1),0,$Q1031*1000+$R1031*100+$K1031)</f>
        <v>0</v>
      </c>
      <c r="T1031" s="37" t="str">
        <f aca="false">IF($A1031="","",IF($B1031="","NO ACCOUNT",IF($Q1031=0,"UNMAPPED",IF($R1031=-1,"OUTSIDE FY RANGE","OK"))))</f>
        <v/>
      </c>
      <c r="U1031" s="40" t="str">
        <f aca="false">IF($A1031="","",$B1031&amp;"|"&amp;TEXT($A1031,"yyyymmdd")&amp;"|"&amp;TEXT($I1031,"0.00"))</f>
        <v/>
      </c>
      <c r="V1031" s="35" t="str">
        <f aca="false">IF($A1031="","",COUNTIF($U$8:$U$5007,$U1031))</f>
        <v/>
      </c>
    </row>
    <row r="1032" customFormat="false" ht="15" hidden="false" customHeight="false" outlineLevel="0" collapsed="false">
      <c r="A1032" s="31"/>
      <c r="B1032" s="32"/>
      <c r="C1032" s="32"/>
      <c r="D1032" s="32"/>
      <c r="E1032" s="32"/>
      <c r="F1032" s="32"/>
      <c r="G1032" s="33"/>
      <c r="H1032" s="33"/>
      <c r="I1032" s="34" t="str">
        <f aca="false">IF($A1032="","",$G1032-$H1032)</f>
        <v/>
      </c>
      <c r="J1032" s="35" t="str">
        <f aca="false">IF($A1032="","",IF(Setup!$B$6=1,YEAR($A1032),YEAR($A1032)+IF(MONTH($A1032)&gt;=Setup!$B$6,1,0)))</f>
        <v/>
      </c>
      <c r="K1032" s="35" t="str">
        <f aca="false">IF($A1032="","",MOD(MONTH($A1032)-Setup!$B$6+12,12)+1)</f>
        <v/>
      </c>
      <c r="L1032" s="36" t="str">
        <f aca="false">IF($A1032="","",TEXT($A1032,"MMM-YY"))</f>
        <v/>
      </c>
      <c r="M1032" s="37" t="str">
        <f aca="false">IF($A1032="","",IF($Q1032=0,"UNMAPPED",INDEX(COA_Mapping!$C$7:$C$256,$Q1032)))</f>
        <v/>
      </c>
      <c r="N1032" s="38" t="str">
        <f aca="false">IF($A1032="","",IF($Q1032=0,"",INDEX(COA_Mapping!$E$7:$E$256,$Q1032)))</f>
        <v/>
      </c>
      <c r="O1032" s="38" t="n">
        <f aca="false">IF($A1032="",1,IF($Q1032=0,1,INDEX(COA_Mapping!$F$7:$F$256,$Q1032)))</f>
        <v>1</v>
      </c>
      <c r="P1032" s="34" t="str">
        <f aca="false">IF($A1032="","",$I1032*$O1032)</f>
        <v/>
      </c>
      <c r="Q1032" s="39" t="n">
        <f aca="false">IF($B1032="",0,IFERROR(MATCH($B1032,COA_Mapping!$A$7:$A$256,0),0))</f>
        <v>0</v>
      </c>
      <c r="R1032" s="39" t="n">
        <f aca="false">IF($A1032="",-1,IF($J1032=Setup!$B$7,1,IF($J1032=Setup!$B$9,0,-1)))</f>
        <v>-1</v>
      </c>
      <c r="S1032" s="35" t="n">
        <f aca="false">IF(OR($A1032="",$Q1032=0,$R1032=-1),0,$Q1032*1000+$R1032*100+$K1032)</f>
        <v>0</v>
      </c>
      <c r="T1032" s="37" t="str">
        <f aca="false">IF($A1032="","",IF($B1032="","NO ACCOUNT",IF($Q1032=0,"UNMAPPED",IF($R1032=-1,"OUTSIDE FY RANGE","OK"))))</f>
        <v/>
      </c>
      <c r="U1032" s="40" t="str">
        <f aca="false">IF($A1032="","",$B1032&amp;"|"&amp;TEXT($A1032,"yyyymmdd")&amp;"|"&amp;TEXT($I1032,"0.00"))</f>
        <v/>
      </c>
      <c r="V1032" s="35" t="str">
        <f aca="false">IF($A1032="","",COUNTIF($U$8:$U$5007,$U1032))</f>
        <v/>
      </c>
    </row>
    <row r="1033" customFormat="false" ht="15" hidden="false" customHeight="false" outlineLevel="0" collapsed="false">
      <c r="A1033" s="31"/>
      <c r="B1033" s="32"/>
      <c r="C1033" s="32"/>
      <c r="D1033" s="32"/>
      <c r="E1033" s="32"/>
      <c r="F1033" s="32"/>
      <c r="G1033" s="33"/>
      <c r="H1033" s="33"/>
      <c r="I1033" s="34" t="str">
        <f aca="false">IF($A1033="","",$G1033-$H1033)</f>
        <v/>
      </c>
      <c r="J1033" s="35" t="str">
        <f aca="false">IF($A1033="","",IF(Setup!$B$6=1,YEAR($A1033),YEAR($A1033)+IF(MONTH($A1033)&gt;=Setup!$B$6,1,0)))</f>
        <v/>
      </c>
      <c r="K1033" s="35" t="str">
        <f aca="false">IF($A1033="","",MOD(MONTH($A1033)-Setup!$B$6+12,12)+1)</f>
        <v/>
      </c>
      <c r="L1033" s="36" t="str">
        <f aca="false">IF($A1033="","",TEXT($A1033,"MMM-YY"))</f>
        <v/>
      </c>
      <c r="M1033" s="37" t="str">
        <f aca="false">IF($A1033="","",IF($Q1033=0,"UNMAPPED",INDEX(COA_Mapping!$C$7:$C$256,$Q1033)))</f>
        <v/>
      </c>
      <c r="N1033" s="38" t="str">
        <f aca="false">IF($A1033="","",IF($Q1033=0,"",INDEX(COA_Mapping!$E$7:$E$256,$Q1033)))</f>
        <v/>
      </c>
      <c r="O1033" s="38" t="n">
        <f aca="false">IF($A1033="",1,IF($Q1033=0,1,INDEX(COA_Mapping!$F$7:$F$256,$Q1033)))</f>
        <v>1</v>
      </c>
      <c r="P1033" s="34" t="str">
        <f aca="false">IF($A1033="","",$I1033*$O1033)</f>
        <v/>
      </c>
      <c r="Q1033" s="39" t="n">
        <f aca="false">IF($B1033="",0,IFERROR(MATCH($B1033,COA_Mapping!$A$7:$A$256,0),0))</f>
        <v>0</v>
      </c>
      <c r="R1033" s="39" t="n">
        <f aca="false">IF($A1033="",-1,IF($J1033=Setup!$B$7,1,IF($J1033=Setup!$B$9,0,-1)))</f>
        <v>-1</v>
      </c>
      <c r="S1033" s="35" t="n">
        <f aca="false">IF(OR($A1033="",$Q1033=0,$R1033=-1),0,$Q1033*1000+$R1033*100+$K1033)</f>
        <v>0</v>
      </c>
      <c r="T1033" s="37" t="str">
        <f aca="false">IF($A1033="","",IF($B1033="","NO ACCOUNT",IF($Q1033=0,"UNMAPPED",IF($R1033=-1,"OUTSIDE FY RANGE","OK"))))</f>
        <v/>
      </c>
      <c r="U1033" s="40" t="str">
        <f aca="false">IF($A1033="","",$B1033&amp;"|"&amp;TEXT($A1033,"yyyymmdd")&amp;"|"&amp;TEXT($I1033,"0.00"))</f>
        <v/>
      </c>
      <c r="V1033" s="35" t="str">
        <f aca="false">IF($A1033="","",COUNTIF($U$8:$U$5007,$U1033))</f>
        <v/>
      </c>
    </row>
    <row r="1034" customFormat="false" ht="15" hidden="false" customHeight="false" outlineLevel="0" collapsed="false">
      <c r="A1034" s="31"/>
      <c r="B1034" s="32"/>
      <c r="C1034" s="32"/>
      <c r="D1034" s="32"/>
      <c r="E1034" s="32"/>
      <c r="F1034" s="32"/>
      <c r="G1034" s="33"/>
      <c r="H1034" s="33"/>
      <c r="I1034" s="34" t="str">
        <f aca="false">IF($A1034="","",$G1034-$H1034)</f>
        <v/>
      </c>
      <c r="J1034" s="35" t="str">
        <f aca="false">IF($A1034="","",IF(Setup!$B$6=1,YEAR($A1034),YEAR($A1034)+IF(MONTH($A1034)&gt;=Setup!$B$6,1,0)))</f>
        <v/>
      </c>
      <c r="K1034" s="35" t="str">
        <f aca="false">IF($A1034="","",MOD(MONTH($A1034)-Setup!$B$6+12,12)+1)</f>
        <v/>
      </c>
      <c r="L1034" s="36" t="str">
        <f aca="false">IF($A1034="","",TEXT($A1034,"MMM-YY"))</f>
        <v/>
      </c>
      <c r="M1034" s="37" t="str">
        <f aca="false">IF($A1034="","",IF($Q1034=0,"UNMAPPED",INDEX(COA_Mapping!$C$7:$C$256,$Q1034)))</f>
        <v/>
      </c>
      <c r="N1034" s="38" t="str">
        <f aca="false">IF($A1034="","",IF($Q1034=0,"",INDEX(COA_Mapping!$E$7:$E$256,$Q1034)))</f>
        <v/>
      </c>
      <c r="O1034" s="38" t="n">
        <f aca="false">IF($A1034="",1,IF($Q1034=0,1,INDEX(COA_Mapping!$F$7:$F$256,$Q1034)))</f>
        <v>1</v>
      </c>
      <c r="P1034" s="34" t="str">
        <f aca="false">IF($A1034="","",$I1034*$O1034)</f>
        <v/>
      </c>
      <c r="Q1034" s="39" t="n">
        <f aca="false">IF($B1034="",0,IFERROR(MATCH($B1034,COA_Mapping!$A$7:$A$256,0),0))</f>
        <v>0</v>
      </c>
      <c r="R1034" s="39" t="n">
        <f aca="false">IF($A1034="",-1,IF($J1034=Setup!$B$7,1,IF($J1034=Setup!$B$9,0,-1)))</f>
        <v>-1</v>
      </c>
      <c r="S1034" s="35" t="n">
        <f aca="false">IF(OR($A1034="",$Q1034=0,$R1034=-1),0,$Q1034*1000+$R1034*100+$K1034)</f>
        <v>0</v>
      </c>
      <c r="T1034" s="37" t="str">
        <f aca="false">IF($A1034="","",IF($B1034="","NO ACCOUNT",IF($Q1034=0,"UNMAPPED",IF($R1034=-1,"OUTSIDE FY RANGE","OK"))))</f>
        <v/>
      </c>
      <c r="U1034" s="40" t="str">
        <f aca="false">IF($A1034="","",$B1034&amp;"|"&amp;TEXT($A1034,"yyyymmdd")&amp;"|"&amp;TEXT($I1034,"0.00"))</f>
        <v/>
      </c>
      <c r="V1034" s="35" t="str">
        <f aca="false">IF($A1034="","",COUNTIF($U$8:$U$5007,$U1034))</f>
        <v/>
      </c>
    </row>
    <row r="1035" customFormat="false" ht="15" hidden="false" customHeight="false" outlineLevel="0" collapsed="false">
      <c r="A1035" s="31"/>
      <c r="B1035" s="32"/>
      <c r="C1035" s="32"/>
      <c r="D1035" s="32"/>
      <c r="E1035" s="32"/>
      <c r="F1035" s="32"/>
      <c r="G1035" s="33"/>
      <c r="H1035" s="33"/>
      <c r="I1035" s="34" t="str">
        <f aca="false">IF($A1035="","",$G1035-$H1035)</f>
        <v/>
      </c>
      <c r="J1035" s="35" t="str">
        <f aca="false">IF($A1035="","",IF(Setup!$B$6=1,YEAR($A1035),YEAR($A1035)+IF(MONTH($A1035)&gt;=Setup!$B$6,1,0)))</f>
        <v/>
      </c>
      <c r="K1035" s="35" t="str">
        <f aca="false">IF($A1035="","",MOD(MONTH($A1035)-Setup!$B$6+12,12)+1)</f>
        <v/>
      </c>
      <c r="L1035" s="36" t="str">
        <f aca="false">IF($A1035="","",TEXT($A1035,"MMM-YY"))</f>
        <v/>
      </c>
      <c r="M1035" s="37" t="str">
        <f aca="false">IF($A1035="","",IF($Q1035=0,"UNMAPPED",INDEX(COA_Mapping!$C$7:$C$256,$Q1035)))</f>
        <v/>
      </c>
      <c r="N1035" s="38" t="str">
        <f aca="false">IF($A1035="","",IF($Q1035=0,"",INDEX(COA_Mapping!$E$7:$E$256,$Q1035)))</f>
        <v/>
      </c>
      <c r="O1035" s="38" t="n">
        <f aca="false">IF($A1035="",1,IF($Q1035=0,1,INDEX(COA_Mapping!$F$7:$F$256,$Q1035)))</f>
        <v>1</v>
      </c>
      <c r="P1035" s="34" t="str">
        <f aca="false">IF($A1035="","",$I1035*$O1035)</f>
        <v/>
      </c>
      <c r="Q1035" s="39" t="n">
        <f aca="false">IF($B1035="",0,IFERROR(MATCH($B1035,COA_Mapping!$A$7:$A$256,0),0))</f>
        <v>0</v>
      </c>
      <c r="R1035" s="39" t="n">
        <f aca="false">IF($A1035="",-1,IF($J1035=Setup!$B$7,1,IF($J1035=Setup!$B$9,0,-1)))</f>
        <v>-1</v>
      </c>
      <c r="S1035" s="35" t="n">
        <f aca="false">IF(OR($A1035="",$Q1035=0,$R1035=-1),0,$Q1035*1000+$R1035*100+$K1035)</f>
        <v>0</v>
      </c>
      <c r="T1035" s="37" t="str">
        <f aca="false">IF($A1035="","",IF($B1035="","NO ACCOUNT",IF($Q1035=0,"UNMAPPED",IF($R1035=-1,"OUTSIDE FY RANGE","OK"))))</f>
        <v/>
      </c>
      <c r="U1035" s="40" t="str">
        <f aca="false">IF($A1035="","",$B1035&amp;"|"&amp;TEXT($A1035,"yyyymmdd")&amp;"|"&amp;TEXT($I1035,"0.00"))</f>
        <v/>
      </c>
      <c r="V1035" s="35" t="str">
        <f aca="false">IF($A1035="","",COUNTIF($U$8:$U$5007,$U1035))</f>
        <v/>
      </c>
    </row>
    <row r="1036" customFormat="false" ht="15" hidden="false" customHeight="false" outlineLevel="0" collapsed="false">
      <c r="A1036" s="31"/>
      <c r="B1036" s="32"/>
      <c r="C1036" s="32"/>
      <c r="D1036" s="32"/>
      <c r="E1036" s="32"/>
      <c r="F1036" s="32"/>
      <c r="G1036" s="33"/>
      <c r="H1036" s="33"/>
      <c r="I1036" s="34" t="str">
        <f aca="false">IF($A1036="","",$G1036-$H1036)</f>
        <v/>
      </c>
      <c r="J1036" s="35" t="str">
        <f aca="false">IF($A1036="","",IF(Setup!$B$6=1,YEAR($A1036),YEAR($A1036)+IF(MONTH($A1036)&gt;=Setup!$B$6,1,0)))</f>
        <v/>
      </c>
      <c r="K1036" s="35" t="str">
        <f aca="false">IF($A1036="","",MOD(MONTH($A1036)-Setup!$B$6+12,12)+1)</f>
        <v/>
      </c>
      <c r="L1036" s="36" t="str">
        <f aca="false">IF($A1036="","",TEXT($A1036,"MMM-YY"))</f>
        <v/>
      </c>
      <c r="M1036" s="37" t="str">
        <f aca="false">IF($A1036="","",IF($Q1036=0,"UNMAPPED",INDEX(COA_Mapping!$C$7:$C$256,$Q1036)))</f>
        <v/>
      </c>
      <c r="N1036" s="38" t="str">
        <f aca="false">IF($A1036="","",IF($Q1036=0,"",INDEX(COA_Mapping!$E$7:$E$256,$Q1036)))</f>
        <v/>
      </c>
      <c r="O1036" s="38" t="n">
        <f aca="false">IF($A1036="",1,IF($Q1036=0,1,INDEX(COA_Mapping!$F$7:$F$256,$Q1036)))</f>
        <v>1</v>
      </c>
      <c r="P1036" s="34" t="str">
        <f aca="false">IF($A1036="","",$I1036*$O1036)</f>
        <v/>
      </c>
      <c r="Q1036" s="39" t="n">
        <f aca="false">IF($B1036="",0,IFERROR(MATCH($B1036,COA_Mapping!$A$7:$A$256,0),0))</f>
        <v>0</v>
      </c>
      <c r="R1036" s="39" t="n">
        <f aca="false">IF($A1036="",-1,IF($J1036=Setup!$B$7,1,IF($J1036=Setup!$B$9,0,-1)))</f>
        <v>-1</v>
      </c>
      <c r="S1036" s="35" t="n">
        <f aca="false">IF(OR($A1036="",$Q1036=0,$R1036=-1),0,$Q1036*1000+$R1036*100+$K1036)</f>
        <v>0</v>
      </c>
      <c r="T1036" s="37" t="str">
        <f aca="false">IF($A1036="","",IF($B1036="","NO ACCOUNT",IF($Q1036=0,"UNMAPPED",IF($R1036=-1,"OUTSIDE FY RANGE","OK"))))</f>
        <v/>
      </c>
      <c r="U1036" s="40" t="str">
        <f aca="false">IF($A1036="","",$B1036&amp;"|"&amp;TEXT($A1036,"yyyymmdd")&amp;"|"&amp;TEXT($I1036,"0.00"))</f>
        <v/>
      </c>
      <c r="V1036" s="35" t="str">
        <f aca="false">IF($A1036="","",COUNTIF($U$8:$U$5007,$U1036))</f>
        <v/>
      </c>
    </row>
    <row r="1037" customFormat="false" ht="15" hidden="false" customHeight="false" outlineLevel="0" collapsed="false">
      <c r="A1037" s="31"/>
      <c r="B1037" s="32"/>
      <c r="C1037" s="32"/>
      <c r="D1037" s="32"/>
      <c r="E1037" s="32"/>
      <c r="F1037" s="32"/>
      <c r="G1037" s="33"/>
      <c r="H1037" s="33"/>
      <c r="I1037" s="34" t="str">
        <f aca="false">IF($A1037="","",$G1037-$H1037)</f>
        <v/>
      </c>
      <c r="J1037" s="35" t="str">
        <f aca="false">IF($A1037="","",IF(Setup!$B$6=1,YEAR($A1037),YEAR($A1037)+IF(MONTH($A1037)&gt;=Setup!$B$6,1,0)))</f>
        <v/>
      </c>
      <c r="K1037" s="35" t="str">
        <f aca="false">IF($A1037="","",MOD(MONTH($A1037)-Setup!$B$6+12,12)+1)</f>
        <v/>
      </c>
      <c r="L1037" s="36" t="str">
        <f aca="false">IF($A1037="","",TEXT($A1037,"MMM-YY"))</f>
        <v/>
      </c>
      <c r="M1037" s="37" t="str">
        <f aca="false">IF($A1037="","",IF($Q1037=0,"UNMAPPED",INDEX(COA_Mapping!$C$7:$C$256,$Q1037)))</f>
        <v/>
      </c>
      <c r="N1037" s="38" t="str">
        <f aca="false">IF($A1037="","",IF($Q1037=0,"",INDEX(COA_Mapping!$E$7:$E$256,$Q1037)))</f>
        <v/>
      </c>
      <c r="O1037" s="38" t="n">
        <f aca="false">IF($A1037="",1,IF($Q1037=0,1,INDEX(COA_Mapping!$F$7:$F$256,$Q1037)))</f>
        <v>1</v>
      </c>
      <c r="P1037" s="34" t="str">
        <f aca="false">IF($A1037="","",$I1037*$O1037)</f>
        <v/>
      </c>
      <c r="Q1037" s="39" t="n">
        <f aca="false">IF($B1037="",0,IFERROR(MATCH($B1037,COA_Mapping!$A$7:$A$256,0),0))</f>
        <v>0</v>
      </c>
      <c r="R1037" s="39" t="n">
        <f aca="false">IF($A1037="",-1,IF($J1037=Setup!$B$7,1,IF($J1037=Setup!$B$9,0,-1)))</f>
        <v>-1</v>
      </c>
      <c r="S1037" s="35" t="n">
        <f aca="false">IF(OR($A1037="",$Q1037=0,$R1037=-1),0,$Q1037*1000+$R1037*100+$K1037)</f>
        <v>0</v>
      </c>
      <c r="T1037" s="37" t="str">
        <f aca="false">IF($A1037="","",IF($B1037="","NO ACCOUNT",IF($Q1037=0,"UNMAPPED",IF($R1037=-1,"OUTSIDE FY RANGE","OK"))))</f>
        <v/>
      </c>
      <c r="U1037" s="40" t="str">
        <f aca="false">IF($A1037="","",$B1037&amp;"|"&amp;TEXT($A1037,"yyyymmdd")&amp;"|"&amp;TEXT($I1037,"0.00"))</f>
        <v/>
      </c>
      <c r="V1037" s="35" t="str">
        <f aca="false">IF($A1037="","",COUNTIF($U$8:$U$5007,$U1037))</f>
        <v/>
      </c>
    </row>
    <row r="1038" customFormat="false" ht="15" hidden="false" customHeight="false" outlineLevel="0" collapsed="false">
      <c r="A1038" s="31"/>
      <c r="B1038" s="32"/>
      <c r="C1038" s="32"/>
      <c r="D1038" s="32"/>
      <c r="E1038" s="32"/>
      <c r="F1038" s="32"/>
      <c r="G1038" s="33"/>
      <c r="H1038" s="33"/>
      <c r="I1038" s="34" t="str">
        <f aca="false">IF($A1038="","",$G1038-$H1038)</f>
        <v/>
      </c>
      <c r="J1038" s="35" t="str">
        <f aca="false">IF($A1038="","",IF(Setup!$B$6=1,YEAR($A1038),YEAR($A1038)+IF(MONTH($A1038)&gt;=Setup!$B$6,1,0)))</f>
        <v/>
      </c>
      <c r="K1038" s="35" t="str">
        <f aca="false">IF($A1038="","",MOD(MONTH($A1038)-Setup!$B$6+12,12)+1)</f>
        <v/>
      </c>
      <c r="L1038" s="36" t="str">
        <f aca="false">IF($A1038="","",TEXT($A1038,"MMM-YY"))</f>
        <v/>
      </c>
      <c r="M1038" s="37" t="str">
        <f aca="false">IF($A1038="","",IF($Q1038=0,"UNMAPPED",INDEX(COA_Mapping!$C$7:$C$256,$Q1038)))</f>
        <v/>
      </c>
      <c r="N1038" s="38" t="str">
        <f aca="false">IF($A1038="","",IF($Q1038=0,"",INDEX(COA_Mapping!$E$7:$E$256,$Q1038)))</f>
        <v/>
      </c>
      <c r="O1038" s="38" t="n">
        <f aca="false">IF($A1038="",1,IF($Q1038=0,1,INDEX(COA_Mapping!$F$7:$F$256,$Q1038)))</f>
        <v>1</v>
      </c>
      <c r="P1038" s="34" t="str">
        <f aca="false">IF($A1038="","",$I1038*$O1038)</f>
        <v/>
      </c>
      <c r="Q1038" s="39" t="n">
        <f aca="false">IF($B1038="",0,IFERROR(MATCH($B1038,COA_Mapping!$A$7:$A$256,0),0))</f>
        <v>0</v>
      </c>
      <c r="R1038" s="39" t="n">
        <f aca="false">IF($A1038="",-1,IF($J1038=Setup!$B$7,1,IF($J1038=Setup!$B$9,0,-1)))</f>
        <v>-1</v>
      </c>
      <c r="S1038" s="35" t="n">
        <f aca="false">IF(OR($A1038="",$Q1038=0,$R1038=-1),0,$Q1038*1000+$R1038*100+$K1038)</f>
        <v>0</v>
      </c>
      <c r="T1038" s="37" t="str">
        <f aca="false">IF($A1038="","",IF($B1038="","NO ACCOUNT",IF($Q1038=0,"UNMAPPED",IF($R1038=-1,"OUTSIDE FY RANGE","OK"))))</f>
        <v/>
      </c>
      <c r="U1038" s="40" t="str">
        <f aca="false">IF($A1038="","",$B1038&amp;"|"&amp;TEXT($A1038,"yyyymmdd")&amp;"|"&amp;TEXT($I1038,"0.00"))</f>
        <v/>
      </c>
      <c r="V1038" s="35" t="str">
        <f aca="false">IF($A1038="","",COUNTIF($U$8:$U$5007,$U1038))</f>
        <v/>
      </c>
    </row>
    <row r="1039" customFormat="false" ht="15" hidden="false" customHeight="false" outlineLevel="0" collapsed="false">
      <c r="A1039" s="31"/>
      <c r="B1039" s="32"/>
      <c r="C1039" s="32"/>
      <c r="D1039" s="32"/>
      <c r="E1039" s="32"/>
      <c r="F1039" s="32"/>
      <c r="G1039" s="33"/>
      <c r="H1039" s="33"/>
      <c r="I1039" s="34" t="str">
        <f aca="false">IF($A1039="","",$G1039-$H1039)</f>
        <v/>
      </c>
      <c r="J1039" s="35" t="str">
        <f aca="false">IF($A1039="","",IF(Setup!$B$6=1,YEAR($A1039),YEAR($A1039)+IF(MONTH($A1039)&gt;=Setup!$B$6,1,0)))</f>
        <v/>
      </c>
      <c r="K1039" s="35" t="str">
        <f aca="false">IF($A1039="","",MOD(MONTH($A1039)-Setup!$B$6+12,12)+1)</f>
        <v/>
      </c>
      <c r="L1039" s="36" t="str">
        <f aca="false">IF($A1039="","",TEXT($A1039,"MMM-YY"))</f>
        <v/>
      </c>
      <c r="M1039" s="37" t="str">
        <f aca="false">IF($A1039="","",IF($Q1039=0,"UNMAPPED",INDEX(COA_Mapping!$C$7:$C$256,$Q1039)))</f>
        <v/>
      </c>
      <c r="N1039" s="38" t="str">
        <f aca="false">IF($A1039="","",IF($Q1039=0,"",INDEX(COA_Mapping!$E$7:$E$256,$Q1039)))</f>
        <v/>
      </c>
      <c r="O1039" s="38" t="n">
        <f aca="false">IF($A1039="",1,IF($Q1039=0,1,INDEX(COA_Mapping!$F$7:$F$256,$Q1039)))</f>
        <v>1</v>
      </c>
      <c r="P1039" s="34" t="str">
        <f aca="false">IF($A1039="","",$I1039*$O1039)</f>
        <v/>
      </c>
      <c r="Q1039" s="39" t="n">
        <f aca="false">IF($B1039="",0,IFERROR(MATCH($B1039,COA_Mapping!$A$7:$A$256,0),0))</f>
        <v>0</v>
      </c>
      <c r="R1039" s="39" t="n">
        <f aca="false">IF($A1039="",-1,IF($J1039=Setup!$B$7,1,IF($J1039=Setup!$B$9,0,-1)))</f>
        <v>-1</v>
      </c>
      <c r="S1039" s="35" t="n">
        <f aca="false">IF(OR($A1039="",$Q1039=0,$R1039=-1),0,$Q1039*1000+$R1039*100+$K1039)</f>
        <v>0</v>
      </c>
      <c r="T1039" s="37" t="str">
        <f aca="false">IF($A1039="","",IF($B1039="","NO ACCOUNT",IF($Q1039=0,"UNMAPPED",IF($R1039=-1,"OUTSIDE FY RANGE","OK"))))</f>
        <v/>
      </c>
      <c r="U1039" s="40" t="str">
        <f aca="false">IF($A1039="","",$B1039&amp;"|"&amp;TEXT($A1039,"yyyymmdd")&amp;"|"&amp;TEXT($I1039,"0.00"))</f>
        <v/>
      </c>
      <c r="V1039" s="35" t="str">
        <f aca="false">IF($A1039="","",COUNTIF($U$8:$U$5007,$U1039))</f>
        <v/>
      </c>
    </row>
    <row r="1040" customFormat="false" ht="15" hidden="false" customHeight="false" outlineLevel="0" collapsed="false">
      <c r="A1040" s="31"/>
      <c r="B1040" s="32"/>
      <c r="C1040" s="32"/>
      <c r="D1040" s="32"/>
      <c r="E1040" s="32"/>
      <c r="F1040" s="32"/>
      <c r="G1040" s="33"/>
      <c r="H1040" s="33"/>
      <c r="I1040" s="34" t="str">
        <f aca="false">IF($A1040="","",$G1040-$H1040)</f>
        <v/>
      </c>
      <c r="J1040" s="35" t="str">
        <f aca="false">IF($A1040="","",IF(Setup!$B$6=1,YEAR($A1040),YEAR($A1040)+IF(MONTH($A1040)&gt;=Setup!$B$6,1,0)))</f>
        <v/>
      </c>
      <c r="K1040" s="35" t="str">
        <f aca="false">IF($A1040="","",MOD(MONTH($A1040)-Setup!$B$6+12,12)+1)</f>
        <v/>
      </c>
      <c r="L1040" s="36" t="str">
        <f aca="false">IF($A1040="","",TEXT($A1040,"MMM-YY"))</f>
        <v/>
      </c>
      <c r="M1040" s="37" t="str">
        <f aca="false">IF($A1040="","",IF($Q1040=0,"UNMAPPED",INDEX(COA_Mapping!$C$7:$C$256,$Q1040)))</f>
        <v/>
      </c>
      <c r="N1040" s="38" t="str">
        <f aca="false">IF($A1040="","",IF($Q1040=0,"",INDEX(COA_Mapping!$E$7:$E$256,$Q1040)))</f>
        <v/>
      </c>
      <c r="O1040" s="38" t="n">
        <f aca="false">IF($A1040="",1,IF($Q1040=0,1,INDEX(COA_Mapping!$F$7:$F$256,$Q1040)))</f>
        <v>1</v>
      </c>
      <c r="P1040" s="34" t="str">
        <f aca="false">IF($A1040="","",$I1040*$O1040)</f>
        <v/>
      </c>
      <c r="Q1040" s="39" t="n">
        <f aca="false">IF($B1040="",0,IFERROR(MATCH($B1040,COA_Mapping!$A$7:$A$256,0),0))</f>
        <v>0</v>
      </c>
      <c r="R1040" s="39" t="n">
        <f aca="false">IF($A1040="",-1,IF($J1040=Setup!$B$7,1,IF($J1040=Setup!$B$9,0,-1)))</f>
        <v>-1</v>
      </c>
      <c r="S1040" s="35" t="n">
        <f aca="false">IF(OR($A1040="",$Q1040=0,$R1040=-1),0,$Q1040*1000+$R1040*100+$K1040)</f>
        <v>0</v>
      </c>
      <c r="T1040" s="37" t="str">
        <f aca="false">IF($A1040="","",IF($B1040="","NO ACCOUNT",IF($Q1040=0,"UNMAPPED",IF($R1040=-1,"OUTSIDE FY RANGE","OK"))))</f>
        <v/>
      </c>
      <c r="U1040" s="40" t="str">
        <f aca="false">IF($A1040="","",$B1040&amp;"|"&amp;TEXT($A1040,"yyyymmdd")&amp;"|"&amp;TEXT($I1040,"0.00"))</f>
        <v/>
      </c>
      <c r="V1040" s="35" t="str">
        <f aca="false">IF($A1040="","",COUNTIF($U$8:$U$5007,$U1040))</f>
        <v/>
      </c>
    </row>
    <row r="1041" customFormat="false" ht="15" hidden="false" customHeight="false" outlineLevel="0" collapsed="false">
      <c r="A1041" s="31"/>
      <c r="B1041" s="32"/>
      <c r="C1041" s="32"/>
      <c r="D1041" s="32"/>
      <c r="E1041" s="32"/>
      <c r="F1041" s="32"/>
      <c r="G1041" s="33"/>
      <c r="H1041" s="33"/>
      <c r="I1041" s="34" t="str">
        <f aca="false">IF($A1041="","",$G1041-$H1041)</f>
        <v/>
      </c>
      <c r="J1041" s="35" t="str">
        <f aca="false">IF($A1041="","",IF(Setup!$B$6=1,YEAR($A1041),YEAR($A1041)+IF(MONTH($A1041)&gt;=Setup!$B$6,1,0)))</f>
        <v/>
      </c>
      <c r="K1041" s="35" t="str">
        <f aca="false">IF($A1041="","",MOD(MONTH($A1041)-Setup!$B$6+12,12)+1)</f>
        <v/>
      </c>
      <c r="L1041" s="36" t="str">
        <f aca="false">IF($A1041="","",TEXT($A1041,"MMM-YY"))</f>
        <v/>
      </c>
      <c r="M1041" s="37" t="str">
        <f aca="false">IF($A1041="","",IF($Q1041=0,"UNMAPPED",INDEX(COA_Mapping!$C$7:$C$256,$Q1041)))</f>
        <v/>
      </c>
      <c r="N1041" s="38" t="str">
        <f aca="false">IF($A1041="","",IF($Q1041=0,"",INDEX(COA_Mapping!$E$7:$E$256,$Q1041)))</f>
        <v/>
      </c>
      <c r="O1041" s="38" t="n">
        <f aca="false">IF($A1041="",1,IF($Q1041=0,1,INDEX(COA_Mapping!$F$7:$F$256,$Q1041)))</f>
        <v>1</v>
      </c>
      <c r="P1041" s="34" t="str">
        <f aca="false">IF($A1041="","",$I1041*$O1041)</f>
        <v/>
      </c>
      <c r="Q1041" s="39" t="n">
        <f aca="false">IF($B1041="",0,IFERROR(MATCH($B1041,COA_Mapping!$A$7:$A$256,0),0))</f>
        <v>0</v>
      </c>
      <c r="R1041" s="39" t="n">
        <f aca="false">IF($A1041="",-1,IF($J1041=Setup!$B$7,1,IF($J1041=Setup!$B$9,0,-1)))</f>
        <v>-1</v>
      </c>
      <c r="S1041" s="35" t="n">
        <f aca="false">IF(OR($A1041="",$Q1041=0,$R1041=-1),0,$Q1041*1000+$R1041*100+$K1041)</f>
        <v>0</v>
      </c>
      <c r="T1041" s="37" t="str">
        <f aca="false">IF($A1041="","",IF($B1041="","NO ACCOUNT",IF($Q1041=0,"UNMAPPED",IF($R1041=-1,"OUTSIDE FY RANGE","OK"))))</f>
        <v/>
      </c>
      <c r="U1041" s="40" t="str">
        <f aca="false">IF($A1041="","",$B1041&amp;"|"&amp;TEXT($A1041,"yyyymmdd")&amp;"|"&amp;TEXT($I1041,"0.00"))</f>
        <v/>
      </c>
      <c r="V1041" s="35" t="str">
        <f aca="false">IF($A1041="","",COUNTIF($U$8:$U$5007,$U1041))</f>
        <v/>
      </c>
    </row>
    <row r="1042" customFormat="false" ht="15" hidden="false" customHeight="false" outlineLevel="0" collapsed="false">
      <c r="A1042" s="31"/>
      <c r="B1042" s="32"/>
      <c r="C1042" s="32"/>
      <c r="D1042" s="32"/>
      <c r="E1042" s="32"/>
      <c r="F1042" s="32"/>
      <c r="G1042" s="33"/>
      <c r="H1042" s="33"/>
      <c r="I1042" s="34" t="str">
        <f aca="false">IF($A1042="","",$G1042-$H1042)</f>
        <v/>
      </c>
      <c r="J1042" s="35" t="str">
        <f aca="false">IF($A1042="","",IF(Setup!$B$6=1,YEAR($A1042),YEAR($A1042)+IF(MONTH($A1042)&gt;=Setup!$B$6,1,0)))</f>
        <v/>
      </c>
      <c r="K1042" s="35" t="str">
        <f aca="false">IF($A1042="","",MOD(MONTH($A1042)-Setup!$B$6+12,12)+1)</f>
        <v/>
      </c>
      <c r="L1042" s="36" t="str">
        <f aca="false">IF($A1042="","",TEXT($A1042,"MMM-YY"))</f>
        <v/>
      </c>
      <c r="M1042" s="37" t="str">
        <f aca="false">IF($A1042="","",IF($Q1042=0,"UNMAPPED",INDEX(COA_Mapping!$C$7:$C$256,$Q1042)))</f>
        <v/>
      </c>
      <c r="N1042" s="38" t="str">
        <f aca="false">IF($A1042="","",IF($Q1042=0,"",INDEX(COA_Mapping!$E$7:$E$256,$Q1042)))</f>
        <v/>
      </c>
      <c r="O1042" s="38" t="n">
        <f aca="false">IF($A1042="",1,IF($Q1042=0,1,INDEX(COA_Mapping!$F$7:$F$256,$Q1042)))</f>
        <v>1</v>
      </c>
      <c r="P1042" s="34" t="str">
        <f aca="false">IF($A1042="","",$I1042*$O1042)</f>
        <v/>
      </c>
      <c r="Q1042" s="39" t="n">
        <f aca="false">IF($B1042="",0,IFERROR(MATCH($B1042,COA_Mapping!$A$7:$A$256,0),0))</f>
        <v>0</v>
      </c>
      <c r="R1042" s="39" t="n">
        <f aca="false">IF($A1042="",-1,IF($J1042=Setup!$B$7,1,IF($J1042=Setup!$B$9,0,-1)))</f>
        <v>-1</v>
      </c>
      <c r="S1042" s="35" t="n">
        <f aca="false">IF(OR($A1042="",$Q1042=0,$R1042=-1),0,$Q1042*1000+$R1042*100+$K1042)</f>
        <v>0</v>
      </c>
      <c r="T1042" s="37" t="str">
        <f aca="false">IF($A1042="","",IF($B1042="","NO ACCOUNT",IF($Q1042=0,"UNMAPPED",IF($R1042=-1,"OUTSIDE FY RANGE","OK"))))</f>
        <v/>
      </c>
      <c r="U1042" s="40" t="str">
        <f aca="false">IF($A1042="","",$B1042&amp;"|"&amp;TEXT($A1042,"yyyymmdd")&amp;"|"&amp;TEXT($I1042,"0.00"))</f>
        <v/>
      </c>
      <c r="V1042" s="35" t="str">
        <f aca="false">IF($A1042="","",COUNTIF($U$8:$U$5007,$U1042))</f>
        <v/>
      </c>
    </row>
    <row r="1043" customFormat="false" ht="15" hidden="false" customHeight="false" outlineLevel="0" collapsed="false">
      <c r="A1043" s="31"/>
      <c r="B1043" s="32"/>
      <c r="C1043" s="32"/>
      <c r="D1043" s="32"/>
      <c r="E1043" s="32"/>
      <c r="F1043" s="32"/>
      <c r="G1043" s="33"/>
      <c r="H1043" s="33"/>
      <c r="I1043" s="34" t="str">
        <f aca="false">IF($A1043="","",$G1043-$H1043)</f>
        <v/>
      </c>
      <c r="J1043" s="35" t="str">
        <f aca="false">IF($A1043="","",IF(Setup!$B$6=1,YEAR($A1043),YEAR($A1043)+IF(MONTH($A1043)&gt;=Setup!$B$6,1,0)))</f>
        <v/>
      </c>
      <c r="K1043" s="35" t="str">
        <f aca="false">IF($A1043="","",MOD(MONTH($A1043)-Setup!$B$6+12,12)+1)</f>
        <v/>
      </c>
      <c r="L1043" s="36" t="str">
        <f aca="false">IF($A1043="","",TEXT($A1043,"MMM-YY"))</f>
        <v/>
      </c>
      <c r="M1043" s="37" t="str">
        <f aca="false">IF($A1043="","",IF($Q1043=0,"UNMAPPED",INDEX(COA_Mapping!$C$7:$C$256,$Q1043)))</f>
        <v/>
      </c>
      <c r="N1043" s="38" t="str">
        <f aca="false">IF($A1043="","",IF($Q1043=0,"",INDEX(COA_Mapping!$E$7:$E$256,$Q1043)))</f>
        <v/>
      </c>
      <c r="O1043" s="38" t="n">
        <f aca="false">IF($A1043="",1,IF($Q1043=0,1,INDEX(COA_Mapping!$F$7:$F$256,$Q1043)))</f>
        <v>1</v>
      </c>
      <c r="P1043" s="34" t="str">
        <f aca="false">IF($A1043="","",$I1043*$O1043)</f>
        <v/>
      </c>
      <c r="Q1043" s="39" t="n">
        <f aca="false">IF($B1043="",0,IFERROR(MATCH($B1043,COA_Mapping!$A$7:$A$256,0),0))</f>
        <v>0</v>
      </c>
      <c r="R1043" s="39" t="n">
        <f aca="false">IF($A1043="",-1,IF($J1043=Setup!$B$7,1,IF($J1043=Setup!$B$9,0,-1)))</f>
        <v>-1</v>
      </c>
      <c r="S1043" s="35" t="n">
        <f aca="false">IF(OR($A1043="",$Q1043=0,$R1043=-1),0,$Q1043*1000+$R1043*100+$K1043)</f>
        <v>0</v>
      </c>
      <c r="T1043" s="37" t="str">
        <f aca="false">IF($A1043="","",IF($B1043="","NO ACCOUNT",IF($Q1043=0,"UNMAPPED",IF($R1043=-1,"OUTSIDE FY RANGE","OK"))))</f>
        <v/>
      </c>
      <c r="U1043" s="40" t="str">
        <f aca="false">IF($A1043="","",$B1043&amp;"|"&amp;TEXT($A1043,"yyyymmdd")&amp;"|"&amp;TEXT($I1043,"0.00"))</f>
        <v/>
      </c>
      <c r="V1043" s="35" t="str">
        <f aca="false">IF($A1043="","",COUNTIF($U$8:$U$5007,$U1043))</f>
        <v/>
      </c>
    </row>
    <row r="1044" customFormat="false" ht="15" hidden="false" customHeight="false" outlineLevel="0" collapsed="false">
      <c r="A1044" s="31"/>
      <c r="B1044" s="32"/>
      <c r="C1044" s="32"/>
      <c r="D1044" s="32"/>
      <c r="E1044" s="32"/>
      <c r="F1044" s="32"/>
      <c r="G1044" s="33"/>
      <c r="H1044" s="33"/>
      <c r="I1044" s="34" t="str">
        <f aca="false">IF($A1044="","",$G1044-$H1044)</f>
        <v/>
      </c>
      <c r="J1044" s="35" t="str">
        <f aca="false">IF($A1044="","",IF(Setup!$B$6=1,YEAR($A1044),YEAR($A1044)+IF(MONTH($A1044)&gt;=Setup!$B$6,1,0)))</f>
        <v/>
      </c>
      <c r="K1044" s="35" t="str">
        <f aca="false">IF($A1044="","",MOD(MONTH($A1044)-Setup!$B$6+12,12)+1)</f>
        <v/>
      </c>
      <c r="L1044" s="36" t="str">
        <f aca="false">IF($A1044="","",TEXT($A1044,"MMM-YY"))</f>
        <v/>
      </c>
      <c r="M1044" s="37" t="str">
        <f aca="false">IF($A1044="","",IF($Q1044=0,"UNMAPPED",INDEX(COA_Mapping!$C$7:$C$256,$Q1044)))</f>
        <v/>
      </c>
      <c r="N1044" s="38" t="str">
        <f aca="false">IF($A1044="","",IF($Q1044=0,"",INDEX(COA_Mapping!$E$7:$E$256,$Q1044)))</f>
        <v/>
      </c>
      <c r="O1044" s="38" t="n">
        <f aca="false">IF($A1044="",1,IF($Q1044=0,1,INDEX(COA_Mapping!$F$7:$F$256,$Q1044)))</f>
        <v>1</v>
      </c>
      <c r="P1044" s="34" t="str">
        <f aca="false">IF($A1044="","",$I1044*$O1044)</f>
        <v/>
      </c>
      <c r="Q1044" s="39" t="n">
        <f aca="false">IF($B1044="",0,IFERROR(MATCH($B1044,COA_Mapping!$A$7:$A$256,0),0))</f>
        <v>0</v>
      </c>
      <c r="R1044" s="39" t="n">
        <f aca="false">IF($A1044="",-1,IF($J1044=Setup!$B$7,1,IF($J1044=Setup!$B$9,0,-1)))</f>
        <v>-1</v>
      </c>
      <c r="S1044" s="35" t="n">
        <f aca="false">IF(OR($A1044="",$Q1044=0,$R1044=-1),0,$Q1044*1000+$R1044*100+$K1044)</f>
        <v>0</v>
      </c>
      <c r="T1044" s="37" t="str">
        <f aca="false">IF($A1044="","",IF($B1044="","NO ACCOUNT",IF($Q1044=0,"UNMAPPED",IF($R1044=-1,"OUTSIDE FY RANGE","OK"))))</f>
        <v/>
      </c>
      <c r="U1044" s="40" t="str">
        <f aca="false">IF($A1044="","",$B1044&amp;"|"&amp;TEXT($A1044,"yyyymmdd")&amp;"|"&amp;TEXT($I1044,"0.00"))</f>
        <v/>
      </c>
      <c r="V1044" s="35" t="str">
        <f aca="false">IF($A1044="","",COUNTIF($U$8:$U$5007,$U1044))</f>
        <v/>
      </c>
    </row>
    <row r="1045" customFormat="false" ht="15" hidden="false" customHeight="false" outlineLevel="0" collapsed="false">
      <c r="A1045" s="31"/>
      <c r="B1045" s="32"/>
      <c r="C1045" s="32"/>
      <c r="D1045" s="32"/>
      <c r="E1045" s="32"/>
      <c r="F1045" s="32"/>
      <c r="G1045" s="33"/>
      <c r="H1045" s="33"/>
      <c r="I1045" s="34" t="str">
        <f aca="false">IF($A1045="","",$G1045-$H1045)</f>
        <v/>
      </c>
      <c r="J1045" s="35" t="str">
        <f aca="false">IF($A1045="","",IF(Setup!$B$6=1,YEAR($A1045),YEAR($A1045)+IF(MONTH($A1045)&gt;=Setup!$B$6,1,0)))</f>
        <v/>
      </c>
      <c r="K1045" s="35" t="str">
        <f aca="false">IF($A1045="","",MOD(MONTH($A1045)-Setup!$B$6+12,12)+1)</f>
        <v/>
      </c>
      <c r="L1045" s="36" t="str">
        <f aca="false">IF($A1045="","",TEXT($A1045,"MMM-YY"))</f>
        <v/>
      </c>
      <c r="M1045" s="37" t="str">
        <f aca="false">IF($A1045="","",IF($Q1045=0,"UNMAPPED",INDEX(COA_Mapping!$C$7:$C$256,$Q1045)))</f>
        <v/>
      </c>
      <c r="N1045" s="38" t="str">
        <f aca="false">IF($A1045="","",IF($Q1045=0,"",INDEX(COA_Mapping!$E$7:$E$256,$Q1045)))</f>
        <v/>
      </c>
      <c r="O1045" s="38" t="n">
        <f aca="false">IF($A1045="",1,IF($Q1045=0,1,INDEX(COA_Mapping!$F$7:$F$256,$Q1045)))</f>
        <v>1</v>
      </c>
      <c r="P1045" s="34" t="str">
        <f aca="false">IF($A1045="","",$I1045*$O1045)</f>
        <v/>
      </c>
      <c r="Q1045" s="39" t="n">
        <f aca="false">IF($B1045="",0,IFERROR(MATCH($B1045,COA_Mapping!$A$7:$A$256,0),0))</f>
        <v>0</v>
      </c>
      <c r="R1045" s="39" t="n">
        <f aca="false">IF($A1045="",-1,IF($J1045=Setup!$B$7,1,IF($J1045=Setup!$B$9,0,-1)))</f>
        <v>-1</v>
      </c>
      <c r="S1045" s="35" t="n">
        <f aca="false">IF(OR($A1045="",$Q1045=0,$R1045=-1),0,$Q1045*1000+$R1045*100+$K1045)</f>
        <v>0</v>
      </c>
      <c r="T1045" s="37" t="str">
        <f aca="false">IF($A1045="","",IF($B1045="","NO ACCOUNT",IF($Q1045=0,"UNMAPPED",IF($R1045=-1,"OUTSIDE FY RANGE","OK"))))</f>
        <v/>
      </c>
      <c r="U1045" s="40" t="str">
        <f aca="false">IF($A1045="","",$B1045&amp;"|"&amp;TEXT($A1045,"yyyymmdd")&amp;"|"&amp;TEXT($I1045,"0.00"))</f>
        <v/>
      </c>
      <c r="V1045" s="35" t="str">
        <f aca="false">IF($A1045="","",COUNTIF($U$8:$U$5007,$U1045))</f>
        <v/>
      </c>
    </row>
    <row r="1046" customFormat="false" ht="15" hidden="false" customHeight="false" outlineLevel="0" collapsed="false">
      <c r="A1046" s="31"/>
      <c r="B1046" s="32"/>
      <c r="C1046" s="32"/>
      <c r="D1046" s="32"/>
      <c r="E1046" s="32"/>
      <c r="F1046" s="32"/>
      <c r="G1046" s="33"/>
      <c r="H1046" s="33"/>
      <c r="I1046" s="34" t="str">
        <f aca="false">IF($A1046="","",$G1046-$H1046)</f>
        <v/>
      </c>
      <c r="J1046" s="35" t="str">
        <f aca="false">IF($A1046="","",IF(Setup!$B$6=1,YEAR($A1046),YEAR($A1046)+IF(MONTH($A1046)&gt;=Setup!$B$6,1,0)))</f>
        <v/>
      </c>
      <c r="K1046" s="35" t="str">
        <f aca="false">IF($A1046="","",MOD(MONTH($A1046)-Setup!$B$6+12,12)+1)</f>
        <v/>
      </c>
      <c r="L1046" s="36" t="str">
        <f aca="false">IF($A1046="","",TEXT($A1046,"MMM-YY"))</f>
        <v/>
      </c>
      <c r="M1046" s="37" t="str">
        <f aca="false">IF($A1046="","",IF($Q1046=0,"UNMAPPED",INDEX(COA_Mapping!$C$7:$C$256,$Q1046)))</f>
        <v/>
      </c>
      <c r="N1046" s="38" t="str">
        <f aca="false">IF($A1046="","",IF($Q1046=0,"",INDEX(COA_Mapping!$E$7:$E$256,$Q1046)))</f>
        <v/>
      </c>
      <c r="O1046" s="38" t="n">
        <f aca="false">IF($A1046="",1,IF($Q1046=0,1,INDEX(COA_Mapping!$F$7:$F$256,$Q1046)))</f>
        <v>1</v>
      </c>
      <c r="P1046" s="34" t="str">
        <f aca="false">IF($A1046="","",$I1046*$O1046)</f>
        <v/>
      </c>
      <c r="Q1046" s="39" t="n">
        <f aca="false">IF($B1046="",0,IFERROR(MATCH($B1046,COA_Mapping!$A$7:$A$256,0),0))</f>
        <v>0</v>
      </c>
      <c r="R1046" s="39" t="n">
        <f aca="false">IF($A1046="",-1,IF($J1046=Setup!$B$7,1,IF($J1046=Setup!$B$9,0,-1)))</f>
        <v>-1</v>
      </c>
      <c r="S1046" s="35" t="n">
        <f aca="false">IF(OR($A1046="",$Q1046=0,$R1046=-1),0,$Q1046*1000+$R1046*100+$K1046)</f>
        <v>0</v>
      </c>
      <c r="T1046" s="37" t="str">
        <f aca="false">IF($A1046="","",IF($B1046="","NO ACCOUNT",IF($Q1046=0,"UNMAPPED",IF($R1046=-1,"OUTSIDE FY RANGE","OK"))))</f>
        <v/>
      </c>
      <c r="U1046" s="40" t="str">
        <f aca="false">IF($A1046="","",$B1046&amp;"|"&amp;TEXT($A1046,"yyyymmdd")&amp;"|"&amp;TEXT($I1046,"0.00"))</f>
        <v/>
      </c>
      <c r="V1046" s="35" t="str">
        <f aca="false">IF($A1046="","",COUNTIF($U$8:$U$5007,$U1046))</f>
        <v/>
      </c>
    </row>
    <row r="1047" customFormat="false" ht="15" hidden="false" customHeight="false" outlineLevel="0" collapsed="false">
      <c r="A1047" s="31"/>
      <c r="B1047" s="32"/>
      <c r="C1047" s="32"/>
      <c r="D1047" s="32"/>
      <c r="E1047" s="32"/>
      <c r="F1047" s="32"/>
      <c r="G1047" s="33"/>
      <c r="H1047" s="33"/>
      <c r="I1047" s="34" t="str">
        <f aca="false">IF($A1047="","",$G1047-$H1047)</f>
        <v/>
      </c>
      <c r="J1047" s="35" t="str">
        <f aca="false">IF($A1047="","",IF(Setup!$B$6=1,YEAR($A1047),YEAR($A1047)+IF(MONTH($A1047)&gt;=Setup!$B$6,1,0)))</f>
        <v/>
      </c>
      <c r="K1047" s="35" t="str">
        <f aca="false">IF($A1047="","",MOD(MONTH($A1047)-Setup!$B$6+12,12)+1)</f>
        <v/>
      </c>
      <c r="L1047" s="36" t="str">
        <f aca="false">IF($A1047="","",TEXT($A1047,"MMM-YY"))</f>
        <v/>
      </c>
      <c r="M1047" s="37" t="str">
        <f aca="false">IF($A1047="","",IF($Q1047=0,"UNMAPPED",INDEX(COA_Mapping!$C$7:$C$256,$Q1047)))</f>
        <v/>
      </c>
      <c r="N1047" s="38" t="str">
        <f aca="false">IF($A1047="","",IF($Q1047=0,"",INDEX(COA_Mapping!$E$7:$E$256,$Q1047)))</f>
        <v/>
      </c>
      <c r="O1047" s="38" t="n">
        <f aca="false">IF($A1047="",1,IF($Q1047=0,1,INDEX(COA_Mapping!$F$7:$F$256,$Q1047)))</f>
        <v>1</v>
      </c>
      <c r="P1047" s="34" t="str">
        <f aca="false">IF($A1047="","",$I1047*$O1047)</f>
        <v/>
      </c>
      <c r="Q1047" s="39" t="n">
        <f aca="false">IF($B1047="",0,IFERROR(MATCH($B1047,COA_Mapping!$A$7:$A$256,0),0))</f>
        <v>0</v>
      </c>
      <c r="R1047" s="39" t="n">
        <f aca="false">IF($A1047="",-1,IF($J1047=Setup!$B$7,1,IF($J1047=Setup!$B$9,0,-1)))</f>
        <v>-1</v>
      </c>
      <c r="S1047" s="35" t="n">
        <f aca="false">IF(OR($A1047="",$Q1047=0,$R1047=-1),0,$Q1047*1000+$R1047*100+$K1047)</f>
        <v>0</v>
      </c>
      <c r="T1047" s="37" t="str">
        <f aca="false">IF($A1047="","",IF($B1047="","NO ACCOUNT",IF($Q1047=0,"UNMAPPED",IF($R1047=-1,"OUTSIDE FY RANGE","OK"))))</f>
        <v/>
      </c>
      <c r="U1047" s="40" t="str">
        <f aca="false">IF($A1047="","",$B1047&amp;"|"&amp;TEXT($A1047,"yyyymmdd")&amp;"|"&amp;TEXT($I1047,"0.00"))</f>
        <v/>
      </c>
      <c r="V1047" s="35" t="str">
        <f aca="false">IF($A1047="","",COUNTIF($U$8:$U$5007,$U1047))</f>
        <v/>
      </c>
    </row>
    <row r="1048" customFormat="false" ht="15" hidden="false" customHeight="false" outlineLevel="0" collapsed="false">
      <c r="A1048" s="31"/>
      <c r="B1048" s="32"/>
      <c r="C1048" s="32"/>
      <c r="D1048" s="32"/>
      <c r="E1048" s="32"/>
      <c r="F1048" s="32"/>
      <c r="G1048" s="33"/>
      <c r="H1048" s="33"/>
      <c r="I1048" s="34" t="str">
        <f aca="false">IF($A1048="","",$G1048-$H1048)</f>
        <v/>
      </c>
      <c r="J1048" s="35" t="str">
        <f aca="false">IF($A1048="","",IF(Setup!$B$6=1,YEAR($A1048),YEAR($A1048)+IF(MONTH($A1048)&gt;=Setup!$B$6,1,0)))</f>
        <v/>
      </c>
      <c r="K1048" s="35" t="str">
        <f aca="false">IF($A1048="","",MOD(MONTH($A1048)-Setup!$B$6+12,12)+1)</f>
        <v/>
      </c>
      <c r="L1048" s="36" t="str">
        <f aca="false">IF($A1048="","",TEXT($A1048,"MMM-YY"))</f>
        <v/>
      </c>
      <c r="M1048" s="37" t="str">
        <f aca="false">IF($A1048="","",IF($Q1048=0,"UNMAPPED",INDEX(COA_Mapping!$C$7:$C$256,$Q1048)))</f>
        <v/>
      </c>
      <c r="N1048" s="38" t="str">
        <f aca="false">IF($A1048="","",IF($Q1048=0,"",INDEX(COA_Mapping!$E$7:$E$256,$Q1048)))</f>
        <v/>
      </c>
      <c r="O1048" s="38" t="n">
        <f aca="false">IF($A1048="",1,IF($Q1048=0,1,INDEX(COA_Mapping!$F$7:$F$256,$Q1048)))</f>
        <v>1</v>
      </c>
      <c r="P1048" s="34" t="str">
        <f aca="false">IF($A1048="","",$I1048*$O1048)</f>
        <v/>
      </c>
      <c r="Q1048" s="39" t="n">
        <f aca="false">IF($B1048="",0,IFERROR(MATCH($B1048,COA_Mapping!$A$7:$A$256,0),0))</f>
        <v>0</v>
      </c>
      <c r="R1048" s="39" t="n">
        <f aca="false">IF($A1048="",-1,IF($J1048=Setup!$B$7,1,IF($J1048=Setup!$B$9,0,-1)))</f>
        <v>-1</v>
      </c>
      <c r="S1048" s="35" t="n">
        <f aca="false">IF(OR($A1048="",$Q1048=0,$R1048=-1),0,$Q1048*1000+$R1048*100+$K1048)</f>
        <v>0</v>
      </c>
      <c r="T1048" s="37" t="str">
        <f aca="false">IF($A1048="","",IF($B1048="","NO ACCOUNT",IF($Q1048=0,"UNMAPPED",IF($R1048=-1,"OUTSIDE FY RANGE","OK"))))</f>
        <v/>
      </c>
      <c r="U1048" s="40" t="str">
        <f aca="false">IF($A1048="","",$B1048&amp;"|"&amp;TEXT($A1048,"yyyymmdd")&amp;"|"&amp;TEXT($I1048,"0.00"))</f>
        <v/>
      </c>
      <c r="V1048" s="35" t="str">
        <f aca="false">IF($A1048="","",COUNTIF($U$8:$U$5007,$U1048))</f>
        <v/>
      </c>
    </row>
    <row r="1049" customFormat="false" ht="15" hidden="false" customHeight="false" outlineLevel="0" collapsed="false">
      <c r="A1049" s="31"/>
      <c r="B1049" s="32"/>
      <c r="C1049" s="32"/>
      <c r="D1049" s="32"/>
      <c r="E1049" s="32"/>
      <c r="F1049" s="32"/>
      <c r="G1049" s="33"/>
      <c r="H1049" s="33"/>
      <c r="I1049" s="34" t="str">
        <f aca="false">IF($A1049="","",$G1049-$H1049)</f>
        <v/>
      </c>
      <c r="J1049" s="35" t="str">
        <f aca="false">IF($A1049="","",IF(Setup!$B$6=1,YEAR($A1049),YEAR($A1049)+IF(MONTH($A1049)&gt;=Setup!$B$6,1,0)))</f>
        <v/>
      </c>
      <c r="K1049" s="35" t="str">
        <f aca="false">IF($A1049="","",MOD(MONTH($A1049)-Setup!$B$6+12,12)+1)</f>
        <v/>
      </c>
      <c r="L1049" s="36" t="str">
        <f aca="false">IF($A1049="","",TEXT($A1049,"MMM-YY"))</f>
        <v/>
      </c>
      <c r="M1049" s="37" t="str">
        <f aca="false">IF($A1049="","",IF($Q1049=0,"UNMAPPED",INDEX(COA_Mapping!$C$7:$C$256,$Q1049)))</f>
        <v/>
      </c>
      <c r="N1049" s="38" t="str">
        <f aca="false">IF($A1049="","",IF($Q1049=0,"",INDEX(COA_Mapping!$E$7:$E$256,$Q1049)))</f>
        <v/>
      </c>
      <c r="O1049" s="38" t="n">
        <f aca="false">IF($A1049="",1,IF($Q1049=0,1,INDEX(COA_Mapping!$F$7:$F$256,$Q1049)))</f>
        <v>1</v>
      </c>
      <c r="P1049" s="34" t="str">
        <f aca="false">IF($A1049="","",$I1049*$O1049)</f>
        <v/>
      </c>
      <c r="Q1049" s="39" t="n">
        <f aca="false">IF($B1049="",0,IFERROR(MATCH($B1049,COA_Mapping!$A$7:$A$256,0),0))</f>
        <v>0</v>
      </c>
      <c r="R1049" s="39" t="n">
        <f aca="false">IF($A1049="",-1,IF($J1049=Setup!$B$7,1,IF($J1049=Setup!$B$9,0,-1)))</f>
        <v>-1</v>
      </c>
      <c r="S1049" s="35" t="n">
        <f aca="false">IF(OR($A1049="",$Q1049=0,$R1049=-1),0,$Q1049*1000+$R1049*100+$K1049)</f>
        <v>0</v>
      </c>
      <c r="T1049" s="37" t="str">
        <f aca="false">IF($A1049="","",IF($B1049="","NO ACCOUNT",IF($Q1049=0,"UNMAPPED",IF($R1049=-1,"OUTSIDE FY RANGE","OK"))))</f>
        <v/>
      </c>
      <c r="U1049" s="40" t="str">
        <f aca="false">IF($A1049="","",$B1049&amp;"|"&amp;TEXT($A1049,"yyyymmdd")&amp;"|"&amp;TEXT($I1049,"0.00"))</f>
        <v/>
      </c>
      <c r="V1049" s="35" t="str">
        <f aca="false">IF($A1049="","",COUNTIF($U$8:$U$5007,$U1049))</f>
        <v/>
      </c>
    </row>
    <row r="1050" customFormat="false" ht="15" hidden="false" customHeight="false" outlineLevel="0" collapsed="false">
      <c r="A1050" s="31"/>
      <c r="B1050" s="32"/>
      <c r="C1050" s="32"/>
      <c r="D1050" s="32"/>
      <c r="E1050" s="32"/>
      <c r="F1050" s="32"/>
      <c r="G1050" s="33"/>
      <c r="H1050" s="33"/>
      <c r="I1050" s="34" t="str">
        <f aca="false">IF($A1050="","",$G1050-$H1050)</f>
        <v/>
      </c>
      <c r="J1050" s="35" t="str">
        <f aca="false">IF($A1050="","",IF(Setup!$B$6=1,YEAR($A1050),YEAR($A1050)+IF(MONTH($A1050)&gt;=Setup!$B$6,1,0)))</f>
        <v/>
      </c>
      <c r="K1050" s="35" t="str">
        <f aca="false">IF($A1050="","",MOD(MONTH($A1050)-Setup!$B$6+12,12)+1)</f>
        <v/>
      </c>
      <c r="L1050" s="36" t="str">
        <f aca="false">IF($A1050="","",TEXT($A1050,"MMM-YY"))</f>
        <v/>
      </c>
      <c r="M1050" s="37" t="str">
        <f aca="false">IF($A1050="","",IF($Q1050=0,"UNMAPPED",INDEX(COA_Mapping!$C$7:$C$256,$Q1050)))</f>
        <v/>
      </c>
      <c r="N1050" s="38" t="str">
        <f aca="false">IF($A1050="","",IF($Q1050=0,"",INDEX(COA_Mapping!$E$7:$E$256,$Q1050)))</f>
        <v/>
      </c>
      <c r="O1050" s="38" t="n">
        <f aca="false">IF($A1050="",1,IF($Q1050=0,1,INDEX(COA_Mapping!$F$7:$F$256,$Q1050)))</f>
        <v>1</v>
      </c>
      <c r="P1050" s="34" t="str">
        <f aca="false">IF($A1050="","",$I1050*$O1050)</f>
        <v/>
      </c>
      <c r="Q1050" s="39" t="n">
        <f aca="false">IF($B1050="",0,IFERROR(MATCH($B1050,COA_Mapping!$A$7:$A$256,0),0))</f>
        <v>0</v>
      </c>
      <c r="R1050" s="39" t="n">
        <f aca="false">IF($A1050="",-1,IF($J1050=Setup!$B$7,1,IF($J1050=Setup!$B$9,0,-1)))</f>
        <v>-1</v>
      </c>
      <c r="S1050" s="35" t="n">
        <f aca="false">IF(OR($A1050="",$Q1050=0,$R1050=-1),0,$Q1050*1000+$R1050*100+$K1050)</f>
        <v>0</v>
      </c>
      <c r="T1050" s="37" t="str">
        <f aca="false">IF($A1050="","",IF($B1050="","NO ACCOUNT",IF($Q1050=0,"UNMAPPED",IF($R1050=-1,"OUTSIDE FY RANGE","OK"))))</f>
        <v/>
      </c>
      <c r="U1050" s="40" t="str">
        <f aca="false">IF($A1050="","",$B1050&amp;"|"&amp;TEXT($A1050,"yyyymmdd")&amp;"|"&amp;TEXT($I1050,"0.00"))</f>
        <v/>
      </c>
      <c r="V1050" s="35" t="str">
        <f aca="false">IF($A1050="","",COUNTIF($U$8:$U$5007,$U1050))</f>
        <v/>
      </c>
    </row>
    <row r="1051" customFormat="false" ht="15" hidden="false" customHeight="false" outlineLevel="0" collapsed="false">
      <c r="A1051" s="31"/>
      <c r="B1051" s="32"/>
      <c r="C1051" s="32"/>
      <c r="D1051" s="32"/>
      <c r="E1051" s="32"/>
      <c r="F1051" s="32"/>
      <c r="G1051" s="33"/>
      <c r="H1051" s="33"/>
      <c r="I1051" s="34" t="str">
        <f aca="false">IF($A1051="","",$G1051-$H1051)</f>
        <v/>
      </c>
      <c r="J1051" s="35" t="str">
        <f aca="false">IF($A1051="","",IF(Setup!$B$6=1,YEAR($A1051),YEAR($A1051)+IF(MONTH($A1051)&gt;=Setup!$B$6,1,0)))</f>
        <v/>
      </c>
      <c r="K1051" s="35" t="str">
        <f aca="false">IF($A1051="","",MOD(MONTH($A1051)-Setup!$B$6+12,12)+1)</f>
        <v/>
      </c>
      <c r="L1051" s="36" t="str">
        <f aca="false">IF($A1051="","",TEXT($A1051,"MMM-YY"))</f>
        <v/>
      </c>
      <c r="M1051" s="37" t="str">
        <f aca="false">IF($A1051="","",IF($Q1051=0,"UNMAPPED",INDEX(COA_Mapping!$C$7:$C$256,$Q1051)))</f>
        <v/>
      </c>
      <c r="N1051" s="38" t="str">
        <f aca="false">IF($A1051="","",IF($Q1051=0,"",INDEX(COA_Mapping!$E$7:$E$256,$Q1051)))</f>
        <v/>
      </c>
      <c r="O1051" s="38" t="n">
        <f aca="false">IF($A1051="",1,IF($Q1051=0,1,INDEX(COA_Mapping!$F$7:$F$256,$Q1051)))</f>
        <v>1</v>
      </c>
      <c r="P1051" s="34" t="str">
        <f aca="false">IF($A1051="","",$I1051*$O1051)</f>
        <v/>
      </c>
      <c r="Q1051" s="39" t="n">
        <f aca="false">IF($B1051="",0,IFERROR(MATCH($B1051,COA_Mapping!$A$7:$A$256,0),0))</f>
        <v>0</v>
      </c>
      <c r="R1051" s="39" t="n">
        <f aca="false">IF($A1051="",-1,IF($J1051=Setup!$B$7,1,IF($J1051=Setup!$B$9,0,-1)))</f>
        <v>-1</v>
      </c>
      <c r="S1051" s="35" t="n">
        <f aca="false">IF(OR($A1051="",$Q1051=0,$R1051=-1),0,$Q1051*1000+$R1051*100+$K1051)</f>
        <v>0</v>
      </c>
      <c r="T1051" s="37" t="str">
        <f aca="false">IF($A1051="","",IF($B1051="","NO ACCOUNT",IF($Q1051=0,"UNMAPPED",IF($R1051=-1,"OUTSIDE FY RANGE","OK"))))</f>
        <v/>
      </c>
      <c r="U1051" s="40" t="str">
        <f aca="false">IF($A1051="","",$B1051&amp;"|"&amp;TEXT($A1051,"yyyymmdd")&amp;"|"&amp;TEXT($I1051,"0.00"))</f>
        <v/>
      </c>
      <c r="V1051" s="35" t="str">
        <f aca="false">IF($A1051="","",COUNTIF($U$8:$U$5007,$U1051))</f>
        <v/>
      </c>
    </row>
    <row r="1052" customFormat="false" ht="15" hidden="false" customHeight="false" outlineLevel="0" collapsed="false">
      <c r="A1052" s="31"/>
      <c r="B1052" s="32"/>
      <c r="C1052" s="32"/>
      <c r="D1052" s="32"/>
      <c r="E1052" s="32"/>
      <c r="F1052" s="32"/>
      <c r="G1052" s="33"/>
      <c r="H1052" s="33"/>
      <c r="I1052" s="34" t="str">
        <f aca="false">IF($A1052="","",$G1052-$H1052)</f>
        <v/>
      </c>
      <c r="J1052" s="35" t="str">
        <f aca="false">IF($A1052="","",IF(Setup!$B$6=1,YEAR($A1052),YEAR($A1052)+IF(MONTH($A1052)&gt;=Setup!$B$6,1,0)))</f>
        <v/>
      </c>
      <c r="K1052" s="35" t="str">
        <f aca="false">IF($A1052="","",MOD(MONTH($A1052)-Setup!$B$6+12,12)+1)</f>
        <v/>
      </c>
      <c r="L1052" s="36" t="str">
        <f aca="false">IF($A1052="","",TEXT($A1052,"MMM-YY"))</f>
        <v/>
      </c>
      <c r="M1052" s="37" t="str">
        <f aca="false">IF($A1052="","",IF($Q1052=0,"UNMAPPED",INDEX(COA_Mapping!$C$7:$C$256,$Q1052)))</f>
        <v/>
      </c>
      <c r="N1052" s="38" t="str">
        <f aca="false">IF($A1052="","",IF($Q1052=0,"",INDEX(COA_Mapping!$E$7:$E$256,$Q1052)))</f>
        <v/>
      </c>
      <c r="O1052" s="38" t="n">
        <f aca="false">IF($A1052="",1,IF($Q1052=0,1,INDEX(COA_Mapping!$F$7:$F$256,$Q1052)))</f>
        <v>1</v>
      </c>
      <c r="P1052" s="34" t="str">
        <f aca="false">IF($A1052="","",$I1052*$O1052)</f>
        <v/>
      </c>
      <c r="Q1052" s="39" t="n">
        <f aca="false">IF($B1052="",0,IFERROR(MATCH($B1052,COA_Mapping!$A$7:$A$256,0),0))</f>
        <v>0</v>
      </c>
      <c r="R1052" s="39" t="n">
        <f aca="false">IF($A1052="",-1,IF($J1052=Setup!$B$7,1,IF($J1052=Setup!$B$9,0,-1)))</f>
        <v>-1</v>
      </c>
      <c r="S1052" s="35" t="n">
        <f aca="false">IF(OR($A1052="",$Q1052=0,$R1052=-1),0,$Q1052*1000+$R1052*100+$K1052)</f>
        <v>0</v>
      </c>
      <c r="T1052" s="37" t="str">
        <f aca="false">IF($A1052="","",IF($B1052="","NO ACCOUNT",IF($Q1052=0,"UNMAPPED",IF($R1052=-1,"OUTSIDE FY RANGE","OK"))))</f>
        <v/>
      </c>
      <c r="U1052" s="40" t="str">
        <f aca="false">IF($A1052="","",$B1052&amp;"|"&amp;TEXT($A1052,"yyyymmdd")&amp;"|"&amp;TEXT($I1052,"0.00"))</f>
        <v/>
      </c>
      <c r="V1052" s="35" t="str">
        <f aca="false">IF($A1052="","",COUNTIF($U$8:$U$5007,$U1052))</f>
        <v/>
      </c>
    </row>
    <row r="1053" customFormat="false" ht="15" hidden="false" customHeight="false" outlineLevel="0" collapsed="false">
      <c r="A1053" s="31"/>
      <c r="B1053" s="32"/>
      <c r="C1053" s="32"/>
      <c r="D1053" s="32"/>
      <c r="E1053" s="32"/>
      <c r="F1053" s="32"/>
      <c r="G1053" s="33"/>
      <c r="H1053" s="33"/>
      <c r="I1053" s="34" t="str">
        <f aca="false">IF($A1053="","",$G1053-$H1053)</f>
        <v/>
      </c>
      <c r="J1053" s="35" t="str">
        <f aca="false">IF($A1053="","",IF(Setup!$B$6=1,YEAR($A1053),YEAR($A1053)+IF(MONTH($A1053)&gt;=Setup!$B$6,1,0)))</f>
        <v/>
      </c>
      <c r="K1053" s="35" t="str">
        <f aca="false">IF($A1053="","",MOD(MONTH($A1053)-Setup!$B$6+12,12)+1)</f>
        <v/>
      </c>
      <c r="L1053" s="36" t="str">
        <f aca="false">IF($A1053="","",TEXT($A1053,"MMM-YY"))</f>
        <v/>
      </c>
      <c r="M1053" s="37" t="str">
        <f aca="false">IF($A1053="","",IF($Q1053=0,"UNMAPPED",INDEX(COA_Mapping!$C$7:$C$256,$Q1053)))</f>
        <v/>
      </c>
      <c r="N1053" s="38" t="str">
        <f aca="false">IF($A1053="","",IF($Q1053=0,"",INDEX(COA_Mapping!$E$7:$E$256,$Q1053)))</f>
        <v/>
      </c>
      <c r="O1053" s="38" t="n">
        <f aca="false">IF($A1053="",1,IF($Q1053=0,1,INDEX(COA_Mapping!$F$7:$F$256,$Q1053)))</f>
        <v>1</v>
      </c>
      <c r="P1053" s="34" t="str">
        <f aca="false">IF($A1053="","",$I1053*$O1053)</f>
        <v/>
      </c>
      <c r="Q1053" s="39" t="n">
        <f aca="false">IF($B1053="",0,IFERROR(MATCH($B1053,COA_Mapping!$A$7:$A$256,0),0))</f>
        <v>0</v>
      </c>
      <c r="R1053" s="39" t="n">
        <f aca="false">IF($A1053="",-1,IF($J1053=Setup!$B$7,1,IF($J1053=Setup!$B$9,0,-1)))</f>
        <v>-1</v>
      </c>
      <c r="S1053" s="35" t="n">
        <f aca="false">IF(OR($A1053="",$Q1053=0,$R1053=-1),0,$Q1053*1000+$R1053*100+$K1053)</f>
        <v>0</v>
      </c>
      <c r="T1053" s="37" t="str">
        <f aca="false">IF($A1053="","",IF($B1053="","NO ACCOUNT",IF($Q1053=0,"UNMAPPED",IF($R1053=-1,"OUTSIDE FY RANGE","OK"))))</f>
        <v/>
      </c>
      <c r="U1053" s="40" t="str">
        <f aca="false">IF($A1053="","",$B1053&amp;"|"&amp;TEXT($A1053,"yyyymmdd")&amp;"|"&amp;TEXT($I1053,"0.00"))</f>
        <v/>
      </c>
      <c r="V1053" s="35" t="str">
        <f aca="false">IF($A1053="","",COUNTIF($U$8:$U$5007,$U1053))</f>
        <v/>
      </c>
    </row>
    <row r="1054" customFormat="false" ht="15" hidden="false" customHeight="false" outlineLevel="0" collapsed="false">
      <c r="A1054" s="31"/>
      <c r="B1054" s="32"/>
      <c r="C1054" s="32"/>
      <c r="D1054" s="32"/>
      <c r="E1054" s="32"/>
      <c r="F1054" s="32"/>
      <c r="G1054" s="33"/>
      <c r="H1054" s="33"/>
      <c r="I1054" s="34" t="str">
        <f aca="false">IF($A1054="","",$G1054-$H1054)</f>
        <v/>
      </c>
      <c r="J1054" s="35" t="str">
        <f aca="false">IF($A1054="","",IF(Setup!$B$6=1,YEAR($A1054),YEAR($A1054)+IF(MONTH($A1054)&gt;=Setup!$B$6,1,0)))</f>
        <v/>
      </c>
      <c r="K1054" s="35" t="str">
        <f aca="false">IF($A1054="","",MOD(MONTH($A1054)-Setup!$B$6+12,12)+1)</f>
        <v/>
      </c>
      <c r="L1054" s="36" t="str">
        <f aca="false">IF($A1054="","",TEXT($A1054,"MMM-YY"))</f>
        <v/>
      </c>
      <c r="M1054" s="37" t="str">
        <f aca="false">IF($A1054="","",IF($Q1054=0,"UNMAPPED",INDEX(COA_Mapping!$C$7:$C$256,$Q1054)))</f>
        <v/>
      </c>
      <c r="N1054" s="38" t="str">
        <f aca="false">IF($A1054="","",IF($Q1054=0,"",INDEX(COA_Mapping!$E$7:$E$256,$Q1054)))</f>
        <v/>
      </c>
      <c r="O1054" s="38" t="n">
        <f aca="false">IF($A1054="",1,IF($Q1054=0,1,INDEX(COA_Mapping!$F$7:$F$256,$Q1054)))</f>
        <v>1</v>
      </c>
      <c r="P1054" s="34" t="str">
        <f aca="false">IF($A1054="","",$I1054*$O1054)</f>
        <v/>
      </c>
      <c r="Q1054" s="39" t="n">
        <f aca="false">IF($B1054="",0,IFERROR(MATCH($B1054,COA_Mapping!$A$7:$A$256,0),0))</f>
        <v>0</v>
      </c>
      <c r="R1054" s="39" t="n">
        <f aca="false">IF($A1054="",-1,IF($J1054=Setup!$B$7,1,IF($J1054=Setup!$B$9,0,-1)))</f>
        <v>-1</v>
      </c>
      <c r="S1054" s="35" t="n">
        <f aca="false">IF(OR($A1054="",$Q1054=0,$R1054=-1),0,$Q1054*1000+$R1054*100+$K1054)</f>
        <v>0</v>
      </c>
      <c r="T1054" s="37" t="str">
        <f aca="false">IF($A1054="","",IF($B1054="","NO ACCOUNT",IF($Q1054=0,"UNMAPPED",IF($R1054=-1,"OUTSIDE FY RANGE","OK"))))</f>
        <v/>
      </c>
      <c r="U1054" s="40" t="str">
        <f aca="false">IF($A1054="","",$B1054&amp;"|"&amp;TEXT($A1054,"yyyymmdd")&amp;"|"&amp;TEXT($I1054,"0.00"))</f>
        <v/>
      </c>
      <c r="V1054" s="35" t="str">
        <f aca="false">IF($A1054="","",COUNTIF($U$8:$U$5007,$U1054))</f>
        <v/>
      </c>
    </row>
    <row r="1055" customFormat="false" ht="15" hidden="false" customHeight="false" outlineLevel="0" collapsed="false">
      <c r="A1055" s="31"/>
      <c r="B1055" s="32"/>
      <c r="C1055" s="32"/>
      <c r="D1055" s="32"/>
      <c r="E1055" s="32"/>
      <c r="F1055" s="32"/>
      <c r="G1055" s="33"/>
      <c r="H1055" s="33"/>
      <c r="I1055" s="34" t="str">
        <f aca="false">IF($A1055="","",$G1055-$H1055)</f>
        <v/>
      </c>
      <c r="J1055" s="35" t="str">
        <f aca="false">IF($A1055="","",IF(Setup!$B$6=1,YEAR($A1055),YEAR($A1055)+IF(MONTH($A1055)&gt;=Setup!$B$6,1,0)))</f>
        <v/>
      </c>
      <c r="K1055" s="35" t="str">
        <f aca="false">IF($A1055="","",MOD(MONTH($A1055)-Setup!$B$6+12,12)+1)</f>
        <v/>
      </c>
      <c r="L1055" s="36" t="str">
        <f aca="false">IF($A1055="","",TEXT($A1055,"MMM-YY"))</f>
        <v/>
      </c>
      <c r="M1055" s="37" t="str">
        <f aca="false">IF($A1055="","",IF($Q1055=0,"UNMAPPED",INDEX(COA_Mapping!$C$7:$C$256,$Q1055)))</f>
        <v/>
      </c>
      <c r="N1055" s="38" t="str">
        <f aca="false">IF($A1055="","",IF($Q1055=0,"",INDEX(COA_Mapping!$E$7:$E$256,$Q1055)))</f>
        <v/>
      </c>
      <c r="O1055" s="38" t="n">
        <f aca="false">IF($A1055="",1,IF($Q1055=0,1,INDEX(COA_Mapping!$F$7:$F$256,$Q1055)))</f>
        <v>1</v>
      </c>
      <c r="P1055" s="34" t="str">
        <f aca="false">IF($A1055="","",$I1055*$O1055)</f>
        <v/>
      </c>
      <c r="Q1055" s="39" t="n">
        <f aca="false">IF($B1055="",0,IFERROR(MATCH($B1055,COA_Mapping!$A$7:$A$256,0),0))</f>
        <v>0</v>
      </c>
      <c r="R1055" s="39" t="n">
        <f aca="false">IF($A1055="",-1,IF($J1055=Setup!$B$7,1,IF($J1055=Setup!$B$9,0,-1)))</f>
        <v>-1</v>
      </c>
      <c r="S1055" s="35" t="n">
        <f aca="false">IF(OR($A1055="",$Q1055=0,$R1055=-1),0,$Q1055*1000+$R1055*100+$K1055)</f>
        <v>0</v>
      </c>
      <c r="T1055" s="37" t="str">
        <f aca="false">IF($A1055="","",IF($B1055="","NO ACCOUNT",IF($Q1055=0,"UNMAPPED",IF($R1055=-1,"OUTSIDE FY RANGE","OK"))))</f>
        <v/>
      </c>
      <c r="U1055" s="40" t="str">
        <f aca="false">IF($A1055="","",$B1055&amp;"|"&amp;TEXT($A1055,"yyyymmdd")&amp;"|"&amp;TEXT($I1055,"0.00"))</f>
        <v/>
      </c>
      <c r="V1055" s="35" t="str">
        <f aca="false">IF($A1055="","",COUNTIF($U$8:$U$5007,$U1055))</f>
        <v/>
      </c>
    </row>
    <row r="1056" customFormat="false" ht="15" hidden="false" customHeight="false" outlineLevel="0" collapsed="false">
      <c r="A1056" s="31"/>
      <c r="B1056" s="32"/>
      <c r="C1056" s="32"/>
      <c r="D1056" s="32"/>
      <c r="E1056" s="32"/>
      <c r="F1056" s="32"/>
      <c r="G1056" s="33"/>
      <c r="H1056" s="33"/>
      <c r="I1056" s="34" t="str">
        <f aca="false">IF($A1056="","",$G1056-$H1056)</f>
        <v/>
      </c>
      <c r="J1056" s="35" t="str">
        <f aca="false">IF($A1056="","",IF(Setup!$B$6=1,YEAR($A1056),YEAR($A1056)+IF(MONTH($A1056)&gt;=Setup!$B$6,1,0)))</f>
        <v/>
      </c>
      <c r="K1056" s="35" t="str">
        <f aca="false">IF($A1056="","",MOD(MONTH($A1056)-Setup!$B$6+12,12)+1)</f>
        <v/>
      </c>
      <c r="L1056" s="36" t="str">
        <f aca="false">IF($A1056="","",TEXT($A1056,"MMM-YY"))</f>
        <v/>
      </c>
      <c r="M1056" s="37" t="str">
        <f aca="false">IF($A1056="","",IF($Q1056=0,"UNMAPPED",INDEX(COA_Mapping!$C$7:$C$256,$Q1056)))</f>
        <v/>
      </c>
      <c r="N1056" s="38" t="str">
        <f aca="false">IF($A1056="","",IF($Q1056=0,"",INDEX(COA_Mapping!$E$7:$E$256,$Q1056)))</f>
        <v/>
      </c>
      <c r="O1056" s="38" t="n">
        <f aca="false">IF($A1056="",1,IF($Q1056=0,1,INDEX(COA_Mapping!$F$7:$F$256,$Q1056)))</f>
        <v>1</v>
      </c>
      <c r="P1056" s="34" t="str">
        <f aca="false">IF($A1056="","",$I1056*$O1056)</f>
        <v/>
      </c>
      <c r="Q1056" s="39" t="n">
        <f aca="false">IF($B1056="",0,IFERROR(MATCH($B1056,COA_Mapping!$A$7:$A$256,0),0))</f>
        <v>0</v>
      </c>
      <c r="R1056" s="39" t="n">
        <f aca="false">IF($A1056="",-1,IF($J1056=Setup!$B$7,1,IF($J1056=Setup!$B$9,0,-1)))</f>
        <v>-1</v>
      </c>
      <c r="S1056" s="35" t="n">
        <f aca="false">IF(OR($A1056="",$Q1056=0,$R1056=-1),0,$Q1056*1000+$R1056*100+$K1056)</f>
        <v>0</v>
      </c>
      <c r="T1056" s="37" t="str">
        <f aca="false">IF($A1056="","",IF($B1056="","NO ACCOUNT",IF($Q1056=0,"UNMAPPED",IF($R1056=-1,"OUTSIDE FY RANGE","OK"))))</f>
        <v/>
      </c>
      <c r="U1056" s="40" t="str">
        <f aca="false">IF($A1056="","",$B1056&amp;"|"&amp;TEXT($A1056,"yyyymmdd")&amp;"|"&amp;TEXT($I1056,"0.00"))</f>
        <v/>
      </c>
      <c r="V1056" s="35" t="str">
        <f aca="false">IF($A1056="","",COUNTIF($U$8:$U$5007,$U1056))</f>
        <v/>
      </c>
    </row>
    <row r="1057" customFormat="false" ht="15" hidden="false" customHeight="false" outlineLevel="0" collapsed="false">
      <c r="A1057" s="31"/>
      <c r="B1057" s="32"/>
      <c r="C1057" s="32"/>
      <c r="D1057" s="32"/>
      <c r="E1057" s="32"/>
      <c r="F1057" s="32"/>
      <c r="G1057" s="33"/>
      <c r="H1057" s="33"/>
      <c r="I1057" s="34" t="str">
        <f aca="false">IF($A1057="","",$G1057-$H1057)</f>
        <v/>
      </c>
      <c r="J1057" s="35" t="str">
        <f aca="false">IF($A1057="","",IF(Setup!$B$6=1,YEAR($A1057),YEAR($A1057)+IF(MONTH($A1057)&gt;=Setup!$B$6,1,0)))</f>
        <v/>
      </c>
      <c r="K1057" s="35" t="str">
        <f aca="false">IF($A1057="","",MOD(MONTH($A1057)-Setup!$B$6+12,12)+1)</f>
        <v/>
      </c>
      <c r="L1057" s="36" t="str">
        <f aca="false">IF($A1057="","",TEXT($A1057,"MMM-YY"))</f>
        <v/>
      </c>
      <c r="M1057" s="37" t="str">
        <f aca="false">IF($A1057="","",IF($Q1057=0,"UNMAPPED",INDEX(COA_Mapping!$C$7:$C$256,$Q1057)))</f>
        <v/>
      </c>
      <c r="N1057" s="38" t="str">
        <f aca="false">IF($A1057="","",IF($Q1057=0,"",INDEX(COA_Mapping!$E$7:$E$256,$Q1057)))</f>
        <v/>
      </c>
      <c r="O1057" s="38" t="n">
        <f aca="false">IF($A1057="",1,IF($Q1057=0,1,INDEX(COA_Mapping!$F$7:$F$256,$Q1057)))</f>
        <v>1</v>
      </c>
      <c r="P1057" s="34" t="str">
        <f aca="false">IF($A1057="","",$I1057*$O1057)</f>
        <v/>
      </c>
      <c r="Q1057" s="39" t="n">
        <f aca="false">IF($B1057="",0,IFERROR(MATCH($B1057,COA_Mapping!$A$7:$A$256,0),0))</f>
        <v>0</v>
      </c>
      <c r="R1057" s="39" t="n">
        <f aca="false">IF($A1057="",-1,IF($J1057=Setup!$B$7,1,IF($J1057=Setup!$B$9,0,-1)))</f>
        <v>-1</v>
      </c>
      <c r="S1057" s="35" t="n">
        <f aca="false">IF(OR($A1057="",$Q1057=0,$R1057=-1),0,$Q1057*1000+$R1057*100+$K1057)</f>
        <v>0</v>
      </c>
      <c r="T1057" s="37" t="str">
        <f aca="false">IF($A1057="","",IF($B1057="","NO ACCOUNT",IF($Q1057=0,"UNMAPPED",IF($R1057=-1,"OUTSIDE FY RANGE","OK"))))</f>
        <v/>
      </c>
      <c r="U1057" s="40" t="str">
        <f aca="false">IF($A1057="","",$B1057&amp;"|"&amp;TEXT($A1057,"yyyymmdd")&amp;"|"&amp;TEXT($I1057,"0.00"))</f>
        <v/>
      </c>
      <c r="V1057" s="35" t="str">
        <f aca="false">IF($A1057="","",COUNTIF($U$8:$U$5007,$U1057))</f>
        <v/>
      </c>
    </row>
    <row r="1058" customFormat="false" ht="15" hidden="false" customHeight="false" outlineLevel="0" collapsed="false">
      <c r="A1058" s="31"/>
      <c r="B1058" s="32"/>
      <c r="C1058" s="32"/>
      <c r="D1058" s="32"/>
      <c r="E1058" s="32"/>
      <c r="F1058" s="32"/>
      <c r="G1058" s="33"/>
      <c r="H1058" s="33"/>
      <c r="I1058" s="34" t="str">
        <f aca="false">IF($A1058="","",$G1058-$H1058)</f>
        <v/>
      </c>
      <c r="J1058" s="35" t="str">
        <f aca="false">IF($A1058="","",IF(Setup!$B$6=1,YEAR($A1058),YEAR($A1058)+IF(MONTH($A1058)&gt;=Setup!$B$6,1,0)))</f>
        <v/>
      </c>
      <c r="K1058" s="35" t="str">
        <f aca="false">IF($A1058="","",MOD(MONTH($A1058)-Setup!$B$6+12,12)+1)</f>
        <v/>
      </c>
      <c r="L1058" s="36" t="str">
        <f aca="false">IF($A1058="","",TEXT($A1058,"MMM-YY"))</f>
        <v/>
      </c>
      <c r="M1058" s="37" t="str">
        <f aca="false">IF($A1058="","",IF($Q1058=0,"UNMAPPED",INDEX(COA_Mapping!$C$7:$C$256,$Q1058)))</f>
        <v/>
      </c>
      <c r="N1058" s="38" t="str">
        <f aca="false">IF($A1058="","",IF($Q1058=0,"",INDEX(COA_Mapping!$E$7:$E$256,$Q1058)))</f>
        <v/>
      </c>
      <c r="O1058" s="38" t="n">
        <f aca="false">IF($A1058="",1,IF($Q1058=0,1,INDEX(COA_Mapping!$F$7:$F$256,$Q1058)))</f>
        <v>1</v>
      </c>
      <c r="P1058" s="34" t="str">
        <f aca="false">IF($A1058="","",$I1058*$O1058)</f>
        <v/>
      </c>
      <c r="Q1058" s="39" t="n">
        <f aca="false">IF($B1058="",0,IFERROR(MATCH($B1058,COA_Mapping!$A$7:$A$256,0),0))</f>
        <v>0</v>
      </c>
      <c r="R1058" s="39" t="n">
        <f aca="false">IF($A1058="",-1,IF($J1058=Setup!$B$7,1,IF($J1058=Setup!$B$9,0,-1)))</f>
        <v>-1</v>
      </c>
      <c r="S1058" s="35" t="n">
        <f aca="false">IF(OR($A1058="",$Q1058=0,$R1058=-1),0,$Q1058*1000+$R1058*100+$K1058)</f>
        <v>0</v>
      </c>
      <c r="T1058" s="37" t="str">
        <f aca="false">IF($A1058="","",IF($B1058="","NO ACCOUNT",IF($Q1058=0,"UNMAPPED",IF($R1058=-1,"OUTSIDE FY RANGE","OK"))))</f>
        <v/>
      </c>
      <c r="U1058" s="40" t="str">
        <f aca="false">IF($A1058="","",$B1058&amp;"|"&amp;TEXT($A1058,"yyyymmdd")&amp;"|"&amp;TEXT($I1058,"0.00"))</f>
        <v/>
      </c>
      <c r="V1058" s="35" t="str">
        <f aca="false">IF($A1058="","",COUNTIF($U$8:$U$5007,$U1058))</f>
        <v/>
      </c>
    </row>
    <row r="1059" customFormat="false" ht="15" hidden="false" customHeight="false" outlineLevel="0" collapsed="false">
      <c r="A1059" s="31"/>
      <c r="B1059" s="32"/>
      <c r="C1059" s="32"/>
      <c r="D1059" s="32"/>
      <c r="E1059" s="32"/>
      <c r="F1059" s="32"/>
      <c r="G1059" s="33"/>
      <c r="H1059" s="33"/>
      <c r="I1059" s="34" t="str">
        <f aca="false">IF($A1059="","",$G1059-$H1059)</f>
        <v/>
      </c>
      <c r="J1059" s="35" t="str">
        <f aca="false">IF($A1059="","",IF(Setup!$B$6=1,YEAR($A1059),YEAR($A1059)+IF(MONTH($A1059)&gt;=Setup!$B$6,1,0)))</f>
        <v/>
      </c>
      <c r="K1059" s="35" t="str">
        <f aca="false">IF($A1059="","",MOD(MONTH($A1059)-Setup!$B$6+12,12)+1)</f>
        <v/>
      </c>
      <c r="L1059" s="36" t="str">
        <f aca="false">IF($A1059="","",TEXT($A1059,"MMM-YY"))</f>
        <v/>
      </c>
      <c r="M1059" s="37" t="str">
        <f aca="false">IF($A1059="","",IF($Q1059=0,"UNMAPPED",INDEX(COA_Mapping!$C$7:$C$256,$Q1059)))</f>
        <v/>
      </c>
      <c r="N1059" s="38" t="str">
        <f aca="false">IF($A1059="","",IF($Q1059=0,"",INDEX(COA_Mapping!$E$7:$E$256,$Q1059)))</f>
        <v/>
      </c>
      <c r="O1059" s="38" t="n">
        <f aca="false">IF($A1059="",1,IF($Q1059=0,1,INDEX(COA_Mapping!$F$7:$F$256,$Q1059)))</f>
        <v>1</v>
      </c>
      <c r="P1059" s="34" t="str">
        <f aca="false">IF($A1059="","",$I1059*$O1059)</f>
        <v/>
      </c>
      <c r="Q1059" s="39" t="n">
        <f aca="false">IF($B1059="",0,IFERROR(MATCH($B1059,COA_Mapping!$A$7:$A$256,0),0))</f>
        <v>0</v>
      </c>
      <c r="R1059" s="39" t="n">
        <f aca="false">IF($A1059="",-1,IF($J1059=Setup!$B$7,1,IF($J1059=Setup!$B$9,0,-1)))</f>
        <v>-1</v>
      </c>
      <c r="S1059" s="35" t="n">
        <f aca="false">IF(OR($A1059="",$Q1059=0,$R1059=-1),0,$Q1059*1000+$R1059*100+$K1059)</f>
        <v>0</v>
      </c>
      <c r="T1059" s="37" t="str">
        <f aca="false">IF($A1059="","",IF($B1059="","NO ACCOUNT",IF($Q1059=0,"UNMAPPED",IF($R1059=-1,"OUTSIDE FY RANGE","OK"))))</f>
        <v/>
      </c>
      <c r="U1059" s="40" t="str">
        <f aca="false">IF($A1059="","",$B1059&amp;"|"&amp;TEXT($A1059,"yyyymmdd")&amp;"|"&amp;TEXT($I1059,"0.00"))</f>
        <v/>
      </c>
      <c r="V1059" s="35" t="str">
        <f aca="false">IF($A1059="","",COUNTIF($U$8:$U$5007,$U1059))</f>
        <v/>
      </c>
    </row>
    <row r="1060" customFormat="false" ht="15" hidden="false" customHeight="false" outlineLevel="0" collapsed="false">
      <c r="A1060" s="31"/>
      <c r="B1060" s="32"/>
      <c r="C1060" s="32"/>
      <c r="D1060" s="32"/>
      <c r="E1060" s="32"/>
      <c r="F1060" s="32"/>
      <c r="G1060" s="33"/>
      <c r="H1060" s="33"/>
      <c r="I1060" s="34" t="str">
        <f aca="false">IF($A1060="","",$G1060-$H1060)</f>
        <v/>
      </c>
      <c r="J1060" s="35" t="str">
        <f aca="false">IF($A1060="","",IF(Setup!$B$6=1,YEAR($A1060),YEAR($A1060)+IF(MONTH($A1060)&gt;=Setup!$B$6,1,0)))</f>
        <v/>
      </c>
      <c r="K1060" s="35" t="str">
        <f aca="false">IF($A1060="","",MOD(MONTH($A1060)-Setup!$B$6+12,12)+1)</f>
        <v/>
      </c>
      <c r="L1060" s="36" t="str">
        <f aca="false">IF($A1060="","",TEXT($A1060,"MMM-YY"))</f>
        <v/>
      </c>
      <c r="M1060" s="37" t="str">
        <f aca="false">IF($A1060="","",IF($Q1060=0,"UNMAPPED",INDEX(COA_Mapping!$C$7:$C$256,$Q1060)))</f>
        <v/>
      </c>
      <c r="N1060" s="38" t="str">
        <f aca="false">IF($A1060="","",IF($Q1060=0,"",INDEX(COA_Mapping!$E$7:$E$256,$Q1060)))</f>
        <v/>
      </c>
      <c r="O1060" s="38" t="n">
        <f aca="false">IF($A1060="",1,IF($Q1060=0,1,INDEX(COA_Mapping!$F$7:$F$256,$Q1060)))</f>
        <v>1</v>
      </c>
      <c r="P1060" s="34" t="str">
        <f aca="false">IF($A1060="","",$I1060*$O1060)</f>
        <v/>
      </c>
      <c r="Q1060" s="39" t="n">
        <f aca="false">IF($B1060="",0,IFERROR(MATCH($B1060,COA_Mapping!$A$7:$A$256,0),0))</f>
        <v>0</v>
      </c>
      <c r="R1060" s="39" t="n">
        <f aca="false">IF($A1060="",-1,IF($J1060=Setup!$B$7,1,IF($J1060=Setup!$B$9,0,-1)))</f>
        <v>-1</v>
      </c>
      <c r="S1060" s="35" t="n">
        <f aca="false">IF(OR($A1060="",$Q1060=0,$R1060=-1),0,$Q1060*1000+$R1060*100+$K1060)</f>
        <v>0</v>
      </c>
      <c r="T1060" s="37" t="str">
        <f aca="false">IF($A1060="","",IF($B1060="","NO ACCOUNT",IF($Q1060=0,"UNMAPPED",IF($R1060=-1,"OUTSIDE FY RANGE","OK"))))</f>
        <v/>
      </c>
      <c r="U1060" s="40" t="str">
        <f aca="false">IF($A1060="","",$B1060&amp;"|"&amp;TEXT($A1060,"yyyymmdd")&amp;"|"&amp;TEXT($I1060,"0.00"))</f>
        <v/>
      </c>
      <c r="V1060" s="35" t="str">
        <f aca="false">IF($A1060="","",COUNTIF($U$8:$U$5007,$U1060))</f>
        <v/>
      </c>
    </row>
    <row r="1061" customFormat="false" ht="15" hidden="false" customHeight="false" outlineLevel="0" collapsed="false">
      <c r="A1061" s="31"/>
      <c r="B1061" s="32"/>
      <c r="C1061" s="32"/>
      <c r="D1061" s="32"/>
      <c r="E1061" s="32"/>
      <c r="F1061" s="32"/>
      <c r="G1061" s="33"/>
      <c r="H1061" s="33"/>
      <c r="I1061" s="34" t="str">
        <f aca="false">IF($A1061="","",$G1061-$H1061)</f>
        <v/>
      </c>
      <c r="J1061" s="35" t="str">
        <f aca="false">IF($A1061="","",IF(Setup!$B$6=1,YEAR($A1061),YEAR($A1061)+IF(MONTH($A1061)&gt;=Setup!$B$6,1,0)))</f>
        <v/>
      </c>
      <c r="K1061" s="35" t="str">
        <f aca="false">IF($A1061="","",MOD(MONTH($A1061)-Setup!$B$6+12,12)+1)</f>
        <v/>
      </c>
      <c r="L1061" s="36" t="str">
        <f aca="false">IF($A1061="","",TEXT($A1061,"MMM-YY"))</f>
        <v/>
      </c>
      <c r="M1061" s="37" t="str">
        <f aca="false">IF($A1061="","",IF($Q1061=0,"UNMAPPED",INDEX(COA_Mapping!$C$7:$C$256,$Q1061)))</f>
        <v/>
      </c>
      <c r="N1061" s="38" t="str">
        <f aca="false">IF($A1061="","",IF($Q1061=0,"",INDEX(COA_Mapping!$E$7:$E$256,$Q1061)))</f>
        <v/>
      </c>
      <c r="O1061" s="38" t="n">
        <f aca="false">IF($A1061="",1,IF($Q1061=0,1,INDEX(COA_Mapping!$F$7:$F$256,$Q1061)))</f>
        <v>1</v>
      </c>
      <c r="P1061" s="34" t="str">
        <f aca="false">IF($A1061="","",$I1061*$O1061)</f>
        <v/>
      </c>
      <c r="Q1061" s="39" t="n">
        <f aca="false">IF($B1061="",0,IFERROR(MATCH($B1061,COA_Mapping!$A$7:$A$256,0),0))</f>
        <v>0</v>
      </c>
      <c r="R1061" s="39" t="n">
        <f aca="false">IF($A1061="",-1,IF($J1061=Setup!$B$7,1,IF($J1061=Setup!$B$9,0,-1)))</f>
        <v>-1</v>
      </c>
      <c r="S1061" s="35" t="n">
        <f aca="false">IF(OR($A1061="",$Q1061=0,$R1061=-1),0,$Q1061*1000+$R1061*100+$K1061)</f>
        <v>0</v>
      </c>
      <c r="T1061" s="37" t="str">
        <f aca="false">IF($A1061="","",IF($B1061="","NO ACCOUNT",IF($Q1061=0,"UNMAPPED",IF($R1061=-1,"OUTSIDE FY RANGE","OK"))))</f>
        <v/>
      </c>
      <c r="U1061" s="40" t="str">
        <f aca="false">IF($A1061="","",$B1061&amp;"|"&amp;TEXT($A1061,"yyyymmdd")&amp;"|"&amp;TEXT($I1061,"0.00"))</f>
        <v/>
      </c>
      <c r="V1061" s="35" t="str">
        <f aca="false">IF($A1061="","",COUNTIF($U$8:$U$5007,$U1061))</f>
        <v/>
      </c>
    </row>
    <row r="1062" customFormat="false" ht="15" hidden="false" customHeight="false" outlineLevel="0" collapsed="false">
      <c r="A1062" s="31"/>
      <c r="B1062" s="32"/>
      <c r="C1062" s="32"/>
      <c r="D1062" s="32"/>
      <c r="E1062" s="32"/>
      <c r="F1062" s="32"/>
      <c r="G1062" s="33"/>
      <c r="H1062" s="33"/>
      <c r="I1062" s="34" t="str">
        <f aca="false">IF($A1062="","",$G1062-$H1062)</f>
        <v/>
      </c>
      <c r="J1062" s="35" t="str">
        <f aca="false">IF($A1062="","",IF(Setup!$B$6=1,YEAR($A1062),YEAR($A1062)+IF(MONTH($A1062)&gt;=Setup!$B$6,1,0)))</f>
        <v/>
      </c>
      <c r="K1062" s="35" t="str">
        <f aca="false">IF($A1062="","",MOD(MONTH($A1062)-Setup!$B$6+12,12)+1)</f>
        <v/>
      </c>
      <c r="L1062" s="36" t="str">
        <f aca="false">IF($A1062="","",TEXT($A1062,"MMM-YY"))</f>
        <v/>
      </c>
      <c r="M1062" s="37" t="str">
        <f aca="false">IF($A1062="","",IF($Q1062=0,"UNMAPPED",INDEX(COA_Mapping!$C$7:$C$256,$Q1062)))</f>
        <v/>
      </c>
      <c r="N1062" s="38" t="str">
        <f aca="false">IF($A1062="","",IF($Q1062=0,"",INDEX(COA_Mapping!$E$7:$E$256,$Q1062)))</f>
        <v/>
      </c>
      <c r="O1062" s="38" t="n">
        <f aca="false">IF($A1062="",1,IF($Q1062=0,1,INDEX(COA_Mapping!$F$7:$F$256,$Q1062)))</f>
        <v>1</v>
      </c>
      <c r="P1062" s="34" t="str">
        <f aca="false">IF($A1062="","",$I1062*$O1062)</f>
        <v/>
      </c>
      <c r="Q1062" s="39" t="n">
        <f aca="false">IF($B1062="",0,IFERROR(MATCH($B1062,COA_Mapping!$A$7:$A$256,0),0))</f>
        <v>0</v>
      </c>
      <c r="R1062" s="39" t="n">
        <f aca="false">IF($A1062="",-1,IF($J1062=Setup!$B$7,1,IF($J1062=Setup!$B$9,0,-1)))</f>
        <v>-1</v>
      </c>
      <c r="S1062" s="35" t="n">
        <f aca="false">IF(OR($A1062="",$Q1062=0,$R1062=-1),0,$Q1062*1000+$R1062*100+$K1062)</f>
        <v>0</v>
      </c>
      <c r="T1062" s="37" t="str">
        <f aca="false">IF($A1062="","",IF($B1062="","NO ACCOUNT",IF($Q1062=0,"UNMAPPED",IF($R1062=-1,"OUTSIDE FY RANGE","OK"))))</f>
        <v/>
      </c>
      <c r="U1062" s="40" t="str">
        <f aca="false">IF($A1062="","",$B1062&amp;"|"&amp;TEXT($A1062,"yyyymmdd")&amp;"|"&amp;TEXT($I1062,"0.00"))</f>
        <v/>
      </c>
      <c r="V1062" s="35" t="str">
        <f aca="false">IF($A1062="","",COUNTIF($U$8:$U$5007,$U1062))</f>
        <v/>
      </c>
    </row>
    <row r="1063" customFormat="false" ht="15" hidden="false" customHeight="false" outlineLevel="0" collapsed="false">
      <c r="A1063" s="31"/>
      <c r="B1063" s="32"/>
      <c r="C1063" s="32"/>
      <c r="D1063" s="32"/>
      <c r="E1063" s="32"/>
      <c r="F1063" s="32"/>
      <c r="G1063" s="33"/>
      <c r="H1063" s="33"/>
      <c r="I1063" s="34" t="str">
        <f aca="false">IF($A1063="","",$G1063-$H1063)</f>
        <v/>
      </c>
      <c r="J1063" s="35" t="str">
        <f aca="false">IF($A1063="","",IF(Setup!$B$6=1,YEAR($A1063),YEAR($A1063)+IF(MONTH($A1063)&gt;=Setup!$B$6,1,0)))</f>
        <v/>
      </c>
      <c r="K1063" s="35" t="str">
        <f aca="false">IF($A1063="","",MOD(MONTH($A1063)-Setup!$B$6+12,12)+1)</f>
        <v/>
      </c>
      <c r="L1063" s="36" t="str">
        <f aca="false">IF($A1063="","",TEXT($A1063,"MMM-YY"))</f>
        <v/>
      </c>
      <c r="M1063" s="37" t="str">
        <f aca="false">IF($A1063="","",IF($Q1063=0,"UNMAPPED",INDEX(COA_Mapping!$C$7:$C$256,$Q1063)))</f>
        <v/>
      </c>
      <c r="N1063" s="38" t="str">
        <f aca="false">IF($A1063="","",IF($Q1063=0,"",INDEX(COA_Mapping!$E$7:$E$256,$Q1063)))</f>
        <v/>
      </c>
      <c r="O1063" s="38" t="n">
        <f aca="false">IF($A1063="",1,IF($Q1063=0,1,INDEX(COA_Mapping!$F$7:$F$256,$Q1063)))</f>
        <v>1</v>
      </c>
      <c r="P1063" s="34" t="str">
        <f aca="false">IF($A1063="","",$I1063*$O1063)</f>
        <v/>
      </c>
      <c r="Q1063" s="39" t="n">
        <f aca="false">IF($B1063="",0,IFERROR(MATCH($B1063,COA_Mapping!$A$7:$A$256,0),0))</f>
        <v>0</v>
      </c>
      <c r="R1063" s="39" t="n">
        <f aca="false">IF($A1063="",-1,IF($J1063=Setup!$B$7,1,IF($J1063=Setup!$B$9,0,-1)))</f>
        <v>-1</v>
      </c>
      <c r="S1063" s="35" t="n">
        <f aca="false">IF(OR($A1063="",$Q1063=0,$R1063=-1),0,$Q1063*1000+$R1063*100+$K1063)</f>
        <v>0</v>
      </c>
      <c r="T1063" s="37" t="str">
        <f aca="false">IF($A1063="","",IF($B1063="","NO ACCOUNT",IF($Q1063=0,"UNMAPPED",IF($R1063=-1,"OUTSIDE FY RANGE","OK"))))</f>
        <v/>
      </c>
      <c r="U1063" s="40" t="str">
        <f aca="false">IF($A1063="","",$B1063&amp;"|"&amp;TEXT($A1063,"yyyymmdd")&amp;"|"&amp;TEXT($I1063,"0.00"))</f>
        <v/>
      </c>
      <c r="V1063" s="35" t="str">
        <f aca="false">IF($A1063="","",COUNTIF($U$8:$U$5007,$U1063))</f>
        <v/>
      </c>
    </row>
    <row r="1064" customFormat="false" ht="15" hidden="false" customHeight="false" outlineLevel="0" collapsed="false">
      <c r="A1064" s="31"/>
      <c r="B1064" s="32"/>
      <c r="C1064" s="32"/>
      <c r="D1064" s="32"/>
      <c r="E1064" s="32"/>
      <c r="F1064" s="32"/>
      <c r="G1064" s="33"/>
      <c r="H1064" s="33"/>
      <c r="I1064" s="34" t="str">
        <f aca="false">IF($A1064="","",$G1064-$H1064)</f>
        <v/>
      </c>
      <c r="J1064" s="35" t="str">
        <f aca="false">IF($A1064="","",IF(Setup!$B$6=1,YEAR($A1064),YEAR($A1064)+IF(MONTH($A1064)&gt;=Setup!$B$6,1,0)))</f>
        <v/>
      </c>
      <c r="K1064" s="35" t="str">
        <f aca="false">IF($A1064="","",MOD(MONTH($A1064)-Setup!$B$6+12,12)+1)</f>
        <v/>
      </c>
      <c r="L1064" s="36" t="str">
        <f aca="false">IF($A1064="","",TEXT($A1064,"MMM-YY"))</f>
        <v/>
      </c>
      <c r="M1064" s="37" t="str">
        <f aca="false">IF($A1064="","",IF($Q1064=0,"UNMAPPED",INDEX(COA_Mapping!$C$7:$C$256,$Q1064)))</f>
        <v/>
      </c>
      <c r="N1064" s="38" t="str">
        <f aca="false">IF($A1064="","",IF($Q1064=0,"",INDEX(COA_Mapping!$E$7:$E$256,$Q1064)))</f>
        <v/>
      </c>
      <c r="O1064" s="38" t="n">
        <f aca="false">IF($A1064="",1,IF($Q1064=0,1,INDEX(COA_Mapping!$F$7:$F$256,$Q1064)))</f>
        <v>1</v>
      </c>
      <c r="P1064" s="34" t="str">
        <f aca="false">IF($A1064="","",$I1064*$O1064)</f>
        <v/>
      </c>
      <c r="Q1064" s="39" t="n">
        <f aca="false">IF($B1064="",0,IFERROR(MATCH($B1064,COA_Mapping!$A$7:$A$256,0),0))</f>
        <v>0</v>
      </c>
      <c r="R1064" s="39" t="n">
        <f aca="false">IF($A1064="",-1,IF($J1064=Setup!$B$7,1,IF($J1064=Setup!$B$9,0,-1)))</f>
        <v>-1</v>
      </c>
      <c r="S1064" s="35" t="n">
        <f aca="false">IF(OR($A1064="",$Q1064=0,$R1064=-1),0,$Q1064*1000+$R1064*100+$K1064)</f>
        <v>0</v>
      </c>
      <c r="T1064" s="37" t="str">
        <f aca="false">IF($A1064="","",IF($B1064="","NO ACCOUNT",IF($Q1064=0,"UNMAPPED",IF($R1064=-1,"OUTSIDE FY RANGE","OK"))))</f>
        <v/>
      </c>
      <c r="U1064" s="40" t="str">
        <f aca="false">IF($A1064="","",$B1064&amp;"|"&amp;TEXT($A1064,"yyyymmdd")&amp;"|"&amp;TEXT($I1064,"0.00"))</f>
        <v/>
      </c>
      <c r="V1064" s="35" t="str">
        <f aca="false">IF($A1064="","",COUNTIF($U$8:$U$5007,$U1064))</f>
        <v/>
      </c>
    </row>
    <row r="1065" customFormat="false" ht="15" hidden="false" customHeight="false" outlineLevel="0" collapsed="false">
      <c r="A1065" s="31"/>
      <c r="B1065" s="32"/>
      <c r="C1065" s="32"/>
      <c r="D1065" s="32"/>
      <c r="E1065" s="32"/>
      <c r="F1065" s="32"/>
      <c r="G1065" s="33"/>
      <c r="H1065" s="33"/>
      <c r="I1065" s="34" t="str">
        <f aca="false">IF($A1065="","",$G1065-$H1065)</f>
        <v/>
      </c>
      <c r="J1065" s="35" t="str">
        <f aca="false">IF($A1065="","",IF(Setup!$B$6=1,YEAR($A1065),YEAR($A1065)+IF(MONTH($A1065)&gt;=Setup!$B$6,1,0)))</f>
        <v/>
      </c>
      <c r="K1065" s="35" t="str">
        <f aca="false">IF($A1065="","",MOD(MONTH($A1065)-Setup!$B$6+12,12)+1)</f>
        <v/>
      </c>
      <c r="L1065" s="36" t="str">
        <f aca="false">IF($A1065="","",TEXT($A1065,"MMM-YY"))</f>
        <v/>
      </c>
      <c r="M1065" s="37" t="str">
        <f aca="false">IF($A1065="","",IF($Q1065=0,"UNMAPPED",INDEX(COA_Mapping!$C$7:$C$256,$Q1065)))</f>
        <v/>
      </c>
      <c r="N1065" s="38" t="str">
        <f aca="false">IF($A1065="","",IF($Q1065=0,"",INDEX(COA_Mapping!$E$7:$E$256,$Q1065)))</f>
        <v/>
      </c>
      <c r="O1065" s="38" t="n">
        <f aca="false">IF($A1065="",1,IF($Q1065=0,1,INDEX(COA_Mapping!$F$7:$F$256,$Q1065)))</f>
        <v>1</v>
      </c>
      <c r="P1065" s="34" t="str">
        <f aca="false">IF($A1065="","",$I1065*$O1065)</f>
        <v/>
      </c>
      <c r="Q1065" s="39" t="n">
        <f aca="false">IF($B1065="",0,IFERROR(MATCH($B1065,COA_Mapping!$A$7:$A$256,0),0))</f>
        <v>0</v>
      </c>
      <c r="R1065" s="39" t="n">
        <f aca="false">IF($A1065="",-1,IF($J1065=Setup!$B$7,1,IF($J1065=Setup!$B$9,0,-1)))</f>
        <v>-1</v>
      </c>
      <c r="S1065" s="35" t="n">
        <f aca="false">IF(OR($A1065="",$Q1065=0,$R1065=-1),0,$Q1065*1000+$R1065*100+$K1065)</f>
        <v>0</v>
      </c>
      <c r="T1065" s="37" t="str">
        <f aca="false">IF($A1065="","",IF($B1065="","NO ACCOUNT",IF($Q1065=0,"UNMAPPED",IF($R1065=-1,"OUTSIDE FY RANGE","OK"))))</f>
        <v/>
      </c>
      <c r="U1065" s="40" t="str">
        <f aca="false">IF($A1065="","",$B1065&amp;"|"&amp;TEXT($A1065,"yyyymmdd")&amp;"|"&amp;TEXT($I1065,"0.00"))</f>
        <v/>
      </c>
      <c r="V1065" s="35" t="str">
        <f aca="false">IF($A1065="","",COUNTIF($U$8:$U$5007,$U1065))</f>
        <v/>
      </c>
    </row>
    <row r="1066" customFormat="false" ht="15" hidden="false" customHeight="false" outlineLevel="0" collapsed="false">
      <c r="A1066" s="31"/>
      <c r="B1066" s="32"/>
      <c r="C1066" s="32"/>
      <c r="D1066" s="32"/>
      <c r="E1066" s="32"/>
      <c r="F1066" s="32"/>
      <c r="G1066" s="33"/>
      <c r="H1066" s="33"/>
      <c r="I1066" s="34" t="str">
        <f aca="false">IF($A1066="","",$G1066-$H1066)</f>
        <v/>
      </c>
      <c r="J1066" s="35" t="str">
        <f aca="false">IF($A1066="","",IF(Setup!$B$6=1,YEAR($A1066),YEAR($A1066)+IF(MONTH($A1066)&gt;=Setup!$B$6,1,0)))</f>
        <v/>
      </c>
      <c r="K1066" s="35" t="str">
        <f aca="false">IF($A1066="","",MOD(MONTH($A1066)-Setup!$B$6+12,12)+1)</f>
        <v/>
      </c>
      <c r="L1066" s="36" t="str">
        <f aca="false">IF($A1066="","",TEXT($A1066,"MMM-YY"))</f>
        <v/>
      </c>
      <c r="M1066" s="37" t="str">
        <f aca="false">IF($A1066="","",IF($Q1066=0,"UNMAPPED",INDEX(COA_Mapping!$C$7:$C$256,$Q1066)))</f>
        <v/>
      </c>
      <c r="N1066" s="38" t="str">
        <f aca="false">IF($A1066="","",IF($Q1066=0,"",INDEX(COA_Mapping!$E$7:$E$256,$Q1066)))</f>
        <v/>
      </c>
      <c r="O1066" s="38" t="n">
        <f aca="false">IF($A1066="",1,IF($Q1066=0,1,INDEX(COA_Mapping!$F$7:$F$256,$Q1066)))</f>
        <v>1</v>
      </c>
      <c r="P1066" s="34" t="str">
        <f aca="false">IF($A1066="","",$I1066*$O1066)</f>
        <v/>
      </c>
      <c r="Q1066" s="39" t="n">
        <f aca="false">IF($B1066="",0,IFERROR(MATCH($B1066,COA_Mapping!$A$7:$A$256,0),0))</f>
        <v>0</v>
      </c>
      <c r="R1066" s="39" t="n">
        <f aca="false">IF($A1066="",-1,IF($J1066=Setup!$B$7,1,IF($J1066=Setup!$B$9,0,-1)))</f>
        <v>-1</v>
      </c>
      <c r="S1066" s="35" t="n">
        <f aca="false">IF(OR($A1066="",$Q1066=0,$R1066=-1),0,$Q1066*1000+$R1066*100+$K1066)</f>
        <v>0</v>
      </c>
      <c r="T1066" s="37" t="str">
        <f aca="false">IF($A1066="","",IF($B1066="","NO ACCOUNT",IF($Q1066=0,"UNMAPPED",IF($R1066=-1,"OUTSIDE FY RANGE","OK"))))</f>
        <v/>
      </c>
      <c r="U1066" s="40" t="str">
        <f aca="false">IF($A1066="","",$B1066&amp;"|"&amp;TEXT($A1066,"yyyymmdd")&amp;"|"&amp;TEXT($I1066,"0.00"))</f>
        <v/>
      </c>
      <c r="V1066" s="35" t="str">
        <f aca="false">IF($A1066="","",COUNTIF($U$8:$U$5007,$U1066))</f>
        <v/>
      </c>
    </row>
    <row r="1067" customFormat="false" ht="15" hidden="false" customHeight="false" outlineLevel="0" collapsed="false">
      <c r="A1067" s="31"/>
      <c r="B1067" s="32"/>
      <c r="C1067" s="32"/>
      <c r="D1067" s="32"/>
      <c r="E1067" s="32"/>
      <c r="F1067" s="32"/>
      <c r="G1067" s="33"/>
      <c r="H1067" s="33"/>
      <c r="I1067" s="34" t="str">
        <f aca="false">IF($A1067="","",$G1067-$H1067)</f>
        <v/>
      </c>
      <c r="J1067" s="35" t="str">
        <f aca="false">IF($A1067="","",IF(Setup!$B$6=1,YEAR($A1067),YEAR($A1067)+IF(MONTH($A1067)&gt;=Setup!$B$6,1,0)))</f>
        <v/>
      </c>
      <c r="K1067" s="35" t="str">
        <f aca="false">IF($A1067="","",MOD(MONTH($A1067)-Setup!$B$6+12,12)+1)</f>
        <v/>
      </c>
      <c r="L1067" s="36" t="str">
        <f aca="false">IF($A1067="","",TEXT($A1067,"MMM-YY"))</f>
        <v/>
      </c>
      <c r="M1067" s="37" t="str">
        <f aca="false">IF($A1067="","",IF($Q1067=0,"UNMAPPED",INDEX(COA_Mapping!$C$7:$C$256,$Q1067)))</f>
        <v/>
      </c>
      <c r="N1067" s="38" t="str">
        <f aca="false">IF($A1067="","",IF($Q1067=0,"",INDEX(COA_Mapping!$E$7:$E$256,$Q1067)))</f>
        <v/>
      </c>
      <c r="O1067" s="38" t="n">
        <f aca="false">IF($A1067="",1,IF($Q1067=0,1,INDEX(COA_Mapping!$F$7:$F$256,$Q1067)))</f>
        <v>1</v>
      </c>
      <c r="P1067" s="34" t="str">
        <f aca="false">IF($A1067="","",$I1067*$O1067)</f>
        <v/>
      </c>
      <c r="Q1067" s="39" t="n">
        <f aca="false">IF($B1067="",0,IFERROR(MATCH($B1067,COA_Mapping!$A$7:$A$256,0),0))</f>
        <v>0</v>
      </c>
      <c r="R1067" s="39" t="n">
        <f aca="false">IF($A1067="",-1,IF($J1067=Setup!$B$7,1,IF($J1067=Setup!$B$9,0,-1)))</f>
        <v>-1</v>
      </c>
      <c r="S1067" s="35" t="n">
        <f aca="false">IF(OR($A1067="",$Q1067=0,$R1067=-1),0,$Q1067*1000+$R1067*100+$K1067)</f>
        <v>0</v>
      </c>
      <c r="T1067" s="37" t="str">
        <f aca="false">IF($A1067="","",IF($B1067="","NO ACCOUNT",IF($Q1067=0,"UNMAPPED",IF($R1067=-1,"OUTSIDE FY RANGE","OK"))))</f>
        <v/>
      </c>
      <c r="U1067" s="40" t="str">
        <f aca="false">IF($A1067="","",$B1067&amp;"|"&amp;TEXT($A1067,"yyyymmdd")&amp;"|"&amp;TEXT($I1067,"0.00"))</f>
        <v/>
      </c>
      <c r="V1067" s="35" t="str">
        <f aca="false">IF($A1067="","",COUNTIF($U$8:$U$5007,$U1067))</f>
        <v/>
      </c>
    </row>
    <row r="1068" customFormat="false" ht="15" hidden="false" customHeight="false" outlineLevel="0" collapsed="false">
      <c r="A1068" s="31"/>
      <c r="B1068" s="32"/>
      <c r="C1068" s="32"/>
      <c r="D1068" s="32"/>
      <c r="E1068" s="32"/>
      <c r="F1068" s="32"/>
      <c r="G1068" s="33"/>
      <c r="H1068" s="33"/>
      <c r="I1068" s="34" t="str">
        <f aca="false">IF($A1068="","",$G1068-$H1068)</f>
        <v/>
      </c>
      <c r="J1068" s="35" t="str">
        <f aca="false">IF($A1068="","",IF(Setup!$B$6=1,YEAR($A1068),YEAR($A1068)+IF(MONTH($A1068)&gt;=Setup!$B$6,1,0)))</f>
        <v/>
      </c>
      <c r="K1068" s="35" t="str">
        <f aca="false">IF($A1068="","",MOD(MONTH($A1068)-Setup!$B$6+12,12)+1)</f>
        <v/>
      </c>
      <c r="L1068" s="36" t="str">
        <f aca="false">IF($A1068="","",TEXT($A1068,"MMM-YY"))</f>
        <v/>
      </c>
      <c r="M1068" s="37" t="str">
        <f aca="false">IF($A1068="","",IF($Q1068=0,"UNMAPPED",INDEX(COA_Mapping!$C$7:$C$256,$Q1068)))</f>
        <v/>
      </c>
      <c r="N1068" s="38" t="str">
        <f aca="false">IF($A1068="","",IF($Q1068=0,"",INDEX(COA_Mapping!$E$7:$E$256,$Q1068)))</f>
        <v/>
      </c>
      <c r="O1068" s="38" t="n">
        <f aca="false">IF($A1068="",1,IF($Q1068=0,1,INDEX(COA_Mapping!$F$7:$F$256,$Q1068)))</f>
        <v>1</v>
      </c>
      <c r="P1068" s="34" t="str">
        <f aca="false">IF($A1068="","",$I1068*$O1068)</f>
        <v/>
      </c>
      <c r="Q1068" s="39" t="n">
        <f aca="false">IF($B1068="",0,IFERROR(MATCH($B1068,COA_Mapping!$A$7:$A$256,0),0))</f>
        <v>0</v>
      </c>
      <c r="R1068" s="39" t="n">
        <f aca="false">IF($A1068="",-1,IF($J1068=Setup!$B$7,1,IF($J1068=Setup!$B$9,0,-1)))</f>
        <v>-1</v>
      </c>
      <c r="S1068" s="35" t="n">
        <f aca="false">IF(OR($A1068="",$Q1068=0,$R1068=-1),0,$Q1068*1000+$R1068*100+$K1068)</f>
        <v>0</v>
      </c>
      <c r="T1068" s="37" t="str">
        <f aca="false">IF($A1068="","",IF($B1068="","NO ACCOUNT",IF($Q1068=0,"UNMAPPED",IF($R1068=-1,"OUTSIDE FY RANGE","OK"))))</f>
        <v/>
      </c>
      <c r="U1068" s="40" t="str">
        <f aca="false">IF($A1068="","",$B1068&amp;"|"&amp;TEXT($A1068,"yyyymmdd")&amp;"|"&amp;TEXT($I1068,"0.00"))</f>
        <v/>
      </c>
      <c r="V1068" s="35" t="str">
        <f aca="false">IF($A1068="","",COUNTIF($U$8:$U$5007,$U1068))</f>
        <v/>
      </c>
    </row>
    <row r="1069" customFormat="false" ht="15" hidden="false" customHeight="false" outlineLevel="0" collapsed="false">
      <c r="A1069" s="31"/>
      <c r="B1069" s="32"/>
      <c r="C1069" s="32"/>
      <c r="D1069" s="32"/>
      <c r="E1069" s="32"/>
      <c r="F1069" s="32"/>
      <c r="G1069" s="33"/>
      <c r="H1069" s="33"/>
      <c r="I1069" s="34" t="str">
        <f aca="false">IF($A1069="","",$G1069-$H1069)</f>
        <v/>
      </c>
      <c r="J1069" s="35" t="str">
        <f aca="false">IF($A1069="","",IF(Setup!$B$6=1,YEAR($A1069),YEAR($A1069)+IF(MONTH($A1069)&gt;=Setup!$B$6,1,0)))</f>
        <v/>
      </c>
      <c r="K1069" s="35" t="str">
        <f aca="false">IF($A1069="","",MOD(MONTH($A1069)-Setup!$B$6+12,12)+1)</f>
        <v/>
      </c>
      <c r="L1069" s="36" t="str">
        <f aca="false">IF($A1069="","",TEXT($A1069,"MMM-YY"))</f>
        <v/>
      </c>
      <c r="M1069" s="37" t="str">
        <f aca="false">IF($A1069="","",IF($Q1069=0,"UNMAPPED",INDEX(COA_Mapping!$C$7:$C$256,$Q1069)))</f>
        <v/>
      </c>
      <c r="N1069" s="38" t="str">
        <f aca="false">IF($A1069="","",IF($Q1069=0,"",INDEX(COA_Mapping!$E$7:$E$256,$Q1069)))</f>
        <v/>
      </c>
      <c r="O1069" s="38" t="n">
        <f aca="false">IF($A1069="",1,IF($Q1069=0,1,INDEX(COA_Mapping!$F$7:$F$256,$Q1069)))</f>
        <v>1</v>
      </c>
      <c r="P1069" s="34" t="str">
        <f aca="false">IF($A1069="","",$I1069*$O1069)</f>
        <v/>
      </c>
      <c r="Q1069" s="39" t="n">
        <f aca="false">IF($B1069="",0,IFERROR(MATCH($B1069,COA_Mapping!$A$7:$A$256,0),0))</f>
        <v>0</v>
      </c>
      <c r="R1069" s="39" t="n">
        <f aca="false">IF($A1069="",-1,IF($J1069=Setup!$B$7,1,IF($J1069=Setup!$B$9,0,-1)))</f>
        <v>-1</v>
      </c>
      <c r="S1069" s="35" t="n">
        <f aca="false">IF(OR($A1069="",$Q1069=0,$R1069=-1),0,$Q1069*1000+$R1069*100+$K1069)</f>
        <v>0</v>
      </c>
      <c r="T1069" s="37" t="str">
        <f aca="false">IF($A1069="","",IF($B1069="","NO ACCOUNT",IF($Q1069=0,"UNMAPPED",IF($R1069=-1,"OUTSIDE FY RANGE","OK"))))</f>
        <v/>
      </c>
      <c r="U1069" s="40" t="str">
        <f aca="false">IF($A1069="","",$B1069&amp;"|"&amp;TEXT($A1069,"yyyymmdd")&amp;"|"&amp;TEXT($I1069,"0.00"))</f>
        <v/>
      </c>
      <c r="V1069" s="35" t="str">
        <f aca="false">IF($A1069="","",COUNTIF($U$8:$U$5007,$U1069))</f>
        <v/>
      </c>
    </row>
    <row r="1070" customFormat="false" ht="15" hidden="false" customHeight="false" outlineLevel="0" collapsed="false">
      <c r="A1070" s="31"/>
      <c r="B1070" s="32"/>
      <c r="C1070" s="32"/>
      <c r="D1070" s="32"/>
      <c r="E1070" s="32"/>
      <c r="F1070" s="32"/>
      <c r="G1070" s="33"/>
      <c r="H1070" s="33"/>
      <c r="I1070" s="34" t="str">
        <f aca="false">IF($A1070="","",$G1070-$H1070)</f>
        <v/>
      </c>
      <c r="J1070" s="35" t="str">
        <f aca="false">IF($A1070="","",IF(Setup!$B$6=1,YEAR($A1070),YEAR($A1070)+IF(MONTH($A1070)&gt;=Setup!$B$6,1,0)))</f>
        <v/>
      </c>
      <c r="K1070" s="35" t="str">
        <f aca="false">IF($A1070="","",MOD(MONTH($A1070)-Setup!$B$6+12,12)+1)</f>
        <v/>
      </c>
      <c r="L1070" s="36" t="str">
        <f aca="false">IF($A1070="","",TEXT($A1070,"MMM-YY"))</f>
        <v/>
      </c>
      <c r="M1070" s="37" t="str">
        <f aca="false">IF($A1070="","",IF($Q1070=0,"UNMAPPED",INDEX(COA_Mapping!$C$7:$C$256,$Q1070)))</f>
        <v/>
      </c>
      <c r="N1070" s="38" t="str">
        <f aca="false">IF($A1070="","",IF($Q1070=0,"",INDEX(COA_Mapping!$E$7:$E$256,$Q1070)))</f>
        <v/>
      </c>
      <c r="O1070" s="38" t="n">
        <f aca="false">IF($A1070="",1,IF($Q1070=0,1,INDEX(COA_Mapping!$F$7:$F$256,$Q1070)))</f>
        <v>1</v>
      </c>
      <c r="P1070" s="34" t="str">
        <f aca="false">IF($A1070="","",$I1070*$O1070)</f>
        <v/>
      </c>
      <c r="Q1070" s="39" t="n">
        <f aca="false">IF($B1070="",0,IFERROR(MATCH($B1070,COA_Mapping!$A$7:$A$256,0),0))</f>
        <v>0</v>
      </c>
      <c r="R1070" s="39" t="n">
        <f aca="false">IF($A1070="",-1,IF($J1070=Setup!$B$7,1,IF($J1070=Setup!$B$9,0,-1)))</f>
        <v>-1</v>
      </c>
      <c r="S1070" s="35" t="n">
        <f aca="false">IF(OR($A1070="",$Q1070=0,$R1070=-1),0,$Q1070*1000+$R1070*100+$K1070)</f>
        <v>0</v>
      </c>
      <c r="T1070" s="37" t="str">
        <f aca="false">IF($A1070="","",IF($B1070="","NO ACCOUNT",IF($Q1070=0,"UNMAPPED",IF($R1070=-1,"OUTSIDE FY RANGE","OK"))))</f>
        <v/>
      </c>
      <c r="U1070" s="40" t="str">
        <f aca="false">IF($A1070="","",$B1070&amp;"|"&amp;TEXT($A1070,"yyyymmdd")&amp;"|"&amp;TEXT($I1070,"0.00"))</f>
        <v/>
      </c>
      <c r="V1070" s="35" t="str">
        <f aca="false">IF($A1070="","",COUNTIF($U$8:$U$5007,$U1070))</f>
        <v/>
      </c>
    </row>
    <row r="1071" customFormat="false" ht="15" hidden="false" customHeight="false" outlineLevel="0" collapsed="false">
      <c r="A1071" s="31"/>
      <c r="B1071" s="32"/>
      <c r="C1071" s="32"/>
      <c r="D1071" s="32"/>
      <c r="E1071" s="32"/>
      <c r="F1071" s="32"/>
      <c r="G1071" s="33"/>
      <c r="H1071" s="33"/>
      <c r="I1071" s="34" t="str">
        <f aca="false">IF($A1071="","",$G1071-$H1071)</f>
        <v/>
      </c>
      <c r="J1071" s="35" t="str">
        <f aca="false">IF($A1071="","",IF(Setup!$B$6=1,YEAR($A1071),YEAR($A1071)+IF(MONTH($A1071)&gt;=Setup!$B$6,1,0)))</f>
        <v/>
      </c>
      <c r="K1071" s="35" t="str">
        <f aca="false">IF($A1071="","",MOD(MONTH($A1071)-Setup!$B$6+12,12)+1)</f>
        <v/>
      </c>
      <c r="L1071" s="36" t="str">
        <f aca="false">IF($A1071="","",TEXT($A1071,"MMM-YY"))</f>
        <v/>
      </c>
      <c r="M1071" s="37" t="str">
        <f aca="false">IF($A1071="","",IF($Q1071=0,"UNMAPPED",INDEX(COA_Mapping!$C$7:$C$256,$Q1071)))</f>
        <v/>
      </c>
      <c r="N1071" s="38" t="str">
        <f aca="false">IF($A1071="","",IF($Q1071=0,"",INDEX(COA_Mapping!$E$7:$E$256,$Q1071)))</f>
        <v/>
      </c>
      <c r="O1071" s="38" t="n">
        <f aca="false">IF($A1071="",1,IF($Q1071=0,1,INDEX(COA_Mapping!$F$7:$F$256,$Q1071)))</f>
        <v>1</v>
      </c>
      <c r="P1071" s="34" t="str">
        <f aca="false">IF($A1071="","",$I1071*$O1071)</f>
        <v/>
      </c>
      <c r="Q1071" s="39" t="n">
        <f aca="false">IF($B1071="",0,IFERROR(MATCH($B1071,COA_Mapping!$A$7:$A$256,0),0))</f>
        <v>0</v>
      </c>
      <c r="R1071" s="39" t="n">
        <f aca="false">IF($A1071="",-1,IF($J1071=Setup!$B$7,1,IF($J1071=Setup!$B$9,0,-1)))</f>
        <v>-1</v>
      </c>
      <c r="S1071" s="35" t="n">
        <f aca="false">IF(OR($A1071="",$Q1071=0,$R1071=-1),0,$Q1071*1000+$R1071*100+$K1071)</f>
        <v>0</v>
      </c>
      <c r="T1071" s="37" t="str">
        <f aca="false">IF($A1071="","",IF($B1071="","NO ACCOUNT",IF($Q1071=0,"UNMAPPED",IF($R1071=-1,"OUTSIDE FY RANGE","OK"))))</f>
        <v/>
      </c>
      <c r="U1071" s="40" t="str">
        <f aca="false">IF($A1071="","",$B1071&amp;"|"&amp;TEXT($A1071,"yyyymmdd")&amp;"|"&amp;TEXT($I1071,"0.00"))</f>
        <v/>
      </c>
      <c r="V1071" s="35" t="str">
        <f aca="false">IF($A1071="","",COUNTIF($U$8:$U$5007,$U1071))</f>
        <v/>
      </c>
    </row>
    <row r="1072" customFormat="false" ht="15" hidden="false" customHeight="false" outlineLevel="0" collapsed="false">
      <c r="A1072" s="31"/>
      <c r="B1072" s="32"/>
      <c r="C1072" s="32"/>
      <c r="D1072" s="32"/>
      <c r="E1072" s="32"/>
      <c r="F1072" s="32"/>
      <c r="G1072" s="33"/>
      <c r="H1072" s="33"/>
      <c r="I1072" s="34" t="str">
        <f aca="false">IF($A1072="","",$G1072-$H1072)</f>
        <v/>
      </c>
      <c r="J1072" s="35" t="str">
        <f aca="false">IF($A1072="","",IF(Setup!$B$6=1,YEAR($A1072),YEAR($A1072)+IF(MONTH($A1072)&gt;=Setup!$B$6,1,0)))</f>
        <v/>
      </c>
      <c r="K1072" s="35" t="str">
        <f aca="false">IF($A1072="","",MOD(MONTH($A1072)-Setup!$B$6+12,12)+1)</f>
        <v/>
      </c>
      <c r="L1072" s="36" t="str">
        <f aca="false">IF($A1072="","",TEXT($A1072,"MMM-YY"))</f>
        <v/>
      </c>
      <c r="M1072" s="37" t="str">
        <f aca="false">IF($A1072="","",IF($Q1072=0,"UNMAPPED",INDEX(COA_Mapping!$C$7:$C$256,$Q1072)))</f>
        <v/>
      </c>
      <c r="N1072" s="38" t="str">
        <f aca="false">IF($A1072="","",IF($Q1072=0,"",INDEX(COA_Mapping!$E$7:$E$256,$Q1072)))</f>
        <v/>
      </c>
      <c r="O1072" s="38" t="n">
        <f aca="false">IF($A1072="",1,IF($Q1072=0,1,INDEX(COA_Mapping!$F$7:$F$256,$Q1072)))</f>
        <v>1</v>
      </c>
      <c r="P1072" s="34" t="str">
        <f aca="false">IF($A1072="","",$I1072*$O1072)</f>
        <v/>
      </c>
      <c r="Q1072" s="39" t="n">
        <f aca="false">IF($B1072="",0,IFERROR(MATCH($B1072,COA_Mapping!$A$7:$A$256,0),0))</f>
        <v>0</v>
      </c>
      <c r="R1072" s="39" t="n">
        <f aca="false">IF($A1072="",-1,IF($J1072=Setup!$B$7,1,IF($J1072=Setup!$B$9,0,-1)))</f>
        <v>-1</v>
      </c>
      <c r="S1072" s="35" t="n">
        <f aca="false">IF(OR($A1072="",$Q1072=0,$R1072=-1),0,$Q1072*1000+$R1072*100+$K1072)</f>
        <v>0</v>
      </c>
      <c r="T1072" s="37" t="str">
        <f aca="false">IF($A1072="","",IF($B1072="","NO ACCOUNT",IF($Q1072=0,"UNMAPPED",IF($R1072=-1,"OUTSIDE FY RANGE","OK"))))</f>
        <v/>
      </c>
      <c r="U1072" s="40" t="str">
        <f aca="false">IF($A1072="","",$B1072&amp;"|"&amp;TEXT($A1072,"yyyymmdd")&amp;"|"&amp;TEXT($I1072,"0.00"))</f>
        <v/>
      </c>
      <c r="V1072" s="35" t="str">
        <f aca="false">IF($A1072="","",COUNTIF($U$8:$U$5007,$U1072))</f>
        <v/>
      </c>
    </row>
    <row r="1073" customFormat="false" ht="15" hidden="false" customHeight="false" outlineLevel="0" collapsed="false">
      <c r="A1073" s="31"/>
      <c r="B1073" s="32"/>
      <c r="C1073" s="32"/>
      <c r="D1073" s="32"/>
      <c r="E1073" s="32"/>
      <c r="F1073" s="32"/>
      <c r="G1073" s="33"/>
      <c r="H1073" s="33"/>
      <c r="I1073" s="34" t="str">
        <f aca="false">IF($A1073="","",$G1073-$H1073)</f>
        <v/>
      </c>
      <c r="J1073" s="35" t="str">
        <f aca="false">IF($A1073="","",IF(Setup!$B$6=1,YEAR($A1073),YEAR($A1073)+IF(MONTH($A1073)&gt;=Setup!$B$6,1,0)))</f>
        <v/>
      </c>
      <c r="K1073" s="35" t="str">
        <f aca="false">IF($A1073="","",MOD(MONTH($A1073)-Setup!$B$6+12,12)+1)</f>
        <v/>
      </c>
      <c r="L1073" s="36" t="str">
        <f aca="false">IF($A1073="","",TEXT($A1073,"MMM-YY"))</f>
        <v/>
      </c>
      <c r="M1073" s="37" t="str">
        <f aca="false">IF($A1073="","",IF($Q1073=0,"UNMAPPED",INDEX(COA_Mapping!$C$7:$C$256,$Q1073)))</f>
        <v/>
      </c>
      <c r="N1073" s="38" t="str">
        <f aca="false">IF($A1073="","",IF($Q1073=0,"",INDEX(COA_Mapping!$E$7:$E$256,$Q1073)))</f>
        <v/>
      </c>
      <c r="O1073" s="38" t="n">
        <f aca="false">IF($A1073="",1,IF($Q1073=0,1,INDEX(COA_Mapping!$F$7:$F$256,$Q1073)))</f>
        <v>1</v>
      </c>
      <c r="P1073" s="34" t="str">
        <f aca="false">IF($A1073="","",$I1073*$O1073)</f>
        <v/>
      </c>
      <c r="Q1073" s="39" t="n">
        <f aca="false">IF($B1073="",0,IFERROR(MATCH($B1073,COA_Mapping!$A$7:$A$256,0),0))</f>
        <v>0</v>
      </c>
      <c r="R1073" s="39" t="n">
        <f aca="false">IF($A1073="",-1,IF($J1073=Setup!$B$7,1,IF($J1073=Setup!$B$9,0,-1)))</f>
        <v>-1</v>
      </c>
      <c r="S1073" s="35" t="n">
        <f aca="false">IF(OR($A1073="",$Q1073=0,$R1073=-1),0,$Q1073*1000+$R1073*100+$K1073)</f>
        <v>0</v>
      </c>
      <c r="T1073" s="37" t="str">
        <f aca="false">IF($A1073="","",IF($B1073="","NO ACCOUNT",IF($Q1073=0,"UNMAPPED",IF($R1073=-1,"OUTSIDE FY RANGE","OK"))))</f>
        <v/>
      </c>
      <c r="U1073" s="40" t="str">
        <f aca="false">IF($A1073="","",$B1073&amp;"|"&amp;TEXT($A1073,"yyyymmdd")&amp;"|"&amp;TEXT($I1073,"0.00"))</f>
        <v/>
      </c>
      <c r="V1073" s="35" t="str">
        <f aca="false">IF($A1073="","",COUNTIF($U$8:$U$5007,$U1073))</f>
        <v/>
      </c>
    </row>
    <row r="1074" customFormat="false" ht="15" hidden="false" customHeight="false" outlineLevel="0" collapsed="false">
      <c r="A1074" s="31"/>
      <c r="B1074" s="32"/>
      <c r="C1074" s="32"/>
      <c r="D1074" s="32"/>
      <c r="E1074" s="32"/>
      <c r="F1074" s="32"/>
      <c r="G1074" s="33"/>
      <c r="H1074" s="33"/>
      <c r="I1074" s="34" t="str">
        <f aca="false">IF($A1074="","",$G1074-$H1074)</f>
        <v/>
      </c>
      <c r="J1074" s="35" t="str">
        <f aca="false">IF($A1074="","",IF(Setup!$B$6=1,YEAR($A1074),YEAR($A1074)+IF(MONTH($A1074)&gt;=Setup!$B$6,1,0)))</f>
        <v/>
      </c>
      <c r="K1074" s="35" t="str">
        <f aca="false">IF($A1074="","",MOD(MONTH($A1074)-Setup!$B$6+12,12)+1)</f>
        <v/>
      </c>
      <c r="L1074" s="36" t="str">
        <f aca="false">IF($A1074="","",TEXT($A1074,"MMM-YY"))</f>
        <v/>
      </c>
      <c r="M1074" s="37" t="str">
        <f aca="false">IF($A1074="","",IF($Q1074=0,"UNMAPPED",INDEX(COA_Mapping!$C$7:$C$256,$Q1074)))</f>
        <v/>
      </c>
      <c r="N1074" s="38" t="str">
        <f aca="false">IF($A1074="","",IF($Q1074=0,"",INDEX(COA_Mapping!$E$7:$E$256,$Q1074)))</f>
        <v/>
      </c>
      <c r="O1074" s="38" t="n">
        <f aca="false">IF($A1074="",1,IF($Q1074=0,1,INDEX(COA_Mapping!$F$7:$F$256,$Q1074)))</f>
        <v>1</v>
      </c>
      <c r="P1074" s="34" t="str">
        <f aca="false">IF($A1074="","",$I1074*$O1074)</f>
        <v/>
      </c>
      <c r="Q1074" s="39" t="n">
        <f aca="false">IF($B1074="",0,IFERROR(MATCH($B1074,COA_Mapping!$A$7:$A$256,0),0))</f>
        <v>0</v>
      </c>
      <c r="R1074" s="39" t="n">
        <f aca="false">IF($A1074="",-1,IF($J1074=Setup!$B$7,1,IF($J1074=Setup!$B$9,0,-1)))</f>
        <v>-1</v>
      </c>
      <c r="S1074" s="35" t="n">
        <f aca="false">IF(OR($A1074="",$Q1074=0,$R1074=-1),0,$Q1074*1000+$R1074*100+$K1074)</f>
        <v>0</v>
      </c>
      <c r="T1074" s="37" t="str">
        <f aca="false">IF($A1074="","",IF($B1074="","NO ACCOUNT",IF($Q1074=0,"UNMAPPED",IF($R1074=-1,"OUTSIDE FY RANGE","OK"))))</f>
        <v/>
      </c>
      <c r="U1074" s="40" t="str">
        <f aca="false">IF($A1074="","",$B1074&amp;"|"&amp;TEXT($A1074,"yyyymmdd")&amp;"|"&amp;TEXT($I1074,"0.00"))</f>
        <v/>
      </c>
      <c r="V1074" s="35" t="str">
        <f aca="false">IF($A1074="","",COUNTIF($U$8:$U$5007,$U1074))</f>
        <v/>
      </c>
    </row>
    <row r="1075" customFormat="false" ht="15" hidden="false" customHeight="false" outlineLevel="0" collapsed="false">
      <c r="A1075" s="31"/>
      <c r="B1075" s="32"/>
      <c r="C1075" s="32"/>
      <c r="D1075" s="32"/>
      <c r="E1075" s="32"/>
      <c r="F1075" s="32"/>
      <c r="G1075" s="33"/>
      <c r="H1075" s="33"/>
      <c r="I1075" s="34" t="str">
        <f aca="false">IF($A1075="","",$G1075-$H1075)</f>
        <v/>
      </c>
      <c r="J1075" s="35" t="str">
        <f aca="false">IF($A1075="","",IF(Setup!$B$6=1,YEAR($A1075),YEAR($A1075)+IF(MONTH($A1075)&gt;=Setup!$B$6,1,0)))</f>
        <v/>
      </c>
      <c r="K1075" s="35" t="str">
        <f aca="false">IF($A1075="","",MOD(MONTH($A1075)-Setup!$B$6+12,12)+1)</f>
        <v/>
      </c>
      <c r="L1075" s="36" t="str">
        <f aca="false">IF($A1075="","",TEXT($A1075,"MMM-YY"))</f>
        <v/>
      </c>
      <c r="M1075" s="37" t="str">
        <f aca="false">IF($A1075="","",IF($Q1075=0,"UNMAPPED",INDEX(COA_Mapping!$C$7:$C$256,$Q1075)))</f>
        <v/>
      </c>
      <c r="N1075" s="38" t="str">
        <f aca="false">IF($A1075="","",IF($Q1075=0,"",INDEX(COA_Mapping!$E$7:$E$256,$Q1075)))</f>
        <v/>
      </c>
      <c r="O1075" s="38" t="n">
        <f aca="false">IF($A1075="",1,IF($Q1075=0,1,INDEX(COA_Mapping!$F$7:$F$256,$Q1075)))</f>
        <v>1</v>
      </c>
      <c r="P1075" s="34" t="str">
        <f aca="false">IF($A1075="","",$I1075*$O1075)</f>
        <v/>
      </c>
      <c r="Q1075" s="39" t="n">
        <f aca="false">IF($B1075="",0,IFERROR(MATCH($B1075,COA_Mapping!$A$7:$A$256,0),0))</f>
        <v>0</v>
      </c>
      <c r="R1075" s="39" t="n">
        <f aca="false">IF($A1075="",-1,IF($J1075=Setup!$B$7,1,IF($J1075=Setup!$B$9,0,-1)))</f>
        <v>-1</v>
      </c>
      <c r="S1075" s="35" t="n">
        <f aca="false">IF(OR($A1075="",$Q1075=0,$R1075=-1),0,$Q1075*1000+$R1075*100+$K1075)</f>
        <v>0</v>
      </c>
      <c r="T1075" s="37" t="str">
        <f aca="false">IF($A1075="","",IF($B1075="","NO ACCOUNT",IF($Q1075=0,"UNMAPPED",IF($R1075=-1,"OUTSIDE FY RANGE","OK"))))</f>
        <v/>
      </c>
      <c r="U1075" s="40" t="str">
        <f aca="false">IF($A1075="","",$B1075&amp;"|"&amp;TEXT($A1075,"yyyymmdd")&amp;"|"&amp;TEXT($I1075,"0.00"))</f>
        <v/>
      </c>
      <c r="V1075" s="35" t="str">
        <f aca="false">IF($A1075="","",COUNTIF($U$8:$U$5007,$U1075))</f>
        <v/>
      </c>
    </row>
    <row r="1076" customFormat="false" ht="15" hidden="false" customHeight="false" outlineLevel="0" collapsed="false">
      <c r="A1076" s="31"/>
      <c r="B1076" s="32"/>
      <c r="C1076" s="32"/>
      <c r="D1076" s="32"/>
      <c r="E1076" s="32"/>
      <c r="F1076" s="32"/>
      <c r="G1076" s="33"/>
      <c r="H1076" s="33"/>
      <c r="I1076" s="34" t="str">
        <f aca="false">IF($A1076="","",$G1076-$H1076)</f>
        <v/>
      </c>
      <c r="J1076" s="35" t="str">
        <f aca="false">IF($A1076="","",IF(Setup!$B$6=1,YEAR($A1076),YEAR($A1076)+IF(MONTH($A1076)&gt;=Setup!$B$6,1,0)))</f>
        <v/>
      </c>
      <c r="K1076" s="35" t="str">
        <f aca="false">IF($A1076="","",MOD(MONTH($A1076)-Setup!$B$6+12,12)+1)</f>
        <v/>
      </c>
      <c r="L1076" s="36" t="str">
        <f aca="false">IF($A1076="","",TEXT($A1076,"MMM-YY"))</f>
        <v/>
      </c>
      <c r="M1076" s="37" t="str">
        <f aca="false">IF($A1076="","",IF($Q1076=0,"UNMAPPED",INDEX(COA_Mapping!$C$7:$C$256,$Q1076)))</f>
        <v/>
      </c>
      <c r="N1076" s="38" t="str">
        <f aca="false">IF($A1076="","",IF($Q1076=0,"",INDEX(COA_Mapping!$E$7:$E$256,$Q1076)))</f>
        <v/>
      </c>
      <c r="O1076" s="38" t="n">
        <f aca="false">IF($A1076="",1,IF($Q1076=0,1,INDEX(COA_Mapping!$F$7:$F$256,$Q1076)))</f>
        <v>1</v>
      </c>
      <c r="P1076" s="34" t="str">
        <f aca="false">IF($A1076="","",$I1076*$O1076)</f>
        <v/>
      </c>
      <c r="Q1076" s="39" t="n">
        <f aca="false">IF($B1076="",0,IFERROR(MATCH($B1076,COA_Mapping!$A$7:$A$256,0),0))</f>
        <v>0</v>
      </c>
      <c r="R1076" s="39" t="n">
        <f aca="false">IF($A1076="",-1,IF($J1076=Setup!$B$7,1,IF($J1076=Setup!$B$9,0,-1)))</f>
        <v>-1</v>
      </c>
      <c r="S1076" s="35" t="n">
        <f aca="false">IF(OR($A1076="",$Q1076=0,$R1076=-1),0,$Q1076*1000+$R1076*100+$K1076)</f>
        <v>0</v>
      </c>
      <c r="T1076" s="37" t="str">
        <f aca="false">IF($A1076="","",IF($B1076="","NO ACCOUNT",IF($Q1076=0,"UNMAPPED",IF($R1076=-1,"OUTSIDE FY RANGE","OK"))))</f>
        <v/>
      </c>
      <c r="U1076" s="40" t="str">
        <f aca="false">IF($A1076="","",$B1076&amp;"|"&amp;TEXT($A1076,"yyyymmdd")&amp;"|"&amp;TEXT($I1076,"0.00"))</f>
        <v/>
      </c>
      <c r="V1076" s="35" t="str">
        <f aca="false">IF($A1076="","",COUNTIF($U$8:$U$5007,$U1076))</f>
        <v/>
      </c>
    </row>
    <row r="1077" customFormat="false" ht="15" hidden="false" customHeight="false" outlineLevel="0" collapsed="false">
      <c r="A1077" s="31"/>
      <c r="B1077" s="32"/>
      <c r="C1077" s="32"/>
      <c r="D1077" s="32"/>
      <c r="E1077" s="32"/>
      <c r="F1077" s="32"/>
      <c r="G1077" s="33"/>
      <c r="H1077" s="33"/>
      <c r="I1077" s="34" t="str">
        <f aca="false">IF($A1077="","",$G1077-$H1077)</f>
        <v/>
      </c>
      <c r="J1077" s="35" t="str">
        <f aca="false">IF($A1077="","",IF(Setup!$B$6=1,YEAR($A1077),YEAR($A1077)+IF(MONTH($A1077)&gt;=Setup!$B$6,1,0)))</f>
        <v/>
      </c>
      <c r="K1077" s="35" t="str">
        <f aca="false">IF($A1077="","",MOD(MONTH($A1077)-Setup!$B$6+12,12)+1)</f>
        <v/>
      </c>
      <c r="L1077" s="36" t="str">
        <f aca="false">IF($A1077="","",TEXT($A1077,"MMM-YY"))</f>
        <v/>
      </c>
      <c r="M1077" s="37" t="str">
        <f aca="false">IF($A1077="","",IF($Q1077=0,"UNMAPPED",INDEX(COA_Mapping!$C$7:$C$256,$Q1077)))</f>
        <v/>
      </c>
      <c r="N1077" s="38" t="str">
        <f aca="false">IF($A1077="","",IF($Q1077=0,"",INDEX(COA_Mapping!$E$7:$E$256,$Q1077)))</f>
        <v/>
      </c>
      <c r="O1077" s="38" t="n">
        <f aca="false">IF($A1077="",1,IF($Q1077=0,1,INDEX(COA_Mapping!$F$7:$F$256,$Q1077)))</f>
        <v>1</v>
      </c>
      <c r="P1077" s="34" t="str">
        <f aca="false">IF($A1077="","",$I1077*$O1077)</f>
        <v/>
      </c>
      <c r="Q1077" s="39" t="n">
        <f aca="false">IF($B1077="",0,IFERROR(MATCH($B1077,COA_Mapping!$A$7:$A$256,0),0))</f>
        <v>0</v>
      </c>
      <c r="R1077" s="39" t="n">
        <f aca="false">IF($A1077="",-1,IF($J1077=Setup!$B$7,1,IF($J1077=Setup!$B$9,0,-1)))</f>
        <v>-1</v>
      </c>
      <c r="S1077" s="35" t="n">
        <f aca="false">IF(OR($A1077="",$Q1077=0,$R1077=-1),0,$Q1077*1000+$R1077*100+$K1077)</f>
        <v>0</v>
      </c>
      <c r="T1077" s="37" t="str">
        <f aca="false">IF($A1077="","",IF($B1077="","NO ACCOUNT",IF($Q1077=0,"UNMAPPED",IF($R1077=-1,"OUTSIDE FY RANGE","OK"))))</f>
        <v/>
      </c>
      <c r="U1077" s="40" t="str">
        <f aca="false">IF($A1077="","",$B1077&amp;"|"&amp;TEXT($A1077,"yyyymmdd")&amp;"|"&amp;TEXT($I1077,"0.00"))</f>
        <v/>
      </c>
      <c r="V1077" s="35" t="str">
        <f aca="false">IF($A1077="","",COUNTIF($U$8:$U$5007,$U1077))</f>
        <v/>
      </c>
    </row>
    <row r="1078" customFormat="false" ht="15" hidden="false" customHeight="false" outlineLevel="0" collapsed="false">
      <c r="A1078" s="31"/>
      <c r="B1078" s="32"/>
      <c r="C1078" s="32"/>
      <c r="D1078" s="32"/>
      <c r="E1078" s="32"/>
      <c r="F1078" s="32"/>
      <c r="G1078" s="33"/>
      <c r="H1078" s="33"/>
      <c r="I1078" s="34" t="str">
        <f aca="false">IF($A1078="","",$G1078-$H1078)</f>
        <v/>
      </c>
      <c r="J1078" s="35" t="str">
        <f aca="false">IF($A1078="","",IF(Setup!$B$6=1,YEAR($A1078),YEAR($A1078)+IF(MONTH($A1078)&gt;=Setup!$B$6,1,0)))</f>
        <v/>
      </c>
      <c r="K1078" s="35" t="str">
        <f aca="false">IF($A1078="","",MOD(MONTH($A1078)-Setup!$B$6+12,12)+1)</f>
        <v/>
      </c>
      <c r="L1078" s="36" t="str">
        <f aca="false">IF($A1078="","",TEXT($A1078,"MMM-YY"))</f>
        <v/>
      </c>
      <c r="M1078" s="37" t="str">
        <f aca="false">IF($A1078="","",IF($Q1078=0,"UNMAPPED",INDEX(COA_Mapping!$C$7:$C$256,$Q1078)))</f>
        <v/>
      </c>
      <c r="N1078" s="38" t="str">
        <f aca="false">IF($A1078="","",IF($Q1078=0,"",INDEX(COA_Mapping!$E$7:$E$256,$Q1078)))</f>
        <v/>
      </c>
      <c r="O1078" s="38" t="n">
        <f aca="false">IF($A1078="",1,IF($Q1078=0,1,INDEX(COA_Mapping!$F$7:$F$256,$Q1078)))</f>
        <v>1</v>
      </c>
      <c r="P1078" s="34" t="str">
        <f aca="false">IF($A1078="","",$I1078*$O1078)</f>
        <v/>
      </c>
      <c r="Q1078" s="39" t="n">
        <f aca="false">IF($B1078="",0,IFERROR(MATCH($B1078,COA_Mapping!$A$7:$A$256,0),0))</f>
        <v>0</v>
      </c>
      <c r="R1078" s="39" t="n">
        <f aca="false">IF($A1078="",-1,IF($J1078=Setup!$B$7,1,IF($J1078=Setup!$B$9,0,-1)))</f>
        <v>-1</v>
      </c>
      <c r="S1078" s="35" t="n">
        <f aca="false">IF(OR($A1078="",$Q1078=0,$R1078=-1),0,$Q1078*1000+$R1078*100+$K1078)</f>
        <v>0</v>
      </c>
      <c r="T1078" s="37" t="str">
        <f aca="false">IF($A1078="","",IF($B1078="","NO ACCOUNT",IF($Q1078=0,"UNMAPPED",IF($R1078=-1,"OUTSIDE FY RANGE","OK"))))</f>
        <v/>
      </c>
      <c r="U1078" s="40" t="str">
        <f aca="false">IF($A1078="","",$B1078&amp;"|"&amp;TEXT($A1078,"yyyymmdd")&amp;"|"&amp;TEXT($I1078,"0.00"))</f>
        <v/>
      </c>
      <c r="V1078" s="35" t="str">
        <f aca="false">IF($A1078="","",COUNTIF($U$8:$U$5007,$U1078))</f>
        <v/>
      </c>
    </row>
    <row r="1079" customFormat="false" ht="15" hidden="false" customHeight="false" outlineLevel="0" collapsed="false">
      <c r="A1079" s="31"/>
      <c r="B1079" s="32"/>
      <c r="C1079" s="32"/>
      <c r="D1079" s="32"/>
      <c r="E1079" s="32"/>
      <c r="F1079" s="32"/>
      <c r="G1079" s="33"/>
      <c r="H1079" s="33"/>
      <c r="I1079" s="34" t="str">
        <f aca="false">IF($A1079="","",$G1079-$H1079)</f>
        <v/>
      </c>
      <c r="J1079" s="35" t="str">
        <f aca="false">IF($A1079="","",IF(Setup!$B$6=1,YEAR($A1079),YEAR($A1079)+IF(MONTH($A1079)&gt;=Setup!$B$6,1,0)))</f>
        <v/>
      </c>
      <c r="K1079" s="35" t="str">
        <f aca="false">IF($A1079="","",MOD(MONTH($A1079)-Setup!$B$6+12,12)+1)</f>
        <v/>
      </c>
      <c r="L1079" s="36" t="str">
        <f aca="false">IF($A1079="","",TEXT($A1079,"MMM-YY"))</f>
        <v/>
      </c>
      <c r="M1079" s="37" t="str">
        <f aca="false">IF($A1079="","",IF($Q1079=0,"UNMAPPED",INDEX(COA_Mapping!$C$7:$C$256,$Q1079)))</f>
        <v/>
      </c>
      <c r="N1079" s="38" t="str">
        <f aca="false">IF($A1079="","",IF($Q1079=0,"",INDEX(COA_Mapping!$E$7:$E$256,$Q1079)))</f>
        <v/>
      </c>
      <c r="O1079" s="38" t="n">
        <f aca="false">IF($A1079="",1,IF($Q1079=0,1,INDEX(COA_Mapping!$F$7:$F$256,$Q1079)))</f>
        <v>1</v>
      </c>
      <c r="P1079" s="34" t="str">
        <f aca="false">IF($A1079="","",$I1079*$O1079)</f>
        <v/>
      </c>
      <c r="Q1079" s="39" t="n">
        <f aca="false">IF($B1079="",0,IFERROR(MATCH($B1079,COA_Mapping!$A$7:$A$256,0),0))</f>
        <v>0</v>
      </c>
      <c r="R1079" s="39" t="n">
        <f aca="false">IF($A1079="",-1,IF($J1079=Setup!$B$7,1,IF($J1079=Setup!$B$9,0,-1)))</f>
        <v>-1</v>
      </c>
      <c r="S1079" s="35" t="n">
        <f aca="false">IF(OR($A1079="",$Q1079=0,$R1079=-1),0,$Q1079*1000+$R1079*100+$K1079)</f>
        <v>0</v>
      </c>
      <c r="T1079" s="37" t="str">
        <f aca="false">IF($A1079="","",IF($B1079="","NO ACCOUNT",IF($Q1079=0,"UNMAPPED",IF($R1079=-1,"OUTSIDE FY RANGE","OK"))))</f>
        <v/>
      </c>
      <c r="U1079" s="40" t="str">
        <f aca="false">IF($A1079="","",$B1079&amp;"|"&amp;TEXT($A1079,"yyyymmdd")&amp;"|"&amp;TEXT($I1079,"0.00"))</f>
        <v/>
      </c>
      <c r="V1079" s="35" t="str">
        <f aca="false">IF($A1079="","",COUNTIF($U$8:$U$5007,$U1079))</f>
        <v/>
      </c>
    </row>
    <row r="1080" customFormat="false" ht="15" hidden="false" customHeight="false" outlineLevel="0" collapsed="false">
      <c r="A1080" s="31"/>
      <c r="B1080" s="32"/>
      <c r="C1080" s="32"/>
      <c r="D1080" s="32"/>
      <c r="E1080" s="32"/>
      <c r="F1080" s="32"/>
      <c r="G1080" s="33"/>
      <c r="H1080" s="33"/>
      <c r="I1080" s="34" t="str">
        <f aca="false">IF($A1080="","",$G1080-$H1080)</f>
        <v/>
      </c>
      <c r="J1080" s="35" t="str">
        <f aca="false">IF($A1080="","",IF(Setup!$B$6=1,YEAR($A1080),YEAR($A1080)+IF(MONTH($A1080)&gt;=Setup!$B$6,1,0)))</f>
        <v/>
      </c>
      <c r="K1080" s="35" t="str">
        <f aca="false">IF($A1080="","",MOD(MONTH($A1080)-Setup!$B$6+12,12)+1)</f>
        <v/>
      </c>
      <c r="L1080" s="36" t="str">
        <f aca="false">IF($A1080="","",TEXT($A1080,"MMM-YY"))</f>
        <v/>
      </c>
      <c r="M1080" s="37" t="str">
        <f aca="false">IF($A1080="","",IF($Q1080=0,"UNMAPPED",INDEX(COA_Mapping!$C$7:$C$256,$Q1080)))</f>
        <v/>
      </c>
      <c r="N1080" s="38" t="str">
        <f aca="false">IF($A1080="","",IF($Q1080=0,"",INDEX(COA_Mapping!$E$7:$E$256,$Q1080)))</f>
        <v/>
      </c>
      <c r="O1080" s="38" t="n">
        <f aca="false">IF($A1080="",1,IF($Q1080=0,1,INDEX(COA_Mapping!$F$7:$F$256,$Q1080)))</f>
        <v>1</v>
      </c>
      <c r="P1080" s="34" t="str">
        <f aca="false">IF($A1080="","",$I1080*$O1080)</f>
        <v/>
      </c>
      <c r="Q1080" s="39" t="n">
        <f aca="false">IF($B1080="",0,IFERROR(MATCH($B1080,COA_Mapping!$A$7:$A$256,0),0))</f>
        <v>0</v>
      </c>
      <c r="R1080" s="39" t="n">
        <f aca="false">IF($A1080="",-1,IF($J1080=Setup!$B$7,1,IF($J1080=Setup!$B$9,0,-1)))</f>
        <v>-1</v>
      </c>
      <c r="S1080" s="35" t="n">
        <f aca="false">IF(OR($A1080="",$Q1080=0,$R1080=-1),0,$Q1080*1000+$R1080*100+$K1080)</f>
        <v>0</v>
      </c>
      <c r="T1080" s="37" t="str">
        <f aca="false">IF($A1080="","",IF($B1080="","NO ACCOUNT",IF($Q1080=0,"UNMAPPED",IF($R1080=-1,"OUTSIDE FY RANGE","OK"))))</f>
        <v/>
      </c>
      <c r="U1080" s="40" t="str">
        <f aca="false">IF($A1080="","",$B1080&amp;"|"&amp;TEXT($A1080,"yyyymmdd")&amp;"|"&amp;TEXT($I1080,"0.00"))</f>
        <v/>
      </c>
      <c r="V1080" s="35" t="str">
        <f aca="false">IF($A1080="","",COUNTIF($U$8:$U$5007,$U1080))</f>
        <v/>
      </c>
    </row>
    <row r="1081" customFormat="false" ht="15" hidden="false" customHeight="false" outlineLevel="0" collapsed="false">
      <c r="A1081" s="31"/>
      <c r="B1081" s="32"/>
      <c r="C1081" s="32"/>
      <c r="D1081" s="32"/>
      <c r="E1081" s="32"/>
      <c r="F1081" s="32"/>
      <c r="G1081" s="33"/>
      <c r="H1081" s="33"/>
      <c r="I1081" s="34" t="str">
        <f aca="false">IF($A1081="","",$G1081-$H1081)</f>
        <v/>
      </c>
      <c r="J1081" s="35" t="str">
        <f aca="false">IF($A1081="","",IF(Setup!$B$6=1,YEAR($A1081),YEAR($A1081)+IF(MONTH($A1081)&gt;=Setup!$B$6,1,0)))</f>
        <v/>
      </c>
      <c r="K1081" s="35" t="str">
        <f aca="false">IF($A1081="","",MOD(MONTH($A1081)-Setup!$B$6+12,12)+1)</f>
        <v/>
      </c>
      <c r="L1081" s="36" t="str">
        <f aca="false">IF($A1081="","",TEXT($A1081,"MMM-YY"))</f>
        <v/>
      </c>
      <c r="M1081" s="37" t="str">
        <f aca="false">IF($A1081="","",IF($Q1081=0,"UNMAPPED",INDEX(COA_Mapping!$C$7:$C$256,$Q1081)))</f>
        <v/>
      </c>
      <c r="N1081" s="38" t="str">
        <f aca="false">IF($A1081="","",IF($Q1081=0,"",INDEX(COA_Mapping!$E$7:$E$256,$Q1081)))</f>
        <v/>
      </c>
      <c r="O1081" s="38" t="n">
        <f aca="false">IF($A1081="",1,IF($Q1081=0,1,INDEX(COA_Mapping!$F$7:$F$256,$Q1081)))</f>
        <v>1</v>
      </c>
      <c r="P1081" s="34" t="str">
        <f aca="false">IF($A1081="","",$I1081*$O1081)</f>
        <v/>
      </c>
      <c r="Q1081" s="39" t="n">
        <f aca="false">IF($B1081="",0,IFERROR(MATCH($B1081,COA_Mapping!$A$7:$A$256,0),0))</f>
        <v>0</v>
      </c>
      <c r="R1081" s="39" t="n">
        <f aca="false">IF($A1081="",-1,IF($J1081=Setup!$B$7,1,IF($J1081=Setup!$B$9,0,-1)))</f>
        <v>-1</v>
      </c>
      <c r="S1081" s="35" t="n">
        <f aca="false">IF(OR($A1081="",$Q1081=0,$R1081=-1),0,$Q1081*1000+$R1081*100+$K1081)</f>
        <v>0</v>
      </c>
      <c r="T1081" s="37" t="str">
        <f aca="false">IF($A1081="","",IF($B1081="","NO ACCOUNT",IF($Q1081=0,"UNMAPPED",IF($R1081=-1,"OUTSIDE FY RANGE","OK"))))</f>
        <v/>
      </c>
      <c r="U1081" s="40" t="str">
        <f aca="false">IF($A1081="","",$B1081&amp;"|"&amp;TEXT($A1081,"yyyymmdd")&amp;"|"&amp;TEXT($I1081,"0.00"))</f>
        <v/>
      </c>
      <c r="V1081" s="35" t="str">
        <f aca="false">IF($A1081="","",COUNTIF($U$8:$U$5007,$U1081))</f>
        <v/>
      </c>
    </row>
    <row r="1082" customFormat="false" ht="15" hidden="false" customHeight="false" outlineLevel="0" collapsed="false">
      <c r="A1082" s="31"/>
      <c r="B1082" s="32"/>
      <c r="C1082" s="32"/>
      <c r="D1082" s="32"/>
      <c r="E1082" s="32"/>
      <c r="F1082" s="32"/>
      <c r="G1082" s="33"/>
      <c r="H1082" s="33"/>
      <c r="I1082" s="34" t="str">
        <f aca="false">IF($A1082="","",$G1082-$H1082)</f>
        <v/>
      </c>
      <c r="J1082" s="35" t="str">
        <f aca="false">IF($A1082="","",IF(Setup!$B$6=1,YEAR($A1082),YEAR($A1082)+IF(MONTH($A1082)&gt;=Setup!$B$6,1,0)))</f>
        <v/>
      </c>
      <c r="K1082" s="35" t="str">
        <f aca="false">IF($A1082="","",MOD(MONTH($A1082)-Setup!$B$6+12,12)+1)</f>
        <v/>
      </c>
      <c r="L1082" s="36" t="str">
        <f aca="false">IF($A1082="","",TEXT($A1082,"MMM-YY"))</f>
        <v/>
      </c>
      <c r="M1082" s="37" t="str">
        <f aca="false">IF($A1082="","",IF($Q1082=0,"UNMAPPED",INDEX(COA_Mapping!$C$7:$C$256,$Q1082)))</f>
        <v/>
      </c>
      <c r="N1082" s="38" t="str">
        <f aca="false">IF($A1082="","",IF($Q1082=0,"",INDEX(COA_Mapping!$E$7:$E$256,$Q1082)))</f>
        <v/>
      </c>
      <c r="O1082" s="38" t="n">
        <f aca="false">IF($A1082="",1,IF($Q1082=0,1,INDEX(COA_Mapping!$F$7:$F$256,$Q1082)))</f>
        <v>1</v>
      </c>
      <c r="P1082" s="34" t="str">
        <f aca="false">IF($A1082="","",$I1082*$O1082)</f>
        <v/>
      </c>
      <c r="Q1082" s="39" t="n">
        <f aca="false">IF($B1082="",0,IFERROR(MATCH($B1082,COA_Mapping!$A$7:$A$256,0),0))</f>
        <v>0</v>
      </c>
      <c r="R1082" s="39" t="n">
        <f aca="false">IF($A1082="",-1,IF($J1082=Setup!$B$7,1,IF($J1082=Setup!$B$9,0,-1)))</f>
        <v>-1</v>
      </c>
      <c r="S1082" s="35" t="n">
        <f aca="false">IF(OR($A1082="",$Q1082=0,$R1082=-1),0,$Q1082*1000+$R1082*100+$K1082)</f>
        <v>0</v>
      </c>
      <c r="T1082" s="37" t="str">
        <f aca="false">IF($A1082="","",IF($B1082="","NO ACCOUNT",IF($Q1082=0,"UNMAPPED",IF($R1082=-1,"OUTSIDE FY RANGE","OK"))))</f>
        <v/>
      </c>
      <c r="U1082" s="40" t="str">
        <f aca="false">IF($A1082="","",$B1082&amp;"|"&amp;TEXT($A1082,"yyyymmdd")&amp;"|"&amp;TEXT($I1082,"0.00"))</f>
        <v/>
      </c>
      <c r="V1082" s="35" t="str">
        <f aca="false">IF($A1082="","",COUNTIF($U$8:$U$5007,$U1082))</f>
        <v/>
      </c>
    </row>
    <row r="1083" customFormat="false" ht="15" hidden="false" customHeight="false" outlineLevel="0" collapsed="false">
      <c r="A1083" s="31"/>
      <c r="B1083" s="32"/>
      <c r="C1083" s="32"/>
      <c r="D1083" s="32"/>
      <c r="E1083" s="32"/>
      <c r="F1083" s="32"/>
      <c r="G1083" s="33"/>
      <c r="H1083" s="33"/>
      <c r="I1083" s="34" t="str">
        <f aca="false">IF($A1083="","",$G1083-$H1083)</f>
        <v/>
      </c>
      <c r="J1083" s="35" t="str">
        <f aca="false">IF($A1083="","",IF(Setup!$B$6=1,YEAR($A1083),YEAR($A1083)+IF(MONTH($A1083)&gt;=Setup!$B$6,1,0)))</f>
        <v/>
      </c>
      <c r="K1083" s="35" t="str">
        <f aca="false">IF($A1083="","",MOD(MONTH($A1083)-Setup!$B$6+12,12)+1)</f>
        <v/>
      </c>
      <c r="L1083" s="36" t="str">
        <f aca="false">IF($A1083="","",TEXT($A1083,"MMM-YY"))</f>
        <v/>
      </c>
      <c r="M1083" s="37" t="str">
        <f aca="false">IF($A1083="","",IF($Q1083=0,"UNMAPPED",INDEX(COA_Mapping!$C$7:$C$256,$Q1083)))</f>
        <v/>
      </c>
      <c r="N1083" s="38" t="str">
        <f aca="false">IF($A1083="","",IF($Q1083=0,"",INDEX(COA_Mapping!$E$7:$E$256,$Q1083)))</f>
        <v/>
      </c>
      <c r="O1083" s="38" t="n">
        <f aca="false">IF($A1083="",1,IF($Q1083=0,1,INDEX(COA_Mapping!$F$7:$F$256,$Q1083)))</f>
        <v>1</v>
      </c>
      <c r="P1083" s="34" t="str">
        <f aca="false">IF($A1083="","",$I1083*$O1083)</f>
        <v/>
      </c>
      <c r="Q1083" s="39" t="n">
        <f aca="false">IF($B1083="",0,IFERROR(MATCH($B1083,COA_Mapping!$A$7:$A$256,0),0))</f>
        <v>0</v>
      </c>
      <c r="R1083" s="39" t="n">
        <f aca="false">IF($A1083="",-1,IF($J1083=Setup!$B$7,1,IF($J1083=Setup!$B$9,0,-1)))</f>
        <v>-1</v>
      </c>
      <c r="S1083" s="35" t="n">
        <f aca="false">IF(OR($A1083="",$Q1083=0,$R1083=-1),0,$Q1083*1000+$R1083*100+$K1083)</f>
        <v>0</v>
      </c>
      <c r="T1083" s="37" t="str">
        <f aca="false">IF($A1083="","",IF($B1083="","NO ACCOUNT",IF($Q1083=0,"UNMAPPED",IF($R1083=-1,"OUTSIDE FY RANGE","OK"))))</f>
        <v/>
      </c>
      <c r="U1083" s="40" t="str">
        <f aca="false">IF($A1083="","",$B1083&amp;"|"&amp;TEXT($A1083,"yyyymmdd")&amp;"|"&amp;TEXT($I1083,"0.00"))</f>
        <v/>
      </c>
      <c r="V1083" s="35" t="str">
        <f aca="false">IF($A1083="","",COUNTIF($U$8:$U$5007,$U1083))</f>
        <v/>
      </c>
    </row>
    <row r="1084" customFormat="false" ht="15" hidden="false" customHeight="false" outlineLevel="0" collapsed="false">
      <c r="A1084" s="31"/>
      <c r="B1084" s="32"/>
      <c r="C1084" s="32"/>
      <c r="D1084" s="32"/>
      <c r="E1084" s="32"/>
      <c r="F1084" s="32"/>
      <c r="G1084" s="33"/>
      <c r="H1084" s="33"/>
      <c r="I1084" s="34" t="str">
        <f aca="false">IF($A1084="","",$G1084-$H1084)</f>
        <v/>
      </c>
      <c r="J1084" s="35" t="str">
        <f aca="false">IF($A1084="","",IF(Setup!$B$6=1,YEAR($A1084),YEAR($A1084)+IF(MONTH($A1084)&gt;=Setup!$B$6,1,0)))</f>
        <v/>
      </c>
      <c r="K1084" s="35" t="str">
        <f aca="false">IF($A1084="","",MOD(MONTH($A1084)-Setup!$B$6+12,12)+1)</f>
        <v/>
      </c>
      <c r="L1084" s="36" t="str">
        <f aca="false">IF($A1084="","",TEXT($A1084,"MMM-YY"))</f>
        <v/>
      </c>
      <c r="M1084" s="37" t="str">
        <f aca="false">IF($A1084="","",IF($Q1084=0,"UNMAPPED",INDEX(COA_Mapping!$C$7:$C$256,$Q1084)))</f>
        <v/>
      </c>
      <c r="N1084" s="38" t="str">
        <f aca="false">IF($A1084="","",IF($Q1084=0,"",INDEX(COA_Mapping!$E$7:$E$256,$Q1084)))</f>
        <v/>
      </c>
      <c r="O1084" s="38" t="n">
        <f aca="false">IF($A1084="",1,IF($Q1084=0,1,INDEX(COA_Mapping!$F$7:$F$256,$Q1084)))</f>
        <v>1</v>
      </c>
      <c r="P1084" s="34" t="str">
        <f aca="false">IF($A1084="","",$I1084*$O1084)</f>
        <v/>
      </c>
      <c r="Q1084" s="39" t="n">
        <f aca="false">IF($B1084="",0,IFERROR(MATCH($B1084,COA_Mapping!$A$7:$A$256,0),0))</f>
        <v>0</v>
      </c>
      <c r="R1084" s="39" t="n">
        <f aca="false">IF($A1084="",-1,IF($J1084=Setup!$B$7,1,IF($J1084=Setup!$B$9,0,-1)))</f>
        <v>-1</v>
      </c>
      <c r="S1084" s="35" t="n">
        <f aca="false">IF(OR($A1084="",$Q1084=0,$R1084=-1),0,$Q1084*1000+$R1084*100+$K1084)</f>
        <v>0</v>
      </c>
      <c r="T1084" s="37" t="str">
        <f aca="false">IF($A1084="","",IF($B1084="","NO ACCOUNT",IF($Q1084=0,"UNMAPPED",IF($R1084=-1,"OUTSIDE FY RANGE","OK"))))</f>
        <v/>
      </c>
      <c r="U1084" s="40" t="str">
        <f aca="false">IF($A1084="","",$B1084&amp;"|"&amp;TEXT($A1084,"yyyymmdd")&amp;"|"&amp;TEXT($I1084,"0.00"))</f>
        <v/>
      </c>
      <c r="V1084" s="35" t="str">
        <f aca="false">IF($A1084="","",COUNTIF($U$8:$U$5007,$U1084))</f>
        <v/>
      </c>
    </row>
    <row r="1085" customFormat="false" ht="15" hidden="false" customHeight="false" outlineLevel="0" collapsed="false">
      <c r="A1085" s="31"/>
      <c r="B1085" s="32"/>
      <c r="C1085" s="32"/>
      <c r="D1085" s="32"/>
      <c r="E1085" s="32"/>
      <c r="F1085" s="32"/>
      <c r="G1085" s="33"/>
      <c r="H1085" s="33"/>
      <c r="I1085" s="34" t="str">
        <f aca="false">IF($A1085="","",$G1085-$H1085)</f>
        <v/>
      </c>
      <c r="J1085" s="35" t="str">
        <f aca="false">IF($A1085="","",IF(Setup!$B$6=1,YEAR($A1085),YEAR($A1085)+IF(MONTH($A1085)&gt;=Setup!$B$6,1,0)))</f>
        <v/>
      </c>
      <c r="K1085" s="35" t="str">
        <f aca="false">IF($A1085="","",MOD(MONTH($A1085)-Setup!$B$6+12,12)+1)</f>
        <v/>
      </c>
      <c r="L1085" s="36" t="str">
        <f aca="false">IF($A1085="","",TEXT($A1085,"MMM-YY"))</f>
        <v/>
      </c>
      <c r="M1085" s="37" t="str">
        <f aca="false">IF($A1085="","",IF($Q1085=0,"UNMAPPED",INDEX(COA_Mapping!$C$7:$C$256,$Q1085)))</f>
        <v/>
      </c>
      <c r="N1085" s="38" t="str">
        <f aca="false">IF($A1085="","",IF($Q1085=0,"",INDEX(COA_Mapping!$E$7:$E$256,$Q1085)))</f>
        <v/>
      </c>
      <c r="O1085" s="38" t="n">
        <f aca="false">IF($A1085="",1,IF($Q1085=0,1,INDEX(COA_Mapping!$F$7:$F$256,$Q1085)))</f>
        <v>1</v>
      </c>
      <c r="P1085" s="34" t="str">
        <f aca="false">IF($A1085="","",$I1085*$O1085)</f>
        <v/>
      </c>
      <c r="Q1085" s="39" t="n">
        <f aca="false">IF($B1085="",0,IFERROR(MATCH($B1085,COA_Mapping!$A$7:$A$256,0),0))</f>
        <v>0</v>
      </c>
      <c r="R1085" s="39" t="n">
        <f aca="false">IF($A1085="",-1,IF($J1085=Setup!$B$7,1,IF($J1085=Setup!$B$9,0,-1)))</f>
        <v>-1</v>
      </c>
      <c r="S1085" s="35" t="n">
        <f aca="false">IF(OR($A1085="",$Q1085=0,$R1085=-1),0,$Q1085*1000+$R1085*100+$K1085)</f>
        <v>0</v>
      </c>
      <c r="T1085" s="37" t="str">
        <f aca="false">IF($A1085="","",IF($B1085="","NO ACCOUNT",IF($Q1085=0,"UNMAPPED",IF($R1085=-1,"OUTSIDE FY RANGE","OK"))))</f>
        <v/>
      </c>
      <c r="U1085" s="40" t="str">
        <f aca="false">IF($A1085="","",$B1085&amp;"|"&amp;TEXT($A1085,"yyyymmdd")&amp;"|"&amp;TEXT($I1085,"0.00"))</f>
        <v/>
      </c>
      <c r="V1085" s="35" t="str">
        <f aca="false">IF($A1085="","",COUNTIF($U$8:$U$5007,$U1085))</f>
        <v/>
      </c>
    </row>
    <row r="1086" customFormat="false" ht="15" hidden="false" customHeight="false" outlineLevel="0" collapsed="false">
      <c r="A1086" s="31"/>
      <c r="B1086" s="32"/>
      <c r="C1086" s="32"/>
      <c r="D1086" s="32"/>
      <c r="E1086" s="32"/>
      <c r="F1086" s="32"/>
      <c r="G1086" s="33"/>
      <c r="H1086" s="33"/>
      <c r="I1086" s="34" t="str">
        <f aca="false">IF($A1086="","",$G1086-$H1086)</f>
        <v/>
      </c>
      <c r="J1086" s="35" t="str">
        <f aca="false">IF($A1086="","",IF(Setup!$B$6=1,YEAR($A1086),YEAR($A1086)+IF(MONTH($A1086)&gt;=Setup!$B$6,1,0)))</f>
        <v/>
      </c>
      <c r="K1086" s="35" t="str">
        <f aca="false">IF($A1086="","",MOD(MONTH($A1086)-Setup!$B$6+12,12)+1)</f>
        <v/>
      </c>
      <c r="L1086" s="36" t="str">
        <f aca="false">IF($A1086="","",TEXT($A1086,"MMM-YY"))</f>
        <v/>
      </c>
      <c r="M1086" s="37" t="str">
        <f aca="false">IF($A1086="","",IF($Q1086=0,"UNMAPPED",INDEX(COA_Mapping!$C$7:$C$256,$Q1086)))</f>
        <v/>
      </c>
      <c r="N1086" s="38" t="str">
        <f aca="false">IF($A1086="","",IF($Q1086=0,"",INDEX(COA_Mapping!$E$7:$E$256,$Q1086)))</f>
        <v/>
      </c>
      <c r="O1086" s="38" t="n">
        <f aca="false">IF($A1086="",1,IF($Q1086=0,1,INDEX(COA_Mapping!$F$7:$F$256,$Q1086)))</f>
        <v>1</v>
      </c>
      <c r="P1086" s="34" t="str">
        <f aca="false">IF($A1086="","",$I1086*$O1086)</f>
        <v/>
      </c>
      <c r="Q1086" s="39" t="n">
        <f aca="false">IF($B1086="",0,IFERROR(MATCH($B1086,COA_Mapping!$A$7:$A$256,0),0))</f>
        <v>0</v>
      </c>
      <c r="R1086" s="39" t="n">
        <f aca="false">IF($A1086="",-1,IF($J1086=Setup!$B$7,1,IF($J1086=Setup!$B$9,0,-1)))</f>
        <v>-1</v>
      </c>
      <c r="S1086" s="35" t="n">
        <f aca="false">IF(OR($A1086="",$Q1086=0,$R1086=-1),0,$Q1086*1000+$R1086*100+$K1086)</f>
        <v>0</v>
      </c>
      <c r="T1086" s="37" t="str">
        <f aca="false">IF($A1086="","",IF($B1086="","NO ACCOUNT",IF($Q1086=0,"UNMAPPED",IF($R1086=-1,"OUTSIDE FY RANGE","OK"))))</f>
        <v/>
      </c>
      <c r="U1086" s="40" t="str">
        <f aca="false">IF($A1086="","",$B1086&amp;"|"&amp;TEXT($A1086,"yyyymmdd")&amp;"|"&amp;TEXT($I1086,"0.00"))</f>
        <v/>
      </c>
      <c r="V1086" s="35" t="str">
        <f aca="false">IF($A1086="","",COUNTIF($U$8:$U$5007,$U1086))</f>
        <v/>
      </c>
    </row>
    <row r="1087" customFormat="false" ht="15" hidden="false" customHeight="false" outlineLevel="0" collapsed="false">
      <c r="A1087" s="31"/>
      <c r="B1087" s="32"/>
      <c r="C1087" s="32"/>
      <c r="D1087" s="32"/>
      <c r="E1087" s="32"/>
      <c r="F1087" s="32"/>
      <c r="G1087" s="33"/>
      <c r="H1087" s="33"/>
      <c r="I1087" s="34" t="str">
        <f aca="false">IF($A1087="","",$G1087-$H1087)</f>
        <v/>
      </c>
      <c r="J1087" s="35" t="str">
        <f aca="false">IF($A1087="","",IF(Setup!$B$6=1,YEAR($A1087),YEAR($A1087)+IF(MONTH($A1087)&gt;=Setup!$B$6,1,0)))</f>
        <v/>
      </c>
      <c r="K1087" s="35" t="str">
        <f aca="false">IF($A1087="","",MOD(MONTH($A1087)-Setup!$B$6+12,12)+1)</f>
        <v/>
      </c>
      <c r="L1087" s="36" t="str">
        <f aca="false">IF($A1087="","",TEXT($A1087,"MMM-YY"))</f>
        <v/>
      </c>
      <c r="M1087" s="37" t="str">
        <f aca="false">IF($A1087="","",IF($Q1087=0,"UNMAPPED",INDEX(COA_Mapping!$C$7:$C$256,$Q1087)))</f>
        <v/>
      </c>
      <c r="N1087" s="38" t="str">
        <f aca="false">IF($A1087="","",IF($Q1087=0,"",INDEX(COA_Mapping!$E$7:$E$256,$Q1087)))</f>
        <v/>
      </c>
      <c r="O1087" s="38" t="n">
        <f aca="false">IF($A1087="",1,IF($Q1087=0,1,INDEX(COA_Mapping!$F$7:$F$256,$Q1087)))</f>
        <v>1</v>
      </c>
      <c r="P1087" s="34" t="str">
        <f aca="false">IF($A1087="","",$I1087*$O1087)</f>
        <v/>
      </c>
      <c r="Q1087" s="39" t="n">
        <f aca="false">IF($B1087="",0,IFERROR(MATCH($B1087,COA_Mapping!$A$7:$A$256,0),0))</f>
        <v>0</v>
      </c>
      <c r="R1087" s="39" t="n">
        <f aca="false">IF($A1087="",-1,IF($J1087=Setup!$B$7,1,IF($J1087=Setup!$B$9,0,-1)))</f>
        <v>-1</v>
      </c>
      <c r="S1087" s="35" t="n">
        <f aca="false">IF(OR($A1087="",$Q1087=0,$R1087=-1),0,$Q1087*1000+$R1087*100+$K1087)</f>
        <v>0</v>
      </c>
      <c r="T1087" s="37" t="str">
        <f aca="false">IF($A1087="","",IF($B1087="","NO ACCOUNT",IF($Q1087=0,"UNMAPPED",IF($R1087=-1,"OUTSIDE FY RANGE","OK"))))</f>
        <v/>
      </c>
      <c r="U1087" s="40" t="str">
        <f aca="false">IF($A1087="","",$B1087&amp;"|"&amp;TEXT($A1087,"yyyymmdd")&amp;"|"&amp;TEXT($I1087,"0.00"))</f>
        <v/>
      </c>
      <c r="V1087" s="35" t="str">
        <f aca="false">IF($A1087="","",COUNTIF($U$8:$U$5007,$U1087))</f>
        <v/>
      </c>
    </row>
    <row r="1088" customFormat="false" ht="15" hidden="false" customHeight="false" outlineLevel="0" collapsed="false">
      <c r="A1088" s="31"/>
      <c r="B1088" s="32"/>
      <c r="C1088" s="32"/>
      <c r="D1088" s="32"/>
      <c r="E1088" s="32"/>
      <c r="F1088" s="32"/>
      <c r="G1088" s="33"/>
      <c r="H1088" s="33"/>
      <c r="I1088" s="34" t="str">
        <f aca="false">IF($A1088="","",$G1088-$H1088)</f>
        <v/>
      </c>
      <c r="J1088" s="35" t="str">
        <f aca="false">IF($A1088="","",IF(Setup!$B$6=1,YEAR($A1088),YEAR($A1088)+IF(MONTH($A1088)&gt;=Setup!$B$6,1,0)))</f>
        <v/>
      </c>
      <c r="K1088" s="35" t="str">
        <f aca="false">IF($A1088="","",MOD(MONTH($A1088)-Setup!$B$6+12,12)+1)</f>
        <v/>
      </c>
      <c r="L1088" s="36" t="str">
        <f aca="false">IF($A1088="","",TEXT($A1088,"MMM-YY"))</f>
        <v/>
      </c>
      <c r="M1088" s="37" t="str">
        <f aca="false">IF($A1088="","",IF($Q1088=0,"UNMAPPED",INDEX(COA_Mapping!$C$7:$C$256,$Q1088)))</f>
        <v/>
      </c>
      <c r="N1088" s="38" t="str">
        <f aca="false">IF($A1088="","",IF($Q1088=0,"",INDEX(COA_Mapping!$E$7:$E$256,$Q1088)))</f>
        <v/>
      </c>
      <c r="O1088" s="38" t="n">
        <f aca="false">IF($A1088="",1,IF($Q1088=0,1,INDEX(COA_Mapping!$F$7:$F$256,$Q1088)))</f>
        <v>1</v>
      </c>
      <c r="P1088" s="34" t="str">
        <f aca="false">IF($A1088="","",$I1088*$O1088)</f>
        <v/>
      </c>
      <c r="Q1088" s="39" t="n">
        <f aca="false">IF($B1088="",0,IFERROR(MATCH($B1088,COA_Mapping!$A$7:$A$256,0),0))</f>
        <v>0</v>
      </c>
      <c r="R1088" s="39" t="n">
        <f aca="false">IF($A1088="",-1,IF($J1088=Setup!$B$7,1,IF($J1088=Setup!$B$9,0,-1)))</f>
        <v>-1</v>
      </c>
      <c r="S1088" s="35" t="n">
        <f aca="false">IF(OR($A1088="",$Q1088=0,$R1088=-1),0,$Q1088*1000+$R1088*100+$K1088)</f>
        <v>0</v>
      </c>
      <c r="T1088" s="37" t="str">
        <f aca="false">IF($A1088="","",IF($B1088="","NO ACCOUNT",IF($Q1088=0,"UNMAPPED",IF($R1088=-1,"OUTSIDE FY RANGE","OK"))))</f>
        <v/>
      </c>
      <c r="U1088" s="40" t="str">
        <f aca="false">IF($A1088="","",$B1088&amp;"|"&amp;TEXT($A1088,"yyyymmdd")&amp;"|"&amp;TEXT($I1088,"0.00"))</f>
        <v/>
      </c>
      <c r="V1088" s="35" t="str">
        <f aca="false">IF($A1088="","",COUNTIF($U$8:$U$5007,$U1088))</f>
        <v/>
      </c>
    </row>
    <row r="1089" customFormat="false" ht="15" hidden="false" customHeight="false" outlineLevel="0" collapsed="false">
      <c r="A1089" s="31"/>
      <c r="B1089" s="32"/>
      <c r="C1089" s="32"/>
      <c r="D1089" s="32"/>
      <c r="E1089" s="32"/>
      <c r="F1089" s="32"/>
      <c r="G1089" s="33"/>
      <c r="H1089" s="33"/>
      <c r="I1089" s="34" t="str">
        <f aca="false">IF($A1089="","",$G1089-$H1089)</f>
        <v/>
      </c>
      <c r="J1089" s="35" t="str">
        <f aca="false">IF($A1089="","",IF(Setup!$B$6=1,YEAR($A1089),YEAR($A1089)+IF(MONTH($A1089)&gt;=Setup!$B$6,1,0)))</f>
        <v/>
      </c>
      <c r="K1089" s="35" t="str">
        <f aca="false">IF($A1089="","",MOD(MONTH($A1089)-Setup!$B$6+12,12)+1)</f>
        <v/>
      </c>
      <c r="L1089" s="36" t="str">
        <f aca="false">IF($A1089="","",TEXT($A1089,"MMM-YY"))</f>
        <v/>
      </c>
      <c r="M1089" s="37" t="str">
        <f aca="false">IF($A1089="","",IF($Q1089=0,"UNMAPPED",INDEX(COA_Mapping!$C$7:$C$256,$Q1089)))</f>
        <v/>
      </c>
      <c r="N1089" s="38" t="str">
        <f aca="false">IF($A1089="","",IF($Q1089=0,"",INDEX(COA_Mapping!$E$7:$E$256,$Q1089)))</f>
        <v/>
      </c>
      <c r="O1089" s="38" t="n">
        <f aca="false">IF($A1089="",1,IF($Q1089=0,1,INDEX(COA_Mapping!$F$7:$F$256,$Q1089)))</f>
        <v>1</v>
      </c>
      <c r="P1089" s="34" t="str">
        <f aca="false">IF($A1089="","",$I1089*$O1089)</f>
        <v/>
      </c>
      <c r="Q1089" s="39" t="n">
        <f aca="false">IF($B1089="",0,IFERROR(MATCH($B1089,COA_Mapping!$A$7:$A$256,0),0))</f>
        <v>0</v>
      </c>
      <c r="R1089" s="39" t="n">
        <f aca="false">IF($A1089="",-1,IF($J1089=Setup!$B$7,1,IF($J1089=Setup!$B$9,0,-1)))</f>
        <v>-1</v>
      </c>
      <c r="S1089" s="35" t="n">
        <f aca="false">IF(OR($A1089="",$Q1089=0,$R1089=-1),0,$Q1089*1000+$R1089*100+$K1089)</f>
        <v>0</v>
      </c>
      <c r="T1089" s="37" t="str">
        <f aca="false">IF($A1089="","",IF($B1089="","NO ACCOUNT",IF($Q1089=0,"UNMAPPED",IF($R1089=-1,"OUTSIDE FY RANGE","OK"))))</f>
        <v/>
      </c>
      <c r="U1089" s="40" t="str">
        <f aca="false">IF($A1089="","",$B1089&amp;"|"&amp;TEXT($A1089,"yyyymmdd")&amp;"|"&amp;TEXT($I1089,"0.00"))</f>
        <v/>
      </c>
      <c r="V1089" s="35" t="str">
        <f aca="false">IF($A1089="","",COUNTIF($U$8:$U$5007,$U1089))</f>
        <v/>
      </c>
    </row>
    <row r="1090" customFormat="false" ht="15" hidden="false" customHeight="false" outlineLevel="0" collapsed="false">
      <c r="A1090" s="31"/>
      <c r="B1090" s="32"/>
      <c r="C1090" s="32"/>
      <c r="D1090" s="32"/>
      <c r="E1090" s="32"/>
      <c r="F1090" s="32"/>
      <c r="G1090" s="33"/>
      <c r="H1090" s="33"/>
      <c r="I1090" s="34" t="str">
        <f aca="false">IF($A1090="","",$G1090-$H1090)</f>
        <v/>
      </c>
      <c r="J1090" s="35" t="str">
        <f aca="false">IF($A1090="","",IF(Setup!$B$6=1,YEAR($A1090),YEAR($A1090)+IF(MONTH($A1090)&gt;=Setup!$B$6,1,0)))</f>
        <v/>
      </c>
      <c r="K1090" s="35" t="str">
        <f aca="false">IF($A1090="","",MOD(MONTH($A1090)-Setup!$B$6+12,12)+1)</f>
        <v/>
      </c>
      <c r="L1090" s="36" t="str">
        <f aca="false">IF($A1090="","",TEXT($A1090,"MMM-YY"))</f>
        <v/>
      </c>
      <c r="M1090" s="37" t="str">
        <f aca="false">IF($A1090="","",IF($Q1090=0,"UNMAPPED",INDEX(COA_Mapping!$C$7:$C$256,$Q1090)))</f>
        <v/>
      </c>
      <c r="N1090" s="38" t="str">
        <f aca="false">IF($A1090="","",IF($Q1090=0,"",INDEX(COA_Mapping!$E$7:$E$256,$Q1090)))</f>
        <v/>
      </c>
      <c r="O1090" s="38" t="n">
        <f aca="false">IF($A1090="",1,IF($Q1090=0,1,INDEX(COA_Mapping!$F$7:$F$256,$Q1090)))</f>
        <v>1</v>
      </c>
      <c r="P1090" s="34" t="str">
        <f aca="false">IF($A1090="","",$I1090*$O1090)</f>
        <v/>
      </c>
      <c r="Q1090" s="39" t="n">
        <f aca="false">IF($B1090="",0,IFERROR(MATCH($B1090,COA_Mapping!$A$7:$A$256,0),0))</f>
        <v>0</v>
      </c>
      <c r="R1090" s="39" t="n">
        <f aca="false">IF($A1090="",-1,IF($J1090=Setup!$B$7,1,IF($J1090=Setup!$B$9,0,-1)))</f>
        <v>-1</v>
      </c>
      <c r="S1090" s="35" t="n">
        <f aca="false">IF(OR($A1090="",$Q1090=0,$R1090=-1),0,$Q1090*1000+$R1090*100+$K1090)</f>
        <v>0</v>
      </c>
      <c r="T1090" s="37" t="str">
        <f aca="false">IF($A1090="","",IF($B1090="","NO ACCOUNT",IF($Q1090=0,"UNMAPPED",IF($R1090=-1,"OUTSIDE FY RANGE","OK"))))</f>
        <v/>
      </c>
      <c r="U1090" s="40" t="str">
        <f aca="false">IF($A1090="","",$B1090&amp;"|"&amp;TEXT($A1090,"yyyymmdd")&amp;"|"&amp;TEXT($I1090,"0.00"))</f>
        <v/>
      </c>
      <c r="V1090" s="35" t="str">
        <f aca="false">IF($A1090="","",COUNTIF($U$8:$U$5007,$U1090))</f>
        <v/>
      </c>
    </row>
    <row r="1091" customFormat="false" ht="15" hidden="false" customHeight="false" outlineLevel="0" collapsed="false">
      <c r="A1091" s="31"/>
      <c r="B1091" s="32"/>
      <c r="C1091" s="32"/>
      <c r="D1091" s="32"/>
      <c r="E1091" s="32"/>
      <c r="F1091" s="32"/>
      <c r="G1091" s="33"/>
      <c r="H1091" s="33"/>
      <c r="I1091" s="34" t="str">
        <f aca="false">IF($A1091="","",$G1091-$H1091)</f>
        <v/>
      </c>
      <c r="J1091" s="35" t="str">
        <f aca="false">IF($A1091="","",IF(Setup!$B$6=1,YEAR($A1091),YEAR($A1091)+IF(MONTH($A1091)&gt;=Setup!$B$6,1,0)))</f>
        <v/>
      </c>
      <c r="K1091" s="35" t="str">
        <f aca="false">IF($A1091="","",MOD(MONTH($A1091)-Setup!$B$6+12,12)+1)</f>
        <v/>
      </c>
      <c r="L1091" s="36" t="str">
        <f aca="false">IF($A1091="","",TEXT($A1091,"MMM-YY"))</f>
        <v/>
      </c>
      <c r="M1091" s="37" t="str">
        <f aca="false">IF($A1091="","",IF($Q1091=0,"UNMAPPED",INDEX(COA_Mapping!$C$7:$C$256,$Q1091)))</f>
        <v/>
      </c>
      <c r="N1091" s="38" t="str">
        <f aca="false">IF($A1091="","",IF($Q1091=0,"",INDEX(COA_Mapping!$E$7:$E$256,$Q1091)))</f>
        <v/>
      </c>
      <c r="O1091" s="38" t="n">
        <f aca="false">IF($A1091="",1,IF($Q1091=0,1,INDEX(COA_Mapping!$F$7:$F$256,$Q1091)))</f>
        <v>1</v>
      </c>
      <c r="P1091" s="34" t="str">
        <f aca="false">IF($A1091="","",$I1091*$O1091)</f>
        <v/>
      </c>
      <c r="Q1091" s="39" t="n">
        <f aca="false">IF($B1091="",0,IFERROR(MATCH($B1091,COA_Mapping!$A$7:$A$256,0),0))</f>
        <v>0</v>
      </c>
      <c r="R1091" s="39" t="n">
        <f aca="false">IF($A1091="",-1,IF($J1091=Setup!$B$7,1,IF($J1091=Setup!$B$9,0,-1)))</f>
        <v>-1</v>
      </c>
      <c r="S1091" s="35" t="n">
        <f aca="false">IF(OR($A1091="",$Q1091=0,$R1091=-1),0,$Q1091*1000+$R1091*100+$K1091)</f>
        <v>0</v>
      </c>
      <c r="T1091" s="37" t="str">
        <f aca="false">IF($A1091="","",IF($B1091="","NO ACCOUNT",IF($Q1091=0,"UNMAPPED",IF($R1091=-1,"OUTSIDE FY RANGE","OK"))))</f>
        <v/>
      </c>
      <c r="U1091" s="40" t="str">
        <f aca="false">IF($A1091="","",$B1091&amp;"|"&amp;TEXT($A1091,"yyyymmdd")&amp;"|"&amp;TEXT($I1091,"0.00"))</f>
        <v/>
      </c>
      <c r="V1091" s="35" t="str">
        <f aca="false">IF($A1091="","",COUNTIF($U$8:$U$5007,$U1091))</f>
        <v/>
      </c>
    </row>
    <row r="1092" customFormat="false" ht="15" hidden="false" customHeight="false" outlineLevel="0" collapsed="false">
      <c r="A1092" s="31"/>
      <c r="B1092" s="32"/>
      <c r="C1092" s="32"/>
      <c r="D1092" s="32"/>
      <c r="E1092" s="32"/>
      <c r="F1092" s="32"/>
      <c r="G1092" s="33"/>
      <c r="H1092" s="33"/>
      <c r="I1092" s="34" t="str">
        <f aca="false">IF($A1092="","",$G1092-$H1092)</f>
        <v/>
      </c>
      <c r="J1092" s="35" t="str">
        <f aca="false">IF($A1092="","",IF(Setup!$B$6=1,YEAR($A1092),YEAR($A1092)+IF(MONTH($A1092)&gt;=Setup!$B$6,1,0)))</f>
        <v/>
      </c>
      <c r="K1092" s="35" t="str">
        <f aca="false">IF($A1092="","",MOD(MONTH($A1092)-Setup!$B$6+12,12)+1)</f>
        <v/>
      </c>
      <c r="L1092" s="36" t="str">
        <f aca="false">IF($A1092="","",TEXT($A1092,"MMM-YY"))</f>
        <v/>
      </c>
      <c r="M1092" s="37" t="str">
        <f aca="false">IF($A1092="","",IF($Q1092=0,"UNMAPPED",INDEX(COA_Mapping!$C$7:$C$256,$Q1092)))</f>
        <v/>
      </c>
      <c r="N1092" s="38" t="str">
        <f aca="false">IF($A1092="","",IF($Q1092=0,"",INDEX(COA_Mapping!$E$7:$E$256,$Q1092)))</f>
        <v/>
      </c>
      <c r="O1092" s="38" t="n">
        <f aca="false">IF($A1092="",1,IF($Q1092=0,1,INDEX(COA_Mapping!$F$7:$F$256,$Q1092)))</f>
        <v>1</v>
      </c>
      <c r="P1092" s="34" t="str">
        <f aca="false">IF($A1092="","",$I1092*$O1092)</f>
        <v/>
      </c>
      <c r="Q1092" s="39" t="n">
        <f aca="false">IF($B1092="",0,IFERROR(MATCH($B1092,COA_Mapping!$A$7:$A$256,0),0))</f>
        <v>0</v>
      </c>
      <c r="R1092" s="39" t="n">
        <f aca="false">IF($A1092="",-1,IF($J1092=Setup!$B$7,1,IF($J1092=Setup!$B$9,0,-1)))</f>
        <v>-1</v>
      </c>
      <c r="S1092" s="35" t="n">
        <f aca="false">IF(OR($A1092="",$Q1092=0,$R1092=-1),0,$Q1092*1000+$R1092*100+$K1092)</f>
        <v>0</v>
      </c>
      <c r="T1092" s="37" t="str">
        <f aca="false">IF($A1092="","",IF($B1092="","NO ACCOUNT",IF($Q1092=0,"UNMAPPED",IF($R1092=-1,"OUTSIDE FY RANGE","OK"))))</f>
        <v/>
      </c>
      <c r="U1092" s="40" t="str">
        <f aca="false">IF($A1092="","",$B1092&amp;"|"&amp;TEXT($A1092,"yyyymmdd")&amp;"|"&amp;TEXT($I1092,"0.00"))</f>
        <v/>
      </c>
      <c r="V1092" s="35" t="str">
        <f aca="false">IF($A1092="","",COUNTIF($U$8:$U$5007,$U1092))</f>
        <v/>
      </c>
    </row>
    <row r="1093" customFormat="false" ht="15" hidden="false" customHeight="false" outlineLevel="0" collapsed="false">
      <c r="A1093" s="31"/>
      <c r="B1093" s="32"/>
      <c r="C1093" s="32"/>
      <c r="D1093" s="32"/>
      <c r="E1093" s="32"/>
      <c r="F1093" s="32"/>
      <c r="G1093" s="33"/>
      <c r="H1093" s="33"/>
      <c r="I1093" s="34" t="str">
        <f aca="false">IF($A1093="","",$G1093-$H1093)</f>
        <v/>
      </c>
      <c r="J1093" s="35" t="str">
        <f aca="false">IF($A1093="","",IF(Setup!$B$6=1,YEAR($A1093),YEAR($A1093)+IF(MONTH($A1093)&gt;=Setup!$B$6,1,0)))</f>
        <v/>
      </c>
      <c r="K1093" s="35" t="str">
        <f aca="false">IF($A1093="","",MOD(MONTH($A1093)-Setup!$B$6+12,12)+1)</f>
        <v/>
      </c>
      <c r="L1093" s="36" t="str">
        <f aca="false">IF($A1093="","",TEXT($A1093,"MMM-YY"))</f>
        <v/>
      </c>
      <c r="M1093" s="37" t="str">
        <f aca="false">IF($A1093="","",IF($Q1093=0,"UNMAPPED",INDEX(COA_Mapping!$C$7:$C$256,$Q1093)))</f>
        <v/>
      </c>
      <c r="N1093" s="38" t="str">
        <f aca="false">IF($A1093="","",IF($Q1093=0,"",INDEX(COA_Mapping!$E$7:$E$256,$Q1093)))</f>
        <v/>
      </c>
      <c r="O1093" s="38" t="n">
        <f aca="false">IF($A1093="",1,IF($Q1093=0,1,INDEX(COA_Mapping!$F$7:$F$256,$Q1093)))</f>
        <v>1</v>
      </c>
      <c r="P1093" s="34" t="str">
        <f aca="false">IF($A1093="","",$I1093*$O1093)</f>
        <v/>
      </c>
      <c r="Q1093" s="39" t="n">
        <f aca="false">IF($B1093="",0,IFERROR(MATCH($B1093,COA_Mapping!$A$7:$A$256,0),0))</f>
        <v>0</v>
      </c>
      <c r="R1093" s="39" t="n">
        <f aca="false">IF($A1093="",-1,IF($J1093=Setup!$B$7,1,IF($J1093=Setup!$B$9,0,-1)))</f>
        <v>-1</v>
      </c>
      <c r="S1093" s="35" t="n">
        <f aca="false">IF(OR($A1093="",$Q1093=0,$R1093=-1),0,$Q1093*1000+$R1093*100+$K1093)</f>
        <v>0</v>
      </c>
      <c r="T1093" s="37" t="str">
        <f aca="false">IF($A1093="","",IF($B1093="","NO ACCOUNT",IF($Q1093=0,"UNMAPPED",IF($R1093=-1,"OUTSIDE FY RANGE","OK"))))</f>
        <v/>
      </c>
      <c r="U1093" s="40" t="str">
        <f aca="false">IF($A1093="","",$B1093&amp;"|"&amp;TEXT($A1093,"yyyymmdd")&amp;"|"&amp;TEXT($I1093,"0.00"))</f>
        <v/>
      </c>
      <c r="V1093" s="35" t="str">
        <f aca="false">IF($A1093="","",COUNTIF($U$8:$U$5007,$U1093))</f>
        <v/>
      </c>
    </row>
    <row r="1094" customFormat="false" ht="15" hidden="false" customHeight="false" outlineLevel="0" collapsed="false">
      <c r="A1094" s="31"/>
      <c r="B1094" s="32"/>
      <c r="C1094" s="32"/>
      <c r="D1094" s="32"/>
      <c r="E1094" s="32"/>
      <c r="F1094" s="32"/>
      <c r="G1094" s="33"/>
      <c r="H1094" s="33"/>
      <c r="I1094" s="34" t="str">
        <f aca="false">IF($A1094="","",$G1094-$H1094)</f>
        <v/>
      </c>
      <c r="J1094" s="35" t="str">
        <f aca="false">IF($A1094="","",IF(Setup!$B$6=1,YEAR($A1094),YEAR($A1094)+IF(MONTH($A1094)&gt;=Setup!$B$6,1,0)))</f>
        <v/>
      </c>
      <c r="K1094" s="35" t="str">
        <f aca="false">IF($A1094="","",MOD(MONTH($A1094)-Setup!$B$6+12,12)+1)</f>
        <v/>
      </c>
      <c r="L1094" s="36" t="str">
        <f aca="false">IF($A1094="","",TEXT($A1094,"MMM-YY"))</f>
        <v/>
      </c>
      <c r="M1094" s="37" t="str">
        <f aca="false">IF($A1094="","",IF($Q1094=0,"UNMAPPED",INDEX(COA_Mapping!$C$7:$C$256,$Q1094)))</f>
        <v/>
      </c>
      <c r="N1094" s="38" t="str">
        <f aca="false">IF($A1094="","",IF($Q1094=0,"",INDEX(COA_Mapping!$E$7:$E$256,$Q1094)))</f>
        <v/>
      </c>
      <c r="O1094" s="38" t="n">
        <f aca="false">IF($A1094="",1,IF($Q1094=0,1,INDEX(COA_Mapping!$F$7:$F$256,$Q1094)))</f>
        <v>1</v>
      </c>
      <c r="P1094" s="34" t="str">
        <f aca="false">IF($A1094="","",$I1094*$O1094)</f>
        <v/>
      </c>
      <c r="Q1094" s="39" t="n">
        <f aca="false">IF($B1094="",0,IFERROR(MATCH($B1094,COA_Mapping!$A$7:$A$256,0),0))</f>
        <v>0</v>
      </c>
      <c r="R1094" s="39" t="n">
        <f aca="false">IF($A1094="",-1,IF($J1094=Setup!$B$7,1,IF($J1094=Setup!$B$9,0,-1)))</f>
        <v>-1</v>
      </c>
      <c r="S1094" s="35" t="n">
        <f aca="false">IF(OR($A1094="",$Q1094=0,$R1094=-1),0,$Q1094*1000+$R1094*100+$K1094)</f>
        <v>0</v>
      </c>
      <c r="T1094" s="37" t="str">
        <f aca="false">IF($A1094="","",IF($B1094="","NO ACCOUNT",IF($Q1094=0,"UNMAPPED",IF($R1094=-1,"OUTSIDE FY RANGE","OK"))))</f>
        <v/>
      </c>
      <c r="U1094" s="40" t="str">
        <f aca="false">IF($A1094="","",$B1094&amp;"|"&amp;TEXT($A1094,"yyyymmdd")&amp;"|"&amp;TEXT($I1094,"0.00"))</f>
        <v/>
      </c>
      <c r="V1094" s="35" t="str">
        <f aca="false">IF($A1094="","",COUNTIF($U$8:$U$5007,$U1094))</f>
        <v/>
      </c>
    </row>
    <row r="1095" customFormat="false" ht="15" hidden="false" customHeight="false" outlineLevel="0" collapsed="false">
      <c r="A1095" s="31"/>
      <c r="B1095" s="32"/>
      <c r="C1095" s="32"/>
      <c r="D1095" s="32"/>
      <c r="E1095" s="32"/>
      <c r="F1095" s="32"/>
      <c r="G1095" s="33"/>
      <c r="H1095" s="33"/>
      <c r="I1095" s="34" t="str">
        <f aca="false">IF($A1095="","",$G1095-$H1095)</f>
        <v/>
      </c>
      <c r="J1095" s="35" t="str">
        <f aca="false">IF($A1095="","",IF(Setup!$B$6=1,YEAR($A1095),YEAR($A1095)+IF(MONTH($A1095)&gt;=Setup!$B$6,1,0)))</f>
        <v/>
      </c>
      <c r="K1095" s="35" t="str">
        <f aca="false">IF($A1095="","",MOD(MONTH($A1095)-Setup!$B$6+12,12)+1)</f>
        <v/>
      </c>
      <c r="L1095" s="36" t="str">
        <f aca="false">IF($A1095="","",TEXT($A1095,"MMM-YY"))</f>
        <v/>
      </c>
      <c r="M1095" s="37" t="str">
        <f aca="false">IF($A1095="","",IF($Q1095=0,"UNMAPPED",INDEX(COA_Mapping!$C$7:$C$256,$Q1095)))</f>
        <v/>
      </c>
      <c r="N1095" s="38" t="str">
        <f aca="false">IF($A1095="","",IF($Q1095=0,"",INDEX(COA_Mapping!$E$7:$E$256,$Q1095)))</f>
        <v/>
      </c>
      <c r="O1095" s="38" t="n">
        <f aca="false">IF($A1095="",1,IF($Q1095=0,1,INDEX(COA_Mapping!$F$7:$F$256,$Q1095)))</f>
        <v>1</v>
      </c>
      <c r="P1095" s="34" t="str">
        <f aca="false">IF($A1095="","",$I1095*$O1095)</f>
        <v/>
      </c>
      <c r="Q1095" s="39" t="n">
        <f aca="false">IF($B1095="",0,IFERROR(MATCH($B1095,COA_Mapping!$A$7:$A$256,0),0))</f>
        <v>0</v>
      </c>
      <c r="R1095" s="39" t="n">
        <f aca="false">IF($A1095="",-1,IF($J1095=Setup!$B$7,1,IF($J1095=Setup!$B$9,0,-1)))</f>
        <v>-1</v>
      </c>
      <c r="S1095" s="35" t="n">
        <f aca="false">IF(OR($A1095="",$Q1095=0,$R1095=-1),0,$Q1095*1000+$R1095*100+$K1095)</f>
        <v>0</v>
      </c>
      <c r="T1095" s="37" t="str">
        <f aca="false">IF($A1095="","",IF($B1095="","NO ACCOUNT",IF($Q1095=0,"UNMAPPED",IF($R1095=-1,"OUTSIDE FY RANGE","OK"))))</f>
        <v/>
      </c>
      <c r="U1095" s="40" t="str">
        <f aca="false">IF($A1095="","",$B1095&amp;"|"&amp;TEXT($A1095,"yyyymmdd")&amp;"|"&amp;TEXT($I1095,"0.00"))</f>
        <v/>
      </c>
      <c r="V1095" s="35" t="str">
        <f aca="false">IF($A1095="","",COUNTIF($U$8:$U$5007,$U1095))</f>
        <v/>
      </c>
    </row>
    <row r="1096" customFormat="false" ht="15" hidden="false" customHeight="false" outlineLevel="0" collapsed="false">
      <c r="A1096" s="31"/>
      <c r="B1096" s="32"/>
      <c r="C1096" s="32"/>
      <c r="D1096" s="32"/>
      <c r="E1096" s="32"/>
      <c r="F1096" s="32"/>
      <c r="G1096" s="33"/>
      <c r="H1096" s="33"/>
      <c r="I1096" s="34" t="str">
        <f aca="false">IF($A1096="","",$G1096-$H1096)</f>
        <v/>
      </c>
      <c r="J1096" s="35" t="str">
        <f aca="false">IF($A1096="","",IF(Setup!$B$6=1,YEAR($A1096),YEAR($A1096)+IF(MONTH($A1096)&gt;=Setup!$B$6,1,0)))</f>
        <v/>
      </c>
      <c r="K1096" s="35" t="str">
        <f aca="false">IF($A1096="","",MOD(MONTH($A1096)-Setup!$B$6+12,12)+1)</f>
        <v/>
      </c>
      <c r="L1096" s="36" t="str">
        <f aca="false">IF($A1096="","",TEXT($A1096,"MMM-YY"))</f>
        <v/>
      </c>
      <c r="M1096" s="37" t="str">
        <f aca="false">IF($A1096="","",IF($Q1096=0,"UNMAPPED",INDEX(COA_Mapping!$C$7:$C$256,$Q1096)))</f>
        <v/>
      </c>
      <c r="N1096" s="38" t="str">
        <f aca="false">IF($A1096="","",IF($Q1096=0,"",INDEX(COA_Mapping!$E$7:$E$256,$Q1096)))</f>
        <v/>
      </c>
      <c r="O1096" s="38" t="n">
        <f aca="false">IF($A1096="",1,IF($Q1096=0,1,INDEX(COA_Mapping!$F$7:$F$256,$Q1096)))</f>
        <v>1</v>
      </c>
      <c r="P1096" s="34" t="str">
        <f aca="false">IF($A1096="","",$I1096*$O1096)</f>
        <v/>
      </c>
      <c r="Q1096" s="39" t="n">
        <f aca="false">IF($B1096="",0,IFERROR(MATCH($B1096,COA_Mapping!$A$7:$A$256,0),0))</f>
        <v>0</v>
      </c>
      <c r="R1096" s="39" t="n">
        <f aca="false">IF($A1096="",-1,IF($J1096=Setup!$B$7,1,IF($J1096=Setup!$B$9,0,-1)))</f>
        <v>-1</v>
      </c>
      <c r="S1096" s="35" t="n">
        <f aca="false">IF(OR($A1096="",$Q1096=0,$R1096=-1),0,$Q1096*1000+$R1096*100+$K1096)</f>
        <v>0</v>
      </c>
      <c r="T1096" s="37" t="str">
        <f aca="false">IF($A1096="","",IF($B1096="","NO ACCOUNT",IF($Q1096=0,"UNMAPPED",IF($R1096=-1,"OUTSIDE FY RANGE","OK"))))</f>
        <v/>
      </c>
      <c r="U1096" s="40" t="str">
        <f aca="false">IF($A1096="","",$B1096&amp;"|"&amp;TEXT($A1096,"yyyymmdd")&amp;"|"&amp;TEXT($I1096,"0.00"))</f>
        <v/>
      </c>
      <c r="V1096" s="35" t="str">
        <f aca="false">IF($A1096="","",COUNTIF($U$8:$U$5007,$U1096))</f>
        <v/>
      </c>
    </row>
    <row r="1097" customFormat="false" ht="15" hidden="false" customHeight="false" outlineLevel="0" collapsed="false">
      <c r="A1097" s="31"/>
      <c r="B1097" s="32"/>
      <c r="C1097" s="32"/>
      <c r="D1097" s="32"/>
      <c r="E1097" s="32"/>
      <c r="F1097" s="32"/>
      <c r="G1097" s="33"/>
      <c r="H1097" s="33"/>
      <c r="I1097" s="34" t="str">
        <f aca="false">IF($A1097="","",$G1097-$H1097)</f>
        <v/>
      </c>
      <c r="J1097" s="35" t="str">
        <f aca="false">IF($A1097="","",IF(Setup!$B$6=1,YEAR($A1097),YEAR($A1097)+IF(MONTH($A1097)&gt;=Setup!$B$6,1,0)))</f>
        <v/>
      </c>
      <c r="K1097" s="35" t="str">
        <f aca="false">IF($A1097="","",MOD(MONTH($A1097)-Setup!$B$6+12,12)+1)</f>
        <v/>
      </c>
      <c r="L1097" s="36" t="str">
        <f aca="false">IF($A1097="","",TEXT($A1097,"MMM-YY"))</f>
        <v/>
      </c>
      <c r="M1097" s="37" t="str">
        <f aca="false">IF($A1097="","",IF($Q1097=0,"UNMAPPED",INDEX(COA_Mapping!$C$7:$C$256,$Q1097)))</f>
        <v/>
      </c>
      <c r="N1097" s="38" t="str">
        <f aca="false">IF($A1097="","",IF($Q1097=0,"",INDEX(COA_Mapping!$E$7:$E$256,$Q1097)))</f>
        <v/>
      </c>
      <c r="O1097" s="38" t="n">
        <f aca="false">IF($A1097="",1,IF($Q1097=0,1,INDEX(COA_Mapping!$F$7:$F$256,$Q1097)))</f>
        <v>1</v>
      </c>
      <c r="P1097" s="34" t="str">
        <f aca="false">IF($A1097="","",$I1097*$O1097)</f>
        <v/>
      </c>
      <c r="Q1097" s="39" t="n">
        <f aca="false">IF($B1097="",0,IFERROR(MATCH($B1097,COA_Mapping!$A$7:$A$256,0),0))</f>
        <v>0</v>
      </c>
      <c r="R1097" s="39" t="n">
        <f aca="false">IF($A1097="",-1,IF($J1097=Setup!$B$7,1,IF($J1097=Setup!$B$9,0,-1)))</f>
        <v>-1</v>
      </c>
      <c r="S1097" s="35" t="n">
        <f aca="false">IF(OR($A1097="",$Q1097=0,$R1097=-1),0,$Q1097*1000+$R1097*100+$K1097)</f>
        <v>0</v>
      </c>
      <c r="T1097" s="37" t="str">
        <f aca="false">IF($A1097="","",IF($B1097="","NO ACCOUNT",IF($Q1097=0,"UNMAPPED",IF($R1097=-1,"OUTSIDE FY RANGE","OK"))))</f>
        <v/>
      </c>
      <c r="U1097" s="40" t="str">
        <f aca="false">IF($A1097="","",$B1097&amp;"|"&amp;TEXT($A1097,"yyyymmdd")&amp;"|"&amp;TEXT($I1097,"0.00"))</f>
        <v/>
      </c>
      <c r="V1097" s="35" t="str">
        <f aca="false">IF($A1097="","",COUNTIF($U$8:$U$5007,$U1097))</f>
        <v/>
      </c>
    </row>
    <row r="1098" customFormat="false" ht="15" hidden="false" customHeight="false" outlineLevel="0" collapsed="false">
      <c r="A1098" s="31"/>
      <c r="B1098" s="32"/>
      <c r="C1098" s="32"/>
      <c r="D1098" s="32"/>
      <c r="E1098" s="32"/>
      <c r="F1098" s="32"/>
      <c r="G1098" s="33"/>
      <c r="H1098" s="33"/>
      <c r="I1098" s="34" t="str">
        <f aca="false">IF($A1098="","",$G1098-$H1098)</f>
        <v/>
      </c>
      <c r="J1098" s="35" t="str">
        <f aca="false">IF($A1098="","",IF(Setup!$B$6=1,YEAR($A1098),YEAR($A1098)+IF(MONTH($A1098)&gt;=Setup!$B$6,1,0)))</f>
        <v/>
      </c>
      <c r="K1098" s="35" t="str">
        <f aca="false">IF($A1098="","",MOD(MONTH($A1098)-Setup!$B$6+12,12)+1)</f>
        <v/>
      </c>
      <c r="L1098" s="36" t="str">
        <f aca="false">IF($A1098="","",TEXT($A1098,"MMM-YY"))</f>
        <v/>
      </c>
      <c r="M1098" s="37" t="str">
        <f aca="false">IF($A1098="","",IF($Q1098=0,"UNMAPPED",INDEX(COA_Mapping!$C$7:$C$256,$Q1098)))</f>
        <v/>
      </c>
      <c r="N1098" s="38" t="str">
        <f aca="false">IF($A1098="","",IF($Q1098=0,"",INDEX(COA_Mapping!$E$7:$E$256,$Q1098)))</f>
        <v/>
      </c>
      <c r="O1098" s="38" t="n">
        <f aca="false">IF($A1098="",1,IF($Q1098=0,1,INDEX(COA_Mapping!$F$7:$F$256,$Q1098)))</f>
        <v>1</v>
      </c>
      <c r="P1098" s="34" t="str">
        <f aca="false">IF($A1098="","",$I1098*$O1098)</f>
        <v/>
      </c>
      <c r="Q1098" s="39" t="n">
        <f aca="false">IF($B1098="",0,IFERROR(MATCH($B1098,COA_Mapping!$A$7:$A$256,0),0))</f>
        <v>0</v>
      </c>
      <c r="R1098" s="39" t="n">
        <f aca="false">IF($A1098="",-1,IF($J1098=Setup!$B$7,1,IF($J1098=Setup!$B$9,0,-1)))</f>
        <v>-1</v>
      </c>
      <c r="S1098" s="35" t="n">
        <f aca="false">IF(OR($A1098="",$Q1098=0,$R1098=-1),0,$Q1098*1000+$R1098*100+$K1098)</f>
        <v>0</v>
      </c>
      <c r="T1098" s="37" t="str">
        <f aca="false">IF($A1098="","",IF($B1098="","NO ACCOUNT",IF($Q1098=0,"UNMAPPED",IF($R1098=-1,"OUTSIDE FY RANGE","OK"))))</f>
        <v/>
      </c>
      <c r="U1098" s="40" t="str">
        <f aca="false">IF($A1098="","",$B1098&amp;"|"&amp;TEXT($A1098,"yyyymmdd")&amp;"|"&amp;TEXT($I1098,"0.00"))</f>
        <v/>
      </c>
      <c r="V1098" s="35" t="str">
        <f aca="false">IF($A1098="","",COUNTIF($U$8:$U$5007,$U1098))</f>
        <v/>
      </c>
    </row>
    <row r="1099" customFormat="false" ht="15" hidden="false" customHeight="false" outlineLevel="0" collapsed="false">
      <c r="A1099" s="31"/>
      <c r="B1099" s="32"/>
      <c r="C1099" s="32"/>
      <c r="D1099" s="32"/>
      <c r="E1099" s="32"/>
      <c r="F1099" s="32"/>
      <c r="G1099" s="33"/>
      <c r="H1099" s="33"/>
      <c r="I1099" s="34" t="str">
        <f aca="false">IF($A1099="","",$G1099-$H1099)</f>
        <v/>
      </c>
      <c r="J1099" s="35" t="str">
        <f aca="false">IF($A1099="","",IF(Setup!$B$6=1,YEAR($A1099),YEAR($A1099)+IF(MONTH($A1099)&gt;=Setup!$B$6,1,0)))</f>
        <v/>
      </c>
      <c r="K1099" s="35" t="str">
        <f aca="false">IF($A1099="","",MOD(MONTH($A1099)-Setup!$B$6+12,12)+1)</f>
        <v/>
      </c>
      <c r="L1099" s="36" t="str">
        <f aca="false">IF($A1099="","",TEXT($A1099,"MMM-YY"))</f>
        <v/>
      </c>
      <c r="M1099" s="37" t="str">
        <f aca="false">IF($A1099="","",IF($Q1099=0,"UNMAPPED",INDEX(COA_Mapping!$C$7:$C$256,$Q1099)))</f>
        <v/>
      </c>
      <c r="N1099" s="38" t="str">
        <f aca="false">IF($A1099="","",IF($Q1099=0,"",INDEX(COA_Mapping!$E$7:$E$256,$Q1099)))</f>
        <v/>
      </c>
      <c r="O1099" s="38" t="n">
        <f aca="false">IF($A1099="",1,IF($Q1099=0,1,INDEX(COA_Mapping!$F$7:$F$256,$Q1099)))</f>
        <v>1</v>
      </c>
      <c r="P1099" s="34" t="str">
        <f aca="false">IF($A1099="","",$I1099*$O1099)</f>
        <v/>
      </c>
      <c r="Q1099" s="39" t="n">
        <f aca="false">IF($B1099="",0,IFERROR(MATCH($B1099,COA_Mapping!$A$7:$A$256,0),0))</f>
        <v>0</v>
      </c>
      <c r="R1099" s="39" t="n">
        <f aca="false">IF($A1099="",-1,IF($J1099=Setup!$B$7,1,IF($J1099=Setup!$B$9,0,-1)))</f>
        <v>-1</v>
      </c>
      <c r="S1099" s="35" t="n">
        <f aca="false">IF(OR($A1099="",$Q1099=0,$R1099=-1),0,$Q1099*1000+$R1099*100+$K1099)</f>
        <v>0</v>
      </c>
      <c r="T1099" s="37" t="str">
        <f aca="false">IF($A1099="","",IF($B1099="","NO ACCOUNT",IF($Q1099=0,"UNMAPPED",IF($R1099=-1,"OUTSIDE FY RANGE","OK"))))</f>
        <v/>
      </c>
      <c r="U1099" s="40" t="str">
        <f aca="false">IF($A1099="","",$B1099&amp;"|"&amp;TEXT($A1099,"yyyymmdd")&amp;"|"&amp;TEXT($I1099,"0.00"))</f>
        <v/>
      </c>
      <c r="V1099" s="35" t="str">
        <f aca="false">IF($A1099="","",COUNTIF($U$8:$U$5007,$U1099))</f>
        <v/>
      </c>
    </row>
    <row r="1100" customFormat="false" ht="15" hidden="false" customHeight="false" outlineLevel="0" collapsed="false">
      <c r="A1100" s="31"/>
      <c r="B1100" s="32"/>
      <c r="C1100" s="32"/>
      <c r="D1100" s="32"/>
      <c r="E1100" s="32"/>
      <c r="F1100" s="32"/>
      <c r="G1100" s="33"/>
      <c r="H1100" s="33"/>
      <c r="I1100" s="34" t="str">
        <f aca="false">IF($A1100="","",$G1100-$H1100)</f>
        <v/>
      </c>
      <c r="J1100" s="35" t="str">
        <f aca="false">IF($A1100="","",IF(Setup!$B$6=1,YEAR($A1100),YEAR($A1100)+IF(MONTH($A1100)&gt;=Setup!$B$6,1,0)))</f>
        <v/>
      </c>
      <c r="K1100" s="35" t="str">
        <f aca="false">IF($A1100="","",MOD(MONTH($A1100)-Setup!$B$6+12,12)+1)</f>
        <v/>
      </c>
      <c r="L1100" s="36" t="str">
        <f aca="false">IF($A1100="","",TEXT($A1100,"MMM-YY"))</f>
        <v/>
      </c>
      <c r="M1100" s="37" t="str">
        <f aca="false">IF($A1100="","",IF($Q1100=0,"UNMAPPED",INDEX(COA_Mapping!$C$7:$C$256,$Q1100)))</f>
        <v/>
      </c>
      <c r="N1100" s="38" t="str">
        <f aca="false">IF($A1100="","",IF($Q1100=0,"",INDEX(COA_Mapping!$E$7:$E$256,$Q1100)))</f>
        <v/>
      </c>
      <c r="O1100" s="38" t="n">
        <f aca="false">IF($A1100="",1,IF($Q1100=0,1,INDEX(COA_Mapping!$F$7:$F$256,$Q1100)))</f>
        <v>1</v>
      </c>
      <c r="P1100" s="34" t="str">
        <f aca="false">IF($A1100="","",$I1100*$O1100)</f>
        <v/>
      </c>
      <c r="Q1100" s="39" t="n">
        <f aca="false">IF($B1100="",0,IFERROR(MATCH($B1100,COA_Mapping!$A$7:$A$256,0),0))</f>
        <v>0</v>
      </c>
      <c r="R1100" s="39" t="n">
        <f aca="false">IF($A1100="",-1,IF($J1100=Setup!$B$7,1,IF($J1100=Setup!$B$9,0,-1)))</f>
        <v>-1</v>
      </c>
      <c r="S1100" s="35" t="n">
        <f aca="false">IF(OR($A1100="",$Q1100=0,$R1100=-1),0,$Q1100*1000+$R1100*100+$K1100)</f>
        <v>0</v>
      </c>
      <c r="T1100" s="37" t="str">
        <f aca="false">IF($A1100="","",IF($B1100="","NO ACCOUNT",IF($Q1100=0,"UNMAPPED",IF($R1100=-1,"OUTSIDE FY RANGE","OK"))))</f>
        <v/>
      </c>
      <c r="U1100" s="40" t="str">
        <f aca="false">IF($A1100="","",$B1100&amp;"|"&amp;TEXT($A1100,"yyyymmdd")&amp;"|"&amp;TEXT($I1100,"0.00"))</f>
        <v/>
      </c>
      <c r="V1100" s="35" t="str">
        <f aca="false">IF($A1100="","",COUNTIF($U$8:$U$5007,$U1100))</f>
        <v/>
      </c>
    </row>
    <row r="1101" customFormat="false" ht="15" hidden="false" customHeight="false" outlineLevel="0" collapsed="false">
      <c r="A1101" s="31"/>
      <c r="B1101" s="32"/>
      <c r="C1101" s="32"/>
      <c r="D1101" s="32"/>
      <c r="E1101" s="32"/>
      <c r="F1101" s="32"/>
      <c r="G1101" s="33"/>
      <c r="H1101" s="33"/>
      <c r="I1101" s="34" t="str">
        <f aca="false">IF($A1101="","",$G1101-$H1101)</f>
        <v/>
      </c>
      <c r="J1101" s="35" t="str">
        <f aca="false">IF($A1101="","",IF(Setup!$B$6=1,YEAR($A1101),YEAR($A1101)+IF(MONTH($A1101)&gt;=Setup!$B$6,1,0)))</f>
        <v/>
      </c>
      <c r="K1101" s="35" t="str">
        <f aca="false">IF($A1101="","",MOD(MONTH($A1101)-Setup!$B$6+12,12)+1)</f>
        <v/>
      </c>
      <c r="L1101" s="36" t="str">
        <f aca="false">IF($A1101="","",TEXT($A1101,"MMM-YY"))</f>
        <v/>
      </c>
      <c r="M1101" s="37" t="str">
        <f aca="false">IF($A1101="","",IF($Q1101=0,"UNMAPPED",INDEX(COA_Mapping!$C$7:$C$256,$Q1101)))</f>
        <v/>
      </c>
      <c r="N1101" s="38" t="str">
        <f aca="false">IF($A1101="","",IF($Q1101=0,"",INDEX(COA_Mapping!$E$7:$E$256,$Q1101)))</f>
        <v/>
      </c>
      <c r="O1101" s="38" t="n">
        <f aca="false">IF($A1101="",1,IF($Q1101=0,1,INDEX(COA_Mapping!$F$7:$F$256,$Q1101)))</f>
        <v>1</v>
      </c>
      <c r="P1101" s="34" t="str">
        <f aca="false">IF($A1101="","",$I1101*$O1101)</f>
        <v/>
      </c>
      <c r="Q1101" s="39" t="n">
        <f aca="false">IF($B1101="",0,IFERROR(MATCH($B1101,COA_Mapping!$A$7:$A$256,0),0))</f>
        <v>0</v>
      </c>
      <c r="R1101" s="39" t="n">
        <f aca="false">IF($A1101="",-1,IF($J1101=Setup!$B$7,1,IF($J1101=Setup!$B$9,0,-1)))</f>
        <v>-1</v>
      </c>
      <c r="S1101" s="35" t="n">
        <f aca="false">IF(OR($A1101="",$Q1101=0,$R1101=-1),0,$Q1101*1000+$R1101*100+$K1101)</f>
        <v>0</v>
      </c>
      <c r="T1101" s="37" t="str">
        <f aca="false">IF($A1101="","",IF($B1101="","NO ACCOUNT",IF($Q1101=0,"UNMAPPED",IF($R1101=-1,"OUTSIDE FY RANGE","OK"))))</f>
        <v/>
      </c>
      <c r="U1101" s="40" t="str">
        <f aca="false">IF($A1101="","",$B1101&amp;"|"&amp;TEXT($A1101,"yyyymmdd")&amp;"|"&amp;TEXT($I1101,"0.00"))</f>
        <v/>
      </c>
      <c r="V1101" s="35" t="str">
        <f aca="false">IF($A1101="","",COUNTIF($U$8:$U$5007,$U1101))</f>
        <v/>
      </c>
    </row>
    <row r="1102" customFormat="false" ht="15" hidden="false" customHeight="false" outlineLevel="0" collapsed="false">
      <c r="A1102" s="31"/>
      <c r="B1102" s="32"/>
      <c r="C1102" s="32"/>
      <c r="D1102" s="32"/>
      <c r="E1102" s="32"/>
      <c r="F1102" s="32"/>
      <c r="G1102" s="33"/>
      <c r="H1102" s="33"/>
      <c r="I1102" s="34" t="str">
        <f aca="false">IF($A1102="","",$G1102-$H1102)</f>
        <v/>
      </c>
      <c r="J1102" s="35" t="str">
        <f aca="false">IF($A1102="","",IF(Setup!$B$6=1,YEAR($A1102),YEAR($A1102)+IF(MONTH($A1102)&gt;=Setup!$B$6,1,0)))</f>
        <v/>
      </c>
      <c r="K1102" s="35" t="str">
        <f aca="false">IF($A1102="","",MOD(MONTH($A1102)-Setup!$B$6+12,12)+1)</f>
        <v/>
      </c>
      <c r="L1102" s="36" t="str">
        <f aca="false">IF($A1102="","",TEXT($A1102,"MMM-YY"))</f>
        <v/>
      </c>
      <c r="M1102" s="37" t="str">
        <f aca="false">IF($A1102="","",IF($Q1102=0,"UNMAPPED",INDEX(COA_Mapping!$C$7:$C$256,$Q1102)))</f>
        <v/>
      </c>
      <c r="N1102" s="38" t="str">
        <f aca="false">IF($A1102="","",IF($Q1102=0,"",INDEX(COA_Mapping!$E$7:$E$256,$Q1102)))</f>
        <v/>
      </c>
      <c r="O1102" s="38" t="n">
        <f aca="false">IF($A1102="",1,IF($Q1102=0,1,INDEX(COA_Mapping!$F$7:$F$256,$Q1102)))</f>
        <v>1</v>
      </c>
      <c r="P1102" s="34" t="str">
        <f aca="false">IF($A1102="","",$I1102*$O1102)</f>
        <v/>
      </c>
      <c r="Q1102" s="39" t="n">
        <f aca="false">IF($B1102="",0,IFERROR(MATCH($B1102,COA_Mapping!$A$7:$A$256,0),0))</f>
        <v>0</v>
      </c>
      <c r="R1102" s="39" t="n">
        <f aca="false">IF($A1102="",-1,IF($J1102=Setup!$B$7,1,IF($J1102=Setup!$B$9,0,-1)))</f>
        <v>-1</v>
      </c>
      <c r="S1102" s="35" t="n">
        <f aca="false">IF(OR($A1102="",$Q1102=0,$R1102=-1),0,$Q1102*1000+$R1102*100+$K1102)</f>
        <v>0</v>
      </c>
      <c r="T1102" s="37" t="str">
        <f aca="false">IF($A1102="","",IF($B1102="","NO ACCOUNT",IF($Q1102=0,"UNMAPPED",IF($R1102=-1,"OUTSIDE FY RANGE","OK"))))</f>
        <v/>
      </c>
      <c r="U1102" s="40" t="str">
        <f aca="false">IF($A1102="","",$B1102&amp;"|"&amp;TEXT($A1102,"yyyymmdd")&amp;"|"&amp;TEXT($I1102,"0.00"))</f>
        <v/>
      </c>
      <c r="V1102" s="35" t="str">
        <f aca="false">IF($A1102="","",COUNTIF($U$8:$U$5007,$U1102))</f>
        <v/>
      </c>
    </row>
    <row r="1103" customFormat="false" ht="15" hidden="false" customHeight="false" outlineLevel="0" collapsed="false">
      <c r="A1103" s="31"/>
      <c r="B1103" s="32"/>
      <c r="C1103" s="32"/>
      <c r="D1103" s="32"/>
      <c r="E1103" s="32"/>
      <c r="F1103" s="32"/>
      <c r="G1103" s="33"/>
      <c r="H1103" s="33"/>
      <c r="I1103" s="34" t="str">
        <f aca="false">IF($A1103="","",$G1103-$H1103)</f>
        <v/>
      </c>
      <c r="J1103" s="35" t="str">
        <f aca="false">IF($A1103="","",IF(Setup!$B$6=1,YEAR($A1103),YEAR($A1103)+IF(MONTH($A1103)&gt;=Setup!$B$6,1,0)))</f>
        <v/>
      </c>
      <c r="K1103" s="35" t="str">
        <f aca="false">IF($A1103="","",MOD(MONTH($A1103)-Setup!$B$6+12,12)+1)</f>
        <v/>
      </c>
      <c r="L1103" s="36" t="str">
        <f aca="false">IF($A1103="","",TEXT($A1103,"MMM-YY"))</f>
        <v/>
      </c>
      <c r="M1103" s="37" t="str">
        <f aca="false">IF($A1103="","",IF($Q1103=0,"UNMAPPED",INDEX(COA_Mapping!$C$7:$C$256,$Q1103)))</f>
        <v/>
      </c>
      <c r="N1103" s="38" t="str">
        <f aca="false">IF($A1103="","",IF($Q1103=0,"",INDEX(COA_Mapping!$E$7:$E$256,$Q1103)))</f>
        <v/>
      </c>
      <c r="O1103" s="38" t="n">
        <f aca="false">IF($A1103="",1,IF($Q1103=0,1,INDEX(COA_Mapping!$F$7:$F$256,$Q1103)))</f>
        <v>1</v>
      </c>
      <c r="P1103" s="34" t="str">
        <f aca="false">IF($A1103="","",$I1103*$O1103)</f>
        <v/>
      </c>
      <c r="Q1103" s="39" t="n">
        <f aca="false">IF($B1103="",0,IFERROR(MATCH($B1103,COA_Mapping!$A$7:$A$256,0),0))</f>
        <v>0</v>
      </c>
      <c r="R1103" s="39" t="n">
        <f aca="false">IF($A1103="",-1,IF($J1103=Setup!$B$7,1,IF($J1103=Setup!$B$9,0,-1)))</f>
        <v>-1</v>
      </c>
      <c r="S1103" s="35" t="n">
        <f aca="false">IF(OR($A1103="",$Q1103=0,$R1103=-1),0,$Q1103*1000+$R1103*100+$K1103)</f>
        <v>0</v>
      </c>
      <c r="T1103" s="37" t="str">
        <f aca="false">IF($A1103="","",IF($B1103="","NO ACCOUNT",IF($Q1103=0,"UNMAPPED",IF($R1103=-1,"OUTSIDE FY RANGE","OK"))))</f>
        <v/>
      </c>
      <c r="U1103" s="40" t="str">
        <f aca="false">IF($A1103="","",$B1103&amp;"|"&amp;TEXT($A1103,"yyyymmdd")&amp;"|"&amp;TEXT($I1103,"0.00"))</f>
        <v/>
      </c>
      <c r="V1103" s="35" t="str">
        <f aca="false">IF($A1103="","",COUNTIF($U$8:$U$5007,$U1103))</f>
        <v/>
      </c>
    </row>
    <row r="1104" customFormat="false" ht="15" hidden="false" customHeight="false" outlineLevel="0" collapsed="false">
      <c r="A1104" s="31"/>
      <c r="B1104" s="32"/>
      <c r="C1104" s="32"/>
      <c r="D1104" s="32"/>
      <c r="E1104" s="32"/>
      <c r="F1104" s="32"/>
      <c r="G1104" s="33"/>
      <c r="H1104" s="33"/>
      <c r="I1104" s="34" t="str">
        <f aca="false">IF($A1104="","",$G1104-$H1104)</f>
        <v/>
      </c>
      <c r="J1104" s="35" t="str">
        <f aca="false">IF($A1104="","",IF(Setup!$B$6=1,YEAR($A1104),YEAR($A1104)+IF(MONTH($A1104)&gt;=Setup!$B$6,1,0)))</f>
        <v/>
      </c>
      <c r="K1104" s="35" t="str">
        <f aca="false">IF($A1104="","",MOD(MONTH($A1104)-Setup!$B$6+12,12)+1)</f>
        <v/>
      </c>
      <c r="L1104" s="36" t="str">
        <f aca="false">IF($A1104="","",TEXT($A1104,"MMM-YY"))</f>
        <v/>
      </c>
      <c r="M1104" s="37" t="str">
        <f aca="false">IF($A1104="","",IF($Q1104=0,"UNMAPPED",INDEX(COA_Mapping!$C$7:$C$256,$Q1104)))</f>
        <v/>
      </c>
      <c r="N1104" s="38" t="str">
        <f aca="false">IF($A1104="","",IF($Q1104=0,"",INDEX(COA_Mapping!$E$7:$E$256,$Q1104)))</f>
        <v/>
      </c>
      <c r="O1104" s="38" t="n">
        <f aca="false">IF($A1104="",1,IF($Q1104=0,1,INDEX(COA_Mapping!$F$7:$F$256,$Q1104)))</f>
        <v>1</v>
      </c>
      <c r="P1104" s="34" t="str">
        <f aca="false">IF($A1104="","",$I1104*$O1104)</f>
        <v/>
      </c>
      <c r="Q1104" s="39" t="n">
        <f aca="false">IF($B1104="",0,IFERROR(MATCH($B1104,COA_Mapping!$A$7:$A$256,0),0))</f>
        <v>0</v>
      </c>
      <c r="R1104" s="39" t="n">
        <f aca="false">IF($A1104="",-1,IF($J1104=Setup!$B$7,1,IF($J1104=Setup!$B$9,0,-1)))</f>
        <v>-1</v>
      </c>
      <c r="S1104" s="35" t="n">
        <f aca="false">IF(OR($A1104="",$Q1104=0,$R1104=-1),0,$Q1104*1000+$R1104*100+$K1104)</f>
        <v>0</v>
      </c>
      <c r="T1104" s="37" t="str">
        <f aca="false">IF($A1104="","",IF($B1104="","NO ACCOUNT",IF($Q1104=0,"UNMAPPED",IF($R1104=-1,"OUTSIDE FY RANGE","OK"))))</f>
        <v/>
      </c>
      <c r="U1104" s="40" t="str">
        <f aca="false">IF($A1104="","",$B1104&amp;"|"&amp;TEXT($A1104,"yyyymmdd")&amp;"|"&amp;TEXT($I1104,"0.00"))</f>
        <v/>
      </c>
      <c r="V1104" s="35" t="str">
        <f aca="false">IF($A1104="","",COUNTIF($U$8:$U$5007,$U1104))</f>
        <v/>
      </c>
    </row>
    <row r="1105" customFormat="false" ht="15" hidden="false" customHeight="false" outlineLevel="0" collapsed="false">
      <c r="A1105" s="31"/>
      <c r="B1105" s="32"/>
      <c r="C1105" s="32"/>
      <c r="D1105" s="32"/>
      <c r="E1105" s="32"/>
      <c r="F1105" s="32"/>
      <c r="G1105" s="33"/>
      <c r="H1105" s="33"/>
      <c r="I1105" s="34" t="str">
        <f aca="false">IF($A1105="","",$G1105-$H1105)</f>
        <v/>
      </c>
      <c r="J1105" s="35" t="str">
        <f aca="false">IF($A1105="","",IF(Setup!$B$6=1,YEAR($A1105),YEAR($A1105)+IF(MONTH($A1105)&gt;=Setup!$B$6,1,0)))</f>
        <v/>
      </c>
      <c r="K1105" s="35" t="str">
        <f aca="false">IF($A1105="","",MOD(MONTH($A1105)-Setup!$B$6+12,12)+1)</f>
        <v/>
      </c>
      <c r="L1105" s="36" t="str">
        <f aca="false">IF($A1105="","",TEXT($A1105,"MMM-YY"))</f>
        <v/>
      </c>
      <c r="M1105" s="37" t="str">
        <f aca="false">IF($A1105="","",IF($Q1105=0,"UNMAPPED",INDEX(COA_Mapping!$C$7:$C$256,$Q1105)))</f>
        <v/>
      </c>
      <c r="N1105" s="38" t="str">
        <f aca="false">IF($A1105="","",IF($Q1105=0,"",INDEX(COA_Mapping!$E$7:$E$256,$Q1105)))</f>
        <v/>
      </c>
      <c r="O1105" s="38" t="n">
        <f aca="false">IF($A1105="",1,IF($Q1105=0,1,INDEX(COA_Mapping!$F$7:$F$256,$Q1105)))</f>
        <v>1</v>
      </c>
      <c r="P1105" s="34" t="str">
        <f aca="false">IF($A1105="","",$I1105*$O1105)</f>
        <v/>
      </c>
      <c r="Q1105" s="39" t="n">
        <f aca="false">IF($B1105="",0,IFERROR(MATCH($B1105,COA_Mapping!$A$7:$A$256,0),0))</f>
        <v>0</v>
      </c>
      <c r="R1105" s="39" t="n">
        <f aca="false">IF($A1105="",-1,IF($J1105=Setup!$B$7,1,IF($J1105=Setup!$B$9,0,-1)))</f>
        <v>-1</v>
      </c>
      <c r="S1105" s="35" t="n">
        <f aca="false">IF(OR($A1105="",$Q1105=0,$R1105=-1),0,$Q1105*1000+$R1105*100+$K1105)</f>
        <v>0</v>
      </c>
      <c r="T1105" s="37" t="str">
        <f aca="false">IF($A1105="","",IF($B1105="","NO ACCOUNT",IF($Q1105=0,"UNMAPPED",IF($R1105=-1,"OUTSIDE FY RANGE","OK"))))</f>
        <v/>
      </c>
      <c r="U1105" s="40" t="str">
        <f aca="false">IF($A1105="","",$B1105&amp;"|"&amp;TEXT($A1105,"yyyymmdd")&amp;"|"&amp;TEXT($I1105,"0.00"))</f>
        <v/>
      </c>
      <c r="V1105" s="35" t="str">
        <f aca="false">IF($A1105="","",COUNTIF($U$8:$U$5007,$U1105))</f>
        <v/>
      </c>
    </row>
    <row r="1106" customFormat="false" ht="15" hidden="false" customHeight="false" outlineLevel="0" collapsed="false">
      <c r="A1106" s="31"/>
      <c r="B1106" s="32"/>
      <c r="C1106" s="32"/>
      <c r="D1106" s="32"/>
      <c r="E1106" s="32"/>
      <c r="F1106" s="32"/>
      <c r="G1106" s="33"/>
      <c r="H1106" s="33"/>
      <c r="I1106" s="34" t="str">
        <f aca="false">IF($A1106="","",$G1106-$H1106)</f>
        <v/>
      </c>
      <c r="J1106" s="35" t="str">
        <f aca="false">IF($A1106="","",IF(Setup!$B$6=1,YEAR($A1106),YEAR($A1106)+IF(MONTH($A1106)&gt;=Setup!$B$6,1,0)))</f>
        <v/>
      </c>
      <c r="K1106" s="35" t="str">
        <f aca="false">IF($A1106="","",MOD(MONTH($A1106)-Setup!$B$6+12,12)+1)</f>
        <v/>
      </c>
      <c r="L1106" s="36" t="str">
        <f aca="false">IF($A1106="","",TEXT($A1106,"MMM-YY"))</f>
        <v/>
      </c>
      <c r="M1106" s="37" t="str">
        <f aca="false">IF($A1106="","",IF($Q1106=0,"UNMAPPED",INDEX(COA_Mapping!$C$7:$C$256,$Q1106)))</f>
        <v/>
      </c>
      <c r="N1106" s="38" t="str">
        <f aca="false">IF($A1106="","",IF($Q1106=0,"",INDEX(COA_Mapping!$E$7:$E$256,$Q1106)))</f>
        <v/>
      </c>
      <c r="O1106" s="38" t="n">
        <f aca="false">IF($A1106="",1,IF($Q1106=0,1,INDEX(COA_Mapping!$F$7:$F$256,$Q1106)))</f>
        <v>1</v>
      </c>
      <c r="P1106" s="34" t="str">
        <f aca="false">IF($A1106="","",$I1106*$O1106)</f>
        <v/>
      </c>
      <c r="Q1106" s="39" t="n">
        <f aca="false">IF($B1106="",0,IFERROR(MATCH($B1106,COA_Mapping!$A$7:$A$256,0),0))</f>
        <v>0</v>
      </c>
      <c r="R1106" s="39" t="n">
        <f aca="false">IF($A1106="",-1,IF($J1106=Setup!$B$7,1,IF($J1106=Setup!$B$9,0,-1)))</f>
        <v>-1</v>
      </c>
      <c r="S1106" s="35" t="n">
        <f aca="false">IF(OR($A1106="",$Q1106=0,$R1106=-1),0,$Q1106*1000+$R1106*100+$K1106)</f>
        <v>0</v>
      </c>
      <c r="T1106" s="37" t="str">
        <f aca="false">IF($A1106="","",IF($B1106="","NO ACCOUNT",IF($Q1106=0,"UNMAPPED",IF($R1106=-1,"OUTSIDE FY RANGE","OK"))))</f>
        <v/>
      </c>
      <c r="U1106" s="40" t="str">
        <f aca="false">IF($A1106="","",$B1106&amp;"|"&amp;TEXT($A1106,"yyyymmdd")&amp;"|"&amp;TEXT($I1106,"0.00"))</f>
        <v/>
      </c>
      <c r="V1106" s="35" t="str">
        <f aca="false">IF($A1106="","",COUNTIF($U$8:$U$5007,$U1106))</f>
        <v/>
      </c>
    </row>
    <row r="1107" customFormat="false" ht="15" hidden="false" customHeight="false" outlineLevel="0" collapsed="false">
      <c r="A1107" s="31"/>
      <c r="B1107" s="32"/>
      <c r="C1107" s="32"/>
      <c r="D1107" s="32"/>
      <c r="E1107" s="32"/>
      <c r="F1107" s="32"/>
      <c r="G1107" s="33"/>
      <c r="H1107" s="33"/>
      <c r="I1107" s="34" t="str">
        <f aca="false">IF($A1107="","",$G1107-$H1107)</f>
        <v/>
      </c>
      <c r="J1107" s="35" t="str">
        <f aca="false">IF($A1107="","",IF(Setup!$B$6=1,YEAR($A1107),YEAR($A1107)+IF(MONTH($A1107)&gt;=Setup!$B$6,1,0)))</f>
        <v/>
      </c>
      <c r="K1107" s="35" t="str">
        <f aca="false">IF($A1107="","",MOD(MONTH($A1107)-Setup!$B$6+12,12)+1)</f>
        <v/>
      </c>
      <c r="L1107" s="36" t="str">
        <f aca="false">IF($A1107="","",TEXT($A1107,"MMM-YY"))</f>
        <v/>
      </c>
      <c r="M1107" s="37" t="str">
        <f aca="false">IF($A1107="","",IF($Q1107=0,"UNMAPPED",INDEX(COA_Mapping!$C$7:$C$256,$Q1107)))</f>
        <v/>
      </c>
      <c r="N1107" s="38" t="str">
        <f aca="false">IF($A1107="","",IF($Q1107=0,"",INDEX(COA_Mapping!$E$7:$E$256,$Q1107)))</f>
        <v/>
      </c>
      <c r="O1107" s="38" t="n">
        <f aca="false">IF($A1107="",1,IF($Q1107=0,1,INDEX(COA_Mapping!$F$7:$F$256,$Q1107)))</f>
        <v>1</v>
      </c>
      <c r="P1107" s="34" t="str">
        <f aca="false">IF($A1107="","",$I1107*$O1107)</f>
        <v/>
      </c>
      <c r="Q1107" s="39" t="n">
        <f aca="false">IF($B1107="",0,IFERROR(MATCH($B1107,COA_Mapping!$A$7:$A$256,0),0))</f>
        <v>0</v>
      </c>
      <c r="R1107" s="39" t="n">
        <f aca="false">IF($A1107="",-1,IF($J1107=Setup!$B$7,1,IF($J1107=Setup!$B$9,0,-1)))</f>
        <v>-1</v>
      </c>
      <c r="S1107" s="35" t="n">
        <f aca="false">IF(OR($A1107="",$Q1107=0,$R1107=-1),0,$Q1107*1000+$R1107*100+$K1107)</f>
        <v>0</v>
      </c>
      <c r="T1107" s="37" t="str">
        <f aca="false">IF($A1107="","",IF($B1107="","NO ACCOUNT",IF($Q1107=0,"UNMAPPED",IF($R1107=-1,"OUTSIDE FY RANGE","OK"))))</f>
        <v/>
      </c>
      <c r="U1107" s="40" t="str">
        <f aca="false">IF($A1107="","",$B1107&amp;"|"&amp;TEXT($A1107,"yyyymmdd")&amp;"|"&amp;TEXT($I1107,"0.00"))</f>
        <v/>
      </c>
      <c r="V1107" s="35" t="str">
        <f aca="false">IF($A1107="","",COUNTIF($U$8:$U$5007,$U1107))</f>
        <v/>
      </c>
    </row>
    <row r="1108" customFormat="false" ht="15" hidden="false" customHeight="false" outlineLevel="0" collapsed="false">
      <c r="A1108" s="31"/>
      <c r="B1108" s="32"/>
      <c r="C1108" s="32"/>
      <c r="D1108" s="32"/>
      <c r="E1108" s="32"/>
      <c r="F1108" s="32"/>
      <c r="G1108" s="33"/>
      <c r="H1108" s="33"/>
      <c r="I1108" s="34" t="str">
        <f aca="false">IF($A1108="","",$G1108-$H1108)</f>
        <v/>
      </c>
      <c r="J1108" s="35" t="str">
        <f aca="false">IF($A1108="","",IF(Setup!$B$6=1,YEAR($A1108),YEAR($A1108)+IF(MONTH($A1108)&gt;=Setup!$B$6,1,0)))</f>
        <v/>
      </c>
      <c r="K1108" s="35" t="str">
        <f aca="false">IF($A1108="","",MOD(MONTH($A1108)-Setup!$B$6+12,12)+1)</f>
        <v/>
      </c>
      <c r="L1108" s="36" t="str">
        <f aca="false">IF($A1108="","",TEXT($A1108,"MMM-YY"))</f>
        <v/>
      </c>
      <c r="M1108" s="37" t="str">
        <f aca="false">IF($A1108="","",IF($Q1108=0,"UNMAPPED",INDEX(COA_Mapping!$C$7:$C$256,$Q1108)))</f>
        <v/>
      </c>
      <c r="N1108" s="38" t="str">
        <f aca="false">IF($A1108="","",IF($Q1108=0,"",INDEX(COA_Mapping!$E$7:$E$256,$Q1108)))</f>
        <v/>
      </c>
      <c r="O1108" s="38" t="n">
        <f aca="false">IF($A1108="",1,IF($Q1108=0,1,INDEX(COA_Mapping!$F$7:$F$256,$Q1108)))</f>
        <v>1</v>
      </c>
      <c r="P1108" s="34" t="str">
        <f aca="false">IF($A1108="","",$I1108*$O1108)</f>
        <v/>
      </c>
      <c r="Q1108" s="39" t="n">
        <f aca="false">IF($B1108="",0,IFERROR(MATCH($B1108,COA_Mapping!$A$7:$A$256,0),0))</f>
        <v>0</v>
      </c>
      <c r="R1108" s="39" t="n">
        <f aca="false">IF($A1108="",-1,IF($J1108=Setup!$B$7,1,IF($J1108=Setup!$B$9,0,-1)))</f>
        <v>-1</v>
      </c>
      <c r="S1108" s="35" t="n">
        <f aca="false">IF(OR($A1108="",$Q1108=0,$R1108=-1),0,$Q1108*1000+$R1108*100+$K1108)</f>
        <v>0</v>
      </c>
      <c r="T1108" s="37" t="str">
        <f aca="false">IF($A1108="","",IF($B1108="","NO ACCOUNT",IF($Q1108=0,"UNMAPPED",IF($R1108=-1,"OUTSIDE FY RANGE","OK"))))</f>
        <v/>
      </c>
      <c r="U1108" s="40" t="str">
        <f aca="false">IF($A1108="","",$B1108&amp;"|"&amp;TEXT($A1108,"yyyymmdd")&amp;"|"&amp;TEXT($I1108,"0.00"))</f>
        <v/>
      </c>
      <c r="V1108" s="35" t="str">
        <f aca="false">IF($A1108="","",COUNTIF($U$8:$U$5007,$U1108))</f>
        <v/>
      </c>
    </row>
    <row r="1109" customFormat="false" ht="15" hidden="false" customHeight="false" outlineLevel="0" collapsed="false">
      <c r="A1109" s="31"/>
      <c r="B1109" s="32"/>
      <c r="C1109" s="32"/>
      <c r="D1109" s="32"/>
      <c r="E1109" s="32"/>
      <c r="F1109" s="32"/>
      <c r="G1109" s="33"/>
      <c r="H1109" s="33"/>
      <c r="I1109" s="34" t="str">
        <f aca="false">IF($A1109="","",$G1109-$H1109)</f>
        <v/>
      </c>
      <c r="J1109" s="35" t="str">
        <f aca="false">IF($A1109="","",IF(Setup!$B$6=1,YEAR($A1109),YEAR($A1109)+IF(MONTH($A1109)&gt;=Setup!$B$6,1,0)))</f>
        <v/>
      </c>
      <c r="K1109" s="35" t="str">
        <f aca="false">IF($A1109="","",MOD(MONTH($A1109)-Setup!$B$6+12,12)+1)</f>
        <v/>
      </c>
      <c r="L1109" s="36" t="str">
        <f aca="false">IF($A1109="","",TEXT($A1109,"MMM-YY"))</f>
        <v/>
      </c>
      <c r="M1109" s="37" t="str">
        <f aca="false">IF($A1109="","",IF($Q1109=0,"UNMAPPED",INDEX(COA_Mapping!$C$7:$C$256,$Q1109)))</f>
        <v/>
      </c>
      <c r="N1109" s="38" t="str">
        <f aca="false">IF($A1109="","",IF($Q1109=0,"",INDEX(COA_Mapping!$E$7:$E$256,$Q1109)))</f>
        <v/>
      </c>
      <c r="O1109" s="38" t="n">
        <f aca="false">IF($A1109="",1,IF($Q1109=0,1,INDEX(COA_Mapping!$F$7:$F$256,$Q1109)))</f>
        <v>1</v>
      </c>
      <c r="P1109" s="34" t="str">
        <f aca="false">IF($A1109="","",$I1109*$O1109)</f>
        <v/>
      </c>
      <c r="Q1109" s="39" t="n">
        <f aca="false">IF($B1109="",0,IFERROR(MATCH($B1109,COA_Mapping!$A$7:$A$256,0),0))</f>
        <v>0</v>
      </c>
      <c r="R1109" s="39" t="n">
        <f aca="false">IF($A1109="",-1,IF($J1109=Setup!$B$7,1,IF($J1109=Setup!$B$9,0,-1)))</f>
        <v>-1</v>
      </c>
      <c r="S1109" s="35" t="n">
        <f aca="false">IF(OR($A1109="",$Q1109=0,$R1109=-1),0,$Q1109*1000+$R1109*100+$K1109)</f>
        <v>0</v>
      </c>
      <c r="T1109" s="37" t="str">
        <f aca="false">IF($A1109="","",IF($B1109="","NO ACCOUNT",IF($Q1109=0,"UNMAPPED",IF($R1109=-1,"OUTSIDE FY RANGE","OK"))))</f>
        <v/>
      </c>
      <c r="U1109" s="40" t="str">
        <f aca="false">IF($A1109="","",$B1109&amp;"|"&amp;TEXT($A1109,"yyyymmdd")&amp;"|"&amp;TEXT($I1109,"0.00"))</f>
        <v/>
      </c>
      <c r="V1109" s="35" t="str">
        <f aca="false">IF($A1109="","",COUNTIF($U$8:$U$5007,$U1109))</f>
        <v/>
      </c>
    </row>
    <row r="1110" customFormat="false" ht="15" hidden="false" customHeight="false" outlineLevel="0" collapsed="false">
      <c r="A1110" s="31"/>
      <c r="B1110" s="32"/>
      <c r="C1110" s="32"/>
      <c r="D1110" s="32"/>
      <c r="E1110" s="32"/>
      <c r="F1110" s="32"/>
      <c r="G1110" s="33"/>
      <c r="H1110" s="33"/>
      <c r="I1110" s="34" t="str">
        <f aca="false">IF($A1110="","",$G1110-$H1110)</f>
        <v/>
      </c>
      <c r="J1110" s="35" t="str">
        <f aca="false">IF($A1110="","",IF(Setup!$B$6=1,YEAR($A1110),YEAR($A1110)+IF(MONTH($A1110)&gt;=Setup!$B$6,1,0)))</f>
        <v/>
      </c>
      <c r="K1110" s="35" t="str">
        <f aca="false">IF($A1110="","",MOD(MONTH($A1110)-Setup!$B$6+12,12)+1)</f>
        <v/>
      </c>
      <c r="L1110" s="36" t="str">
        <f aca="false">IF($A1110="","",TEXT($A1110,"MMM-YY"))</f>
        <v/>
      </c>
      <c r="M1110" s="37" t="str">
        <f aca="false">IF($A1110="","",IF($Q1110=0,"UNMAPPED",INDEX(COA_Mapping!$C$7:$C$256,$Q1110)))</f>
        <v/>
      </c>
      <c r="N1110" s="38" t="str">
        <f aca="false">IF($A1110="","",IF($Q1110=0,"",INDEX(COA_Mapping!$E$7:$E$256,$Q1110)))</f>
        <v/>
      </c>
      <c r="O1110" s="38" t="n">
        <f aca="false">IF($A1110="",1,IF($Q1110=0,1,INDEX(COA_Mapping!$F$7:$F$256,$Q1110)))</f>
        <v>1</v>
      </c>
      <c r="P1110" s="34" t="str">
        <f aca="false">IF($A1110="","",$I1110*$O1110)</f>
        <v/>
      </c>
      <c r="Q1110" s="39" t="n">
        <f aca="false">IF($B1110="",0,IFERROR(MATCH($B1110,COA_Mapping!$A$7:$A$256,0),0))</f>
        <v>0</v>
      </c>
      <c r="R1110" s="39" t="n">
        <f aca="false">IF($A1110="",-1,IF($J1110=Setup!$B$7,1,IF($J1110=Setup!$B$9,0,-1)))</f>
        <v>-1</v>
      </c>
      <c r="S1110" s="35" t="n">
        <f aca="false">IF(OR($A1110="",$Q1110=0,$R1110=-1),0,$Q1110*1000+$R1110*100+$K1110)</f>
        <v>0</v>
      </c>
      <c r="T1110" s="37" t="str">
        <f aca="false">IF($A1110="","",IF($B1110="","NO ACCOUNT",IF($Q1110=0,"UNMAPPED",IF($R1110=-1,"OUTSIDE FY RANGE","OK"))))</f>
        <v/>
      </c>
      <c r="U1110" s="40" t="str">
        <f aca="false">IF($A1110="","",$B1110&amp;"|"&amp;TEXT($A1110,"yyyymmdd")&amp;"|"&amp;TEXT($I1110,"0.00"))</f>
        <v/>
      </c>
      <c r="V1110" s="35" t="str">
        <f aca="false">IF($A1110="","",COUNTIF($U$8:$U$5007,$U1110))</f>
        <v/>
      </c>
    </row>
    <row r="1111" customFormat="false" ht="15" hidden="false" customHeight="false" outlineLevel="0" collapsed="false">
      <c r="A1111" s="31"/>
      <c r="B1111" s="32"/>
      <c r="C1111" s="32"/>
      <c r="D1111" s="32"/>
      <c r="E1111" s="32"/>
      <c r="F1111" s="32"/>
      <c r="G1111" s="33"/>
      <c r="H1111" s="33"/>
      <c r="I1111" s="34" t="str">
        <f aca="false">IF($A1111="","",$G1111-$H1111)</f>
        <v/>
      </c>
      <c r="J1111" s="35" t="str">
        <f aca="false">IF($A1111="","",IF(Setup!$B$6=1,YEAR($A1111),YEAR($A1111)+IF(MONTH($A1111)&gt;=Setup!$B$6,1,0)))</f>
        <v/>
      </c>
      <c r="K1111" s="35" t="str">
        <f aca="false">IF($A1111="","",MOD(MONTH($A1111)-Setup!$B$6+12,12)+1)</f>
        <v/>
      </c>
      <c r="L1111" s="36" t="str">
        <f aca="false">IF($A1111="","",TEXT($A1111,"MMM-YY"))</f>
        <v/>
      </c>
      <c r="M1111" s="37" t="str">
        <f aca="false">IF($A1111="","",IF($Q1111=0,"UNMAPPED",INDEX(COA_Mapping!$C$7:$C$256,$Q1111)))</f>
        <v/>
      </c>
      <c r="N1111" s="38" t="str">
        <f aca="false">IF($A1111="","",IF($Q1111=0,"",INDEX(COA_Mapping!$E$7:$E$256,$Q1111)))</f>
        <v/>
      </c>
      <c r="O1111" s="38" t="n">
        <f aca="false">IF($A1111="",1,IF($Q1111=0,1,INDEX(COA_Mapping!$F$7:$F$256,$Q1111)))</f>
        <v>1</v>
      </c>
      <c r="P1111" s="34" t="str">
        <f aca="false">IF($A1111="","",$I1111*$O1111)</f>
        <v/>
      </c>
      <c r="Q1111" s="39" t="n">
        <f aca="false">IF($B1111="",0,IFERROR(MATCH($B1111,COA_Mapping!$A$7:$A$256,0),0))</f>
        <v>0</v>
      </c>
      <c r="R1111" s="39" t="n">
        <f aca="false">IF($A1111="",-1,IF($J1111=Setup!$B$7,1,IF($J1111=Setup!$B$9,0,-1)))</f>
        <v>-1</v>
      </c>
      <c r="S1111" s="35" t="n">
        <f aca="false">IF(OR($A1111="",$Q1111=0,$R1111=-1),0,$Q1111*1000+$R1111*100+$K1111)</f>
        <v>0</v>
      </c>
      <c r="T1111" s="37" t="str">
        <f aca="false">IF($A1111="","",IF($B1111="","NO ACCOUNT",IF($Q1111=0,"UNMAPPED",IF($R1111=-1,"OUTSIDE FY RANGE","OK"))))</f>
        <v/>
      </c>
      <c r="U1111" s="40" t="str">
        <f aca="false">IF($A1111="","",$B1111&amp;"|"&amp;TEXT($A1111,"yyyymmdd")&amp;"|"&amp;TEXT($I1111,"0.00"))</f>
        <v/>
      </c>
      <c r="V1111" s="35" t="str">
        <f aca="false">IF($A1111="","",COUNTIF($U$8:$U$5007,$U1111))</f>
        <v/>
      </c>
    </row>
    <row r="1112" customFormat="false" ht="15" hidden="false" customHeight="false" outlineLevel="0" collapsed="false">
      <c r="A1112" s="31"/>
      <c r="B1112" s="32"/>
      <c r="C1112" s="32"/>
      <c r="D1112" s="32"/>
      <c r="E1112" s="32"/>
      <c r="F1112" s="32"/>
      <c r="G1112" s="33"/>
      <c r="H1112" s="33"/>
      <c r="I1112" s="34" t="str">
        <f aca="false">IF($A1112="","",$G1112-$H1112)</f>
        <v/>
      </c>
      <c r="J1112" s="35" t="str">
        <f aca="false">IF($A1112="","",IF(Setup!$B$6=1,YEAR($A1112),YEAR($A1112)+IF(MONTH($A1112)&gt;=Setup!$B$6,1,0)))</f>
        <v/>
      </c>
      <c r="K1112" s="35" t="str">
        <f aca="false">IF($A1112="","",MOD(MONTH($A1112)-Setup!$B$6+12,12)+1)</f>
        <v/>
      </c>
      <c r="L1112" s="36" t="str">
        <f aca="false">IF($A1112="","",TEXT($A1112,"MMM-YY"))</f>
        <v/>
      </c>
      <c r="M1112" s="37" t="str">
        <f aca="false">IF($A1112="","",IF($Q1112=0,"UNMAPPED",INDEX(COA_Mapping!$C$7:$C$256,$Q1112)))</f>
        <v/>
      </c>
      <c r="N1112" s="38" t="str">
        <f aca="false">IF($A1112="","",IF($Q1112=0,"",INDEX(COA_Mapping!$E$7:$E$256,$Q1112)))</f>
        <v/>
      </c>
      <c r="O1112" s="38" t="n">
        <f aca="false">IF($A1112="",1,IF($Q1112=0,1,INDEX(COA_Mapping!$F$7:$F$256,$Q1112)))</f>
        <v>1</v>
      </c>
      <c r="P1112" s="34" t="str">
        <f aca="false">IF($A1112="","",$I1112*$O1112)</f>
        <v/>
      </c>
      <c r="Q1112" s="39" t="n">
        <f aca="false">IF($B1112="",0,IFERROR(MATCH($B1112,COA_Mapping!$A$7:$A$256,0),0))</f>
        <v>0</v>
      </c>
      <c r="R1112" s="39" t="n">
        <f aca="false">IF($A1112="",-1,IF($J1112=Setup!$B$7,1,IF($J1112=Setup!$B$9,0,-1)))</f>
        <v>-1</v>
      </c>
      <c r="S1112" s="35" t="n">
        <f aca="false">IF(OR($A1112="",$Q1112=0,$R1112=-1),0,$Q1112*1000+$R1112*100+$K1112)</f>
        <v>0</v>
      </c>
      <c r="T1112" s="37" t="str">
        <f aca="false">IF($A1112="","",IF($B1112="","NO ACCOUNT",IF($Q1112=0,"UNMAPPED",IF($R1112=-1,"OUTSIDE FY RANGE","OK"))))</f>
        <v/>
      </c>
      <c r="U1112" s="40" t="str">
        <f aca="false">IF($A1112="","",$B1112&amp;"|"&amp;TEXT($A1112,"yyyymmdd")&amp;"|"&amp;TEXT($I1112,"0.00"))</f>
        <v/>
      </c>
      <c r="V1112" s="35" t="str">
        <f aca="false">IF($A1112="","",COUNTIF($U$8:$U$5007,$U1112))</f>
        <v/>
      </c>
    </row>
    <row r="1113" customFormat="false" ht="15" hidden="false" customHeight="false" outlineLevel="0" collapsed="false">
      <c r="A1113" s="31"/>
      <c r="B1113" s="32"/>
      <c r="C1113" s="32"/>
      <c r="D1113" s="32"/>
      <c r="E1113" s="32"/>
      <c r="F1113" s="32"/>
      <c r="G1113" s="33"/>
      <c r="H1113" s="33"/>
      <c r="I1113" s="34" t="str">
        <f aca="false">IF($A1113="","",$G1113-$H1113)</f>
        <v/>
      </c>
      <c r="J1113" s="35" t="str">
        <f aca="false">IF($A1113="","",IF(Setup!$B$6=1,YEAR($A1113),YEAR($A1113)+IF(MONTH($A1113)&gt;=Setup!$B$6,1,0)))</f>
        <v/>
      </c>
      <c r="K1113" s="35" t="str">
        <f aca="false">IF($A1113="","",MOD(MONTH($A1113)-Setup!$B$6+12,12)+1)</f>
        <v/>
      </c>
      <c r="L1113" s="36" t="str">
        <f aca="false">IF($A1113="","",TEXT($A1113,"MMM-YY"))</f>
        <v/>
      </c>
      <c r="M1113" s="37" t="str">
        <f aca="false">IF($A1113="","",IF($Q1113=0,"UNMAPPED",INDEX(COA_Mapping!$C$7:$C$256,$Q1113)))</f>
        <v/>
      </c>
      <c r="N1113" s="38" t="str">
        <f aca="false">IF($A1113="","",IF($Q1113=0,"",INDEX(COA_Mapping!$E$7:$E$256,$Q1113)))</f>
        <v/>
      </c>
      <c r="O1113" s="38" t="n">
        <f aca="false">IF($A1113="",1,IF($Q1113=0,1,INDEX(COA_Mapping!$F$7:$F$256,$Q1113)))</f>
        <v>1</v>
      </c>
      <c r="P1113" s="34" t="str">
        <f aca="false">IF($A1113="","",$I1113*$O1113)</f>
        <v/>
      </c>
      <c r="Q1113" s="39" t="n">
        <f aca="false">IF($B1113="",0,IFERROR(MATCH($B1113,COA_Mapping!$A$7:$A$256,0),0))</f>
        <v>0</v>
      </c>
      <c r="R1113" s="39" t="n">
        <f aca="false">IF($A1113="",-1,IF($J1113=Setup!$B$7,1,IF($J1113=Setup!$B$9,0,-1)))</f>
        <v>-1</v>
      </c>
      <c r="S1113" s="35" t="n">
        <f aca="false">IF(OR($A1113="",$Q1113=0,$R1113=-1),0,$Q1113*1000+$R1113*100+$K1113)</f>
        <v>0</v>
      </c>
      <c r="T1113" s="37" t="str">
        <f aca="false">IF($A1113="","",IF($B1113="","NO ACCOUNT",IF($Q1113=0,"UNMAPPED",IF($R1113=-1,"OUTSIDE FY RANGE","OK"))))</f>
        <v/>
      </c>
      <c r="U1113" s="40" t="str">
        <f aca="false">IF($A1113="","",$B1113&amp;"|"&amp;TEXT($A1113,"yyyymmdd")&amp;"|"&amp;TEXT($I1113,"0.00"))</f>
        <v/>
      </c>
      <c r="V1113" s="35" t="str">
        <f aca="false">IF($A1113="","",COUNTIF($U$8:$U$5007,$U1113))</f>
        <v/>
      </c>
    </row>
    <row r="1114" customFormat="false" ht="15" hidden="false" customHeight="false" outlineLevel="0" collapsed="false">
      <c r="A1114" s="31"/>
      <c r="B1114" s="32"/>
      <c r="C1114" s="32"/>
      <c r="D1114" s="32"/>
      <c r="E1114" s="32"/>
      <c r="F1114" s="32"/>
      <c r="G1114" s="33"/>
      <c r="H1114" s="33"/>
      <c r="I1114" s="34" t="str">
        <f aca="false">IF($A1114="","",$G1114-$H1114)</f>
        <v/>
      </c>
      <c r="J1114" s="35" t="str">
        <f aca="false">IF($A1114="","",IF(Setup!$B$6=1,YEAR($A1114),YEAR($A1114)+IF(MONTH($A1114)&gt;=Setup!$B$6,1,0)))</f>
        <v/>
      </c>
      <c r="K1114" s="35" t="str">
        <f aca="false">IF($A1114="","",MOD(MONTH($A1114)-Setup!$B$6+12,12)+1)</f>
        <v/>
      </c>
      <c r="L1114" s="36" t="str">
        <f aca="false">IF($A1114="","",TEXT($A1114,"MMM-YY"))</f>
        <v/>
      </c>
      <c r="M1114" s="37" t="str">
        <f aca="false">IF($A1114="","",IF($Q1114=0,"UNMAPPED",INDEX(COA_Mapping!$C$7:$C$256,$Q1114)))</f>
        <v/>
      </c>
      <c r="N1114" s="38" t="str">
        <f aca="false">IF($A1114="","",IF($Q1114=0,"",INDEX(COA_Mapping!$E$7:$E$256,$Q1114)))</f>
        <v/>
      </c>
      <c r="O1114" s="38" t="n">
        <f aca="false">IF($A1114="",1,IF($Q1114=0,1,INDEX(COA_Mapping!$F$7:$F$256,$Q1114)))</f>
        <v>1</v>
      </c>
      <c r="P1114" s="34" t="str">
        <f aca="false">IF($A1114="","",$I1114*$O1114)</f>
        <v/>
      </c>
      <c r="Q1114" s="39" t="n">
        <f aca="false">IF($B1114="",0,IFERROR(MATCH($B1114,COA_Mapping!$A$7:$A$256,0),0))</f>
        <v>0</v>
      </c>
      <c r="R1114" s="39" t="n">
        <f aca="false">IF($A1114="",-1,IF($J1114=Setup!$B$7,1,IF($J1114=Setup!$B$9,0,-1)))</f>
        <v>-1</v>
      </c>
      <c r="S1114" s="35" t="n">
        <f aca="false">IF(OR($A1114="",$Q1114=0,$R1114=-1),0,$Q1114*1000+$R1114*100+$K1114)</f>
        <v>0</v>
      </c>
      <c r="T1114" s="37" t="str">
        <f aca="false">IF($A1114="","",IF($B1114="","NO ACCOUNT",IF($Q1114=0,"UNMAPPED",IF($R1114=-1,"OUTSIDE FY RANGE","OK"))))</f>
        <v/>
      </c>
      <c r="U1114" s="40" t="str">
        <f aca="false">IF($A1114="","",$B1114&amp;"|"&amp;TEXT($A1114,"yyyymmdd")&amp;"|"&amp;TEXT($I1114,"0.00"))</f>
        <v/>
      </c>
      <c r="V1114" s="35" t="str">
        <f aca="false">IF($A1114="","",COUNTIF($U$8:$U$5007,$U1114))</f>
        <v/>
      </c>
    </row>
    <row r="1115" customFormat="false" ht="15" hidden="false" customHeight="false" outlineLevel="0" collapsed="false">
      <c r="A1115" s="31"/>
      <c r="B1115" s="32"/>
      <c r="C1115" s="32"/>
      <c r="D1115" s="32"/>
      <c r="E1115" s="32"/>
      <c r="F1115" s="32"/>
      <c r="G1115" s="33"/>
      <c r="H1115" s="33"/>
      <c r="I1115" s="34" t="str">
        <f aca="false">IF($A1115="","",$G1115-$H1115)</f>
        <v/>
      </c>
      <c r="J1115" s="35" t="str">
        <f aca="false">IF($A1115="","",IF(Setup!$B$6=1,YEAR($A1115),YEAR($A1115)+IF(MONTH($A1115)&gt;=Setup!$B$6,1,0)))</f>
        <v/>
      </c>
      <c r="K1115" s="35" t="str">
        <f aca="false">IF($A1115="","",MOD(MONTH($A1115)-Setup!$B$6+12,12)+1)</f>
        <v/>
      </c>
      <c r="L1115" s="36" t="str">
        <f aca="false">IF($A1115="","",TEXT($A1115,"MMM-YY"))</f>
        <v/>
      </c>
      <c r="M1115" s="37" t="str">
        <f aca="false">IF($A1115="","",IF($Q1115=0,"UNMAPPED",INDEX(COA_Mapping!$C$7:$C$256,$Q1115)))</f>
        <v/>
      </c>
      <c r="N1115" s="38" t="str">
        <f aca="false">IF($A1115="","",IF($Q1115=0,"",INDEX(COA_Mapping!$E$7:$E$256,$Q1115)))</f>
        <v/>
      </c>
      <c r="O1115" s="38" t="n">
        <f aca="false">IF($A1115="",1,IF($Q1115=0,1,INDEX(COA_Mapping!$F$7:$F$256,$Q1115)))</f>
        <v>1</v>
      </c>
      <c r="P1115" s="34" t="str">
        <f aca="false">IF($A1115="","",$I1115*$O1115)</f>
        <v/>
      </c>
      <c r="Q1115" s="39" t="n">
        <f aca="false">IF($B1115="",0,IFERROR(MATCH($B1115,COA_Mapping!$A$7:$A$256,0),0))</f>
        <v>0</v>
      </c>
      <c r="R1115" s="39" t="n">
        <f aca="false">IF($A1115="",-1,IF($J1115=Setup!$B$7,1,IF($J1115=Setup!$B$9,0,-1)))</f>
        <v>-1</v>
      </c>
      <c r="S1115" s="35" t="n">
        <f aca="false">IF(OR($A1115="",$Q1115=0,$R1115=-1),0,$Q1115*1000+$R1115*100+$K1115)</f>
        <v>0</v>
      </c>
      <c r="T1115" s="37" t="str">
        <f aca="false">IF($A1115="","",IF($B1115="","NO ACCOUNT",IF($Q1115=0,"UNMAPPED",IF($R1115=-1,"OUTSIDE FY RANGE","OK"))))</f>
        <v/>
      </c>
      <c r="U1115" s="40" t="str">
        <f aca="false">IF($A1115="","",$B1115&amp;"|"&amp;TEXT($A1115,"yyyymmdd")&amp;"|"&amp;TEXT($I1115,"0.00"))</f>
        <v/>
      </c>
      <c r="V1115" s="35" t="str">
        <f aca="false">IF($A1115="","",COUNTIF($U$8:$U$5007,$U1115))</f>
        <v/>
      </c>
    </row>
    <row r="1116" customFormat="false" ht="15" hidden="false" customHeight="false" outlineLevel="0" collapsed="false">
      <c r="A1116" s="31"/>
      <c r="B1116" s="32"/>
      <c r="C1116" s="32"/>
      <c r="D1116" s="32"/>
      <c r="E1116" s="32"/>
      <c r="F1116" s="32"/>
      <c r="G1116" s="33"/>
      <c r="H1116" s="33"/>
      <c r="I1116" s="34" t="str">
        <f aca="false">IF($A1116="","",$G1116-$H1116)</f>
        <v/>
      </c>
      <c r="J1116" s="35" t="str">
        <f aca="false">IF($A1116="","",IF(Setup!$B$6=1,YEAR($A1116),YEAR($A1116)+IF(MONTH($A1116)&gt;=Setup!$B$6,1,0)))</f>
        <v/>
      </c>
      <c r="K1116" s="35" t="str">
        <f aca="false">IF($A1116="","",MOD(MONTH($A1116)-Setup!$B$6+12,12)+1)</f>
        <v/>
      </c>
      <c r="L1116" s="36" t="str">
        <f aca="false">IF($A1116="","",TEXT($A1116,"MMM-YY"))</f>
        <v/>
      </c>
      <c r="M1116" s="37" t="str">
        <f aca="false">IF($A1116="","",IF($Q1116=0,"UNMAPPED",INDEX(COA_Mapping!$C$7:$C$256,$Q1116)))</f>
        <v/>
      </c>
      <c r="N1116" s="38" t="str">
        <f aca="false">IF($A1116="","",IF($Q1116=0,"",INDEX(COA_Mapping!$E$7:$E$256,$Q1116)))</f>
        <v/>
      </c>
      <c r="O1116" s="38" t="n">
        <f aca="false">IF($A1116="",1,IF($Q1116=0,1,INDEX(COA_Mapping!$F$7:$F$256,$Q1116)))</f>
        <v>1</v>
      </c>
      <c r="P1116" s="34" t="str">
        <f aca="false">IF($A1116="","",$I1116*$O1116)</f>
        <v/>
      </c>
      <c r="Q1116" s="39" t="n">
        <f aca="false">IF($B1116="",0,IFERROR(MATCH($B1116,COA_Mapping!$A$7:$A$256,0),0))</f>
        <v>0</v>
      </c>
      <c r="R1116" s="39" t="n">
        <f aca="false">IF($A1116="",-1,IF($J1116=Setup!$B$7,1,IF($J1116=Setup!$B$9,0,-1)))</f>
        <v>-1</v>
      </c>
      <c r="S1116" s="35" t="n">
        <f aca="false">IF(OR($A1116="",$Q1116=0,$R1116=-1),0,$Q1116*1000+$R1116*100+$K1116)</f>
        <v>0</v>
      </c>
      <c r="T1116" s="37" t="str">
        <f aca="false">IF($A1116="","",IF($B1116="","NO ACCOUNT",IF($Q1116=0,"UNMAPPED",IF($R1116=-1,"OUTSIDE FY RANGE","OK"))))</f>
        <v/>
      </c>
      <c r="U1116" s="40" t="str">
        <f aca="false">IF($A1116="","",$B1116&amp;"|"&amp;TEXT($A1116,"yyyymmdd")&amp;"|"&amp;TEXT($I1116,"0.00"))</f>
        <v/>
      </c>
      <c r="V1116" s="35" t="str">
        <f aca="false">IF($A1116="","",COUNTIF($U$8:$U$5007,$U1116))</f>
        <v/>
      </c>
    </row>
    <row r="1117" customFormat="false" ht="15" hidden="false" customHeight="false" outlineLevel="0" collapsed="false">
      <c r="A1117" s="31"/>
      <c r="B1117" s="32"/>
      <c r="C1117" s="32"/>
      <c r="D1117" s="32"/>
      <c r="E1117" s="32"/>
      <c r="F1117" s="32"/>
      <c r="G1117" s="33"/>
      <c r="H1117" s="33"/>
      <c r="I1117" s="34" t="str">
        <f aca="false">IF($A1117="","",$G1117-$H1117)</f>
        <v/>
      </c>
      <c r="J1117" s="35" t="str">
        <f aca="false">IF($A1117="","",IF(Setup!$B$6=1,YEAR($A1117),YEAR($A1117)+IF(MONTH($A1117)&gt;=Setup!$B$6,1,0)))</f>
        <v/>
      </c>
      <c r="K1117" s="35" t="str">
        <f aca="false">IF($A1117="","",MOD(MONTH($A1117)-Setup!$B$6+12,12)+1)</f>
        <v/>
      </c>
      <c r="L1117" s="36" t="str">
        <f aca="false">IF($A1117="","",TEXT($A1117,"MMM-YY"))</f>
        <v/>
      </c>
      <c r="M1117" s="37" t="str">
        <f aca="false">IF($A1117="","",IF($Q1117=0,"UNMAPPED",INDEX(COA_Mapping!$C$7:$C$256,$Q1117)))</f>
        <v/>
      </c>
      <c r="N1117" s="38" t="str">
        <f aca="false">IF($A1117="","",IF($Q1117=0,"",INDEX(COA_Mapping!$E$7:$E$256,$Q1117)))</f>
        <v/>
      </c>
      <c r="O1117" s="38" t="n">
        <f aca="false">IF($A1117="",1,IF($Q1117=0,1,INDEX(COA_Mapping!$F$7:$F$256,$Q1117)))</f>
        <v>1</v>
      </c>
      <c r="P1117" s="34" t="str">
        <f aca="false">IF($A1117="","",$I1117*$O1117)</f>
        <v/>
      </c>
      <c r="Q1117" s="39" t="n">
        <f aca="false">IF($B1117="",0,IFERROR(MATCH($B1117,COA_Mapping!$A$7:$A$256,0),0))</f>
        <v>0</v>
      </c>
      <c r="R1117" s="39" t="n">
        <f aca="false">IF($A1117="",-1,IF($J1117=Setup!$B$7,1,IF($J1117=Setup!$B$9,0,-1)))</f>
        <v>-1</v>
      </c>
      <c r="S1117" s="35" t="n">
        <f aca="false">IF(OR($A1117="",$Q1117=0,$R1117=-1),0,$Q1117*1000+$R1117*100+$K1117)</f>
        <v>0</v>
      </c>
      <c r="T1117" s="37" t="str">
        <f aca="false">IF($A1117="","",IF($B1117="","NO ACCOUNT",IF($Q1117=0,"UNMAPPED",IF($R1117=-1,"OUTSIDE FY RANGE","OK"))))</f>
        <v/>
      </c>
      <c r="U1117" s="40" t="str">
        <f aca="false">IF($A1117="","",$B1117&amp;"|"&amp;TEXT($A1117,"yyyymmdd")&amp;"|"&amp;TEXT($I1117,"0.00"))</f>
        <v/>
      </c>
      <c r="V1117" s="35" t="str">
        <f aca="false">IF($A1117="","",COUNTIF($U$8:$U$5007,$U1117))</f>
        <v/>
      </c>
    </row>
    <row r="1118" customFormat="false" ht="15" hidden="false" customHeight="false" outlineLevel="0" collapsed="false">
      <c r="A1118" s="31"/>
      <c r="B1118" s="32"/>
      <c r="C1118" s="32"/>
      <c r="D1118" s="32"/>
      <c r="E1118" s="32"/>
      <c r="F1118" s="32"/>
      <c r="G1118" s="33"/>
      <c r="H1118" s="33"/>
      <c r="I1118" s="34" t="str">
        <f aca="false">IF($A1118="","",$G1118-$H1118)</f>
        <v/>
      </c>
      <c r="J1118" s="35" t="str">
        <f aca="false">IF($A1118="","",IF(Setup!$B$6=1,YEAR($A1118),YEAR($A1118)+IF(MONTH($A1118)&gt;=Setup!$B$6,1,0)))</f>
        <v/>
      </c>
      <c r="K1118" s="35" t="str">
        <f aca="false">IF($A1118="","",MOD(MONTH($A1118)-Setup!$B$6+12,12)+1)</f>
        <v/>
      </c>
      <c r="L1118" s="36" t="str">
        <f aca="false">IF($A1118="","",TEXT($A1118,"MMM-YY"))</f>
        <v/>
      </c>
      <c r="M1118" s="37" t="str">
        <f aca="false">IF($A1118="","",IF($Q1118=0,"UNMAPPED",INDEX(COA_Mapping!$C$7:$C$256,$Q1118)))</f>
        <v/>
      </c>
      <c r="N1118" s="38" t="str">
        <f aca="false">IF($A1118="","",IF($Q1118=0,"",INDEX(COA_Mapping!$E$7:$E$256,$Q1118)))</f>
        <v/>
      </c>
      <c r="O1118" s="38" t="n">
        <f aca="false">IF($A1118="",1,IF($Q1118=0,1,INDEX(COA_Mapping!$F$7:$F$256,$Q1118)))</f>
        <v>1</v>
      </c>
      <c r="P1118" s="34" t="str">
        <f aca="false">IF($A1118="","",$I1118*$O1118)</f>
        <v/>
      </c>
      <c r="Q1118" s="39" t="n">
        <f aca="false">IF($B1118="",0,IFERROR(MATCH($B1118,COA_Mapping!$A$7:$A$256,0),0))</f>
        <v>0</v>
      </c>
      <c r="R1118" s="39" t="n">
        <f aca="false">IF($A1118="",-1,IF($J1118=Setup!$B$7,1,IF($J1118=Setup!$B$9,0,-1)))</f>
        <v>-1</v>
      </c>
      <c r="S1118" s="35" t="n">
        <f aca="false">IF(OR($A1118="",$Q1118=0,$R1118=-1),0,$Q1118*1000+$R1118*100+$K1118)</f>
        <v>0</v>
      </c>
      <c r="T1118" s="37" t="str">
        <f aca="false">IF($A1118="","",IF($B1118="","NO ACCOUNT",IF($Q1118=0,"UNMAPPED",IF($R1118=-1,"OUTSIDE FY RANGE","OK"))))</f>
        <v/>
      </c>
      <c r="U1118" s="40" t="str">
        <f aca="false">IF($A1118="","",$B1118&amp;"|"&amp;TEXT($A1118,"yyyymmdd")&amp;"|"&amp;TEXT($I1118,"0.00"))</f>
        <v/>
      </c>
      <c r="V1118" s="35" t="str">
        <f aca="false">IF($A1118="","",COUNTIF($U$8:$U$5007,$U1118))</f>
        <v/>
      </c>
    </row>
    <row r="1119" customFormat="false" ht="15" hidden="false" customHeight="false" outlineLevel="0" collapsed="false">
      <c r="A1119" s="31"/>
      <c r="B1119" s="32"/>
      <c r="C1119" s="32"/>
      <c r="D1119" s="32"/>
      <c r="E1119" s="32"/>
      <c r="F1119" s="32"/>
      <c r="G1119" s="33"/>
      <c r="H1119" s="33"/>
      <c r="I1119" s="34" t="str">
        <f aca="false">IF($A1119="","",$G1119-$H1119)</f>
        <v/>
      </c>
      <c r="J1119" s="35" t="str">
        <f aca="false">IF($A1119="","",IF(Setup!$B$6=1,YEAR($A1119),YEAR($A1119)+IF(MONTH($A1119)&gt;=Setup!$B$6,1,0)))</f>
        <v/>
      </c>
      <c r="K1119" s="35" t="str">
        <f aca="false">IF($A1119="","",MOD(MONTH($A1119)-Setup!$B$6+12,12)+1)</f>
        <v/>
      </c>
      <c r="L1119" s="36" t="str">
        <f aca="false">IF($A1119="","",TEXT($A1119,"MMM-YY"))</f>
        <v/>
      </c>
      <c r="M1119" s="37" t="str">
        <f aca="false">IF($A1119="","",IF($Q1119=0,"UNMAPPED",INDEX(COA_Mapping!$C$7:$C$256,$Q1119)))</f>
        <v/>
      </c>
      <c r="N1119" s="38" t="str">
        <f aca="false">IF($A1119="","",IF($Q1119=0,"",INDEX(COA_Mapping!$E$7:$E$256,$Q1119)))</f>
        <v/>
      </c>
      <c r="O1119" s="38" t="n">
        <f aca="false">IF($A1119="",1,IF($Q1119=0,1,INDEX(COA_Mapping!$F$7:$F$256,$Q1119)))</f>
        <v>1</v>
      </c>
      <c r="P1119" s="34" t="str">
        <f aca="false">IF($A1119="","",$I1119*$O1119)</f>
        <v/>
      </c>
      <c r="Q1119" s="39" t="n">
        <f aca="false">IF($B1119="",0,IFERROR(MATCH($B1119,COA_Mapping!$A$7:$A$256,0),0))</f>
        <v>0</v>
      </c>
      <c r="R1119" s="39" t="n">
        <f aca="false">IF($A1119="",-1,IF($J1119=Setup!$B$7,1,IF($J1119=Setup!$B$9,0,-1)))</f>
        <v>-1</v>
      </c>
      <c r="S1119" s="35" t="n">
        <f aca="false">IF(OR($A1119="",$Q1119=0,$R1119=-1),0,$Q1119*1000+$R1119*100+$K1119)</f>
        <v>0</v>
      </c>
      <c r="T1119" s="37" t="str">
        <f aca="false">IF($A1119="","",IF($B1119="","NO ACCOUNT",IF($Q1119=0,"UNMAPPED",IF($R1119=-1,"OUTSIDE FY RANGE","OK"))))</f>
        <v/>
      </c>
      <c r="U1119" s="40" t="str">
        <f aca="false">IF($A1119="","",$B1119&amp;"|"&amp;TEXT($A1119,"yyyymmdd")&amp;"|"&amp;TEXT($I1119,"0.00"))</f>
        <v/>
      </c>
      <c r="V1119" s="35" t="str">
        <f aca="false">IF($A1119="","",COUNTIF($U$8:$U$5007,$U1119))</f>
        <v/>
      </c>
    </row>
    <row r="1120" customFormat="false" ht="15" hidden="false" customHeight="false" outlineLevel="0" collapsed="false">
      <c r="A1120" s="31"/>
      <c r="B1120" s="32"/>
      <c r="C1120" s="32"/>
      <c r="D1120" s="32"/>
      <c r="E1120" s="32"/>
      <c r="F1120" s="32"/>
      <c r="G1120" s="33"/>
      <c r="H1120" s="33"/>
      <c r="I1120" s="34" t="str">
        <f aca="false">IF($A1120="","",$G1120-$H1120)</f>
        <v/>
      </c>
      <c r="J1120" s="35" t="str">
        <f aca="false">IF($A1120="","",IF(Setup!$B$6=1,YEAR($A1120),YEAR($A1120)+IF(MONTH($A1120)&gt;=Setup!$B$6,1,0)))</f>
        <v/>
      </c>
      <c r="K1120" s="35" t="str">
        <f aca="false">IF($A1120="","",MOD(MONTH($A1120)-Setup!$B$6+12,12)+1)</f>
        <v/>
      </c>
      <c r="L1120" s="36" t="str">
        <f aca="false">IF($A1120="","",TEXT($A1120,"MMM-YY"))</f>
        <v/>
      </c>
      <c r="M1120" s="37" t="str">
        <f aca="false">IF($A1120="","",IF($Q1120=0,"UNMAPPED",INDEX(COA_Mapping!$C$7:$C$256,$Q1120)))</f>
        <v/>
      </c>
      <c r="N1120" s="38" t="str">
        <f aca="false">IF($A1120="","",IF($Q1120=0,"",INDEX(COA_Mapping!$E$7:$E$256,$Q1120)))</f>
        <v/>
      </c>
      <c r="O1120" s="38" t="n">
        <f aca="false">IF($A1120="",1,IF($Q1120=0,1,INDEX(COA_Mapping!$F$7:$F$256,$Q1120)))</f>
        <v>1</v>
      </c>
      <c r="P1120" s="34" t="str">
        <f aca="false">IF($A1120="","",$I1120*$O1120)</f>
        <v/>
      </c>
      <c r="Q1120" s="39" t="n">
        <f aca="false">IF($B1120="",0,IFERROR(MATCH($B1120,COA_Mapping!$A$7:$A$256,0),0))</f>
        <v>0</v>
      </c>
      <c r="R1120" s="39" t="n">
        <f aca="false">IF($A1120="",-1,IF($J1120=Setup!$B$7,1,IF($J1120=Setup!$B$9,0,-1)))</f>
        <v>-1</v>
      </c>
      <c r="S1120" s="35" t="n">
        <f aca="false">IF(OR($A1120="",$Q1120=0,$R1120=-1),0,$Q1120*1000+$R1120*100+$K1120)</f>
        <v>0</v>
      </c>
      <c r="T1120" s="37" t="str">
        <f aca="false">IF($A1120="","",IF($B1120="","NO ACCOUNT",IF($Q1120=0,"UNMAPPED",IF($R1120=-1,"OUTSIDE FY RANGE","OK"))))</f>
        <v/>
      </c>
      <c r="U1120" s="40" t="str">
        <f aca="false">IF($A1120="","",$B1120&amp;"|"&amp;TEXT($A1120,"yyyymmdd")&amp;"|"&amp;TEXT($I1120,"0.00"))</f>
        <v/>
      </c>
      <c r="V1120" s="35" t="str">
        <f aca="false">IF($A1120="","",COUNTIF($U$8:$U$5007,$U1120))</f>
        <v/>
      </c>
    </row>
    <row r="1121" customFormat="false" ht="15" hidden="false" customHeight="false" outlineLevel="0" collapsed="false">
      <c r="A1121" s="31"/>
      <c r="B1121" s="32"/>
      <c r="C1121" s="32"/>
      <c r="D1121" s="32"/>
      <c r="E1121" s="32"/>
      <c r="F1121" s="32"/>
      <c r="G1121" s="33"/>
      <c r="H1121" s="33"/>
      <c r="I1121" s="34" t="str">
        <f aca="false">IF($A1121="","",$G1121-$H1121)</f>
        <v/>
      </c>
      <c r="J1121" s="35" t="str">
        <f aca="false">IF($A1121="","",IF(Setup!$B$6=1,YEAR($A1121),YEAR($A1121)+IF(MONTH($A1121)&gt;=Setup!$B$6,1,0)))</f>
        <v/>
      </c>
      <c r="K1121" s="35" t="str">
        <f aca="false">IF($A1121="","",MOD(MONTH($A1121)-Setup!$B$6+12,12)+1)</f>
        <v/>
      </c>
      <c r="L1121" s="36" t="str">
        <f aca="false">IF($A1121="","",TEXT($A1121,"MMM-YY"))</f>
        <v/>
      </c>
      <c r="M1121" s="37" t="str">
        <f aca="false">IF($A1121="","",IF($Q1121=0,"UNMAPPED",INDEX(COA_Mapping!$C$7:$C$256,$Q1121)))</f>
        <v/>
      </c>
      <c r="N1121" s="38" t="str">
        <f aca="false">IF($A1121="","",IF($Q1121=0,"",INDEX(COA_Mapping!$E$7:$E$256,$Q1121)))</f>
        <v/>
      </c>
      <c r="O1121" s="38" t="n">
        <f aca="false">IF($A1121="",1,IF($Q1121=0,1,INDEX(COA_Mapping!$F$7:$F$256,$Q1121)))</f>
        <v>1</v>
      </c>
      <c r="P1121" s="34" t="str">
        <f aca="false">IF($A1121="","",$I1121*$O1121)</f>
        <v/>
      </c>
      <c r="Q1121" s="39" t="n">
        <f aca="false">IF($B1121="",0,IFERROR(MATCH($B1121,COA_Mapping!$A$7:$A$256,0),0))</f>
        <v>0</v>
      </c>
      <c r="R1121" s="39" t="n">
        <f aca="false">IF($A1121="",-1,IF($J1121=Setup!$B$7,1,IF($J1121=Setup!$B$9,0,-1)))</f>
        <v>-1</v>
      </c>
      <c r="S1121" s="35" t="n">
        <f aca="false">IF(OR($A1121="",$Q1121=0,$R1121=-1),0,$Q1121*1000+$R1121*100+$K1121)</f>
        <v>0</v>
      </c>
      <c r="T1121" s="37" t="str">
        <f aca="false">IF($A1121="","",IF($B1121="","NO ACCOUNT",IF($Q1121=0,"UNMAPPED",IF($R1121=-1,"OUTSIDE FY RANGE","OK"))))</f>
        <v/>
      </c>
      <c r="U1121" s="40" t="str">
        <f aca="false">IF($A1121="","",$B1121&amp;"|"&amp;TEXT($A1121,"yyyymmdd")&amp;"|"&amp;TEXT($I1121,"0.00"))</f>
        <v/>
      </c>
      <c r="V1121" s="35" t="str">
        <f aca="false">IF($A1121="","",COUNTIF($U$8:$U$5007,$U1121))</f>
        <v/>
      </c>
    </row>
    <row r="1122" customFormat="false" ht="15" hidden="false" customHeight="false" outlineLevel="0" collapsed="false">
      <c r="A1122" s="31"/>
      <c r="B1122" s="32"/>
      <c r="C1122" s="32"/>
      <c r="D1122" s="32"/>
      <c r="E1122" s="32"/>
      <c r="F1122" s="32"/>
      <c r="G1122" s="33"/>
      <c r="H1122" s="33"/>
      <c r="I1122" s="34" t="str">
        <f aca="false">IF($A1122="","",$G1122-$H1122)</f>
        <v/>
      </c>
      <c r="J1122" s="35" t="str">
        <f aca="false">IF($A1122="","",IF(Setup!$B$6=1,YEAR($A1122),YEAR($A1122)+IF(MONTH($A1122)&gt;=Setup!$B$6,1,0)))</f>
        <v/>
      </c>
      <c r="K1122" s="35" t="str">
        <f aca="false">IF($A1122="","",MOD(MONTH($A1122)-Setup!$B$6+12,12)+1)</f>
        <v/>
      </c>
      <c r="L1122" s="36" t="str">
        <f aca="false">IF($A1122="","",TEXT($A1122,"MMM-YY"))</f>
        <v/>
      </c>
      <c r="M1122" s="37" t="str">
        <f aca="false">IF($A1122="","",IF($Q1122=0,"UNMAPPED",INDEX(COA_Mapping!$C$7:$C$256,$Q1122)))</f>
        <v/>
      </c>
      <c r="N1122" s="38" t="str">
        <f aca="false">IF($A1122="","",IF($Q1122=0,"",INDEX(COA_Mapping!$E$7:$E$256,$Q1122)))</f>
        <v/>
      </c>
      <c r="O1122" s="38" t="n">
        <f aca="false">IF($A1122="",1,IF($Q1122=0,1,INDEX(COA_Mapping!$F$7:$F$256,$Q1122)))</f>
        <v>1</v>
      </c>
      <c r="P1122" s="34" t="str">
        <f aca="false">IF($A1122="","",$I1122*$O1122)</f>
        <v/>
      </c>
      <c r="Q1122" s="39" t="n">
        <f aca="false">IF($B1122="",0,IFERROR(MATCH($B1122,COA_Mapping!$A$7:$A$256,0),0))</f>
        <v>0</v>
      </c>
      <c r="R1122" s="39" t="n">
        <f aca="false">IF($A1122="",-1,IF($J1122=Setup!$B$7,1,IF($J1122=Setup!$B$9,0,-1)))</f>
        <v>-1</v>
      </c>
      <c r="S1122" s="35" t="n">
        <f aca="false">IF(OR($A1122="",$Q1122=0,$R1122=-1),0,$Q1122*1000+$R1122*100+$K1122)</f>
        <v>0</v>
      </c>
      <c r="T1122" s="37" t="str">
        <f aca="false">IF($A1122="","",IF($B1122="","NO ACCOUNT",IF($Q1122=0,"UNMAPPED",IF($R1122=-1,"OUTSIDE FY RANGE","OK"))))</f>
        <v/>
      </c>
      <c r="U1122" s="40" t="str">
        <f aca="false">IF($A1122="","",$B1122&amp;"|"&amp;TEXT($A1122,"yyyymmdd")&amp;"|"&amp;TEXT($I1122,"0.00"))</f>
        <v/>
      </c>
      <c r="V1122" s="35" t="str">
        <f aca="false">IF($A1122="","",COUNTIF($U$8:$U$5007,$U1122))</f>
        <v/>
      </c>
    </row>
    <row r="1123" customFormat="false" ht="15" hidden="false" customHeight="false" outlineLevel="0" collapsed="false">
      <c r="A1123" s="31"/>
      <c r="B1123" s="32"/>
      <c r="C1123" s="32"/>
      <c r="D1123" s="32"/>
      <c r="E1123" s="32"/>
      <c r="F1123" s="32"/>
      <c r="G1123" s="33"/>
      <c r="H1123" s="33"/>
      <c r="I1123" s="34" t="str">
        <f aca="false">IF($A1123="","",$G1123-$H1123)</f>
        <v/>
      </c>
      <c r="J1123" s="35" t="str">
        <f aca="false">IF($A1123="","",IF(Setup!$B$6=1,YEAR($A1123),YEAR($A1123)+IF(MONTH($A1123)&gt;=Setup!$B$6,1,0)))</f>
        <v/>
      </c>
      <c r="K1123" s="35" t="str">
        <f aca="false">IF($A1123="","",MOD(MONTH($A1123)-Setup!$B$6+12,12)+1)</f>
        <v/>
      </c>
      <c r="L1123" s="36" t="str">
        <f aca="false">IF($A1123="","",TEXT($A1123,"MMM-YY"))</f>
        <v/>
      </c>
      <c r="M1123" s="37" t="str">
        <f aca="false">IF($A1123="","",IF($Q1123=0,"UNMAPPED",INDEX(COA_Mapping!$C$7:$C$256,$Q1123)))</f>
        <v/>
      </c>
      <c r="N1123" s="38" t="str">
        <f aca="false">IF($A1123="","",IF($Q1123=0,"",INDEX(COA_Mapping!$E$7:$E$256,$Q1123)))</f>
        <v/>
      </c>
      <c r="O1123" s="38" t="n">
        <f aca="false">IF($A1123="",1,IF($Q1123=0,1,INDEX(COA_Mapping!$F$7:$F$256,$Q1123)))</f>
        <v>1</v>
      </c>
      <c r="P1123" s="34" t="str">
        <f aca="false">IF($A1123="","",$I1123*$O1123)</f>
        <v/>
      </c>
      <c r="Q1123" s="39" t="n">
        <f aca="false">IF($B1123="",0,IFERROR(MATCH($B1123,COA_Mapping!$A$7:$A$256,0),0))</f>
        <v>0</v>
      </c>
      <c r="R1123" s="39" t="n">
        <f aca="false">IF($A1123="",-1,IF($J1123=Setup!$B$7,1,IF($J1123=Setup!$B$9,0,-1)))</f>
        <v>-1</v>
      </c>
      <c r="S1123" s="35" t="n">
        <f aca="false">IF(OR($A1123="",$Q1123=0,$R1123=-1),0,$Q1123*1000+$R1123*100+$K1123)</f>
        <v>0</v>
      </c>
      <c r="T1123" s="37" t="str">
        <f aca="false">IF($A1123="","",IF($B1123="","NO ACCOUNT",IF($Q1123=0,"UNMAPPED",IF($R1123=-1,"OUTSIDE FY RANGE","OK"))))</f>
        <v/>
      </c>
      <c r="U1123" s="40" t="str">
        <f aca="false">IF($A1123="","",$B1123&amp;"|"&amp;TEXT($A1123,"yyyymmdd")&amp;"|"&amp;TEXT($I1123,"0.00"))</f>
        <v/>
      </c>
      <c r="V1123" s="35" t="str">
        <f aca="false">IF($A1123="","",COUNTIF($U$8:$U$5007,$U1123))</f>
        <v/>
      </c>
    </row>
    <row r="1124" customFormat="false" ht="15" hidden="false" customHeight="false" outlineLevel="0" collapsed="false">
      <c r="A1124" s="31"/>
      <c r="B1124" s="32"/>
      <c r="C1124" s="32"/>
      <c r="D1124" s="32"/>
      <c r="E1124" s="32"/>
      <c r="F1124" s="32"/>
      <c r="G1124" s="33"/>
      <c r="H1124" s="33"/>
      <c r="I1124" s="34" t="str">
        <f aca="false">IF($A1124="","",$G1124-$H1124)</f>
        <v/>
      </c>
      <c r="J1124" s="35" t="str">
        <f aca="false">IF($A1124="","",IF(Setup!$B$6=1,YEAR($A1124),YEAR($A1124)+IF(MONTH($A1124)&gt;=Setup!$B$6,1,0)))</f>
        <v/>
      </c>
      <c r="K1124" s="35" t="str">
        <f aca="false">IF($A1124="","",MOD(MONTH($A1124)-Setup!$B$6+12,12)+1)</f>
        <v/>
      </c>
      <c r="L1124" s="36" t="str">
        <f aca="false">IF($A1124="","",TEXT($A1124,"MMM-YY"))</f>
        <v/>
      </c>
      <c r="M1124" s="37" t="str">
        <f aca="false">IF($A1124="","",IF($Q1124=0,"UNMAPPED",INDEX(COA_Mapping!$C$7:$C$256,$Q1124)))</f>
        <v/>
      </c>
      <c r="N1124" s="38" t="str">
        <f aca="false">IF($A1124="","",IF($Q1124=0,"",INDEX(COA_Mapping!$E$7:$E$256,$Q1124)))</f>
        <v/>
      </c>
      <c r="O1124" s="38" t="n">
        <f aca="false">IF($A1124="",1,IF($Q1124=0,1,INDEX(COA_Mapping!$F$7:$F$256,$Q1124)))</f>
        <v>1</v>
      </c>
      <c r="P1124" s="34" t="str">
        <f aca="false">IF($A1124="","",$I1124*$O1124)</f>
        <v/>
      </c>
      <c r="Q1124" s="39" t="n">
        <f aca="false">IF($B1124="",0,IFERROR(MATCH($B1124,COA_Mapping!$A$7:$A$256,0),0))</f>
        <v>0</v>
      </c>
      <c r="R1124" s="39" t="n">
        <f aca="false">IF($A1124="",-1,IF($J1124=Setup!$B$7,1,IF($J1124=Setup!$B$9,0,-1)))</f>
        <v>-1</v>
      </c>
      <c r="S1124" s="35" t="n">
        <f aca="false">IF(OR($A1124="",$Q1124=0,$R1124=-1),0,$Q1124*1000+$R1124*100+$K1124)</f>
        <v>0</v>
      </c>
      <c r="T1124" s="37" t="str">
        <f aca="false">IF($A1124="","",IF($B1124="","NO ACCOUNT",IF($Q1124=0,"UNMAPPED",IF($R1124=-1,"OUTSIDE FY RANGE","OK"))))</f>
        <v/>
      </c>
      <c r="U1124" s="40" t="str">
        <f aca="false">IF($A1124="","",$B1124&amp;"|"&amp;TEXT($A1124,"yyyymmdd")&amp;"|"&amp;TEXT($I1124,"0.00"))</f>
        <v/>
      </c>
      <c r="V1124" s="35" t="str">
        <f aca="false">IF($A1124="","",COUNTIF($U$8:$U$5007,$U1124))</f>
        <v/>
      </c>
    </row>
    <row r="1125" customFormat="false" ht="15" hidden="false" customHeight="false" outlineLevel="0" collapsed="false">
      <c r="A1125" s="31"/>
      <c r="B1125" s="32"/>
      <c r="C1125" s="32"/>
      <c r="D1125" s="32"/>
      <c r="E1125" s="32"/>
      <c r="F1125" s="32"/>
      <c r="G1125" s="33"/>
      <c r="H1125" s="33"/>
      <c r="I1125" s="34" t="str">
        <f aca="false">IF($A1125="","",$G1125-$H1125)</f>
        <v/>
      </c>
      <c r="J1125" s="35" t="str">
        <f aca="false">IF($A1125="","",IF(Setup!$B$6=1,YEAR($A1125),YEAR($A1125)+IF(MONTH($A1125)&gt;=Setup!$B$6,1,0)))</f>
        <v/>
      </c>
      <c r="K1125" s="35" t="str">
        <f aca="false">IF($A1125="","",MOD(MONTH($A1125)-Setup!$B$6+12,12)+1)</f>
        <v/>
      </c>
      <c r="L1125" s="36" t="str">
        <f aca="false">IF($A1125="","",TEXT($A1125,"MMM-YY"))</f>
        <v/>
      </c>
      <c r="M1125" s="37" t="str">
        <f aca="false">IF($A1125="","",IF($Q1125=0,"UNMAPPED",INDEX(COA_Mapping!$C$7:$C$256,$Q1125)))</f>
        <v/>
      </c>
      <c r="N1125" s="38" t="str">
        <f aca="false">IF($A1125="","",IF($Q1125=0,"",INDEX(COA_Mapping!$E$7:$E$256,$Q1125)))</f>
        <v/>
      </c>
      <c r="O1125" s="38" t="n">
        <f aca="false">IF($A1125="",1,IF($Q1125=0,1,INDEX(COA_Mapping!$F$7:$F$256,$Q1125)))</f>
        <v>1</v>
      </c>
      <c r="P1125" s="34" t="str">
        <f aca="false">IF($A1125="","",$I1125*$O1125)</f>
        <v/>
      </c>
      <c r="Q1125" s="39" t="n">
        <f aca="false">IF($B1125="",0,IFERROR(MATCH($B1125,COA_Mapping!$A$7:$A$256,0),0))</f>
        <v>0</v>
      </c>
      <c r="R1125" s="39" t="n">
        <f aca="false">IF($A1125="",-1,IF($J1125=Setup!$B$7,1,IF($J1125=Setup!$B$9,0,-1)))</f>
        <v>-1</v>
      </c>
      <c r="S1125" s="35" t="n">
        <f aca="false">IF(OR($A1125="",$Q1125=0,$R1125=-1),0,$Q1125*1000+$R1125*100+$K1125)</f>
        <v>0</v>
      </c>
      <c r="T1125" s="37" t="str">
        <f aca="false">IF($A1125="","",IF($B1125="","NO ACCOUNT",IF($Q1125=0,"UNMAPPED",IF($R1125=-1,"OUTSIDE FY RANGE","OK"))))</f>
        <v/>
      </c>
      <c r="U1125" s="40" t="str">
        <f aca="false">IF($A1125="","",$B1125&amp;"|"&amp;TEXT($A1125,"yyyymmdd")&amp;"|"&amp;TEXT($I1125,"0.00"))</f>
        <v/>
      </c>
      <c r="V1125" s="35" t="str">
        <f aca="false">IF($A1125="","",COUNTIF($U$8:$U$5007,$U1125))</f>
        <v/>
      </c>
    </row>
    <row r="1126" customFormat="false" ht="15" hidden="false" customHeight="false" outlineLevel="0" collapsed="false">
      <c r="A1126" s="31"/>
      <c r="B1126" s="32"/>
      <c r="C1126" s="32"/>
      <c r="D1126" s="32"/>
      <c r="E1126" s="32"/>
      <c r="F1126" s="32"/>
      <c r="G1126" s="33"/>
      <c r="H1126" s="33"/>
      <c r="I1126" s="34" t="str">
        <f aca="false">IF($A1126="","",$G1126-$H1126)</f>
        <v/>
      </c>
      <c r="J1126" s="35" t="str">
        <f aca="false">IF($A1126="","",IF(Setup!$B$6=1,YEAR($A1126),YEAR($A1126)+IF(MONTH($A1126)&gt;=Setup!$B$6,1,0)))</f>
        <v/>
      </c>
      <c r="K1126" s="35" t="str">
        <f aca="false">IF($A1126="","",MOD(MONTH($A1126)-Setup!$B$6+12,12)+1)</f>
        <v/>
      </c>
      <c r="L1126" s="36" t="str">
        <f aca="false">IF($A1126="","",TEXT($A1126,"MMM-YY"))</f>
        <v/>
      </c>
      <c r="M1126" s="37" t="str">
        <f aca="false">IF($A1126="","",IF($Q1126=0,"UNMAPPED",INDEX(COA_Mapping!$C$7:$C$256,$Q1126)))</f>
        <v/>
      </c>
      <c r="N1126" s="38" t="str">
        <f aca="false">IF($A1126="","",IF($Q1126=0,"",INDEX(COA_Mapping!$E$7:$E$256,$Q1126)))</f>
        <v/>
      </c>
      <c r="O1126" s="38" t="n">
        <f aca="false">IF($A1126="",1,IF($Q1126=0,1,INDEX(COA_Mapping!$F$7:$F$256,$Q1126)))</f>
        <v>1</v>
      </c>
      <c r="P1126" s="34" t="str">
        <f aca="false">IF($A1126="","",$I1126*$O1126)</f>
        <v/>
      </c>
      <c r="Q1126" s="39" t="n">
        <f aca="false">IF($B1126="",0,IFERROR(MATCH($B1126,COA_Mapping!$A$7:$A$256,0),0))</f>
        <v>0</v>
      </c>
      <c r="R1126" s="39" t="n">
        <f aca="false">IF($A1126="",-1,IF($J1126=Setup!$B$7,1,IF($J1126=Setup!$B$9,0,-1)))</f>
        <v>-1</v>
      </c>
      <c r="S1126" s="35" t="n">
        <f aca="false">IF(OR($A1126="",$Q1126=0,$R1126=-1),0,$Q1126*1000+$R1126*100+$K1126)</f>
        <v>0</v>
      </c>
      <c r="T1126" s="37" t="str">
        <f aca="false">IF($A1126="","",IF($B1126="","NO ACCOUNT",IF($Q1126=0,"UNMAPPED",IF($R1126=-1,"OUTSIDE FY RANGE","OK"))))</f>
        <v/>
      </c>
      <c r="U1126" s="40" t="str">
        <f aca="false">IF($A1126="","",$B1126&amp;"|"&amp;TEXT($A1126,"yyyymmdd")&amp;"|"&amp;TEXT($I1126,"0.00"))</f>
        <v/>
      </c>
      <c r="V1126" s="35" t="str">
        <f aca="false">IF($A1126="","",COUNTIF($U$8:$U$5007,$U1126))</f>
        <v/>
      </c>
    </row>
    <row r="1127" customFormat="false" ht="15" hidden="false" customHeight="false" outlineLevel="0" collapsed="false">
      <c r="A1127" s="31"/>
      <c r="B1127" s="32"/>
      <c r="C1127" s="32"/>
      <c r="D1127" s="32"/>
      <c r="E1127" s="32"/>
      <c r="F1127" s="32"/>
      <c r="G1127" s="33"/>
      <c r="H1127" s="33"/>
      <c r="I1127" s="34" t="str">
        <f aca="false">IF($A1127="","",$G1127-$H1127)</f>
        <v/>
      </c>
      <c r="J1127" s="35" t="str">
        <f aca="false">IF($A1127="","",IF(Setup!$B$6=1,YEAR($A1127),YEAR($A1127)+IF(MONTH($A1127)&gt;=Setup!$B$6,1,0)))</f>
        <v/>
      </c>
      <c r="K1127" s="35" t="str">
        <f aca="false">IF($A1127="","",MOD(MONTH($A1127)-Setup!$B$6+12,12)+1)</f>
        <v/>
      </c>
      <c r="L1127" s="36" t="str">
        <f aca="false">IF($A1127="","",TEXT($A1127,"MMM-YY"))</f>
        <v/>
      </c>
      <c r="M1127" s="37" t="str">
        <f aca="false">IF($A1127="","",IF($Q1127=0,"UNMAPPED",INDEX(COA_Mapping!$C$7:$C$256,$Q1127)))</f>
        <v/>
      </c>
      <c r="N1127" s="38" t="str">
        <f aca="false">IF($A1127="","",IF($Q1127=0,"",INDEX(COA_Mapping!$E$7:$E$256,$Q1127)))</f>
        <v/>
      </c>
      <c r="O1127" s="38" t="n">
        <f aca="false">IF($A1127="",1,IF($Q1127=0,1,INDEX(COA_Mapping!$F$7:$F$256,$Q1127)))</f>
        <v>1</v>
      </c>
      <c r="P1127" s="34" t="str">
        <f aca="false">IF($A1127="","",$I1127*$O1127)</f>
        <v/>
      </c>
      <c r="Q1127" s="39" t="n">
        <f aca="false">IF($B1127="",0,IFERROR(MATCH($B1127,COA_Mapping!$A$7:$A$256,0),0))</f>
        <v>0</v>
      </c>
      <c r="R1127" s="39" t="n">
        <f aca="false">IF($A1127="",-1,IF($J1127=Setup!$B$7,1,IF($J1127=Setup!$B$9,0,-1)))</f>
        <v>-1</v>
      </c>
      <c r="S1127" s="35" t="n">
        <f aca="false">IF(OR($A1127="",$Q1127=0,$R1127=-1),0,$Q1127*1000+$R1127*100+$K1127)</f>
        <v>0</v>
      </c>
      <c r="T1127" s="37" t="str">
        <f aca="false">IF($A1127="","",IF($B1127="","NO ACCOUNT",IF($Q1127=0,"UNMAPPED",IF($R1127=-1,"OUTSIDE FY RANGE","OK"))))</f>
        <v/>
      </c>
      <c r="U1127" s="40" t="str">
        <f aca="false">IF($A1127="","",$B1127&amp;"|"&amp;TEXT($A1127,"yyyymmdd")&amp;"|"&amp;TEXT($I1127,"0.00"))</f>
        <v/>
      </c>
      <c r="V1127" s="35" t="str">
        <f aca="false">IF($A1127="","",COUNTIF($U$8:$U$5007,$U1127))</f>
        <v/>
      </c>
    </row>
    <row r="1128" customFormat="false" ht="15" hidden="false" customHeight="false" outlineLevel="0" collapsed="false">
      <c r="A1128" s="31"/>
      <c r="B1128" s="32"/>
      <c r="C1128" s="32"/>
      <c r="D1128" s="32"/>
      <c r="E1128" s="32"/>
      <c r="F1128" s="32"/>
      <c r="G1128" s="33"/>
      <c r="H1128" s="33"/>
      <c r="I1128" s="34" t="str">
        <f aca="false">IF($A1128="","",$G1128-$H1128)</f>
        <v/>
      </c>
      <c r="J1128" s="35" t="str">
        <f aca="false">IF($A1128="","",IF(Setup!$B$6=1,YEAR($A1128),YEAR($A1128)+IF(MONTH($A1128)&gt;=Setup!$B$6,1,0)))</f>
        <v/>
      </c>
      <c r="K1128" s="35" t="str">
        <f aca="false">IF($A1128="","",MOD(MONTH($A1128)-Setup!$B$6+12,12)+1)</f>
        <v/>
      </c>
      <c r="L1128" s="36" t="str">
        <f aca="false">IF($A1128="","",TEXT($A1128,"MMM-YY"))</f>
        <v/>
      </c>
      <c r="M1128" s="37" t="str">
        <f aca="false">IF($A1128="","",IF($Q1128=0,"UNMAPPED",INDEX(COA_Mapping!$C$7:$C$256,$Q1128)))</f>
        <v/>
      </c>
      <c r="N1128" s="38" t="str">
        <f aca="false">IF($A1128="","",IF($Q1128=0,"",INDEX(COA_Mapping!$E$7:$E$256,$Q1128)))</f>
        <v/>
      </c>
      <c r="O1128" s="38" t="n">
        <f aca="false">IF($A1128="",1,IF($Q1128=0,1,INDEX(COA_Mapping!$F$7:$F$256,$Q1128)))</f>
        <v>1</v>
      </c>
      <c r="P1128" s="34" t="str">
        <f aca="false">IF($A1128="","",$I1128*$O1128)</f>
        <v/>
      </c>
      <c r="Q1128" s="39" t="n">
        <f aca="false">IF($B1128="",0,IFERROR(MATCH($B1128,COA_Mapping!$A$7:$A$256,0),0))</f>
        <v>0</v>
      </c>
      <c r="R1128" s="39" t="n">
        <f aca="false">IF($A1128="",-1,IF($J1128=Setup!$B$7,1,IF($J1128=Setup!$B$9,0,-1)))</f>
        <v>-1</v>
      </c>
      <c r="S1128" s="35" t="n">
        <f aca="false">IF(OR($A1128="",$Q1128=0,$R1128=-1),0,$Q1128*1000+$R1128*100+$K1128)</f>
        <v>0</v>
      </c>
      <c r="T1128" s="37" t="str">
        <f aca="false">IF($A1128="","",IF($B1128="","NO ACCOUNT",IF($Q1128=0,"UNMAPPED",IF($R1128=-1,"OUTSIDE FY RANGE","OK"))))</f>
        <v/>
      </c>
      <c r="U1128" s="40" t="str">
        <f aca="false">IF($A1128="","",$B1128&amp;"|"&amp;TEXT($A1128,"yyyymmdd")&amp;"|"&amp;TEXT($I1128,"0.00"))</f>
        <v/>
      </c>
      <c r="V1128" s="35" t="str">
        <f aca="false">IF($A1128="","",COUNTIF($U$8:$U$5007,$U1128))</f>
        <v/>
      </c>
    </row>
    <row r="1129" customFormat="false" ht="15" hidden="false" customHeight="false" outlineLevel="0" collapsed="false">
      <c r="A1129" s="31"/>
      <c r="B1129" s="32"/>
      <c r="C1129" s="32"/>
      <c r="D1129" s="32"/>
      <c r="E1129" s="32"/>
      <c r="F1129" s="32"/>
      <c r="G1129" s="33"/>
      <c r="H1129" s="33"/>
      <c r="I1129" s="34" t="str">
        <f aca="false">IF($A1129="","",$G1129-$H1129)</f>
        <v/>
      </c>
      <c r="J1129" s="35" t="str">
        <f aca="false">IF($A1129="","",IF(Setup!$B$6=1,YEAR($A1129),YEAR($A1129)+IF(MONTH($A1129)&gt;=Setup!$B$6,1,0)))</f>
        <v/>
      </c>
      <c r="K1129" s="35" t="str">
        <f aca="false">IF($A1129="","",MOD(MONTH($A1129)-Setup!$B$6+12,12)+1)</f>
        <v/>
      </c>
      <c r="L1129" s="36" t="str">
        <f aca="false">IF($A1129="","",TEXT($A1129,"MMM-YY"))</f>
        <v/>
      </c>
      <c r="M1129" s="37" t="str">
        <f aca="false">IF($A1129="","",IF($Q1129=0,"UNMAPPED",INDEX(COA_Mapping!$C$7:$C$256,$Q1129)))</f>
        <v/>
      </c>
      <c r="N1129" s="38" t="str">
        <f aca="false">IF($A1129="","",IF($Q1129=0,"",INDEX(COA_Mapping!$E$7:$E$256,$Q1129)))</f>
        <v/>
      </c>
      <c r="O1129" s="38" t="n">
        <f aca="false">IF($A1129="",1,IF($Q1129=0,1,INDEX(COA_Mapping!$F$7:$F$256,$Q1129)))</f>
        <v>1</v>
      </c>
      <c r="P1129" s="34" t="str">
        <f aca="false">IF($A1129="","",$I1129*$O1129)</f>
        <v/>
      </c>
      <c r="Q1129" s="39" t="n">
        <f aca="false">IF($B1129="",0,IFERROR(MATCH($B1129,COA_Mapping!$A$7:$A$256,0),0))</f>
        <v>0</v>
      </c>
      <c r="R1129" s="39" t="n">
        <f aca="false">IF($A1129="",-1,IF($J1129=Setup!$B$7,1,IF($J1129=Setup!$B$9,0,-1)))</f>
        <v>-1</v>
      </c>
      <c r="S1129" s="35" t="n">
        <f aca="false">IF(OR($A1129="",$Q1129=0,$R1129=-1),0,$Q1129*1000+$R1129*100+$K1129)</f>
        <v>0</v>
      </c>
      <c r="T1129" s="37" t="str">
        <f aca="false">IF($A1129="","",IF($B1129="","NO ACCOUNT",IF($Q1129=0,"UNMAPPED",IF($R1129=-1,"OUTSIDE FY RANGE","OK"))))</f>
        <v/>
      </c>
      <c r="U1129" s="40" t="str">
        <f aca="false">IF($A1129="","",$B1129&amp;"|"&amp;TEXT($A1129,"yyyymmdd")&amp;"|"&amp;TEXT($I1129,"0.00"))</f>
        <v/>
      </c>
      <c r="V1129" s="35" t="str">
        <f aca="false">IF($A1129="","",COUNTIF($U$8:$U$5007,$U1129))</f>
        <v/>
      </c>
    </row>
    <row r="1130" customFormat="false" ht="15" hidden="false" customHeight="false" outlineLevel="0" collapsed="false">
      <c r="A1130" s="31"/>
      <c r="B1130" s="32"/>
      <c r="C1130" s="32"/>
      <c r="D1130" s="32"/>
      <c r="E1130" s="32"/>
      <c r="F1130" s="32"/>
      <c r="G1130" s="33"/>
      <c r="H1130" s="33"/>
      <c r="I1130" s="34" t="str">
        <f aca="false">IF($A1130="","",$G1130-$H1130)</f>
        <v/>
      </c>
      <c r="J1130" s="35" t="str">
        <f aca="false">IF($A1130="","",IF(Setup!$B$6=1,YEAR($A1130),YEAR($A1130)+IF(MONTH($A1130)&gt;=Setup!$B$6,1,0)))</f>
        <v/>
      </c>
      <c r="K1130" s="35" t="str">
        <f aca="false">IF($A1130="","",MOD(MONTH($A1130)-Setup!$B$6+12,12)+1)</f>
        <v/>
      </c>
      <c r="L1130" s="36" t="str">
        <f aca="false">IF($A1130="","",TEXT($A1130,"MMM-YY"))</f>
        <v/>
      </c>
      <c r="M1130" s="37" t="str">
        <f aca="false">IF($A1130="","",IF($Q1130=0,"UNMAPPED",INDEX(COA_Mapping!$C$7:$C$256,$Q1130)))</f>
        <v/>
      </c>
      <c r="N1130" s="38" t="str">
        <f aca="false">IF($A1130="","",IF($Q1130=0,"",INDEX(COA_Mapping!$E$7:$E$256,$Q1130)))</f>
        <v/>
      </c>
      <c r="O1130" s="38" t="n">
        <f aca="false">IF($A1130="",1,IF($Q1130=0,1,INDEX(COA_Mapping!$F$7:$F$256,$Q1130)))</f>
        <v>1</v>
      </c>
      <c r="P1130" s="34" t="str">
        <f aca="false">IF($A1130="","",$I1130*$O1130)</f>
        <v/>
      </c>
      <c r="Q1130" s="39" t="n">
        <f aca="false">IF($B1130="",0,IFERROR(MATCH($B1130,COA_Mapping!$A$7:$A$256,0),0))</f>
        <v>0</v>
      </c>
      <c r="R1130" s="39" t="n">
        <f aca="false">IF($A1130="",-1,IF($J1130=Setup!$B$7,1,IF($J1130=Setup!$B$9,0,-1)))</f>
        <v>-1</v>
      </c>
      <c r="S1130" s="35" t="n">
        <f aca="false">IF(OR($A1130="",$Q1130=0,$R1130=-1),0,$Q1130*1000+$R1130*100+$K1130)</f>
        <v>0</v>
      </c>
      <c r="T1130" s="37" t="str">
        <f aca="false">IF($A1130="","",IF($B1130="","NO ACCOUNT",IF($Q1130=0,"UNMAPPED",IF($R1130=-1,"OUTSIDE FY RANGE","OK"))))</f>
        <v/>
      </c>
      <c r="U1130" s="40" t="str">
        <f aca="false">IF($A1130="","",$B1130&amp;"|"&amp;TEXT($A1130,"yyyymmdd")&amp;"|"&amp;TEXT($I1130,"0.00"))</f>
        <v/>
      </c>
      <c r="V1130" s="35" t="str">
        <f aca="false">IF($A1130="","",COUNTIF($U$8:$U$5007,$U1130))</f>
        <v/>
      </c>
    </row>
    <row r="1131" customFormat="false" ht="15" hidden="false" customHeight="false" outlineLevel="0" collapsed="false">
      <c r="A1131" s="31"/>
      <c r="B1131" s="32"/>
      <c r="C1131" s="32"/>
      <c r="D1131" s="32"/>
      <c r="E1131" s="32"/>
      <c r="F1131" s="32"/>
      <c r="G1131" s="33"/>
      <c r="H1131" s="33"/>
      <c r="I1131" s="34" t="str">
        <f aca="false">IF($A1131="","",$G1131-$H1131)</f>
        <v/>
      </c>
      <c r="J1131" s="35" t="str">
        <f aca="false">IF($A1131="","",IF(Setup!$B$6=1,YEAR($A1131),YEAR($A1131)+IF(MONTH($A1131)&gt;=Setup!$B$6,1,0)))</f>
        <v/>
      </c>
      <c r="K1131" s="35" t="str">
        <f aca="false">IF($A1131="","",MOD(MONTH($A1131)-Setup!$B$6+12,12)+1)</f>
        <v/>
      </c>
      <c r="L1131" s="36" t="str">
        <f aca="false">IF($A1131="","",TEXT($A1131,"MMM-YY"))</f>
        <v/>
      </c>
      <c r="M1131" s="37" t="str">
        <f aca="false">IF($A1131="","",IF($Q1131=0,"UNMAPPED",INDEX(COA_Mapping!$C$7:$C$256,$Q1131)))</f>
        <v/>
      </c>
      <c r="N1131" s="38" t="str">
        <f aca="false">IF($A1131="","",IF($Q1131=0,"",INDEX(COA_Mapping!$E$7:$E$256,$Q1131)))</f>
        <v/>
      </c>
      <c r="O1131" s="38" t="n">
        <f aca="false">IF($A1131="",1,IF($Q1131=0,1,INDEX(COA_Mapping!$F$7:$F$256,$Q1131)))</f>
        <v>1</v>
      </c>
      <c r="P1131" s="34" t="str">
        <f aca="false">IF($A1131="","",$I1131*$O1131)</f>
        <v/>
      </c>
      <c r="Q1131" s="39" t="n">
        <f aca="false">IF($B1131="",0,IFERROR(MATCH($B1131,COA_Mapping!$A$7:$A$256,0),0))</f>
        <v>0</v>
      </c>
      <c r="R1131" s="39" t="n">
        <f aca="false">IF($A1131="",-1,IF($J1131=Setup!$B$7,1,IF($J1131=Setup!$B$9,0,-1)))</f>
        <v>-1</v>
      </c>
      <c r="S1131" s="35" t="n">
        <f aca="false">IF(OR($A1131="",$Q1131=0,$R1131=-1),0,$Q1131*1000+$R1131*100+$K1131)</f>
        <v>0</v>
      </c>
      <c r="T1131" s="37" t="str">
        <f aca="false">IF($A1131="","",IF($B1131="","NO ACCOUNT",IF($Q1131=0,"UNMAPPED",IF($R1131=-1,"OUTSIDE FY RANGE","OK"))))</f>
        <v/>
      </c>
      <c r="U1131" s="40" t="str">
        <f aca="false">IF($A1131="","",$B1131&amp;"|"&amp;TEXT($A1131,"yyyymmdd")&amp;"|"&amp;TEXT($I1131,"0.00"))</f>
        <v/>
      </c>
      <c r="V1131" s="35" t="str">
        <f aca="false">IF($A1131="","",COUNTIF($U$8:$U$5007,$U1131))</f>
        <v/>
      </c>
    </row>
    <row r="1132" customFormat="false" ht="15" hidden="false" customHeight="false" outlineLevel="0" collapsed="false">
      <c r="A1132" s="31"/>
      <c r="B1132" s="32"/>
      <c r="C1132" s="32"/>
      <c r="D1132" s="32"/>
      <c r="E1132" s="32"/>
      <c r="F1132" s="32"/>
      <c r="G1132" s="33"/>
      <c r="H1132" s="33"/>
      <c r="I1132" s="34" t="str">
        <f aca="false">IF($A1132="","",$G1132-$H1132)</f>
        <v/>
      </c>
      <c r="J1132" s="35" t="str">
        <f aca="false">IF($A1132="","",IF(Setup!$B$6=1,YEAR($A1132),YEAR($A1132)+IF(MONTH($A1132)&gt;=Setup!$B$6,1,0)))</f>
        <v/>
      </c>
      <c r="K1132" s="35" t="str">
        <f aca="false">IF($A1132="","",MOD(MONTH($A1132)-Setup!$B$6+12,12)+1)</f>
        <v/>
      </c>
      <c r="L1132" s="36" t="str">
        <f aca="false">IF($A1132="","",TEXT($A1132,"MMM-YY"))</f>
        <v/>
      </c>
      <c r="M1132" s="37" t="str">
        <f aca="false">IF($A1132="","",IF($Q1132=0,"UNMAPPED",INDEX(COA_Mapping!$C$7:$C$256,$Q1132)))</f>
        <v/>
      </c>
      <c r="N1132" s="38" t="str">
        <f aca="false">IF($A1132="","",IF($Q1132=0,"",INDEX(COA_Mapping!$E$7:$E$256,$Q1132)))</f>
        <v/>
      </c>
      <c r="O1132" s="38" t="n">
        <f aca="false">IF($A1132="",1,IF($Q1132=0,1,INDEX(COA_Mapping!$F$7:$F$256,$Q1132)))</f>
        <v>1</v>
      </c>
      <c r="P1132" s="34" t="str">
        <f aca="false">IF($A1132="","",$I1132*$O1132)</f>
        <v/>
      </c>
      <c r="Q1132" s="39" t="n">
        <f aca="false">IF($B1132="",0,IFERROR(MATCH($B1132,COA_Mapping!$A$7:$A$256,0),0))</f>
        <v>0</v>
      </c>
      <c r="R1132" s="39" t="n">
        <f aca="false">IF($A1132="",-1,IF($J1132=Setup!$B$7,1,IF($J1132=Setup!$B$9,0,-1)))</f>
        <v>-1</v>
      </c>
      <c r="S1132" s="35" t="n">
        <f aca="false">IF(OR($A1132="",$Q1132=0,$R1132=-1),0,$Q1132*1000+$R1132*100+$K1132)</f>
        <v>0</v>
      </c>
      <c r="T1132" s="37" t="str">
        <f aca="false">IF($A1132="","",IF($B1132="","NO ACCOUNT",IF($Q1132=0,"UNMAPPED",IF($R1132=-1,"OUTSIDE FY RANGE","OK"))))</f>
        <v/>
      </c>
      <c r="U1132" s="40" t="str">
        <f aca="false">IF($A1132="","",$B1132&amp;"|"&amp;TEXT($A1132,"yyyymmdd")&amp;"|"&amp;TEXT($I1132,"0.00"))</f>
        <v/>
      </c>
      <c r="V1132" s="35" t="str">
        <f aca="false">IF($A1132="","",COUNTIF($U$8:$U$5007,$U1132))</f>
        <v/>
      </c>
    </row>
    <row r="1133" customFormat="false" ht="15" hidden="false" customHeight="false" outlineLevel="0" collapsed="false">
      <c r="A1133" s="31"/>
      <c r="B1133" s="32"/>
      <c r="C1133" s="32"/>
      <c r="D1133" s="32"/>
      <c r="E1133" s="32"/>
      <c r="F1133" s="32"/>
      <c r="G1133" s="33"/>
      <c r="H1133" s="33"/>
      <c r="I1133" s="34" t="str">
        <f aca="false">IF($A1133="","",$G1133-$H1133)</f>
        <v/>
      </c>
      <c r="J1133" s="35" t="str">
        <f aca="false">IF($A1133="","",IF(Setup!$B$6=1,YEAR($A1133),YEAR($A1133)+IF(MONTH($A1133)&gt;=Setup!$B$6,1,0)))</f>
        <v/>
      </c>
      <c r="K1133" s="35" t="str">
        <f aca="false">IF($A1133="","",MOD(MONTH($A1133)-Setup!$B$6+12,12)+1)</f>
        <v/>
      </c>
      <c r="L1133" s="36" t="str">
        <f aca="false">IF($A1133="","",TEXT($A1133,"MMM-YY"))</f>
        <v/>
      </c>
      <c r="M1133" s="37" t="str">
        <f aca="false">IF($A1133="","",IF($Q1133=0,"UNMAPPED",INDEX(COA_Mapping!$C$7:$C$256,$Q1133)))</f>
        <v/>
      </c>
      <c r="N1133" s="38" t="str">
        <f aca="false">IF($A1133="","",IF($Q1133=0,"",INDEX(COA_Mapping!$E$7:$E$256,$Q1133)))</f>
        <v/>
      </c>
      <c r="O1133" s="38" t="n">
        <f aca="false">IF($A1133="",1,IF($Q1133=0,1,INDEX(COA_Mapping!$F$7:$F$256,$Q1133)))</f>
        <v>1</v>
      </c>
      <c r="P1133" s="34" t="str">
        <f aca="false">IF($A1133="","",$I1133*$O1133)</f>
        <v/>
      </c>
      <c r="Q1133" s="39" t="n">
        <f aca="false">IF($B1133="",0,IFERROR(MATCH($B1133,COA_Mapping!$A$7:$A$256,0),0))</f>
        <v>0</v>
      </c>
      <c r="R1133" s="39" t="n">
        <f aca="false">IF($A1133="",-1,IF($J1133=Setup!$B$7,1,IF($J1133=Setup!$B$9,0,-1)))</f>
        <v>-1</v>
      </c>
      <c r="S1133" s="35" t="n">
        <f aca="false">IF(OR($A1133="",$Q1133=0,$R1133=-1),0,$Q1133*1000+$R1133*100+$K1133)</f>
        <v>0</v>
      </c>
      <c r="T1133" s="37" t="str">
        <f aca="false">IF($A1133="","",IF($B1133="","NO ACCOUNT",IF($Q1133=0,"UNMAPPED",IF($R1133=-1,"OUTSIDE FY RANGE","OK"))))</f>
        <v/>
      </c>
      <c r="U1133" s="40" t="str">
        <f aca="false">IF($A1133="","",$B1133&amp;"|"&amp;TEXT($A1133,"yyyymmdd")&amp;"|"&amp;TEXT($I1133,"0.00"))</f>
        <v/>
      </c>
      <c r="V1133" s="35" t="str">
        <f aca="false">IF($A1133="","",COUNTIF($U$8:$U$5007,$U1133))</f>
        <v/>
      </c>
    </row>
    <row r="1134" customFormat="false" ht="15" hidden="false" customHeight="false" outlineLevel="0" collapsed="false">
      <c r="A1134" s="31"/>
      <c r="B1134" s="32"/>
      <c r="C1134" s="32"/>
      <c r="D1134" s="32"/>
      <c r="E1134" s="32"/>
      <c r="F1134" s="32"/>
      <c r="G1134" s="33"/>
      <c r="H1134" s="33"/>
      <c r="I1134" s="34" t="str">
        <f aca="false">IF($A1134="","",$G1134-$H1134)</f>
        <v/>
      </c>
      <c r="J1134" s="35" t="str">
        <f aca="false">IF($A1134="","",IF(Setup!$B$6=1,YEAR($A1134),YEAR($A1134)+IF(MONTH($A1134)&gt;=Setup!$B$6,1,0)))</f>
        <v/>
      </c>
      <c r="K1134" s="35" t="str">
        <f aca="false">IF($A1134="","",MOD(MONTH($A1134)-Setup!$B$6+12,12)+1)</f>
        <v/>
      </c>
      <c r="L1134" s="36" t="str">
        <f aca="false">IF($A1134="","",TEXT($A1134,"MMM-YY"))</f>
        <v/>
      </c>
      <c r="M1134" s="37" t="str">
        <f aca="false">IF($A1134="","",IF($Q1134=0,"UNMAPPED",INDEX(COA_Mapping!$C$7:$C$256,$Q1134)))</f>
        <v/>
      </c>
      <c r="N1134" s="38" t="str">
        <f aca="false">IF($A1134="","",IF($Q1134=0,"",INDEX(COA_Mapping!$E$7:$E$256,$Q1134)))</f>
        <v/>
      </c>
      <c r="O1134" s="38" t="n">
        <f aca="false">IF($A1134="",1,IF($Q1134=0,1,INDEX(COA_Mapping!$F$7:$F$256,$Q1134)))</f>
        <v>1</v>
      </c>
      <c r="P1134" s="34" t="str">
        <f aca="false">IF($A1134="","",$I1134*$O1134)</f>
        <v/>
      </c>
      <c r="Q1134" s="39" t="n">
        <f aca="false">IF($B1134="",0,IFERROR(MATCH($B1134,COA_Mapping!$A$7:$A$256,0),0))</f>
        <v>0</v>
      </c>
      <c r="R1134" s="39" t="n">
        <f aca="false">IF($A1134="",-1,IF($J1134=Setup!$B$7,1,IF($J1134=Setup!$B$9,0,-1)))</f>
        <v>-1</v>
      </c>
      <c r="S1134" s="35" t="n">
        <f aca="false">IF(OR($A1134="",$Q1134=0,$R1134=-1),0,$Q1134*1000+$R1134*100+$K1134)</f>
        <v>0</v>
      </c>
      <c r="T1134" s="37" t="str">
        <f aca="false">IF($A1134="","",IF($B1134="","NO ACCOUNT",IF($Q1134=0,"UNMAPPED",IF($R1134=-1,"OUTSIDE FY RANGE","OK"))))</f>
        <v/>
      </c>
      <c r="U1134" s="40" t="str">
        <f aca="false">IF($A1134="","",$B1134&amp;"|"&amp;TEXT($A1134,"yyyymmdd")&amp;"|"&amp;TEXT($I1134,"0.00"))</f>
        <v/>
      </c>
      <c r="V1134" s="35" t="str">
        <f aca="false">IF($A1134="","",COUNTIF($U$8:$U$5007,$U1134))</f>
        <v/>
      </c>
    </row>
    <row r="1135" customFormat="false" ht="15" hidden="false" customHeight="false" outlineLevel="0" collapsed="false">
      <c r="A1135" s="31"/>
      <c r="B1135" s="32"/>
      <c r="C1135" s="32"/>
      <c r="D1135" s="32"/>
      <c r="E1135" s="32"/>
      <c r="F1135" s="32"/>
      <c r="G1135" s="33"/>
      <c r="H1135" s="33"/>
      <c r="I1135" s="34" t="str">
        <f aca="false">IF($A1135="","",$G1135-$H1135)</f>
        <v/>
      </c>
      <c r="J1135" s="35" t="str">
        <f aca="false">IF($A1135="","",IF(Setup!$B$6=1,YEAR($A1135),YEAR($A1135)+IF(MONTH($A1135)&gt;=Setup!$B$6,1,0)))</f>
        <v/>
      </c>
      <c r="K1135" s="35" t="str">
        <f aca="false">IF($A1135="","",MOD(MONTH($A1135)-Setup!$B$6+12,12)+1)</f>
        <v/>
      </c>
      <c r="L1135" s="36" t="str">
        <f aca="false">IF($A1135="","",TEXT($A1135,"MMM-YY"))</f>
        <v/>
      </c>
      <c r="M1135" s="37" t="str">
        <f aca="false">IF($A1135="","",IF($Q1135=0,"UNMAPPED",INDEX(COA_Mapping!$C$7:$C$256,$Q1135)))</f>
        <v/>
      </c>
      <c r="N1135" s="38" t="str">
        <f aca="false">IF($A1135="","",IF($Q1135=0,"",INDEX(COA_Mapping!$E$7:$E$256,$Q1135)))</f>
        <v/>
      </c>
      <c r="O1135" s="38" t="n">
        <f aca="false">IF($A1135="",1,IF($Q1135=0,1,INDEX(COA_Mapping!$F$7:$F$256,$Q1135)))</f>
        <v>1</v>
      </c>
      <c r="P1135" s="34" t="str">
        <f aca="false">IF($A1135="","",$I1135*$O1135)</f>
        <v/>
      </c>
      <c r="Q1135" s="39" t="n">
        <f aca="false">IF($B1135="",0,IFERROR(MATCH($B1135,COA_Mapping!$A$7:$A$256,0),0))</f>
        <v>0</v>
      </c>
      <c r="R1135" s="39" t="n">
        <f aca="false">IF($A1135="",-1,IF($J1135=Setup!$B$7,1,IF($J1135=Setup!$B$9,0,-1)))</f>
        <v>-1</v>
      </c>
      <c r="S1135" s="35" t="n">
        <f aca="false">IF(OR($A1135="",$Q1135=0,$R1135=-1),0,$Q1135*1000+$R1135*100+$K1135)</f>
        <v>0</v>
      </c>
      <c r="T1135" s="37" t="str">
        <f aca="false">IF($A1135="","",IF($B1135="","NO ACCOUNT",IF($Q1135=0,"UNMAPPED",IF($R1135=-1,"OUTSIDE FY RANGE","OK"))))</f>
        <v/>
      </c>
      <c r="U1135" s="40" t="str">
        <f aca="false">IF($A1135="","",$B1135&amp;"|"&amp;TEXT($A1135,"yyyymmdd")&amp;"|"&amp;TEXT($I1135,"0.00"))</f>
        <v/>
      </c>
      <c r="V1135" s="35" t="str">
        <f aca="false">IF($A1135="","",COUNTIF($U$8:$U$5007,$U1135))</f>
        <v/>
      </c>
    </row>
    <row r="1136" customFormat="false" ht="15" hidden="false" customHeight="false" outlineLevel="0" collapsed="false">
      <c r="A1136" s="31"/>
      <c r="B1136" s="32"/>
      <c r="C1136" s="32"/>
      <c r="D1136" s="32"/>
      <c r="E1136" s="32"/>
      <c r="F1136" s="32"/>
      <c r="G1136" s="33"/>
      <c r="H1136" s="33"/>
      <c r="I1136" s="34" t="str">
        <f aca="false">IF($A1136="","",$G1136-$H1136)</f>
        <v/>
      </c>
      <c r="J1136" s="35" t="str">
        <f aca="false">IF($A1136="","",IF(Setup!$B$6=1,YEAR($A1136),YEAR($A1136)+IF(MONTH($A1136)&gt;=Setup!$B$6,1,0)))</f>
        <v/>
      </c>
      <c r="K1136" s="35" t="str">
        <f aca="false">IF($A1136="","",MOD(MONTH($A1136)-Setup!$B$6+12,12)+1)</f>
        <v/>
      </c>
      <c r="L1136" s="36" t="str">
        <f aca="false">IF($A1136="","",TEXT($A1136,"MMM-YY"))</f>
        <v/>
      </c>
      <c r="M1136" s="37" t="str">
        <f aca="false">IF($A1136="","",IF($Q1136=0,"UNMAPPED",INDEX(COA_Mapping!$C$7:$C$256,$Q1136)))</f>
        <v/>
      </c>
      <c r="N1136" s="38" t="str">
        <f aca="false">IF($A1136="","",IF($Q1136=0,"",INDEX(COA_Mapping!$E$7:$E$256,$Q1136)))</f>
        <v/>
      </c>
      <c r="O1136" s="38" t="n">
        <f aca="false">IF($A1136="",1,IF($Q1136=0,1,INDEX(COA_Mapping!$F$7:$F$256,$Q1136)))</f>
        <v>1</v>
      </c>
      <c r="P1136" s="34" t="str">
        <f aca="false">IF($A1136="","",$I1136*$O1136)</f>
        <v/>
      </c>
      <c r="Q1136" s="39" t="n">
        <f aca="false">IF($B1136="",0,IFERROR(MATCH($B1136,COA_Mapping!$A$7:$A$256,0),0))</f>
        <v>0</v>
      </c>
      <c r="R1136" s="39" t="n">
        <f aca="false">IF($A1136="",-1,IF($J1136=Setup!$B$7,1,IF($J1136=Setup!$B$9,0,-1)))</f>
        <v>-1</v>
      </c>
      <c r="S1136" s="35" t="n">
        <f aca="false">IF(OR($A1136="",$Q1136=0,$R1136=-1),0,$Q1136*1000+$R1136*100+$K1136)</f>
        <v>0</v>
      </c>
      <c r="T1136" s="37" t="str">
        <f aca="false">IF($A1136="","",IF($B1136="","NO ACCOUNT",IF($Q1136=0,"UNMAPPED",IF($R1136=-1,"OUTSIDE FY RANGE","OK"))))</f>
        <v/>
      </c>
      <c r="U1136" s="40" t="str">
        <f aca="false">IF($A1136="","",$B1136&amp;"|"&amp;TEXT($A1136,"yyyymmdd")&amp;"|"&amp;TEXT($I1136,"0.00"))</f>
        <v/>
      </c>
      <c r="V1136" s="35" t="str">
        <f aca="false">IF($A1136="","",COUNTIF($U$8:$U$5007,$U1136))</f>
        <v/>
      </c>
    </row>
    <row r="1137" customFormat="false" ht="15" hidden="false" customHeight="false" outlineLevel="0" collapsed="false">
      <c r="A1137" s="31"/>
      <c r="B1137" s="32"/>
      <c r="C1137" s="32"/>
      <c r="D1137" s="32"/>
      <c r="E1137" s="32"/>
      <c r="F1137" s="32"/>
      <c r="G1137" s="33"/>
      <c r="H1137" s="33"/>
      <c r="I1137" s="34" t="str">
        <f aca="false">IF($A1137="","",$G1137-$H1137)</f>
        <v/>
      </c>
      <c r="J1137" s="35" t="str">
        <f aca="false">IF($A1137="","",IF(Setup!$B$6=1,YEAR($A1137),YEAR($A1137)+IF(MONTH($A1137)&gt;=Setup!$B$6,1,0)))</f>
        <v/>
      </c>
      <c r="K1137" s="35" t="str">
        <f aca="false">IF($A1137="","",MOD(MONTH($A1137)-Setup!$B$6+12,12)+1)</f>
        <v/>
      </c>
      <c r="L1137" s="36" t="str">
        <f aca="false">IF($A1137="","",TEXT($A1137,"MMM-YY"))</f>
        <v/>
      </c>
      <c r="M1137" s="37" t="str">
        <f aca="false">IF($A1137="","",IF($Q1137=0,"UNMAPPED",INDEX(COA_Mapping!$C$7:$C$256,$Q1137)))</f>
        <v/>
      </c>
      <c r="N1137" s="38" t="str">
        <f aca="false">IF($A1137="","",IF($Q1137=0,"",INDEX(COA_Mapping!$E$7:$E$256,$Q1137)))</f>
        <v/>
      </c>
      <c r="O1137" s="38" t="n">
        <f aca="false">IF($A1137="",1,IF($Q1137=0,1,INDEX(COA_Mapping!$F$7:$F$256,$Q1137)))</f>
        <v>1</v>
      </c>
      <c r="P1137" s="34" t="str">
        <f aca="false">IF($A1137="","",$I1137*$O1137)</f>
        <v/>
      </c>
      <c r="Q1137" s="39" t="n">
        <f aca="false">IF($B1137="",0,IFERROR(MATCH($B1137,COA_Mapping!$A$7:$A$256,0),0))</f>
        <v>0</v>
      </c>
      <c r="R1137" s="39" t="n">
        <f aca="false">IF($A1137="",-1,IF($J1137=Setup!$B$7,1,IF($J1137=Setup!$B$9,0,-1)))</f>
        <v>-1</v>
      </c>
      <c r="S1137" s="35" t="n">
        <f aca="false">IF(OR($A1137="",$Q1137=0,$R1137=-1),0,$Q1137*1000+$R1137*100+$K1137)</f>
        <v>0</v>
      </c>
      <c r="T1137" s="37" t="str">
        <f aca="false">IF($A1137="","",IF($B1137="","NO ACCOUNT",IF($Q1137=0,"UNMAPPED",IF($R1137=-1,"OUTSIDE FY RANGE","OK"))))</f>
        <v/>
      </c>
      <c r="U1137" s="40" t="str">
        <f aca="false">IF($A1137="","",$B1137&amp;"|"&amp;TEXT($A1137,"yyyymmdd")&amp;"|"&amp;TEXT($I1137,"0.00"))</f>
        <v/>
      </c>
      <c r="V1137" s="35" t="str">
        <f aca="false">IF($A1137="","",COUNTIF($U$8:$U$5007,$U1137))</f>
        <v/>
      </c>
    </row>
    <row r="1138" customFormat="false" ht="15" hidden="false" customHeight="false" outlineLevel="0" collapsed="false">
      <c r="A1138" s="31"/>
      <c r="B1138" s="32"/>
      <c r="C1138" s="32"/>
      <c r="D1138" s="32"/>
      <c r="E1138" s="32"/>
      <c r="F1138" s="32"/>
      <c r="G1138" s="33"/>
      <c r="H1138" s="33"/>
      <c r="I1138" s="34" t="str">
        <f aca="false">IF($A1138="","",$G1138-$H1138)</f>
        <v/>
      </c>
      <c r="J1138" s="35" t="str">
        <f aca="false">IF($A1138="","",IF(Setup!$B$6=1,YEAR($A1138),YEAR($A1138)+IF(MONTH($A1138)&gt;=Setup!$B$6,1,0)))</f>
        <v/>
      </c>
      <c r="K1138" s="35" t="str">
        <f aca="false">IF($A1138="","",MOD(MONTH($A1138)-Setup!$B$6+12,12)+1)</f>
        <v/>
      </c>
      <c r="L1138" s="36" t="str">
        <f aca="false">IF($A1138="","",TEXT($A1138,"MMM-YY"))</f>
        <v/>
      </c>
      <c r="M1138" s="37" t="str">
        <f aca="false">IF($A1138="","",IF($Q1138=0,"UNMAPPED",INDEX(COA_Mapping!$C$7:$C$256,$Q1138)))</f>
        <v/>
      </c>
      <c r="N1138" s="38" t="str">
        <f aca="false">IF($A1138="","",IF($Q1138=0,"",INDEX(COA_Mapping!$E$7:$E$256,$Q1138)))</f>
        <v/>
      </c>
      <c r="O1138" s="38" t="n">
        <f aca="false">IF($A1138="",1,IF($Q1138=0,1,INDEX(COA_Mapping!$F$7:$F$256,$Q1138)))</f>
        <v>1</v>
      </c>
      <c r="P1138" s="34" t="str">
        <f aca="false">IF($A1138="","",$I1138*$O1138)</f>
        <v/>
      </c>
      <c r="Q1138" s="39" t="n">
        <f aca="false">IF($B1138="",0,IFERROR(MATCH($B1138,COA_Mapping!$A$7:$A$256,0),0))</f>
        <v>0</v>
      </c>
      <c r="R1138" s="39" t="n">
        <f aca="false">IF($A1138="",-1,IF($J1138=Setup!$B$7,1,IF($J1138=Setup!$B$9,0,-1)))</f>
        <v>-1</v>
      </c>
      <c r="S1138" s="35" t="n">
        <f aca="false">IF(OR($A1138="",$Q1138=0,$R1138=-1),0,$Q1138*1000+$R1138*100+$K1138)</f>
        <v>0</v>
      </c>
      <c r="T1138" s="37" t="str">
        <f aca="false">IF($A1138="","",IF($B1138="","NO ACCOUNT",IF($Q1138=0,"UNMAPPED",IF($R1138=-1,"OUTSIDE FY RANGE","OK"))))</f>
        <v/>
      </c>
      <c r="U1138" s="40" t="str">
        <f aca="false">IF($A1138="","",$B1138&amp;"|"&amp;TEXT($A1138,"yyyymmdd")&amp;"|"&amp;TEXT($I1138,"0.00"))</f>
        <v/>
      </c>
      <c r="V1138" s="35" t="str">
        <f aca="false">IF($A1138="","",COUNTIF($U$8:$U$5007,$U1138))</f>
        <v/>
      </c>
    </row>
    <row r="1139" customFormat="false" ht="15" hidden="false" customHeight="false" outlineLevel="0" collapsed="false">
      <c r="A1139" s="31"/>
      <c r="B1139" s="32"/>
      <c r="C1139" s="32"/>
      <c r="D1139" s="32"/>
      <c r="E1139" s="32"/>
      <c r="F1139" s="32"/>
      <c r="G1139" s="33"/>
      <c r="H1139" s="33"/>
      <c r="I1139" s="34" t="str">
        <f aca="false">IF($A1139="","",$G1139-$H1139)</f>
        <v/>
      </c>
      <c r="J1139" s="35" t="str">
        <f aca="false">IF($A1139="","",IF(Setup!$B$6=1,YEAR($A1139),YEAR($A1139)+IF(MONTH($A1139)&gt;=Setup!$B$6,1,0)))</f>
        <v/>
      </c>
      <c r="K1139" s="35" t="str">
        <f aca="false">IF($A1139="","",MOD(MONTH($A1139)-Setup!$B$6+12,12)+1)</f>
        <v/>
      </c>
      <c r="L1139" s="36" t="str">
        <f aca="false">IF($A1139="","",TEXT($A1139,"MMM-YY"))</f>
        <v/>
      </c>
      <c r="M1139" s="37" t="str">
        <f aca="false">IF($A1139="","",IF($Q1139=0,"UNMAPPED",INDEX(COA_Mapping!$C$7:$C$256,$Q1139)))</f>
        <v/>
      </c>
      <c r="N1139" s="38" t="str">
        <f aca="false">IF($A1139="","",IF($Q1139=0,"",INDEX(COA_Mapping!$E$7:$E$256,$Q1139)))</f>
        <v/>
      </c>
      <c r="O1139" s="38" t="n">
        <f aca="false">IF($A1139="",1,IF($Q1139=0,1,INDEX(COA_Mapping!$F$7:$F$256,$Q1139)))</f>
        <v>1</v>
      </c>
      <c r="P1139" s="34" t="str">
        <f aca="false">IF($A1139="","",$I1139*$O1139)</f>
        <v/>
      </c>
      <c r="Q1139" s="39" t="n">
        <f aca="false">IF($B1139="",0,IFERROR(MATCH($B1139,COA_Mapping!$A$7:$A$256,0),0))</f>
        <v>0</v>
      </c>
      <c r="R1139" s="39" t="n">
        <f aca="false">IF($A1139="",-1,IF($J1139=Setup!$B$7,1,IF($J1139=Setup!$B$9,0,-1)))</f>
        <v>-1</v>
      </c>
      <c r="S1139" s="35" t="n">
        <f aca="false">IF(OR($A1139="",$Q1139=0,$R1139=-1),0,$Q1139*1000+$R1139*100+$K1139)</f>
        <v>0</v>
      </c>
      <c r="T1139" s="37" t="str">
        <f aca="false">IF($A1139="","",IF($B1139="","NO ACCOUNT",IF($Q1139=0,"UNMAPPED",IF($R1139=-1,"OUTSIDE FY RANGE","OK"))))</f>
        <v/>
      </c>
      <c r="U1139" s="40" t="str">
        <f aca="false">IF($A1139="","",$B1139&amp;"|"&amp;TEXT($A1139,"yyyymmdd")&amp;"|"&amp;TEXT($I1139,"0.00"))</f>
        <v/>
      </c>
      <c r="V1139" s="35" t="str">
        <f aca="false">IF($A1139="","",COUNTIF($U$8:$U$5007,$U1139))</f>
        <v/>
      </c>
    </row>
    <row r="1140" customFormat="false" ht="15" hidden="false" customHeight="false" outlineLevel="0" collapsed="false">
      <c r="A1140" s="31"/>
      <c r="B1140" s="32"/>
      <c r="C1140" s="32"/>
      <c r="D1140" s="32"/>
      <c r="E1140" s="32"/>
      <c r="F1140" s="32"/>
      <c r="G1140" s="33"/>
      <c r="H1140" s="33"/>
      <c r="I1140" s="34" t="str">
        <f aca="false">IF($A1140="","",$G1140-$H1140)</f>
        <v/>
      </c>
      <c r="J1140" s="35" t="str">
        <f aca="false">IF($A1140="","",IF(Setup!$B$6=1,YEAR($A1140),YEAR($A1140)+IF(MONTH($A1140)&gt;=Setup!$B$6,1,0)))</f>
        <v/>
      </c>
      <c r="K1140" s="35" t="str">
        <f aca="false">IF($A1140="","",MOD(MONTH($A1140)-Setup!$B$6+12,12)+1)</f>
        <v/>
      </c>
      <c r="L1140" s="36" t="str">
        <f aca="false">IF($A1140="","",TEXT($A1140,"MMM-YY"))</f>
        <v/>
      </c>
      <c r="M1140" s="37" t="str">
        <f aca="false">IF($A1140="","",IF($Q1140=0,"UNMAPPED",INDEX(COA_Mapping!$C$7:$C$256,$Q1140)))</f>
        <v/>
      </c>
      <c r="N1140" s="38" t="str">
        <f aca="false">IF($A1140="","",IF($Q1140=0,"",INDEX(COA_Mapping!$E$7:$E$256,$Q1140)))</f>
        <v/>
      </c>
      <c r="O1140" s="38" t="n">
        <f aca="false">IF($A1140="",1,IF($Q1140=0,1,INDEX(COA_Mapping!$F$7:$F$256,$Q1140)))</f>
        <v>1</v>
      </c>
      <c r="P1140" s="34" t="str">
        <f aca="false">IF($A1140="","",$I1140*$O1140)</f>
        <v/>
      </c>
      <c r="Q1140" s="39" t="n">
        <f aca="false">IF($B1140="",0,IFERROR(MATCH($B1140,COA_Mapping!$A$7:$A$256,0),0))</f>
        <v>0</v>
      </c>
      <c r="R1140" s="39" t="n">
        <f aca="false">IF($A1140="",-1,IF($J1140=Setup!$B$7,1,IF($J1140=Setup!$B$9,0,-1)))</f>
        <v>-1</v>
      </c>
      <c r="S1140" s="35" t="n">
        <f aca="false">IF(OR($A1140="",$Q1140=0,$R1140=-1),0,$Q1140*1000+$R1140*100+$K1140)</f>
        <v>0</v>
      </c>
      <c r="T1140" s="37" t="str">
        <f aca="false">IF($A1140="","",IF($B1140="","NO ACCOUNT",IF($Q1140=0,"UNMAPPED",IF($R1140=-1,"OUTSIDE FY RANGE","OK"))))</f>
        <v/>
      </c>
      <c r="U1140" s="40" t="str">
        <f aca="false">IF($A1140="","",$B1140&amp;"|"&amp;TEXT($A1140,"yyyymmdd")&amp;"|"&amp;TEXT($I1140,"0.00"))</f>
        <v/>
      </c>
      <c r="V1140" s="35" t="str">
        <f aca="false">IF($A1140="","",COUNTIF($U$8:$U$5007,$U1140))</f>
        <v/>
      </c>
    </row>
    <row r="1141" customFormat="false" ht="15" hidden="false" customHeight="false" outlineLevel="0" collapsed="false">
      <c r="A1141" s="31"/>
      <c r="B1141" s="32"/>
      <c r="C1141" s="32"/>
      <c r="D1141" s="32"/>
      <c r="E1141" s="32"/>
      <c r="F1141" s="32"/>
      <c r="G1141" s="33"/>
      <c r="H1141" s="33"/>
      <c r="I1141" s="34" t="str">
        <f aca="false">IF($A1141="","",$G1141-$H1141)</f>
        <v/>
      </c>
      <c r="J1141" s="35" t="str">
        <f aca="false">IF($A1141="","",IF(Setup!$B$6=1,YEAR($A1141),YEAR($A1141)+IF(MONTH($A1141)&gt;=Setup!$B$6,1,0)))</f>
        <v/>
      </c>
      <c r="K1141" s="35" t="str">
        <f aca="false">IF($A1141="","",MOD(MONTH($A1141)-Setup!$B$6+12,12)+1)</f>
        <v/>
      </c>
      <c r="L1141" s="36" t="str">
        <f aca="false">IF($A1141="","",TEXT($A1141,"MMM-YY"))</f>
        <v/>
      </c>
      <c r="M1141" s="37" t="str">
        <f aca="false">IF($A1141="","",IF($Q1141=0,"UNMAPPED",INDEX(COA_Mapping!$C$7:$C$256,$Q1141)))</f>
        <v/>
      </c>
      <c r="N1141" s="38" t="str">
        <f aca="false">IF($A1141="","",IF($Q1141=0,"",INDEX(COA_Mapping!$E$7:$E$256,$Q1141)))</f>
        <v/>
      </c>
      <c r="O1141" s="38" t="n">
        <f aca="false">IF($A1141="",1,IF($Q1141=0,1,INDEX(COA_Mapping!$F$7:$F$256,$Q1141)))</f>
        <v>1</v>
      </c>
      <c r="P1141" s="34" t="str">
        <f aca="false">IF($A1141="","",$I1141*$O1141)</f>
        <v/>
      </c>
      <c r="Q1141" s="39" t="n">
        <f aca="false">IF($B1141="",0,IFERROR(MATCH($B1141,COA_Mapping!$A$7:$A$256,0),0))</f>
        <v>0</v>
      </c>
      <c r="R1141" s="39" t="n">
        <f aca="false">IF($A1141="",-1,IF($J1141=Setup!$B$7,1,IF($J1141=Setup!$B$9,0,-1)))</f>
        <v>-1</v>
      </c>
      <c r="S1141" s="35" t="n">
        <f aca="false">IF(OR($A1141="",$Q1141=0,$R1141=-1),0,$Q1141*1000+$R1141*100+$K1141)</f>
        <v>0</v>
      </c>
      <c r="T1141" s="37" t="str">
        <f aca="false">IF($A1141="","",IF($B1141="","NO ACCOUNT",IF($Q1141=0,"UNMAPPED",IF($R1141=-1,"OUTSIDE FY RANGE","OK"))))</f>
        <v/>
      </c>
      <c r="U1141" s="40" t="str">
        <f aca="false">IF($A1141="","",$B1141&amp;"|"&amp;TEXT($A1141,"yyyymmdd")&amp;"|"&amp;TEXT($I1141,"0.00"))</f>
        <v/>
      </c>
      <c r="V1141" s="35" t="str">
        <f aca="false">IF($A1141="","",COUNTIF($U$8:$U$5007,$U1141))</f>
        <v/>
      </c>
    </row>
    <row r="1142" customFormat="false" ht="15" hidden="false" customHeight="false" outlineLevel="0" collapsed="false">
      <c r="A1142" s="31"/>
      <c r="B1142" s="32"/>
      <c r="C1142" s="32"/>
      <c r="D1142" s="32"/>
      <c r="E1142" s="32"/>
      <c r="F1142" s="32"/>
      <c r="G1142" s="33"/>
      <c r="H1142" s="33"/>
      <c r="I1142" s="34" t="str">
        <f aca="false">IF($A1142="","",$G1142-$H1142)</f>
        <v/>
      </c>
      <c r="J1142" s="35" t="str">
        <f aca="false">IF($A1142="","",IF(Setup!$B$6=1,YEAR($A1142),YEAR($A1142)+IF(MONTH($A1142)&gt;=Setup!$B$6,1,0)))</f>
        <v/>
      </c>
      <c r="K1142" s="35" t="str">
        <f aca="false">IF($A1142="","",MOD(MONTH($A1142)-Setup!$B$6+12,12)+1)</f>
        <v/>
      </c>
      <c r="L1142" s="36" t="str">
        <f aca="false">IF($A1142="","",TEXT($A1142,"MMM-YY"))</f>
        <v/>
      </c>
      <c r="M1142" s="37" t="str">
        <f aca="false">IF($A1142="","",IF($Q1142=0,"UNMAPPED",INDEX(COA_Mapping!$C$7:$C$256,$Q1142)))</f>
        <v/>
      </c>
      <c r="N1142" s="38" t="str">
        <f aca="false">IF($A1142="","",IF($Q1142=0,"",INDEX(COA_Mapping!$E$7:$E$256,$Q1142)))</f>
        <v/>
      </c>
      <c r="O1142" s="38" t="n">
        <f aca="false">IF($A1142="",1,IF($Q1142=0,1,INDEX(COA_Mapping!$F$7:$F$256,$Q1142)))</f>
        <v>1</v>
      </c>
      <c r="P1142" s="34" t="str">
        <f aca="false">IF($A1142="","",$I1142*$O1142)</f>
        <v/>
      </c>
      <c r="Q1142" s="39" t="n">
        <f aca="false">IF($B1142="",0,IFERROR(MATCH($B1142,COA_Mapping!$A$7:$A$256,0),0))</f>
        <v>0</v>
      </c>
      <c r="R1142" s="39" t="n">
        <f aca="false">IF($A1142="",-1,IF($J1142=Setup!$B$7,1,IF($J1142=Setup!$B$9,0,-1)))</f>
        <v>-1</v>
      </c>
      <c r="S1142" s="35" t="n">
        <f aca="false">IF(OR($A1142="",$Q1142=0,$R1142=-1),0,$Q1142*1000+$R1142*100+$K1142)</f>
        <v>0</v>
      </c>
      <c r="T1142" s="37" t="str">
        <f aca="false">IF($A1142="","",IF($B1142="","NO ACCOUNT",IF($Q1142=0,"UNMAPPED",IF($R1142=-1,"OUTSIDE FY RANGE","OK"))))</f>
        <v/>
      </c>
      <c r="U1142" s="40" t="str">
        <f aca="false">IF($A1142="","",$B1142&amp;"|"&amp;TEXT($A1142,"yyyymmdd")&amp;"|"&amp;TEXT($I1142,"0.00"))</f>
        <v/>
      </c>
      <c r="V1142" s="35" t="str">
        <f aca="false">IF($A1142="","",COUNTIF($U$8:$U$5007,$U1142))</f>
        <v/>
      </c>
    </row>
    <row r="1143" customFormat="false" ht="15" hidden="false" customHeight="false" outlineLevel="0" collapsed="false">
      <c r="A1143" s="31"/>
      <c r="B1143" s="32"/>
      <c r="C1143" s="32"/>
      <c r="D1143" s="32"/>
      <c r="E1143" s="32"/>
      <c r="F1143" s="32"/>
      <c r="G1143" s="33"/>
      <c r="H1143" s="33"/>
      <c r="I1143" s="34" t="str">
        <f aca="false">IF($A1143="","",$G1143-$H1143)</f>
        <v/>
      </c>
      <c r="J1143" s="35" t="str">
        <f aca="false">IF($A1143="","",IF(Setup!$B$6=1,YEAR($A1143),YEAR($A1143)+IF(MONTH($A1143)&gt;=Setup!$B$6,1,0)))</f>
        <v/>
      </c>
      <c r="K1143" s="35" t="str">
        <f aca="false">IF($A1143="","",MOD(MONTH($A1143)-Setup!$B$6+12,12)+1)</f>
        <v/>
      </c>
      <c r="L1143" s="36" t="str">
        <f aca="false">IF($A1143="","",TEXT($A1143,"MMM-YY"))</f>
        <v/>
      </c>
      <c r="M1143" s="37" t="str">
        <f aca="false">IF($A1143="","",IF($Q1143=0,"UNMAPPED",INDEX(COA_Mapping!$C$7:$C$256,$Q1143)))</f>
        <v/>
      </c>
      <c r="N1143" s="38" t="str">
        <f aca="false">IF($A1143="","",IF($Q1143=0,"",INDEX(COA_Mapping!$E$7:$E$256,$Q1143)))</f>
        <v/>
      </c>
      <c r="O1143" s="38" t="n">
        <f aca="false">IF($A1143="",1,IF($Q1143=0,1,INDEX(COA_Mapping!$F$7:$F$256,$Q1143)))</f>
        <v>1</v>
      </c>
      <c r="P1143" s="34" t="str">
        <f aca="false">IF($A1143="","",$I1143*$O1143)</f>
        <v/>
      </c>
      <c r="Q1143" s="39" t="n">
        <f aca="false">IF($B1143="",0,IFERROR(MATCH($B1143,COA_Mapping!$A$7:$A$256,0),0))</f>
        <v>0</v>
      </c>
      <c r="R1143" s="39" t="n">
        <f aca="false">IF($A1143="",-1,IF($J1143=Setup!$B$7,1,IF($J1143=Setup!$B$9,0,-1)))</f>
        <v>-1</v>
      </c>
      <c r="S1143" s="35" t="n">
        <f aca="false">IF(OR($A1143="",$Q1143=0,$R1143=-1),0,$Q1143*1000+$R1143*100+$K1143)</f>
        <v>0</v>
      </c>
      <c r="T1143" s="37" t="str">
        <f aca="false">IF($A1143="","",IF($B1143="","NO ACCOUNT",IF($Q1143=0,"UNMAPPED",IF($R1143=-1,"OUTSIDE FY RANGE","OK"))))</f>
        <v/>
      </c>
      <c r="U1143" s="40" t="str">
        <f aca="false">IF($A1143="","",$B1143&amp;"|"&amp;TEXT($A1143,"yyyymmdd")&amp;"|"&amp;TEXT($I1143,"0.00"))</f>
        <v/>
      </c>
      <c r="V1143" s="35" t="str">
        <f aca="false">IF($A1143="","",COUNTIF($U$8:$U$5007,$U1143))</f>
        <v/>
      </c>
    </row>
    <row r="1144" customFormat="false" ht="15" hidden="false" customHeight="false" outlineLevel="0" collapsed="false">
      <c r="A1144" s="31"/>
      <c r="B1144" s="32"/>
      <c r="C1144" s="32"/>
      <c r="D1144" s="32"/>
      <c r="E1144" s="32"/>
      <c r="F1144" s="32"/>
      <c r="G1144" s="33"/>
      <c r="H1144" s="33"/>
      <c r="I1144" s="34" t="str">
        <f aca="false">IF($A1144="","",$G1144-$H1144)</f>
        <v/>
      </c>
      <c r="J1144" s="35" t="str">
        <f aca="false">IF($A1144="","",IF(Setup!$B$6=1,YEAR($A1144),YEAR($A1144)+IF(MONTH($A1144)&gt;=Setup!$B$6,1,0)))</f>
        <v/>
      </c>
      <c r="K1144" s="35" t="str">
        <f aca="false">IF($A1144="","",MOD(MONTH($A1144)-Setup!$B$6+12,12)+1)</f>
        <v/>
      </c>
      <c r="L1144" s="36" t="str">
        <f aca="false">IF($A1144="","",TEXT($A1144,"MMM-YY"))</f>
        <v/>
      </c>
      <c r="M1144" s="37" t="str">
        <f aca="false">IF($A1144="","",IF($Q1144=0,"UNMAPPED",INDEX(COA_Mapping!$C$7:$C$256,$Q1144)))</f>
        <v/>
      </c>
      <c r="N1144" s="38" t="str">
        <f aca="false">IF($A1144="","",IF($Q1144=0,"",INDEX(COA_Mapping!$E$7:$E$256,$Q1144)))</f>
        <v/>
      </c>
      <c r="O1144" s="38" t="n">
        <f aca="false">IF($A1144="",1,IF($Q1144=0,1,INDEX(COA_Mapping!$F$7:$F$256,$Q1144)))</f>
        <v>1</v>
      </c>
      <c r="P1144" s="34" t="str">
        <f aca="false">IF($A1144="","",$I1144*$O1144)</f>
        <v/>
      </c>
      <c r="Q1144" s="39" t="n">
        <f aca="false">IF($B1144="",0,IFERROR(MATCH($B1144,COA_Mapping!$A$7:$A$256,0),0))</f>
        <v>0</v>
      </c>
      <c r="R1144" s="39" t="n">
        <f aca="false">IF($A1144="",-1,IF($J1144=Setup!$B$7,1,IF($J1144=Setup!$B$9,0,-1)))</f>
        <v>-1</v>
      </c>
      <c r="S1144" s="35" t="n">
        <f aca="false">IF(OR($A1144="",$Q1144=0,$R1144=-1),0,$Q1144*1000+$R1144*100+$K1144)</f>
        <v>0</v>
      </c>
      <c r="T1144" s="37" t="str">
        <f aca="false">IF($A1144="","",IF($B1144="","NO ACCOUNT",IF($Q1144=0,"UNMAPPED",IF($R1144=-1,"OUTSIDE FY RANGE","OK"))))</f>
        <v/>
      </c>
      <c r="U1144" s="40" t="str">
        <f aca="false">IF($A1144="","",$B1144&amp;"|"&amp;TEXT($A1144,"yyyymmdd")&amp;"|"&amp;TEXT($I1144,"0.00"))</f>
        <v/>
      </c>
      <c r="V1144" s="35" t="str">
        <f aca="false">IF($A1144="","",COUNTIF($U$8:$U$5007,$U1144))</f>
        <v/>
      </c>
    </row>
    <row r="1145" customFormat="false" ht="15" hidden="false" customHeight="false" outlineLevel="0" collapsed="false">
      <c r="A1145" s="31"/>
      <c r="B1145" s="32"/>
      <c r="C1145" s="32"/>
      <c r="D1145" s="32"/>
      <c r="E1145" s="32"/>
      <c r="F1145" s="32"/>
      <c r="G1145" s="33"/>
      <c r="H1145" s="33"/>
      <c r="I1145" s="34" t="str">
        <f aca="false">IF($A1145="","",$G1145-$H1145)</f>
        <v/>
      </c>
      <c r="J1145" s="35" t="str">
        <f aca="false">IF($A1145="","",IF(Setup!$B$6=1,YEAR($A1145),YEAR($A1145)+IF(MONTH($A1145)&gt;=Setup!$B$6,1,0)))</f>
        <v/>
      </c>
      <c r="K1145" s="35" t="str">
        <f aca="false">IF($A1145="","",MOD(MONTH($A1145)-Setup!$B$6+12,12)+1)</f>
        <v/>
      </c>
      <c r="L1145" s="36" t="str">
        <f aca="false">IF($A1145="","",TEXT($A1145,"MMM-YY"))</f>
        <v/>
      </c>
      <c r="M1145" s="37" t="str">
        <f aca="false">IF($A1145="","",IF($Q1145=0,"UNMAPPED",INDEX(COA_Mapping!$C$7:$C$256,$Q1145)))</f>
        <v/>
      </c>
      <c r="N1145" s="38" t="str">
        <f aca="false">IF($A1145="","",IF($Q1145=0,"",INDEX(COA_Mapping!$E$7:$E$256,$Q1145)))</f>
        <v/>
      </c>
      <c r="O1145" s="38" t="n">
        <f aca="false">IF($A1145="",1,IF($Q1145=0,1,INDEX(COA_Mapping!$F$7:$F$256,$Q1145)))</f>
        <v>1</v>
      </c>
      <c r="P1145" s="34" t="str">
        <f aca="false">IF($A1145="","",$I1145*$O1145)</f>
        <v/>
      </c>
      <c r="Q1145" s="39" t="n">
        <f aca="false">IF($B1145="",0,IFERROR(MATCH($B1145,COA_Mapping!$A$7:$A$256,0),0))</f>
        <v>0</v>
      </c>
      <c r="R1145" s="39" t="n">
        <f aca="false">IF($A1145="",-1,IF($J1145=Setup!$B$7,1,IF($J1145=Setup!$B$9,0,-1)))</f>
        <v>-1</v>
      </c>
      <c r="S1145" s="35" t="n">
        <f aca="false">IF(OR($A1145="",$Q1145=0,$R1145=-1),0,$Q1145*1000+$R1145*100+$K1145)</f>
        <v>0</v>
      </c>
      <c r="T1145" s="37" t="str">
        <f aca="false">IF($A1145="","",IF($B1145="","NO ACCOUNT",IF($Q1145=0,"UNMAPPED",IF($R1145=-1,"OUTSIDE FY RANGE","OK"))))</f>
        <v/>
      </c>
      <c r="U1145" s="40" t="str">
        <f aca="false">IF($A1145="","",$B1145&amp;"|"&amp;TEXT($A1145,"yyyymmdd")&amp;"|"&amp;TEXT($I1145,"0.00"))</f>
        <v/>
      </c>
      <c r="V1145" s="35" t="str">
        <f aca="false">IF($A1145="","",COUNTIF($U$8:$U$5007,$U1145))</f>
        <v/>
      </c>
    </row>
    <row r="1146" customFormat="false" ht="15" hidden="false" customHeight="false" outlineLevel="0" collapsed="false">
      <c r="A1146" s="31"/>
      <c r="B1146" s="32"/>
      <c r="C1146" s="32"/>
      <c r="D1146" s="32"/>
      <c r="E1146" s="32"/>
      <c r="F1146" s="32"/>
      <c r="G1146" s="33"/>
      <c r="H1146" s="33"/>
      <c r="I1146" s="34" t="str">
        <f aca="false">IF($A1146="","",$G1146-$H1146)</f>
        <v/>
      </c>
      <c r="J1146" s="35" t="str">
        <f aca="false">IF($A1146="","",IF(Setup!$B$6=1,YEAR($A1146),YEAR($A1146)+IF(MONTH($A1146)&gt;=Setup!$B$6,1,0)))</f>
        <v/>
      </c>
      <c r="K1146" s="35" t="str">
        <f aca="false">IF($A1146="","",MOD(MONTH($A1146)-Setup!$B$6+12,12)+1)</f>
        <v/>
      </c>
      <c r="L1146" s="36" t="str">
        <f aca="false">IF($A1146="","",TEXT($A1146,"MMM-YY"))</f>
        <v/>
      </c>
      <c r="M1146" s="37" t="str">
        <f aca="false">IF($A1146="","",IF($Q1146=0,"UNMAPPED",INDEX(COA_Mapping!$C$7:$C$256,$Q1146)))</f>
        <v/>
      </c>
      <c r="N1146" s="38" t="str">
        <f aca="false">IF($A1146="","",IF($Q1146=0,"",INDEX(COA_Mapping!$E$7:$E$256,$Q1146)))</f>
        <v/>
      </c>
      <c r="O1146" s="38" t="n">
        <f aca="false">IF($A1146="",1,IF($Q1146=0,1,INDEX(COA_Mapping!$F$7:$F$256,$Q1146)))</f>
        <v>1</v>
      </c>
      <c r="P1146" s="34" t="str">
        <f aca="false">IF($A1146="","",$I1146*$O1146)</f>
        <v/>
      </c>
      <c r="Q1146" s="39" t="n">
        <f aca="false">IF($B1146="",0,IFERROR(MATCH($B1146,COA_Mapping!$A$7:$A$256,0),0))</f>
        <v>0</v>
      </c>
      <c r="R1146" s="39" t="n">
        <f aca="false">IF($A1146="",-1,IF($J1146=Setup!$B$7,1,IF($J1146=Setup!$B$9,0,-1)))</f>
        <v>-1</v>
      </c>
      <c r="S1146" s="35" t="n">
        <f aca="false">IF(OR($A1146="",$Q1146=0,$R1146=-1),0,$Q1146*1000+$R1146*100+$K1146)</f>
        <v>0</v>
      </c>
      <c r="T1146" s="37" t="str">
        <f aca="false">IF($A1146="","",IF($B1146="","NO ACCOUNT",IF($Q1146=0,"UNMAPPED",IF($R1146=-1,"OUTSIDE FY RANGE","OK"))))</f>
        <v/>
      </c>
      <c r="U1146" s="40" t="str">
        <f aca="false">IF($A1146="","",$B1146&amp;"|"&amp;TEXT($A1146,"yyyymmdd")&amp;"|"&amp;TEXT($I1146,"0.00"))</f>
        <v/>
      </c>
      <c r="V1146" s="35" t="str">
        <f aca="false">IF($A1146="","",COUNTIF($U$8:$U$5007,$U1146))</f>
        <v/>
      </c>
    </row>
    <row r="1147" customFormat="false" ht="15" hidden="false" customHeight="false" outlineLevel="0" collapsed="false">
      <c r="A1147" s="31"/>
      <c r="B1147" s="32"/>
      <c r="C1147" s="32"/>
      <c r="D1147" s="32"/>
      <c r="E1147" s="32"/>
      <c r="F1147" s="32"/>
      <c r="G1147" s="33"/>
      <c r="H1147" s="33"/>
      <c r="I1147" s="34" t="str">
        <f aca="false">IF($A1147="","",$G1147-$H1147)</f>
        <v/>
      </c>
      <c r="J1147" s="35" t="str">
        <f aca="false">IF($A1147="","",IF(Setup!$B$6=1,YEAR($A1147),YEAR($A1147)+IF(MONTH($A1147)&gt;=Setup!$B$6,1,0)))</f>
        <v/>
      </c>
      <c r="K1147" s="35" t="str">
        <f aca="false">IF($A1147="","",MOD(MONTH($A1147)-Setup!$B$6+12,12)+1)</f>
        <v/>
      </c>
      <c r="L1147" s="36" t="str">
        <f aca="false">IF($A1147="","",TEXT($A1147,"MMM-YY"))</f>
        <v/>
      </c>
      <c r="M1147" s="37" t="str">
        <f aca="false">IF($A1147="","",IF($Q1147=0,"UNMAPPED",INDEX(COA_Mapping!$C$7:$C$256,$Q1147)))</f>
        <v/>
      </c>
      <c r="N1147" s="38" t="str">
        <f aca="false">IF($A1147="","",IF($Q1147=0,"",INDEX(COA_Mapping!$E$7:$E$256,$Q1147)))</f>
        <v/>
      </c>
      <c r="O1147" s="38" t="n">
        <f aca="false">IF($A1147="",1,IF($Q1147=0,1,INDEX(COA_Mapping!$F$7:$F$256,$Q1147)))</f>
        <v>1</v>
      </c>
      <c r="P1147" s="34" t="str">
        <f aca="false">IF($A1147="","",$I1147*$O1147)</f>
        <v/>
      </c>
      <c r="Q1147" s="39" t="n">
        <f aca="false">IF($B1147="",0,IFERROR(MATCH($B1147,COA_Mapping!$A$7:$A$256,0),0))</f>
        <v>0</v>
      </c>
      <c r="R1147" s="39" t="n">
        <f aca="false">IF($A1147="",-1,IF($J1147=Setup!$B$7,1,IF($J1147=Setup!$B$9,0,-1)))</f>
        <v>-1</v>
      </c>
      <c r="S1147" s="35" t="n">
        <f aca="false">IF(OR($A1147="",$Q1147=0,$R1147=-1),0,$Q1147*1000+$R1147*100+$K1147)</f>
        <v>0</v>
      </c>
      <c r="T1147" s="37" t="str">
        <f aca="false">IF($A1147="","",IF($B1147="","NO ACCOUNT",IF($Q1147=0,"UNMAPPED",IF($R1147=-1,"OUTSIDE FY RANGE","OK"))))</f>
        <v/>
      </c>
      <c r="U1147" s="40" t="str">
        <f aca="false">IF($A1147="","",$B1147&amp;"|"&amp;TEXT($A1147,"yyyymmdd")&amp;"|"&amp;TEXT($I1147,"0.00"))</f>
        <v/>
      </c>
      <c r="V1147" s="35" t="str">
        <f aca="false">IF($A1147="","",COUNTIF($U$8:$U$5007,$U1147))</f>
        <v/>
      </c>
    </row>
    <row r="1148" customFormat="false" ht="15" hidden="false" customHeight="false" outlineLevel="0" collapsed="false">
      <c r="A1148" s="31"/>
      <c r="B1148" s="32"/>
      <c r="C1148" s="32"/>
      <c r="D1148" s="32"/>
      <c r="E1148" s="32"/>
      <c r="F1148" s="32"/>
      <c r="G1148" s="33"/>
      <c r="H1148" s="33"/>
      <c r="I1148" s="34" t="str">
        <f aca="false">IF($A1148="","",$G1148-$H1148)</f>
        <v/>
      </c>
      <c r="J1148" s="35" t="str">
        <f aca="false">IF($A1148="","",IF(Setup!$B$6=1,YEAR($A1148),YEAR($A1148)+IF(MONTH($A1148)&gt;=Setup!$B$6,1,0)))</f>
        <v/>
      </c>
      <c r="K1148" s="35" t="str">
        <f aca="false">IF($A1148="","",MOD(MONTH($A1148)-Setup!$B$6+12,12)+1)</f>
        <v/>
      </c>
      <c r="L1148" s="36" t="str">
        <f aca="false">IF($A1148="","",TEXT($A1148,"MMM-YY"))</f>
        <v/>
      </c>
      <c r="M1148" s="37" t="str">
        <f aca="false">IF($A1148="","",IF($Q1148=0,"UNMAPPED",INDEX(COA_Mapping!$C$7:$C$256,$Q1148)))</f>
        <v/>
      </c>
      <c r="N1148" s="38" t="str">
        <f aca="false">IF($A1148="","",IF($Q1148=0,"",INDEX(COA_Mapping!$E$7:$E$256,$Q1148)))</f>
        <v/>
      </c>
      <c r="O1148" s="38" t="n">
        <f aca="false">IF($A1148="",1,IF($Q1148=0,1,INDEX(COA_Mapping!$F$7:$F$256,$Q1148)))</f>
        <v>1</v>
      </c>
      <c r="P1148" s="34" t="str">
        <f aca="false">IF($A1148="","",$I1148*$O1148)</f>
        <v/>
      </c>
      <c r="Q1148" s="39" t="n">
        <f aca="false">IF($B1148="",0,IFERROR(MATCH($B1148,COA_Mapping!$A$7:$A$256,0),0))</f>
        <v>0</v>
      </c>
      <c r="R1148" s="39" t="n">
        <f aca="false">IF($A1148="",-1,IF($J1148=Setup!$B$7,1,IF($J1148=Setup!$B$9,0,-1)))</f>
        <v>-1</v>
      </c>
      <c r="S1148" s="35" t="n">
        <f aca="false">IF(OR($A1148="",$Q1148=0,$R1148=-1),0,$Q1148*1000+$R1148*100+$K1148)</f>
        <v>0</v>
      </c>
      <c r="T1148" s="37" t="str">
        <f aca="false">IF($A1148="","",IF($B1148="","NO ACCOUNT",IF($Q1148=0,"UNMAPPED",IF($R1148=-1,"OUTSIDE FY RANGE","OK"))))</f>
        <v/>
      </c>
      <c r="U1148" s="40" t="str">
        <f aca="false">IF($A1148="","",$B1148&amp;"|"&amp;TEXT($A1148,"yyyymmdd")&amp;"|"&amp;TEXT($I1148,"0.00"))</f>
        <v/>
      </c>
      <c r="V1148" s="35" t="str">
        <f aca="false">IF($A1148="","",COUNTIF($U$8:$U$5007,$U1148))</f>
        <v/>
      </c>
    </row>
    <row r="1149" customFormat="false" ht="15" hidden="false" customHeight="false" outlineLevel="0" collapsed="false">
      <c r="A1149" s="31"/>
      <c r="B1149" s="32"/>
      <c r="C1149" s="32"/>
      <c r="D1149" s="32"/>
      <c r="E1149" s="32"/>
      <c r="F1149" s="32"/>
      <c r="G1149" s="33"/>
      <c r="H1149" s="33"/>
      <c r="I1149" s="34" t="str">
        <f aca="false">IF($A1149="","",$G1149-$H1149)</f>
        <v/>
      </c>
      <c r="J1149" s="35" t="str">
        <f aca="false">IF($A1149="","",IF(Setup!$B$6=1,YEAR($A1149),YEAR($A1149)+IF(MONTH($A1149)&gt;=Setup!$B$6,1,0)))</f>
        <v/>
      </c>
      <c r="K1149" s="35" t="str">
        <f aca="false">IF($A1149="","",MOD(MONTH($A1149)-Setup!$B$6+12,12)+1)</f>
        <v/>
      </c>
      <c r="L1149" s="36" t="str">
        <f aca="false">IF($A1149="","",TEXT($A1149,"MMM-YY"))</f>
        <v/>
      </c>
      <c r="M1149" s="37" t="str">
        <f aca="false">IF($A1149="","",IF($Q1149=0,"UNMAPPED",INDEX(COA_Mapping!$C$7:$C$256,$Q1149)))</f>
        <v/>
      </c>
      <c r="N1149" s="38" t="str">
        <f aca="false">IF($A1149="","",IF($Q1149=0,"",INDEX(COA_Mapping!$E$7:$E$256,$Q1149)))</f>
        <v/>
      </c>
      <c r="O1149" s="38" t="n">
        <f aca="false">IF($A1149="",1,IF($Q1149=0,1,INDEX(COA_Mapping!$F$7:$F$256,$Q1149)))</f>
        <v>1</v>
      </c>
      <c r="P1149" s="34" t="str">
        <f aca="false">IF($A1149="","",$I1149*$O1149)</f>
        <v/>
      </c>
      <c r="Q1149" s="39" t="n">
        <f aca="false">IF($B1149="",0,IFERROR(MATCH($B1149,COA_Mapping!$A$7:$A$256,0),0))</f>
        <v>0</v>
      </c>
      <c r="R1149" s="39" t="n">
        <f aca="false">IF($A1149="",-1,IF($J1149=Setup!$B$7,1,IF($J1149=Setup!$B$9,0,-1)))</f>
        <v>-1</v>
      </c>
      <c r="S1149" s="35" t="n">
        <f aca="false">IF(OR($A1149="",$Q1149=0,$R1149=-1),0,$Q1149*1000+$R1149*100+$K1149)</f>
        <v>0</v>
      </c>
      <c r="T1149" s="37" t="str">
        <f aca="false">IF($A1149="","",IF($B1149="","NO ACCOUNT",IF($Q1149=0,"UNMAPPED",IF($R1149=-1,"OUTSIDE FY RANGE","OK"))))</f>
        <v/>
      </c>
      <c r="U1149" s="40" t="str">
        <f aca="false">IF($A1149="","",$B1149&amp;"|"&amp;TEXT($A1149,"yyyymmdd")&amp;"|"&amp;TEXT($I1149,"0.00"))</f>
        <v/>
      </c>
      <c r="V1149" s="35" t="str">
        <f aca="false">IF($A1149="","",COUNTIF($U$8:$U$5007,$U1149))</f>
        <v/>
      </c>
    </row>
    <row r="1150" customFormat="false" ht="15" hidden="false" customHeight="false" outlineLevel="0" collapsed="false">
      <c r="A1150" s="31"/>
      <c r="B1150" s="32"/>
      <c r="C1150" s="32"/>
      <c r="D1150" s="32"/>
      <c r="E1150" s="32"/>
      <c r="F1150" s="32"/>
      <c r="G1150" s="33"/>
      <c r="H1150" s="33"/>
      <c r="I1150" s="34" t="str">
        <f aca="false">IF($A1150="","",$G1150-$H1150)</f>
        <v/>
      </c>
      <c r="J1150" s="35" t="str">
        <f aca="false">IF($A1150="","",IF(Setup!$B$6=1,YEAR($A1150),YEAR($A1150)+IF(MONTH($A1150)&gt;=Setup!$B$6,1,0)))</f>
        <v/>
      </c>
      <c r="K1150" s="35" t="str">
        <f aca="false">IF($A1150="","",MOD(MONTH($A1150)-Setup!$B$6+12,12)+1)</f>
        <v/>
      </c>
      <c r="L1150" s="36" t="str">
        <f aca="false">IF($A1150="","",TEXT($A1150,"MMM-YY"))</f>
        <v/>
      </c>
      <c r="M1150" s="37" t="str">
        <f aca="false">IF($A1150="","",IF($Q1150=0,"UNMAPPED",INDEX(COA_Mapping!$C$7:$C$256,$Q1150)))</f>
        <v/>
      </c>
      <c r="N1150" s="38" t="str">
        <f aca="false">IF($A1150="","",IF($Q1150=0,"",INDEX(COA_Mapping!$E$7:$E$256,$Q1150)))</f>
        <v/>
      </c>
      <c r="O1150" s="38" t="n">
        <f aca="false">IF($A1150="",1,IF($Q1150=0,1,INDEX(COA_Mapping!$F$7:$F$256,$Q1150)))</f>
        <v>1</v>
      </c>
      <c r="P1150" s="34" t="str">
        <f aca="false">IF($A1150="","",$I1150*$O1150)</f>
        <v/>
      </c>
      <c r="Q1150" s="39" t="n">
        <f aca="false">IF($B1150="",0,IFERROR(MATCH($B1150,COA_Mapping!$A$7:$A$256,0),0))</f>
        <v>0</v>
      </c>
      <c r="R1150" s="39" t="n">
        <f aca="false">IF($A1150="",-1,IF($J1150=Setup!$B$7,1,IF($J1150=Setup!$B$9,0,-1)))</f>
        <v>-1</v>
      </c>
      <c r="S1150" s="35" t="n">
        <f aca="false">IF(OR($A1150="",$Q1150=0,$R1150=-1),0,$Q1150*1000+$R1150*100+$K1150)</f>
        <v>0</v>
      </c>
      <c r="T1150" s="37" t="str">
        <f aca="false">IF($A1150="","",IF($B1150="","NO ACCOUNT",IF($Q1150=0,"UNMAPPED",IF($R1150=-1,"OUTSIDE FY RANGE","OK"))))</f>
        <v/>
      </c>
      <c r="U1150" s="40" t="str">
        <f aca="false">IF($A1150="","",$B1150&amp;"|"&amp;TEXT($A1150,"yyyymmdd")&amp;"|"&amp;TEXT($I1150,"0.00"))</f>
        <v/>
      </c>
      <c r="V1150" s="35" t="str">
        <f aca="false">IF($A1150="","",COUNTIF($U$8:$U$5007,$U1150))</f>
        <v/>
      </c>
    </row>
    <row r="1151" customFormat="false" ht="15" hidden="false" customHeight="false" outlineLevel="0" collapsed="false">
      <c r="A1151" s="31"/>
      <c r="B1151" s="32"/>
      <c r="C1151" s="32"/>
      <c r="D1151" s="32"/>
      <c r="E1151" s="32"/>
      <c r="F1151" s="32"/>
      <c r="G1151" s="33"/>
      <c r="H1151" s="33"/>
      <c r="I1151" s="34" t="str">
        <f aca="false">IF($A1151="","",$G1151-$H1151)</f>
        <v/>
      </c>
      <c r="J1151" s="35" t="str">
        <f aca="false">IF($A1151="","",IF(Setup!$B$6=1,YEAR($A1151),YEAR($A1151)+IF(MONTH($A1151)&gt;=Setup!$B$6,1,0)))</f>
        <v/>
      </c>
      <c r="K1151" s="35" t="str">
        <f aca="false">IF($A1151="","",MOD(MONTH($A1151)-Setup!$B$6+12,12)+1)</f>
        <v/>
      </c>
      <c r="L1151" s="36" t="str">
        <f aca="false">IF($A1151="","",TEXT($A1151,"MMM-YY"))</f>
        <v/>
      </c>
      <c r="M1151" s="37" t="str">
        <f aca="false">IF($A1151="","",IF($Q1151=0,"UNMAPPED",INDEX(COA_Mapping!$C$7:$C$256,$Q1151)))</f>
        <v/>
      </c>
      <c r="N1151" s="38" t="str">
        <f aca="false">IF($A1151="","",IF($Q1151=0,"",INDEX(COA_Mapping!$E$7:$E$256,$Q1151)))</f>
        <v/>
      </c>
      <c r="O1151" s="38" t="n">
        <f aca="false">IF($A1151="",1,IF($Q1151=0,1,INDEX(COA_Mapping!$F$7:$F$256,$Q1151)))</f>
        <v>1</v>
      </c>
      <c r="P1151" s="34" t="str">
        <f aca="false">IF($A1151="","",$I1151*$O1151)</f>
        <v/>
      </c>
      <c r="Q1151" s="39" t="n">
        <f aca="false">IF($B1151="",0,IFERROR(MATCH($B1151,COA_Mapping!$A$7:$A$256,0),0))</f>
        <v>0</v>
      </c>
      <c r="R1151" s="39" t="n">
        <f aca="false">IF($A1151="",-1,IF($J1151=Setup!$B$7,1,IF($J1151=Setup!$B$9,0,-1)))</f>
        <v>-1</v>
      </c>
      <c r="S1151" s="35" t="n">
        <f aca="false">IF(OR($A1151="",$Q1151=0,$R1151=-1),0,$Q1151*1000+$R1151*100+$K1151)</f>
        <v>0</v>
      </c>
      <c r="T1151" s="37" t="str">
        <f aca="false">IF($A1151="","",IF($B1151="","NO ACCOUNT",IF($Q1151=0,"UNMAPPED",IF($R1151=-1,"OUTSIDE FY RANGE","OK"))))</f>
        <v/>
      </c>
      <c r="U1151" s="40" t="str">
        <f aca="false">IF($A1151="","",$B1151&amp;"|"&amp;TEXT($A1151,"yyyymmdd")&amp;"|"&amp;TEXT($I1151,"0.00"))</f>
        <v/>
      </c>
      <c r="V1151" s="35" t="str">
        <f aca="false">IF($A1151="","",COUNTIF($U$8:$U$5007,$U1151))</f>
        <v/>
      </c>
    </row>
    <row r="1152" customFormat="false" ht="15" hidden="false" customHeight="false" outlineLevel="0" collapsed="false">
      <c r="A1152" s="31"/>
      <c r="B1152" s="32"/>
      <c r="C1152" s="32"/>
      <c r="D1152" s="32"/>
      <c r="E1152" s="32"/>
      <c r="F1152" s="32"/>
      <c r="G1152" s="33"/>
      <c r="H1152" s="33"/>
      <c r="I1152" s="34" t="str">
        <f aca="false">IF($A1152="","",$G1152-$H1152)</f>
        <v/>
      </c>
      <c r="J1152" s="35" t="str">
        <f aca="false">IF($A1152="","",IF(Setup!$B$6=1,YEAR($A1152),YEAR($A1152)+IF(MONTH($A1152)&gt;=Setup!$B$6,1,0)))</f>
        <v/>
      </c>
      <c r="K1152" s="35" t="str">
        <f aca="false">IF($A1152="","",MOD(MONTH($A1152)-Setup!$B$6+12,12)+1)</f>
        <v/>
      </c>
      <c r="L1152" s="36" t="str">
        <f aca="false">IF($A1152="","",TEXT($A1152,"MMM-YY"))</f>
        <v/>
      </c>
      <c r="M1152" s="37" t="str">
        <f aca="false">IF($A1152="","",IF($Q1152=0,"UNMAPPED",INDEX(COA_Mapping!$C$7:$C$256,$Q1152)))</f>
        <v/>
      </c>
      <c r="N1152" s="38" t="str">
        <f aca="false">IF($A1152="","",IF($Q1152=0,"",INDEX(COA_Mapping!$E$7:$E$256,$Q1152)))</f>
        <v/>
      </c>
      <c r="O1152" s="38" t="n">
        <f aca="false">IF($A1152="",1,IF($Q1152=0,1,INDEX(COA_Mapping!$F$7:$F$256,$Q1152)))</f>
        <v>1</v>
      </c>
      <c r="P1152" s="34" t="str">
        <f aca="false">IF($A1152="","",$I1152*$O1152)</f>
        <v/>
      </c>
      <c r="Q1152" s="39" t="n">
        <f aca="false">IF($B1152="",0,IFERROR(MATCH($B1152,COA_Mapping!$A$7:$A$256,0),0))</f>
        <v>0</v>
      </c>
      <c r="R1152" s="39" t="n">
        <f aca="false">IF($A1152="",-1,IF($J1152=Setup!$B$7,1,IF($J1152=Setup!$B$9,0,-1)))</f>
        <v>-1</v>
      </c>
      <c r="S1152" s="35" t="n">
        <f aca="false">IF(OR($A1152="",$Q1152=0,$R1152=-1),0,$Q1152*1000+$R1152*100+$K1152)</f>
        <v>0</v>
      </c>
      <c r="T1152" s="37" t="str">
        <f aca="false">IF($A1152="","",IF($B1152="","NO ACCOUNT",IF($Q1152=0,"UNMAPPED",IF($R1152=-1,"OUTSIDE FY RANGE","OK"))))</f>
        <v/>
      </c>
      <c r="U1152" s="40" t="str">
        <f aca="false">IF($A1152="","",$B1152&amp;"|"&amp;TEXT($A1152,"yyyymmdd")&amp;"|"&amp;TEXT($I1152,"0.00"))</f>
        <v/>
      </c>
      <c r="V1152" s="35" t="str">
        <f aca="false">IF($A1152="","",COUNTIF($U$8:$U$5007,$U1152))</f>
        <v/>
      </c>
    </row>
    <row r="1153" customFormat="false" ht="15" hidden="false" customHeight="false" outlineLevel="0" collapsed="false">
      <c r="A1153" s="31"/>
      <c r="B1153" s="32"/>
      <c r="C1153" s="32"/>
      <c r="D1153" s="32"/>
      <c r="E1153" s="32"/>
      <c r="F1153" s="32"/>
      <c r="G1153" s="33"/>
      <c r="H1153" s="33"/>
      <c r="I1153" s="34" t="str">
        <f aca="false">IF($A1153="","",$G1153-$H1153)</f>
        <v/>
      </c>
      <c r="J1153" s="35" t="str">
        <f aca="false">IF($A1153="","",IF(Setup!$B$6=1,YEAR($A1153),YEAR($A1153)+IF(MONTH($A1153)&gt;=Setup!$B$6,1,0)))</f>
        <v/>
      </c>
      <c r="K1153" s="35" t="str">
        <f aca="false">IF($A1153="","",MOD(MONTH($A1153)-Setup!$B$6+12,12)+1)</f>
        <v/>
      </c>
      <c r="L1153" s="36" t="str">
        <f aca="false">IF($A1153="","",TEXT($A1153,"MMM-YY"))</f>
        <v/>
      </c>
      <c r="M1153" s="37" t="str">
        <f aca="false">IF($A1153="","",IF($Q1153=0,"UNMAPPED",INDEX(COA_Mapping!$C$7:$C$256,$Q1153)))</f>
        <v/>
      </c>
      <c r="N1153" s="38" t="str">
        <f aca="false">IF($A1153="","",IF($Q1153=0,"",INDEX(COA_Mapping!$E$7:$E$256,$Q1153)))</f>
        <v/>
      </c>
      <c r="O1153" s="38" t="n">
        <f aca="false">IF($A1153="",1,IF($Q1153=0,1,INDEX(COA_Mapping!$F$7:$F$256,$Q1153)))</f>
        <v>1</v>
      </c>
      <c r="P1153" s="34" t="str">
        <f aca="false">IF($A1153="","",$I1153*$O1153)</f>
        <v/>
      </c>
      <c r="Q1153" s="39" t="n">
        <f aca="false">IF($B1153="",0,IFERROR(MATCH($B1153,COA_Mapping!$A$7:$A$256,0),0))</f>
        <v>0</v>
      </c>
      <c r="R1153" s="39" t="n">
        <f aca="false">IF($A1153="",-1,IF($J1153=Setup!$B$7,1,IF($J1153=Setup!$B$9,0,-1)))</f>
        <v>-1</v>
      </c>
      <c r="S1153" s="35" t="n">
        <f aca="false">IF(OR($A1153="",$Q1153=0,$R1153=-1),0,$Q1153*1000+$R1153*100+$K1153)</f>
        <v>0</v>
      </c>
      <c r="T1153" s="37" t="str">
        <f aca="false">IF($A1153="","",IF($B1153="","NO ACCOUNT",IF($Q1153=0,"UNMAPPED",IF($R1153=-1,"OUTSIDE FY RANGE","OK"))))</f>
        <v/>
      </c>
      <c r="U1153" s="40" t="str">
        <f aca="false">IF($A1153="","",$B1153&amp;"|"&amp;TEXT($A1153,"yyyymmdd")&amp;"|"&amp;TEXT($I1153,"0.00"))</f>
        <v/>
      </c>
      <c r="V1153" s="35" t="str">
        <f aca="false">IF($A1153="","",COUNTIF($U$8:$U$5007,$U1153))</f>
        <v/>
      </c>
    </row>
    <row r="1154" customFormat="false" ht="15" hidden="false" customHeight="false" outlineLevel="0" collapsed="false">
      <c r="A1154" s="31"/>
      <c r="B1154" s="32"/>
      <c r="C1154" s="32"/>
      <c r="D1154" s="32"/>
      <c r="E1154" s="32"/>
      <c r="F1154" s="32"/>
      <c r="G1154" s="33"/>
      <c r="H1154" s="33"/>
      <c r="I1154" s="34" t="str">
        <f aca="false">IF($A1154="","",$G1154-$H1154)</f>
        <v/>
      </c>
      <c r="J1154" s="35" t="str">
        <f aca="false">IF($A1154="","",IF(Setup!$B$6=1,YEAR($A1154),YEAR($A1154)+IF(MONTH($A1154)&gt;=Setup!$B$6,1,0)))</f>
        <v/>
      </c>
      <c r="K1154" s="35" t="str">
        <f aca="false">IF($A1154="","",MOD(MONTH($A1154)-Setup!$B$6+12,12)+1)</f>
        <v/>
      </c>
      <c r="L1154" s="36" t="str">
        <f aca="false">IF($A1154="","",TEXT($A1154,"MMM-YY"))</f>
        <v/>
      </c>
      <c r="M1154" s="37" t="str">
        <f aca="false">IF($A1154="","",IF($Q1154=0,"UNMAPPED",INDEX(COA_Mapping!$C$7:$C$256,$Q1154)))</f>
        <v/>
      </c>
      <c r="N1154" s="38" t="str">
        <f aca="false">IF($A1154="","",IF($Q1154=0,"",INDEX(COA_Mapping!$E$7:$E$256,$Q1154)))</f>
        <v/>
      </c>
      <c r="O1154" s="38" t="n">
        <f aca="false">IF($A1154="",1,IF($Q1154=0,1,INDEX(COA_Mapping!$F$7:$F$256,$Q1154)))</f>
        <v>1</v>
      </c>
      <c r="P1154" s="34" t="str">
        <f aca="false">IF($A1154="","",$I1154*$O1154)</f>
        <v/>
      </c>
      <c r="Q1154" s="39" t="n">
        <f aca="false">IF($B1154="",0,IFERROR(MATCH($B1154,COA_Mapping!$A$7:$A$256,0),0))</f>
        <v>0</v>
      </c>
      <c r="R1154" s="39" t="n">
        <f aca="false">IF($A1154="",-1,IF($J1154=Setup!$B$7,1,IF($J1154=Setup!$B$9,0,-1)))</f>
        <v>-1</v>
      </c>
      <c r="S1154" s="35" t="n">
        <f aca="false">IF(OR($A1154="",$Q1154=0,$R1154=-1),0,$Q1154*1000+$R1154*100+$K1154)</f>
        <v>0</v>
      </c>
      <c r="T1154" s="37" t="str">
        <f aca="false">IF($A1154="","",IF($B1154="","NO ACCOUNT",IF($Q1154=0,"UNMAPPED",IF($R1154=-1,"OUTSIDE FY RANGE","OK"))))</f>
        <v/>
      </c>
      <c r="U1154" s="40" t="str">
        <f aca="false">IF($A1154="","",$B1154&amp;"|"&amp;TEXT($A1154,"yyyymmdd")&amp;"|"&amp;TEXT($I1154,"0.00"))</f>
        <v/>
      </c>
      <c r="V1154" s="35" t="str">
        <f aca="false">IF($A1154="","",COUNTIF($U$8:$U$5007,$U1154))</f>
        <v/>
      </c>
    </row>
    <row r="1155" customFormat="false" ht="15" hidden="false" customHeight="false" outlineLevel="0" collapsed="false">
      <c r="A1155" s="31"/>
      <c r="B1155" s="32"/>
      <c r="C1155" s="32"/>
      <c r="D1155" s="32"/>
      <c r="E1155" s="32"/>
      <c r="F1155" s="32"/>
      <c r="G1155" s="33"/>
      <c r="H1155" s="33"/>
      <c r="I1155" s="34" t="str">
        <f aca="false">IF($A1155="","",$G1155-$H1155)</f>
        <v/>
      </c>
      <c r="J1155" s="35" t="str">
        <f aca="false">IF($A1155="","",IF(Setup!$B$6=1,YEAR($A1155),YEAR($A1155)+IF(MONTH($A1155)&gt;=Setup!$B$6,1,0)))</f>
        <v/>
      </c>
      <c r="K1155" s="35" t="str">
        <f aca="false">IF($A1155="","",MOD(MONTH($A1155)-Setup!$B$6+12,12)+1)</f>
        <v/>
      </c>
      <c r="L1155" s="36" t="str">
        <f aca="false">IF($A1155="","",TEXT($A1155,"MMM-YY"))</f>
        <v/>
      </c>
      <c r="M1155" s="37" t="str">
        <f aca="false">IF($A1155="","",IF($Q1155=0,"UNMAPPED",INDEX(COA_Mapping!$C$7:$C$256,$Q1155)))</f>
        <v/>
      </c>
      <c r="N1155" s="38" t="str">
        <f aca="false">IF($A1155="","",IF($Q1155=0,"",INDEX(COA_Mapping!$E$7:$E$256,$Q1155)))</f>
        <v/>
      </c>
      <c r="O1155" s="38" t="n">
        <f aca="false">IF($A1155="",1,IF($Q1155=0,1,INDEX(COA_Mapping!$F$7:$F$256,$Q1155)))</f>
        <v>1</v>
      </c>
      <c r="P1155" s="34" t="str">
        <f aca="false">IF($A1155="","",$I1155*$O1155)</f>
        <v/>
      </c>
      <c r="Q1155" s="39" t="n">
        <f aca="false">IF($B1155="",0,IFERROR(MATCH($B1155,COA_Mapping!$A$7:$A$256,0),0))</f>
        <v>0</v>
      </c>
      <c r="R1155" s="39" t="n">
        <f aca="false">IF($A1155="",-1,IF($J1155=Setup!$B$7,1,IF($J1155=Setup!$B$9,0,-1)))</f>
        <v>-1</v>
      </c>
      <c r="S1155" s="35" t="n">
        <f aca="false">IF(OR($A1155="",$Q1155=0,$R1155=-1),0,$Q1155*1000+$R1155*100+$K1155)</f>
        <v>0</v>
      </c>
      <c r="T1155" s="37" t="str">
        <f aca="false">IF($A1155="","",IF($B1155="","NO ACCOUNT",IF($Q1155=0,"UNMAPPED",IF($R1155=-1,"OUTSIDE FY RANGE","OK"))))</f>
        <v/>
      </c>
      <c r="U1155" s="40" t="str">
        <f aca="false">IF($A1155="","",$B1155&amp;"|"&amp;TEXT($A1155,"yyyymmdd")&amp;"|"&amp;TEXT($I1155,"0.00"))</f>
        <v/>
      </c>
      <c r="V1155" s="35" t="str">
        <f aca="false">IF($A1155="","",COUNTIF($U$8:$U$5007,$U1155))</f>
        <v/>
      </c>
    </row>
    <row r="1156" customFormat="false" ht="15" hidden="false" customHeight="false" outlineLevel="0" collapsed="false">
      <c r="A1156" s="31"/>
      <c r="B1156" s="32"/>
      <c r="C1156" s="32"/>
      <c r="D1156" s="32"/>
      <c r="E1156" s="32"/>
      <c r="F1156" s="32"/>
      <c r="G1156" s="33"/>
      <c r="H1156" s="33"/>
      <c r="I1156" s="34" t="str">
        <f aca="false">IF($A1156="","",$G1156-$H1156)</f>
        <v/>
      </c>
      <c r="J1156" s="35" t="str">
        <f aca="false">IF($A1156="","",IF(Setup!$B$6=1,YEAR($A1156),YEAR($A1156)+IF(MONTH($A1156)&gt;=Setup!$B$6,1,0)))</f>
        <v/>
      </c>
      <c r="K1156" s="35" t="str">
        <f aca="false">IF($A1156="","",MOD(MONTH($A1156)-Setup!$B$6+12,12)+1)</f>
        <v/>
      </c>
      <c r="L1156" s="36" t="str">
        <f aca="false">IF($A1156="","",TEXT($A1156,"MMM-YY"))</f>
        <v/>
      </c>
      <c r="M1156" s="37" t="str">
        <f aca="false">IF($A1156="","",IF($Q1156=0,"UNMAPPED",INDEX(COA_Mapping!$C$7:$C$256,$Q1156)))</f>
        <v/>
      </c>
      <c r="N1156" s="38" t="str">
        <f aca="false">IF($A1156="","",IF($Q1156=0,"",INDEX(COA_Mapping!$E$7:$E$256,$Q1156)))</f>
        <v/>
      </c>
      <c r="O1156" s="38" t="n">
        <f aca="false">IF($A1156="",1,IF($Q1156=0,1,INDEX(COA_Mapping!$F$7:$F$256,$Q1156)))</f>
        <v>1</v>
      </c>
      <c r="P1156" s="34" t="str">
        <f aca="false">IF($A1156="","",$I1156*$O1156)</f>
        <v/>
      </c>
      <c r="Q1156" s="39" t="n">
        <f aca="false">IF($B1156="",0,IFERROR(MATCH($B1156,COA_Mapping!$A$7:$A$256,0),0))</f>
        <v>0</v>
      </c>
      <c r="R1156" s="39" t="n">
        <f aca="false">IF($A1156="",-1,IF($J1156=Setup!$B$7,1,IF($J1156=Setup!$B$9,0,-1)))</f>
        <v>-1</v>
      </c>
      <c r="S1156" s="35" t="n">
        <f aca="false">IF(OR($A1156="",$Q1156=0,$R1156=-1),0,$Q1156*1000+$R1156*100+$K1156)</f>
        <v>0</v>
      </c>
      <c r="T1156" s="37" t="str">
        <f aca="false">IF($A1156="","",IF($B1156="","NO ACCOUNT",IF($Q1156=0,"UNMAPPED",IF($R1156=-1,"OUTSIDE FY RANGE","OK"))))</f>
        <v/>
      </c>
      <c r="U1156" s="40" t="str">
        <f aca="false">IF($A1156="","",$B1156&amp;"|"&amp;TEXT($A1156,"yyyymmdd")&amp;"|"&amp;TEXT($I1156,"0.00"))</f>
        <v/>
      </c>
      <c r="V1156" s="35" t="str">
        <f aca="false">IF($A1156="","",COUNTIF($U$8:$U$5007,$U1156))</f>
        <v/>
      </c>
    </row>
    <row r="1157" customFormat="false" ht="15" hidden="false" customHeight="false" outlineLevel="0" collapsed="false">
      <c r="A1157" s="31"/>
      <c r="B1157" s="32"/>
      <c r="C1157" s="32"/>
      <c r="D1157" s="32"/>
      <c r="E1157" s="32"/>
      <c r="F1157" s="32"/>
      <c r="G1157" s="33"/>
      <c r="H1157" s="33"/>
      <c r="I1157" s="34" t="str">
        <f aca="false">IF($A1157="","",$G1157-$H1157)</f>
        <v/>
      </c>
      <c r="J1157" s="35" t="str">
        <f aca="false">IF($A1157="","",IF(Setup!$B$6=1,YEAR($A1157),YEAR($A1157)+IF(MONTH($A1157)&gt;=Setup!$B$6,1,0)))</f>
        <v/>
      </c>
      <c r="K1157" s="35" t="str">
        <f aca="false">IF($A1157="","",MOD(MONTH($A1157)-Setup!$B$6+12,12)+1)</f>
        <v/>
      </c>
      <c r="L1157" s="36" t="str">
        <f aca="false">IF($A1157="","",TEXT($A1157,"MMM-YY"))</f>
        <v/>
      </c>
      <c r="M1157" s="37" t="str">
        <f aca="false">IF($A1157="","",IF($Q1157=0,"UNMAPPED",INDEX(COA_Mapping!$C$7:$C$256,$Q1157)))</f>
        <v/>
      </c>
      <c r="N1157" s="38" t="str">
        <f aca="false">IF($A1157="","",IF($Q1157=0,"",INDEX(COA_Mapping!$E$7:$E$256,$Q1157)))</f>
        <v/>
      </c>
      <c r="O1157" s="38" t="n">
        <f aca="false">IF($A1157="",1,IF($Q1157=0,1,INDEX(COA_Mapping!$F$7:$F$256,$Q1157)))</f>
        <v>1</v>
      </c>
      <c r="P1157" s="34" t="str">
        <f aca="false">IF($A1157="","",$I1157*$O1157)</f>
        <v/>
      </c>
      <c r="Q1157" s="39" t="n">
        <f aca="false">IF($B1157="",0,IFERROR(MATCH($B1157,COA_Mapping!$A$7:$A$256,0),0))</f>
        <v>0</v>
      </c>
      <c r="R1157" s="39" t="n">
        <f aca="false">IF($A1157="",-1,IF($J1157=Setup!$B$7,1,IF($J1157=Setup!$B$9,0,-1)))</f>
        <v>-1</v>
      </c>
      <c r="S1157" s="35" t="n">
        <f aca="false">IF(OR($A1157="",$Q1157=0,$R1157=-1),0,$Q1157*1000+$R1157*100+$K1157)</f>
        <v>0</v>
      </c>
      <c r="T1157" s="37" t="str">
        <f aca="false">IF($A1157="","",IF($B1157="","NO ACCOUNT",IF($Q1157=0,"UNMAPPED",IF($R1157=-1,"OUTSIDE FY RANGE","OK"))))</f>
        <v/>
      </c>
      <c r="U1157" s="40" t="str">
        <f aca="false">IF($A1157="","",$B1157&amp;"|"&amp;TEXT($A1157,"yyyymmdd")&amp;"|"&amp;TEXT($I1157,"0.00"))</f>
        <v/>
      </c>
      <c r="V1157" s="35" t="str">
        <f aca="false">IF($A1157="","",COUNTIF($U$8:$U$5007,$U1157))</f>
        <v/>
      </c>
    </row>
    <row r="1158" customFormat="false" ht="15" hidden="false" customHeight="false" outlineLevel="0" collapsed="false">
      <c r="A1158" s="31"/>
      <c r="B1158" s="32"/>
      <c r="C1158" s="32"/>
      <c r="D1158" s="32"/>
      <c r="E1158" s="32"/>
      <c r="F1158" s="32"/>
      <c r="G1158" s="33"/>
      <c r="H1158" s="33"/>
      <c r="I1158" s="34" t="str">
        <f aca="false">IF($A1158="","",$G1158-$H1158)</f>
        <v/>
      </c>
      <c r="J1158" s="35" t="str">
        <f aca="false">IF($A1158="","",IF(Setup!$B$6=1,YEAR($A1158),YEAR($A1158)+IF(MONTH($A1158)&gt;=Setup!$B$6,1,0)))</f>
        <v/>
      </c>
      <c r="K1158" s="35" t="str">
        <f aca="false">IF($A1158="","",MOD(MONTH($A1158)-Setup!$B$6+12,12)+1)</f>
        <v/>
      </c>
      <c r="L1158" s="36" t="str">
        <f aca="false">IF($A1158="","",TEXT($A1158,"MMM-YY"))</f>
        <v/>
      </c>
      <c r="M1158" s="37" t="str">
        <f aca="false">IF($A1158="","",IF($Q1158=0,"UNMAPPED",INDEX(COA_Mapping!$C$7:$C$256,$Q1158)))</f>
        <v/>
      </c>
      <c r="N1158" s="38" t="str">
        <f aca="false">IF($A1158="","",IF($Q1158=0,"",INDEX(COA_Mapping!$E$7:$E$256,$Q1158)))</f>
        <v/>
      </c>
      <c r="O1158" s="38" t="n">
        <f aca="false">IF($A1158="",1,IF($Q1158=0,1,INDEX(COA_Mapping!$F$7:$F$256,$Q1158)))</f>
        <v>1</v>
      </c>
      <c r="P1158" s="34" t="str">
        <f aca="false">IF($A1158="","",$I1158*$O1158)</f>
        <v/>
      </c>
      <c r="Q1158" s="39" t="n">
        <f aca="false">IF($B1158="",0,IFERROR(MATCH($B1158,COA_Mapping!$A$7:$A$256,0),0))</f>
        <v>0</v>
      </c>
      <c r="R1158" s="39" t="n">
        <f aca="false">IF($A1158="",-1,IF($J1158=Setup!$B$7,1,IF($J1158=Setup!$B$9,0,-1)))</f>
        <v>-1</v>
      </c>
      <c r="S1158" s="35" t="n">
        <f aca="false">IF(OR($A1158="",$Q1158=0,$R1158=-1),0,$Q1158*1000+$R1158*100+$K1158)</f>
        <v>0</v>
      </c>
      <c r="T1158" s="37" t="str">
        <f aca="false">IF($A1158="","",IF($B1158="","NO ACCOUNT",IF($Q1158=0,"UNMAPPED",IF($R1158=-1,"OUTSIDE FY RANGE","OK"))))</f>
        <v/>
      </c>
      <c r="U1158" s="40" t="str">
        <f aca="false">IF($A1158="","",$B1158&amp;"|"&amp;TEXT($A1158,"yyyymmdd")&amp;"|"&amp;TEXT($I1158,"0.00"))</f>
        <v/>
      </c>
      <c r="V1158" s="35" t="str">
        <f aca="false">IF($A1158="","",COUNTIF($U$8:$U$5007,$U1158))</f>
        <v/>
      </c>
    </row>
    <row r="1159" customFormat="false" ht="15" hidden="false" customHeight="false" outlineLevel="0" collapsed="false">
      <c r="A1159" s="31"/>
      <c r="B1159" s="32"/>
      <c r="C1159" s="32"/>
      <c r="D1159" s="32"/>
      <c r="E1159" s="32"/>
      <c r="F1159" s="32"/>
      <c r="G1159" s="33"/>
      <c r="H1159" s="33"/>
      <c r="I1159" s="34" t="str">
        <f aca="false">IF($A1159="","",$G1159-$H1159)</f>
        <v/>
      </c>
      <c r="J1159" s="35" t="str">
        <f aca="false">IF($A1159="","",IF(Setup!$B$6=1,YEAR($A1159),YEAR($A1159)+IF(MONTH($A1159)&gt;=Setup!$B$6,1,0)))</f>
        <v/>
      </c>
      <c r="K1159" s="35" t="str">
        <f aca="false">IF($A1159="","",MOD(MONTH($A1159)-Setup!$B$6+12,12)+1)</f>
        <v/>
      </c>
      <c r="L1159" s="36" t="str">
        <f aca="false">IF($A1159="","",TEXT($A1159,"MMM-YY"))</f>
        <v/>
      </c>
      <c r="M1159" s="37" t="str">
        <f aca="false">IF($A1159="","",IF($Q1159=0,"UNMAPPED",INDEX(COA_Mapping!$C$7:$C$256,$Q1159)))</f>
        <v/>
      </c>
      <c r="N1159" s="38" t="str">
        <f aca="false">IF($A1159="","",IF($Q1159=0,"",INDEX(COA_Mapping!$E$7:$E$256,$Q1159)))</f>
        <v/>
      </c>
      <c r="O1159" s="38" t="n">
        <f aca="false">IF($A1159="",1,IF($Q1159=0,1,INDEX(COA_Mapping!$F$7:$F$256,$Q1159)))</f>
        <v>1</v>
      </c>
      <c r="P1159" s="34" t="str">
        <f aca="false">IF($A1159="","",$I1159*$O1159)</f>
        <v/>
      </c>
      <c r="Q1159" s="39" t="n">
        <f aca="false">IF($B1159="",0,IFERROR(MATCH($B1159,COA_Mapping!$A$7:$A$256,0),0))</f>
        <v>0</v>
      </c>
      <c r="R1159" s="39" t="n">
        <f aca="false">IF($A1159="",-1,IF($J1159=Setup!$B$7,1,IF($J1159=Setup!$B$9,0,-1)))</f>
        <v>-1</v>
      </c>
      <c r="S1159" s="35" t="n">
        <f aca="false">IF(OR($A1159="",$Q1159=0,$R1159=-1),0,$Q1159*1000+$R1159*100+$K1159)</f>
        <v>0</v>
      </c>
      <c r="T1159" s="37" t="str">
        <f aca="false">IF($A1159="","",IF($B1159="","NO ACCOUNT",IF($Q1159=0,"UNMAPPED",IF($R1159=-1,"OUTSIDE FY RANGE","OK"))))</f>
        <v/>
      </c>
      <c r="U1159" s="40" t="str">
        <f aca="false">IF($A1159="","",$B1159&amp;"|"&amp;TEXT($A1159,"yyyymmdd")&amp;"|"&amp;TEXT($I1159,"0.00"))</f>
        <v/>
      </c>
      <c r="V1159" s="35" t="str">
        <f aca="false">IF($A1159="","",COUNTIF($U$8:$U$5007,$U1159))</f>
        <v/>
      </c>
    </row>
    <row r="1160" customFormat="false" ht="15" hidden="false" customHeight="false" outlineLevel="0" collapsed="false">
      <c r="A1160" s="31"/>
      <c r="B1160" s="32"/>
      <c r="C1160" s="32"/>
      <c r="D1160" s="32"/>
      <c r="E1160" s="32"/>
      <c r="F1160" s="32"/>
      <c r="G1160" s="33"/>
      <c r="H1160" s="33"/>
      <c r="I1160" s="34" t="str">
        <f aca="false">IF($A1160="","",$G1160-$H1160)</f>
        <v/>
      </c>
      <c r="J1160" s="35" t="str">
        <f aca="false">IF($A1160="","",IF(Setup!$B$6=1,YEAR($A1160),YEAR($A1160)+IF(MONTH($A1160)&gt;=Setup!$B$6,1,0)))</f>
        <v/>
      </c>
      <c r="K1160" s="35" t="str">
        <f aca="false">IF($A1160="","",MOD(MONTH($A1160)-Setup!$B$6+12,12)+1)</f>
        <v/>
      </c>
      <c r="L1160" s="36" t="str">
        <f aca="false">IF($A1160="","",TEXT($A1160,"MMM-YY"))</f>
        <v/>
      </c>
      <c r="M1160" s="37" t="str">
        <f aca="false">IF($A1160="","",IF($Q1160=0,"UNMAPPED",INDEX(COA_Mapping!$C$7:$C$256,$Q1160)))</f>
        <v/>
      </c>
      <c r="N1160" s="38" t="str">
        <f aca="false">IF($A1160="","",IF($Q1160=0,"",INDEX(COA_Mapping!$E$7:$E$256,$Q1160)))</f>
        <v/>
      </c>
      <c r="O1160" s="38" t="n">
        <f aca="false">IF($A1160="",1,IF($Q1160=0,1,INDEX(COA_Mapping!$F$7:$F$256,$Q1160)))</f>
        <v>1</v>
      </c>
      <c r="P1160" s="34" t="str">
        <f aca="false">IF($A1160="","",$I1160*$O1160)</f>
        <v/>
      </c>
      <c r="Q1160" s="39" t="n">
        <f aca="false">IF($B1160="",0,IFERROR(MATCH($B1160,COA_Mapping!$A$7:$A$256,0),0))</f>
        <v>0</v>
      </c>
      <c r="R1160" s="39" t="n">
        <f aca="false">IF($A1160="",-1,IF($J1160=Setup!$B$7,1,IF($J1160=Setup!$B$9,0,-1)))</f>
        <v>-1</v>
      </c>
      <c r="S1160" s="35" t="n">
        <f aca="false">IF(OR($A1160="",$Q1160=0,$R1160=-1),0,$Q1160*1000+$R1160*100+$K1160)</f>
        <v>0</v>
      </c>
      <c r="T1160" s="37" t="str">
        <f aca="false">IF($A1160="","",IF($B1160="","NO ACCOUNT",IF($Q1160=0,"UNMAPPED",IF($R1160=-1,"OUTSIDE FY RANGE","OK"))))</f>
        <v/>
      </c>
      <c r="U1160" s="40" t="str">
        <f aca="false">IF($A1160="","",$B1160&amp;"|"&amp;TEXT($A1160,"yyyymmdd")&amp;"|"&amp;TEXT($I1160,"0.00"))</f>
        <v/>
      </c>
      <c r="V1160" s="35" t="str">
        <f aca="false">IF($A1160="","",COUNTIF($U$8:$U$5007,$U1160))</f>
        <v/>
      </c>
    </row>
    <row r="1161" customFormat="false" ht="15" hidden="false" customHeight="false" outlineLevel="0" collapsed="false">
      <c r="A1161" s="31"/>
      <c r="B1161" s="32"/>
      <c r="C1161" s="32"/>
      <c r="D1161" s="32"/>
      <c r="E1161" s="32"/>
      <c r="F1161" s="32"/>
      <c r="G1161" s="33"/>
      <c r="H1161" s="33"/>
      <c r="I1161" s="34" t="str">
        <f aca="false">IF($A1161="","",$G1161-$H1161)</f>
        <v/>
      </c>
      <c r="J1161" s="35" t="str">
        <f aca="false">IF($A1161="","",IF(Setup!$B$6=1,YEAR($A1161),YEAR($A1161)+IF(MONTH($A1161)&gt;=Setup!$B$6,1,0)))</f>
        <v/>
      </c>
      <c r="K1161" s="35" t="str">
        <f aca="false">IF($A1161="","",MOD(MONTH($A1161)-Setup!$B$6+12,12)+1)</f>
        <v/>
      </c>
      <c r="L1161" s="36" t="str">
        <f aca="false">IF($A1161="","",TEXT($A1161,"MMM-YY"))</f>
        <v/>
      </c>
      <c r="M1161" s="37" t="str">
        <f aca="false">IF($A1161="","",IF($Q1161=0,"UNMAPPED",INDEX(COA_Mapping!$C$7:$C$256,$Q1161)))</f>
        <v/>
      </c>
      <c r="N1161" s="38" t="str">
        <f aca="false">IF($A1161="","",IF($Q1161=0,"",INDEX(COA_Mapping!$E$7:$E$256,$Q1161)))</f>
        <v/>
      </c>
      <c r="O1161" s="38" t="n">
        <f aca="false">IF($A1161="",1,IF($Q1161=0,1,INDEX(COA_Mapping!$F$7:$F$256,$Q1161)))</f>
        <v>1</v>
      </c>
      <c r="P1161" s="34" t="str">
        <f aca="false">IF($A1161="","",$I1161*$O1161)</f>
        <v/>
      </c>
      <c r="Q1161" s="39" t="n">
        <f aca="false">IF($B1161="",0,IFERROR(MATCH($B1161,COA_Mapping!$A$7:$A$256,0),0))</f>
        <v>0</v>
      </c>
      <c r="R1161" s="39" t="n">
        <f aca="false">IF($A1161="",-1,IF($J1161=Setup!$B$7,1,IF($J1161=Setup!$B$9,0,-1)))</f>
        <v>-1</v>
      </c>
      <c r="S1161" s="35" t="n">
        <f aca="false">IF(OR($A1161="",$Q1161=0,$R1161=-1),0,$Q1161*1000+$R1161*100+$K1161)</f>
        <v>0</v>
      </c>
      <c r="T1161" s="37" t="str">
        <f aca="false">IF($A1161="","",IF($B1161="","NO ACCOUNT",IF($Q1161=0,"UNMAPPED",IF($R1161=-1,"OUTSIDE FY RANGE","OK"))))</f>
        <v/>
      </c>
      <c r="U1161" s="40" t="str">
        <f aca="false">IF($A1161="","",$B1161&amp;"|"&amp;TEXT($A1161,"yyyymmdd")&amp;"|"&amp;TEXT($I1161,"0.00"))</f>
        <v/>
      </c>
      <c r="V1161" s="35" t="str">
        <f aca="false">IF($A1161="","",COUNTIF($U$8:$U$5007,$U1161))</f>
        <v/>
      </c>
    </row>
    <row r="1162" customFormat="false" ht="15" hidden="false" customHeight="false" outlineLevel="0" collapsed="false">
      <c r="A1162" s="31"/>
      <c r="B1162" s="32"/>
      <c r="C1162" s="32"/>
      <c r="D1162" s="32"/>
      <c r="E1162" s="32"/>
      <c r="F1162" s="32"/>
      <c r="G1162" s="33"/>
      <c r="H1162" s="33"/>
      <c r="I1162" s="34" t="str">
        <f aca="false">IF($A1162="","",$G1162-$H1162)</f>
        <v/>
      </c>
      <c r="J1162" s="35" t="str">
        <f aca="false">IF($A1162="","",IF(Setup!$B$6=1,YEAR($A1162),YEAR($A1162)+IF(MONTH($A1162)&gt;=Setup!$B$6,1,0)))</f>
        <v/>
      </c>
      <c r="K1162" s="35" t="str">
        <f aca="false">IF($A1162="","",MOD(MONTH($A1162)-Setup!$B$6+12,12)+1)</f>
        <v/>
      </c>
      <c r="L1162" s="36" t="str">
        <f aca="false">IF($A1162="","",TEXT($A1162,"MMM-YY"))</f>
        <v/>
      </c>
      <c r="M1162" s="37" t="str">
        <f aca="false">IF($A1162="","",IF($Q1162=0,"UNMAPPED",INDEX(COA_Mapping!$C$7:$C$256,$Q1162)))</f>
        <v/>
      </c>
      <c r="N1162" s="38" t="str">
        <f aca="false">IF($A1162="","",IF($Q1162=0,"",INDEX(COA_Mapping!$E$7:$E$256,$Q1162)))</f>
        <v/>
      </c>
      <c r="O1162" s="38" t="n">
        <f aca="false">IF($A1162="",1,IF($Q1162=0,1,INDEX(COA_Mapping!$F$7:$F$256,$Q1162)))</f>
        <v>1</v>
      </c>
      <c r="P1162" s="34" t="str">
        <f aca="false">IF($A1162="","",$I1162*$O1162)</f>
        <v/>
      </c>
      <c r="Q1162" s="39" t="n">
        <f aca="false">IF($B1162="",0,IFERROR(MATCH($B1162,COA_Mapping!$A$7:$A$256,0),0))</f>
        <v>0</v>
      </c>
      <c r="R1162" s="39" t="n">
        <f aca="false">IF($A1162="",-1,IF($J1162=Setup!$B$7,1,IF($J1162=Setup!$B$9,0,-1)))</f>
        <v>-1</v>
      </c>
      <c r="S1162" s="35" t="n">
        <f aca="false">IF(OR($A1162="",$Q1162=0,$R1162=-1),0,$Q1162*1000+$R1162*100+$K1162)</f>
        <v>0</v>
      </c>
      <c r="T1162" s="37" t="str">
        <f aca="false">IF($A1162="","",IF($B1162="","NO ACCOUNT",IF($Q1162=0,"UNMAPPED",IF($R1162=-1,"OUTSIDE FY RANGE","OK"))))</f>
        <v/>
      </c>
      <c r="U1162" s="40" t="str">
        <f aca="false">IF($A1162="","",$B1162&amp;"|"&amp;TEXT($A1162,"yyyymmdd")&amp;"|"&amp;TEXT($I1162,"0.00"))</f>
        <v/>
      </c>
      <c r="V1162" s="35" t="str">
        <f aca="false">IF($A1162="","",COUNTIF($U$8:$U$5007,$U1162))</f>
        <v/>
      </c>
    </row>
    <row r="1163" customFormat="false" ht="15" hidden="false" customHeight="false" outlineLevel="0" collapsed="false">
      <c r="A1163" s="31"/>
      <c r="B1163" s="32"/>
      <c r="C1163" s="32"/>
      <c r="D1163" s="32"/>
      <c r="E1163" s="32"/>
      <c r="F1163" s="32"/>
      <c r="G1163" s="33"/>
      <c r="H1163" s="33"/>
      <c r="I1163" s="34" t="str">
        <f aca="false">IF($A1163="","",$G1163-$H1163)</f>
        <v/>
      </c>
      <c r="J1163" s="35" t="str">
        <f aca="false">IF($A1163="","",IF(Setup!$B$6=1,YEAR($A1163),YEAR($A1163)+IF(MONTH($A1163)&gt;=Setup!$B$6,1,0)))</f>
        <v/>
      </c>
      <c r="K1163" s="35" t="str">
        <f aca="false">IF($A1163="","",MOD(MONTH($A1163)-Setup!$B$6+12,12)+1)</f>
        <v/>
      </c>
      <c r="L1163" s="36" t="str">
        <f aca="false">IF($A1163="","",TEXT($A1163,"MMM-YY"))</f>
        <v/>
      </c>
      <c r="M1163" s="37" t="str">
        <f aca="false">IF($A1163="","",IF($Q1163=0,"UNMAPPED",INDEX(COA_Mapping!$C$7:$C$256,$Q1163)))</f>
        <v/>
      </c>
      <c r="N1163" s="38" t="str">
        <f aca="false">IF($A1163="","",IF($Q1163=0,"",INDEX(COA_Mapping!$E$7:$E$256,$Q1163)))</f>
        <v/>
      </c>
      <c r="O1163" s="38" t="n">
        <f aca="false">IF($A1163="",1,IF($Q1163=0,1,INDEX(COA_Mapping!$F$7:$F$256,$Q1163)))</f>
        <v>1</v>
      </c>
      <c r="P1163" s="34" t="str">
        <f aca="false">IF($A1163="","",$I1163*$O1163)</f>
        <v/>
      </c>
      <c r="Q1163" s="39" t="n">
        <f aca="false">IF($B1163="",0,IFERROR(MATCH($B1163,COA_Mapping!$A$7:$A$256,0),0))</f>
        <v>0</v>
      </c>
      <c r="R1163" s="39" t="n">
        <f aca="false">IF($A1163="",-1,IF($J1163=Setup!$B$7,1,IF($J1163=Setup!$B$9,0,-1)))</f>
        <v>-1</v>
      </c>
      <c r="S1163" s="35" t="n">
        <f aca="false">IF(OR($A1163="",$Q1163=0,$R1163=-1),0,$Q1163*1000+$R1163*100+$K1163)</f>
        <v>0</v>
      </c>
      <c r="T1163" s="37" t="str">
        <f aca="false">IF($A1163="","",IF($B1163="","NO ACCOUNT",IF($Q1163=0,"UNMAPPED",IF($R1163=-1,"OUTSIDE FY RANGE","OK"))))</f>
        <v/>
      </c>
      <c r="U1163" s="40" t="str">
        <f aca="false">IF($A1163="","",$B1163&amp;"|"&amp;TEXT($A1163,"yyyymmdd")&amp;"|"&amp;TEXT($I1163,"0.00"))</f>
        <v/>
      </c>
      <c r="V1163" s="35" t="str">
        <f aca="false">IF($A1163="","",COUNTIF($U$8:$U$5007,$U1163))</f>
        <v/>
      </c>
    </row>
    <row r="1164" customFormat="false" ht="15" hidden="false" customHeight="false" outlineLevel="0" collapsed="false">
      <c r="A1164" s="31"/>
      <c r="B1164" s="32"/>
      <c r="C1164" s="32"/>
      <c r="D1164" s="32"/>
      <c r="E1164" s="32"/>
      <c r="F1164" s="32"/>
      <c r="G1164" s="33"/>
      <c r="H1164" s="33"/>
      <c r="I1164" s="34" t="str">
        <f aca="false">IF($A1164="","",$G1164-$H1164)</f>
        <v/>
      </c>
      <c r="J1164" s="35" t="str">
        <f aca="false">IF($A1164="","",IF(Setup!$B$6=1,YEAR($A1164),YEAR($A1164)+IF(MONTH($A1164)&gt;=Setup!$B$6,1,0)))</f>
        <v/>
      </c>
      <c r="K1164" s="35" t="str">
        <f aca="false">IF($A1164="","",MOD(MONTH($A1164)-Setup!$B$6+12,12)+1)</f>
        <v/>
      </c>
      <c r="L1164" s="36" t="str">
        <f aca="false">IF($A1164="","",TEXT($A1164,"MMM-YY"))</f>
        <v/>
      </c>
      <c r="M1164" s="37" t="str">
        <f aca="false">IF($A1164="","",IF($Q1164=0,"UNMAPPED",INDEX(COA_Mapping!$C$7:$C$256,$Q1164)))</f>
        <v/>
      </c>
      <c r="N1164" s="38" t="str">
        <f aca="false">IF($A1164="","",IF($Q1164=0,"",INDEX(COA_Mapping!$E$7:$E$256,$Q1164)))</f>
        <v/>
      </c>
      <c r="O1164" s="38" t="n">
        <f aca="false">IF($A1164="",1,IF($Q1164=0,1,INDEX(COA_Mapping!$F$7:$F$256,$Q1164)))</f>
        <v>1</v>
      </c>
      <c r="P1164" s="34" t="str">
        <f aca="false">IF($A1164="","",$I1164*$O1164)</f>
        <v/>
      </c>
      <c r="Q1164" s="39" t="n">
        <f aca="false">IF($B1164="",0,IFERROR(MATCH($B1164,COA_Mapping!$A$7:$A$256,0),0))</f>
        <v>0</v>
      </c>
      <c r="R1164" s="39" t="n">
        <f aca="false">IF($A1164="",-1,IF($J1164=Setup!$B$7,1,IF($J1164=Setup!$B$9,0,-1)))</f>
        <v>-1</v>
      </c>
      <c r="S1164" s="35" t="n">
        <f aca="false">IF(OR($A1164="",$Q1164=0,$R1164=-1),0,$Q1164*1000+$R1164*100+$K1164)</f>
        <v>0</v>
      </c>
      <c r="T1164" s="37" t="str">
        <f aca="false">IF($A1164="","",IF($B1164="","NO ACCOUNT",IF($Q1164=0,"UNMAPPED",IF($R1164=-1,"OUTSIDE FY RANGE","OK"))))</f>
        <v/>
      </c>
      <c r="U1164" s="40" t="str">
        <f aca="false">IF($A1164="","",$B1164&amp;"|"&amp;TEXT($A1164,"yyyymmdd")&amp;"|"&amp;TEXT($I1164,"0.00"))</f>
        <v/>
      </c>
      <c r="V1164" s="35" t="str">
        <f aca="false">IF($A1164="","",COUNTIF($U$8:$U$5007,$U1164))</f>
        <v/>
      </c>
    </row>
    <row r="1165" customFormat="false" ht="15" hidden="false" customHeight="false" outlineLevel="0" collapsed="false">
      <c r="A1165" s="31"/>
      <c r="B1165" s="32"/>
      <c r="C1165" s="32"/>
      <c r="D1165" s="32"/>
      <c r="E1165" s="32"/>
      <c r="F1165" s="32"/>
      <c r="G1165" s="33"/>
      <c r="H1165" s="33"/>
      <c r="I1165" s="34" t="str">
        <f aca="false">IF($A1165="","",$G1165-$H1165)</f>
        <v/>
      </c>
      <c r="J1165" s="35" t="str">
        <f aca="false">IF($A1165="","",IF(Setup!$B$6=1,YEAR($A1165),YEAR($A1165)+IF(MONTH($A1165)&gt;=Setup!$B$6,1,0)))</f>
        <v/>
      </c>
      <c r="K1165" s="35" t="str">
        <f aca="false">IF($A1165="","",MOD(MONTH($A1165)-Setup!$B$6+12,12)+1)</f>
        <v/>
      </c>
      <c r="L1165" s="36" t="str">
        <f aca="false">IF($A1165="","",TEXT($A1165,"MMM-YY"))</f>
        <v/>
      </c>
      <c r="M1165" s="37" t="str">
        <f aca="false">IF($A1165="","",IF($Q1165=0,"UNMAPPED",INDEX(COA_Mapping!$C$7:$C$256,$Q1165)))</f>
        <v/>
      </c>
      <c r="N1165" s="38" t="str">
        <f aca="false">IF($A1165="","",IF($Q1165=0,"",INDEX(COA_Mapping!$E$7:$E$256,$Q1165)))</f>
        <v/>
      </c>
      <c r="O1165" s="38" t="n">
        <f aca="false">IF($A1165="",1,IF($Q1165=0,1,INDEX(COA_Mapping!$F$7:$F$256,$Q1165)))</f>
        <v>1</v>
      </c>
      <c r="P1165" s="34" t="str">
        <f aca="false">IF($A1165="","",$I1165*$O1165)</f>
        <v/>
      </c>
      <c r="Q1165" s="39" t="n">
        <f aca="false">IF($B1165="",0,IFERROR(MATCH($B1165,COA_Mapping!$A$7:$A$256,0),0))</f>
        <v>0</v>
      </c>
      <c r="R1165" s="39" t="n">
        <f aca="false">IF($A1165="",-1,IF($J1165=Setup!$B$7,1,IF($J1165=Setup!$B$9,0,-1)))</f>
        <v>-1</v>
      </c>
      <c r="S1165" s="35" t="n">
        <f aca="false">IF(OR($A1165="",$Q1165=0,$R1165=-1),0,$Q1165*1000+$R1165*100+$K1165)</f>
        <v>0</v>
      </c>
      <c r="T1165" s="37" t="str">
        <f aca="false">IF($A1165="","",IF($B1165="","NO ACCOUNT",IF($Q1165=0,"UNMAPPED",IF($R1165=-1,"OUTSIDE FY RANGE","OK"))))</f>
        <v/>
      </c>
      <c r="U1165" s="40" t="str">
        <f aca="false">IF($A1165="","",$B1165&amp;"|"&amp;TEXT($A1165,"yyyymmdd")&amp;"|"&amp;TEXT($I1165,"0.00"))</f>
        <v/>
      </c>
      <c r="V1165" s="35" t="str">
        <f aca="false">IF($A1165="","",COUNTIF($U$8:$U$5007,$U1165))</f>
        <v/>
      </c>
    </row>
    <row r="1166" customFormat="false" ht="15" hidden="false" customHeight="false" outlineLevel="0" collapsed="false">
      <c r="A1166" s="31"/>
      <c r="B1166" s="32"/>
      <c r="C1166" s="32"/>
      <c r="D1166" s="32"/>
      <c r="E1166" s="32"/>
      <c r="F1166" s="32"/>
      <c r="G1166" s="33"/>
      <c r="H1166" s="33"/>
      <c r="I1166" s="34" t="str">
        <f aca="false">IF($A1166="","",$G1166-$H1166)</f>
        <v/>
      </c>
      <c r="J1166" s="35" t="str">
        <f aca="false">IF($A1166="","",IF(Setup!$B$6=1,YEAR($A1166),YEAR($A1166)+IF(MONTH($A1166)&gt;=Setup!$B$6,1,0)))</f>
        <v/>
      </c>
      <c r="K1166" s="35" t="str">
        <f aca="false">IF($A1166="","",MOD(MONTH($A1166)-Setup!$B$6+12,12)+1)</f>
        <v/>
      </c>
      <c r="L1166" s="36" t="str">
        <f aca="false">IF($A1166="","",TEXT($A1166,"MMM-YY"))</f>
        <v/>
      </c>
      <c r="M1166" s="37" t="str">
        <f aca="false">IF($A1166="","",IF($Q1166=0,"UNMAPPED",INDEX(COA_Mapping!$C$7:$C$256,$Q1166)))</f>
        <v/>
      </c>
      <c r="N1166" s="38" t="str">
        <f aca="false">IF($A1166="","",IF($Q1166=0,"",INDEX(COA_Mapping!$E$7:$E$256,$Q1166)))</f>
        <v/>
      </c>
      <c r="O1166" s="38" t="n">
        <f aca="false">IF($A1166="",1,IF($Q1166=0,1,INDEX(COA_Mapping!$F$7:$F$256,$Q1166)))</f>
        <v>1</v>
      </c>
      <c r="P1166" s="34" t="str">
        <f aca="false">IF($A1166="","",$I1166*$O1166)</f>
        <v/>
      </c>
      <c r="Q1166" s="39" t="n">
        <f aca="false">IF($B1166="",0,IFERROR(MATCH($B1166,COA_Mapping!$A$7:$A$256,0),0))</f>
        <v>0</v>
      </c>
      <c r="R1166" s="39" t="n">
        <f aca="false">IF($A1166="",-1,IF($J1166=Setup!$B$7,1,IF($J1166=Setup!$B$9,0,-1)))</f>
        <v>-1</v>
      </c>
      <c r="S1166" s="35" t="n">
        <f aca="false">IF(OR($A1166="",$Q1166=0,$R1166=-1),0,$Q1166*1000+$R1166*100+$K1166)</f>
        <v>0</v>
      </c>
      <c r="T1166" s="37" t="str">
        <f aca="false">IF($A1166="","",IF($B1166="","NO ACCOUNT",IF($Q1166=0,"UNMAPPED",IF($R1166=-1,"OUTSIDE FY RANGE","OK"))))</f>
        <v/>
      </c>
      <c r="U1166" s="40" t="str">
        <f aca="false">IF($A1166="","",$B1166&amp;"|"&amp;TEXT($A1166,"yyyymmdd")&amp;"|"&amp;TEXT($I1166,"0.00"))</f>
        <v/>
      </c>
      <c r="V1166" s="35" t="str">
        <f aca="false">IF($A1166="","",COUNTIF($U$8:$U$5007,$U1166))</f>
        <v/>
      </c>
    </row>
    <row r="1167" customFormat="false" ht="15" hidden="false" customHeight="false" outlineLevel="0" collapsed="false">
      <c r="A1167" s="31"/>
      <c r="B1167" s="32"/>
      <c r="C1167" s="32"/>
      <c r="D1167" s="32"/>
      <c r="E1167" s="32"/>
      <c r="F1167" s="32"/>
      <c r="G1167" s="33"/>
      <c r="H1167" s="33"/>
      <c r="I1167" s="34" t="str">
        <f aca="false">IF($A1167="","",$G1167-$H1167)</f>
        <v/>
      </c>
      <c r="J1167" s="35" t="str">
        <f aca="false">IF($A1167="","",IF(Setup!$B$6=1,YEAR($A1167),YEAR($A1167)+IF(MONTH($A1167)&gt;=Setup!$B$6,1,0)))</f>
        <v/>
      </c>
      <c r="K1167" s="35" t="str">
        <f aca="false">IF($A1167="","",MOD(MONTH($A1167)-Setup!$B$6+12,12)+1)</f>
        <v/>
      </c>
      <c r="L1167" s="36" t="str">
        <f aca="false">IF($A1167="","",TEXT($A1167,"MMM-YY"))</f>
        <v/>
      </c>
      <c r="M1167" s="37" t="str">
        <f aca="false">IF($A1167="","",IF($Q1167=0,"UNMAPPED",INDEX(COA_Mapping!$C$7:$C$256,$Q1167)))</f>
        <v/>
      </c>
      <c r="N1167" s="38" t="str">
        <f aca="false">IF($A1167="","",IF($Q1167=0,"",INDEX(COA_Mapping!$E$7:$E$256,$Q1167)))</f>
        <v/>
      </c>
      <c r="O1167" s="38" t="n">
        <f aca="false">IF($A1167="",1,IF($Q1167=0,1,INDEX(COA_Mapping!$F$7:$F$256,$Q1167)))</f>
        <v>1</v>
      </c>
      <c r="P1167" s="34" t="str">
        <f aca="false">IF($A1167="","",$I1167*$O1167)</f>
        <v/>
      </c>
      <c r="Q1167" s="39" t="n">
        <f aca="false">IF($B1167="",0,IFERROR(MATCH($B1167,COA_Mapping!$A$7:$A$256,0),0))</f>
        <v>0</v>
      </c>
      <c r="R1167" s="39" t="n">
        <f aca="false">IF($A1167="",-1,IF($J1167=Setup!$B$7,1,IF($J1167=Setup!$B$9,0,-1)))</f>
        <v>-1</v>
      </c>
      <c r="S1167" s="35" t="n">
        <f aca="false">IF(OR($A1167="",$Q1167=0,$R1167=-1),0,$Q1167*1000+$R1167*100+$K1167)</f>
        <v>0</v>
      </c>
      <c r="T1167" s="37" t="str">
        <f aca="false">IF($A1167="","",IF($B1167="","NO ACCOUNT",IF($Q1167=0,"UNMAPPED",IF($R1167=-1,"OUTSIDE FY RANGE","OK"))))</f>
        <v/>
      </c>
      <c r="U1167" s="40" t="str">
        <f aca="false">IF($A1167="","",$B1167&amp;"|"&amp;TEXT($A1167,"yyyymmdd")&amp;"|"&amp;TEXT($I1167,"0.00"))</f>
        <v/>
      </c>
      <c r="V1167" s="35" t="str">
        <f aca="false">IF($A1167="","",COUNTIF($U$8:$U$5007,$U1167))</f>
        <v/>
      </c>
    </row>
    <row r="1168" customFormat="false" ht="15" hidden="false" customHeight="false" outlineLevel="0" collapsed="false">
      <c r="A1168" s="31"/>
      <c r="B1168" s="32"/>
      <c r="C1168" s="32"/>
      <c r="D1168" s="32"/>
      <c r="E1168" s="32"/>
      <c r="F1168" s="32"/>
      <c r="G1168" s="33"/>
      <c r="H1168" s="33"/>
      <c r="I1168" s="34" t="str">
        <f aca="false">IF($A1168="","",$G1168-$H1168)</f>
        <v/>
      </c>
      <c r="J1168" s="35" t="str">
        <f aca="false">IF($A1168="","",IF(Setup!$B$6=1,YEAR($A1168),YEAR($A1168)+IF(MONTH($A1168)&gt;=Setup!$B$6,1,0)))</f>
        <v/>
      </c>
      <c r="K1168" s="35" t="str">
        <f aca="false">IF($A1168="","",MOD(MONTH($A1168)-Setup!$B$6+12,12)+1)</f>
        <v/>
      </c>
      <c r="L1168" s="36" t="str">
        <f aca="false">IF($A1168="","",TEXT($A1168,"MMM-YY"))</f>
        <v/>
      </c>
      <c r="M1168" s="37" t="str">
        <f aca="false">IF($A1168="","",IF($Q1168=0,"UNMAPPED",INDEX(COA_Mapping!$C$7:$C$256,$Q1168)))</f>
        <v/>
      </c>
      <c r="N1168" s="38" t="str">
        <f aca="false">IF($A1168="","",IF($Q1168=0,"",INDEX(COA_Mapping!$E$7:$E$256,$Q1168)))</f>
        <v/>
      </c>
      <c r="O1168" s="38" t="n">
        <f aca="false">IF($A1168="",1,IF($Q1168=0,1,INDEX(COA_Mapping!$F$7:$F$256,$Q1168)))</f>
        <v>1</v>
      </c>
      <c r="P1168" s="34" t="str">
        <f aca="false">IF($A1168="","",$I1168*$O1168)</f>
        <v/>
      </c>
      <c r="Q1168" s="39" t="n">
        <f aca="false">IF($B1168="",0,IFERROR(MATCH($B1168,COA_Mapping!$A$7:$A$256,0),0))</f>
        <v>0</v>
      </c>
      <c r="R1168" s="39" t="n">
        <f aca="false">IF($A1168="",-1,IF($J1168=Setup!$B$7,1,IF($J1168=Setup!$B$9,0,-1)))</f>
        <v>-1</v>
      </c>
      <c r="S1168" s="35" t="n">
        <f aca="false">IF(OR($A1168="",$Q1168=0,$R1168=-1),0,$Q1168*1000+$R1168*100+$K1168)</f>
        <v>0</v>
      </c>
      <c r="T1168" s="37" t="str">
        <f aca="false">IF($A1168="","",IF($B1168="","NO ACCOUNT",IF($Q1168=0,"UNMAPPED",IF($R1168=-1,"OUTSIDE FY RANGE","OK"))))</f>
        <v/>
      </c>
      <c r="U1168" s="40" t="str">
        <f aca="false">IF($A1168="","",$B1168&amp;"|"&amp;TEXT($A1168,"yyyymmdd")&amp;"|"&amp;TEXT($I1168,"0.00"))</f>
        <v/>
      </c>
      <c r="V1168" s="35" t="str">
        <f aca="false">IF($A1168="","",COUNTIF($U$8:$U$5007,$U1168))</f>
        <v/>
      </c>
    </row>
    <row r="1169" customFormat="false" ht="15" hidden="false" customHeight="false" outlineLevel="0" collapsed="false">
      <c r="A1169" s="31"/>
      <c r="B1169" s="32"/>
      <c r="C1169" s="32"/>
      <c r="D1169" s="32"/>
      <c r="E1169" s="32"/>
      <c r="F1169" s="32"/>
      <c r="G1169" s="33"/>
      <c r="H1169" s="33"/>
      <c r="I1169" s="34" t="str">
        <f aca="false">IF($A1169="","",$G1169-$H1169)</f>
        <v/>
      </c>
      <c r="J1169" s="35" t="str">
        <f aca="false">IF($A1169="","",IF(Setup!$B$6=1,YEAR($A1169),YEAR($A1169)+IF(MONTH($A1169)&gt;=Setup!$B$6,1,0)))</f>
        <v/>
      </c>
      <c r="K1169" s="35" t="str">
        <f aca="false">IF($A1169="","",MOD(MONTH($A1169)-Setup!$B$6+12,12)+1)</f>
        <v/>
      </c>
      <c r="L1169" s="36" t="str">
        <f aca="false">IF($A1169="","",TEXT($A1169,"MMM-YY"))</f>
        <v/>
      </c>
      <c r="M1169" s="37" t="str">
        <f aca="false">IF($A1169="","",IF($Q1169=0,"UNMAPPED",INDEX(COA_Mapping!$C$7:$C$256,$Q1169)))</f>
        <v/>
      </c>
      <c r="N1169" s="38" t="str">
        <f aca="false">IF($A1169="","",IF($Q1169=0,"",INDEX(COA_Mapping!$E$7:$E$256,$Q1169)))</f>
        <v/>
      </c>
      <c r="O1169" s="38" t="n">
        <f aca="false">IF($A1169="",1,IF($Q1169=0,1,INDEX(COA_Mapping!$F$7:$F$256,$Q1169)))</f>
        <v>1</v>
      </c>
      <c r="P1169" s="34" t="str">
        <f aca="false">IF($A1169="","",$I1169*$O1169)</f>
        <v/>
      </c>
      <c r="Q1169" s="39" t="n">
        <f aca="false">IF($B1169="",0,IFERROR(MATCH($B1169,COA_Mapping!$A$7:$A$256,0),0))</f>
        <v>0</v>
      </c>
      <c r="R1169" s="39" t="n">
        <f aca="false">IF($A1169="",-1,IF($J1169=Setup!$B$7,1,IF($J1169=Setup!$B$9,0,-1)))</f>
        <v>-1</v>
      </c>
      <c r="S1169" s="35" t="n">
        <f aca="false">IF(OR($A1169="",$Q1169=0,$R1169=-1),0,$Q1169*1000+$R1169*100+$K1169)</f>
        <v>0</v>
      </c>
      <c r="T1169" s="37" t="str">
        <f aca="false">IF($A1169="","",IF($B1169="","NO ACCOUNT",IF($Q1169=0,"UNMAPPED",IF($R1169=-1,"OUTSIDE FY RANGE","OK"))))</f>
        <v/>
      </c>
      <c r="U1169" s="40" t="str">
        <f aca="false">IF($A1169="","",$B1169&amp;"|"&amp;TEXT($A1169,"yyyymmdd")&amp;"|"&amp;TEXT($I1169,"0.00"))</f>
        <v/>
      </c>
      <c r="V1169" s="35" t="str">
        <f aca="false">IF($A1169="","",COUNTIF($U$8:$U$5007,$U1169))</f>
        <v/>
      </c>
    </row>
    <row r="1170" customFormat="false" ht="15" hidden="false" customHeight="false" outlineLevel="0" collapsed="false">
      <c r="A1170" s="31"/>
      <c r="B1170" s="32"/>
      <c r="C1170" s="32"/>
      <c r="D1170" s="32"/>
      <c r="E1170" s="32"/>
      <c r="F1170" s="32"/>
      <c r="G1170" s="33"/>
      <c r="H1170" s="33"/>
      <c r="I1170" s="34" t="str">
        <f aca="false">IF($A1170="","",$G1170-$H1170)</f>
        <v/>
      </c>
      <c r="J1170" s="35" t="str">
        <f aca="false">IF($A1170="","",IF(Setup!$B$6=1,YEAR($A1170),YEAR($A1170)+IF(MONTH($A1170)&gt;=Setup!$B$6,1,0)))</f>
        <v/>
      </c>
      <c r="K1170" s="35" t="str">
        <f aca="false">IF($A1170="","",MOD(MONTH($A1170)-Setup!$B$6+12,12)+1)</f>
        <v/>
      </c>
      <c r="L1170" s="36" t="str">
        <f aca="false">IF($A1170="","",TEXT($A1170,"MMM-YY"))</f>
        <v/>
      </c>
      <c r="M1170" s="37" t="str">
        <f aca="false">IF($A1170="","",IF($Q1170=0,"UNMAPPED",INDEX(COA_Mapping!$C$7:$C$256,$Q1170)))</f>
        <v/>
      </c>
      <c r="N1170" s="38" t="str">
        <f aca="false">IF($A1170="","",IF($Q1170=0,"",INDEX(COA_Mapping!$E$7:$E$256,$Q1170)))</f>
        <v/>
      </c>
      <c r="O1170" s="38" t="n">
        <f aca="false">IF($A1170="",1,IF($Q1170=0,1,INDEX(COA_Mapping!$F$7:$F$256,$Q1170)))</f>
        <v>1</v>
      </c>
      <c r="P1170" s="34" t="str">
        <f aca="false">IF($A1170="","",$I1170*$O1170)</f>
        <v/>
      </c>
      <c r="Q1170" s="39" t="n">
        <f aca="false">IF($B1170="",0,IFERROR(MATCH($B1170,COA_Mapping!$A$7:$A$256,0),0))</f>
        <v>0</v>
      </c>
      <c r="R1170" s="39" t="n">
        <f aca="false">IF($A1170="",-1,IF($J1170=Setup!$B$7,1,IF($J1170=Setup!$B$9,0,-1)))</f>
        <v>-1</v>
      </c>
      <c r="S1170" s="35" t="n">
        <f aca="false">IF(OR($A1170="",$Q1170=0,$R1170=-1),0,$Q1170*1000+$R1170*100+$K1170)</f>
        <v>0</v>
      </c>
      <c r="T1170" s="37" t="str">
        <f aca="false">IF($A1170="","",IF($B1170="","NO ACCOUNT",IF($Q1170=0,"UNMAPPED",IF($R1170=-1,"OUTSIDE FY RANGE","OK"))))</f>
        <v/>
      </c>
      <c r="U1170" s="40" t="str">
        <f aca="false">IF($A1170="","",$B1170&amp;"|"&amp;TEXT($A1170,"yyyymmdd")&amp;"|"&amp;TEXT($I1170,"0.00"))</f>
        <v/>
      </c>
      <c r="V1170" s="35" t="str">
        <f aca="false">IF($A1170="","",COUNTIF($U$8:$U$5007,$U1170))</f>
        <v/>
      </c>
    </row>
    <row r="1171" customFormat="false" ht="15" hidden="false" customHeight="false" outlineLevel="0" collapsed="false">
      <c r="A1171" s="31"/>
      <c r="B1171" s="32"/>
      <c r="C1171" s="32"/>
      <c r="D1171" s="32"/>
      <c r="E1171" s="32"/>
      <c r="F1171" s="32"/>
      <c r="G1171" s="33"/>
      <c r="H1171" s="33"/>
      <c r="I1171" s="34" t="str">
        <f aca="false">IF($A1171="","",$G1171-$H1171)</f>
        <v/>
      </c>
      <c r="J1171" s="35" t="str">
        <f aca="false">IF($A1171="","",IF(Setup!$B$6=1,YEAR($A1171),YEAR($A1171)+IF(MONTH($A1171)&gt;=Setup!$B$6,1,0)))</f>
        <v/>
      </c>
      <c r="K1171" s="35" t="str">
        <f aca="false">IF($A1171="","",MOD(MONTH($A1171)-Setup!$B$6+12,12)+1)</f>
        <v/>
      </c>
      <c r="L1171" s="36" t="str">
        <f aca="false">IF($A1171="","",TEXT($A1171,"MMM-YY"))</f>
        <v/>
      </c>
      <c r="M1171" s="37" t="str">
        <f aca="false">IF($A1171="","",IF($Q1171=0,"UNMAPPED",INDEX(COA_Mapping!$C$7:$C$256,$Q1171)))</f>
        <v/>
      </c>
      <c r="N1171" s="38" t="str">
        <f aca="false">IF($A1171="","",IF($Q1171=0,"",INDEX(COA_Mapping!$E$7:$E$256,$Q1171)))</f>
        <v/>
      </c>
      <c r="O1171" s="38" t="n">
        <f aca="false">IF($A1171="",1,IF($Q1171=0,1,INDEX(COA_Mapping!$F$7:$F$256,$Q1171)))</f>
        <v>1</v>
      </c>
      <c r="P1171" s="34" t="str">
        <f aca="false">IF($A1171="","",$I1171*$O1171)</f>
        <v/>
      </c>
      <c r="Q1171" s="39" t="n">
        <f aca="false">IF($B1171="",0,IFERROR(MATCH($B1171,COA_Mapping!$A$7:$A$256,0),0))</f>
        <v>0</v>
      </c>
      <c r="R1171" s="39" t="n">
        <f aca="false">IF($A1171="",-1,IF($J1171=Setup!$B$7,1,IF($J1171=Setup!$B$9,0,-1)))</f>
        <v>-1</v>
      </c>
      <c r="S1171" s="35" t="n">
        <f aca="false">IF(OR($A1171="",$Q1171=0,$R1171=-1),0,$Q1171*1000+$R1171*100+$K1171)</f>
        <v>0</v>
      </c>
      <c r="T1171" s="37" t="str">
        <f aca="false">IF($A1171="","",IF($B1171="","NO ACCOUNT",IF($Q1171=0,"UNMAPPED",IF($R1171=-1,"OUTSIDE FY RANGE","OK"))))</f>
        <v/>
      </c>
      <c r="U1171" s="40" t="str">
        <f aca="false">IF($A1171="","",$B1171&amp;"|"&amp;TEXT($A1171,"yyyymmdd")&amp;"|"&amp;TEXT($I1171,"0.00"))</f>
        <v/>
      </c>
      <c r="V1171" s="35" t="str">
        <f aca="false">IF($A1171="","",COUNTIF($U$8:$U$5007,$U1171))</f>
        <v/>
      </c>
    </row>
    <row r="1172" customFormat="false" ht="15" hidden="false" customHeight="false" outlineLevel="0" collapsed="false">
      <c r="A1172" s="31"/>
      <c r="B1172" s="32"/>
      <c r="C1172" s="32"/>
      <c r="D1172" s="32"/>
      <c r="E1172" s="32"/>
      <c r="F1172" s="32"/>
      <c r="G1172" s="33"/>
      <c r="H1172" s="33"/>
      <c r="I1172" s="34" t="str">
        <f aca="false">IF($A1172="","",$G1172-$H1172)</f>
        <v/>
      </c>
      <c r="J1172" s="35" t="str">
        <f aca="false">IF($A1172="","",IF(Setup!$B$6=1,YEAR($A1172),YEAR($A1172)+IF(MONTH($A1172)&gt;=Setup!$B$6,1,0)))</f>
        <v/>
      </c>
      <c r="K1172" s="35" t="str">
        <f aca="false">IF($A1172="","",MOD(MONTH($A1172)-Setup!$B$6+12,12)+1)</f>
        <v/>
      </c>
      <c r="L1172" s="36" t="str">
        <f aca="false">IF($A1172="","",TEXT($A1172,"MMM-YY"))</f>
        <v/>
      </c>
      <c r="M1172" s="37" t="str">
        <f aca="false">IF($A1172="","",IF($Q1172=0,"UNMAPPED",INDEX(COA_Mapping!$C$7:$C$256,$Q1172)))</f>
        <v/>
      </c>
      <c r="N1172" s="38" t="str">
        <f aca="false">IF($A1172="","",IF($Q1172=0,"",INDEX(COA_Mapping!$E$7:$E$256,$Q1172)))</f>
        <v/>
      </c>
      <c r="O1172" s="38" t="n">
        <f aca="false">IF($A1172="",1,IF($Q1172=0,1,INDEX(COA_Mapping!$F$7:$F$256,$Q1172)))</f>
        <v>1</v>
      </c>
      <c r="P1172" s="34" t="str">
        <f aca="false">IF($A1172="","",$I1172*$O1172)</f>
        <v/>
      </c>
      <c r="Q1172" s="39" t="n">
        <f aca="false">IF($B1172="",0,IFERROR(MATCH($B1172,COA_Mapping!$A$7:$A$256,0),0))</f>
        <v>0</v>
      </c>
      <c r="R1172" s="39" t="n">
        <f aca="false">IF($A1172="",-1,IF($J1172=Setup!$B$7,1,IF($J1172=Setup!$B$9,0,-1)))</f>
        <v>-1</v>
      </c>
      <c r="S1172" s="35" t="n">
        <f aca="false">IF(OR($A1172="",$Q1172=0,$R1172=-1),0,$Q1172*1000+$R1172*100+$K1172)</f>
        <v>0</v>
      </c>
      <c r="T1172" s="37" t="str">
        <f aca="false">IF($A1172="","",IF($B1172="","NO ACCOUNT",IF($Q1172=0,"UNMAPPED",IF($R1172=-1,"OUTSIDE FY RANGE","OK"))))</f>
        <v/>
      </c>
      <c r="U1172" s="40" t="str">
        <f aca="false">IF($A1172="","",$B1172&amp;"|"&amp;TEXT($A1172,"yyyymmdd")&amp;"|"&amp;TEXT($I1172,"0.00"))</f>
        <v/>
      </c>
      <c r="V1172" s="35" t="str">
        <f aca="false">IF($A1172="","",COUNTIF($U$8:$U$5007,$U1172))</f>
        <v/>
      </c>
    </row>
    <row r="1173" customFormat="false" ht="15" hidden="false" customHeight="false" outlineLevel="0" collapsed="false">
      <c r="A1173" s="31"/>
      <c r="B1173" s="32"/>
      <c r="C1173" s="32"/>
      <c r="D1173" s="32"/>
      <c r="E1173" s="32"/>
      <c r="F1173" s="32"/>
      <c r="G1173" s="33"/>
      <c r="H1173" s="33"/>
      <c r="I1173" s="34" t="str">
        <f aca="false">IF($A1173="","",$G1173-$H1173)</f>
        <v/>
      </c>
      <c r="J1173" s="35" t="str">
        <f aca="false">IF($A1173="","",IF(Setup!$B$6=1,YEAR($A1173),YEAR($A1173)+IF(MONTH($A1173)&gt;=Setup!$B$6,1,0)))</f>
        <v/>
      </c>
      <c r="K1173" s="35" t="str">
        <f aca="false">IF($A1173="","",MOD(MONTH($A1173)-Setup!$B$6+12,12)+1)</f>
        <v/>
      </c>
      <c r="L1173" s="36" t="str">
        <f aca="false">IF($A1173="","",TEXT($A1173,"MMM-YY"))</f>
        <v/>
      </c>
      <c r="M1173" s="37" t="str">
        <f aca="false">IF($A1173="","",IF($Q1173=0,"UNMAPPED",INDEX(COA_Mapping!$C$7:$C$256,$Q1173)))</f>
        <v/>
      </c>
      <c r="N1173" s="38" t="str">
        <f aca="false">IF($A1173="","",IF($Q1173=0,"",INDEX(COA_Mapping!$E$7:$E$256,$Q1173)))</f>
        <v/>
      </c>
      <c r="O1173" s="38" t="n">
        <f aca="false">IF($A1173="",1,IF($Q1173=0,1,INDEX(COA_Mapping!$F$7:$F$256,$Q1173)))</f>
        <v>1</v>
      </c>
      <c r="P1173" s="34" t="str">
        <f aca="false">IF($A1173="","",$I1173*$O1173)</f>
        <v/>
      </c>
      <c r="Q1173" s="39" t="n">
        <f aca="false">IF($B1173="",0,IFERROR(MATCH($B1173,COA_Mapping!$A$7:$A$256,0),0))</f>
        <v>0</v>
      </c>
      <c r="R1173" s="39" t="n">
        <f aca="false">IF($A1173="",-1,IF($J1173=Setup!$B$7,1,IF($J1173=Setup!$B$9,0,-1)))</f>
        <v>-1</v>
      </c>
      <c r="S1173" s="35" t="n">
        <f aca="false">IF(OR($A1173="",$Q1173=0,$R1173=-1),0,$Q1173*1000+$R1173*100+$K1173)</f>
        <v>0</v>
      </c>
      <c r="T1173" s="37" t="str">
        <f aca="false">IF($A1173="","",IF($B1173="","NO ACCOUNT",IF($Q1173=0,"UNMAPPED",IF($R1173=-1,"OUTSIDE FY RANGE","OK"))))</f>
        <v/>
      </c>
      <c r="U1173" s="40" t="str">
        <f aca="false">IF($A1173="","",$B1173&amp;"|"&amp;TEXT($A1173,"yyyymmdd")&amp;"|"&amp;TEXT($I1173,"0.00"))</f>
        <v/>
      </c>
      <c r="V1173" s="35" t="str">
        <f aca="false">IF($A1173="","",COUNTIF($U$8:$U$5007,$U1173))</f>
        <v/>
      </c>
    </row>
    <row r="1174" customFormat="false" ht="15" hidden="false" customHeight="false" outlineLevel="0" collapsed="false">
      <c r="A1174" s="31"/>
      <c r="B1174" s="32"/>
      <c r="C1174" s="32"/>
      <c r="D1174" s="32"/>
      <c r="E1174" s="32"/>
      <c r="F1174" s="32"/>
      <c r="G1174" s="33"/>
      <c r="H1174" s="33"/>
      <c r="I1174" s="34" t="str">
        <f aca="false">IF($A1174="","",$G1174-$H1174)</f>
        <v/>
      </c>
      <c r="J1174" s="35" t="str">
        <f aca="false">IF($A1174="","",IF(Setup!$B$6=1,YEAR($A1174),YEAR($A1174)+IF(MONTH($A1174)&gt;=Setup!$B$6,1,0)))</f>
        <v/>
      </c>
      <c r="K1174" s="35" t="str">
        <f aca="false">IF($A1174="","",MOD(MONTH($A1174)-Setup!$B$6+12,12)+1)</f>
        <v/>
      </c>
      <c r="L1174" s="36" t="str">
        <f aca="false">IF($A1174="","",TEXT($A1174,"MMM-YY"))</f>
        <v/>
      </c>
      <c r="M1174" s="37" t="str">
        <f aca="false">IF($A1174="","",IF($Q1174=0,"UNMAPPED",INDEX(COA_Mapping!$C$7:$C$256,$Q1174)))</f>
        <v/>
      </c>
      <c r="N1174" s="38" t="str">
        <f aca="false">IF($A1174="","",IF($Q1174=0,"",INDEX(COA_Mapping!$E$7:$E$256,$Q1174)))</f>
        <v/>
      </c>
      <c r="O1174" s="38" t="n">
        <f aca="false">IF($A1174="",1,IF($Q1174=0,1,INDEX(COA_Mapping!$F$7:$F$256,$Q1174)))</f>
        <v>1</v>
      </c>
      <c r="P1174" s="34" t="str">
        <f aca="false">IF($A1174="","",$I1174*$O1174)</f>
        <v/>
      </c>
      <c r="Q1174" s="39" t="n">
        <f aca="false">IF($B1174="",0,IFERROR(MATCH($B1174,COA_Mapping!$A$7:$A$256,0),0))</f>
        <v>0</v>
      </c>
      <c r="R1174" s="39" t="n">
        <f aca="false">IF($A1174="",-1,IF($J1174=Setup!$B$7,1,IF($J1174=Setup!$B$9,0,-1)))</f>
        <v>-1</v>
      </c>
      <c r="S1174" s="35" t="n">
        <f aca="false">IF(OR($A1174="",$Q1174=0,$R1174=-1),0,$Q1174*1000+$R1174*100+$K1174)</f>
        <v>0</v>
      </c>
      <c r="T1174" s="37" t="str">
        <f aca="false">IF($A1174="","",IF($B1174="","NO ACCOUNT",IF($Q1174=0,"UNMAPPED",IF($R1174=-1,"OUTSIDE FY RANGE","OK"))))</f>
        <v/>
      </c>
      <c r="U1174" s="40" t="str">
        <f aca="false">IF($A1174="","",$B1174&amp;"|"&amp;TEXT($A1174,"yyyymmdd")&amp;"|"&amp;TEXT($I1174,"0.00"))</f>
        <v/>
      </c>
      <c r="V1174" s="35" t="str">
        <f aca="false">IF($A1174="","",COUNTIF($U$8:$U$5007,$U1174))</f>
        <v/>
      </c>
    </row>
    <row r="1175" customFormat="false" ht="15" hidden="false" customHeight="false" outlineLevel="0" collapsed="false">
      <c r="A1175" s="31"/>
      <c r="B1175" s="32"/>
      <c r="C1175" s="32"/>
      <c r="D1175" s="32"/>
      <c r="E1175" s="32"/>
      <c r="F1175" s="32"/>
      <c r="G1175" s="33"/>
      <c r="H1175" s="33"/>
      <c r="I1175" s="34" t="str">
        <f aca="false">IF($A1175="","",$G1175-$H1175)</f>
        <v/>
      </c>
      <c r="J1175" s="35" t="str">
        <f aca="false">IF($A1175="","",IF(Setup!$B$6=1,YEAR($A1175),YEAR($A1175)+IF(MONTH($A1175)&gt;=Setup!$B$6,1,0)))</f>
        <v/>
      </c>
      <c r="K1175" s="35" t="str">
        <f aca="false">IF($A1175="","",MOD(MONTH($A1175)-Setup!$B$6+12,12)+1)</f>
        <v/>
      </c>
      <c r="L1175" s="36" t="str">
        <f aca="false">IF($A1175="","",TEXT($A1175,"MMM-YY"))</f>
        <v/>
      </c>
      <c r="M1175" s="37" t="str">
        <f aca="false">IF($A1175="","",IF($Q1175=0,"UNMAPPED",INDEX(COA_Mapping!$C$7:$C$256,$Q1175)))</f>
        <v/>
      </c>
      <c r="N1175" s="38" t="str">
        <f aca="false">IF($A1175="","",IF($Q1175=0,"",INDEX(COA_Mapping!$E$7:$E$256,$Q1175)))</f>
        <v/>
      </c>
      <c r="O1175" s="38" t="n">
        <f aca="false">IF($A1175="",1,IF($Q1175=0,1,INDEX(COA_Mapping!$F$7:$F$256,$Q1175)))</f>
        <v>1</v>
      </c>
      <c r="P1175" s="34" t="str">
        <f aca="false">IF($A1175="","",$I1175*$O1175)</f>
        <v/>
      </c>
      <c r="Q1175" s="39" t="n">
        <f aca="false">IF($B1175="",0,IFERROR(MATCH($B1175,COA_Mapping!$A$7:$A$256,0),0))</f>
        <v>0</v>
      </c>
      <c r="R1175" s="39" t="n">
        <f aca="false">IF($A1175="",-1,IF($J1175=Setup!$B$7,1,IF($J1175=Setup!$B$9,0,-1)))</f>
        <v>-1</v>
      </c>
      <c r="S1175" s="35" t="n">
        <f aca="false">IF(OR($A1175="",$Q1175=0,$R1175=-1),0,$Q1175*1000+$R1175*100+$K1175)</f>
        <v>0</v>
      </c>
      <c r="T1175" s="37" t="str">
        <f aca="false">IF($A1175="","",IF($B1175="","NO ACCOUNT",IF($Q1175=0,"UNMAPPED",IF($R1175=-1,"OUTSIDE FY RANGE","OK"))))</f>
        <v/>
      </c>
      <c r="U1175" s="40" t="str">
        <f aca="false">IF($A1175="","",$B1175&amp;"|"&amp;TEXT($A1175,"yyyymmdd")&amp;"|"&amp;TEXT($I1175,"0.00"))</f>
        <v/>
      </c>
      <c r="V1175" s="35" t="str">
        <f aca="false">IF($A1175="","",COUNTIF($U$8:$U$5007,$U1175))</f>
        <v/>
      </c>
    </row>
    <row r="1176" customFormat="false" ht="15" hidden="false" customHeight="false" outlineLevel="0" collapsed="false">
      <c r="A1176" s="31"/>
      <c r="B1176" s="32"/>
      <c r="C1176" s="32"/>
      <c r="D1176" s="32"/>
      <c r="E1176" s="32"/>
      <c r="F1176" s="32"/>
      <c r="G1176" s="33"/>
      <c r="H1176" s="33"/>
      <c r="I1176" s="34" t="str">
        <f aca="false">IF($A1176="","",$G1176-$H1176)</f>
        <v/>
      </c>
      <c r="J1176" s="35" t="str">
        <f aca="false">IF($A1176="","",IF(Setup!$B$6=1,YEAR($A1176),YEAR($A1176)+IF(MONTH($A1176)&gt;=Setup!$B$6,1,0)))</f>
        <v/>
      </c>
      <c r="K1176" s="35" t="str">
        <f aca="false">IF($A1176="","",MOD(MONTH($A1176)-Setup!$B$6+12,12)+1)</f>
        <v/>
      </c>
      <c r="L1176" s="36" t="str">
        <f aca="false">IF($A1176="","",TEXT($A1176,"MMM-YY"))</f>
        <v/>
      </c>
      <c r="M1176" s="37" t="str">
        <f aca="false">IF($A1176="","",IF($Q1176=0,"UNMAPPED",INDEX(COA_Mapping!$C$7:$C$256,$Q1176)))</f>
        <v/>
      </c>
      <c r="N1176" s="38" t="str">
        <f aca="false">IF($A1176="","",IF($Q1176=0,"",INDEX(COA_Mapping!$E$7:$E$256,$Q1176)))</f>
        <v/>
      </c>
      <c r="O1176" s="38" t="n">
        <f aca="false">IF($A1176="",1,IF($Q1176=0,1,INDEX(COA_Mapping!$F$7:$F$256,$Q1176)))</f>
        <v>1</v>
      </c>
      <c r="P1176" s="34" t="str">
        <f aca="false">IF($A1176="","",$I1176*$O1176)</f>
        <v/>
      </c>
      <c r="Q1176" s="39" t="n">
        <f aca="false">IF($B1176="",0,IFERROR(MATCH($B1176,COA_Mapping!$A$7:$A$256,0),0))</f>
        <v>0</v>
      </c>
      <c r="R1176" s="39" t="n">
        <f aca="false">IF($A1176="",-1,IF($J1176=Setup!$B$7,1,IF($J1176=Setup!$B$9,0,-1)))</f>
        <v>-1</v>
      </c>
      <c r="S1176" s="35" t="n">
        <f aca="false">IF(OR($A1176="",$Q1176=0,$R1176=-1),0,$Q1176*1000+$R1176*100+$K1176)</f>
        <v>0</v>
      </c>
      <c r="T1176" s="37" t="str">
        <f aca="false">IF($A1176="","",IF($B1176="","NO ACCOUNT",IF($Q1176=0,"UNMAPPED",IF($R1176=-1,"OUTSIDE FY RANGE","OK"))))</f>
        <v/>
      </c>
      <c r="U1176" s="40" t="str">
        <f aca="false">IF($A1176="","",$B1176&amp;"|"&amp;TEXT($A1176,"yyyymmdd")&amp;"|"&amp;TEXT($I1176,"0.00"))</f>
        <v/>
      </c>
      <c r="V1176" s="35" t="str">
        <f aca="false">IF($A1176="","",COUNTIF($U$8:$U$5007,$U1176))</f>
        <v/>
      </c>
    </row>
    <row r="1177" customFormat="false" ht="15" hidden="false" customHeight="false" outlineLevel="0" collapsed="false">
      <c r="A1177" s="31"/>
      <c r="B1177" s="32"/>
      <c r="C1177" s="32"/>
      <c r="D1177" s="32"/>
      <c r="E1177" s="32"/>
      <c r="F1177" s="32"/>
      <c r="G1177" s="33"/>
      <c r="H1177" s="33"/>
      <c r="I1177" s="34" t="str">
        <f aca="false">IF($A1177="","",$G1177-$H1177)</f>
        <v/>
      </c>
      <c r="J1177" s="35" t="str">
        <f aca="false">IF($A1177="","",IF(Setup!$B$6=1,YEAR($A1177),YEAR($A1177)+IF(MONTH($A1177)&gt;=Setup!$B$6,1,0)))</f>
        <v/>
      </c>
      <c r="K1177" s="35" t="str">
        <f aca="false">IF($A1177="","",MOD(MONTH($A1177)-Setup!$B$6+12,12)+1)</f>
        <v/>
      </c>
      <c r="L1177" s="36" t="str">
        <f aca="false">IF($A1177="","",TEXT($A1177,"MMM-YY"))</f>
        <v/>
      </c>
      <c r="M1177" s="37" t="str">
        <f aca="false">IF($A1177="","",IF($Q1177=0,"UNMAPPED",INDEX(COA_Mapping!$C$7:$C$256,$Q1177)))</f>
        <v/>
      </c>
      <c r="N1177" s="38" t="str">
        <f aca="false">IF($A1177="","",IF($Q1177=0,"",INDEX(COA_Mapping!$E$7:$E$256,$Q1177)))</f>
        <v/>
      </c>
      <c r="O1177" s="38" t="n">
        <f aca="false">IF($A1177="",1,IF($Q1177=0,1,INDEX(COA_Mapping!$F$7:$F$256,$Q1177)))</f>
        <v>1</v>
      </c>
      <c r="P1177" s="34" t="str">
        <f aca="false">IF($A1177="","",$I1177*$O1177)</f>
        <v/>
      </c>
      <c r="Q1177" s="39" t="n">
        <f aca="false">IF($B1177="",0,IFERROR(MATCH($B1177,COA_Mapping!$A$7:$A$256,0),0))</f>
        <v>0</v>
      </c>
      <c r="R1177" s="39" t="n">
        <f aca="false">IF($A1177="",-1,IF($J1177=Setup!$B$7,1,IF($J1177=Setup!$B$9,0,-1)))</f>
        <v>-1</v>
      </c>
      <c r="S1177" s="35" t="n">
        <f aca="false">IF(OR($A1177="",$Q1177=0,$R1177=-1),0,$Q1177*1000+$R1177*100+$K1177)</f>
        <v>0</v>
      </c>
      <c r="T1177" s="37" t="str">
        <f aca="false">IF($A1177="","",IF($B1177="","NO ACCOUNT",IF($Q1177=0,"UNMAPPED",IF($R1177=-1,"OUTSIDE FY RANGE","OK"))))</f>
        <v/>
      </c>
      <c r="U1177" s="40" t="str">
        <f aca="false">IF($A1177="","",$B1177&amp;"|"&amp;TEXT($A1177,"yyyymmdd")&amp;"|"&amp;TEXT($I1177,"0.00"))</f>
        <v/>
      </c>
      <c r="V1177" s="35" t="str">
        <f aca="false">IF($A1177="","",COUNTIF($U$8:$U$5007,$U1177))</f>
        <v/>
      </c>
    </row>
    <row r="1178" customFormat="false" ht="15" hidden="false" customHeight="false" outlineLevel="0" collapsed="false">
      <c r="A1178" s="31"/>
      <c r="B1178" s="32"/>
      <c r="C1178" s="32"/>
      <c r="D1178" s="32"/>
      <c r="E1178" s="32"/>
      <c r="F1178" s="32"/>
      <c r="G1178" s="33"/>
      <c r="H1178" s="33"/>
      <c r="I1178" s="34" t="str">
        <f aca="false">IF($A1178="","",$G1178-$H1178)</f>
        <v/>
      </c>
      <c r="J1178" s="35" t="str">
        <f aca="false">IF($A1178="","",IF(Setup!$B$6=1,YEAR($A1178),YEAR($A1178)+IF(MONTH($A1178)&gt;=Setup!$B$6,1,0)))</f>
        <v/>
      </c>
      <c r="K1178" s="35" t="str">
        <f aca="false">IF($A1178="","",MOD(MONTH($A1178)-Setup!$B$6+12,12)+1)</f>
        <v/>
      </c>
      <c r="L1178" s="36" t="str">
        <f aca="false">IF($A1178="","",TEXT($A1178,"MMM-YY"))</f>
        <v/>
      </c>
      <c r="M1178" s="37" t="str">
        <f aca="false">IF($A1178="","",IF($Q1178=0,"UNMAPPED",INDEX(COA_Mapping!$C$7:$C$256,$Q1178)))</f>
        <v/>
      </c>
      <c r="N1178" s="38" t="str">
        <f aca="false">IF($A1178="","",IF($Q1178=0,"",INDEX(COA_Mapping!$E$7:$E$256,$Q1178)))</f>
        <v/>
      </c>
      <c r="O1178" s="38" t="n">
        <f aca="false">IF($A1178="",1,IF($Q1178=0,1,INDEX(COA_Mapping!$F$7:$F$256,$Q1178)))</f>
        <v>1</v>
      </c>
      <c r="P1178" s="34" t="str">
        <f aca="false">IF($A1178="","",$I1178*$O1178)</f>
        <v/>
      </c>
      <c r="Q1178" s="39" t="n">
        <f aca="false">IF($B1178="",0,IFERROR(MATCH($B1178,COA_Mapping!$A$7:$A$256,0),0))</f>
        <v>0</v>
      </c>
      <c r="R1178" s="39" t="n">
        <f aca="false">IF($A1178="",-1,IF($J1178=Setup!$B$7,1,IF($J1178=Setup!$B$9,0,-1)))</f>
        <v>-1</v>
      </c>
      <c r="S1178" s="35" t="n">
        <f aca="false">IF(OR($A1178="",$Q1178=0,$R1178=-1),0,$Q1178*1000+$R1178*100+$K1178)</f>
        <v>0</v>
      </c>
      <c r="T1178" s="37" t="str">
        <f aca="false">IF($A1178="","",IF($B1178="","NO ACCOUNT",IF($Q1178=0,"UNMAPPED",IF($R1178=-1,"OUTSIDE FY RANGE","OK"))))</f>
        <v/>
      </c>
      <c r="U1178" s="40" t="str">
        <f aca="false">IF($A1178="","",$B1178&amp;"|"&amp;TEXT($A1178,"yyyymmdd")&amp;"|"&amp;TEXT($I1178,"0.00"))</f>
        <v/>
      </c>
      <c r="V1178" s="35" t="str">
        <f aca="false">IF($A1178="","",COUNTIF($U$8:$U$5007,$U1178))</f>
        <v/>
      </c>
    </row>
    <row r="1179" customFormat="false" ht="15" hidden="false" customHeight="false" outlineLevel="0" collapsed="false">
      <c r="A1179" s="31"/>
      <c r="B1179" s="32"/>
      <c r="C1179" s="32"/>
      <c r="D1179" s="32"/>
      <c r="E1179" s="32"/>
      <c r="F1179" s="32"/>
      <c r="G1179" s="33"/>
      <c r="H1179" s="33"/>
      <c r="I1179" s="34" t="str">
        <f aca="false">IF($A1179="","",$G1179-$H1179)</f>
        <v/>
      </c>
      <c r="J1179" s="35" t="str">
        <f aca="false">IF($A1179="","",IF(Setup!$B$6=1,YEAR($A1179),YEAR($A1179)+IF(MONTH($A1179)&gt;=Setup!$B$6,1,0)))</f>
        <v/>
      </c>
      <c r="K1179" s="35" t="str">
        <f aca="false">IF($A1179="","",MOD(MONTH($A1179)-Setup!$B$6+12,12)+1)</f>
        <v/>
      </c>
      <c r="L1179" s="36" t="str">
        <f aca="false">IF($A1179="","",TEXT($A1179,"MMM-YY"))</f>
        <v/>
      </c>
      <c r="M1179" s="37" t="str">
        <f aca="false">IF($A1179="","",IF($Q1179=0,"UNMAPPED",INDEX(COA_Mapping!$C$7:$C$256,$Q1179)))</f>
        <v/>
      </c>
      <c r="N1179" s="38" t="str">
        <f aca="false">IF($A1179="","",IF($Q1179=0,"",INDEX(COA_Mapping!$E$7:$E$256,$Q1179)))</f>
        <v/>
      </c>
      <c r="O1179" s="38" t="n">
        <f aca="false">IF($A1179="",1,IF($Q1179=0,1,INDEX(COA_Mapping!$F$7:$F$256,$Q1179)))</f>
        <v>1</v>
      </c>
      <c r="P1179" s="34" t="str">
        <f aca="false">IF($A1179="","",$I1179*$O1179)</f>
        <v/>
      </c>
      <c r="Q1179" s="39" t="n">
        <f aca="false">IF($B1179="",0,IFERROR(MATCH($B1179,COA_Mapping!$A$7:$A$256,0),0))</f>
        <v>0</v>
      </c>
      <c r="R1179" s="39" t="n">
        <f aca="false">IF($A1179="",-1,IF($J1179=Setup!$B$7,1,IF($J1179=Setup!$B$9,0,-1)))</f>
        <v>-1</v>
      </c>
      <c r="S1179" s="35" t="n">
        <f aca="false">IF(OR($A1179="",$Q1179=0,$R1179=-1),0,$Q1179*1000+$R1179*100+$K1179)</f>
        <v>0</v>
      </c>
      <c r="T1179" s="37" t="str">
        <f aca="false">IF($A1179="","",IF($B1179="","NO ACCOUNT",IF($Q1179=0,"UNMAPPED",IF($R1179=-1,"OUTSIDE FY RANGE","OK"))))</f>
        <v/>
      </c>
      <c r="U1179" s="40" t="str">
        <f aca="false">IF($A1179="","",$B1179&amp;"|"&amp;TEXT($A1179,"yyyymmdd")&amp;"|"&amp;TEXT($I1179,"0.00"))</f>
        <v/>
      </c>
      <c r="V1179" s="35" t="str">
        <f aca="false">IF($A1179="","",COUNTIF($U$8:$U$5007,$U1179))</f>
        <v/>
      </c>
    </row>
    <row r="1180" customFormat="false" ht="15" hidden="false" customHeight="false" outlineLevel="0" collapsed="false">
      <c r="A1180" s="31"/>
      <c r="B1180" s="32"/>
      <c r="C1180" s="32"/>
      <c r="D1180" s="32"/>
      <c r="E1180" s="32"/>
      <c r="F1180" s="32"/>
      <c r="G1180" s="33"/>
      <c r="H1180" s="33"/>
      <c r="I1180" s="34" t="str">
        <f aca="false">IF($A1180="","",$G1180-$H1180)</f>
        <v/>
      </c>
      <c r="J1180" s="35" t="str">
        <f aca="false">IF($A1180="","",IF(Setup!$B$6=1,YEAR($A1180),YEAR($A1180)+IF(MONTH($A1180)&gt;=Setup!$B$6,1,0)))</f>
        <v/>
      </c>
      <c r="K1180" s="35" t="str">
        <f aca="false">IF($A1180="","",MOD(MONTH($A1180)-Setup!$B$6+12,12)+1)</f>
        <v/>
      </c>
      <c r="L1180" s="36" t="str">
        <f aca="false">IF($A1180="","",TEXT($A1180,"MMM-YY"))</f>
        <v/>
      </c>
      <c r="M1180" s="37" t="str">
        <f aca="false">IF($A1180="","",IF($Q1180=0,"UNMAPPED",INDEX(COA_Mapping!$C$7:$C$256,$Q1180)))</f>
        <v/>
      </c>
      <c r="N1180" s="38" t="str">
        <f aca="false">IF($A1180="","",IF($Q1180=0,"",INDEX(COA_Mapping!$E$7:$E$256,$Q1180)))</f>
        <v/>
      </c>
      <c r="O1180" s="38" t="n">
        <f aca="false">IF($A1180="",1,IF($Q1180=0,1,INDEX(COA_Mapping!$F$7:$F$256,$Q1180)))</f>
        <v>1</v>
      </c>
      <c r="P1180" s="34" t="str">
        <f aca="false">IF($A1180="","",$I1180*$O1180)</f>
        <v/>
      </c>
      <c r="Q1180" s="39" t="n">
        <f aca="false">IF($B1180="",0,IFERROR(MATCH($B1180,COA_Mapping!$A$7:$A$256,0),0))</f>
        <v>0</v>
      </c>
      <c r="R1180" s="39" t="n">
        <f aca="false">IF($A1180="",-1,IF($J1180=Setup!$B$7,1,IF($J1180=Setup!$B$9,0,-1)))</f>
        <v>-1</v>
      </c>
      <c r="S1180" s="35" t="n">
        <f aca="false">IF(OR($A1180="",$Q1180=0,$R1180=-1),0,$Q1180*1000+$R1180*100+$K1180)</f>
        <v>0</v>
      </c>
      <c r="T1180" s="37" t="str">
        <f aca="false">IF($A1180="","",IF($B1180="","NO ACCOUNT",IF($Q1180=0,"UNMAPPED",IF($R1180=-1,"OUTSIDE FY RANGE","OK"))))</f>
        <v/>
      </c>
      <c r="U1180" s="40" t="str">
        <f aca="false">IF($A1180="","",$B1180&amp;"|"&amp;TEXT($A1180,"yyyymmdd")&amp;"|"&amp;TEXT($I1180,"0.00"))</f>
        <v/>
      </c>
      <c r="V1180" s="35" t="str">
        <f aca="false">IF($A1180="","",COUNTIF($U$8:$U$5007,$U1180))</f>
        <v/>
      </c>
    </row>
    <row r="1181" customFormat="false" ht="15" hidden="false" customHeight="false" outlineLevel="0" collapsed="false">
      <c r="A1181" s="31"/>
      <c r="B1181" s="32"/>
      <c r="C1181" s="32"/>
      <c r="D1181" s="32"/>
      <c r="E1181" s="32"/>
      <c r="F1181" s="32"/>
      <c r="G1181" s="33"/>
      <c r="H1181" s="33"/>
      <c r="I1181" s="34" t="str">
        <f aca="false">IF($A1181="","",$G1181-$H1181)</f>
        <v/>
      </c>
      <c r="J1181" s="35" t="str">
        <f aca="false">IF($A1181="","",IF(Setup!$B$6=1,YEAR($A1181),YEAR($A1181)+IF(MONTH($A1181)&gt;=Setup!$B$6,1,0)))</f>
        <v/>
      </c>
      <c r="K1181" s="35" t="str">
        <f aca="false">IF($A1181="","",MOD(MONTH($A1181)-Setup!$B$6+12,12)+1)</f>
        <v/>
      </c>
      <c r="L1181" s="36" t="str">
        <f aca="false">IF($A1181="","",TEXT($A1181,"MMM-YY"))</f>
        <v/>
      </c>
      <c r="M1181" s="37" t="str">
        <f aca="false">IF($A1181="","",IF($Q1181=0,"UNMAPPED",INDEX(COA_Mapping!$C$7:$C$256,$Q1181)))</f>
        <v/>
      </c>
      <c r="N1181" s="38" t="str">
        <f aca="false">IF($A1181="","",IF($Q1181=0,"",INDEX(COA_Mapping!$E$7:$E$256,$Q1181)))</f>
        <v/>
      </c>
      <c r="O1181" s="38" t="n">
        <f aca="false">IF($A1181="",1,IF($Q1181=0,1,INDEX(COA_Mapping!$F$7:$F$256,$Q1181)))</f>
        <v>1</v>
      </c>
      <c r="P1181" s="34" t="str">
        <f aca="false">IF($A1181="","",$I1181*$O1181)</f>
        <v/>
      </c>
      <c r="Q1181" s="39" t="n">
        <f aca="false">IF($B1181="",0,IFERROR(MATCH($B1181,COA_Mapping!$A$7:$A$256,0),0))</f>
        <v>0</v>
      </c>
      <c r="R1181" s="39" t="n">
        <f aca="false">IF($A1181="",-1,IF($J1181=Setup!$B$7,1,IF($J1181=Setup!$B$9,0,-1)))</f>
        <v>-1</v>
      </c>
      <c r="S1181" s="35" t="n">
        <f aca="false">IF(OR($A1181="",$Q1181=0,$R1181=-1),0,$Q1181*1000+$R1181*100+$K1181)</f>
        <v>0</v>
      </c>
      <c r="T1181" s="37" t="str">
        <f aca="false">IF($A1181="","",IF($B1181="","NO ACCOUNT",IF($Q1181=0,"UNMAPPED",IF($R1181=-1,"OUTSIDE FY RANGE","OK"))))</f>
        <v/>
      </c>
      <c r="U1181" s="40" t="str">
        <f aca="false">IF($A1181="","",$B1181&amp;"|"&amp;TEXT($A1181,"yyyymmdd")&amp;"|"&amp;TEXT($I1181,"0.00"))</f>
        <v/>
      </c>
      <c r="V1181" s="35" t="str">
        <f aca="false">IF($A1181="","",COUNTIF($U$8:$U$5007,$U1181))</f>
        <v/>
      </c>
    </row>
    <row r="1182" customFormat="false" ht="15" hidden="false" customHeight="false" outlineLevel="0" collapsed="false">
      <c r="A1182" s="31"/>
      <c r="B1182" s="32"/>
      <c r="C1182" s="32"/>
      <c r="D1182" s="32"/>
      <c r="E1182" s="32"/>
      <c r="F1182" s="32"/>
      <c r="G1182" s="33"/>
      <c r="H1182" s="33"/>
      <c r="I1182" s="34" t="str">
        <f aca="false">IF($A1182="","",$G1182-$H1182)</f>
        <v/>
      </c>
      <c r="J1182" s="35" t="str">
        <f aca="false">IF($A1182="","",IF(Setup!$B$6=1,YEAR($A1182),YEAR($A1182)+IF(MONTH($A1182)&gt;=Setup!$B$6,1,0)))</f>
        <v/>
      </c>
      <c r="K1182" s="35" t="str">
        <f aca="false">IF($A1182="","",MOD(MONTH($A1182)-Setup!$B$6+12,12)+1)</f>
        <v/>
      </c>
      <c r="L1182" s="36" t="str">
        <f aca="false">IF($A1182="","",TEXT($A1182,"MMM-YY"))</f>
        <v/>
      </c>
      <c r="M1182" s="37" t="str">
        <f aca="false">IF($A1182="","",IF($Q1182=0,"UNMAPPED",INDEX(COA_Mapping!$C$7:$C$256,$Q1182)))</f>
        <v/>
      </c>
      <c r="N1182" s="38" t="str">
        <f aca="false">IF($A1182="","",IF($Q1182=0,"",INDEX(COA_Mapping!$E$7:$E$256,$Q1182)))</f>
        <v/>
      </c>
      <c r="O1182" s="38" t="n">
        <f aca="false">IF($A1182="",1,IF($Q1182=0,1,INDEX(COA_Mapping!$F$7:$F$256,$Q1182)))</f>
        <v>1</v>
      </c>
      <c r="P1182" s="34" t="str">
        <f aca="false">IF($A1182="","",$I1182*$O1182)</f>
        <v/>
      </c>
      <c r="Q1182" s="39" t="n">
        <f aca="false">IF($B1182="",0,IFERROR(MATCH($B1182,COA_Mapping!$A$7:$A$256,0),0))</f>
        <v>0</v>
      </c>
      <c r="R1182" s="39" t="n">
        <f aca="false">IF($A1182="",-1,IF($J1182=Setup!$B$7,1,IF($J1182=Setup!$B$9,0,-1)))</f>
        <v>-1</v>
      </c>
      <c r="S1182" s="35" t="n">
        <f aca="false">IF(OR($A1182="",$Q1182=0,$R1182=-1),0,$Q1182*1000+$R1182*100+$K1182)</f>
        <v>0</v>
      </c>
      <c r="T1182" s="37" t="str">
        <f aca="false">IF($A1182="","",IF($B1182="","NO ACCOUNT",IF($Q1182=0,"UNMAPPED",IF($R1182=-1,"OUTSIDE FY RANGE","OK"))))</f>
        <v/>
      </c>
      <c r="U1182" s="40" t="str">
        <f aca="false">IF($A1182="","",$B1182&amp;"|"&amp;TEXT($A1182,"yyyymmdd")&amp;"|"&amp;TEXT($I1182,"0.00"))</f>
        <v/>
      </c>
      <c r="V1182" s="35" t="str">
        <f aca="false">IF($A1182="","",COUNTIF($U$8:$U$5007,$U1182))</f>
        <v/>
      </c>
    </row>
    <row r="1183" customFormat="false" ht="15" hidden="false" customHeight="false" outlineLevel="0" collapsed="false">
      <c r="A1183" s="31"/>
      <c r="B1183" s="32"/>
      <c r="C1183" s="32"/>
      <c r="D1183" s="32"/>
      <c r="E1183" s="32"/>
      <c r="F1183" s="32"/>
      <c r="G1183" s="33"/>
      <c r="H1183" s="33"/>
      <c r="I1183" s="34" t="str">
        <f aca="false">IF($A1183="","",$G1183-$H1183)</f>
        <v/>
      </c>
      <c r="J1183" s="35" t="str">
        <f aca="false">IF($A1183="","",IF(Setup!$B$6=1,YEAR($A1183),YEAR($A1183)+IF(MONTH($A1183)&gt;=Setup!$B$6,1,0)))</f>
        <v/>
      </c>
      <c r="K1183" s="35" t="str">
        <f aca="false">IF($A1183="","",MOD(MONTH($A1183)-Setup!$B$6+12,12)+1)</f>
        <v/>
      </c>
      <c r="L1183" s="36" t="str">
        <f aca="false">IF($A1183="","",TEXT($A1183,"MMM-YY"))</f>
        <v/>
      </c>
      <c r="M1183" s="37" t="str">
        <f aca="false">IF($A1183="","",IF($Q1183=0,"UNMAPPED",INDEX(COA_Mapping!$C$7:$C$256,$Q1183)))</f>
        <v/>
      </c>
      <c r="N1183" s="38" t="str">
        <f aca="false">IF($A1183="","",IF($Q1183=0,"",INDEX(COA_Mapping!$E$7:$E$256,$Q1183)))</f>
        <v/>
      </c>
      <c r="O1183" s="38" t="n">
        <f aca="false">IF($A1183="",1,IF($Q1183=0,1,INDEX(COA_Mapping!$F$7:$F$256,$Q1183)))</f>
        <v>1</v>
      </c>
      <c r="P1183" s="34" t="str">
        <f aca="false">IF($A1183="","",$I1183*$O1183)</f>
        <v/>
      </c>
      <c r="Q1183" s="39" t="n">
        <f aca="false">IF($B1183="",0,IFERROR(MATCH($B1183,COA_Mapping!$A$7:$A$256,0),0))</f>
        <v>0</v>
      </c>
      <c r="R1183" s="39" t="n">
        <f aca="false">IF($A1183="",-1,IF($J1183=Setup!$B$7,1,IF($J1183=Setup!$B$9,0,-1)))</f>
        <v>-1</v>
      </c>
      <c r="S1183" s="35" t="n">
        <f aca="false">IF(OR($A1183="",$Q1183=0,$R1183=-1),0,$Q1183*1000+$R1183*100+$K1183)</f>
        <v>0</v>
      </c>
      <c r="T1183" s="37" t="str">
        <f aca="false">IF($A1183="","",IF($B1183="","NO ACCOUNT",IF($Q1183=0,"UNMAPPED",IF($R1183=-1,"OUTSIDE FY RANGE","OK"))))</f>
        <v/>
      </c>
      <c r="U1183" s="40" t="str">
        <f aca="false">IF($A1183="","",$B1183&amp;"|"&amp;TEXT($A1183,"yyyymmdd")&amp;"|"&amp;TEXT($I1183,"0.00"))</f>
        <v/>
      </c>
      <c r="V1183" s="35" t="str">
        <f aca="false">IF($A1183="","",COUNTIF($U$8:$U$5007,$U1183))</f>
        <v/>
      </c>
    </row>
    <row r="1184" customFormat="false" ht="15" hidden="false" customHeight="false" outlineLevel="0" collapsed="false">
      <c r="A1184" s="31"/>
      <c r="B1184" s="32"/>
      <c r="C1184" s="32"/>
      <c r="D1184" s="32"/>
      <c r="E1184" s="32"/>
      <c r="F1184" s="32"/>
      <c r="G1184" s="33"/>
      <c r="H1184" s="33"/>
      <c r="I1184" s="34" t="str">
        <f aca="false">IF($A1184="","",$G1184-$H1184)</f>
        <v/>
      </c>
      <c r="J1184" s="35" t="str">
        <f aca="false">IF($A1184="","",IF(Setup!$B$6=1,YEAR($A1184),YEAR($A1184)+IF(MONTH($A1184)&gt;=Setup!$B$6,1,0)))</f>
        <v/>
      </c>
      <c r="K1184" s="35" t="str">
        <f aca="false">IF($A1184="","",MOD(MONTH($A1184)-Setup!$B$6+12,12)+1)</f>
        <v/>
      </c>
      <c r="L1184" s="36" t="str">
        <f aca="false">IF($A1184="","",TEXT($A1184,"MMM-YY"))</f>
        <v/>
      </c>
      <c r="M1184" s="37" t="str">
        <f aca="false">IF($A1184="","",IF($Q1184=0,"UNMAPPED",INDEX(COA_Mapping!$C$7:$C$256,$Q1184)))</f>
        <v/>
      </c>
      <c r="N1184" s="38" t="str">
        <f aca="false">IF($A1184="","",IF($Q1184=0,"",INDEX(COA_Mapping!$E$7:$E$256,$Q1184)))</f>
        <v/>
      </c>
      <c r="O1184" s="38" t="n">
        <f aca="false">IF($A1184="",1,IF($Q1184=0,1,INDEX(COA_Mapping!$F$7:$F$256,$Q1184)))</f>
        <v>1</v>
      </c>
      <c r="P1184" s="34" t="str">
        <f aca="false">IF($A1184="","",$I1184*$O1184)</f>
        <v/>
      </c>
      <c r="Q1184" s="39" t="n">
        <f aca="false">IF($B1184="",0,IFERROR(MATCH($B1184,COA_Mapping!$A$7:$A$256,0),0))</f>
        <v>0</v>
      </c>
      <c r="R1184" s="39" t="n">
        <f aca="false">IF($A1184="",-1,IF($J1184=Setup!$B$7,1,IF($J1184=Setup!$B$9,0,-1)))</f>
        <v>-1</v>
      </c>
      <c r="S1184" s="35" t="n">
        <f aca="false">IF(OR($A1184="",$Q1184=0,$R1184=-1),0,$Q1184*1000+$R1184*100+$K1184)</f>
        <v>0</v>
      </c>
      <c r="T1184" s="37" t="str">
        <f aca="false">IF($A1184="","",IF($B1184="","NO ACCOUNT",IF($Q1184=0,"UNMAPPED",IF($R1184=-1,"OUTSIDE FY RANGE","OK"))))</f>
        <v/>
      </c>
      <c r="U1184" s="40" t="str">
        <f aca="false">IF($A1184="","",$B1184&amp;"|"&amp;TEXT($A1184,"yyyymmdd")&amp;"|"&amp;TEXT($I1184,"0.00"))</f>
        <v/>
      </c>
      <c r="V1184" s="35" t="str">
        <f aca="false">IF($A1184="","",COUNTIF($U$8:$U$5007,$U1184))</f>
        <v/>
      </c>
    </row>
    <row r="1185" customFormat="false" ht="15" hidden="false" customHeight="false" outlineLevel="0" collapsed="false">
      <c r="A1185" s="31"/>
      <c r="B1185" s="32"/>
      <c r="C1185" s="32"/>
      <c r="D1185" s="32"/>
      <c r="E1185" s="32"/>
      <c r="F1185" s="32"/>
      <c r="G1185" s="33"/>
      <c r="H1185" s="33"/>
      <c r="I1185" s="34" t="str">
        <f aca="false">IF($A1185="","",$G1185-$H1185)</f>
        <v/>
      </c>
      <c r="J1185" s="35" t="str">
        <f aca="false">IF($A1185="","",IF(Setup!$B$6=1,YEAR($A1185),YEAR($A1185)+IF(MONTH($A1185)&gt;=Setup!$B$6,1,0)))</f>
        <v/>
      </c>
      <c r="K1185" s="35" t="str">
        <f aca="false">IF($A1185="","",MOD(MONTH($A1185)-Setup!$B$6+12,12)+1)</f>
        <v/>
      </c>
      <c r="L1185" s="36" t="str">
        <f aca="false">IF($A1185="","",TEXT($A1185,"MMM-YY"))</f>
        <v/>
      </c>
      <c r="M1185" s="37" t="str">
        <f aca="false">IF($A1185="","",IF($Q1185=0,"UNMAPPED",INDEX(COA_Mapping!$C$7:$C$256,$Q1185)))</f>
        <v/>
      </c>
      <c r="N1185" s="38" t="str">
        <f aca="false">IF($A1185="","",IF($Q1185=0,"",INDEX(COA_Mapping!$E$7:$E$256,$Q1185)))</f>
        <v/>
      </c>
      <c r="O1185" s="38" t="n">
        <f aca="false">IF($A1185="",1,IF($Q1185=0,1,INDEX(COA_Mapping!$F$7:$F$256,$Q1185)))</f>
        <v>1</v>
      </c>
      <c r="P1185" s="34" t="str">
        <f aca="false">IF($A1185="","",$I1185*$O1185)</f>
        <v/>
      </c>
      <c r="Q1185" s="39" t="n">
        <f aca="false">IF($B1185="",0,IFERROR(MATCH($B1185,COA_Mapping!$A$7:$A$256,0),0))</f>
        <v>0</v>
      </c>
      <c r="R1185" s="39" t="n">
        <f aca="false">IF($A1185="",-1,IF($J1185=Setup!$B$7,1,IF($J1185=Setup!$B$9,0,-1)))</f>
        <v>-1</v>
      </c>
      <c r="S1185" s="35" t="n">
        <f aca="false">IF(OR($A1185="",$Q1185=0,$R1185=-1),0,$Q1185*1000+$R1185*100+$K1185)</f>
        <v>0</v>
      </c>
      <c r="T1185" s="37" t="str">
        <f aca="false">IF($A1185="","",IF($B1185="","NO ACCOUNT",IF($Q1185=0,"UNMAPPED",IF($R1185=-1,"OUTSIDE FY RANGE","OK"))))</f>
        <v/>
      </c>
      <c r="U1185" s="40" t="str">
        <f aca="false">IF($A1185="","",$B1185&amp;"|"&amp;TEXT($A1185,"yyyymmdd")&amp;"|"&amp;TEXT($I1185,"0.00"))</f>
        <v/>
      </c>
      <c r="V1185" s="35" t="str">
        <f aca="false">IF($A1185="","",COUNTIF($U$8:$U$5007,$U1185))</f>
        <v/>
      </c>
    </row>
    <row r="1186" customFormat="false" ht="15" hidden="false" customHeight="false" outlineLevel="0" collapsed="false">
      <c r="A1186" s="31"/>
      <c r="B1186" s="32"/>
      <c r="C1186" s="32"/>
      <c r="D1186" s="32"/>
      <c r="E1186" s="32"/>
      <c r="F1186" s="32"/>
      <c r="G1186" s="33"/>
      <c r="H1186" s="33"/>
      <c r="I1186" s="34" t="str">
        <f aca="false">IF($A1186="","",$G1186-$H1186)</f>
        <v/>
      </c>
      <c r="J1186" s="35" t="str">
        <f aca="false">IF($A1186="","",IF(Setup!$B$6=1,YEAR($A1186),YEAR($A1186)+IF(MONTH($A1186)&gt;=Setup!$B$6,1,0)))</f>
        <v/>
      </c>
      <c r="K1186" s="35" t="str">
        <f aca="false">IF($A1186="","",MOD(MONTH($A1186)-Setup!$B$6+12,12)+1)</f>
        <v/>
      </c>
      <c r="L1186" s="36" t="str">
        <f aca="false">IF($A1186="","",TEXT($A1186,"MMM-YY"))</f>
        <v/>
      </c>
      <c r="M1186" s="37" t="str">
        <f aca="false">IF($A1186="","",IF($Q1186=0,"UNMAPPED",INDEX(COA_Mapping!$C$7:$C$256,$Q1186)))</f>
        <v/>
      </c>
      <c r="N1186" s="38" t="str">
        <f aca="false">IF($A1186="","",IF($Q1186=0,"",INDEX(COA_Mapping!$E$7:$E$256,$Q1186)))</f>
        <v/>
      </c>
      <c r="O1186" s="38" t="n">
        <f aca="false">IF($A1186="",1,IF($Q1186=0,1,INDEX(COA_Mapping!$F$7:$F$256,$Q1186)))</f>
        <v>1</v>
      </c>
      <c r="P1186" s="34" t="str">
        <f aca="false">IF($A1186="","",$I1186*$O1186)</f>
        <v/>
      </c>
      <c r="Q1186" s="39" t="n">
        <f aca="false">IF($B1186="",0,IFERROR(MATCH($B1186,COA_Mapping!$A$7:$A$256,0),0))</f>
        <v>0</v>
      </c>
      <c r="R1186" s="39" t="n">
        <f aca="false">IF($A1186="",-1,IF($J1186=Setup!$B$7,1,IF($J1186=Setup!$B$9,0,-1)))</f>
        <v>-1</v>
      </c>
      <c r="S1186" s="35" t="n">
        <f aca="false">IF(OR($A1186="",$Q1186=0,$R1186=-1),0,$Q1186*1000+$R1186*100+$K1186)</f>
        <v>0</v>
      </c>
      <c r="T1186" s="37" t="str">
        <f aca="false">IF($A1186="","",IF($B1186="","NO ACCOUNT",IF($Q1186=0,"UNMAPPED",IF($R1186=-1,"OUTSIDE FY RANGE","OK"))))</f>
        <v/>
      </c>
      <c r="U1186" s="40" t="str">
        <f aca="false">IF($A1186="","",$B1186&amp;"|"&amp;TEXT($A1186,"yyyymmdd")&amp;"|"&amp;TEXT($I1186,"0.00"))</f>
        <v/>
      </c>
      <c r="V1186" s="35" t="str">
        <f aca="false">IF($A1186="","",COUNTIF($U$8:$U$5007,$U1186))</f>
        <v/>
      </c>
    </row>
    <row r="1187" customFormat="false" ht="15" hidden="false" customHeight="false" outlineLevel="0" collapsed="false">
      <c r="A1187" s="31"/>
      <c r="B1187" s="32"/>
      <c r="C1187" s="32"/>
      <c r="D1187" s="32"/>
      <c r="E1187" s="32"/>
      <c r="F1187" s="32"/>
      <c r="G1187" s="33"/>
      <c r="H1187" s="33"/>
      <c r="I1187" s="34" t="str">
        <f aca="false">IF($A1187="","",$G1187-$H1187)</f>
        <v/>
      </c>
      <c r="J1187" s="35" t="str">
        <f aca="false">IF($A1187="","",IF(Setup!$B$6=1,YEAR($A1187),YEAR($A1187)+IF(MONTH($A1187)&gt;=Setup!$B$6,1,0)))</f>
        <v/>
      </c>
      <c r="K1187" s="35" t="str">
        <f aca="false">IF($A1187="","",MOD(MONTH($A1187)-Setup!$B$6+12,12)+1)</f>
        <v/>
      </c>
      <c r="L1187" s="36" t="str">
        <f aca="false">IF($A1187="","",TEXT($A1187,"MMM-YY"))</f>
        <v/>
      </c>
      <c r="M1187" s="37" t="str">
        <f aca="false">IF($A1187="","",IF($Q1187=0,"UNMAPPED",INDEX(COA_Mapping!$C$7:$C$256,$Q1187)))</f>
        <v/>
      </c>
      <c r="N1187" s="38" t="str">
        <f aca="false">IF($A1187="","",IF($Q1187=0,"",INDEX(COA_Mapping!$E$7:$E$256,$Q1187)))</f>
        <v/>
      </c>
      <c r="O1187" s="38" t="n">
        <f aca="false">IF($A1187="",1,IF($Q1187=0,1,INDEX(COA_Mapping!$F$7:$F$256,$Q1187)))</f>
        <v>1</v>
      </c>
      <c r="P1187" s="34" t="str">
        <f aca="false">IF($A1187="","",$I1187*$O1187)</f>
        <v/>
      </c>
      <c r="Q1187" s="39" t="n">
        <f aca="false">IF($B1187="",0,IFERROR(MATCH($B1187,COA_Mapping!$A$7:$A$256,0),0))</f>
        <v>0</v>
      </c>
      <c r="R1187" s="39" t="n">
        <f aca="false">IF($A1187="",-1,IF($J1187=Setup!$B$7,1,IF($J1187=Setup!$B$9,0,-1)))</f>
        <v>-1</v>
      </c>
      <c r="S1187" s="35" t="n">
        <f aca="false">IF(OR($A1187="",$Q1187=0,$R1187=-1),0,$Q1187*1000+$R1187*100+$K1187)</f>
        <v>0</v>
      </c>
      <c r="T1187" s="37" t="str">
        <f aca="false">IF($A1187="","",IF($B1187="","NO ACCOUNT",IF($Q1187=0,"UNMAPPED",IF($R1187=-1,"OUTSIDE FY RANGE","OK"))))</f>
        <v/>
      </c>
      <c r="U1187" s="40" t="str">
        <f aca="false">IF($A1187="","",$B1187&amp;"|"&amp;TEXT($A1187,"yyyymmdd")&amp;"|"&amp;TEXT($I1187,"0.00"))</f>
        <v/>
      </c>
      <c r="V1187" s="35" t="str">
        <f aca="false">IF($A1187="","",COUNTIF($U$8:$U$5007,$U1187))</f>
        <v/>
      </c>
    </row>
    <row r="1188" customFormat="false" ht="15" hidden="false" customHeight="false" outlineLevel="0" collapsed="false">
      <c r="A1188" s="31"/>
      <c r="B1188" s="32"/>
      <c r="C1188" s="32"/>
      <c r="D1188" s="32"/>
      <c r="E1188" s="32"/>
      <c r="F1188" s="32"/>
      <c r="G1188" s="33"/>
      <c r="H1188" s="33"/>
      <c r="I1188" s="34" t="str">
        <f aca="false">IF($A1188="","",$G1188-$H1188)</f>
        <v/>
      </c>
      <c r="J1188" s="35" t="str">
        <f aca="false">IF($A1188="","",IF(Setup!$B$6=1,YEAR($A1188),YEAR($A1188)+IF(MONTH($A1188)&gt;=Setup!$B$6,1,0)))</f>
        <v/>
      </c>
      <c r="K1188" s="35" t="str">
        <f aca="false">IF($A1188="","",MOD(MONTH($A1188)-Setup!$B$6+12,12)+1)</f>
        <v/>
      </c>
      <c r="L1188" s="36" t="str">
        <f aca="false">IF($A1188="","",TEXT($A1188,"MMM-YY"))</f>
        <v/>
      </c>
      <c r="M1188" s="37" t="str">
        <f aca="false">IF($A1188="","",IF($Q1188=0,"UNMAPPED",INDEX(COA_Mapping!$C$7:$C$256,$Q1188)))</f>
        <v/>
      </c>
      <c r="N1188" s="38" t="str">
        <f aca="false">IF($A1188="","",IF($Q1188=0,"",INDEX(COA_Mapping!$E$7:$E$256,$Q1188)))</f>
        <v/>
      </c>
      <c r="O1188" s="38" t="n">
        <f aca="false">IF($A1188="",1,IF($Q1188=0,1,INDEX(COA_Mapping!$F$7:$F$256,$Q1188)))</f>
        <v>1</v>
      </c>
      <c r="P1188" s="34" t="str">
        <f aca="false">IF($A1188="","",$I1188*$O1188)</f>
        <v/>
      </c>
      <c r="Q1188" s="39" t="n">
        <f aca="false">IF($B1188="",0,IFERROR(MATCH($B1188,COA_Mapping!$A$7:$A$256,0),0))</f>
        <v>0</v>
      </c>
      <c r="R1188" s="39" t="n">
        <f aca="false">IF($A1188="",-1,IF($J1188=Setup!$B$7,1,IF($J1188=Setup!$B$9,0,-1)))</f>
        <v>-1</v>
      </c>
      <c r="S1188" s="35" t="n">
        <f aca="false">IF(OR($A1188="",$Q1188=0,$R1188=-1),0,$Q1188*1000+$R1188*100+$K1188)</f>
        <v>0</v>
      </c>
      <c r="T1188" s="37" t="str">
        <f aca="false">IF($A1188="","",IF($B1188="","NO ACCOUNT",IF($Q1188=0,"UNMAPPED",IF($R1188=-1,"OUTSIDE FY RANGE","OK"))))</f>
        <v/>
      </c>
      <c r="U1188" s="40" t="str">
        <f aca="false">IF($A1188="","",$B1188&amp;"|"&amp;TEXT($A1188,"yyyymmdd")&amp;"|"&amp;TEXT($I1188,"0.00"))</f>
        <v/>
      </c>
      <c r="V1188" s="35" t="str">
        <f aca="false">IF($A1188="","",COUNTIF($U$8:$U$5007,$U1188))</f>
        <v/>
      </c>
    </row>
    <row r="1189" customFormat="false" ht="15" hidden="false" customHeight="false" outlineLevel="0" collapsed="false">
      <c r="A1189" s="31"/>
      <c r="B1189" s="32"/>
      <c r="C1189" s="32"/>
      <c r="D1189" s="32"/>
      <c r="E1189" s="32"/>
      <c r="F1189" s="32"/>
      <c r="G1189" s="33"/>
      <c r="H1189" s="33"/>
      <c r="I1189" s="34" t="str">
        <f aca="false">IF($A1189="","",$G1189-$H1189)</f>
        <v/>
      </c>
      <c r="J1189" s="35" t="str">
        <f aca="false">IF($A1189="","",IF(Setup!$B$6=1,YEAR($A1189),YEAR($A1189)+IF(MONTH($A1189)&gt;=Setup!$B$6,1,0)))</f>
        <v/>
      </c>
      <c r="K1189" s="35" t="str">
        <f aca="false">IF($A1189="","",MOD(MONTH($A1189)-Setup!$B$6+12,12)+1)</f>
        <v/>
      </c>
      <c r="L1189" s="36" t="str">
        <f aca="false">IF($A1189="","",TEXT($A1189,"MMM-YY"))</f>
        <v/>
      </c>
      <c r="M1189" s="37" t="str">
        <f aca="false">IF($A1189="","",IF($Q1189=0,"UNMAPPED",INDEX(COA_Mapping!$C$7:$C$256,$Q1189)))</f>
        <v/>
      </c>
      <c r="N1189" s="38" t="str">
        <f aca="false">IF($A1189="","",IF($Q1189=0,"",INDEX(COA_Mapping!$E$7:$E$256,$Q1189)))</f>
        <v/>
      </c>
      <c r="O1189" s="38" t="n">
        <f aca="false">IF($A1189="",1,IF($Q1189=0,1,INDEX(COA_Mapping!$F$7:$F$256,$Q1189)))</f>
        <v>1</v>
      </c>
      <c r="P1189" s="34" t="str">
        <f aca="false">IF($A1189="","",$I1189*$O1189)</f>
        <v/>
      </c>
      <c r="Q1189" s="39" t="n">
        <f aca="false">IF($B1189="",0,IFERROR(MATCH($B1189,COA_Mapping!$A$7:$A$256,0),0))</f>
        <v>0</v>
      </c>
      <c r="R1189" s="39" t="n">
        <f aca="false">IF($A1189="",-1,IF($J1189=Setup!$B$7,1,IF($J1189=Setup!$B$9,0,-1)))</f>
        <v>-1</v>
      </c>
      <c r="S1189" s="35" t="n">
        <f aca="false">IF(OR($A1189="",$Q1189=0,$R1189=-1),0,$Q1189*1000+$R1189*100+$K1189)</f>
        <v>0</v>
      </c>
      <c r="T1189" s="37" t="str">
        <f aca="false">IF($A1189="","",IF($B1189="","NO ACCOUNT",IF($Q1189=0,"UNMAPPED",IF($R1189=-1,"OUTSIDE FY RANGE","OK"))))</f>
        <v/>
      </c>
      <c r="U1189" s="40" t="str">
        <f aca="false">IF($A1189="","",$B1189&amp;"|"&amp;TEXT($A1189,"yyyymmdd")&amp;"|"&amp;TEXT($I1189,"0.00"))</f>
        <v/>
      </c>
      <c r="V1189" s="35" t="str">
        <f aca="false">IF($A1189="","",COUNTIF($U$8:$U$5007,$U1189))</f>
        <v/>
      </c>
    </row>
    <row r="1190" customFormat="false" ht="15" hidden="false" customHeight="false" outlineLevel="0" collapsed="false">
      <c r="A1190" s="31"/>
      <c r="B1190" s="32"/>
      <c r="C1190" s="32"/>
      <c r="D1190" s="32"/>
      <c r="E1190" s="32"/>
      <c r="F1190" s="32"/>
      <c r="G1190" s="33"/>
      <c r="H1190" s="33"/>
      <c r="I1190" s="34" t="str">
        <f aca="false">IF($A1190="","",$G1190-$H1190)</f>
        <v/>
      </c>
      <c r="J1190" s="35" t="str">
        <f aca="false">IF($A1190="","",IF(Setup!$B$6=1,YEAR($A1190),YEAR($A1190)+IF(MONTH($A1190)&gt;=Setup!$B$6,1,0)))</f>
        <v/>
      </c>
      <c r="K1190" s="35" t="str">
        <f aca="false">IF($A1190="","",MOD(MONTH($A1190)-Setup!$B$6+12,12)+1)</f>
        <v/>
      </c>
      <c r="L1190" s="36" t="str">
        <f aca="false">IF($A1190="","",TEXT($A1190,"MMM-YY"))</f>
        <v/>
      </c>
      <c r="M1190" s="37" t="str">
        <f aca="false">IF($A1190="","",IF($Q1190=0,"UNMAPPED",INDEX(COA_Mapping!$C$7:$C$256,$Q1190)))</f>
        <v/>
      </c>
      <c r="N1190" s="38" t="str">
        <f aca="false">IF($A1190="","",IF($Q1190=0,"",INDEX(COA_Mapping!$E$7:$E$256,$Q1190)))</f>
        <v/>
      </c>
      <c r="O1190" s="38" t="n">
        <f aca="false">IF($A1190="",1,IF($Q1190=0,1,INDEX(COA_Mapping!$F$7:$F$256,$Q1190)))</f>
        <v>1</v>
      </c>
      <c r="P1190" s="34" t="str">
        <f aca="false">IF($A1190="","",$I1190*$O1190)</f>
        <v/>
      </c>
      <c r="Q1190" s="39" t="n">
        <f aca="false">IF($B1190="",0,IFERROR(MATCH($B1190,COA_Mapping!$A$7:$A$256,0),0))</f>
        <v>0</v>
      </c>
      <c r="R1190" s="39" t="n">
        <f aca="false">IF($A1190="",-1,IF($J1190=Setup!$B$7,1,IF($J1190=Setup!$B$9,0,-1)))</f>
        <v>-1</v>
      </c>
      <c r="S1190" s="35" t="n">
        <f aca="false">IF(OR($A1190="",$Q1190=0,$R1190=-1),0,$Q1190*1000+$R1190*100+$K1190)</f>
        <v>0</v>
      </c>
      <c r="T1190" s="37" t="str">
        <f aca="false">IF($A1190="","",IF($B1190="","NO ACCOUNT",IF($Q1190=0,"UNMAPPED",IF($R1190=-1,"OUTSIDE FY RANGE","OK"))))</f>
        <v/>
      </c>
      <c r="U1190" s="40" t="str">
        <f aca="false">IF($A1190="","",$B1190&amp;"|"&amp;TEXT($A1190,"yyyymmdd")&amp;"|"&amp;TEXT($I1190,"0.00"))</f>
        <v/>
      </c>
      <c r="V1190" s="35" t="str">
        <f aca="false">IF($A1190="","",COUNTIF($U$8:$U$5007,$U1190))</f>
        <v/>
      </c>
    </row>
    <row r="1191" customFormat="false" ht="15" hidden="false" customHeight="false" outlineLevel="0" collapsed="false">
      <c r="A1191" s="31"/>
      <c r="B1191" s="32"/>
      <c r="C1191" s="32"/>
      <c r="D1191" s="32"/>
      <c r="E1191" s="32"/>
      <c r="F1191" s="32"/>
      <c r="G1191" s="33"/>
      <c r="H1191" s="33"/>
      <c r="I1191" s="34" t="str">
        <f aca="false">IF($A1191="","",$G1191-$H1191)</f>
        <v/>
      </c>
      <c r="J1191" s="35" t="str">
        <f aca="false">IF($A1191="","",IF(Setup!$B$6=1,YEAR($A1191),YEAR($A1191)+IF(MONTH($A1191)&gt;=Setup!$B$6,1,0)))</f>
        <v/>
      </c>
      <c r="K1191" s="35" t="str">
        <f aca="false">IF($A1191="","",MOD(MONTH($A1191)-Setup!$B$6+12,12)+1)</f>
        <v/>
      </c>
      <c r="L1191" s="36" t="str">
        <f aca="false">IF($A1191="","",TEXT($A1191,"MMM-YY"))</f>
        <v/>
      </c>
      <c r="M1191" s="37" t="str">
        <f aca="false">IF($A1191="","",IF($Q1191=0,"UNMAPPED",INDEX(COA_Mapping!$C$7:$C$256,$Q1191)))</f>
        <v/>
      </c>
      <c r="N1191" s="38" t="str">
        <f aca="false">IF($A1191="","",IF($Q1191=0,"",INDEX(COA_Mapping!$E$7:$E$256,$Q1191)))</f>
        <v/>
      </c>
      <c r="O1191" s="38" t="n">
        <f aca="false">IF($A1191="",1,IF($Q1191=0,1,INDEX(COA_Mapping!$F$7:$F$256,$Q1191)))</f>
        <v>1</v>
      </c>
      <c r="P1191" s="34" t="str">
        <f aca="false">IF($A1191="","",$I1191*$O1191)</f>
        <v/>
      </c>
      <c r="Q1191" s="39" t="n">
        <f aca="false">IF($B1191="",0,IFERROR(MATCH($B1191,COA_Mapping!$A$7:$A$256,0),0))</f>
        <v>0</v>
      </c>
      <c r="R1191" s="39" t="n">
        <f aca="false">IF($A1191="",-1,IF($J1191=Setup!$B$7,1,IF($J1191=Setup!$B$9,0,-1)))</f>
        <v>-1</v>
      </c>
      <c r="S1191" s="35" t="n">
        <f aca="false">IF(OR($A1191="",$Q1191=0,$R1191=-1),0,$Q1191*1000+$R1191*100+$K1191)</f>
        <v>0</v>
      </c>
      <c r="T1191" s="37" t="str">
        <f aca="false">IF($A1191="","",IF($B1191="","NO ACCOUNT",IF($Q1191=0,"UNMAPPED",IF($R1191=-1,"OUTSIDE FY RANGE","OK"))))</f>
        <v/>
      </c>
      <c r="U1191" s="40" t="str">
        <f aca="false">IF($A1191="","",$B1191&amp;"|"&amp;TEXT($A1191,"yyyymmdd")&amp;"|"&amp;TEXT($I1191,"0.00"))</f>
        <v/>
      </c>
      <c r="V1191" s="35" t="str">
        <f aca="false">IF($A1191="","",COUNTIF($U$8:$U$5007,$U1191))</f>
        <v/>
      </c>
    </row>
    <row r="1192" customFormat="false" ht="15" hidden="false" customHeight="false" outlineLevel="0" collapsed="false">
      <c r="A1192" s="31"/>
      <c r="B1192" s="32"/>
      <c r="C1192" s="32"/>
      <c r="D1192" s="32"/>
      <c r="E1192" s="32"/>
      <c r="F1192" s="32"/>
      <c r="G1192" s="33"/>
      <c r="H1192" s="33"/>
      <c r="I1192" s="34" t="str">
        <f aca="false">IF($A1192="","",$G1192-$H1192)</f>
        <v/>
      </c>
      <c r="J1192" s="35" t="str">
        <f aca="false">IF($A1192="","",IF(Setup!$B$6=1,YEAR($A1192),YEAR($A1192)+IF(MONTH($A1192)&gt;=Setup!$B$6,1,0)))</f>
        <v/>
      </c>
      <c r="K1192" s="35" t="str">
        <f aca="false">IF($A1192="","",MOD(MONTH($A1192)-Setup!$B$6+12,12)+1)</f>
        <v/>
      </c>
      <c r="L1192" s="36" t="str">
        <f aca="false">IF($A1192="","",TEXT($A1192,"MMM-YY"))</f>
        <v/>
      </c>
      <c r="M1192" s="37" t="str">
        <f aca="false">IF($A1192="","",IF($Q1192=0,"UNMAPPED",INDEX(COA_Mapping!$C$7:$C$256,$Q1192)))</f>
        <v/>
      </c>
      <c r="N1192" s="38" t="str">
        <f aca="false">IF($A1192="","",IF($Q1192=0,"",INDEX(COA_Mapping!$E$7:$E$256,$Q1192)))</f>
        <v/>
      </c>
      <c r="O1192" s="38" t="n">
        <f aca="false">IF($A1192="",1,IF($Q1192=0,1,INDEX(COA_Mapping!$F$7:$F$256,$Q1192)))</f>
        <v>1</v>
      </c>
      <c r="P1192" s="34" t="str">
        <f aca="false">IF($A1192="","",$I1192*$O1192)</f>
        <v/>
      </c>
      <c r="Q1192" s="39" t="n">
        <f aca="false">IF($B1192="",0,IFERROR(MATCH($B1192,COA_Mapping!$A$7:$A$256,0),0))</f>
        <v>0</v>
      </c>
      <c r="R1192" s="39" t="n">
        <f aca="false">IF($A1192="",-1,IF($J1192=Setup!$B$7,1,IF($J1192=Setup!$B$9,0,-1)))</f>
        <v>-1</v>
      </c>
      <c r="S1192" s="35" t="n">
        <f aca="false">IF(OR($A1192="",$Q1192=0,$R1192=-1),0,$Q1192*1000+$R1192*100+$K1192)</f>
        <v>0</v>
      </c>
      <c r="T1192" s="37" t="str">
        <f aca="false">IF($A1192="","",IF($B1192="","NO ACCOUNT",IF($Q1192=0,"UNMAPPED",IF($R1192=-1,"OUTSIDE FY RANGE","OK"))))</f>
        <v/>
      </c>
      <c r="U1192" s="40" t="str">
        <f aca="false">IF($A1192="","",$B1192&amp;"|"&amp;TEXT($A1192,"yyyymmdd")&amp;"|"&amp;TEXT($I1192,"0.00"))</f>
        <v/>
      </c>
      <c r="V1192" s="35" t="str">
        <f aca="false">IF($A1192="","",COUNTIF($U$8:$U$5007,$U1192))</f>
        <v/>
      </c>
    </row>
    <row r="1193" customFormat="false" ht="15" hidden="false" customHeight="false" outlineLevel="0" collapsed="false">
      <c r="A1193" s="31"/>
      <c r="B1193" s="32"/>
      <c r="C1193" s="32"/>
      <c r="D1193" s="32"/>
      <c r="E1193" s="32"/>
      <c r="F1193" s="32"/>
      <c r="G1193" s="33"/>
      <c r="H1193" s="33"/>
      <c r="I1193" s="34" t="str">
        <f aca="false">IF($A1193="","",$G1193-$H1193)</f>
        <v/>
      </c>
      <c r="J1193" s="35" t="str">
        <f aca="false">IF($A1193="","",IF(Setup!$B$6=1,YEAR($A1193),YEAR($A1193)+IF(MONTH($A1193)&gt;=Setup!$B$6,1,0)))</f>
        <v/>
      </c>
      <c r="K1193" s="35" t="str">
        <f aca="false">IF($A1193="","",MOD(MONTH($A1193)-Setup!$B$6+12,12)+1)</f>
        <v/>
      </c>
      <c r="L1193" s="36" t="str">
        <f aca="false">IF($A1193="","",TEXT($A1193,"MMM-YY"))</f>
        <v/>
      </c>
      <c r="M1193" s="37" t="str">
        <f aca="false">IF($A1193="","",IF($Q1193=0,"UNMAPPED",INDEX(COA_Mapping!$C$7:$C$256,$Q1193)))</f>
        <v/>
      </c>
      <c r="N1193" s="38" t="str">
        <f aca="false">IF($A1193="","",IF($Q1193=0,"",INDEX(COA_Mapping!$E$7:$E$256,$Q1193)))</f>
        <v/>
      </c>
      <c r="O1193" s="38" t="n">
        <f aca="false">IF($A1193="",1,IF($Q1193=0,1,INDEX(COA_Mapping!$F$7:$F$256,$Q1193)))</f>
        <v>1</v>
      </c>
      <c r="P1193" s="34" t="str">
        <f aca="false">IF($A1193="","",$I1193*$O1193)</f>
        <v/>
      </c>
      <c r="Q1193" s="39" t="n">
        <f aca="false">IF($B1193="",0,IFERROR(MATCH($B1193,COA_Mapping!$A$7:$A$256,0),0))</f>
        <v>0</v>
      </c>
      <c r="R1193" s="39" t="n">
        <f aca="false">IF($A1193="",-1,IF($J1193=Setup!$B$7,1,IF($J1193=Setup!$B$9,0,-1)))</f>
        <v>-1</v>
      </c>
      <c r="S1193" s="35" t="n">
        <f aca="false">IF(OR($A1193="",$Q1193=0,$R1193=-1),0,$Q1193*1000+$R1193*100+$K1193)</f>
        <v>0</v>
      </c>
      <c r="T1193" s="37" t="str">
        <f aca="false">IF($A1193="","",IF($B1193="","NO ACCOUNT",IF($Q1193=0,"UNMAPPED",IF($R1193=-1,"OUTSIDE FY RANGE","OK"))))</f>
        <v/>
      </c>
      <c r="U1193" s="40" t="str">
        <f aca="false">IF($A1193="","",$B1193&amp;"|"&amp;TEXT($A1193,"yyyymmdd")&amp;"|"&amp;TEXT($I1193,"0.00"))</f>
        <v/>
      </c>
      <c r="V1193" s="35" t="str">
        <f aca="false">IF($A1193="","",COUNTIF($U$8:$U$5007,$U1193))</f>
        <v/>
      </c>
    </row>
    <row r="1194" customFormat="false" ht="15" hidden="false" customHeight="false" outlineLevel="0" collapsed="false">
      <c r="A1194" s="31"/>
      <c r="B1194" s="32"/>
      <c r="C1194" s="32"/>
      <c r="D1194" s="32"/>
      <c r="E1194" s="32"/>
      <c r="F1194" s="32"/>
      <c r="G1194" s="33"/>
      <c r="H1194" s="33"/>
      <c r="I1194" s="34" t="str">
        <f aca="false">IF($A1194="","",$G1194-$H1194)</f>
        <v/>
      </c>
      <c r="J1194" s="35" t="str">
        <f aca="false">IF($A1194="","",IF(Setup!$B$6=1,YEAR($A1194),YEAR($A1194)+IF(MONTH($A1194)&gt;=Setup!$B$6,1,0)))</f>
        <v/>
      </c>
      <c r="K1194" s="35" t="str">
        <f aca="false">IF($A1194="","",MOD(MONTH($A1194)-Setup!$B$6+12,12)+1)</f>
        <v/>
      </c>
      <c r="L1194" s="36" t="str">
        <f aca="false">IF($A1194="","",TEXT($A1194,"MMM-YY"))</f>
        <v/>
      </c>
      <c r="M1194" s="37" t="str">
        <f aca="false">IF($A1194="","",IF($Q1194=0,"UNMAPPED",INDEX(COA_Mapping!$C$7:$C$256,$Q1194)))</f>
        <v/>
      </c>
      <c r="N1194" s="38" t="str">
        <f aca="false">IF($A1194="","",IF($Q1194=0,"",INDEX(COA_Mapping!$E$7:$E$256,$Q1194)))</f>
        <v/>
      </c>
      <c r="O1194" s="38" t="n">
        <f aca="false">IF($A1194="",1,IF($Q1194=0,1,INDEX(COA_Mapping!$F$7:$F$256,$Q1194)))</f>
        <v>1</v>
      </c>
      <c r="P1194" s="34" t="str">
        <f aca="false">IF($A1194="","",$I1194*$O1194)</f>
        <v/>
      </c>
      <c r="Q1194" s="39" t="n">
        <f aca="false">IF($B1194="",0,IFERROR(MATCH($B1194,COA_Mapping!$A$7:$A$256,0),0))</f>
        <v>0</v>
      </c>
      <c r="R1194" s="39" t="n">
        <f aca="false">IF($A1194="",-1,IF($J1194=Setup!$B$7,1,IF($J1194=Setup!$B$9,0,-1)))</f>
        <v>-1</v>
      </c>
      <c r="S1194" s="35" t="n">
        <f aca="false">IF(OR($A1194="",$Q1194=0,$R1194=-1),0,$Q1194*1000+$R1194*100+$K1194)</f>
        <v>0</v>
      </c>
      <c r="T1194" s="37" t="str">
        <f aca="false">IF($A1194="","",IF($B1194="","NO ACCOUNT",IF($Q1194=0,"UNMAPPED",IF($R1194=-1,"OUTSIDE FY RANGE","OK"))))</f>
        <v/>
      </c>
      <c r="U1194" s="40" t="str">
        <f aca="false">IF($A1194="","",$B1194&amp;"|"&amp;TEXT($A1194,"yyyymmdd")&amp;"|"&amp;TEXT($I1194,"0.00"))</f>
        <v/>
      </c>
      <c r="V1194" s="35" t="str">
        <f aca="false">IF($A1194="","",COUNTIF($U$8:$U$5007,$U1194))</f>
        <v/>
      </c>
    </row>
    <row r="1195" customFormat="false" ht="15" hidden="false" customHeight="false" outlineLevel="0" collapsed="false">
      <c r="A1195" s="31"/>
      <c r="B1195" s="32"/>
      <c r="C1195" s="32"/>
      <c r="D1195" s="32"/>
      <c r="E1195" s="32"/>
      <c r="F1195" s="32"/>
      <c r="G1195" s="33"/>
      <c r="H1195" s="33"/>
      <c r="I1195" s="34" t="str">
        <f aca="false">IF($A1195="","",$G1195-$H1195)</f>
        <v/>
      </c>
      <c r="J1195" s="35" t="str">
        <f aca="false">IF($A1195="","",IF(Setup!$B$6=1,YEAR($A1195),YEAR($A1195)+IF(MONTH($A1195)&gt;=Setup!$B$6,1,0)))</f>
        <v/>
      </c>
      <c r="K1195" s="35" t="str">
        <f aca="false">IF($A1195="","",MOD(MONTH($A1195)-Setup!$B$6+12,12)+1)</f>
        <v/>
      </c>
      <c r="L1195" s="36" t="str">
        <f aca="false">IF($A1195="","",TEXT($A1195,"MMM-YY"))</f>
        <v/>
      </c>
      <c r="M1195" s="37" t="str">
        <f aca="false">IF($A1195="","",IF($Q1195=0,"UNMAPPED",INDEX(COA_Mapping!$C$7:$C$256,$Q1195)))</f>
        <v/>
      </c>
      <c r="N1195" s="38" t="str">
        <f aca="false">IF($A1195="","",IF($Q1195=0,"",INDEX(COA_Mapping!$E$7:$E$256,$Q1195)))</f>
        <v/>
      </c>
      <c r="O1195" s="38" t="n">
        <f aca="false">IF($A1195="",1,IF($Q1195=0,1,INDEX(COA_Mapping!$F$7:$F$256,$Q1195)))</f>
        <v>1</v>
      </c>
      <c r="P1195" s="34" t="str">
        <f aca="false">IF($A1195="","",$I1195*$O1195)</f>
        <v/>
      </c>
      <c r="Q1195" s="39" t="n">
        <f aca="false">IF($B1195="",0,IFERROR(MATCH($B1195,COA_Mapping!$A$7:$A$256,0),0))</f>
        <v>0</v>
      </c>
      <c r="R1195" s="39" t="n">
        <f aca="false">IF($A1195="",-1,IF($J1195=Setup!$B$7,1,IF($J1195=Setup!$B$9,0,-1)))</f>
        <v>-1</v>
      </c>
      <c r="S1195" s="35" t="n">
        <f aca="false">IF(OR($A1195="",$Q1195=0,$R1195=-1),0,$Q1195*1000+$R1195*100+$K1195)</f>
        <v>0</v>
      </c>
      <c r="T1195" s="37" t="str">
        <f aca="false">IF($A1195="","",IF($B1195="","NO ACCOUNT",IF($Q1195=0,"UNMAPPED",IF($R1195=-1,"OUTSIDE FY RANGE","OK"))))</f>
        <v/>
      </c>
      <c r="U1195" s="40" t="str">
        <f aca="false">IF($A1195="","",$B1195&amp;"|"&amp;TEXT($A1195,"yyyymmdd")&amp;"|"&amp;TEXT($I1195,"0.00"))</f>
        <v/>
      </c>
      <c r="V1195" s="35" t="str">
        <f aca="false">IF($A1195="","",COUNTIF($U$8:$U$5007,$U1195))</f>
        <v/>
      </c>
    </row>
    <row r="1196" customFormat="false" ht="15" hidden="false" customHeight="false" outlineLevel="0" collapsed="false">
      <c r="A1196" s="31"/>
      <c r="B1196" s="32"/>
      <c r="C1196" s="32"/>
      <c r="D1196" s="32"/>
      <c r="E1196" s="32"/>
      <c r="F1196" s="32"/>
      <c r="G1196" s="33"/>
      <c r="H1196" s="33"/>
      <c r="I1196" s="34" t="str">
        <f aca="false">IF($A1196="","",$G1196-$H1196)</f>
        <v/>
      </c>
      <c r="J1196" s="35" t="str">
        <f aca="false">IF($A1196="","",IF(Setup!$B$6=1,YEAR($A1196),YEAR($A1196)+IF(MONTH($A1196)&gt;=Setup!$B$6,1,0)))</f>
        <v/>
      </c>
      <c r="K1196" s="35" t="str">
        <f aca="false">IF($A1196="","",MOD(MONTH($A1196)-Setup!$B$6+12,12)+1)</f>
        <v/>
      </c>
      <c r="L1196" s="36" t="str">
        <f aca="false">IF($A1196="","",TEXT($A1196,"MMM-YY"))</f>
        <v/>
      </c>
      <c r="M1196" s="37" t="str">
        <f aca="false">IF($A1196="","",IF($Q1196=0,"UNMAPPED",INDEX(COA_Mapping!$C$7:$C$256,$Q1196)))</f>
        <v/>
      </c>
      <c r="N1196" s="38" t="str">
        <f aca="false">IF($A1196="","",IF($Q1196=0,"",INDEX(COA_Mapping!$E$7:$E$256,$Q1196)))</f>
        <v/>
      </c>
      <c r="O1196" s="38" t="n">
        <f aca="false">IF($A1196="",1,IF($Q1196=0,1,INDEX(COA_Mapping!$F$7:$F$256,$Q1196)))</f>
        <v>1</v>
      </c>
      <c r="P1196" s="34" t="str">
        <f aca="false">IF($A1196="","",$I1196*$O1196)</f>
        <v/>
      </c>
      <c r="Q1196" s="39" t="n">
        <f aca="false">IF($B1196="",0,IFERROR(MATCH($B1196,COA_Mapping!$A$7:$A$256,0),0))</f>
        <v>0</v>
      </c>
      <c r="R1196" s="39" t="n">
        <f aca="false">IF($A1196="",-1,IF($J1196=Setup!$B$7,1,IF($J1196=Setup!$B$9,0,-1)))</f>
        <v>-1</v>
      </c>
      <c r="S1196" s="35" t="n">
        <f aca="false">IF(OR($A1196="",$Q1196=0,$R1196=-1),0,$Q1196*1000+$R1196*100+$K1196)</f>
        <v>0</v>
      </c>
      <c r="T1196" s="37" t="str">
        <f aca="false">IF($A1196="","",IF($B1196="","NO ACCOUNT",IF($Q1196=0,"UNMAPPED",IF($R1196=-1,"OUTSIDE FY RANGE","OK"))))</f>
        <v/>
      </c>
      <c r="U1196" s="40" t="str">
        <f aca="false">IF($A1196="","",$B1196&amp;"|"&amp;TEXT($A1196,"yyyymmdd")&amp;"|"&amp;TEXT($I1196,"0.00"))</f>
        <v/>
      </c>
      <c r="V1196" s="35" t="str">
        <f aca="false">IF($A1196="","",COUNTIF($U$8:$U$5007,$U1196))</f>
        <v/>
      </c>
    </row>
    <row r="1197" customFormat="false" ht="15" hidden="false" customHeight="false" outlineLevel="0" collapsed="false">
      <c r="A1197" s="31"/>
      <c r="B1197" s="32"/>
      <c r="C1197" s="32"/>
      <c r="D1197" s="32"/>
      <c r="E1197" s="32"/>
      <c r="F1197" s="32"/>
      <c r="G1197" s="33"/>
      <c r="H1197" s="33"/>
      <c r="I1197" s="34" t="str">
        <f aca="false">IF($A1197="","",$G1197-$H1197)</f>
        <v/>
      </c>
      <c r="J1197" s="35" t="str">
        <f aca="false">IF($A1197="","",IF(Setup!$B$6=1,YEAR($A1197),YEAR($A1197)+IF(MONTH($A1197)&gt;=Setup!$B$6,1,0)))</f>
        <v/>
      </c>
      <c r="K1197" s="35" t="str">
        <f aca="false">IF($A1197="","",MOD(MONTH($A1197)-Setup!$B$6+12,12)+1)</f>
        <v/>
      </c>
      <c r="L1197" s="36" t="str">
        <f aca="false">IF($A1197="","",TEXT($A1197,"MMM-YY"))</f>
        <v/>
      </c>
      <c r="M1197" s="37" t="str">
        <f aca="false">IF($A1197="","",IF($Q1197=0,"UNMAPPED",INDEX(COA_Mapping!$C$7:$C$256,$Q1197)))</f>
        <v/>
      </c>
      <c r="N1197" s="38" t="str">
        <f aca="false">IF($A1197="","",IF($Q1197=0,"",INDEX(COA_Mapping!$E$7:$E$256,$Q1197)))</f>
        <v/>
      </c>
      <c r="O1197" s="38" t="n">
        <f aca="false">IF($A1197="",1,IF($Q1197=0,1,INDEX(COA_Mapping!$F$7:$F$256,$Q1197)))</f>
        <v>1</v>
      </c>
      <c r="P1197" s="34" t="str">
        <f aca="false">IF($A1197="","",$I1197*$O1197)</f>
        <v/>
      </c>
      <c r="Q1197" s="39" t="n">
        <f aca="false">IF($B1197="",0,IFERROR(MATCH($B1197,COA_Mapping!$A$7:$A$256,0),0))</f>
        <v>0</v>
      </c>
      <c r="R1197" s="39" t="n">
        <f aca="false">IF($A1197="",-1,IF($J1197=Setup!$B$7,1,IF($J1197=Setup!$B$9,0,-1)))</f>
        <v>-1</v>
      </c>
      <c r="S1197" s="35" t="n">
        <f aca="false">IF(OR($A1197="",$Q1197=0,$R1197=-1),0,$Q1197*1000+$R1197*100+$K1197)</f>
        <v>0</v>
      </c>
      <c r="T1197" s="37" t="str">
        <f aca="false">IF($A1197="","",IF($B1197="","NO ACCOUNT",IF($Q1197=0,"UNMAPPED",IF($R1197=-1,"OUTSIDE FY RANGE","OK"))))</f>
        <v/>
      </c>
      <c r="U1197" s="40" t="str">
        <f aca="false">IF($A1197="","",$B1197&amp;"|"&amp;TEXT($A1197,"yyyymmdd")&amp;"|"&amp;TEXT($I1197,"0.00"))</f>
        <v/>
      </c>
      <c r="V1197" s="35" t="str">
        <f aca="false">IF($A1197="","",COUNTIF($U$8:$U$5007,$U1197))</f>
        <v/>
      </c>
    </row>
    <row r="1198" customFormat="false" ht="15" hidden="false" customHeight="false" outlineLevel="0" collapsed="false">
      <c r="A1198" s="31"/>
      <c r="B1198" s="32"/>
      <c r="C1198" s="32"/>
      <c r="D1198" s="32"/>
      <c r="E1198" s="32"/>
      <c r="F1198" s="32"/>
      <c r="G1198" s="33"/>
      <c r="H1198" s="33"/>
      <c r="I1198" s="34" t="str">
        <f aca="false">IF($A1198="","",$G1198-$H1198)</f>
        <v/>
      </c>
      <c r="J1198" s="35" t="str">
        <f aca="false">IF($A1198="","",IF(Setup!$B$6=1,YEAR($A1198),YEAR($A1198)+IF(MONTH($A1198)&gt;=Setup!$B$6,1,0)))</f>
        <v/>
      </c>
      <c r="K1198" s="35" t="str">
        <f aca="false">IF($A1198="","",MOD(MONTH($A1198)-Setup!$B$6+12,12)+1)</f>
        <v/>
      </c>
      <c r="L1198" s="36" t="str">
        <f aca="false">IF($A1198="","",TEXT($A1198,"MMM-YY"))</f>
        <v/>
      </c>
      <c r="M1198" s="37" t="str">
        <f aca="false">IF($A1198="","",IF($Q1198=0,"UNMAPPED",INDEX(COA_Mapping!$C$7:$C$256,$Q1198)))</f>
        <v/>
      </c>
      <c r="N1198" s="38" t="str">
        <f aca="false">IF($A1198="","",IF($Q1198=0,"",INDEX(COA_Mapping!$E$7:$E$256,$Q1198)))</f>
        <v/>
      </c>
      <c r="O1198" s="38" t="n">
        <f aca="false">IF($A1198="",1,IF($Q1198=0,1,INDEX(COA_Mapping!$F$7:$F$256,$Q1198)))</f>
        <v>1</v>
      </c>
      <c r="P1198" s="34" t="str">
        <f aca="false">IF($A1198="","",$I1198*$O1198)</f>
        <v/>
      </c>
      <c r="Q1198" s="39" t="n">
        <f aca="false">IF($B1198="",0,IFERROR(MATCH($B1198,COA_Mapping!$A$7:$A$256,0),0))</f>
        <v>0</v>
      </c>
      <c r="R1198" s="39" t="n">
        <f aca="false">IF($A1198="",-1,IF($J1198=Setup!$B$7,1,IF($J1198=Setup!$B$9,0,-1)))</f>
        <v>-1</v>
      </c>
      <c r="S1198" s="35" t="n">
        <f aca="false">IF(OR($A1198="",$Q1198=0,$R1198=-1),0,$Q1198*1000+$R1198*100+$K1198)</f>
        <v>0</v>
      </c>
      <c r="T1198" s="37" t="str">
        <f aca="false">IF($A1198="","",IF($B1198="","NO ACCOUNT",IF($Q1198=0,"UNMAPPED",IF($R1198=-1,"OUTSIDE FY RANGE","OK"))))</f>
        <v/>
      </c>
      <c r="U1198" s="40" t="str">
        <f aca="false">IF($A1198="","",$B1198&amp;"|"&amp;TEXT($A1198,"yyyymmdd")&amp;"|"&amp;TEXT($I1198,"0.00"))</f>
        <v/>
      </c>
      <c r="V1198" s="35" t="str">
        <f aca="false">IF($A1198="","",COUNTIF($U$8:$U$5007,$U1198))</f>
        <v/>
      </c>
    </row>
    <row r="1199" customFormat="false" ht="15" hidden="false" customHeight="false" outlineLevel="0" collapsed="false">
      <c r="A1199" s="31"/>
      <c r="B1199" s="32"/>
      <c r="C1199" s="32"/>
      <c r="D1199" s="32"/>
      <c r="E1199" s="32"/>
      <c r="F1199" s="32"/>
      <c r="G1199" s="33"/>
      <c r="H1199" s="33"/>
      <c r="I1199" s="34" t="str">
        <f aca="false">IF($A1199="","",$G1199-$H1199)</f>
        <v/>
      </c>
      <c r="J1199" s="35" t="str">
        <f aca="false">IF($A1199="","",IF(Setup!$B$6=1,YEAR($A1199),YEAR($A1199)+IF(MONTH($A1199)&gt;=Setup!$B$6,1,0)))</f>
        <v/>
      </c>
      <c r="K1199" s="35" t="str">
        <f aca="false">IF($A1199="","",MOD(MONTH($A1199)-Setup!$B$6+12,12)+1)</f>
        <v/>
      </c>
      <c r="L1199" s="36" t="str">
        <f aca="false">IF($A1199="","",TEXT($A1199,"MMM-YY"))</f>
        <v/>
      </c>
      <c r="M1199" s="37" t="str">
        <f aca="false">IF($A1199="","",IF($Q1199=0,"UNMAPPED",INDEX(COA_Mapping!$C$7:$C$256,$Q1199)))</f>
        <v/>
      </c>
      <c r="N1199" s="38" t="str">
        <f aca="false">IF($A1199="","",IF($Q1199=0,"",INDEX(COA_Mapping!$E$7:$E$256,$Q1199)))</f>
        <v/>
      </c>
      <c r="O1199" s="38" t="n">
        <f aca="false">IF($A1199="",1,IF($Q1199=0,1,INDEX(COA_Mapping!$F$7:$F$256,$Q1199)))</f>
        <v>1</v>
      </c>
      <c r="P1199" s="34" t="str">
        <f aca="false">IF($A1199="","",$I1199*$O1199)</f>
        <v/>
      </c>
      <c r="Q1199" s="39" t="n">
        <f aca="false">IF($B1199="",0,IFERROR(MATCH($B1199,COA_Mapping!$A$7:$A$256,0),0))</f>
        <v>0</v>
      </c>
      <c r="R1199" s="39" t="n">
        <f aca="false">IF($A1199="",-1,IF($J1199=Setup!$B$7,1,IF($J1199=Setup!$B$9,0,-1)))</f>
        <v>-1</v>
      </c>
      <c r="S1199" s="35" t="n">
        <f aca="false">IF(OR($A1199="",$Q1199=0,$R1199=-1),0,$Q1199*1000+$R1199*100+$K1199)</f>
        <v>0</v>
      </c>
      <c r="T1199" s="37" t="str">
        <f aca="false">IF($A1199="","",IF($B1199="","NO ACCOUNT",IF($Q1199=0,"UNMAPPED",IF($R1199=-1,"OUTSIDE FY RANGE","OK"))))</f>
        <v/>
      </c>
      <c r="U1199" s="40" t="str">
        <f aca="false">IF($A1199="","",$B1199&amp;"|"&amp;TEXT($A1199,"yyyymmdd")&amp;"|"&amp;TEXT($I1199,"0.00"))</f>
        <v/>
      </c>
      <c r="V1199" s="35" t="str">
        <f aca="false">IF($A1199="","",COUNTIF($U$8:$U$5007,$U1199))</f>
        <v/>
      </c>
    </row>
    <row r="1200" customFormat="false" ht="15" hidden="false" customHeight="false" outlineLevel="0" collapsed="false">
      <c r="A1200" s="31"/>
      <c r="B1200" s="32"/>
      <c r="C1200" s="32"/>
      <c r="D1200" s="32"/>
      <c r="E1200" s="32"/>
      <c r="F1200" s="32"/>
      <c r="G1200" s="33"/>
      <c r="H1200" s="33"/>
      <c r="I1200" s="34" t="str">
        <f aca="false">IF($A1200="","",$G1200-$H1200)</f>
        <v/>
      </c>
      <c r="J1200" s="35" t="str">
        <f aca="false">IF($A1200="","",IF(Setup!$B$6=1,YEAR($A1200),YEAR($A1200)+IF(MONTH($A1200)&gt;=Setup!$B$6,1,0)))</f>
        <v/>
      </c>
      <c r="K1200" s="35" t="str">
        <f aca="false">IF($A1200="","",MOD(MONTH($A1200)-Setup!$B$6+12,12)+1)</f>
        <v/>
      </c>
      <c r="L1200" s="36" t="str">
        <f aca="false">IF($A1200="","",TEXT($A1200,"MMM-YY"))</f>
        <v/>
      </c>
      <c r="M1200" s="37" t="str">
        <f aca="false">IF($A1200="","",IF($Q1200=0,"UNMAPPED",INDEX(COA_Mapping!$C$7:$C$256,$Q1200)))</f>
        <v/>
      </c>
      <c r="N1200" s="38" t="str">
        <f aca="false">IF($A1200="","",IF($Q1200=0,"",INDEX(COA_Mapping!$E$7:$E$256,$Q1200)))</f>
        <v/>
      </c>
      <c r="O1200" s="38" t="n">
        <f aca="false">IF($A1200="",1,IF($Q1200=0,1,INDEX(COA_Mapping!$F$7:$F$256,$Q1200)))</f>
        <v>1</v>
      </c>
      <c r="P1200" s="34" t="str">
        <f aca="false">IF($A1200="","",$I1200*$O1200)</f>
        <v/>
      </c>
      <c r="Q1200" s="39" t="n">
        <f aca="false">IF($B1200="",0,IFERROR(MATCH($B1200,COA_Mapping!$A$7:$A$256,0),0))</f>
        <v>0</v>
      </c>
      <c r="R1200" s="39" t="n">
        <f aca="false">IF($A1200="",-1,IF($J1200=Setup!$B$7,1,IF($J1200=Setup!$B$9,0,-1)))</f>
        <v>-1</v>
      </c>
      <c r="S1200" s="35" t="n">
        <f aca="false">IF(OR($A1200="",$Q1200=0,$R1200=-1),0,$Q1200*1000+$R1200*100+$K1200)</f>
        <v>0</v>
      </c>
      <c r="T1200" s="37" t="str">
        <f aca="false">IF($A1200="","",IF($B1200="","NO ACCOUNT",IF($Q1200=0,"UNMAPPED",IF($R1200=-1,"OUTSIDE FY RANGE","OK"))))</f>
        <v/>
      </c>
      <c r="U1200" s="40" t="str">
        <f aca="false">IF($A1200="","",$B1200&amp;"|"&amp;TEXT($A1200,"yyyymmdd")&amp;"|"&amp;TEXT($I1200,"0.00"))</f>
        <v/>
      </c>
      <c r="V1200" s="35" t="str">
        <f aca="false">IF($A1200="","",COUNTIF($U$8:$U$5007,$U1200))</f>
        <v/>
      </c>
    </row>
    <row r="1201" customFormat="false" ht="15" hidden="false" customHeight="false" outlineLevel="0" collapsed="false">
      <c r="A1201" s="31"/>
      <c r="B1201" s="32"/>
      <c r="C1201" s="32"/>
      <c r="D1201" s="32"/>
      <c r="E1201" s="32"/>
      <c r="F1201" s="32"/>
      <c r="G1201" s="33"/>
      <c r="H1201" s="33"/>
      <c r="I1201" s="34" t="str">
        <f aca="false">IF($A1201="","",$G1201-$H1201)</f>
        <v/>
      </c>
      <c r="J1201" s="35" t="str">
        <f aca="false">IF($A1201="","",IF(Setup!$B$6=1,YEAR($A1201),YEAR($A1201)+IF(MONTH($A1201)&gt;=Setup!$B$6,1,0)))</f>
        <v/>
      </c>
      <c r="K1201" s="35" t="str">
        <f aca="false">IF($A1201="","",MOD(MONTH($A1201)-Setup!$B$6+12,12)+1)</f>
        <v/>
      </c>
      <c r="L1201" s="36" t="str">
        <f aca="false">IF($A1201="","",TEXT($A1201,"MMM-YY"))</f>
        <v/>
      </c>
      <c r="M1201" s="37" t="str">
        <f aca="false">IF($A1201="","",IF($Q1201=0,"UNMAPPED",INDEX(COA_Mapping!$C$7:$C$256,$Q1201)))</f>
        <v/>
      </c>
      <c r="N1201" s="38" t="str">
        <f aca="false">IF($A1201="","",IF($Q1201=0,"",INDEX(COA_Mapping!$E$7:$E$256,$Q1201)))</f>
        <v/>
      </c>
      <c r="O1201" s="38" t="n">
        <f aca="false">IF($A1201="",1,IF($Q1201=0,1,INDEX(COA_Mapping!$F$7:$F$256,$Q1201)))</f>
        <v>1</v>
      </c>
      <c r="P1201" s="34" t="str">
        <f aca="false">IF($A1201="","",$I1201*$O1201)</f>
        <v/>
      </c>
      <c r="Q1201" s="39" t="n">
        <f aca="false">IF($B1201="",0,IFERROR(MATCH($B1201,COA_Mapping!$A$7:$A$256,0),0))</f>
        <v>0</v>
      </c>
      <c r="R1201" s="39" t="n">
        <f aca="false">IF($A1201="",-1,IF($J1201=Setup!$B$7,1,IF($J1201=Setup!$B$9,0,-1)))</f>
        <v>-1</v>
      </c>
      <c r="S1201" s="35" t="n">
        <f aca="false">IF(OR($A1201="",$Q1201=0,$R1201=-1),0,$Q1201*1000+$R1201*100+$K1201)</f>
        <v>0</v>
      </c>
      <c r="T1201" s="37" t="str">
        <f aca="false">IF($A1201="","",IF($B1201="","NO ACCOUNT",IF($Q1201=0,"UNMAPPED",IF($R1201=-1,"OUTSIDE FY RANGE","OK"))))</f>
        <v/>
      </c>
      <c r="U1201" s="40" t="str">
        <f aca="false">IF($A1201="","",$B1201&amp;"|"&amp;TEXT($A1201,"yyyymmdd")&amp;"|"&amp;TEXT($I1201,"0.00"))</f>
        <v/>
      </c>
      <c r="V1201" s="35" t="str">
        <f aca="false">IF($A1201="","",COUNTIF($U$8:$U$5007,$U1201))</f>
        <v/>
      </c>
    </row>
    <row r="1202" customFormat="false" ht="15" hidden="false" customHeight="false" outlineLevel="0" collapsed="false">
      <c r="A1202" s="31"/>
      <c r="B1202" s="32"/>
      <c r="C1202" s="32"/>
      <c r="D1202" s="32"/>
      <c r="E1202" s="32"/>
      <c r="F1202" s="32"/>
      <c r="G1202" s="33"/>
      <c r="H1202" s="33"/>
      <c r="I1202" s="34" t="str">
        <f aca="false">IF($A1202="","",$G1202-$H1202)</f>
        <v/>
      </c>
      <c r="J1202" s="35" t="str">
        <f aca="false">IF($A1202="","",IF(Setup!$B$6=1,YEAR($A1202),YEAR($A1202)+IF(MONTH($A1202)&gt;=Setup!$B$6,1,0)))</f>
        <v/>
      </c>
      <c r="K1202" s="35" t="str">
        <f aca="false">IF($A1202="","",MOD(MONTH($A1202)-Setup!$B$6+12,12)+1)</f>
        <v/>
      </c>
      <c r="L1202" s="36" t="str">
        <f aca="false">IF($A1202="","",TEXT($A1202,"MMM-YY"))</f>
        <v/>
      </c>
      <c r="M1202" s="37" t="str">
        <f aca="false">IF($A1202="","",IF($Q1202=0,"UNMAPPED",INDEX(COA_Mapping!$C$7:$C$256,$Q1202)))</f>
        <v/>
      </c>
      <c r="N1202" s="38" t="str">
        <f aca="false">IF($A1202="","",IF($Q1202=0,"",INDEX(COA_Mapping!$E$7:$E$256,$Q1202)))</f>
        <v/>
      </c>
      <c r="O1202" s="38" t="n">
        <f aca="false">IF($A1202="",1,IF($Q1202=0,1,INDEX(COA_Mapping!$F$7:$F$256,$Q1202)))</f>
        <v>1</v>
      </c>
      <c r="P1202" s="34" t="str">
        <f aca="false">IF($A1202="","",$I1202*$O1202)</f>
        <v/>
      </c>
      <c r="Q1202" s="39" t="n">
        <f aca="false">IF($B1202="",0,IFERROR(MATCH($B1202,COA_Mapping!$A$7:$A$256,0),0))</f>
        <v>0</v>
      </c>
      <c r="R1202" s="39" t="n">
        <f aca="false">IF($A1202="",-1,IF($J1202=Setup!$B$7,1,IF($J1202=Setup!$B$9,0,-1)))</f>
        <v>-1</v>
      </c>
      <c r="S1202" s="35" t="n">
        <f aca="false">IF(OR($A1202="",$Q1202=0,$R1202=-1),0,$Q1202*1000+$R1202*100+$K1202)</f>
        <v>0</v>
      </c>
      <c r="T1202" s="37" t="str">
        <f aca="false">IF($A1202="","",IF($B1202="","NO ACCOUNT",IF($Q1202=0,"UNMAPPED",IF($R1202=-1,"OUTSIDE FY RANGE","OK"))))</f>
        <v/>
      </c>
      <c r="U1202" s="40" t="str">
        <f aca="false">IF($A1202="","",$B1202&amp;"|"&amp;TEXT($A1202,"yyyymmdd")&amp;"|"&amp;TEXT($I1202,"0.00"))</f>
        <v/>
      </c>
      <c r="V1202" s="35" t="str">
        <f aca="false">IF($A1202="","",COUNTIF($U$8:$U$5007,$U1202))</f>
        <v/>
      </c>
    </row>
    <row r="1203" customFormat="false" ht="15" hidden="false" customHeight="false" outlineLevel="0" collapsed="false">
      <c r="A1203" s="31"/>
      <c r="B1203" s="32"/>
      <c r="C1203" s="32"/>
      <c r="D1203" s="32"/>
      <c r="E1203" s="32"/>
      <c r="F1203" s="32"/>
      <c r="G1203" s="33"/>
      <c r="H1203" s="33"/>
      <c r="I1203" s="34" t="str">
        <f aca="false">IF($A1203="","",$G1203-$H1203)</f>
        <v/>
      </c>
      <c r="J1203" s="35" t="str">
        <f aca="false">IF($A1203="","",IF(Setup!$B$6=1,YEAR($A1203),YEAR($A1203)+IF(MONTH($A1203)&gt;=Setup!$B$6,1,0)))</f>
        <v/>
      </c>
      <c r="K1203" s="35" t="str">
        <f aca="false">IF($A1203="","",MOD(MONTH($A1203)-Setup!$B$6+12,12)+1)</f>
        <v/>
      </c>
      <c r="L1203" s="36" t="str">
        <f aca="false">IF($A1203="","",TEXT($A1203,"MMM-YY"))</f>
        <v/>
      </c>
      <c r="M1203" s="37" t="str">
        <f aca="false">IF($A1203="","",IF($Q1203=0,"UNMAPPED",INDEX(COA_Mapping!$C$7:$C$256,$Q1203)))</f>
        <v/>
      </c>
      <c r="N1203" s="38" t="str">
        <f aca="false">IF($A1203="","",IF($Q1203=0,"",INDEX(COA_Mapping!$E$7:$E$256,$Q1203)))</f>
        <v/>
      </c>
      <c r="O1203" s="38" t="n">
        <f aca="false">IF($A1203="",1,IF($Q1203=0,1,INDEX(COA_Mapping!$F$7:$F$256,$Q1203)))</f>
        <v>1</v>
      </c>
      <c r="P1203" s="34" t="str">
        <f aca="false">IF($A1203="","",$I1203*$O1203)</f>
        <v/>
      </c>
      <c r="Q1203" s="39" t="n">
        <f aca="false">IF($B1203="",0,IFERROR(MATCH($B1203,COA_Mapping!$A$7:$A$256,0),0))</f>
        <v>0</v>
      </c>
      <c r="R1203" s="39" t="n">
        <f aca="false">IF($A1203="",-1,IF($J1203=Setup!$B$7,1,IF($J1203=Setup!$B$9,0,-1)))</f>
        <v>-1</v>
      </c>
      <c r="S1203" s="35" t="n">
        <f aca="false">IF(OR($A1203="",$Q1203=0,$R1203=-1),0,$Q1203*1000+$R1203*100+$K1203)</f>
        <v>0</v>
      </c>
      <c r="T1203" s="37" t="str">
        <f aca="false">IF($A1203="","",IF($B1203="","NO ACCOUNT",IF($Q1203=0,"UNMAPPED",IF($R1203=-1,"OUTSIDE FY RANGE","OK"))))</f>
        <v/>
      </c>
      <c r="U1203" s="40" t="str">
        <f aca="false">IF($A1203="","",$B1203&amp;"|"&amp;TEXT($A1203,"yyyymmdd")&amp;"|"&amp;TEXT($I1203,"0.00"))</f>
        <v/>
      </c>
      <c r="V1203" s="35" t="str">
        <f aca="false">IF($A1203="","",COUNTIF($U$8:$U$5007,$U1203))</f>
        <v/>
      </c>
    </row>
    <row r="1204" customFormat="false" ht="15" hidden="false" customHeight="false" outlineLevel="0" collapsed="false">
      <c r="A1204" s="31"/>
      <c r="B1204" s="32"/>
      <c r="C1204" s="32"/>
      <c r="D1204" s="32"/>
      <c r="E1204" s="32"/>
      <c r="F1204" s="32"/>
      <c r="G1204" s="33"/>
      <c r="H1204" s="33"/>
      <c r="I1204" s="34" t="str">
        <f aca="false">IF($A1204="","",$G1204-$H1204)</f>
        <v/>
      </c>
      <c r="J1204" s="35" t="str">
        <f aca="false">IF($A1204="","",IF(Setup!$B$6=1,YEAR($A1204),YEAR($A1204)+IF(MONTH($A1204)&gt;=Setup!$B$6,1,0)))</f>
        <v/>
      </c>
      <c r="K1204" s="35" t="str">
        <f aca="false">IF($A1204="","",MOD(MONTH($A1204)-Setup!$B$6+12,12)+1)</f>
        <v/>
      </c>
      <c r="L1204" s="36" t="str">
        <f aca="false">IF($A1204="","",TEXT($A1204,"MMM-YY"))</f>
        <v/>
      </c>
      <c r="M1204" s="37" t="str">
        <f aca="false">IF($A1204="","",IF($Q1204=0,"UNMAPPED",INDEX(COA_Mapping!$C$7:$C$256,$Q1204)))</f>
        <v/>
      </c>
      <c r="N1204" s="38" t="str">
        <f aca="false">IF($A1204="","",IF($Q1204=0,"",INDEX(COA_Mapping!$E$7:$E$256,$Q1204)))</f>
        <v/>
      </c>
      <c r="O1204" s="38" t="n">
        <f aca="false">IF($A1204="",1,IF($Q1204=0,1,INDEX(COA_Mapping!$F$7:$F$256,$Q1204)))</f>
        <v>1</v>
      </c>
      <c r="P1204" s="34" t="str">
        <f aca="false">IF($A1204="","",$I1204*$O1204)</f>
        <v/>
      </c>
      <c r="Q1204" s="39" t="n">
        <f aca="false">IF($B1204="",0,IFERROR(MATCH($B1204,COA_Mapping!$A$7:$A$256,0),0))</f>
        <v>0</v>
      </c>
      <c r="R1204" s="39" t="n">
        <f aca="false">IF($A1204="",-1,IF($J1204=Setup!$B$7,1,IF($J1204=Setup!$B$9,0,-1)))</f>
        <v>-1</v>
      </c>
      <c r="S1204" s="35" t="n">
        <f aca="false">IF(OR($A1204="",$Q1204=0,$R1204=-1),0,$Q1204*1000+$R1204*100+$K1204)</f>
        <v>0</v>
      </c>
      <c r="T1204" s="37" t="str">
        <f aca="false">IF($A1204="","",IF($B1204="","NO ACCOUNT",IF($Q1204=0,"UNMAPPED",IF($R1204=-1,"OUTSIDE FY RANGE","OK"))))</f>
        <v/>
      </c>
      <c r="U1204" s="40" t="str">
        <f aca="false">IF($A1204="","",$B1204&amp;"|"&amp;TEXT($A1204,"yyyymmdd")&amp;"|"&amp;TEXT($I1204,"0.00"))</f>
        <v/>
      </c>
      <c r="V1204" s="35" t="str">
        <f aca="false">IF($A1204="","",COUNTIF($U$8:$U$5007,$U1204))</f>
        <v/>
      </c>
    </row>
    <row r="1205" customFormat="false" ht="15" hidden="false" customHeight="false" outlineLevel="0" collapsed="false">
      <c r="A1205" s="31"/>
      <c r="B1205" s="32"/>
      <c r="C1205" s="32"/>
      <c r="D1205" s="32"/>
      <c r="E1205" s="32"/>
      <c r="F1205" s="32"/>
      <c r="G1205" s="33"/>
      <c r="H1205" s="33"/>
      <c r="I1205" s="34" t="str">
        <f aca="false">IF($A1205="","",$G1205-$H1205)</f>
        <v/>
      </c>
      <c r="J1205" s="35" t="str">
        <f aca="false">IF($A1205="","",IF(Setup!$B$6=1,YEAR($A1205),YEAR($A1205)+IF(MONTH($A1205)&gt;=Setup!$B$6,1,0)))</f>
        <v/>
      </c>
      <c r="K1205" s="35" t="str">
        <f aca="false">IF($A1205="","",MOD(MONTH($A1205)-Setup!$B$6+12,12)+1)</f>
        <v/>
      </c>
      <c r="L1205" s="36" t="str">
        <f aca="false">IF($A1205="","",TEXT($A1205,"MMM-YY"))</f>
        <v/>
      </c>
      <c r="M1205" s="37" t="str">
        <f aca="false">IF($A1205="","",IF($Q1205=0,"UNMAPPED",INDEX(COA_Mapping!$C$7:$C$256,$Q1205)))</f>
        <v/>
      </c>
      <c r="N1205" s="38" t="str">
        <f aca="false">IF($A1205="","",IF($Q1205=0,"",INDEX(COA_Mapping!$E$7:$E$256,$Q1205)))</f>
        <v/>
      </c>
      <c r="O1205" s="38" t="n">
        <f aca="false">IF($A1205="",1,IF($Q1205=0,1,INDEX(COA_Mapping!$F$7:$F$256,$Q1205)))</f>
        <v>1</v>
      </c>
      <c r="P1205" s="34" t="str">
        <f aca="false">IF($A1205="","",$I1205*$O1205)</f>
        <v/>
      </c>
      <c r="Q1205" s="39" t="n">
        <f aca="false">IF($B1205="",0,IFERROR(MATCH($B1205,COA_Mapping!$A$7:$A$256,0),0))</f>
        <v>0</v>
      </c>
      <c r="R1205" s="39" t="n">
        <f aca="false">IF($A1205="",-1,IF($J1205=Setup!$B$7,1,IF($J1205=Setup!$B$9,0,-1)))</f>
        <v>-1</v>
      </c>
      <c r="S1205" s="35" t="n">
        <f aca="false">IF(OR($A1205="",$Q1205=0,$R1205=-1),0,$Q1205*1000+$R1205*100+$K1205)</f>
        <v>0</v>
      </c>
      <c r="T1205" s="37" t="str">
        <f aca="false">IF($A1205="","",IF($B1205="","NO ACCOUNT",IF($Q1205=0,"UNMAPPED",IF($R1205=-1,"OUTSIDE FY RANGE","OK"))))</f>
        <v/>
      </c>
      <c r="U1205" s="40" t="str">
        <f aca="false">IF($A1205="","",$B1205&amp;"|"&amp;TEXT($A1205,"yyyymmdd")&amp;"|"&amp;TEXT($I1205,"0.00"))</f>
        <v/>
      </c>
      <c r="V1205" s="35" t="str">
        <f aca="false">IF($A1205="","",COUNTIF($U$8:$U$5007,$U1205))</f>
        <v/>
      </c>
    </row>
    <row r="1206" customFormat="false" ht="15" hidden="false" customHeight="false" outlineLevel="0" collapsed="false">
      <c r="A1206" s="31"/>
      <c r="B1206" s="32"/>
      <c r="C1206" s="32"/>
      <c r="D1206" s="32"/>
      <c r="E1206" s="32"/>
      <c r="F1206" s="32"/>
      <c r="G1206" s="33"/>
      <c r="H1206" s="33"/>
      <c r="I1206" s="34" t="str">
        <f aca="false">IF($A1206="","",$G1206-$H1206)</f>
        <v/>
      </c>
      <c r="J1206" s="35" t="str">
        <f aca="false">IF($A1206="","",IF(Setup!$B$6=1,YEAR($A1206),YEAR($A1206)+IF(MONTH($A1206)&gt;=Setup!$B$6,1,0)))</f>
        <v/>
      </c>
      <c r="K1206" s="35" t="str">
        <f aca="false">IF($A1206="","",MOD(MONTH($A1206)-Setup!$B$6+12,12)+1)</f>
        <v/>
      </c>
      <c r="L1206" s="36" t="str">
        <f aca="false">IF($A1206="","",TEXT($A1206,"MMM-YY"))</f>
        <v/>
      </c>
      <c r="M1206" s="37" t="str">
        <f aca="false">IF($A1206="","",IF($Q1206=0,"UNMAPPED",INDEX(COA_Mapping!$C$7:$C$256,$Q1206)))</f>
        <v/>
      </c>
      <c r="N1206" s="38" t="str">
        <f aca="false">IF($A1206="","",IF($Q1206=0,"",INDEX(COA_Mapping!$E$7:$E$256,$Q1206)))</f>
        <v/>
      </c>
      <c r="O1206" s="38" t="n">
        <f aca="false">IF($A1206="",1,IF($Q1206=0,1,INDEX(COA_Mapping!$F$7:$F$256,$Q1206)))</f>
        <v>1</v>
      </c>
      <c r="P1206" s="34" t="str">
        <f aca="false">IF($A1206="","",$I1206*$O1206)</f>
        <v/>
      </c>
      <c r="Q1206" s="39" t="n">
        <f aca="false">IF($B1206="",0,IFERROR(MATCH($B1206,COA_Mapping!$A$7:$A$256,0),0))</f>
        <v>0</v>
      </c>
      <c r="R1206" s="39" t="n">
        <f aca="false">IF($A1206="",-1,IF($J1206=Setup!$B$7,1,IF($J1206=Setup!$B$9,0,-1)))</f>
        <v>-1</v>
      </c>
      <c r="S1206" s="35" t="n">
        <f aca="false">IF(OR($A1206="",$Q1206=0,$R1206=-1),0,$Q1206*1000+$R1206*100+$K1206)</f>
        <v>0</v>
      </c>
      <c r="T1206" s="37" t="str">
        <f aca="false">IF($A1206="","",IF($B1206="","NO ACCOUNT",IF($Q1206=0,"UNMAPPED",IF($R1206=-1,"OUTSIDE FY RANGE","OK"))))</f>
        <v/>
      </c>
      <c r="U1206" s="40" t="str">
        <f aca="false">IF($A1206="","",$B1206&amp;"|"&amp;TEXT($A1206,"yyyymmdd")&amp;"|"&amp;TEXT($I1206,"0.00"))</f>
        <v/>
      </c>
      <c r="V1206" s="35" t="str">
        <f aca="false">IF($A1206="","",COUNTIF($U$8:$U$5007,$U1206))</f>
        <v/>
      </c>
    </row>
    <row r="1207" customFormat="false" ht="15" hidden="false" customHeight="false" outlineLevel="0" collapsed="false">
      <c r="A1207" s="31"/>
      <c r="B1207" s="32"/>
      <c r="C1207" s="32"/>
      <c r="D1207" s="32"/>
      <c r="E1207" s="32"/>
      <c r="F1207" s="32"/>
      <c r="G1207" s="33"/>
      <c r="H1207" s="33"/>
      <c r="I1207" s="34" t="str">
        <f aca="false">IF($A1207="","",$G1207-$H1207)</f>
        <v/>
      </c>
      <c r="J1207" s="35" t="str">
        <f aca="false">IF($A1207="","",IF(Setup!$B$6=1,YEAR($A1207),YEAR($A1207)+IF(MONTH($A1207)&gt;=Setup!$B$6,1,0)))</f>
        <v/>
      </c>
      <c r="K1207" s="35" t="str">
        <f aca="false">IF($A1207="","",MOD(MONTH($A1207)-Setup!$B$6+12,12)+1)</f>
        <v/>
      </c>
      <c r="L1207" s="36" t="str">
        <f aca="false">IF($A1207="","",TEXT($A1207,"MMM-YY"))</f>
        <v/>
      </c>
      <c r="M1207" s="37" t="str">
        <f aca="false">IF($A1207="","",IF($Q1207=0,"UNMAPPED",INDEX(COA_Mapping!$C$7:$C$256,$Q1207)))</f>
        <v/>
      </c>
      <c r="N1207" s="38" t="str">
        <f aca="false">IF($A1207="","",IF($Q1207=0,"",INDEX(COA_Mapping!$E$7:$E$256,$Q1207)))</f>
        <v/>
      </c>
      <c r="O1207" s="38" t="n">
        <f aca="false">IF($A1207="",1,IF($Q1207=0,1,INDEX(COA_Mapping!$F$7:$F$256,$Q1207)))</f>
        <v>1</v>
      </c>
      <c r="P1207" s="34" t="str">
        <f aca="false">IF($A1207="","",$I1207*$O1207)</f>
        <v/>
      </c>
      <c r="Q1207" s="39" t="n">
        <f aca="false">IF($B1207="",0,IFERROR(MATCH($B1207,COA_Mapping!$A$7:$A$256,0),0))</f>
        <v>0</v>
      </c>
      <c r="R1207" s="39" t="n">
        <f aca="false">IF($A1207="",-1,IF($J1207=Setup!$B$7,1,IF($J1207=Setup!$B$9,0,-1)))</f>
        <v>-1</v>
      </c>
      <c r="S1207" s="35" t="n">
        <f aca="false">IF(OR($A1207="",$Q1207=0,$R1207=-1),0,$Q1207*1000+$R1207*100+$K1207)</f>
        <v>0</v>
      </c>
      <c r="T1207" s="37" t="str">
        <f aca="false">IF($A1207="","",IF($B1207="","NO ACCOUNT",IF($Q1207=0,"UNMAPPED",IF($R1207=-1,"OUTSIDE FY RANGE","OK"))))</f>
        <v/>
      </c>
      <c r="U1207" s="40" t="str">
        <f aca="false">IF($A1207="","",$B1207&amp;"|"&amp;TEXT($A1207,"yyyymmdd")&amp;"|"&amp;TEXT($I1207,"0.00"))</f>
        <v/>
      </c>
      <c r="V1207" s="35" t="str">
        <f aca="false">IF($A1207="","",COUNTIF($U$8:$U$5007,$U1207))</f>
        <v/>
      </c>
    </row>
    <row r="1208" customFormat="false" ht="15" hidden="false" customHeight="false" outlineLevel="0" collapsed="false">
      <c r="A1208" s="31"/>
      <c r="B1208" s="32"/>
      <c r="C1208" s="32"/>
      <c r="D1208" s="32"/>
      <c r="E1208" s="32"/>
      <c r="F1208" s="32"/>
      <c r="G1208" s="33"/>
      <c r="H1208" s="33"/>
      <c r="I1208" s="34" t="str">
        <f aca="false">IF($A1208="","",$G1208-$H1208)</f>
        <v/>
      </c>
      <c r="J1208" s="35" t="str">
        <f aca="false">IF($A1208="","",IF(Setup!$B$6=1,YEAR($A1208),YEAR($A1208)+IF(MONTH($A1208)&gt;=Setup!$B$6,1,0)))</f>
        <v/>
      </c>
      <c r="K1208" s="35" t="str">
        <f aca="false">IF($A1208="","",MOD(MONTH($A1208)-Setup!$B$6+12,12)+1)</f>
        <v/>
      </c>
      <c r="L1208" s="36" t="str">
        <f aca="false">IF($A1208="","",TEXT($A1208,"MMM-YY"))</f>
        <v/>
      </c>
      <c r="M1208" s="37" t="str">
        <f aca="false">IF($A1208="","",IF($Q1208=0,"UNMAPPED",INDEX(COA_Mapping!$C$7:$C$256,$Q1208)))</f>
        <v/>
      </c>
      <c r="N1208" s="38" t="str">
        <f aca="false">IF($A1208="","",IF($Q1208=0,"",INDEX(COA_Mapping!$E$7:$E$256,$Q1208)))</f>
        <v/>
      </c>
      <c r="O1208" s="38" t="n">
        <f aca="false">IF($A1208="",1,IF($Q1208=0,1,INDEX(COA_Mapping!$F$7:$F$256,$Q1208)))</f>
        <v>1</v>
      </c>
      <c r="P1208" s="34" t="str">
        <f aca="false">IF($A1208="","",$I1208*$O1208)</f>
        <v/>
      </c>
      <c r="Q1208" s="39" t="n">
        <f aca="false">IF($B1208="",0,IFERROR(MATCH($B1208,COA_Mapping!$A$7:$A$256,0),0))</f>
        <v>0</v>
      </c>
      <c r="R1208" s="39" t="n">
        <f aca="false">IF($A1208="",-1,IF($J1208=Setup!$B$7,1,IF($J1208=Setup!$B$9,0,-1)))</f>
        <v>-1</v>
      </c>
      <c r="S1208" s="35" t="n">
        <f aca="false">IF(OR($A1208="",$Q1208=0,$R1208=-1),0,$Q1208*1000+$R1208*100+$K1208)</f>
        <v>0</v>
      </c>
      <c r="T1208" s="37" t="str">
        <f aca="false">IF($A1208="","",IF($B1208="","NO ACCOUNT",IF($Q1208=0,"UNMAPPED",IF($R1208=-1,"OUTSIDE FY RANGE","OK"))))</f>
        <v/>
      </c>
      <c r="U1208" s="40" t="str">
        <f aca="false">IF($A1208="","",$B1208&amp;"|"&amp;TEXT($A1208,"yyyymmdd")&amp;"|"&amp;TEXT($I1208,"0.00"))</f>
        <v/>
      </c>
      <c r="V1208" s="35" t="str">
        <f aca="false">IF($A1208="","",COUNTIF($U$8:$U$5007,$U1208))</f>
        <v/>
      </c>
    </row>
    <row r="1209" customFormat="false" ht="15" hidden="false" customHeight="false" outlineLevel="0" collapsed="false">
      <c r="A1209" s="31"/>
      <c r="B1209" s="32"/>
      <c r="C1209" s="32"/>
      <c r="D1209" s="32"/>
      <c r="E1209" s="32"/>
      <c r="F1209" s="32"/>
      <c r="G1209" s="33"/>
      <c r="H1209" s="33"/>
      <c r="I1209" s="34" t="str">
        <f aca="false">IF($A1209="","",$G1209-$H1209)</f>
        <v/>
      </c>
      <c r="J1209" s="35" t="str">
        <f aca="false">IF($A1209="","",IF(Setup!$B$6=1,YEAR($A1209),YEAR($A1209)+IF(MONTH($A1209)&gt;=Setup!$B$6,1,0)))</f>
        <v/>
      </c>
      <c r="K1209" s="35" t="str">
        <f aca="false">IF($A1209="","",MOD(MONTH($A1209)-Setup!$B$6+12,12)+1)</f>
        <v/>
      </c>
      <c r="L1209" s="36" t="str">
        <f aca="false">IF($A1209="","",TEXT($A1209,"MMM-YY"))</f>
        <v/>
      </c>
      <c r="M1209" s="37" t="str">
        <f aca="false">IF($A1209="","",IF($Q1209=0,"UNMAPPED",INDEX(COA_Mapping!$C$7:$C$256,$Q1209)))</f>
        <v/>
      </c>
      <c r="N1209" s="38" t="str">
        <f aca="false">IF($A1209="","",IF($Q1209=0,"",INDEX(COA_Mapping!$E$7:$E$256,$Q1209)))</f>
        <v/>
      </c>
      <c r="O1209" s="38" t="n">
        <f aca="false">IF($A1209="",1,IF($Q1209=0,1,INDEX(COA_Mapping!$F$7:$F$256,$Q1209)))</f>
        <v>1</v>
      </c>
      <c r="P1209" s="34" t="str">
        <f aca="false">IF($A1209="","",$I1209*$O1209)</f>
        <v/>
      </c>
      <c r="Q1209" s="39" t="n">
        <f aca="false">IF($B1209="",0,IFERROR(MATCH($B1209,COA_Mapping!$A$7:$A$256,0),0))</f>
        <v>0</v>
      </c>
      <c r="R1209" s="39" t="n">
        <f aca="false">IF($A1209="",-1,IF($J1209=Setup!$B$7,1,IF($J1209=Setup!$B$9,0,-1)))</f>
        <v>-1</v>
      </c>
      <c r="S1209" s="35" t="n">
        <f aca="false">IF(OR($A1209="",$Q1209=0,$R1209=-1),0,$Q1209*1000+$R1209*100+$K1209)</f>
        <v>0</v>
      </c>
      <c r="T1209" s="37" t="str">
        <f aca="false">IF($A1209="","",IF($B1209="","NO ACCOUNT",IF($Q1209=0,"UNMAPPED",IF($R1209=-1,"OUTSIDE FY RANGE","OK"))))</f>
        <v/>
      </c>
      <c r="U1209" s="40" t="str">
        <f aca="false">IF($A1209="","",$B1209&amp;"|"&amp;TEXT($A1209,"yyyymmdd")&amp;"|"&amp;TEXT($I1209,"0.00"))</f>
        <v/>
      </c>
      <c r="V1209" s="35" t="str">
        <f aca="false">IF($A1209="","",COUNTIF($U$8:$U$5007,$U1209))</f>
        <v/>
      </c>
    </row>
    <row r="1210" customFormat="false" ht="15" hidden="false" customHeight="false" outlineLevel="0" collapsed="false">
      <c r="A1210" s="31"/>
      <c r="B1210" s="32"/>
      <c r="C1210" s="32"/>
      <c r="D1210" s="32"/>
      <c r="E1210" s="32"/>
      <c r="F1210" s="32"/>
      <c r="G1210" s="33"/>
      <c r="H1210" s="33"/>
      <c r="I1210" s="34" t="str">
        <f aca="false">IF($A1210="","",$G1210-$H1210)</f>
        <v/>
      </c>
      <c r="J1210" s="35" t="str">
        <f aca="false">IF($A1210="","",IF(Setup!$B$6=1,YEAR($A1210),YEAR($A1210)+IF(MONTH($A1210)&gt;=Setup!$B$6,1,0)))</f>
        <v/>
      </c>
      <c r="K1210" s="35" t="str">
        <f aca="false">IF($A1210="","",MOD(MONTH($A1210)-Setup!$B$6+12,12)+1)</f>
        <v/>
      </c>
      <c r="L1210" s="36" t="str">
        <f aca="false">IF($A1210="","",TEXT($A1210,"MMM-YY"))</f>
        <v/>
      </c>
      <c r="M1210" s="37" t="str">
        <f aca="false">IF($A1210="","",IF($Q1210=0,"UNMAPPED",INDEX(COA_Mapping!$C$7:$C$256,$Q1210)))</f>
        <v/>
      </c>
      <c r="N1210" s="38" t="str">
        <f aca="false">IF($A1210="","",IF($Q1210=0,"",INDEX(COA_Mapping!$E$7:$E$256,$Q1210)))</f>
        <v/>
      </c>
      <c r="O1210" s="38" t="n">
        <f aca="false">IF($A1210="",1,IF($Q1210=0,1,INDEX(COA_Mapping!$F$7:$F$256,$Q1210)))</f>
        <v>1</v>
      </c>
      <c r="P1210" s="34" t="str">
        <f aca="false">IF($A1210="","",$I1210*$O1210)</f>
        <v/>
      </c>
      <c r="Q1210" s="39" t="n">
        <f aca="false">IF($B1210="",0,IFERROR(MATCH($B1210,COA_Mapping!$A$7:$A$256,0),0))</f>
        <v>0</v>
      </c>
      <c r="R1210" s="39" t="n">
        <f aca="false">IF($A1210="",-1,IF($J1210=Setup!$B$7,1,IF($J1210=Setup!$B$9,0,-1)))</f>
        <v>-1</v>
      </c>
      <c r="S1210" s="35" t="n">
        <f aca="false">IF(OR($A1210="",$Q1210=0,$R1210=-1),0,$Q1210*1000+$R1210*100+$K1210)</f>
        <v>0</v>
      </c>
      <c r="T1210" s="37" t="str">
        <f aca="false">IF($A1210="","",IF($B1210="","NO ACCOUNT",IF($Q1210=0,"UNMAPPED",IF($R1210=-1,"OUTSIDE FY RANGE","OK"))))</f>
        <v/>
      </c>
      <c r="U1210" s="40" t="str">
        <f aca="false">IF($A1210="","",$B1210&amp;"|"&amp;TEXT($A1210,"yyyymmdd")&amp;"|"&amp;TEXT($I1210,"0.00"))</f>
        <v/>
      </c>
      <c r="V1210" s="35" t="str">
        <f aca="false">IF($A1210="","",COUNTIF($U$8:$U$5007,$U1210))</f>
        <v/>
      </c>
    </row>
    <row r="1211" customFormat="false" ht="15" hidden="false" customHeight="false" outlineLevel="0" collapsed="false">
      <c r="A1211" s="31"/>
      <c r="B1211" s="32"/>
      <c r="C1211" s="32"/>
      <c r="D1211" s="32"/>
      <c r="E1211" s="32"/>
      <c r="F1211" s="32"/>
      <c r="G1211" s="33"/>
      <c r="H1211" s="33"/>
      <c r="I1211" s="34" t="str">
        <f aca="false">IF($A1211="","",$G1211-$H1211)</f>
        <v/>
      </c>
      <c r="J1211" s="35" t="str">
        <f aca="false">IF($A1211="","",IF(Setup!$B$6=1,YEAR($A1211),YEAR($A1211)+IF(MONTH($A1211)&gt;=Setup!$B$6,1,0)))</f>
        <v/>
      </c>
      <c r="K1211" s="35" t="str">
        <f aca="false">IF($A1211="","",MOD(MONTH($A1211)-Setup!$B$6+12,12)+1)</f>
        <v/>
      </c>
      <c r="L1211" s="36" t="str">
        <f aca="false">IF($A1211="","",TEXT($A1211,"MMM-YY"))</f>
        <v/>
      </c>
      <c r="M1211" s="37" t="str">
        <f aca="false">IF($A1211="","",IF($Q1211=0,"UNMAPPED",INDEX(COA_Mapping!$C$7:$C$256,$Q1211)))</f>
        <v/>
      </c>
      <c r="N1211" s="38" t="str">
        <f aca="false">IF($A1211="","",IF($Q1211=0,"",INDEX(COA_Mapping!$E$7:$E$256,$Q1211)))</f>
        <v/>
      </c>
      <c r="O1211" s="38" t="n">
        <f aca="false">IF($A1211="",1,IF($Q1211=0,1,INDEX(COA_Mapping!$F$7:$F$256,$Q1211)))</f>
        <v>1</v>
      </c>
      <c r="P1211" s="34" t="str">
        <f aca="false">IF($A1211="","",$I1211*$O1211)</f>
        <v/>
      </c>
      <c r="Q1211" s="39" t="n">
        <f aca="false">IF($B1211="",0,IFERROR(MATCH($B1211,COA_Mapping!$A$7:$A$256,0),0))</f>
        <v>0</v>
      </c>
      <c r="R1211" s="39" t="n">
        <f aca="false">IF($A1211="",-1,IF($J1211=Setup!$B$7,1,IF($J1211=Setup!$B$9,0,-1)))</f>
        <v>-1</v>
      </c>
      <c r="S1211" s="35" t="n">
        <f aca="false">IF(OR($A1211="",$Q1211=0,$R1211=-1),0,$Q1211*1000+$R1211*100+$K1211)</f>
        <v>0</v>
      </c>
      <c r="T1211" s="37" t="str">
        <f aca="false">IF($A1211="","",IF($B1211="","NO ACCOUNT",IF($Q1211=0,"UNMAPPED",IF($R1211=-1,"OUTSIDE FY RANGE","OK"))))</f>
        <v/>
      </c>
      <c r="U1211" s="40" t="str">
        <f aca="false">IF($A1211="","",$B1211&amp;"|"&amp;TEXT($A1211,"yyyymmdd")&amp;"|"&amp;TEXT($I1211,"0.00"))</f>
        <v/>
      </c>
      <c r="V1211" s="35" t="str">
        <f aca="false">IF($A1211="","",COUNTIF($U$8:$U$5007,$U1211))</f>
        <v/>
      </c>
    </row>
    <row r="1212" customFormat="false" ht="15" hidden="false" customHeight="false" outlineLevel="0" collapsed="false">
      <c r="A1212" s="31"/>
      <c r="B1212" s="32"/>
      <c r="C1212" s="32"/>
      <c r="D1212" s="32"/>
      <c r="E1212" s="32"/>
      <c r="F1212" s="32"/>
      <c r="G1212" s="33"/>
      <c r="H1212" s="33"/>
      <c r="I1212" s="34" t="str">
        <f aca="false">IF($A1212="","",$G1212-$H1212)</f>
        <v/>
      </c>
      <c r="J1212" s="35" t="str">
        <f aca="false">IF($A1212="","",IF(Setup!$B$6=1,YEAR($A1212),YEAR($A1212)+IF(MONTH($A1212)&gt;=Setup!$B$6,1,0)))</f>
        <v/>
      </c>
      <c r="K1212" s="35" t="str">
        <f aca="false">IF($A1212="","",MOD(MONTH($A1212)-Setup!$B$6+12,12)+1)</f>
        <v/>
      </c>
      <c r="L1212" s="36" t="str">
        <f aca="false">IF($A1212="","",TEXT($A1212,"MMM-YY"))</f>
        <v/>
      </c>
      <c r="M1212" s="37" t="str">
        <f aca="false">IF($A1212="","",IF($Q1212=0,"UNMAPPED",INDEX(COA_Mapping!$C$7:$C$256,$Q1212)))</f>
        <v/>
      </c>
      <c r="N1212" s="38" t="str">
        <f aca="false">IF($A1212="","",IF($Q1212=0,"",INDEX(COA_Mapping!$E$7:$E$256,$Q1212)))</f>
        <v/>
      </c>
      <c r="O1212" s="38" t="n">
        <f aca="false">IF($A1212="",1,IF($Q1212=0,1,INDEX(COA_Mapping!$F$7:$F$256,$Q1212)))</f>
        <v>1</v>
      </c>
      <c r="P1212" s="34" t="str">
        <f aca="false">IF($A1212="","",$I1212*$O1212)</f>
        <v/>
      </c>
      <c r="Q1212" s="39" t="n">
        <f aca="false">IF($B1212="",0,IFERROR(MATCH($B1212,COA_Mapping!$A$7:$A$256,0),0))</f>
        <v>0</v>
      </c>
      <c r="R1212" s="39" t="n">
        <f aca="false">IF($A1212="",-1,IF($J1212=Setup!$B$7,1,IF($J1212=Setup!$B$9,0,-1)))</f>
        <v>-1</v>
      </c>
      <c r="S1212" s="35" t="n">
        <f aca="false">IF(OR($A1212="",$Q1212=0,$R1212=-1),0,$Q1212*1000+$R1212*100+$K1212)</f>
        <v>0</v>
      </c>
      <c r="T1212" s="37" t="str">
        <f aca="false">IF($A1212="","",IF($B1212="","NO ACCOUNT",IF($Q1212=0,"UNMAPPED",IF($R1212=-1,"OUTSIDE FY RANGE","OK"))))</f>
        <v/>
      </c>
      <c r="U1212" s="40" t="str">
        <f aca="false">IF($A1212="","",$B1212&amp;"|"&amp;TEXT($A1212,"yyyymmdd")&amp;"|"&amp;TEXT($I1212,"0.00"))</f>
        <v/>
      </c>
      <c r="V1212" s="35" t="str">
        <f aca="false">IF($A1212="","",COUNTIF($U$8:$U$5007,$U1212))</f>
        <v/>
      </c>
    </row>
    <row r="1213" customFormat="false" ht="15" hidden="false" customHeight="false" outlineLevel="0" collapsed="false">
      <c r="A1213" s="31"/>
      <c r="B1213" s="32"/>
      <c r="C1213" s="32"/>
      <c r="D1213" s="32"/>
      <c r="E1213" s="32"/>
      <c r="F1213" s="32"/>
      <c r="G1213" s="33"/>
      <c r="H1213" s="33"/>
      <c r="I1213" s="34" t="str">
        <f aca="false">IF($A1213="","",$G1213-$H1213)</f>
        <v/>
      </c>
      <c r="J1213" s="35" t="str">
        <f aca="false">IF($A1213="","",IF(Setup!$B$6=1,YEAR($A1213),YEAR($A1213)+IF(MONTH($A1213)&gt;=Setup!$B$6,1,0)))</f>
        <v/>
      </c>
      <c r="K1213" s="35" t="str">
        <f aca="false">IF($A1213="","",MOD(MONTH($A1213)-Setup!$B$6+12,12)+1)</f>
        <v/>
      </c>
      <c r="L1213" s="36" t="str">
        <f aca="false">IF($A1213="","",TEXT($A1213,"MMM-YY"))</f>
        <v/>
      </c>
      <c r="M1213" s="37" t="str">
        <f aca="false">IF($A1213="","",IF($Q1213=0,"UNMAPPED",INDEX(COA_Mapping!$C$7:$C$256,$Q1213)))</f>
        <v/>
      </c>
      <c r="N1213" s="38" t="str">
        <f aca="false">IF($A1213="","",IF($Q1213=0,"",INDEX(COA_Mapping!$E$7:$E$256,$Q1213)))</f>
        <v/>
      </c>
      <c r="O1213" s="38" t="n">
        <f aca="false">IF($A1213="",1,IF($Q1213=0,1,INDEX(COA_Mapping!$F$7:$F$256,$Q1213)))</f>
        <v>1</v>
      </c>
      <c r="P1213" s="34" t="str">
        <f aca="false">IF($A1213="","",$I1213*$O1213)</f>
        <v/>
      </c>
      <c r="Q1213" s="39" t="n">
        <f aca="false">IF($B1213="",0,IFERROR(MATCH($B1213,COA_Mapping!$A$7:$A$256,0),0))</f>
        <v>0</v>
      </c>
      <c r="R1213" s="39" t="n">
        <f aca="false">IF($A1213="",-1,IF($J1213=Setup!$B$7,1,IF($J1213=Setup!$B$9,0,-1)))</f>
        <v>-1</v>
      </c>
      <c r="S1213" s="35" t="n">
        <f aca="false">IF(OR($A1213="",$Q1213=0,$R1213=-1),0,$Q1213*1000+$R1213*100+$K1213)</f>
        <v>0</v>
      </c>
      <c r="T1213" s="37" t="str">
        <f aca="false">IF($A1213="","",IF($B1213="","NO ACCOUNT",IF($Q1213=0,"UNMAPPED",IF($R1213=-1,"OUTSIDE FY RANGE","OK"))))</f>
        <v/>
      </c>
      <c r="U1213" s="40" t="str">
        <f aca="false">IF($A1213="","",$B1213&amp;"|"&amp;TEXT($A1213,"yyyymmdd")&amp;"|"&amp;TEXT($I1213,"0.00"))</f>
        <v/>
      </c>
      <c r="V1213" s="35" t="str">
        <f aca="false">IF($A1213="","",COUNTIF($U$8:$U$5007,$U1213))</f>
        <v/>
      </c>
    </row>
    <row r="1214" customFormat="false" ht="15" hidden="false" customHeight="false" outlineLevel="0" collapsed="false">
      <c r="A1214" s="31"/>
      <c r="B1214" s="32"/>
      <c r="C1214" s="32"/>
      <c r="D1214" s="32"/>
      <c r="E1214" s="32"/>
      <c r="F1214" s="32"/>
      <c r="G1214" s="33"/>
      <c r="H1214" s="33"/>
      <c r="I1214" s="34" t="str">
        <f aca="false">IF($A1214="","",$G1214-$H1214)</f>
        <v/>
      </c>
      <c r="J1214" s="35" t="str">
        <f aca="false">IF($A1214="","",IF(Setup!$B$6=1,YEAR($A1214),YEAR($A1214)+IF(MONTH($A1214)&gt;=Setup!$B$6,1,0)))</f>
        <v/>
      </c>
      <c r="K1214" s="35" t="str">
        <f aca="false">IF($A1214="","",MOD(MONTH($A1214)-Setup!$B$6+12,12)+1)</f>
        <v/>
      </c>
      <c r="L1214" s="36" t="str">
        <f aca="false">IF($A1214="","",TEXT($A1214,"MMM-YY"))</f>
        <v/>
      </c>
      <c r="M1214" s="37" t="str">
        <f aca="false">IF($A1214="","",IF($Q1214=0,"UNMAPPED",INDEX(COA_Mapping!$C$7:$C$256,$Q1214)))</f>
        <v/>
      </c>
      <c r="N1214" s="38" t="str">
        <f aca="false">IF($A1214="","",IF($Q1214=0,"",INDEX(COA_Mapping!$E$7:$E$256,$Q1214)))</f>
        <v/>
      </c>
      <c r="O1214" s="38" t="n">
        <f aca="false">IF($A1214="",1,IF($Q1214=0,1,INDEX(COA_Mapping!$F$7:$F$256,$Q1214)))</f>
        <v>1</v>
      </c>
      <c r="P1214" s="34" t="str">
        <f aca="false">IF($A1214="","",$I1214*$O1214)</f>
        <v/>
      </c>
      <c r="Q1214" s="39" t="n">
        <f aca="false">IF($B1214="",0,IFERROR(MATCH($B1214,COA_Mapping!$A$7:$A$256,0),0))</f>
        <v>0</v>
      </c>
      <c r="R1214" s="39" t="n">
        <f aca="false">IF($A1214="",-1,IF($J1214=Setup!$B$7,1,IF($J1214=Setup!$B$9,0,-1)))</f>
        <v>-1</v>
      </c>
      <c r="S1214" s="35" t="n">
        <f aca="false">IF(OR($A1214="",$Q1214=0,$R1214=-1),0,$Q1214*1000+$R1214*100+$K1214)</f>
        <v>0</v>
      </c>
      <c r="T1214" s="37" t="str">
        <f aca="false">IF($A1214="","",IF($B1214="","NO ACCOUNT",IF($Q1214=0,"UNMAPPED",IF($R1214=-1,"OUTSIDE FY RANGE","OK"))))</f>
        <v/>
      </c>
      <c r="U1214" s="40" t="str">
        <f aca="false">IF($A1214="","",$B1214&amp;"|"&amp;TEXT($A1214,"yyyymmdd")&amp;"|"&amp;TEXT($I1214,"0.00"))</f>
        <v/>
      </c>
      <c r="V1214" s="35" t="str">
        <f aca="false">IF($A1214="","",COUNTIF($U$8:$U$5007,$U1214))</f>
        <v/>
      </c>
    </row>
    <row r="1215" customFormat="false" ht="15" hidden="false" customHeight="false" outlineLevel="0" collapsed="false">
      <c r="A1215" s="31"/>
      <c r="B1215" s="32"/>
      <c r="C1215" s="32"/>
      <c r="D1215" s="32"/>
      <c r="E1215" s="32"/>
      <c r="F1215" s="32"/>
      <c r="G1215" s="33"/>
      <c r="H1215" s="33"/>
      <c r="I1215" s="34" t="str">
        <f aca="false">IF($A1215="","",$G1215-$H1215)</f>
        <v/>
      </c>
      <c r="J1215" s="35" t="str">
        <f aca="false">IF($A1215="","",IF(Setup!$B$6=1,YEAR($A1215),YEAR($A1215)+IF(MONTH($A1215)&gt;=Setup!$B$6,1,0)))</f>
        <v/>
      </c>
      <c r="K1215" s="35" t="str">
        <f aca="false">IF($A1215="","",MOD(MONTH($A1215)-Setup!$B$6+12,12)+1)</f>
        <v/>
      </c>
      <c r="L1215" s="36" t="str">
        <f aca="false">IF($A1215="","",TEXT($A1215,"MMM-YY"))</f>
        <v/>
      </c>
      <c r="M1215" s="37" t="str">
        <f aca="false">IF($A1215="","",IF($Q1215=0,"UNMAPPED",INDEX(COA_Mapping!$C$7:$C$256,$Q1215)))</f>
        <v/>
      </c>
      <c r="N1215" s="38" t="str">
        <f aca="false">IF($A1215="","",IF($Q1215=0,"",INDEX(COA_Mapping!$E$7:$E$256,$Q1215)))</f>
        <v/>
      </c>
      <c r="O1215" s="38" t="n">
        <f aca="false">IF($A1215="",1,IF($Q1215=0,1,INDEX(COA_Mapping!$F$7:$F$256,$Q1215)))</f>
        <v>1</v>
      </c>
      <c r="P1215" s="34" t="str">
        <f aca="false">IF($A1215="","",$I1215*$O1215)</f>
        <v/>
      </c>
      <c r="Q1215" s="39" t="n">
        <f aca="false">IF($B1215="",0,IFERROR(MATCH($B1215,COA_Mapping!$A$7:$A$256,0),0))</f>
        <v>0</v>
      </c>
      <c r="R1215" s="39" t="n">
        <f aca="false">IF($A1215="",-1,IF($J1215=Setup!$B$7,1,IF($J1215=Setup!$B$9,0,-1)))</f>
        <v>-1</v>
      </c>
      <c r="S1215" s="35" t="n">
        <f aca="false">IF(OR($A1215="",$Q1215=0,$R1215=-1),0,$Q1215*1000+$R1215*100+$K1215)</f>
        <v>0</v>
      </c>
      <c r="T1215" s="37" t="str">
        <f aca="false">IF($A1215="","",IF($B1215="","NO ACCOUNT",IF($Q1215=0,"UNMAPPED",IF($R1215=-1,"OUTSIDE FY RANGE","OK"))))</f>
        <v/>
      </c>
      <c r="U1215" s="40" t="str">
        <f aca="false">IF($A1215="","",$B1215&amp;"|"&amp;TEXT($A1215,"yyyymmdd")&amp;"|"&amp;TEXT($I1215,"0.00"))</f>
        <v/>
      </c>
      <c r="V1215" s="35" t="str">
        <f aca="false">IF($A1215="","",COUNTIF($U$8:$U$5007,$U1215))</f>
        <v/>
      </c>
    </row>
    <row r="1216" customFormat="false" ht="15" hidden="false" customHeight="false" outlineLevel="0" collapsed="false">
      <c r="A1216" s="31"/>
      <c r="B1216" s="32"/>
      <c r="C1216" s="32"/>
      <c r="D1216" s="32"/>
      <c r="E1216" s="32"/>
      <c r="F1216" s="32"/>
      <c r="G1216" s="33"/>
      <c r="H1216" s="33"/>
      <c r="I1216" s="34" t="str">
        <f aca="false">IF($A1216="","",$G1216-$H1216)</f>
        <v/>
      </c>
      <c r="J1216" s="35" t="str">
        <f aca="false">IF($A1216="","",IF(Setup!$B$6=1,YEAR($A1216),YEAR($A1216)+IF(MONTH($A1216)&gt;=Setup!$B$6,1,0)))</f>
        <v/>
      </c>
      <c r="K1216" s="35" t="str">
        <f aca="false">IF($A1216="","",MOD(MONTH($A1216)-Setup!$B$6+12,12)+1)</f>
        <v/>
      </c>
      <c r="L1216" s="36" t="str">
        <f aca="false">IF($A1216="","",TEXT($A1216,"MMM-YY"))</f>
        <v/>
      </c>
      <c r="M1216" s="37" t="str">
        <f aca="false">IF($A1216="","",IF($Q1216=0,"UNMAPPED",INDEX(COA_Mapping!$C$7:$C$256,$Q1216)))</f>
        <v/>
      </c>
      <c r="N1216" s="38" t="str">
        <f aca="false">IF($A1216="","",IF($Q1216=0,"",INDEX(COA_Mapping!$E$7:$E$256,$Q1216)))</f>
        <v/>
      </c>
      <c r="O1216" s="38" t="n">
        <f aca="false">IF($A1216="",1,IF($Q1216=0,1,INDEX(COA_Mapping!$F$7:$F$256,$Q1216)))</f>
        <v>1</v>
      </c>
      <c r="P1216" s="34" t="str">
        <f aca="false">IF($A1216="","",$I1216*$O1216)</f>
        <v/>
      </c>
      <c r="Q1216" s="39" t="n">
        <f aca="false">IF($B1216="",0,IFERROR(MATCH($B1216,COA_Mapping!$A$7:$A$256,0),0))</f>
        <v>0</v>
      </c>
      <c r="R1216" s="39" t="n">
        <f aca="false">IF($A1216="",-1,IF($J1216=Setup!$B$7,1,IF($J1216=Setup!$B$9,0,-1)))</f>
        <v>-1</v>
      </c>
      <c r="S1216" s="35" t="n">
        <f aca="false">IF(OR($A1216="",$Q1216=0,$R1216=-1),0,$Q1216*1000+$R1216*100+$K1216)</f>
        <v>0</v>
      </c>
      <c r="T1216" s="37" t="str">
        <f aca="false">IF($A1216="","",IF($B1216="","NO ACCOUNT",IF($Q1216=0,"UNMAPPED",IF($R1216=-1,"OUTSIDE FY RANGE","OK"))))</f>
        <v/>
      </c>
      <c r="U1216" s="40" t="str">
        <f aca="false">IF($A1216="","",$B1216&amp;"|"&amp;TEXT($A1216,"yyyymmdd")&amp;"|"&amp;TEXT($I1216,"0.00"))</f>
        <v/>
      </c>
      <c r="V1216" s="35" t="str">
        <f aca="false">IF($A1216="","",COUNTIF($U$8:$U$5007,$U1216))</f>
        <v/>
      </c>
    </row>
    <row r="1217" customFormat="false" ht="15" hidden="false" customHeight="false" outlineLevel="0" collapsed="false">
      <c r="A1217" s="31"/>
      <c r="B1217" s="32"/>
      <c r="C1217" s="32"/>
      <c r="D1217" s="32"/>
      <c r="E1217" s="32"/>
      <c r="F1217" s="32"/>
      <c r="G1217" s="33"/>
      <c r="H1217" s="33"/>
      <c r="I1217" s="34" t="str">
        <f aca="false">IF($A1217="","",$G1217-$H1217)</f>
        <v/>
      </c>
      <c r="J1217" s="35" t="str">
        <f aca="false">IF($A1217="","",IF(Setup!$B$6=1,YEAR($A1217),YEAR($A1217)+IF(MONTH($A1217)&gt;=Setup!$B$6,1,0)))</f>
        <v/>
      </c>
      <c r="K1217" s="35" t="str">
        <f aca="false">IF($A1217="","",MOD(MONTH($A1217)-Setup!$B$6+12,12)+1)</f>
        <v/>
      </c>
      <c r="L1217" s="36" t="str">
        <f aca="false">IF($A1217="","",TEXT($A1217,"MMM-YY"))</f>
        <v/>
      </c>
      <c r="M1217" s="37" t="str">
        <f aca="false">IF($A1217="","",IF($Q1217=0,"UNMAPPED",INDEX(COA_Mapping!$C$7:$C$256,$Q1217)))</f>
        <v/>
      </c>
      <c r="N1217" s="38" t="str">
        <f aca="false">IF($A1217="","",IF($Q1217=0,"",INDEX(COA_Mapping!$E$7:$E$256,$Q1217)))</f>
        <v/>
      </c>
      <c r="O1217" s="38" t="n">
        <f aca="false">IF($A1217="",1,IF($Q1217=0,1,INDEX(COA_Mapping!$F$7:$F$256,$Q1217)))</f>
        <v>1</v>
      </c>
      <c r="P1217" s="34" t="str">
        <f aca="false">IF($A1217="","",$I1217*$O1217)</f>
        <v/>
      </c>
      <c r="Q1217" s="39" t="n">
        <f aca="false">IF($B1217="",0,IFERROR(MATCH($B1217,COA_Mapping!$A$7:$A$256,0),0))</f>
        <v>0</v>
      </c>
      <c r="R1217" s="39" t="n">
        <f aca="false">IF($A1217="",-1,IF($J1217=Setup!$B$7,1,IF($J1217=Setup!$B$9,0,-1)))</f>
        <v>-1</v>
      </c>
      <c r="S1217" s="35" t="n">
        <f aca="false">IF(OR($A1217="",$Q1217=0,$R1217=-1),0,$Q1217*1000+$R1217*100+$K1217)</f>
        <v>0</v>
      </c>
      <c r="T1217" s="37" t="str">
        <f aca="false">IF($A1217="","",IF($B1217="","NO ACCOUNT",IF($Q1217=0,"UNMAPPED",IF($R1217=-1,"OUTSIDE FY RANGE","OK"))))</f>
        <v/>
      </c>
      <c r="U1217" s="40" t="str">
        <f aca="false">IF($A1217="","",$B1217&amp;"|"&amp;TEXT($A1217,"yyyymmdd")&amp;"|"&amp;TEXT($I1217,"0.00"))</f>
        <v/>
      </c>
      <c r="V1217" s="35" t="str">
        <f aca="false">IF($A1217="","",COUNTIF($U$8:$U$5007,$U1217))</f>
        <v/>
      </c>
    </row>
    <row r="1218" customFormat="false" ht="15" hidden="false" customHeight="false" outlineLevel="0" collapsed="false">
      <c r="A1218" s="31"/>
      <c r="B1218" s="32"/>
      <c r="C1218" s="32"/>
      <c r="D1218" s="32"/>
      <c r="E1218" s="32"/>
      <c r="F1218" s="32"/>
      <c r="G1218" s="33"/>
      <c r="H1218" s="33"/>
      <c r="I1218" s="34" t="str">
        <f aca="false">IF($A1218="","",$G1218-$H1218)</f>
        <v/>
      </c>
      <c r="J1218" s="35" t="str">
        <f aca="false">IF($A1218="","",IF(Setup!$B$6=1,YEAR($A1218),YEAR($A1218)+IF(MONTH($A1218)&gt;=Setup!$B$6,1,0)))</f>
        <v/>
      </c>
      <c r="K1218" s="35" t="str">
        <f aca="false">IF($A1218="","",MOD(MONTH($A1218)-Setup!$B$6+12,12)+1)</f>
        <v/>
      </c>
      <c r="L1218" s="36" t="str">
        <f aca="false">IF($A1218="","",TEXT($A1218,"MMM-YY"))</f>
        <v/>
      </c>
      <c r="M1218" s="37" t="str">
        <f aca="false">IF($A1218="","",IF($Q1218=0,"UNMAPPED",INDEX(COA_Mapping!$C$7:$C$256,$Q1218)))</f>
        <v/>
      </c>
      <c r="N1218" s="38" t="str">
        <f aca="false">IF($A1218="","",IF($Q1218=0,"",INDEX(COA_Mapping!$E$7:$E$256,$Q1218)))</f>
        <v/>
      </c>
      <c r="O1218" s="38" t="n">
        <f aca="false">IF($A1218="",1,IF($Q1218=0,1,INDEX(COA_Mapping!$F$7:$F$256,$Q1218)))</f>
        <v>1</v>
      </c>
      <c r="P1218" s="34" t="str">
        <f aca="false">IF($A1218="","",$I1218*$O1218)</f>
        <v/>
      </c>
      <c r="Q1218" s="39" t="n">
        <f aca="false">IF($B1218="",0,IFERROR(MATCH($B1218,COA_Mapping!$A$7:$A$256,0),0))</f>
        <v>0</v>
      </c>
      <c r="R1218" s="39" t="n">
        <f aca="false">IF($A1218="",-1,IF($J1218=Setup!$B$7,1,IF($J1218=Setup!$B$9,0,-1)))</f>
        <v>-1</v>
      </c>
      <c r="S1218" s="35" t="n">
        <f aca="false">IF(OR($A1218="",$Q1218=0,$R1218=-1),0,$Q1218*1000+$R1218*100+$K1218)</f>
        <v>0</v>
      </c>
      <c r="T1218" s="37" t="str">
        <f aca="false">IF($A1218="","",IF($B1218="","NO ACCOUNT",IF($Q1218=0,"UNMAPPED",IF($R1218=-1,"OUTSIDE FY RANGE","OK"))))</f>
        <v/>
      </c>
      <c r="U1218" s="40" t="str">
        <f aca="false">IF($A1218="","",$B1218&amp;"|"&amp;TEXT($A1218,"yyyymmdd")&amp;"|"&amp;TEXT($I1218,"0.00"))</f>
        <v/>
      </c>
      <c r="V1218" s="35" t="str">
        <f aca="false">IF($A1218="","",COUNTIF($U$8:$U$5007,$U1218))</f>
        <v/>
      </c>
    </row>
    <row r="1219" customFormat="false" ht="15" hidden="false" customHeight="false" outlineLevel="0" collapsed="false">
      <c r="A1219" s="31"/>
      <c r="B1219" s="32"/>
      <c r="C1219" s="32"/>
      <c r="D1219" s="32"/>
      <c r="E1219" s="32"/>
      <c r="F1219" s="32"/>
      <c r="G1219" s="33"/>
      <c r="H1219" s="33"/>
      <c r="I1219" s="34" t="str">
        <f aca="false">IF($A1219="","",$G1219-$H1219)</f>
        <v/>
      </c>
      <c r="J1219" s="35" t="str">
        <f aca="false">IF($A1219="","",IF(Setup!$B$6=1,YEAR($A1219),YEAR($A1219)+IF(MONTH($A1219)&gt;=Setup!$B$6,1,0)))</f>
        <v/>
      </c>
      <c r="K1219" s="35" t="str">
        <f aca="false">IF($A1219="","",MOD(MONTH($A1219)-Setup!$B$6+12,12)+1)</f>
        <v/>
      </c>
      <c r="L1219" s="36" t="str">
        <f aca="false">IF($A1219="","",TEXT($A1219,"MMM-YY"))</f>
        <v/>
      </c>
      <c r="M1219" s="37" t="str">
        <f aca="false">IF($A1219="","",IF($Q1219=0,"UNMAPPED",INDEX(COA_Mapping!$C$7:$C$256,$Q1219)))</f>
        <v/>
      </c>
      <c r="N1219" s="38" t="str">
        <f aca="false">IF($A1219="","",IF($Q1219=0,"",INDEX(COA_Mapping!$E$7:$E$256,$Q1219)))</f>
        <v/>
      </c>
      <c r="O1219" s="38" t="n">
        <f aca="false">IF($A1219="",1,IF($Q1219=0,1,INDEX(COA_Mapping!$F$7:$F$256,$Q1219)))</f>
        <v>1</v>
      </c>
      <c r="P1219" s="34" t="str">
        <f aca="false">IF($A1219="","",$I1219*$O1219)</f>
        <v/>
      </c>
      <c r="Q1219" s="39" t="n">
        <f aca="false">IF($B1219="",0,IFERROR(MATCH($B1219,COA_Mapping!$A$7:$A$256,0),0))</f>
        <v>0</v>
      </c>
      <c r="R1219" s="39" t="n">
        <f aca="false">IF($A1219="",-1,IF($J1219=Setup!$B$7,1,IF($J1219=Setup!$B$9,0,-1)))</f>
        <v>-1</v>
      </c>
      <c r="S1219" s="35" t="n">
        <f aca="false">IF(OR($A1219="",$Q1219=0,$R1219=-1),0,$Q1219*1000+$R1219*100+$K1219)</f>
        <v>0</v>
      </c>
      <c r="T1219" s="37" t="str">
        <f aca="false">IF($A1219="","",IF($B1219="","NO ACCOUNT",IF($Q1219=0,"UNMAPPED",IF($R1219=-1,"OUTSIDE FY RANGE","OK"))))</f>
        <v/>
      </c>
      <c r="U1219" s="40" t="str">
        <f aca="false">IF($A1219="","",$B1219&amp;"|"&amp;TEXT($A1219,"yyyymmdd")&amp;"|"&amp;TEXT($I1219,"0.00"))</f>
        <v/>
      </c>
      <c r="V1219" s="35" t="str">
        <f aca="false">IF($A1219="","",COUNTIF($U$8:$U$5007,$U1219))</f>
        <v/>
      </c>
    </row>
    <row r="1220" customFormat="false" ht="15" hidden="false" customHeight="false" outlineLevel="0" collapsed="false">
      <c r="A1220" s="31"/>
      <c r="B1220" s="32"/>
      <c r="C1220" s="32"/>
      <c r="D1220" s="32"/>
      <c r="E1220" s="32"/>
      <c r="F1220" s="32"/>
      <c r="G1220" s="33"/>
      <c r="H1220" s="33"/>
      <c r="I1220" s="34" t="str">
        <f aca="false">IF($A1220="","",$G1220-$H1220)</f>
        <v/>
      </c>
      <c r="J1220" s="35" t="str">
        <f aca="false">IF($A1220="","",IF(Setup!$B$6=1,YEAR($A1220),YEAR($A1220)+IF(MONTH($A1220)&gt;=Setup!$B$6,1,0)))</f>
        <v/>
      </c>
      <c r="K1220" s="35" t="str">
        <f aca="false">IF($A1220="","",MOD(MONTH($A1220)-Setup!$B$6+12,12)+1)</f>
        <v/>
      </c>
      <c r="L1220" s="36" t="str">
        <f aca="false">IF($A1220="","",TEXT($A1220,"MMM-YY"))</f>
        <v/>
      </c>
      <c r="M1220" s="37" t="str">
        <f aca="false">IF($A1220="","",IF($Q1220=0,"UNMAPPED",INDEX(COA_Mapping!$C$7:$C$256,$Q1220)))</f>
        <v/>
      </c>
      <c r="N1220" s="38" t="str">
        <f aca="false">IF($A1220="","",IF($Q1220=0,"",INDEX(COA_Mapping!$E$7:$E$256,$Q1220)))</f>
        <v/>
      </c>
      <c r="O1220" s="38" t="n">
        <f aca="false">IF($A1220="",1,IF($Q1220=0,1,INDEX(COA_Mapping!$F$7:$F$256,$Q1220)))</f>
        <v>1</v>
      </c>
      <c r="P1220" s="34" t="str">
        <f aca="false">IF($A1220="","",$I1220*$O1220)</f>
        <v/>
      </c>
      <c r="Q1220" s="39" t="n">
        <f aca="false">IF($B1220="",0,IFERROR(MATCH($B1220,COA_Mapping!$A$7:$A$256,0),0))</f>
        <v>0</v>
      </c>
      <c r="R1220" s="39" t="n">
        <f aca="false">IF($A1220="",-1,IF($J1220=Setup!$B$7,1,IF($J1220=Setup!$B$9,0,-1)))</f>
        <v>-1</v>
      </c>
      <c r="S1220" s="35" t="n">
        <f aca="false">IF(OR($A1220="",$Q1220=0,$R1220=-1),0,$Q1220*1000+$R1220*100+$K1220)</f>
        <v>0</v>
      </c>
      <c r="T1220" s="37" t="str">
        <f aca="false">IF($A1220="","",IF($B1220="","NO ACCOUNT",IF($Q1220=0,"UNMAPPED",IF($R1220=-1,"OUTSIDE FY RANGE","OK"))))</f>
        <v/>
      </c>
      <c r="U1220" s="40" t="str">
        <f aca="false">IF($A1220="","",$B1220&amp;"|"&amp;TEXT($A1220,"yyyymmdd")&amp;"|"&amp;TEXT($I1220,"0.00"))</f>
        <v/>
      </c>
      <c r="V1220" s="35" t="str">
        <f aca="false">IF($A1220="","",COUNTIF($U$8:$U$5007,$U1220))</f>
        <v/>
      </c>
    </row>
    <row r="1221" customFormat="false" ht="15" hidden="false" customHeight="false" outlineLevel="0" collapsed="false">
      <c r="A1221" s="31"/>
      <c r="B1221" s="32"/>
      <c r="C1221" s="32"/>
      <c r="D1221" s="32"/>
      <c r="E1221" s="32"/>
      <c r="F1221" s="32"/>
      <c r="G1221" s="33"/>
      <c r="H1221" s="33"/>
      <c r="I1221" s="34" t="str">
        <f aca="false">IF($A1221="","",$G1221-$H1221)</f>
        <v/>
      </c>
      <c r="J1221" s="35" t="str">
        <f aca="false">IF($A1221="","",IF(Setup!$B$6=1,YEAR($A1221),YEAR($A1221)+IF(MONTH($A1221)&gt;=Setup!$B$6,1,0)))</f>
        <v/>
      </c>
      <c r="K1221" s="35" t="str">
        <f aca="false">IF($A1221="","",MOD(MONTH($A1221)-Setup!$B$6+12,12)+1)</f>
        <v/>
      </c>
      <c r="L1221" s="36" t="str">
        <f aca="false">IF($A1221="","",TEXT($A1221,"MMM-YY"))</f>
        <v/>
      </c>
      <c r="M1221" s="37" t="str">
        <f aca="false">IF($A1221="","",IF($Q1221=0,"UNMAPPED",INDEX(COA_Mapping!$C$7:$C$256,$Q1221)))</f>
        <v/>
      </c>
      <c r="N1221" s="38" t="str">
        <f aca="false">IF($A1221="","",IF($Q1221=0,"",INDEX(COA_Mapping!$E$7:$E$256,$Q1221)))</f>
        <v/>
      </c>
      <c r="O1221" s="38" t="n">
        <f aca="false">IF($A1221="",1,IF($Q1221=0,1,INDEX(COA_Mapping!$F$7:$F$256,$Q1221)))</f>
        <v>1</v>
      </c>
      <c r="P1221" s="34" t="str">
        <f aca="false">IF($A1221="","",$I1221*$O1221)</f>
        <v/>
      </c>
      <c r="Q1221" s="39" t="n">
        <f aca="false">IF($B1221="",0,IFERROR(MATCH($B1221,COA_Mapping!$A$7:$A$256,0),0))</f>
        <v>0</v>
      </c>
      <c r="R1221" s="39" t="n">
        <f aca="false">IF($A1221="",-1,IF($J1221=Setup!$B$7,1,IF($J1221=Setup!$B$9,0,-1)))</f>
        <v>-1</v>
      </c>
      <c r="S1221" s="35" t="n">
        <f aca="false">IF(OR($A1221="",$Q1221=0,$R1221=-1),0,$Q1221*1000+$R1221*100+$K1221)</f>
        <v>0</v>
      </c>
      <c r="T1221" s="37" t="str">
        <f aca="false">IF($A1221="","",IF($B1221="","NO ACCOUNT",IF($Q1221=0,"UNMAPPED",IF($R1221=-1,"OUTSIDE FY RANGE","OK"))))</f>
        <v/>
      </c>
      <c r="U1221" s="40" t="str">
        <f aca="false">IF($A1221="","",$B1221&amp;"|"&amp;TEXT($A1221,"yyyymmdd")&amp;"|"&amp;TEXT($I1221,"0.00"))</f>
        <v/>
      </c>
      <c r="V1221" s="35" t="str">
        <f aca="false">IF($A1221="","",COUNTIF($U$8:$U$5007,$U1221))</f>
        <v/>
      </c>
    </row>
    <row r="1222" customFormat="false" ht="15" hidden="false" customHeight="false" outlineLevel="0" collapsed="false">
      <c r="A1222" s="31"/>
      <c r="B1222" s="32"/>
      <c r="C1222" s="32"/>
      <c r="D1222" s="32"/>
      <c r="E1222" s="32"/>
      <c r="F1222" s="32"/>
      <c r="G1222" s="33"/>
      <c r="H1222" s="33"/>
      <c r="I1222" s="34" t="str">
        <f aca="false">IF($A1222="","",$G1222-$H1222)</f>
        <v/>
      </c>
      <c r="J1222" s="35" t="str">
        <f aca="false">IF($A1222="","",IF(Setup!$B$6=1,YEAR($A1222),YEAR($A1222)+IF(MONTH($A1222)&gt;=Setup!$B$6,1,0)))</f>
        <v/>
      </c>
      <c r="K1222" s="35" t="str">
        <f aca="false">IF($A1222="","",MOD(MONTH($A1222)-Setup!$B$6+12,12)+1)</f>
        <v/>
      </c>
      <c r="L1222" s="36" t="str">
        <f aca="false">IF($A1222="","",TEXT($A1222,"MMM-YY"))</f>
        <v/>
      </c>
      <c r="M1222" s="37" t="str">
        <f aca="false">IF($A1222="","",IF($Q1222=0,"UNMAPPED",INDEX(COA_Mapping!$C$7:$C$256,$Q1222)))</f>
        <v/>
      </c>
      <c r="N1222" s="38" t="str">
        <f aca="false">IF($A1222="","",IF($Q1222=0,"",INDEX(COA_Mapping!$E$7:$E$256,$Q1222)))</f>
        <v/>
      </c>
      <c r="O1222" s="38" t="n">
        <f aca="false">IF($A1222="",1,IF($Q1222=0,1,INDEX(COA_Mapping!$F$7:$F$256,$Q1222)))</f>
        <v>1</v>
      </c>
      <c r="P1222" s="34" t="str">
        <f aca="false">IF($A1222="","",$I1222*$O1222)</f>
        <v/>
      </c>
      <c r="Q1222" s="39" t="n">
        <f aca="false">IF($B1222="",0,IFERROR(MATCH($B1222,COA_Mapping!$A$7:$A$256,0),0))</f>
        <v>0</v>
      </c>
      <c r="R1222" s="39" t="n">
        <f aca="false">IF($A1222="",-1,IF($J1222=Setup!$B$7,1,IF($J1222=Setup!$B$9,0,-1)))</f>
        <v>-1</v>
      </c>
      <c r="S1222" s="35" t="n">
        <f aca="false">IF(OR($A1222="",$Q1222=0,$R1222=-1),0,$Q1222*1000+$R1222*100+$K1222)</f>
        <v>0</v>
      </c>
      <c r="T1222" s="37" t="str">
        <f aca="false">IF($A1222="","",IF($B1222="","NO ACCOUNT",IF($Q1222=0,"UNMAPPED",IF($R1222=-1,"OUTSIDE FY RANGE","OK"))))</f>
        <v/>
      </c>
      <c r="U1222" s="40" t="str">
        <f aca="false">IF($A1222="","",$B1222&amp;"|"&amp;TEXT($A1222,"yyyymmdd")&amp;"|"&amp;TEXT($I1222,"0.00"))</f>
        <v/>
      </c>
      <c r="V1222" s="35" t="str">
        <f aca="false">IF($A1222="","",COUNTIF($U$8:$U$5007,$U1222))</f>
        <v/>
      </c>
    </row>
    <row r="1223" customFormat="false" ht="15" hidden="false" customHeight="false" outlineLevel="0" collapsed="false">
      <c r="A1223" s="31"/>
      <c r="B1223" s="32"/>
      <c r="C1223" s="32"/>
      <c r="D1223" s="32"/>
      <c r="E1223" s="32"/>
      <c r="F1223" s="32"/>
      <c r="G1223" s="33"/>
      <c r="H1223" s="33"/>
      <c r="I1223" s="34" t="str">
        <f aca="false">IF($A1223="","",$G1223-$H1223)</f>
        <v/>
      </c>
      <c r="J1223" s="35" t="str">
        <f aca="false">IF($A1223="","",IF(Setup!$B$6=1,YEAR($A1223),YEAR($A1223)+IF(MONTH($A1223)&gt;=Setup!$B$6,1,0)))</f>
        <v/>
      </c>
      <c r="K1223" s="35" t="str">
        <f aca="false">IF($A1223="","",MOD(MONTH($A1223)-Setup!$B$6+12,12)+1)</f>
        <v/>
      </c>
      <c r="L1223" s="36" t="str">
        <f aca="false">IF($A1223="","",TEXT($A1223,"MMM-YY"))</f>
        <v/>
      </c>
      <c r="M1223" s="37" t="str">
        <f aca="false">IF($A1223="","",IF($Q1223=0,"UNMAPPED",INDEX(COA_Mapping!$C$7:$C$256,$Q1223)))</f>
        <v/>
      </c>
      <c r="N1223" s="38" t="str">
        <f aca="false">IF($A1223="","",IF($Q1223=0,"",INDEX(COA_Mapping!$E$7:$E$256,$Q1223)))</f>
        <v/>
      </c>
      <c r="O1223" s="38" t="n">
        <f aca="false">IF($A1223="",1,IF($Q1223=0,1,INDEX(COA_Mapping!$F$7:$F$256,$Q1223)))</f>
        <v>1</v>
      </c>
      <c r="P1223" s="34" t="str">
        <f aca="false">IF($A1223="","",$I1223*$O1223)</f>
        <v/>
      </c>
      <c r="Q1223" s="39" t="n">
        <f aca="false">IF($B1223="",0,IFERROR(MATCH($B1223,COA_Mapping!$A$7:$A$256,0),0))</f>
        <v>0</v>
      </c>
      <c r="R1223" s="39" t="n">
        <f aca="false">IF($A1223="",-1,IF($J1223=Setup!$B$7,1,IF($J1223=Setup!$B$9,0,-1)))</f>
        <v>-1</v>
      </c>
      <c r="S1223" s="35" t="n">
        <f aca="false">IF(OR($A1223="",$Q1223=0,$R1223=-1),0,$Q1223*1000+$R1223*100+$K1223)</f>
        <v>0</v>
      </c>
      <c r="T1223" s="37" t="str">
        <f aca="false">IF($A1223="","",IF($B1223="","NO ACCOUNT",IF($Q1223=0,"UNMAPPED",IF($R1223=-1,"OUTSIDE FY RANGE","OK"))))</f>
        <v/>
      </c>
      <c r="U1223" s="40" t="str">
        <f aca="false">IF($A1223="","",$B1223&amp;"|"&amp;TEXT($A1223,"yyyymmdd")&amp;"|"&amp;TEXT($I1223,"0.00"))</f>
        <v/>
      </c>
      <c r="V1223" s="35" t="str">
        <f aca="false">IF($A1223="","",COUNTIF($U$8:$U$5007,$U1223))</f>
        <v/>
      </c>
    </row>
    <row r="1224" customFormat="false" ht="15" hidden="false" customHeight="false" outlineLevel="0" collapsed="false">
      <c r="A1224" s="31"/>
      <c r="B1224" s="32"/>
      <c r="C1224" s="32"/>
      <c r="D1224" s="32"/>
      <c r="E1224" s="32"/>
      <c r="F1224" s="32"/>
      <c r="G1224" s="33"/>
      <c r="H1224" s="33"/>
      <c r="I1224" s="34" t="str">
        <f aca="false">IF($A1224="","",$G1224-$H1224)</f>
        <v/>
      </c>
      <c r="J1224" s="35" t="str">
        <f aca="false">IF($A1224="","",IF(Setup!$B$6=1,YEAR($A1224),YEAR($A1224)+IF(MONTH($A1224)&gt;=Setup!$B$6,1,0)))</f>
        <v/>
      </c>
      <c r="K1224" s="35" t="str">
        <f aca="false">IF($A1224="","",MOD(MONTH($A1224)-Setup!$B$6+12,12)+1)</f>
        <v/>
      </c>
      <c r="L1224" s="36" t="str">
        <f aca="false">IF($A1224="","",TEXT($A1224,"MMM-YY"))</f>
        <v/>
      </c>
      <c r="M1224" s="37" t="str">
        <f aca="false">IF($A1224="","",IF($Q1224=0,"UNMAPPED",INDEX(COA_Mapping!$C$7:$C$256,$Q1224)))</f>
        <v/>
      </c>
      <c r="N1224" s="38" t="str">
        <f aca="false">IF($A1224="","",IF($Q1224=0,"",INDEX(COA_Mapping!$E$7:$E$256,$Q1224)))</f>
        <v/>
      </c>
      <c r="O1224" s="38" t="n">
        <f aca="false">IF($A1224="",1,IF($Q1224=0,1,INDEX(COA_Mapping!$F$7:$F$256,$Q1224)))</f>
        <v>1</v>
      </c>
      <c r="P1224" s="34" t="str">
        <f aca="false">IF($A1224="","",$I1224*$O1224)</f>
        <v/>
      </c>
      <c r="Q1224" s="39" t="n">
        <f aca="false">IF($B1224="",0,IFERROR(MATCH($B1224,COA_Mapping!$A$7:$A$256,0),0))</f>
        <v>0</v>
      </c>
      <c r="R1224" s="39" t="n">
        <f aca="false">IF($A1224="",-1,IF($J1224=Setup!$B$7,1,IF($J1224=Setup!$B$9,0,-1)))</f>
        <v>-1</v>
      </c>
      <c r="S1224" s="35" t="n">
        <f aca="false">IF(OR($A1224="",$Q1224=0,$R1224=-1),0,$Q1224*1000+$R1224*100+$K1224)</f>
        <v>0</v>
      </c>
      <c r="T1224" s="37" t="str">
        <f aca="false">IF($A1224="","",IF($B1224="","NO ACCOUNT",IF($Q1224=0,"UNMAPPED",IF($R1224=-1,"OUTSIDE FY RANGE","OK"))))</f>
        <v/>
      </c>
      <c r="U1224" s="40" t="str">
        <f aca="false">IF($A1224="","",$B1224&amp;"|"&amp;TEXT($A1224,"yyyymmdd")&amp;"|"&amp;TEXT($I1224,"0.00"))</f>
        <v/>
      </c>
      <c r="V1224" s="35" t="str">
        <f aca="false">IF($A1224="","",COUNTIF($U$8:$U$5007,$U1224))</f>
        <v/>
      </c>
    </row>
    <row r="1225" customFormat="false" ht="15" hidden="false" customHeight="false" outlineLevel="0" collapsed="false">
      <c r="A1225" s="31"/>
      <c r="B1225" s="32"/>
      <c r="C1225" s="32"/>
      <c r="D1225" s="32"/>
      <c r="E1225" s="32"/>
      <c r="F1225" s="32"/>
      <c r="G1225" s="33"/>
      <c r="H1225" s="33"/>
      <c r="I1225" s="34" t="str">
        <f aca="false">IF($A1225="","",$G1225-$H1225)</f>
        <v/>
      </c>
      <c r="J1225" s="35" t="str">
        <f aca="false">IF($A1225="","",IF(Setup!$B$6=1,YEAR($A1225),YEAR($A1225)+IF(MONTH($A1225)&gt;=Setup!$B$6,1,0)))</f>
        <v/>
      </c>
      <c r="K1225" s="35" t="str">
        <f aca="false">IF($A1225="","",MOD(MONTH($A1225)-Setup!$B$6+12,12)+1)</f>
        <v/>
      </c>
      <c r="L1225" s="36" t="str">
        <f aca="false">IF($A1225="","",TEXT($A1225,"MMM-YY"))</f>
        <v/>
      </c>
      <c r="M1225" s="37" t="str">
        <f aca="false">IF($A1225="","",IF($Q1225=0,"UNMAPPED",INDEX(COA_Mapping!$C$7:$C$256,$Q1225)))</f>
        <v/>
      </c>
      <c r="N1225" s="38" t="str">
        <f aca="false">IF($A1225="","",IF($Q1225=0,"",INDEX(COA_Mapping!$E$7:$E$256,$Q1225)))</f>
        <v/>
      </c>
      <c r="O1225" s="38" t="n">
        <f aca="false">IF($A1225="",1,IF($Q1225=0,1,INDEX(COA_Mapping!$F$7:$F$256,$Q1225)))</f>
        <v>1</v>
      </c>
      <c r="P1225" s="34" t="str">
        <f aca="false">IF($A1225="","",$I1225*$O1225)</f>
        <v/>
      </c>
      <c r="Q1225" s="39" t="n">
        <f aca="false">IF($B1225="",0,IFERROR(MATCH($B1225,COA_Mapping!$A$7:$A$256,0),0))</f>
        <v>0</v>
      </c>
      <c r="R1225" s="39" t="n">
        <f aca="false">IF($A1225="",-1,IF($J1225=Setup!$B$7,1,IF($J1225=Setup!$B$9,0,-1)))</f>
        <v>-1</v>
      </c>
      <c r="S1225" s="35" t="n">
        <f aca="false">IF(OR($A1225="",$Q1225=0,$R1225=-1),0,$Q1225*1000+$R1225*100+$K1225)</f>
        <v>0</v>
      </c>
      <c r="T1225" s="37" t="str">
        <f aca="false">IF($A1225="","",IF($B1225="","NO ACCOUNT",IF($Q1225=0,"UNMAPPED",IF($R1225=-1,"OUTSIDE FY RANGE","OK"))))</f>
        <v/>
      </c>
      <c r="U1225" s="40" t="str">
        <f aca="false">IF($A1225="","",$B1225&amp;"|"&amp;TEXT($A1225,"yyyymmdd")&amp;"|"&amp;TEXT($I1225,"0.00"))</f>
        <v/>
      </c>
      <c r="V1225" s="35" t="str">
        <f aca="false">IF($A1225="","",COUNTIF($U$8:$U$5007,$U1225))</f>
        <v/>
      </c>
    </row>
    <row r="1226" customFormat="false" ht="15" hidden="false" customHeight="false" outlineLevel="0" collapsed="false">
      <c r="A1226" s="31"/>
      <c r="B1226" s="32"/>
      <c r="C1226" s="32"/>
      <c r="D1226" s="32"/>
      <c r="E1226" s="32"/>
      <c r="F1226" s="32"/>
      <c r="G1226" s="33"/>
      <c r="H1226" s="33"/>
      <c r="I1226" s="34" t="str">
        <f aca="false">IF($A1226="","",$G1226-$H1226)</f>
        <v/>
      </c>
      <c r="J1226" s="35" t="str">
        <f aca="false">IF($A1226="","",IF(Setup!$B$6=1,YEAR($A1226),YEAR($A1226)+IF(MONTH($A1226)&gt;=Setup!$B$6,1,0)))</f>
        <v/>
      </c>
      <c r="K1226" s="35" t="str">
        <f aca="false">IF($A1226="","",MOD(MONTH($A1226)-Setup!$B$6+12,12)+1)</f>
        <v/>
      </c>
      <c r="L1226" s="36" t="str">
        <f aca="false">IF($A1226="","",TEXT($A1226,"MMM-YY"))</f>
        <v/>
      </c>
      <c r="M1226" s="37" t="str">
        <f aca="false">IF($A1226="","",IF($Q1226=0,"UNMAPPED",INDEX(COA_Mapping!$C$7:$C$256,$Q1226)))</f>
        <v/>
      </c>
      <c r="N1226" s="38" t="str">
        <f aca="false">IF($A1226="","",IF($Q1226=0,"",INDEX(COA_Mapping!$E$7:$E$256,$Q1226)))</f>
        <v/>
      </c>
      <c r="O1226" s="38" t="n">
        <f aca="false">IF($A1226="",1,IF($Q1226=0,1,INDEX(COA_Mapping!$F$7:$F$256,$Q1226)))</f>
        <v>1</v>
      </c>
      <c r="P1226" s="34" t="str">
        <f aca="false">IF($A1226="","",$I1226*$O1226)</f>
        <v/>
      </c>
      <c r="Q1226" s="39" t="n">
        <f aca="false">IF($B1226="",0,IFERROR(MATCH($B1226,COA_Mapping!$A$7:$A$256,0),0))</f>
        <v>0</v>
      </c>
      <c r="R1226" s="39" t="n">
        <f aca="false">IF($A1226="",-1,IF($J1226=Setup!$B$7,1,IF($J1226=Setup!$B$9,0,-1)))</f>
        <v>-1</v>
      </c>
      <c r="S1226" s="35" t="n">
        <f aca="false">IF(OR($A1226="",$Q1226=0,$R1226=-1),0,$Q1226*1000+$R1226*100+$K1226)</f>
        <v>0</v>
      </c>
      <c r="T1226" s="37" t="str">
        <f aca="false">IF($A1226="","",IF($B1226="","NO ACCOUNT",IF($Q1226=0,"UNMAPPED",IF($R1226=-1,"OUTSIDE FY RANGE","OK"))))</f>
        <v/>
      </c>
      <c r="U1226" s="40" t="str">
        <f aca="false">IF($A1226="","",$B1226&amp;"|"&amp;TEXT($A1226,"yyyymmdd")&amp;"|"&amp;TEXT($I1226,"0.00"))</f>
        <v/>
      </c>
      <c r="V1226" s="35" t="str">
        <f aca="false">IF($A1226="","",COUNTIF($U$8:$U$5007,$U1226))</f>
        <v/>
      </c>
    </row>
    <row r="1227" customFormat="false" ht="15" hidden="false" customHeight="false" outlineLevel="0" collapsed="false">
      <c r="A1227" s="31"/>
      <c r="B1227" s="32"/>
      <c r="C1227" s="32"/>
      <c r="D1227" s="32"/>
      <c r="E1227" s="32"/>
      <c r="F1227" s="32"/>
      <c r="G1227" s="33"/>
      <c r="H1227" s="33"/>
      <c r="I1227" s="34" t="str">
        <f aca="false">IF($A1227="","",$G1227-$H1227)</f>
        <v/>
      </c>
      <c r="J1227" s="35" t="str">
        <f aca="false">IF($A1227="","",IF(Setup!$B$6=1,YEAR($A1227),YEAR($A1227)+IF(MONTH($A1227)&gt;=Setup!$B$6,1,0)))</f>
        <v/>
      </c>
      <c r="K1227" s="35" t="str">
        <f aca="false">IF($A1227="","",MOD(MONTH($A1227)-Setup!$B$6+12,12)+1)</f>
        <v/>
      </c>
      <c r="L1227" s="36" t="str">
        <f aca="false">IF($A1227="","",TEXT($A1227,"MMM-YY"))</f>
        <v/>
      </c>
      <c r="M1227" s="37" t="str">
        <f aca="false">IF($A1227="","",IF($Q1227=0,"UNMAPPED",INDEX(COA_Mapping!$C$7:$C$256,$Q1227)))</f>
        <v/>
      </c>
      <c r="N1227" s="38" t="str">
        <f aca="false">IF($A1227="","",IF($Q1227=0,"",INDEX(COA_Mapping!$E$7:$E$256,$Q1227)))</f>
        <v/>
      </c>
      <c r="O1227" s="38" t="n">
        <f aca="false">IF($A1227="",1,IF($Q1227=0,1,INDEX(COA_Mapping!$F$7:$F$256,$Q1227)))</f>
        <v>1</v>
      </c>
      <c r="P1227" s="34" t="str">
        <f aca="false">IF($A1227="","",$I1227*$O1227)</f>
        <v/>
      </c>
      <c r="Q1227" s="39" t="n">
        <f aca="false">IF($B1227="",0,IFERROR(MATCH($B1227,COA_Mapping!$A$7:$A$256,0),0))</f>
        <v>0</v>
      </c>
      <c r="R1227" s="39" t="n">
        <f aca="false">IF($A1227="",-1,IF($J1227=Setup!$B$7,1,IF($J1227=Setup!$B$9,0,-1)))</f>
        <v>-1</v>
      </c>
      <c r="S1227" s="35" t="n">
        <f aca="false">IF(OR($A1227="",$Q1227=0,$R1227=-1),0,$Q1227*1000+$R1227*100+$K1227)</f>
        <v>0</v>
      </c>
      <c r="T1227" s="37" t="str">
        <f aca="false">IF($A1227="","",IF($B1227="","NO ACCOUNT",IF($Q1227=0,"UNMAPPED",IF($R1227=-1,"OUTSIDE FY RANGE","OK"))))</f>
        <v/>
      </c>
      <c r="U1227" s="40" t="str">
        <f aca="false">IF($A1227="","",$B1227&amp;"|"&amp;TEXT($A1227,"yyyymmdd")&amp;"|"&amp;TEXT($I1227,"0.00"))</f>
        <v/>
      </c>
      <c r="V1227" s="35" t="str">
        <f aca="false">IF($A1227="","",COUNTIF($U$8:$U$5007,$U1227))</f>
        <v/>
      </c>
    </row>
    <row r="1228" customFormat="false" ht="15" hidden="false" customHeight="false" outlineLevel="0" collapsed="false">
      <c r="A1228" s="31"/>
      <c r="B1228" s="32"/>
      <c r="C1228" s="32"/>
      <c r="D1228" s="32"/>
      <c r="E1228" s="32"/>
      <c r="F1228" s="32"/>
      <c r="G1228" s="33"/>
      <c r="H1228" s="33"/>
      <c r="I1228" s="34" t="str">
        <f aca="false">IF($A1228="","",$G1228-$H1228)</f>
        <v/>
      </c>
      <c r="J1228" s="35" t="str">
        <f aca="false">IF($A1228="","",IF(Setup!$B$6=1,YEAR($A1228),YEAR($A1228)+IF(MONTH($A1228)&gt;=Setup!$B$6,1,0)))</f>
        <v/>
      </c>
      <c r="K1228" s="35" t="str">
        <f aca="false">IF($A1228="","",MOD(MONTH($A1228)-Setup!$B$6+12,12)+1)</f>
        <v/>
      </c>
      <c r="L1228" s="36" t="str">
        <f aca="false">IF($A1228="","",TEXT($A1228,"MMM-YY"))</f>
        <v/>
      </c>
      <c r="M1228" s="37" t="str">
        <f aca="false">IF($A1228="","",IF($Q1228=0,"UNMAPPED",INDEX(COA_Mapping!$C$7:$C$256,$Q1228)))</f>
        <v/>
      </c>
      <c r="N1228" s="38" t="str">
        <f aca="false">IF($A1228="","",IF($Q1228=0,"",INDEX(COA_Mapping!$E$7:$E$256,$Q1228)))</f>
        <v/>
      </c>
      <c r="O1228" s="38" t="n">
        <f aca="false">IF($A1228="",1,IF($Q1228=0,1,INDEX(COA_Mapping!$F$7:$F$256,$Q1228)))</f>
        <v>1</v>
      </c>
      <c r="P1228" s="34" t="str">
        <f aca="false">IF($A1228="","",$I1228*$O1228)</f>
        <v/>
      </c>
      <c r="Q1228" s="39" t="n">
        <f aca="false">IF($B1228="",0,IFERROR(MATCH($B1228,COA_Mapping!$A$7:$A$256,0),0))</f>
        <v>0</v>
      </c>
      <c r="R1228" s="39" t="n">
        <f aca="false">IF($A1228="",-1,IF($J1228=Setup!$B$7,1,IF($J1228=Setup!$B$9,0,-1)))</f>
        <v>-1</v>
      </c>
      <c r="S1228" s="35" t="n">
        <f aca="false">IF(OR($A1228="",$Q1228=0,$R1228=-1),0,$Q1228*1000+$R1228*100+$K1228)</f>
        <v>0</v>
      </c>
      <c r="T1228" s="37" t="str">
        <f aca="false">IF($A1228="","",IF($B1228="","NO ACCOUNT",IF($Q1228=0,"UNMAPPED",IF($R1228=-1,"OUTSIDE FY RANGE","OK"))))</f>
        <v/>
      </c>
      <c r="U1228" s="40" t="str">
        <f aca="false">IF($A1228="","",$B1228&amp;"|"&amp;TEXT($A1228,"yyyymmdd")&amp;"|"&amp;TEXT($I1228,"0.00"))</f>
        <v/>
      </c>
      <c r="V1228" s="35" t="str">
        <f aca="false">IF($A1228="","",COUNTIF($U$8:$U$5007,$U1228))</f>
        <v/>
      </c>
    </row>
    <row r="1229" customFormat="false" ht="15" hidden="false" customHeight="false" outlineLevel="0" collapsed="false">
      <c r="A1229" s="31"/>
      <c r="B1229" s="32"/>
      <c r="C1229" s="32"/>
      <c r="D1229" s="32"/>
      <c r="E1229" s="32"/>
      <c r="F1229" s="32"/>
      <c r="G1229" s="33"/>
      <c r="H1229" s="33"/>
      <c r="I1229" s="34" t="str">
        <f aca="false">IF($A1229="","",$G1229-$H1229)</f>
        <v/>
      </c>
      <c r="J1229" s="35" t="str">
        <f aca="false">IF($A1229="","",IF(Setup!$B$6=1,YEAR($A1229),YEAR($A1229)+IF(MONTH($A1229)&gt;=Setup!$B$6,1,0)))</f>
        <v/>
      </c>
      <c r="K1229" s="35" t="str">
        <f aca="false">IF($A1229="","",MOD(MONTH($A1229)-Setup!$B$6+12,12)+1)</f>
        <v/>
      </c>
      <c r="L1229" s="36" t="str">
        <f aca="false">IF($A1229="","",TEXT($A1229,"MMM-YY"))</f>
        <v/>
      </c>
      <c r="M1229" s="37" t="str">
        <f aca="false">IF($A1229="","",IF($Q1229=0,"UNMAPPED",INDEX(COA_Mapping!$C$7:$C$256,$Q1229)))</f>
        <v/>
      </c>
      <c r="N1229" s="38" t="str">
        <f aca="false">IF($A1229="","",IF($Q1229=0,"",INDEX(COA_Mapping!$E$7:$E$256,$Q1229)))</f>
        <v/>
      </c>
      <c r="O1229" s="38" t="n">
        <f aca="false">IF($A1229="",1,IF($Q1229=0,1,INDEX(COA_Mapping!$F$7:$F$256,$Q1229)))</f>
        <v>1</v>
      </c>
      <c r="P1229" s="34" t="str">
        <f aca="false">IF($A1229="","",$I1229*$O1229)</f>
        <v/>
      </c>
      <c r="Q1229" s="39" t="n">
        <f aca="false">IF($B1229="",0,IFERROR(MATCH($B1229,COA_Mapping!$A$7:$A$256,0),0))</f>
        <v>0</v>
      </c>
      <c r="R1229" s="39" t="n">
        <f aca="false">IF($A1229="",-1,IF($J1229=Setup!$B$7,1,IF($J1229=Setup!$B$9,0,-1)))</f>
        <v>-1</v>
      </c>
      <c r="S1229" s="35" t="n">
        <f aca="false">IF(OR($A1229="",$Q1229=0,$R1229=-1),0,$Q1229*1000+$R1229*100+$K1229)</f>
        <v>0</v>
      </c>
      <c r="T1229" s="37" t="str">
        <f aca="false">IF($A1229="","",IF($B1229="","NO ACCOUNT",IF($Q1229=0,"UNMAPPED",IF($R1229=-1,"OUTSIDE FY RANGE","OK"))))</f>
        <v/>
      </c>
      <c r="U1229" s="40" t="str">
        <f aca="false">IF($A1229="","",$B1229&amp;"|"&amp;TEXT($A1229,"yyyymmdd")&amp;"|"&amp;TEXT($I1229,"0.00"))</f>
        <v/>
      </c>
      <c r="V1229" s="35" t="str">
        <f aca="false">IF($A1229="","",COUNTIF($U$8:$U$5007,$U1229))</f>
        <v/>
      </c>
    </row>
    <row r="1230" customFormat="false" ht="15" hidden="false" customHeight="false" outlineLevel="0" collapsed="false">
      <c r="A1230" s="31"/>
      <c r="B1230" s="32"/>
      <c r="C1230" s="32"/>
      <c r="D1230" s="32"/>
      <c r="E1230" s="32"/>
      <c r="F1230" s="32"/>
      <c r="G1230" s="33"/>
      <c r="H1230" s="33"/>
      <c r="I1230" s="34" t="str">
        <f aca="false">IF($A1230="","",$G1230-$H1230)</f>
        <v/>
      </c>
      <c r="J1230" s="35" t="str">
        <f aca="false">IF($A1230="","",IF(Setup!$B$6=1,YEAR($A1230),YEAR($A1230)+IF(MONTH($A1230)&gt;=Setup!$B$6,1,0)))</f>
        <v/>
      </c>
      <c r="K1230" s="35" t="str">
        <f aca="false">IF($A1230="","",MOD(MONTH($A1230)-Setup!$B$6+12,12)+1)</f>
        <v/>
      </c>
      <c r="L1230" s="36" t="str">
        <f aca="false">IF($A1230="","",TEXT($A1230,"MMM-YY"))</f>
        <v/>
      </c>
      <c r="M1230" s="37" t="str">
        <f aca="false">IF($A1230="","",IF($Q1230=0,"UNMAPPED",INDEX(COA_Mapping!$C$7:$C$256,$Q1230)))</f>
        <v/>
      </c>
      <c r="N1230" s="38" t="str">
        <f aca="false">IF($A1230="","",IF($Q1230=0,"",INDEX(COA_Mapping!$E$7:$E$256,$Q1230)))</f>
        <v/>
      </c>
      <c r="O1230" s="38" t="n">
        <f aca="false">IF($A1230="",1,IF($Q1230=0,1,INDEX(COA_Mapping!$F$7:$F$256,$Q1230)))</f>
        <v>1</v>
      </c>
      <c r="P1230" s="34" t="str">
        <f aca="false">IF($A1230="","",$I1230*$O1230)</f>
        <v/>
      </c>
      <c r="Q1230" s="39" t="n">
        <f aca="false">IF($B1230="",0,IFERROR(MATCH($B1230,COA_Mapping!$A$7:$A$256,0),0))</f>
        <v>0</v>
      </c>
      <c r="R1230" s="39" t="n">
        <f aca="false">IF($A1230="",-1,IF($J1230=Setup!$B$7,1,IF($J1230=Setup!$B$9,0,-1)))</f>
        <v>-1</v>
      </c>
      <c r="S1230" s="35" t="n">
        <f aca="false">IF(OR($A1230="",$Q1230=0,$R1230=-1),0,$Q1230*1000+$R1230*100+$K1230)</f>
        <v>0</v>
      </c>
      <c r="T1230" s="37" t="str">
        <f aca="false">IF($A1230="","",IF($B1230="","NO ACCOUNT",IF($Q1230=0,"UNMAPPED",IF($R1230=-1,"OUTSIDE FY RANGE","OK"))))</f>
        <v/>
      </c>
      <c r="U1230" s="40" t="str">
        <f aca="false">IF($A1230="","",$B1230&amp;"|"&amp;TEXT($A1230,"yyyymmdd")&amp;"|"&amp;TEXT($I1230,"0.00"))</f>
        <v/>
      </c>
      <c r="V1230" s="35" t="str">
        <f aca="false">IF($A1230="","",COUNTIF($U$8:$U$5007,$U1230))</f>
        <v/>
      </c>
    </row>
    <row r="1231" customFormat="false" ht="15" hidden="false" customHeight="false" outlineLevel="0" collapsed="false">
      <c r="A1231" s="31"/>
      <c r="B1231" s="32"/>
      <c r="C1231" s="32"/>
      <c r="D1231" s="32"/>
      <c r="E1231" s="32"/>
      <c r="F1231" s="32"/>
      <c r="G1231" s="33"/>
      <c r="H1231" s="33"/>
      <c r="I1231" s="34" t="str">
        <f aca="false">IF($A1231="","",$G1231-$H1231)</f>
        <v/>
      </c>
      <c r="J1231" s="35" t="str">
        <f aca="false">IF($A1231="","",IF(Setup!$B$6=1,YEAR($A1231),YEAR($A1231)+IF(MONTH($A1231)&gt;=Setup!$B$6,1,0)))</f>
        <v/>
      </c>
      <c r="K1231" s="35" t="str">
        <f aca="false">IF($A1231="","",MOD(MONTH($A1231)-Setup!$B$6+12,12)+1)</f>
        <v/>
      </c>
      <c r="L1231" s="36" t="str">
        <f aca="false">IF($A1231="","",TEXT($A1231,"MMM-YY"))</f>
        <v/>
      </c>
      <c r="M1231" s="37" t="str">
        <f aca="false">IF($A1231="","",IF($Q1231=0,"UNMAPPED",INDEX(COA_Mapping!$C$7:$C$256,$Q1231)))</f>
        <v/>
      </c>
      <c r="N1231" s="38" t="str">
        <f aca="false">IF($A1231="","",IF($Q1231=0,"",INDEX(COA_Mapping!$E$7:$E$256,$Q1231)))</f>
        <v/>
      </c>
      <c r="O1231" s="38" t="n">
        <f aca="false">IF($A1231="",1,IF($Q1231=0,1,INDEX(COA_Mapping!$F$7:$F$256,$Q1231)))</f>
        <v>1</v>
      </c>
      <c r="P1231" s="34" t="str">
        <f aca="false">IF($A1231="","",$I1231*$O1231)</f>
        <v/>
      </c>
      <c r="Q1231" s="39" t="n">
        <f aca="false">IF($B1231="",0,IFERROR(MATCH($B1231,COA_Mapping!$A$7:$A$256,0),0))</f>
        <v>0</v>
      </c>
      <c r="R1231" s="39" t="n">
        <f aca="false">IF($A1231="",-1,IF($J1231=Setup!$B$7,1,IF($J1231=Setup!$B$9,0,-1)))</f>
        <v>-1</v>
      </c>
      <c r="S1231" s="35" t="n">
        <f aca="false">IF(OR($A1231="",$Q1231=0,$R1231=-1),0,$Q1231*1000+$R1231*100+$K1231)</f>
        <v>0</v>
      </c>
      <c r="T1231" s="37" t="str">
        <f aca="false">IF($A1231="","",IF($B1231="","NO ACCOUNT",IF($Q1231=0,"UNMAPPED",IF($R1231=-1,"OUTSIDE FY RANGE","OK"))))</f>
        <v/>
      </c>
      <c r="U1231" s="40" t="str">
        <f aca="false">IF($A1231="","",$B1231&amp;"|"&amp;TEXT($A1231,"yyyymmdd")&amp;"|"&amp;TEXT($I1231,"0.00"))</f>
        <v/>
      </c>
      <c r="V1231" s="35" t="str">
        <f aca="false">IF($A1231="","",COUNTIF($U$8:$U$5007,$U1231))</f>
        <v/>
      </c>
    </row>
    <row r="1232" customFormat="false" ht="15" hidden="false" customHeight="false" outlineLevel="0" collapsed="false">
      <c r="A1232" s="31"/>
      <c r="B1232" s="32"/>
      <c r="C1232" s="32"/>
      <c r="D1232" s="32"/>
      <c r="E1232" s="32"/>
      <c r="F1232" s="32"/>
      <c r="G1232" s="33"/>
      <c r="H1232" s="33"/>
      <c r="I1232" s="34" t="str">
        <f aca="false">IF($A1232="","",$G1232-$H1232)</f>
        <v/>
      </c>
      <c r="J1232" s="35" t="str">
        <f aca="false">IF($A1232="","",IF(Setup!$B$6=1,YEAR($A1232),YEAR($A1232)+IF(MONTH($A1232)&gt;=Setup!$B$6,1,0)))</f>
        <v/>
      </c>
      <c r="K1232" s="35" t="str">
        <f aca="false">IF($A1232="","",MOD(MONTH($A1232)-Setup!$B$6+12,12)+1)</f>
        <v/>
      </c>
      <c r="L1232" s="36" t="str">
        <f aca="false">IF($A1232="","",TEXT($A1232,"MMM-YY"))</f>
        <v/>
      </c>
      <c r="M1232" s="37" t="str">
        <f aca="false">IF($A1232="","",IF($Q1232=0,"UNMAPPED",INDEX(COA_Mapping!$C$7:$C$256,$Q1232)))</f>
        <v/>
      </c>
      <c r="N1232" s="38" t="str">
        <f aca="false">IF($A1232="","",IF($Q1232=0,"",INDEX(COA_Mapping!$E$7:$E$256,$Q1232)))</f>
        <v/>
      </c>
      <c r="O1232" s="38" t="n">
        <f aca="false">IF($A1232="",1,IF($Q1232=0,1,INDEX(COA_Mapping!$F$7:$F$256,$Q1232)))</f>
        <v>1</v>
      </c>
      <c r="P1232" s="34" t="str">
        <f aca="false">IF($A1232="","",$I1232*$O1232)</f>
        <v/>
      </c>
      <c r="Q1232" s="39" t="n">
        <f aca="false">IF($B1232="",0,IFERROR(MATCH($B1232,COA_Mapping!$A$7:$A$256,0),0))</f>
        <v>0</v>
      </c>
      <c r="R1232" s="39" t="n">
        <f aca="false">IF($A1232="",-1,IF($J1232=Setup!$B$7,1,IF($J1232=Setup!$B$9,0,-1)))</f>
        <v>-1</v>
      </c>
      <c r="S1232" s="35" t="n">
        <f aca="false">IF(OR($A1232="",$Q1232=0,$R1232=-1),0,$Q1232*1000+$R1232*100+$K1232)</f>
        <v>0</v>
      </c>
      <c r="T1232" s="37" t="str">
        <f aca="false">IF($A1232="","",IF($B1232="","NO ACCOUNT",IF($Q1232=0,"UNMAPPED",IF($R1232=-1,"OUTSIDE FY RANGE","OK"))))</f>
        <v/>
      </c>
      <c r="U1232" s="40" t="str">
        <f aca="false">IF($A1232="","",$B1232&amp;"|"&amp;TEXT($A1232,"yyyymmdd")&amp;"|"&amp;TEXT($I1232,"0.00"))</f>
        <v/>
      </c>
      <c r="V1232" s="35" t="str">
        <f aca="false">IF($A1232="","",COUNTIF($U$8:$U$5007,$U1232))</f>
        <v/>
      </c>
    </row>
    <row r="1233" customFormat="false" ht="15" hidden="false" customHeight="false" outlineLevel="0" collapsed="false">
      <c r="A1233" s="31"/>
      <c r="B1233" s="32"/>
      <c r="C1233" s="32"/>
      <c r="D1233" s="32"/>
      <c r="E1233" s="32"/>
      <c r="F1233" s="32"/>
      <c r="G1233" s="33"/>
      <c r="H1233" s="33"/>
      <c r="I1233" s="34" t="str">
        <f aca="false">IF($A1233="","",$G1233-$H1233)</f>
        <v/>
      </c>
      <c r="J1233" s="35" t="str">
        <f aca="false">IF($A1233="","",IF(Setup!$B$6=1,YEAR($A1233),YEAR($A1233)+IF(MONTH($A1233)&gt;=Setup!$B$6,1,0)))</f>
        <v/>
      </c>
      <c r="K1233" s="35" t="str">
        <f aca="false">IF($A1233="","",MOD(MONTH($A1233)-Setup!$B$6+12,12)+1)</f>
        <v/>
      </c>
      <c r="L1233" s="36" t="str">
        <f aca="false">IF($A1233="","",TEXT($A1233,"MMM-YY"))</f>
        <v/>
      </c>
      <c r="M1233" s="37" t="str">
        <f aca="false">IF($A1233="","",IF($Q1233=0,"UNMAPPED",INDEX(COA_Mapping!$C$7:$C$256,$Q1233)))</f>
        <v/>
      </c>
      <c r="N1233" s="38" t="str">
        <f aca="false">IF($A1233="","",IF($Q1233=0,"",INDEX(COA_Mapping!$E$7:$E$256,$Q1233)))</f>
        <v/>
      </c>
      <c r="O1233" s="38" t="n">
        <f aca="false">IF($A1233="",1,IF($Q1233=0,1,INDEX(COA_Mapping!$F$7:$F$256,$Q1233)))</f>
        <v>1</v>
      </c>
      <c r="P1233" s="34" t="str">
        <f aca="false">IF($A1233="","",$I1233*$O1233)</f>
        <v/>
      </c>
      <c r="Q1233" s="39" t="n">
        <f aca="false">IF($B1233="",0,IFERROR(MATCH($B1233,COA_Mapping!$A$7:$A$256,0),0))</f>
        <v>0</v>
      </c>
      <c r="R1233" s="39" t="n">
        <f aca="false">IF($A1233="",-1,IF($J1233=Setup!$B$7,1,IF($J1233=Setup!$B$9,0,-1)))</f>
        <v>-1</v>
      </c>
      <c r="S1233" s="35" t="n">
        <f aca="false">IF(OR($A1233="",$Q1233=0,$R1233=-1),0,$Q1233*1000+$R1233*100+$K1233)</f>
        <v>0</v>
      </c>
      <c r="T1233" s="37" t="str">
        <f aca="false">IF($A1233="","",IF($B1233="","NO ACCOUNT",IF($Q1233=0,"UNMAPPED",IF($R1233=-1,"OUTSIDE FY RANGE","OK"))))</f>
        <v/>
      </c>
      <c r="U1233" s="40" t="str">
        <f aca="false">IF($A1233="","",$B1233&amp;"|"&amp;TEXT($A1233,"yyyymmdd")&amp;"|"&amp;TEXT($I1233,"0.00"))</f>
        <v/>
      </c>
      <c r="V1233" s="35" t="str">
        <f aca="false">IF($A1233="","",COUNTIF($U$8:$U$5007,$U1233))</f>
        <v/>
      </c>
    </row>
    <row r="1234" customFormat="false" ht="15" hidden="false" customHeight="false" outlineLevel="0" collapsed="false">
      <c r="A1234" s="31"/>
      <c r="B1234" s="32"/>
      <c r="C1234" s="32"/>
      <c r="D1234" s="32"/>
      <c r="E1234" s="32"/>
      <c r="F1234" s="32"/>
      <c r="G1234" s="33"/>
      <c r="H1234" s="33"/>
      <c r="I1234" s="34" t="str">
        <f aca="false">IF($A1234="","",$G1234-$H1234)</f>
        <v/>
      </c>
      <c r="J1234" s="35" t="str">
        <f aca="false">IF($A1234="","",IF(Setup!$B$6=1,YEAR($A1234),YEAR($A1234)+IF(MONTH($A1234)&gt;=Setup!$B$6,1,0)))</f>
        <v/>
      </c>
      <c r="K1234" s="35" t="str">
        <f aca="false">IF($A1234="","",MOD(MONTH($A1234)-Setup!$B$6+12,12)+1)</f>
        <v/>
      </c>
      <c r="L1234" s="36" t="str">
        <f aca="false">IF($A1234="","",TEXT($A1234,"MMM-YY"))</f>
        <v/>
      </c>
      <c r="M1234" s="37" t="str">
        <f aca="false">IF($A1234="","",IF($Q1234=0,"UNMAPPED",INDEX(COA_Mapping!$C$7:$C$256,$Q1234)))</f>
        <v/>
      </c>
      <c r="N1234" s="38" t="str">
        <f aca="false">IF($A1234="","",IF($Q1234=0,"",INDEX(COA_Mapping!$E$7:$E$256,$Q1234)))</f>
        <v/>
      </c>
      <c r="O1234" s="38" t="n">
        <f aca="false">IF($A1234="",1,IF($Q1234=0,1,INDEX(COA_Mapping!$F$7:$F$256,$Q1234)))</f>
        <v>1</v>
      </c>
      <c r="P1234" s="34" t="str">
        <f aca="false">IF($A1234="","",$I1234*$O1234)</f>
        <v/>
      </c>
      <c r="Q1234" s="39" t="n">
        <f aca="false">IF($B1234="",0,IFERROR(MATCH($B1234,COA_Mapping!$A$7:$A$256,0),0))</f>
        <v>0</v>
      </c>
      <c r="R1234" s="39" t="n">
        <f aca="false">IF($A1234="",-1,IF($J1234=Setup!$B$7,1,IF($J1234=Setup!$B$9,0,-1)))</f>
        <v>-1</v>
      </c>
      <c r="S1234" s="35" t="n">
        <f aca="false">IF(OR($A1234="",$Q1234=0,$R1234=-1),0,$Q1234*1000+$R1234*100+$K1234)</f>
        <v>0</v>
      </c>
      <c r="T1234" s="37" t="str">
        <f aca="false">IF($A1234="","",IF($B1234="","NO ACCOUNT",IF($Q1234=0,"UNMAPPED",IF($R1234=-1,"OUTSIDE FY RANGE","OK"))))</f>
        <v/>
      </c>
      <c r="U1234" s="40" t="str">
        <f aca="false">IF($A1234="","",$B1234&amp;"|"&amp;TEXT($A1234,"yyyymmdd")&amp;"|"&amp;TEXT($I1234,"0.00"))</f>
        <v/>
      </c>
      <c r="V1234" s="35" t="str">
        <f aca="false">IF($A1234="","",COUNTIF($U$8:$U$5007,$U1234))</f>
        <v/>
      </c>
    </row>
    <row r="1235" customFormat="false" ht="15" hidden="false" customHeight="false" outlineLevel="0" collapsed="false">
      <c r="A1235" s="31"/>
      <c r="B1235" s="32"/>
      <c r="C1235" s="32"/>
      <c r="D1235" s="32"/>
      <c r="E1235" s="32"/>
      <c r="F1235" s="32"/>
      <c r="G1235" s="33"/>
      <c r="H1235" s="33"/>
      <c r="I1235" s="34" t="str">
        <f aca="false">IF($A1235="","",$G1235-$H1235)</f>
        <v/>
      </c>
      <c r="J1235" s="35" t="str">
        <f aca="false">IF($A1235="","",IF(Setup!$B$6=1,YEAR($A1235),YEAR($A1235)+IF(MONTH($A1235)&gt;=Setup!$B$6,1,0)))</f>
        <v/>
      </c>
      <c r="K1235" s="35" t="str">
        <f aca="false">IF($A1235="","",MOD(MONTH($A1235)-Setup!$B$6+12,12)+1)</f>
        <v/>
      </c>
      <c r="L1235" s="36" t="str">
        <f aca="false">IF($A1235="","",TEXT($A1235,"MMM-YY"))</f>
        <v/>
      </c>
      <c r="M1235" s="37" t="str">
        <f aca="false">IF($A1235="","",IF($Q1235=0,"UNMAPPED",INDEX(COA_Mapping!$C$7:$C$256,$Q1235)))</f>
        <v/>
      </c>
      <c r="N1235" s="38" t="str">
        <f aca="false">IF($A1235="","",IF($Q1235=0,"",INDEX(COA_Mapping!$E$7:$E$256,$Q1235)))</f>
        <v/>
      </c>
      <c r="O1235" s="38" t="n">
        <f aca="false">IF($A1235="",1,IF($Q1235=0,1,INDEX(COA_Mapping!$F$7:$F$256,$Q1235)))</f>
        <v>1</v>
      </c>
      <c r="P1235" s="34" t="str">
        <f aca="false">IF($A1235="","",$I1235*$O1235)</f>
        <v/>
      </c>
      <c r="Q1235" s="39" t="n">
        <f aca="false">IF($B1235="",0,IFERROR(MATCH($B1235,COA_Mapping!$A$7:$A$256,0),0))</f>
        <v>0</v>
      </c>
      <c r="R1235" s="39" t="n">
        <f aca="false">IF($A1235="",-1,IF($J1235=Setup!$B$7,1,IF($J1235=Setup!$B$9,0,-1)))</f>
        <v>-1</v>
      </c>
      <c r="S1235" s="35" t="n">
        <f aca="false">IF(OR($A1235="",$Q1235=0,$R1235=-1),0,$Q1235*1000+$R1235*100+$K1235)</f>
        <v>0</v>
      </c>
      <c r="T1235" s="37" t="str">
        <f aca="false">IF($A1235="","",IF($B1235="","NO ACCOUNT",IF($Q1235=0,"UNMAPPED",IF($R1235=-1,"OUTSIDE FY RANGE","OK"))))</f>
        <v/>
      </c>
      <c r="U1235" s="40" t="str">
        <f aca="false">IF($A1235="","",$B1235&amp;"|"&amp;TEXT($A1235,"yyyymmdd")&amp;"|"&amp;TEXT($I1235,"0.00"))</f>
        <v/>
      </c>
      <c r="V1235" s="35" t="str">
        <f aca="false">IF($A1235="","",COUNTIF($U$8:$U$5007,$U1235))</f>
        <v/>
      </c>
    </row>
    <row r="1236" customFormat="false" ht="15" hidden="false" customHeight="false" outlineLevel="0" collapsed="false">
      <c r="A1236" s="31"/>
      <c r="B1236" s="32"/>
      <c r="C1236" s="32"/>
      <c r="D1236" s="32"/>
      <c r="E1236" s="32"/>
      <c r="F1236" s="32"/>
      <c r="G1236" s="33"/>
      <c r="H1236" s="33"/>
      <c r="I1236" s="34" t="str">
        <f aca="false">IF($A1236="","",$G1236-$H1236)</f>
        <v/>
      </c>
      <c r="J1236" s="35" t="str">
        <f aca="false">IF($A1236="","",IF(Setup!$B$6=1,YEAR($A1236),YEAR($A1236)+IF(MONTH($A1236)&gt;=Setup!$B$6,1,0)))</f>
        <v/>
      </c>
      <c r="K1236" s="35" t="str">
        <f aca="false">IF($A1236="","",MOD(MONTH($A1236)-Setup!$B$6+12,12)+1)</f>
        <v/>
      </c>
      <c r="L1236" s="36" t="str">
        <f aca="false">IF($A1236="","",TEXT($A1236,"MMM-YY"))</f>
        <v/>
      </c>
      <c r="M1236" s="37" t="str">
        <f aca="false">IF($A1236="","",IF($Q1236=0,"UNMAPPED",INDEX(COA_Mapping!$C$7:$C$256,$Q1236)))</f>
        <v/>
      </c>
      <c r="N1236" s="38" t="str">
        <f aca="false">IF($A1236="","",IF($Q1236=0,"",INDEX(COA_Mapping!$E$7:$E$256,$Q1236)))</f>
        <v/>
      </c>
      <c r="O1236" s="38" t="n">
        <f aca="false">IF($A1236="",1,IF($Q1236=0,1,INDEX(COA_Mapping!$F$7:$F$256,$Q1236)))</f>
        <v>1</v>
      </c>
      <c r="P1236" s="34" t="str">
        <f aca="false">IF($A1236="","",$I1236*$O1236)</f>
        <v/>
      </c>
      <c r="Q1236" s="39" t="n">
        <f aca="false">IF($B1236="",0,IFERROR(MATCH($B1236,COA_Mapping!$A$7:$A$256,0),0))</f>
        <v>0</v>
      </c>
      <c r="R1236" s="39" t="n">
        <f aca="false">IF($A1236="",-1,IF($J1236=Setup!$B$7,1,IF($J1236=Setup!$B$9,0,-1)))</f>
        <v>-1</v>
      </c>
      <c r="S1236" s="35" t="n">
        <f aca="false">IF(OR($A1236="",$Q1236=0,$R1236=-1),0,$Q1236*1000+$R1236*100+$K1236)</f>
        <v>0</v>
      </c>
      <c r="T1236" s="37" t="str">
        <f aca="false">IF($A1236="","",IF($B1236="","NO ACCOUNT",IF($Q1236=0,"UNMAPPED",IF($R1236=-1,"OUTSIDE FY RANGE","OK"))))</f>
        <v/>
      </c>
      <c r="U1236" s="40" t="str">
        <f aca="false">IF($A1236="","",$B1236&amp;"|"&amp;TEXT($A1236,"yyyymmdd")&amp;"|"&amp;TEXT($I1236,"0.00"))</f>
        <v/>
      </c>
      <c r="V1236" s="35" t="str">
        <f aca="false">IF($A1236="","",COUNTIF($U$8:$U$5007,$U1236))</f>
        <v/>
      </c>
    </row>
    <row r="1237" customFormat="false" ht="15" hidden="false" customHeight="false" outlineLevel="0" collapsed="false">
      <c r="A1237" s="31"/>
      <c r="B1237" s="32"/>
      <c r="C1237" s="32"/>
      <c r="D1237" s="32"/>
      <c r="E1237" s="32"/>
      <c r="F1237" s="32"/>
      <c r="G1237" s="33"/>
      <c r="H1237" s="33"/>
      <c r="I1237" s="34" t="str">
        <f aca="false">IF($A1237="","",$G1237-$H1237)</f>
        <v/>
      </c>
      <c r="J1237" s="35" t="str">
        <f aca="false">IF($A1237="","",IF(Setup!$B$6=1,YEAR($A1237),YEAR($A1237)+IF(MONTH($A1237)&gt;=Setup!$B$6,1,0)))</f>
        <v/>
      </c>
      <c r="K1237" s="35" t="str">
        <f aca="false">IF($A1237="","",MOD(MONTH($A1237)-Setup!$B$6+12,12)+1)</f>
        <v/>
      </c>
      <c r="L1237" s="36" t="str">
        <f aca="false">IF($A1237="","",TEXT($A1237,"MMM-YY"))</f>
        <v/>
      </c>
      <c r="M1237" s="37" t="str">
        <f aca="false">IF($A1237="","",IF($Q1237=0,"UNMAPPED",INDEX(COA_Mapping!$C$7:$C$256,$Q1237)))</f>
        <v/>
      </c>
      <c r="N1237" s="38" t="str">
        <f aca="false">IF($A1237="","",IF($Q1237=0,"",INDEX(COA_Mapping!$E$7:$E$256,$Q1237)))</f>
        <v/>
      </c>
      <c r="O1237" s="38" t="n">
        <f aca="false">IF($A1237="",1,IF($Q1237=0,1,INDEX(COA_Mapping!$F$7:$F$256,$Q1237)))</f>
        <v>1</v>
      </c>
      <c r="P1237" s="34" t="str">
        <f aca="false">IF($A1237="","",$I1237*$O1237)</f>
        <v/>
      </c>
      <c r="Q1237" s="39" t="n">
        <f aca="false">IF($B1237="",0,IFERROR(MATCH($B1237,COA_Mapping!$A$7:$A$256,0),0))</f>
        <v>0</v>
      </c>
      <c r="R1237" s="39" t="n">
        <f aca="false">IF($A1237="",-1,IF($J1237=Setup!$B$7,1,IF($J1237=Setup!$B$9,0,-1)))</f>
        <v>-1</v>
      </c>
      <c r="S1237" s="35" t="n">
        <f aca="false">IF(OR($A1237="",$Q1237=0,$R1237=-1),0,$Q1237*1000+$R1237*100+$K1237)</f>
        <v>0</v>
      </c>
      <c r="T1237" s="37" t="str">
        <f aca="false">IF($A1237="","",IF($B1237="","NO ACCOUNT",IF($Q1237=0,"UNMAPPED",IF($R1237=-1,"OUTSIDE FY RANGE","OK"))))</f>
        <v/>
      </c>
      <c r="U1237" s="40" t="str">
        <f aca="false">IF($A1237="","",$B1237&amp;"|"&amp;TEXT($A1237,"yyyymmdd")&amp;"|"&amp;TEXT($I1237,"0.00"))</f>
        <v/>
      </c>
      <c r="V1237" s="35" t="str">
        <f aca="false">IF($A1237="","",COUNTIF($U$8:$U$5007,$U1237))</f>
        <v/>
      </c>
    </row>
    <row r="1238" customFormat="false" ht="15" hidden="false" customHeight="false" outlineLevel="0" collapsed="false">
      <c r="A1238" s="31"/>
      <c r="B1238" s="32"/>
      <c r="C1238" s="32"/>
      <c r="D1238" s="32"/>
      <c r="E1238" s="32"/>
      <c r="F1238" s="32"/>
      <c r="G1238" s="33"/>
      <c r="H1238" s="33"/>
      <c r="I1238" s="34" t="str">
        <f aca="false">IF($A1238="","",$G1238-$H1238)</f>
        <v/>
      </c>
      <c r="J1238" s="35" t="str">
        <f aca="false">IF($A1238="","",IF(Setup!$B$6=1,YEAR($A1238),YEAR($A1238)+IF(MONTH($A1238)&gt;=Setup!$B$6,1,0)))</f>
        <v/>
      </c>
      <c r="K1238" s="35" t="str">
        <f aca="false">IF($A1238="","",MOD(MONTH($A1238)-Setup!$B$6+12,12)+1)</f>
        <v/>
      </c>
      <c r="L1238" s="36" t="str">
        <f aca="false">IF($A1238="","",TEXT($A1238,"MMM-YY"))</f>
        <v/>
      </c>
      <c r="M1238" s="37" t="str">
        <f aca="false">IF($A1238="","",IF($Q1238=0,"UNMAPPED",INDEX(COA_Mapping!$C$7:$C$256,$Q1238)))</f>
        <v/>
      </c>
      <c r="N1238" s="38" t="str">
        <f aca="false">IF($A1238="","",IF($Q1238=0,"",INDEX(COA_Mapping!$E$7:$E$256,$Q1238)))</f>
        <v/>
      </c>
      <c r="O1238" s="38" t="n">
        <f aca="false">IF($A1238="",1,IF($Q1238=0,1,INDEX(COA_Mapping!$F$7:$F$256,$Q1238)))</f>
        <v>1</v>
      </c>
      <c r="P1238" s="34" t="str">
        <f aca="false">IF($A1238="","",$I1238*$O1238)</f>
        <v/>
      </c>
      <c r="Q1238" s="39" t="n">
        <f aca="false">IF($B1238="",0,IFERROR(MATCH($B1238,COA_Mapping!$A$7:$A$256,0),0))</f>
        <v>0</v>
      </c>
      <c r="R1238" s="39" t="n">
        <f aca="false">IF($A1238="",-1,IF($J1238=Setup!$B$7,1,IF($J1238=Setup!$B$9,0,-1)))</f>
        <v>-1</v>
      </c>
      <c r="S1238" s="35" t="n">
        <f aca="false">IF(OR($A1238="",$Q1238=0,$R1238=-1),0,$Q1238*1000+$R1238*100+$K1238)</f>
        <v>0</v>
      </c>
      <c r="T1238" s="37" t="str">
        <f aca="false">IF($A1238="","",IF($B1238="","NO ACCOUNT",IF($Q1238=0,"UNMAPPED",IF($R1238=-1,"OUTSIDE FY RANGE","OK"))))</f>
        <v/>
      </c>
      <c r="U1238" s="40" t="str">
        <f aca="false">IF($A1238="","",$B1238&amp;"|"&amp;TEXT($A1238,"yyyymmdd")&amp;"|"&amp;TEXT($I1238,"0.00"))</f>
        <v/>
      </c>
      <c r="V1238" s="35" t="str">
        <f aca="false">IF($A1238="","",COUNTIF($U$8:$U$5007,$U1238))</f>
        <v/>
      </c>
    </row>
    <row r="1239" customFormat="false" ht="15" hidden="false" customHeight="false" outlineLevel="0" collapsed="false">
      <c r="A1239" s="31"/>
      <c r="B1239" s="32"/>
      <c r="C1239" s="32"/>
      <c r="D1239" s="32"/>
      <c r="E1239" s="32"/>
      <c r="F1239" s="32"/>
      <c r="G1239" s="33"/>
      <c r="H1239" s="33"/>
      <c r="I1239" s="34" t="str">
        <f aca="false">IF($A1239="","",$G1239-$H1239)</f>
        <v/>
      </c>
      <c r="J1239" s="35" t="str">
        <f aca="false">IF($A1239="","",IF(Setup!$B$6=1,YEAR($A1239),YEAR($A1239)+IF(MONTH($A1239)&gt;=Setup!$B$6,1,0)))</f>
        <v/>
      </c>
      <c r="K1239" s="35" t="str">
        <f aca="false">IF($A1239="","",MOD(MONTH($A1239)-Setup!$B$6+12,12)+1)</f>
        <v/>
      </c>
      <c r="L1239" s="36" t="str">
        <f aca="false">IF($A1239="","",TEXT($A1239,"MMM-YY"))</f>
        <v/>
      </c>
      <c r="M1239" s="37" t="str">
        <f aca="false">IF($A1239="","",IF($Q1239=0,"UNMAPPED",INDEX(COA_Mapping!$C$7:$C$256,$Q1239)))</f>
        <v/>
      </c>
      <c r="N1239" s="38" t="str">
        <f aca="false">IF($A1239="","",IF($Q1239=0,"",INDEX(COA_Mapping!$E$7:$E$256,$Q1239)))</f>
        <v/>
      </c>
      <c r="O1239" s="38" t="n">
        <f aca="false">IF($A1239="",1,IF($Q1239=0,1,INDEX(COA_Mapping!$F$7:$F$256,$Q1239)))</f>
        <v>1</v>
      </c>
      <c r="P1239" s="34" t="str">
        <f aca="false">IF($A1239="","",$I1239*$O1239)</f>
        <v/>
      </c>
      <c r="Q1239" s="39" t="n">
        <f aca="false">IF($B1239="",0,IFERROR(MATCH($B1239,COA_Mapping!$A$7:$A$256,0),0))</f>
        <v>0</v>
      </c>
      <c r="R1239" s="39" t="n">
        <f aca="false">IF($A1239="",-1,IF($J1239=Setup!$B$7,1,IF($J1239=Setup!$B$9,0,-1)))</f>
        <v>-1</v>
      </c>
      <c r="S1239" s="35" t="n">
        <f aca="false">IF(OR($A1239="",$Q1239=0,$R1239=-1),0,$Q1239*1000+$R1239*100+$K1239)</f>
        <v>0</v>
      </c>
      <c r="T1239" s="37" t="str">
        <f aca="false">IF($A1239="","",IF($B1239="","NO ACCOUNT",IF($Q1239=0,"UNMAPPED",IF($R1239=-1,"OUTSIDE FY RANGE","OK"))))</f>
        <v/>
      </c>
      <c r="U1239" s="40" t="str">
        <f aca="false">IF($A1239="","",$B1239&amp;"|"&amp;TEXT($A1239,"yyyymmdd")&amp;"|"&amp;TEXT($I1239,"0.00"))</f>
        <v/>
      </c>
      <c r="V1239" s="35" t="str">
        <f aca="false">IF($A1239="","",COUNTIF($U$8:$U$5007,$U1239))</f>
        <v/>
      </c>
    </row>
    <row r="1240" customFormat="false" ht="15" hidden="false" customHeight="false" outlineLevel="0" collapsed="false">
      <c r="A1240" s="31"/>
      <c r="B1240" s="32"/>
      <c r="C1240" s="32"/>
      <c r="D1240" s="32"/>
      <c r="E1240" s="32"/>
      <c r="F1240" s="32"/>
      <c r="G1240" s="33"/>
      <c r="H1240" s="33"/>
      <c r="I1240" s="34" t="str">
        <f aca="false">IF($A1240="","",$G1240-$H1240)</f>
        <v/>
      </c>
      <c r="J1240" s="35" t="str">
        <f aca="false">IF($A1240="","",IF(Setup!$B$6=1,YEAR($A1240),YEAR($A1240)+IF(MONTH($A1240)&gt;=Setup!$B$6,1,0)))</f>
        <v/>
      </c>
      <c r="K1240" s="35" t="str">
        <f aca="false">IF($A1240="","",MOD(MONTH($A1240)-Setup!$B$6+12,12)+1)</f>
        <v/>
      </c>
      <c r="L1240" s="36" t="str">
        <f aca="false">IF($A1240="","",TEXT($A1240,"MMM-YY"))</f>
        <v/>
      </c>
      <c r="M1240" s="37" t="str">
        <f aca="false">IF($A1240="","",IF($Q1240=0,"UNMAPPED",INDEX(COA_Mapping!$C$7:$C$256,$Q1240)))</f>
        <v/>
      </c>
      <c r="N1240" s="38" t="str">
        <f aca="false">IF($A1240="","",IF($Q1240=0,"",INDEX(COA_Mapping!$E$7:$E$256,$Q1240)))</f>
        <v/>
      </c>
      <c r="O1240" s="38" t="n">
        <f aca="false">IF($A1240="",1,IF($Q1240=0,1,INDEX(COA_Mapping!$F$7:$F$256,$Q1240)))</f>
        <v>1</v>
      </c>
      <c r="P1240" s="34" t="str">
        <f aca="false">IF($A1240="","",$I1240*$O1240)</f>
        <v/>
      </c>
      <c r="Q1240" s="39" t="n">
        <f aca="false">IF($B1240="",0,IFERROR(MATCH($B1240,COA_Mapping!$A$7:$A$256,0),0))</f>
        <v>0</v>
      </c>
      <c r="R1240" s="39" t="n">
        <f aca="false">IF($A1240="",-1,IF($J1240=Setup!$B$7,1,IF($J1240=Setup!$B$9,0,-1)))</f>
        <v>-1</v>
      </c>
      <c r="S1240" s="35" t="n">
        <f aca="false">IF(OR($A1240="",$Q1240=0,$R1240=-1),0,$Q1240*1000+$R1240*100+$K1240)</f>
        <v>0</v>
      </c>
      <c r="T1240" s="37" t="str">
        <f aca="false">IF($A1240="","",IF($B1240="","NO ACCOUNT",IF($Q1240=0,"UNMAPPED",IF($R1240=-1,"OUTSIDE FY RANGE","OK"))))</f>
        <v/>
      </c>
      <c r="U1240" s="40" t="str">
        <f aca="false">IF($A1240="","",$B1240&amp;"|"&amp;TEXT($A1240,"yyyymmdd")&amp;"|"&amp;TEXT($I1240,"0.00"))</f>
        <v/>
      </c>
      <c r="V1240" s="35" t="str">
        <f aca="false">IF($A1240="","",COUNTIF($U$8:$U$5007,$U1240))</f>
        <v/>
      </c>
    </row>
    <row r="1241" customFormat="false" ht="15" hidden="false" customHeight="false" outlineLevel="0" collapsed="false">
      <c r="A1241" s="31"/>
      <c r="B1241" s="32"/>
      <c r="C1241" s="32"/>
      <c r="D1241" s="32"/>
      <c r="E1241" s="32"/>
      <c r="F1241" s="32"/>
      <c r="G1241" s="33"/>
      <c r="H1241" s="33"/>
      <c r="I1241" s="34" t="str">
        <f aca="false">IF($A1241="","",$G1241-$H1241)</f>
        <v/>
      </c>
      <c r="J1241" s="35" t="str">
        <f aca="false">IF($A1241="","",IF(Setup!$B$6=1,YEAR($A1241),YEAR($A1241)+IF(MONTH($A1241)&gt;=Setup!$B$6,1,0)))</f>
        <v/>
      </c>
      <c r="K1241" s="35" t="str">
        <f aca="false">IF($A1241="","",MOD(MONTH($A1241)-Setup!$B$6+12,12)+1)</f>
        <v/>
      </c>
      <c r="L1241" s="36" t="str">
        <f aca="false">IF($A1241="","",TEXT($A1241,"MMM-YY"))</f>
        <v/>
      </c>
      <c r="M1241" s="37" t="str">
        <f aca="false">IF($A1241="","",IF($Q1241=0,"UNMAPPED",INDEX(COA_Mapping!$C$7:$C$256,$Q1241)))</f>
        <v/>
      </c>
      <c r="N1241" s="38" t="str">
        <f aca="false">IF($A1241="","",IF($Q1241=0,"",INDEX(COA_Mapping!$E$7:$E$256,$Q1241)))</f>
        <v/>
      </c>
      <c r="O1241" s="38" t="n">
        <f aca="false">IF($A1241="",1,IF($Q1241=0,1,INDEX(COA_Mapping!$F$7:$F$256,$Q1241)))</f>
        <v>1</v>
      </c>
      <c r="P1241" s="34" t="str">
        <f aca="false">IF($A1241="","",$I1241*$O1241)</f>
        <v/>
      </c>
      <c r="Q1241" s="39" t="n">
        <f aca="false">IF($B1241="",0,IFERROR(MATCH($B1241,COA_Mapping!$A$7:$A$256,0),0))</f>
        <v>0</v>
      </c>
      <c r="R1241" s="39" t="n">
        <f aca="false">IF($A1241="",-1,IF($J1241=Setup!$B$7,1,IF($J1241=Setup!$B$9,0,-1)))</f>
        <v>-1</v>
      </c>
      <c r="S1241" s="35" t="n">
        <f aca="false">IF(OR($A1241="",$Q1241=0,$R1241=-1),0,$Q1241*1000+$R1241*100+$K1241)</f>
        <v>0</v>
      </c>
      <c r="T1241" s="37" t="str">
        <f aca="false">IF($A1241="","",IF($B1241="","NO ACCOUNT",IF($Q1241=0,"UNMAPPED",IF($R1241=-1,"OUTSIDE FY RANGE","OK"))))</f>
        <v/>
      </c>
      <c r="U1241" s="40" t="str">
        <f aca="false">IF($A1241="","",$B1241&amp;"|"&amp;TEXT($A1241,"yyyymmdd")&amp;"|"&amp;TEXT($I1241,"0.00"))</f>
        <v/>
      </c>
      <c r="V1241" s="35" t="str">
        <f aca="false">IF($A1241="","",COUNTIF($U$8:$U$5007,$U1241))</f>
        <v/>
      </c>
    </row>
    <row r="1242" customFormat="false" ht="15" hidden="false" customHeight="false" outlineLevel="0" collapsed="false">
      <c r="A1242" s="31"/>
      <c r="B1242" s="32"/>
      <c r="C1242" s="32"/>
      <c r="D1242" s="32"/>
      <c r="E1242" s="32"/>
      <c r="F1242" s="32"/>
      <c r="G1242" s="33"/>
      <c r="H1242" s="33"/>
      <c r="I1242" s="34" t="str">
        <f aca="false">IF($A1242="","",$G1242-$H1242)</f>
        <v/>
      </c>
      <c r="J1242" s="35" t="str">
        <f aca="false">IF($A1242="","",IF(Setup!$B$6=1,YEAR($A1242),YEAR($A1242)+IF(MONTH($A1242)&gt;=Setup!$B$6,1,0)))</f>
        <v/>
      </c>
      <c r="K1242" s="35" t="str">
        <f aca="false">IF($A1242="","",MOD(MONTH($A1242)-Setup!$B$6+12,12)+1)</f>
        <v/>
      </c>
      <c r="L1242" s="36" t="str">
        <f aca="false">IF($A1242="","",TEXT($A1242,"MMM-YY"))</f>
        <v/>
      </c>
      <c r="M1242" s="37" t="str">
        <f aca="false">IF($A1242="","",IF($Q1242=0,"UNMAPPED",INDEX(COA_Mapping!$C$7:$C$256,$Q1242)))</f>
        <v/>
      </c>
      <c r="N1242" s="38" t="str">
        <f aca="false">IF($A1242="","",IF($Q1242=0,"",INDEX(COA_Mapping!$E$7:$E$256,$Q1242)))</f>
        <v/>
      </c>
      <c r="O1242" s="38" t="n">
        <f aca="false">IF($A1242="",1,IF($Q1242=0,1,INDEX(COA_Mapping!$F$7:$F$256,$Q1242)))</f>
        <v>1</v>
      </c>
      <c r="P1242" s="34" t="str">
        <f aca="false">IF($A1242="","",$I1242*$O1242)</f>
        <v/>
      </c>
      <c r="Q1242" s="39" t="n">
        <f aca="false">IF($B1242="",0,IFERROR(MATCH($B1242,COA_Mapping!$A$7:$A$256,0),0))</f>
        <v>0</v>
      </c>
      <c r="R1242" s="39" t="n">
        <f aca="false">IF($A1242="",-1,IF($J1242=Setup!$B$7,1,IF($J1242=Setup!$B$9,0,-1)))</f>
        <v>-1</v>
      </c>
      <c r="S1242" s="35" t="n">
        <f aca="false">IF(OR($A1242="",$Q1242=0,$R1242=-1),0,$Q1242*1000+$R1242*100+$K1242)</f>
        <v>0</v>
      </c>
      <c r="T1242" s="37" t="str">
        <f aca="false">IF($A1242="","",IF($B1242="","NO ACCOUNT",IF($Q1242=0,"UNMAPPED",IF($R1242=-1,"OUTSIDE FY RANGE","OK"))))</f>
        <v/>
      </c>
      <c r="U1242" s="40" t="str">
        <f aca="false">IF($A1242="","",$B1242&amp;"|"&amp;TEXT($A1242,"yyyymmdd")&amp;"|"&amp;TEXT($I1242,"0.00"))</f>
        <v/>
      </c>
      <c r="V1242" s="35" t="str">
        <f aca="false">IF($A1242="","",COUNTIF($U$8:$U$5007,$U1242))</f>
        <v/>
      </c>
    </row>
    <row r="1243" customFormat="false" ht="15" hidden="false" customHeight="false" outlineLevel="0" collapsed="false">
      <c r="A1243" s="31"/>
      <c r="B1243" s="32"/>
      <c r="C1243" s="32"/>
      <c r="D1243" s="32"/>
      <c r="E1243" s="32"/>
      <c r="F1243" s="32"/>
      <c r="G1243" s="33"/>
      <c r="H1243" s="33"/>
      <c r="I1243" s="34" t="str">
        <f aca="false">IF($A1243="","",$G1243-$H1243)</f>
        <v/>
      </c>
      <c r="J1243" s="35" t="str">
        <f aca="false">IF($A1243="","",IF(Setup!$B$6=1,YEAR($A1243),YEAR($A1243)+IF(MONTH($A1243)&gt;=Setup!$B$6,1,0)))</f>
        <v/>
      </c>
      <c r="K1243" s="35" t="str">
        <f aca="false">IF($A1243="","",MOD(MONTH($A1243)-Setup!$B$6+12,12)+1)</f>
        <v/>
      </c>
      <c r="L1243" s="36" t="str">
        <f aca="false">IF($A1243="","",TEXT($A1243,"MMM-YY"))</f>
        <v/>
      </c>
      <c r="M1243" s="37" t="str">
        <f aca="false">IF($A1243="","",IF($Q1243=0,"UNMAPPED",INDEX(COA_Mapping!$C$7:$C$256,$Q1243)))</f>
        <v/>
      </c>
      <c r="N1243" s="38" t="str">
        <f aca="false">IF($A1243="","",IF($Q1243=0,"",INDEX(COA_Mapping!$E$7:$E$256,$Q1243)))</f>
        <v/>
      </c>
      <c r="O1243" s="38" t="n">
        <f aca="false">IF($A1243="",1,IF($Q1243=0,1,INDEX(COA_Mapping!$F$7:$F$256,$Q1243)))</f>
        <v>1</v>
      </c>
      <c r="P1243" s="34" t="str">
        <f aca="false">IF($A1243="","",$I1243*$O1243)</f>
        <v/>
      </c>
      <c r="Q1243" s="39" t="n">
        <f aca="false">IF($B1243="",0,IFERROR(MATCH($B1243,COA_Mapping!$A$7:$A$256,0),0))</f>
        <v>0</v>
      </c>
      <c r="R1243" s="39" t="n">
        <f aca="false">IF($A1243="",-1,IF($J1243=Setup!$B$7,1,IF($J1243=Setup!$B$9,0,-1)))</f>
        <v>-1</v>
      </c>
      <c r="S1243" s="35" t="n">
        <f aca="false">IF(OR($A1243="",$Q1243=0,$R1243=-1),0,$Q1243*1000+$R1243*100+$K1243)</f>
        <v>0</v>
      </c>
      <c r="T1243" s="37" t="str">
        <f aca="false">IF($A1243="","",IF($B1243="","NO ACCOUNT",IF($Q1243=0,"UNMAPPED",IF($R1243=-1,"OUTSIDE FY RANGE","OK"))))</f>
        <v/>
      </c>
      <c r="U1243" s="40" t="str">
        <f aca="false">IF($A1243="","",$B1243&amp;"|"&amp;TEXT($A1243,"yyyymmdd")&amp;"|"&amp;TEXT($I1243,"0.00"))</f>
        <v/>
      </c>
      <c r="V1243" s="35" t="str">
        <f aca="false">IF($A1243="","",COUNTIF($U$8:$U$5007,$U1243))</f>
        <v/>
      </c>
    </row>
    <row r="1244" customFormat="false" ht="15" hidden="false" customHeight="false" outlineLevel="0" collapsed="false">
      <c r="A1244" s="31"/>
      <c r="B1244" s="32"/>
      <c r="C1244" s="32"/>
      <c r="D1244" s="32"/>
      <c r="E1244" s="32"/>
      <c r="F1244" s="32"/>
      <c r="G1244" s="33"/>
      <c r="H1244" s="33"/>
      <c r="I1244" s="34" t="str">
        <f aca="false">IF($A1244="","",$G1244-$H1244)</f>
        <v/>
      </c>
      <c r="J1244" s="35" t="str">
        <f aca="false">IF($A1244="","",IF(Setup!$B$6=1,YEAR($A1244),YEAR($A1244)+IF(MONTH($A1244)&gt;=Setup!$B$6,1,0)))</f>
        <v/>
      </c>
      <c r="K1244" s="35" t="str">
        <f aca="false">IF($A1244="","",MOD(MONTH($A1244)-Setup!$B$6+12,12)+1)</f>
        <v/>
      </c>
      <c r="L1244" s="36" t="str">
        <f aca="false">IF($A1244="","",TEXT($A1244,"MMM-YY"))</f>
        <v/>
      </c>
      <c r="M1244" s="37" t="str">
        <f aca="false">IF($A1244="","",IF($Q1244=0,"UNMAPPED",INDEX(COA_Mapping!$C$7:$C$256,$Q1244)))</f>
        <v/>
      </c>
      <c r="N1244" s="38" t="str">
        <f aca="false">IF($A1244="","",IF($Q1244=0,"",INDEX(COA_Mapping!$E$7:$E$256,$Q1244)))</f>
        <v/>
      </c>
      <c r="O1244" s="38" t="n">
        <f aca="false">IF($A1244="",1,IF($Q1244=0,1,INDEX(COA_Mapping!$F$7:$F$256,$Q1244)))</f>
        <v>1</v>
      </c>
      <c r="P1244" s="34" t="str">
        <f aca="false">IF($A1244="","",$I1244*$O1244)</f>
        <v/>
      </c>
      <c r="Q1244" s="39" t="n">
        <f aca="false">IF($B1244="",0,IFERROR(MATCH($B1244,COA_Mapping!$A$7:$A$256,0),0))</f>
        <v>0</v>
      </c>
      <c r="R1244" s="39" t="n">
        <f aca="false">IF($A1244="",-1,IF($J1244=Setup!$B$7,1,IF($J1244=Setup!$B$9,0,-1)))</f>
        <v>-1</v>
      </c>
      <c r="S1244" s="35" t="n">
        <f aca="false">IF(OR($A1244="",$Q1244=0,$R1244=-1),0,$Q1244*1000+$R1244*100+$K1244)</f>
        <v>0</v>
      </c>
      <c r="T1244" s="37" t="str">
        <f aca="false">IF($A1244="","",IF($B1244="","NO ACCOUNT",IF($Q1244=0,"UNMAPPED",IF($R1244=-1,"OUTSIDE FY RANGE","OK"))))</f>
        <v/>
      </c>
      <c r="U1244" s="40" t="str">
        <f aca="false">IF($A1244="","",$B1244&amp;"|"&amp;TEXT($A1244,"yyyymmdd")&amp;"|"&amp;TEXT($I1244,"0.00"))</f>
        <v/>
      </c>
      <c r="V1244" s="35" t="str">
        <f aca="false">IF($A1244="","",COUNTIF($U$8:$U$5007,$U1244))</f>
        <v/>
      </c>
    </row>
    <row r="1245" customFormat="false" ht="15" hidden="false" customHeight="false" outlineLevel="0" collapsed="false">
      <c r="A1245" s="31"/>
      <c r="B1245" s="32"/>
      <c r="C1245" s="32"/>
      <c r="D1245" s="32"/>
      <c r="E1245" s="32"/>
      <c r="F1245" s="32"/>
      <c r="G1245" s="33"/>
      <c r="H1245" s="33"/>
      <c r="I1245" s="34" t="str">
        <f aca="false">IF($A1245="","",$G1245-$H1245)</f>
        <v/>
      </c>
      <c r="J1245" s="35" t="str">
        <f aca="false">IF($A1245="","",IF(Setup!$B$6=1,YEAR($A1245),YEAR($A1245)+IF(MONTH($A1245)&gt;=Setup!$B$6,1,0)))</f>
        <v/>
      </c>
      <c r="K1245" s="35" t="str">
        <f aca="false">IF($A1245="","",MOD(MONTH($A1245)-Setup!$B$6+12,12)+1)</f>
        <v/>
      </c>
      <c r="L1245" s="36" t="str">
        <f aca="false">IF($A1245="","",TEXT($A1245,"MMM-YY"))</f>
        <v/>
      </c>
      <c r="M1245" s="37" t="str">
        <f aca="false">IF($A1245="","",IF($Q1245=0,"UNMAPPED",INDEX(COA_Mapping!$C$7:$C$256,$Q1245)))</f>
        <v/>
      </c>
      <c r="N1245" s="38" t="str">
        <f aca="false">IF($A1245="","",IF($Q1245=0,"",INDEX(COA_Mapping!$E$7:$E$256,$Q1245)))</f>
        <v/>
      </c>
      <c r="O1245" s="38" t="n">
        <f aca="false">IF($A1245="",1,IF($Q1245=0,1,INDEX(COA_Mapping!$F$7:$F$256,$Q1245)))</f>
        <v>1</v>
      </c>
      <c r="P1245" s="34" t="str">
        <f aca="false">IF($A1245="","",$I1245*$O1245)</f>
        <v/>
      </c>
      <c r="Q1245" s="39" t="n">
        <f aca="false">IF($B1245="",0,IFERROR(MATCH($B1245,COA_Mapping!$A$7:$A$256,0),0))</f>
        <v>0</v>
      </c>
      <c r="R1245" s="39" t="n">
        <f aca="false">IF($A1245="",-1,IF($J1245=Setup!$B$7,1,IF($J1245=Setup!$B$9,0,-1)))</f>
        <v>-1</v>
      </c>
      <c r="S1245" s="35" t="n">
        <f aca="false">IF(OR($A1245="",$Q1245=0,$R1245=-1),0,$Q1245*1000+$R1245*100+$K1245)</f>
        <v>0</v>
      </c>
      <c r="T1245" s="37" t="str">
        <f aca="false">IF($A1245="","",IF($B1245="","NO ACCOUNT",IF($Q1245=0,"UNMAPPED",IF($R1245=-1,"OUTSIDE FY RANGE","OK"))))</f>
        <v/>
      </c>
      <c r="U1245" s="40" t="str">
        <f aca="false">IF($A1245="","",$B1245&amp;"|"&amp;TEXT($A1245,"yyyymmdd")&amp;"|"&amp;TEXT($I1245,"0.00"))</f>
        <v/>
      </c>
      <c r="V1245" s="35" t="str">
        <f aca="false">IF($A1245="","",COUNTIF($U$8:$U$5007,$U1245))</f>
        <v/>
      </c>
    </row>
    <row r="1246" customFormat="false" ht="15" hidden="false" customHeight="false" outlineLevel="0" collapsed="false">
      <c r="A1246" s="31"/>
      <c r="B1246" s="32"/>
      <c r="C1246" s="32"/>
      <c r="D1246" s="32"/>
      <c r="E1246" s="32"/>
      <c r="F1246" s="32"/>
      <c r="G1246" s="33"/>
      <c r="H1246" s="33"/>
      <c r="I1246" s="34" t="str">
        <f aca="false">IF($A1246="","",$G1246-$H1246)</f>
        <v/>
      </c>
      <c r="J1246" s="35" t="str">
        <f aca="false">IF($A1246="","",IF(Setup!$B$6=1,YEAR($A1246),YEAR($A1246)+IF(MONTH($A1246)&gt;=Setup!$B$6,1,0)))</f>
        <v/>
      </c>
      <c r="K1246" s="35" t="str">
        <f aca="false">IF($A1246="","",MOD(MONTH($A1246)-Setup!$B$6+12,12)+1)</f>
        <v/>
      </c>
      <c r="L1246" s="36" t="str">
        <f aca="false">IF($A1246="","",TEXT($A1246,"MMM-YY"))</f>
        <v/>
      </c>
      <c r="M1246" s="37" t="str">
        <f aca="false">IF($A1246="","",IF($Q1246=0,"UNMAPPED",INDEX(COA_Mapping!$C$7:$C$256,$Q1246)))</f>
        <v/>
      </c>
      <c r="N1246" s="38" t="str">
        <f aca="false">IF($A1246="","",IF($Q1246=0,"",INDEX(COA_Mapping!$E$7:$E$256,$Q1246)))</f>
        <v/>
      </c>
      <c r="O1246" s="38" t="n">
        <f aca="false">IF($A1246="",1,IF($Q1246=0,1,INDEX(COA_Mapping!$F$7:$F$256,$Q1246)))</f>
        <v>1</v>
      </c>
      <c r="P1246" s="34" t="str">
        <f aca="false">IF($A1246="","",$I1246*$O1246)</f>
        <v/>
      </c>
      <c r="Q1246" s="39" t="n">
        <f aca="false">IF($B1246="",0,IFERROR(MATCH($B1246,COA_Mapping!$A$7:$A$256,0),0))</f>
        <v>0</v>
      </c>
      <c r="R1246" s="39" t="n">
        <f aca="false">IF($A1246="",-1,IF($J1246=Setup!$B$7,1,IF($J1246=Setup!$B$9,0,-1)))</f>
        <v>-1</v>
      </c>
      <c r="S1246" s="35" t="n">
        <f aca="false">IF(OR($A1246="",$Q1246=0,$R1246=-1),0,$Q1246*1000+$R1246*100+$K1246)</f>
        <v>0</v>
      </c>
      <c r="T1246" s="37" t="str">
        <f aca="false">IF($A1246="","",IF($B1246="","NO ACCOUNT",IF($Q1246=0,"UNMAPPED",IF($R1246=-1,"OUTSIDE FY RANGE","OK"))))</f>
        <v/>
      </c>
      <c r="U1246" s="40" t="str">
        <f aca="false">IF($A1246="","",$B1246&amp;"|"&amp;TEXT($A1246,"yyyymmdd")&amp;"|"&amp;TEXT($I1246,"0.00"))</f>
        <v/>
      </c>
      <c r="V1246" s="35" t="str">
        <f aca="false">IF($A1246="","",COUNTIF($U$8:$U$5007,$U1246))</f>
        <v/>
      </c>
    </row>
    <row r="1247" customFormat="false" ht="15" hidden="false" customHeight="false" outlineLevel="0" collapsed="false">
      <c r="A1247" s="31"/>
      <c r="B1247" s="32"/>
      <c r="C1247" s="32"/>
      <c r="D1247" s="32"/>
      <c r="E1247" s="32"/>
      <c r="F1247" s="32"/>
      <c r="G1247" s="33"/>
      <c r="H1247" s="33"/>
      <c r="I1247" s="34" t="str">
        <f aca="false">IF($A1247="","",$G1247-$H1247)</f>
        <v/>
      </c>
      <c r="J1247" s="35" t="str">
        <f aca="false">IF($A1247="","",IF(Setup!$B$6=1,YEAR($A1247),YEAR($A1247)+IF(MONTH($A1247)&gt;=Setup!$B$6,1,0)))</f>
        <v/>
      </c>
      <c r="K1247" s="35" t="str">
        <f aca="false">IF($A1247="","",MOD(MONTH($A1247)-Setup!$B$6+12,12)+1)</f>
        <v/>
      </c>
      <c r="L1247" s="36" t="str">
        <f aca="false">IF($A1247="","",TEXT($A1247,"MMM-YY"))</f>
        <v/>
      </c>
      <c r="M1247" s="37" t="str">
        <f aca="false">IF($A1247="","",IF($Q1247=0,"UNMAPPED",INDEX(COA_Mapping!$C$7:$C$256,$Q1247)))</f>
        <v/>
      </c>
      <c r="N1247" s="38" t="str">
        <f aca="false">IF($A1247="","",IF($Q1247=0,"",INDEX(COA_Mapping!$E$7:$E$256,$Q1247)))</f>
        <v/>
      </c>
      <c r="O1247" s="38" t="n">
        <f aca="false">IF($A1247="",1,IF($Q1247=0,1,INDEX(COA_Mapping!$F$7:$F$256,$Q1247)))</f>
        <v>1</v>
      </c>
      <c r="P1247" s="34" t="str">
        <f aca="false">IF($A1247="","",$I1247*$O1247)</f>
        <v/>
      </c>
      <c r="Q1247" s="39" t="n">
        <f aca="false">IF($B1247="",0,IFERROR(MATCH($B1247,COA_Mapping!$A$7:$A$256,0),0))</f>
        <v>0</v>
      </c>
      <c r="R1247" s="39" t="n">
        <f aca="false">IF($A1247="",-1,IF($J1247=Setup!$B$7,1,IF($J1247=Setup!$B$9,0,-1)))</f>
        <v>-1</v>
      </c>
      <c r="S1247" s="35" t="n">
        <f aca="false">IF(OR($A1247="",$Q1247=0,$R1247=-1),0,$Q1247*1000+$R1247*100+$K1247)</f>
        <v>0</v>
      </c>
      <c r="T1247" s="37" t="str">
        <f aca="false">IF($A1247="","",IF($B1247="","NO ACCOUNT",IF($Q1247=0,"UNMAPPED",IF($R1247=-1,"OUTSIDE FY RANGE","OK"))))</f>
        <v/>
      </c>
      <c r="U1247" s="40" t="str">
        <f aca="false">IF($A1247="","",$B1247&amp;"|"&amp;TEXT($A1247,"yyyymmdd")&amp;"|"&amp;TEXT($I1247,"0.00"))</f>
        <v/>
      </c>
      <c r="V1247" s="35" t="str">
        <f aca="false">IF($A1247="","",COUNTIF($U$8:$U$5007,$U1247))</f>
        <v/>
      </c>
    </row>
    <row r="1248" customFormat="false" ht="15" hidden="false" customHeight="false" outlineLevel="0" collapsed="false">
      <c r="A1248" s="31"/>
      <c r="B1248" s="32"/>
      <c r="C1248" s="32"/>
      <c r="D1248" s="32"/>
      <c r="E1248" s="32"/>
      <c r="F1248" s="32"/>
      <c r="G1248" s="33"/>
      <c r="H1248" s="33"/>
      <c r="I1248" s="34" t="str">
        <f aca="false">IF($A1248="","",$G1248-$H1248)</f>
        <v/>
      </c>
      <c r="J1248" s="35" t="str">
        <f aca="false">IF($A1248="","",IF(Setup!$B$6=1,YEAR($A1248),YEAR($A1248)+IF(MONTH($A1248)&gt;=Setup!$B$6,1,0)))</f>
        <v/>
      </c>
      <c r="K1248" s="35" t="str">
        <f aca="false">IF($A1248="","",MOD(MONTH($A1248)-Setup!$B$6+12,12)+1)</f>
        <v/>
      </c>
      <c r="L1248" s="36" t="str">
        <f aca="false">IF($A1248="","",TEXT($A1248,"MMM-YY"))</f>
        <v/>
      </c>
      <c r="M1248" s="37" t="str">
        <f aca="false">IF($A1248="","",IF($Q1248=0,"UNMAPPED",INDEX(COA_Mapping!$C$7:$C$256,$Q1248)))</f>
        <v/>
      </c>
      <c r="N1248" s="38" t="str">
        <f aca="false">IF($A1248="","",IF($Q1248=0,"",INDEX(COA_Mapping!$E$7:$E$256,$Q1248)))</f>
        <v/>
      </c>
      <c r="O1248" s="38" t="n">
        <f aca="false">IF($A1248="",1,IF($Q1248=0,1,INDEX(COA_Mapping!$F$7:$F$256,$Q1248)))</f>
        <v>1</v>
      </c>
      <c r="P1248" s="34" t="str">
        <f aca="false">IF($A1248="","",$I1248*$O1248)</f>
        <v/>
      </c>
      <c r="Q1248" s="39" t="n">
        <f aca="false">IF($B1248="",0,IFERROR(MATCH($B1248,COA_Mapping!$A$7:$A$256,0),0))</f>
        <v>0</v>
      </c>
      <c r="R1248" s="39" t="n">
        <f aca="false">IF($A1248="",-1,IF($J1248=Setup!$B$7,1,IF($J1248=Setup!$B$9,0,-1)))</f>
        <v>-1</v>
      </c>
      <c r="S1248" s="35" t="n">
        <f aca="false">IF(OR($A1248="",$Q1248=0,$R1248=-1),0,$Q1248*1000+$R1248*100+$K1248)</f>
        <v>0</v>
      </c>
      <c r="T1248" s="37" t="str">
        <f aca="false">IF($A1248="","",IF($B1248="","NO ACCOUNT",IF($Q1248=0,"UNMAPPED",IF($R1248=-1,"OUTSIDE FY RANGE","OK"))))</f>
        <v/>
      </c>
      <c r="U1248" s="40" t="str">
        <f aca="false">IF($A1248="","",$B1248&amp;"|"&amp;TEXT($A1248,"yyyymmdd")&amp;"|"&amp;TEXT($I1248,"0.00"))</f>
        <v/>
      </c>
      <c r="V1248" s="35" t="str">
        <f aca="false">IF($A1248="","",COUNTIF($U$8:$U$5007,$U1248))</f>
        <v/>
      </c>
    </row>
    <row r="1249" customFormat="false" ht="15" hidden="false" customHeight="false" outlineLevel="0" collapsed="false">
      <c r="A1249" s="31"/>
      <c r="B1249" s="32"/>
      <c r="C1249" s="32"/>
      <c r="D1249" s="32"/>
      <c r="E1249" s="32"/>
      <c r="F1249" s="32"/>
      <c r="G1249" s="33"/>
      <c r="H1249" s="33"/>
      <c r="I1249" s="34" t="str">
        <f aca="false">IF($A1249="","",$G1249-$H1249)</f>
        <v/>
      </c>
      <c r="J1249" s="35" t="str">
        <f aca="false">IF($A1249="","",IF(Setup!$B$6=1,YEAR($A1249),YEAR($A1249)+IF(MONTH($A1249)&gt;=Setup!$B$6,1,0)))</f>
        <v/>
      </c>
      <c r="K1249" s="35" t="str">
        <f aca="false">IF($A1249="","",MOD(MONTH($A1249)-Setup!$B$6+12,12)+1)</f>
        <v/>
      </c>
      <c r="L1249" s="36" t="str">
        <f aca="false">IF($A1249="","",TEXT($A1249,"MMM-YY"))</f>
        <v/>
      </c>
      <c r="M1249" s="37" t="str">
        <f aca="false">IF($A1249="","",IF($Q1249=0,"UNMAPPED",INDEX(COA_Mapping!$C$7:$C$256,$Q1249)))</f>
        <v/>
      </c>
      <c r="N1249" s="38" t="str">
        <f aca="false">IF($A1249="","",IF($Q1249=0,"",INDEX(COA_Mapping!$E$7:$E$256,$Q1249)))</f>
        <v/>
      </c>
      <c r="O1249" s="38" t="n">
        <f aca="false">IF($A1249="",1,IF($Q1249=0,1,INDEX(COA_Mapping!$F$7:$F$256,$Q1249)))</f>
        <v>1</v>
      </c>
      <c r="P1249" s="34" t="str">
        <f aca="false">IF($A1249="","",$I1249*$O1249)</f>
        <v/>
      </c>
      <c r="Q1249" s="39" t="n">
        <f aca="false">IF($B1249="",0,IFERROR(MATCH($B1249,COA_Mapping!$A$7:$A$256,0),0))</f>
        <v>0</v>
      </c>
      <c r="R1249" s="39" t="n">
        <f aca="false">IF($A1249="",-1,IF($J1249=Setup!$B$7,1,IF($J1249=Setup!$B$9,0,-1)))</f>
        <v>-1</v>
      </c>
      <c r="S1249" s="35" t="n">
        <f aca="false">IF(OR($A1249="",$Q1249=0,$R1249=-1),0,$Q1249*1000+$R1249*100+$K1249)</f>
        <v>0</v>
      </c>
      <c r="T1249" s="37" t="str">
        <f aca="false">IF($A1249="","",IF($B1249="","NO ACCOUNT",IF($Q1249=0,"UNMAPPED",IF($R1249=-1,"OUTSIDE FY RANGE","OK"))))</f>
        <v/>
      </c>
      <c r="U1249" s="40" t="str">
        <f aca="false">IF($A1249="","",$B1249&amp;"|"&amp;TEXT($A1249,"yyyymmdd")&amp;"|"&amp;TEXT($I1249,"0.00"))</f>
        <v/>
      </c>
      <c r="V1249" s="35" t="str">
        <f aca="false">IF($A1249="","",COUNTIF($U$8:$U$5007,$U1249))</f>
        <v/>
      </c>
    </row>
    <row r="1250" customFormat="false" ht="15" hidden="false" customHeight="false" outlineLevel="0" collapsed="false">
      <c r="A1250" s="31"/>
      <c r="B1250" s="32"/>
      <c r="C1250" s="32"/>
      <c r="D1250" s="32"/>
      <c r="E1250" s="32"/>
      <c r="F1250" s="32"/>
      <c r="G1250" s="33"/>
      <c r="H1250" s="33"/>
      <c r="I1250" s="34" t="str">
        <f aca="false">IF($A1250="","",$G1250-$H1250)</f>
        <v/>
      </c>
      <c r="J1250" s="35" t="str">
        <f aca="false">IF($A1250="","",IF(Setup!$B$6=1,YEAR($A1250),YEAR($A1250)+IF(MONTH($A1250)&gt;=Setup!$B$6,1,0)))</f>
        <v/>
      </c>
      <c r="K1250" s="35" t="str">
        <f aca="false">IF($A1250="","",MOD(MONTH($A1250)-Setup!$B$6+12,12)+1)</f>
        <v/>
      </c>
      <c r="L1250" s="36" t="str">
        <f aca="false">IF($A1250="","",TEXT($A1250,"MMM-YY"))</f>
        <v/>
      </c>
      <c r="M1250" s="37" t="str">
        <f aca="false">IF($A1250="","",IF($Q1250=0,"UNMAPPED",INDEX(COA_Mapping!$C$7:$C$256,$Q1250)))</f>
        <v/>
      </c>
      <c r="N1250" s="38" t="str">
        <f aca="false">IF($A1250="","",IF($Q1250=0,"",INDEX(COA_Mapping!$E$7:$E$256,$Q1250)))</f>
        <v/>
      </c>
      <c r="O1250" s="38" t="n">
        <f aca="false">IF($A1250="",1,IF($Q1250=0,1,INDEX(COA_Mapping!$F$7:$F$256,$Q1250)))</f>
        <v>1</v>
      </c>
      <c r="P1250" s="34" t="str">
        <f aca="false">IF($A1250="","",$I1250*$O1250)</f>
        <v/>
      </c>
      <c r="Q1250" s="39" t="n">
        <f aca="false">IF($B1250="",0,IFERROR(MATCH($B1250,COA_Mapping!$A$7:$A$256,0),0))</f>
        <v>0</v>
      </c>
      <c r="R1250" s="39" t="n">
        <f aca="false">IF($A1250="",-1,IF($J1250=Setup!$B$7,1,IF($J1250=Setup!$B$9,0,-1)))</f>
        <v>-1</v>
      </c>
      <c r="S1250" s="35" t="n">
        <f aca="false">IF(OR($A1250="",$Q1250=0,$R1250=-1),0,$Q1250*1000+$R1250*100+$K1250)</f>
        <v>0</v>
      </c>
      <c r="T1250" s="37" t="str">
        <f aca="false">IF($A1250="","",IF($B1250="","NO ACCOUNT",IF($Q1250=0,"UNMAPPED",IF($R1250=-1,"OUTSIDE FY RANGE","OK"))))</f>
        <v/>
      </c>
      <c r="U1250" s="40" t="str">
        <f aca="false">IF($A1250="","",$B1250&amp;"|"&amp;TEXT($A1250,"yyyymmdd")&amp;"|"&amp;TEXT($I1250,"0.00"))</f>
        <v/>
      </c>
      <c r="V1250" s="35" t="str">
        <f aca="false">IF($A1250="","",COUNTIF($U$8:$U$5007,$U1250))</f>
        <v/>
      </c>
    </row>
    <row r="1251" customFormat="false" ht="15" hidden="false" customHeight="false" outlineLevel="0" collapsed="false">
      <c r="A1251" s="31"/>
      <c r="B1251" s="32"/>
      <c r="C1251" s="32"/>
      <c r="D1251" s="32"/>
      <c r="E1251" s="32"/>
      <c r="F1251" s="32"/>
      <c r="G1251" s="33"/>
      <c r="H1251" s="33"/>
      <c r="I1251" s="34" t="str">
        <f aca="false">IF($A1251="","",$G1251-$H1251)</f>
        <v/>
      </c>
      <c r="J1251" s="35" t="str">
        <f aca="false">IF($A1251="","",IF(Setup!$B$6=1,YEAR($A1251),YEAR($A1251)+IF(MONTH($A1251)&gt;=Setup!$B$6,1,0)))</f>
        <v/>
      </c>
      <c r="K1251" s="35" t="str">
        <f aca="false">IF($A1251="","",MOD(MONTH($A1251)-Setup!$B$6+12,12)+1)</f>
        <v/>
      </c>
      <c r="L1251" s="36" t="str">
        <f aca="false">IF($A1251="","",TEXT($A1251,"MMM-YY"))</f>
        <v/>
      </c>
      <c r="M1251" s="37" t="str">
        <f aca="false">IF($A1251="","",IF($Q1251=0,"UNMAPPED",INDEX(COA_Mapping!$C$7:$C$256,$Q1251)))</f>
        <v/>
      </c>
      <c r="N1251" s="38" t="str">
        <f aca="false">IF($A1251="","",IF($Q1251=0,"",INDEX(COA_Mapping!$E$7:$E$256,$Q1251)))</f>
        <v/>
      </c>
      <c r="O1251" s="38" t="n">
        <f aca="false">IF($A1251="",1,IF($Q1251=0,1,INDEX(COA_Mapping!$F$7:$F$256,$Q1251)))</f>
        <v>1</v>
      </c>
      <c r="P1251" s="34" t="str">
        <f aca="false">IF($A1251="","",$I1251*$O1251)</f>
        <v/>
      </c>
      <c r="Q1251" s="39" t="n">
        <f aca="false">IF($B1251="",0,IFERROR(MATCH($B1251,COA_Mapping!$A$7:$A$256,0),0))</f>
        <v>0</v>
      </c>
      <c r="R1251" s="39" t="n">
        <f aca="false">IF($A1251="",-1,IF($J1251=Setup!$B$7,1,IF($J1251=Setup!$B$9,0,-1)))</f>
        <v>-1</v>
      </c>
      <c r="S1251" s="35" t="n">
        <f aca="false">IF(OR($A1251="",$Q1251=0,$R1251=-1),0,$Q1251*1000+$R1251*100+$K1251)</f>
        <v>0</v>
      </c>
      <c r="T1251" s="37" t="str">
        <f aca="false">IF($A1251="","",IF($B1251="","NO ACCOUNT",IF($Q1251=0,"UNMAPPED",IF($R1251=-1,"OUTSIDE FY RANGE","OK"))))</f>
        <v/>
      </c>
      <c r="U1251" s="40" t="str">
        <f aca="false">IF($A1251="","",$B1251&amp;"|"&amp;TEXT($A1251,"yyyymmdd")&amp;"|"&amp;TEXT($I1251,"0.00"))</f>
        <v/>
      </c>
      <c r="V1251" s="35" t="str">
        <f aca="false">IF($A1251="","",COUNTIF($U$8:$U$5007,$U1251))</f>
        <v/>
      </c>
    </row>
    <row r="1252" customFormat="false" ht="15" hidden="false" customHeight="false" outlineLevel="0" collapsed="false">
      <c r="A1252" s="31"/>
      <c r="B1252" s="32"/>
      <c r="C1252" s="32"/>
      <c r="D1252" s="32"/>
      <c r="E1252" s="32"/>
      <c r="F1252" s="32"/>
      <c r="G1252" s="33"/>
      <c r="H1252" s="33"/>
      <c r="I1252" s="34" t="str">
        <f aca="false">IF($A1252="","",$G1252-$H1252)</f>
        <v/>
      </c>
      <c r="J1252" s="35" t="str">
        <f aca="false">IF($A1252="","",IF(Setup!$B$6=1,YEAR($A1252),YEAR($A1252)+IF(MONTH($A1252)&gt;=Setup!$B$6,1,0)))</f>
        <v/>
      </c>
      <c r="K1252" s="35" t="str">
        <f aca="false">IF($A1252="","",MOD(MONTH($A1252)-Setup!$B$6+12,12)+1)</f>
        <v/>
      </c>
      <c r="L1252" s="36" t="str">
        <f aca="false">IF($A1252="","",TEXT($A1252,"MMM-YY"))</f>
        <v/>
      </c>
      <c r="M1252" s="37" t="str">
        <f aca="false">IF($A1252="","",IF($Q1252=0,"UNMAPPED",INDEX(COA_Mapping!$C$7:$C$256,$Q1252)))</f>
        <v/>
      </c>
      <c r="N1252" s="38" t="str">
        <f aca="false">IF($A1252="","",IF($Q1252=0,"",INDEX(COA_Mapping!$E$7:$E$256,$Q1252)))</f>
        <v/>
      </c>
      <c r="O1252" s="38" t="n">
        <f aca="false">IF($A1252="",1,IF($Q1252=0,1,INDEX(COA_Mapping!$F$7:$F$256,$Q1252)))</f>
        <v>1</v>
      </c>
      <c r="P1252" s="34" t="str">
        <f aca="false">IF($A1252="","",$I1252*$O1252)</f>
        <v/>
      </c>
      <c r="Q1252" s="39" t="n">
        <f aca="false">IF($B1252="",0,IFERROR(MATCH($B1252,COA_Mapping!$A$7:$A$256,0),0))</f>
        <v>0</v>
      </c>
      <c r="R1252" s="39" t="n">
        <f aca="false">IF($A1252="",-1,IF($J1252=Setup!$B$7,1,IF($J1252=Setup!$B$9,0,-1)))</f>
        <v>-1</v>
      </c>
      <c r="S1252" s="35" t="n">
        <f aca="false">IF(OR($A1252="",$Q1252=0,$R1252=-1),0,$Q1252*1000+$R1252*100+$K1252)</f>
        <v>0</v>
      </c>
      <c r="T1252" s="37" t="str">
        <f aca="false">IF($A1252="","",IF($B1252="","NO ACCOUNT",IF($Q1252=0,"UNMAPPED",IF($R1252=-1,"OUTSIDE FY RANGE","OK"))))</f>
        <v/>
      </c>
      <c r="U1252" s="40" t="str">
        <f aca="false">IF($A1252="","",$B1252&amp;"|"&amp;TEXT($A1252,"yyyymmdd")&amp;"|"&amp;TEXT($I1252,"0.00"))</f>
        <v/>
      </c>
      <c r="V1252" s="35" t="str">
        <f aca="false">IF($A1252="","",COUNTIF($U$8:$U$5007,$U1252))</f>
        <v/>
      </c>
    </row>
    <row r="1253" customFormat="false" ht="15" hidden="false" customHeight="false" outlineLevel="0" collapsed="false">
      <c r="A1253" s="31"/>
      <c r="B1253" s="32"/>
      <c r="C1253" s="32"/>
      <c r="D1253" s="32"/>
      <c r="E1253" s="32"/>
      <c r="F1253" s="32"/>
      <c r="G1253" s="33"/>
      <c r="H1253" s="33"/>
      <c r="I1253" s="34" t="str">
        <f aca="false">IF($A1253="","",$G1253-$H1253)</f>
        <v/>
      </c>
      <c r="J1253" s="35" t="str">
        <f aca="false">IF($A1253="","",IF(Setup!$B$6=1,YEAR($A1253),YEAR($A1253)+IF(MONTH($A1253)&gt;=Setup!$B$6,1,0)))</f>
        <v/>
      </c>
      <c r="K1253" s="35" t="str">
        <f aca="false">IF($A1253="","",MOD(MONTH($A1253)-Setup!$B$6+12,12)+1)</f>
        <v/>
      </c>
      <c r="L1253" s="36" t="str">
        <f aca="false">IF($A1253="","",TEXT($A1253,"MMM-YY"))</f>
        <v/>
      </c>
      <c r="M1253" s="37" t="str">
        <f aca="false">IF($A1253="","",IF($Q1253=0,"UNMAPPED",INDEX(COA_Mapping!$C$7:$C$256,$Q1253)))</f>
        <v/>
      </c>
      <c r="N1253" s="38" t="str">
        <f aca="false">IF($A1253="","",IF($Q1253=0,"",INDEX(COA_Mapping!$E$7:$E$256,$Q1253)))</f>
        <v/>
      </c>
      <c r="O1253" s="38" t="n">
        <f aca="false">IF($A1253="",1,IF($Q1253=0,1,INDEX(COA_Mapping!$F$7:$F$256,$Q1253)))</f>
        <v>1</v>
      </c>
      <c r="P1253" s="34" t="str">
        <f aca="false">IF($A1253="","",$I1253*$O1253)</f>
        <v/>
      </c>
      <c r="Q1253" s="39" t="n">
        <f aca="false">IF($B1253="",0,IFERROR(MATCH($B1253,COA_Mapping!$A$7:$A$256,0),0))</f>
        <v>0</v>
      </c>
      <c r="R1253" s="39" t="n">
        <f aca="false">IF($A1253="",-1,IF($J1253=Setup!$B$7,1,IF($J1253=Setup!$B$9,0,-1)))</f>
        <v>-1</v>
      </c>
      <c r="S1253" s="35" t="n">
        <f aca="false">IF(OR($A1253="",$Q1253=0,$R1253=-1),0,$Q1253*1000+$R1253*100+$K1253)</f>
        <v>0</v>
      </c>
      <c r="T1253" s="37" t="str">
        <f aca="false">IF($A1253="","",IF($B1253="","NO ACCOUNT",IF($Q1253=0,"UNMAPPED",IF($R1253=-1,"OUTSIDE FY RANGE","OK"))))</f>
        <v/>
      </c>
      <c r="U1253" s="40" t="str">
        <f aca="false">IF($A1253="","",$B1253&amp;"|"&amp;TEXT($A1253,"yyyymmdd")&amp;"|"&amp;TEXT($I1253,"0.00"))</f>
        <v/>
      </c>
      <c r="V1253" s="35" t="str">
        <f aca="false">IF($A1253="","",COUNTIF($U$8:$U$5007,$U1253))</f>
        <v/>
      </c>
    </row>
    <row r="1254" customFormat="false" ht="15" hidden="false" customHeight="false" outlineLevel="0" collapsed="false">
      <c r="A1254" s="31"/>
      <c r="B1254" s="32"/>
      <c r="C1254" s="32"/>
      <c r="D1254" s="32"/>
      <c r="E1254" s="32"/>
      <c r="F1254" s="32"/>
      <c r="G1254" s="33"/>
      <c r="H1254" s="33"/>
      <c r="I1254" s="34" t="str">
        <f aca="false">IF($A1254="","",$G1254-$H1254)</f>
        <v/>
      </c>
      <c r="J1254" s="35" t="str">
        <f aca="false">IF($A1254="","",IF(Setup!$B$6=1,YEAR($A1254),YEAR($A1254)+IF(MONTH($A1254)&gt;=Setup!$B$6,1,0)))</f>
        <v/>
      </c>
      <c r="K1254" s="35" t="str">
        <f aca="false">IF($A1254="","",MOD(MONTH($A1254)-Setup!$B$6+12,12)+1)</f>
        <v/>
      </c>
      <c r="L1254" s="36" t="str">
        <f aca="false">IF($A1254="","",TEXT($A1254,"MMM-YY"))</f>
        <v/>
      </c>
      <c r="M1254" s="37" t="str">
        <f aca="false">IF($A1254="","",IF($Q1254=0,"UNMAPPED",INDEX(COA_Mapping!$C$7:$C$256,$Q1254)))</f>
        <v/>
      </c>
      <c r="N1254" s="38" t="str">
        <f aca="false">IF($A1254="","",IF($Q1254=0,"",INDEX(COA_Mapping!$E$7:$E$256,$Q1254)))</f>
        <v/>
      </c>
      <c r="O1254" s="38" t="n">
        <f aca="false">IF($A1254="",1,IF($Q1254=0,1,INDEX(COA_Mapping!$F$7:$F$256,$Q1254)))</f>
        <v>1</v>
      </c>
      <c r="P1254" s="34" t="str">
        <f aca="false">IF($A1254="","",$I1254*$O1254)</f>
        <v/>
      </c>
      <c r="Q1254" s="39" t="n">
        <f aca="false">IF($B1254="",0,IFERROR(MATCH($B1254,COA_Mapping!$A$7:$A$256,0),0))</f>
        <v>0</v>
      </c>
      <c r="R1254" s="39" t="n">
        <f aca="false">IF($A1254="",-1,IF($J1254=Setup!$B$7,1,IF($J1254=Setup!$B$9,0,-1)))</f>
        <v>-1</v>
      </c>
      <c r="S1254" s="35" t="n">
        <f aca="false">IF(OR($A1254="",$Q1254=0,$R1254=-1),0,$Q1254*1000+$R1254*100+$K1254)</f>
        <v>0</v>
      </c>
      <c r="T1254" s="37" t="str">
        <f aca="false">IF($A1254="","",IF($B1254="","NO ACCOUNT",IF($Q1254=0,"UNMAPPED",IF($R1254=-1,"OUTSIDE FY RANGE","OK"))))</f>
        <v/>
      </c>
      <c r="U1254" s="40" t="str">
        <f aca="false">IF($A1254="","",$B1254&amp;"|"&amp;TEXT($A1254,"yyyymmdd")&amp;"|"&amp;TEXT($I1254,"0.00"))</f>
        <v/>
      </c>
      <c r="V1254" s="35" t="str">
        <f aca="false">IF($A1254="","",COUNTIF($U$8:$U$5007,$U1254))</f>
        <v/>
      </c>
    </row>
    <row r="1255" customFormat="false" ht="15" hidden="false" customHeight="false" outlineLevel="0" collapsed="false">
      <c r="A1255" s="31"/>
      <c r="B1255" s="32"/>
      <c r="C1255" s="32"/>
      <c r="D1255" s="32"/>
      <c r="E1255" s="32"/>
      <c r="F1255" s="32"/>
      <c r="G1255" s="33"/>
      <c r="H1255" s="33"/>
      <c r="I1255" s="34" t="str">
        <f aca="false">IF($A1255="","",$G1255-$H1255)</f>
        <v/>
      </c>
      <c r="J1255" s="35" t="str">
        <f aca="false">IF($A1255="","",IF(Setup!$B$6=1,YEAR($A1255),YEAR($A1255)+IF(MONTH($A1255)&gt;=Setup!$B$6,1,0)))</f>
        <v/>
      </c>
      <c r="K1255" s="35" t="str">
        <f aca="false">IF($A1255="","",MOD(MONTH($A1255)-Setup!$B$6+12,12)+1)</f>
        <v/>
      </c>
      <c r="L1255" s="36" t="str">
        <f aca="false">IF($A1255="","",TEXT($A1255,"MMM-YY"))</f>
        <v/>
      </c>
      <c r="M1255" s="37" t="str">
        <f aca="false">IF($A1255="","",IF($Q1255=0,"UNMAPPED",INDEX(COA_Mapping!$C$7:$C$256,$Q1255)))</f>
        <v/>
      </c>
      <c r="N1255" s="38" t="str">
        <f aca="false">IF($A1255="","",IF($Q1255=0,"",INDEX(COA_Mapping!$E$7:$E$256,$Q1255)))</f>
        <v/>
      </c>
      <c r="O1255" s="38" t="n">
        <f aca="false">IF($A1255="",1,IF($Q1255=0,1,INDEX(COA_Mapping!$F$7:$F$256,$Q1255)))</f>
        <v>1</v>
      </c>
      <c r="P1255" s="34" t="str">
        <f aca="false">IF($A1255="","",$I1255*$O1255)</f>
        <v/>
      </c>
      <c r="Q1255" s="39" t="n">
        <f aca="false">IF($B1255="",0,IFERROR(MATCH($B1255,COA_Mapping!$A$7:$A$256,0),0))</f>
        <v>0</v>
      </c>
      <c r="R1255" s="39" t="n">
        <f aca="false">IF($A1255="",-1,IF($J1255=Setup!$B$7,1,IF($J1255=Setup!$B$9,0,-1)))</f>
        <v>-1</v>
      </c>
      <c r="S1255" s="35" t="n">
        <f aca="false">IF(OR($A1255="",$Q1255=0,$R1255=-1),0,$Q1255*1000+$R1255*100+$K1255)</f>
        <v>0</v>
      </c>
      <c r="T1255" s="37" t="str">
        <f aca="false">IF($A1255="","",IF($B1255="","NO ACCOUNT",IF($Q1255=0,"UNMAPPED",IF($R1255=-1,"OUTSIDE FY RANGE","OK"))))</f>
        <v/>
      </c>
      <c r="U1255" s="40" t="str">
        <f aca="false">IF($A1255="","",$B1255&amp;"|"&amp;TEXT($A1255,"yyyymmdd")&amp;"|"&amp;TEXT($I1255,"0.00"))</f>
        <v/>
      </c>
      <c r="V1255" s="35" t="str">
        <f aca="false">IF($A1255="","",COUNTIF($U$8:$U$5007,$U1255))</f>
        <v/>
      </c>
    </row>
    <row r="1256" customFormat="false" ht="15" hidden="false" customHeight="false" outlineLevel="0" collapsed="false">
      <c r="A1256" s="31"/>
      <c r="B1256" s="32"/>
      <c r="C1256" s="32"/>
      <c r="D1256" s="32"/>
      <c r="E1256" s="32"/>
      <c r="F1256" s="32"/>
      <c r="G1256" s="33"/>
      <c r="H1256" s="33"/>
      <c r="I1256" s="34" t="str">
        <f aca="false">IF($A1256="","",$G1256-$H1256)</f>
        <v/>
      </c>
      <c r="J1256" s="35" t="str">
        <f aca="false">IF($A1256="","",IF(Setup!$B$6=1,YEAR($A1256),YEAR($A1256)+IF(MONTH($A1256)&gt;=Setup!$B$6,1,0)))</f>
        <v/>
      </c>
      <c r="K1256" s="35" t="str">
        <f aca="false">IF($A1256="","",MOD(MONTH($A1256)-Setup!$B$6+12,12)+1)</f>
        <v/>
      </c>
      <c r="L1256" s="36" t="str">
        <f aca="false">IF($A1256="","",TEXT($A1256,"MMM-YY"))</f>
        <v/>
      </c>
      <c r="M1256" s="37" t="str">
        <f aca="false">IF($A1256="","",IF($Q1256=0,"UNMAPPED",INDEX(COA_Mapping!$C$7:$C$256,$Q1256)))</f>
        <v/>
      </c>
      <c r="N1256" s="38" t="str">
        <f aca="false">IF($A1256="","",IF($Q1256=0,"",INDEX(COA_Mapping!$E$7:$E$256,$Q1256)))</f>
        <v/>
      </c>
      <c r="O1256" s="38" t="n">
        <f aca="false">IF($A1256="",1,IF($Q1256=0,1,INDEX(COA_Mapping!$F$7:$F$256,$Q1256)))</f>
        <v>1</v>
      </c>
      <c r="P1256" s="34" t="str">
        <f aca="false">IF($A1256="","",$I1256*$O1256)</f>
        <v/>
      </c>
      <c r="Q1256" s="39" t="n">
        <f aca="false">IF($B1256="",0,IFERROR(MATCH($B1256,COA_Mapping!$A$7:$A$256,0),0))</f>
        <v>0</v>
      </c>
      <c r="R1256" s="39" t="n">
        <f aca="false">IF($A1256="",-1,IF($J1256=Setup!$B$7,1,IF($J1256=Setup!$B$9,0,-1)))</f>
        <v>-1</v>
      </c>
      <c r="S1256" s="35" t="n">
        <f aca="false">IF(OR($A1256="",$Q1256=0,$R1256=-1),0,$Q1256*1000+$R1256*100+$K1256)</f>
        <v>0</v>
      </c>
      <c r="T1256" s="37" t="str">
        <f aca="false">IF($A1256="","",IF($B1256="","NO ACCOUNT",IF($Q1256=0,"UNMAPPED",IF($R1256=-1,"OUTSIDE FY RANGE","OK"))))</f>
        <v/>
      </c>
      <c r="U1256" s="40" t="str">
        <f aca="false">IF($A1256="","",$B1256&amp;"|"&amp;TEXT($A1256,"yyyymmdd")&amp;"|"&amp;TEXT($I1256,"0.00"))</f>
        <v/>
      </c>
      <c r="V1256" s="35" t="str">
        <f aca="false">IF($A1256="","",COUNTIF($U$8:$U$5007,$U1256))</f>
        <v/>
      </c>
    </row>
    <row r="1257" customFormat="false" ht="15" hidden="false" customHeight="false" outlineLevel="0" collapsed="false">
      <c r="A1257" s="31"/>
      <c r="B1257" s="32"/>
      <c r="C1257" s="32"/>
      <c r="D1257" s="32"/>
      <c r="E1257" s="32"/>
      <c r="F1257" s="32"/>
      <c r="G1257" s="33"/>
      <c r="H1257" s="33"/>
      <c r="I1257" s="34" t="str">
        <f aca="false">IF($A1257="","",$G1257-$H1257)</f>
        <v/>
      </c>
      <c r="J1257" s="35" t="str">
        <f aca="false">IF($A1257="","",IF(Setup!$B$6=1,YEAR($A1257),YEAR($A1257)+IF(MONTH($A1257)&gt;=Setup!$B$6,1,0)))</f>
        <v/>
      </c>
      <c r="K1257" s="35" t="str">
        <f aca="false">IF($A1257="","",MOD(MONTH($A1257)-Setup!$B$6+12,12)+1)</f>
        <v/>
      </c>
      <c r="L1257" s="36" t="str">
        <f aca="false">IF($A1257="","",TEXT($A1257,"MMM-YY"))</f>
        <v/>
      </c>
      <c r="M1257" s="37" t="str">
        <f aca="false">IF($A1257="","",IF($Q1257=0,"UNMAPPED",INDEX(COA_Mapping!$C$7:$C$256,$Q1257)))</f>
        <v/>
      </c>
      <c r="N1257" s="38" t="str">
        <f aca="false">IF($A1257="","",IF($Q1257=0,"",INDEX(COA_Mapping!$E$7:$E$256,$Q1257)))</f>
        <v/>
      </c>
      <c r="O1257" s="38" t="n">
        <f aca="false">IF($A1257="",1,IF($Q1257=0,1,INDEX(COA_Mapping!$F$7:$F$256,$Q1257)))</f>
        <v>1</v>
      </c>
      <c r="P1257" s="34" t="str">
        <f aca="false">IF($A1257="","",$I1257*$O1257)</f>
        <v/>
      </c>
      <c r="Q1257" s="39" t="n">
        <f aca="false">IF($B1257="",0,IFERROR(MATCH($B1257,COA_Mapping!$A$7:$A$256,0),0))</f>
        <v>0</v>
      </c>
      <c r="R1257" s="39" t="n">
        <f aca="false">IF($A1257="",-1,IF($J1257=Setup!$B$7,1,IF($J1257=Setup!$B$9,0,-1)))</f>
        <v>-1</v>
      </c>
      <c r="S1257" s="35" t="n">
        <f aca="false">IF(OR($A1257="",$Q1257=0,$R1257=-1),0,$Q1257*1000+$R1257*100+$K1257)</f>
        <v>0</v>
      </c>
      <c r="T1257" s="37" t="str">
        <f aca="false">IF($A1257="","",IF($B1257="","NO ACCOUNT",IF($Q1257=0,"UNMAPPED",IF($R1257=-1,"OUTSIDE FY RANGE","OK"))))</f>
        <v/>
      </c>
      <c r="U1257" s="40" t="str">
        <f aca="false">IF($A1257="","",$B1257&amp;"|"&amp;TEXT($A1257,"yyyymmdd")&amp;"|"&amp;TEXT($I1257,"0.00"))</f>
        <v/>
      </c>
      <c r="V1257" s="35" t="str">
        <f aca="false">IF($A1257="","",COUNTIF($U$8:$U$5007,$U1257))</f>
        <v/>
      </c>
    </row>
    <row r="1258" customFormat="false" ht="15" hidden="false" customHeight="false" outlineLevel="0" collapsed="false">
      <c r="A1258" s="31"/>
      <c r="B1258" s="32"/>
      <c r="C1258" s="32"/>
      <c r="D1258" s="32"/>
      <c r="E1258" s="32"/>
      <c r="F1258" s="32"/>
      <c r="G1258" s="33"/>
      <c r="H1258" s="33"/>
      <c r="I1258" s="34" t="str">
        <f aca="false">IF($A1258="","",$G1258-$H1258)</f>
        <v/>
      </c>
      <c r="J1258" s="35" t="str">
        <f aca="false">IF($A1258="","",IF(Setup!$B$6=1,YEAR($A1258),YEAR($A1258)+IF(MONTH($A1258)&gt;=Setup!$B$6,1,0)))</f>
        <v/>
      </c>
      <c r="K1258" s="35" t="str">
        <f aca="false">IF($A1258="","",MOD(MONTH($A1258)-Setup!$B$6+12,12)+1)</f>
        <v/>
      </c>
      <c r="L1258" s="36" t="str">
        <f aca="false">IF($A1258="","",TEXT($A1258,"MMM-YY"))</f>
        <v/>
      </c>
      <c r="M1258" s="37" t="str">
        <f aca="false">IF($A1258="","",IF($Q1258=0,"UNMAPPED",INDEX(COA_Mapping!$C$7:$C$256,$Q1258)))</f>
        <v/>
      </c>
      <c r="N1258" s="38" t="str">
        <f aca="false">IF($A1258="","",IF($Q1258=0,"",INDEX(COA_Mapping!$E$7:$E$256,$Q1258)))</f>
        <v/>
      </c>
      <c r="O1258" s="38" t="n">
        <f aca="false">IF($A1258="",1,IF($Q1258=0,1,INDEX(COA_Mapping!$F$7:$F$256,$Q1258)))</f>
        <v>1</v>
      </c>
      <c r="P1258" s="34" t="str">
        <f aca="false">IF($A1258="","",$I1258*$O1258)</f>
        <v/>
      </c>
      <c r="Q1258" s="39" t="n">
        <f aca="false">IF($B1258="",0,IFERROR(MATCH($B1258,COA_Mapping!$A$7:$A$256,0),0))</f>
        <v>0</v>
      </c>
      <c r="R1258" s="39" t="n">
        <f aca="false">IF($A1258="",-1,IF($J1258=Setup!$B$7,1,IF($J1258=Setup!$B$9,0,-1)))</f>
        <v>-1</v>
      </c>
      <c r="S1258" s="35" t="n">
        <f aca="false">IF(OR($A1258="",$Q1258=0,$R1258=-1),0,$Q1258*1000+$R1258*100+$K1258)</f>
        <v>0</v>
      </c>
      <c r="T1258" s="37" t="str">
        <f aca="false">IF($A1258="","",IF($B1258="","NO ACCOUNT",IF($Q1258=0,"UNMAPPED",IF($R1258=-1,"OUTSIDE FY RANGE","OK"))))</f>
        <v/>
      </c>
      <c r="U1258" s="40" t="str">
        <f aca="false">IF($A1258="","",$B1258&amp;"|"&amp;TEXT($A1258,"yyyymmdd")&amp;"|"&amp;TEXT($I1258,"0.00"))</f>
        <v/>
      </c>
      <c r="V1258" s="35" t="str">
        <f aca="false">IF($A1258="","",COUNTIF($U$8:$U$5007,$U1258))</f>
        <v/>
      </c>
    </row>
    <row r="1259" customFormat="false" ht="15" hidden="false" customHeight="false" outlineLevel="0" collapsed="false">
      <c r="A1259" s="31"/>
      <c r="B1259" s="32"/>
      <c r="C1259" s="32"/>
      <c r="D1259" s="32"/>
      <c r="E1259" s="32"/>
      <c r="F1259" s="32"/>
      <c r="G1259" s="33"/>
      <c r="H1259" s="33"/>
      <c r="I1259" s="34" t="str">
        <f aca="false">IF($A1259="","",$G1259-$H1259)</f>
        <v/>
      </c>
      <c r="J1259" s="35" t="str">
        <f aca="false">IF($A1259="","",IF(Setup!$B$6=1,YEAR($A1259),YEAR($A1259)+IF(MONTH($A1259)&gt;=Setup!$B$6,1,0)))</f>
        <v/>
      </c>
      <c r="K1259" s="35" t="str">
        <f aca="false">IF($A1259="","",MOD(MONTH($A1259)-Setup!$B$6+12,12)+1)</f>
        <v/>
      </c>
      <c r="L1259" s="36" t="str">
        <f aca="false">IF($A1259="","",TEXT($A1259,"MMM-YY"))</f>
        <v/>
      </c>
      <c r="M1259" s="37" t="str">
        <f aca="false">IF($A1259="","",IF($Q1259=0,"UNMAPPED",INDEX(COA_Mapping!$C$7:$C$256,$Q1259)))</f>
        <v/>
      </c>
      <c r="N1259" s="38" t="str">
        <f aca="false">IF($A1259="","",IF($Q1259=0,"",INDEX(COA_Mapping!$E$7:$E$256,$Q1259)))</f>
        <v/>
      </c>
      <c r="O1259" s="38" t="n">
        <f aca="false">IF($A1259="",1,IF($Q1259=0,1,INDEX(COA_Mapping!$F$7:$F$256,$Q1259)))</f>
        <v>1</v>
      </c>
      <c r="P1259" s="34" t="str">
        <f aca="false">IF($A1259="","",$I1259*$O1259)</f>
        <v/>
      </c>
      <c r="Q1259" s="39" t="n">
        <f aca="false">IF($B1259="",0,IFERROR(MATCH($B1259,COA_Mapping!$A$7:$A$256,0),0))</f>
        <v>0</v>
      </c>
      <c r="R1259" s="39" t="n">
        <f aca="false">IF($A1259="",-1,IF($J1259=Setup!$B$7,1,IF($J1259=Setup!$B$9,0,-1)))</f>
        <v>-1</v>
      </c>
      <c r="S1259" s="35" t="n">
        <f aca="false">IF(OR($A1259="",$Q1259=0,$R1259=-1),0,$Q1259*1000+$R1259*100+$K1259)</f>
        <v>0</v>
      </c>
      <c r="T1259" s="37" t="str">
        <f aca="false">IF($A1259="","",IF($B1259="","NO ACCOUNT",IF($Q1259=0,"UNMAPPED",IF($R1259=-1,"OUTSIDE FY RANGE","OK"))))</f>
        <v/>
      </c>
      <c r="U1259" s="40" t="str">
        <f aca="false">IF($A1259="","",$B1259&amp;"|"&amp;TEXT($A1259,"yyyymmdd")&amp;"|"&amp;TEXT($I1259,"0.00"))</f>
        <v/>
      </c>
      <c r="V1259" s="35" t="str">
        <f aca="false">IF($A1259="","",COUNTIF($U$8:$U$5007,$U1259))</f>
        <v/>
      </c>
    </row>
    <row r="1260" customFormat="false" ht="15" hidden="false" customHeight="false" outlineLevel="0" collapsed="false">
      <c r="A1260" s="31"/>
      <c r="B1260" s="32"/>
      <c r="C1260" s="32"/>
      <c r="D1260" s="32"/>
      <c r="E1260" s="32"/>
      <c r="F1260" s="32"/>
      <c r="G1260" s="33"/>
      <c r="H1260" s="33"/>
      <c r="I1260" s="34" t="str">
        <f aca="false">IF($A1260="","",$G1260-$H1260)</f>
        <v/>
      </c>
      <c r="J1260" s="35" t="str">
        <f aca="false">IF($A1260="","",IF(Setup!$B$6=1,YEAR($A1260),YEAR($A1260)+IF(MONTH($A1260)&gt;=Setup!$B$6,1,0)))</f>
        <v/>
      </c>
      <c r="K1260" s="35" t="str">
        <f aca="false">IF($A1260="","",MOD(MONTH($A1260)-Setup!$B$6+12,12)+1)</f>
        <v/>
      </c>
      <c r="L1260" s="36" t="str">
        <f aca="false">IF($A1260="","",TEXT($A1260,"MMM-YY"))</f>
        <v/>
      </c>
      <c r="M1260" s="37" t="str">
        <f aca="false">IF($A1260="","",IF($Q1260=0,"UNMAPPED",INDEX(COA_Mapping!$C$7:$C$256,$Q1260)))</f>
        <v/>
      </c>
      <c r="N1260" s="38" t="str">
        <f aca="false">IF($A1260="","",IF($Q1260=0,"",INDEX(COA_Mapping!$E$7:$E$256,$Q1260)))</f>
        <v/>
      </c>
      <c r="O1260" s="38" t="n">
        <f aca="false">IF($A1260="",1,IF($Q1260=0,1,INDEX(COA_Mapping!$F$7:$F$256,$Q1260)))</f>
        <v>1</v>
      </c>
      <c r="P1260" s="34" t="str">
        <f aca="false">IF($A1260="","",$I1260*$O1260)</f>
        <v/>
      </c>
      <c r="Q1260" s="39" t="n">
        <f aca="false">IF($B1260="",0,IFERROR(MATCH($B1260,COA_Mapping!$A$7:$A$256,0),0))</f>
        <v>0</v>
      </c>
      <c r="R1260" s="39" t="n">
        <f aca="false">IF($A1260="",-1,IF($J1260=Setup!$B$7,1,IF($J1260=Setup!$B$9,0,-1)))</f>
        <v>-1</v>
      </c>
      <c r="S1260" s="35" t="n">
        <f aca="false">IF(OR($A1260="",$Q1260=0,$R1260=-1),0,$Q1260*1000+$R1260*100+$K1260)</f>
        <v>0</v>
      </c>
      <c r="T1260" s="37" t="str">
        <f aca="false">IF($A1260="","",IF($B1260="","NO ACCOUNT",IF($Q1260=0,"UNMAPPED",IF($R1260=-1,"OUTSIDE FY RANGE","OK"))))</f>
        <v/>
      </c>
      <c r="U1260" s="40" t="str">
        <f aca="false">IF($A1260="","",$B1260&amp;"|"&amp;TEXT($A1260,"yyyymmdd")&amp;"|"&amp;TEXT($I1260,"0.00"))</f>
        <v/>
      </c>
      <c r="V1260" s="35" t="str">
        <f aca="false">IF($A1260="","",COUNTIF($U$8:$U$5007,$U1260))</f>
        <v/>
      </c>
    </row>
    <row r="1261" customFormat="false" ht="15" hidden="false" customHeight="false" outlineLevel="0" collapsed="false">
      <c r="A1261" s="31"/>
      <c r="B1261" s="32"/>
      <c r="C1261" s="32"/>
      <c r="D1261" s="32"/>
      <c r="E1261" s="32"/>
      <c r="F1261" s="32"/>
      <c r="G1261" s="33"/>
      <c r="H1261" s="33"/>
      <c r="I1261" s="34" t="str">
        <f aca="false">IF($A1261="","",$G1261-$H1261)</f>
        <v/>
      </c>
      <c r="J1261" s="35" t="str">
        <f aca="false">IF($A1261="","",IF(Setup!$B$6=1,YEAR($A1261),YEAR($A1261)+IF(MONTH($A1261)&gt;=Setup!$B$6,1,0)))</f>
        <v/>
      </c>
      <c r="K1261" s="35" t="str">
        <f aca="false">IF($A1261="","",MOD(MONTH($A1261)-Setup!$B$6+12,12)+1)</f>
        <v/>
      </c>
      <c r="L1261" s="36" t="str">
        <f aca="false">IF($A1261="","",TEXT($A1261,"MMM-YY"))</f>
        <v/>
      </c>
      <c r="M1261" s="37" t="str">
        <f aca="false">IF($A1261="","",IF($Q1261=0,"UNMAPPED",INDEX(COA_Mapping!$C$7:$C$256,$Q1261)))</f>
        <v/>
      </c>
      <c r="N1261" s="38" t="str">
        <f aca="false">IF($A1261="","",IF($Q1261=0,"",INDEX(COA_Mapping!$E$7:$E$256,$Q1261)))</f>
        <v/>
      </c>
      <c r="O1261" s="38" t="n">
        <f aca="false">IF($A1261="",1,IF($Q1261=0,1,INDEX(COA_Mapping!$F$7:$F$256,$Q1261)))</f>
        <v>1</v>
      </c>
      <c r="P1261" s="34" t="str">
        <f aca="false">IF($A1261="","",$I1261*$O1261)</f>
        <v/>
      </c>
      <c r="Q1261" s="39" t="n">
        <f aca="false">IF($B1261="",0,IFERROR(MATCH($B1261,COA_Mapping!$A$7:$A$256,0),0))</f>
        <v>0</v>
      </c>
      <c r="R1261" s="39" t="n">
        <f aca="false">IF($A1261="",-1,IF($J1261=Setup!$B$7,1,IF($J1261=Setup!$B$9,0,-1)))</f>
        <v>-1</v>
      </c>
      <c r="S1261" s="35" t="n">
        <f aca="false">IF(OR($A1261="",$Q1261=0,$R1261=-1),0,$Q1261*1000+$R1261*100+$K1261)</f>
        <v>0</v>
      </c>
      <c r="T1261" s="37" t="str">
        <f aca="false">IF($A1261="","",IF($B1261="","NO ACCOUNT",IF($Q1261=0,"UNMAPPED",IF($R1261=-1,"OUTSIDE FY RANGE","OK"))))</f>
        <v/>
      </c>
      <c r="U1261" s="40" t="str">
        <f aca="false">IF($A1261="","",$B1261&amp;"|"&amp;TEXT($A1261,"yyyymmdd")&amp;"|"&amp;TEXT($I1261,"0.00"))</f>
        <v/>
      </c>
      <c r="V1261" s="35" t="str">
        <f aca="false">IF($A1261="","",COUNTIF($U$8:$U$5007,$U1261))</f>
        <v/>
      </c>
    </row>
    <row r="1262" customFormat="false" ht="15" hidden="false" customHeight="false" outlineLevel="0" collapsed="false">
      <c r="A1262" s="31"/>
      <c r="B1262" s="32"/>
      <c r="C1262" s="32"/>
      <c r="D1262" s="32"/>
      <c r="E1262" s="32"/>
      <c r="F1262" s="32"/>
      <c r="G1262" s="33"/>
      <c r="H1262" s="33"/>
      <c r="I1262" s="34" t="str">
        <f aca="false">IF($A1262="","",$G1262-$H1262)</f>
        <v/>
      </c>
      <c r="J1262" s="35" t="str">
        <f aca="false">IF($A1262="","",IF(Setup!$B$6=1,YEAR($A1262),YEAR($A1262)+IF(MONTH($A1262)&gt;=Setup!$B$6,1,0)))</f>
        <v/>
      </c>
      <c r="K1262" s="35" t="str">
        <f aca="false">IF($A1262="","",MOD(MONTH($A1262)-Setup!$B$6+12,12)+1)</f>
        <v/>
      </c>
      <c r="L1262" s="36" t="str">
        <f aca="false">IF($A1262="","",TEXT($A1262,"MMM-YY"))</f>
        <v/>
      </c>
      <c r="M1262" s="37" t="str">
        <f aca="false">IF($A1262="","",IF($Q1262=0,"UNMAPPED",INDEX(COA_Mapping!$C$7:$C$256,$Q1262)))</f>
        <v/>
      </c>
      <c r="N1262" s="38" t="str">
        <f aca="false">IF($A1262="","",IF($Q1262=0,"",INDEX(COA_Mapping!$E$7:$E$256,$Q1262)))</f>
        <v/>
      </c>
      <c r="O1262" s="38" t="n">
        <f aca="false">IF($A1262="",1,IF($Q1262=0,1,INDEX(COA_Mapping!$F$7:$F$256,$Q1262)))</f>
        <v>1</v>
      </c>
      <c r="P1262" s="34" t="str">
        <f aca="false">IF($A1262="","",$I1262*$O1262)</f>
        <v/>
      </c>
      <c r="Q1262" s="39" t="n">
        <f aca="false">IF($B1262="",0,IFERROR(MATCH($B1262,COA_Mapping!$A$7:$A$256,0),0))</f>
        <v>0</v>
      </c>
      <c r="R1262" s="39" t="n">
        <f aca="false">IF($A1262="",-1,IF($J1262=Setup!$B$7,1,IF($J1262=Setup!$B$9,0,-1)))</f>
        <v>-1</v>
      </c>
      <c r="S1262" s="35" t="n">
        <f aca="false">IF(OR($A1262="",$Q1262=0,$R1262=-1),0,$Q1262*1000+$R1262*100+$K1262)</f>
        <v>0</v>
      </c>
      <c r="T1262" s="37" t="str">
        <f aca="false">IF($A1262="","",IF($B1262="","NO ACCOUNT",IF($Q1262=0,"UNMAPPED",IF($R1262=-1,"OUTSIDE FY RANGE","OK"))))</f>
        <v/>
      </c>
      <c r="U1262" s="40" t="str">
        <f aca="false">IF($A1262="","",$B1262&amp;"|"&amp;TEXT($A1262,"yyyymmdd")&amp;"|"&amp;TEXT($I1262,"0.00"))</f>
        <v/>
      </c>
      <c r="V1262" s="35" t="str">
        <f aca="false">IF($A1262="","",COUNTIF($U$8:$U$5007,$U1262))</f>
        <v/>
      </c>
    </row>
    <row r="1263" customFormat="false" ht="15" hidden="false" customHeight="false" outlineLevel="0" collapsed="false">
      <c r="A1263" s="31"/>
      <c r="B1263" s="32"/>
      <c r="C1263" s="32"/>
      <c r="D1263" s="32"/>
      <c r="E1263" s="32"/>
      <c r="F1263" s="32"/>
      <c r="G1263" s="33"/>
      <c r="H1263" s="33"/>
      <c r="I1263" s="34" t="str">
        <f aca="false">IF($A1263="","",$G1263-$H1263)</f>
        <v/>
      </c>
      <c r="J1263" s="35" t="str">
        <f aca="false">IF($A1263="","",IF(Setup!$B$6=1,YEAR($A1263),YEAR($A1263)+IF(MONTH($A1263)&gt;=Setup!$B$6,1,0)))</f>
        <v/>
      </c>
      <c r="K1263" s="35" t="str">
        <f aca="false">IF($A1263="","",MOD(MONTH($A1263)-Setup!$B$6+12,12)+1)</f>
        <v/>
      </c>
      <c r="L1263" s="36" t="str">
        <f aca="false">IF($A1263="","",TEXT($A1263,"MMM-YY"))</f>
        <v/>
      </c>
      <c r="M1263" s="37" t="str">
        <f aca="false">IF($A1263="","",IF($Q1263=0,"UNMAPPED",INDEX(COA_Mapping!$C$7:$C$256,$Q1263)))</f>
        <v/>
      </c>
      <c r="N1263" s="38" t="str">
        <f aca="false">IF($A1263="","",IF($Q1263=0,"",INDEX(COA_Mapping!$E$7:$E$256,$Q1263)))</f>
        <v/>
      </c>
      <c r="O1263" s="38" t="n">
        <f aca="false">IF($A1263="",1,IF($Q1263=0,1,INDEX(COA_Mapping!$F$7:$F$256,$Q1263)))</f>
        <v>1</v>
      </c>
      <c r="P1263" s="34" t="str">
        <f aca="false">IF($A1263="","",$I1263*$O1263)</f>
        <v/>
      </c>
      <c r="Q1263" s="39" t="n">
        <f aca="false">IF($B1263="",0,IFERROR(MATCH($B1263,COA_Mapping!$A$7:$A$256,0),0))</f>
        <v>0</v>
      </c>
      <c r="R1263" s="39" t="n">
        <f aca="false">IF($A1263="",-1,IF($J1263=Setup!$B$7,1,IF($J1263=Setup!$B$9,0,-1)))</f>
        <v>-1</v>
      </c>
      <c r="S1263" s="35" t="n">
        <f aca="false">IF(OR($A1263="",$Q1263=0,$R1263=-1),0,$Q1263*1000+$R1263*100+$K1263)</f>
        <v>0</v>
      </c>
      <c r="T1263" s="37" t="str">
        <f aca="false">IF($A1263="","",IF($B1263="","NO ACCOUNT",IF($Q1263=0,"UNMAPPED",IF($R1263=-1,"OUTSIDE FY RANGE","OK"))))</f>
        <v/>
      </c>
      <c r="U1263" s="40" t="str">
        <f aca="false">IF($A1263="","",$B1263&amp;"|"&amp;TEXT($A1263,"yyyymmdd")&amp;"|"&amp;TEXT($I1263,"0.00"))</f>
        <v/>
      </c>
      <c r="V1263" s="35" t="str">
        <f aca="false">IF($A1263="","",COUNTIF($U$8:$U$5007,$U1263))</f>
        <v/>
      </c>
    </row>
    <row r="1264" customFormat="false" ht="15" hidden="false" customHeight="false" outlineLevel="0" collapsed="false">
      <c r="A1264" s="31"/>
      <c r="B1264" s="32"/>
      <c r="C1264" s="32"/>
      <c r="D1264" s="32"/>
      <c r="E1264" s="32"/>
      <c r="F1264" s="32"/>
      <c r="G1264" s="33"/>
      <c r="H1264" s="33"/>
      <c r="I1264" s="34" t="str">
        <f aca="false">IF($A1264="","",$G1264-$H1264)</f>
        <v/>
      </c>
      <c r="J1264" s="35" t="str">
        <f aca="false">IF($A1264="","",IF(Setup!$B$6=1,YEAR($A1264),YEAR($A1264)+IF(MONTH($A1264)&gt;=Setup!$B$6,1,0)))</f>
        <v/>
      </c>
      <c r="K1264" s="35" t="str">
        <f aca="false">IF($A1264="","",MOD(MONTH($A1264)-Setup!$B$6+12,12)+1)</f>
        <v/>
      </c>
      <c r="L1264" s="36" t="str">
        <f aca="false">IF($A1264="","",TEXT($A1264,"MMM-YY"))</f>
        <v/>
      </c>
      <c r="M1264" s="37" t="str">
        <f aca="false">IF($A1264="","",IF($Q1264=0,"UNMAPPED",INDEX(COA_Mapping!$C$7:$C$256,$Q1264)))</f>
        <v/>
      </c>
      <c r="N1264" s="38" t="str">
        <f aca="false">IF($A1264="","",IF($Q1264=0,"",INDEX(COA_Mapping!$E$7:$E$256,$Q1264)))</f>
        <v/>
      </c>
      <c r="O1264" s="38" t="n">
        <f aca="false">IF($A1264="",1,IF($Q1264=0,1,INDEX(COA_Mapping!$F$7:$F$256,$Q1264)))</f>
        <v>1</v>
      </c>
      <c r="P1264" s="34" t="str">
        <f aca="false">IF($A1264="","",$I1264*$O1264)</f>
        <v/>
      </c>
      <c r="Q1264" s="39" t="n">
        <f aca="false">IF($B1264="",0,IFERROR(MATCH($B1264,COA_Mapping!$A$7:$A$256,0),0))</f>
        <v>0</v>
      </c>
      <c r="R1264" s="39" t="n">
        <f aca="false">IF($A1264="",-1,IF($J1264=Setup!$B$7,1,IF($J1264=Setup!$B$9,0,-1)))</f>
        <v>-1</v>
      </c>
      <c r="S1264" s="35" t="n">
        <f aca="false">IF(OR($A1264="",$Q1264=0,$R1264=-1),0,$Q1264*1000+$R1264*100+$K1264)</f>
        <v>0</v>
      </c>
      <c r="T1264" s="37" t="str">
        <f aca="false">IF($A1264="","",IF($B1264="","NO ACCOUNT",IF($Q1264=0,"UNMAPPED",IF($R1264=-1,"OUTSIDE FY RANGE","OK"))))</f>
        <v/>
      </c>
      <c r="U1264" s="40" t="str">
        <f aca="false">IF($A1264="","",$B1264&amp;"|"&amp;TEXT($A1264,"yyyymmdd")&amp;"|"&amp;TEXT($I1264,"0.00"))</f>
        <v/>
      </c>
      <c r="V1264" s="35" t="str">
        <f aca="false">IF($A1264="","",COUNTIF($U$8:$U$5007,$U1264))</f>
        <v/>
      </c>
    </row>
    <row r="1265" customFormat="false" ht="15" hidden="false" customHeight="false" outlineLevel="0" collapsed="false">
      <c r="A1265" s="31"/>
      <c r="B1265" s="32"/>
      <c r="C1265" s="32"/>
      <c r="D1265" s="32"/>
      <c r="E1265" s="32"/>
      <c r="F1265" s="32"/>
      <c r="G1265" s="33"/>
      <c r="H1265" s="33"/>
      <c r="I1265" s="34" t="str">
        <f aca="false">IF($A1265="","",$G1265-$H1265)</f>
        <v/>
      </c>
      <c r="J1265" s="35" t="str">
        <f aca="false">IF($A1265="","",IF(Setup!$B$6=1,YEAR($A1265),YEAR($A1265)+IF(MONTH($A1265)&gt;=Setup!$B$6,1,0)))</f>
        <v/>
      </c>
      <c r="K1265" s="35" t="str">
        <f aca="false">IF($A1265="","",MOD(MONTH($A1265)-Setup!$B$6+12,12)+1)</f>
        <v/>
      </c>
      <c r="L1265" s="36" t="str">
        <f aca="false">IF($A1265="","",TEXT($A1265,"MMM-YY"))</f>
        <v/>
      </c>
      <c r="M1265" s="37" t="str">
        <f aca="false">IF($A1265="","",IF($Q1265=0,"UNMAPPED",INDEX(COA_Mapping!$C$7:$C$256,$Q1265)))</f>
        <v/>
      </c>
      <c r="N1265" s="38" t="str">
        <f aca="false">IF($A1265="","",IF($Q1265=0,"",INDEX(COA_Mapping!$E$7:$E$256,$Q1265)))</f>
        <v/>
      </c>
      <c r="O1265" s="38" t="n">
        <f aca="false">IF($A1265="",1,IF($Q1265=0,1,INDEX(COA_Mapping!$F$7:$F$256,$Q1265)))</f>
        <v>1</v>
      </c>
      <c r="P1265" s="34" t="str">
        <f aca="false">IF($A1265="","",$I1265*$O1265)</f>
        <v/>
      </c>
      <c r="Q1265" s="39" t="n">
        <f aca="false">IF($B1265="",0,IFERROR(MATCH($B1265,COA_Mapping!$A$7:$A$256,0),0))</f>
        <v>0</v>
      </c>
      <c r="R1265" s="39" t="n">
        <f aca="false">IF($A1265="",-1,IF($J1265=Setup!$B$7,1,IF($J1265=Setup!$B$9,0,-1)))</f>
        <v>-1</v>
      </c>
      <c r="S1265" s="35" t="n">
        <f aca="false">IF(OR($A1265="",$Q1265=0,$R1265=-1),0,$Q1265*1000+$R1265*100+$K1265)</f>
        <v>0</v>
      </c>
      <c r="T1265" s="37" t="str">
        <f aca="false">IF($A1265="","",IF($B1265="","NO ACCOUNT",IF($Q1265=0,"UNMAPPED",IF($R1265=-1,"OUTSIDE FY RANGE","OK"))))</f>
        <v/>
      </c>
      <c r="U1265" s="40" t="str">
        <f aca="false">IF($A1265="","",$B1265&amp;"|"&amp;TEXT($A1265,"yyyymmdd")&amp;"|"&amp;TEXT($I1265,"0.00"))</f>
        <v/>
      </c>
      <c r="V1265" s="35" t="str">
        <f aca="false">IF($A1265="","",COUNTIF($U$8:$U$5007,$U1265))</f>
        <v/>
      </c>
    </row>
    <row r="1266" customFormat="false" ht="15" hidden="false" customHeight="false" outlineLevel="0" collapsed="false">
      <c r="A1266" s="31"/>
      <c r="B1266" s="32"/>
      <c r="C1266" s="32"/>
      <c r="D1266" s="32"/>
      <c r="E1266" s="32"/>
      <c r="F1266" s="32"/>
      <c r="G1266" s="33"/>
      <c r="H1266" s="33"/>
      <c r="I1266" s="34" t="str">
        <f aca="false">IF($A1266="","",$G1266-$H1266)</f>
        <v/>
      </c>
      <c r="J1266" s="35" t="str">
        <f aca="false">IF($A1266="","",IF(Setup!$B$6=1,YEAR($A1266),YEAR($A1266)+IF(MONTH($A1266)&gt;=Setup!$B$6,1,0)))</f>
        <v/>
      </c>
      <c r="K1266" s="35" t="str">
        <f aca="false">IF($A1266="","",MOD(MONTH($A1266)-Setup!$B$6+12,12)+1)</f>
        <v/>
      </c>
      <c r="L1266" s="36" t="str">
        <f aca="false">IF($A1266="","",TEXT($A1266,"MMM-YY"))</f>
        <v/>
      </c>
      <c r="M1266" s="37" t="str">
        <f aca="false">IF($A1266="","",IF($Q1266=0,"UNMAPPED",INDEX(COA_Mapping!$C$7:$C$256,$Q1266)))</f>
        <v/>
      </c>
      <c r="N1266" s="38" t="str">
        <f aca="false">IF($A1266="","",IF($Q1266=0,"",INDEX(COA_Mapping!$E$7:$E$256,$Q1266)))</f>
        <v/>
      </c>
      <c r="O1266" s="38" t="n">
        <f aca="false">IF($A1266="",1,IF($Q1266=0,1,INDEX(COA_Mapping!$F$7:$F$256,$Q1266)))</f>
        <v>1</v>
      </c>
      <c r="P1266" s="34" t="str">
        <f aca="false">IF($A1266="","",$I1266*$O1266)</f>
        <v/>
      </c>
      <c r="Q1266" s="39" t="n">
        <f aca="false">IF($B1266="",0,IFERROR(MATCH($B1266,COA_Mapping!$A$7:$A$256,0),0))</f>
        <v>0</v>
      </c>
      <c r="R1266" s="39" t="n">
        <f aca="false">IF($A1266="",-1,IF($J1266=Setup!$B$7,1,IF($J1266=Setup!$B$9,0,-1)))</f>
        <v>-1</v>
      </c>
      <c r="S1266" s="35" t="n">
        <f aca="false">IF(OR($A1266="",$Q1266=0,$R1266=-1),0,$Q1266*1000+$R1266*100+$K1266)</f>
        <v>0</v>
      </c>
      <c r="T1266" s="37" t="str">
        <f aca="false">IF($A1266="","",IF($B1266="","NO ACCOUNT",IF($Q1266=0,"UNMAPPED",IF($R1266=-1,"OUTSIDE FY RANGE","OK"))))</f>
        <v/>
      </c>
      <c r="U1266" s="40" t="str">
        <f aca="false">IF($A1266="","",$B1266&amp;"|"&amp;TEXT($A1266,"yyyymmdd")&amp;"|"&amp;TEXT($I1266,"0.00"))</f>
        <v/>
      </c>
      <c r="V1266" s="35" t="str">
        <f aca="false">IF($A1266="","",COUNTIF($U$8:$U$5007,$U1266))</f>
        <v/>
      </c>
    </row>
    <row r="1267" customFormat="false" ht="15" hidden="false" customHeight="false" outlineLevel="0" collapsed="false">
      <c r="A1267" s="31"/>
      <c r="B1267" s="32"/>
      <c r="C1267" s="32"/>
      <c r="D1267" s="32"/>
      <c r="E1267" s="32"/>
      <c r="F1267" s="32"/>
      <c r="G1267" s="33"/>
      <c r="H1267" s="33"/>
      <c r="I1267" s="34" t="str">
        <f aca="false">IF($A1267="","",$G1267-$H1267)</f>
        <v/>
      </c>
      <c r="J1267" s="35" t="str">
        <f aca="false">IF($A1267="","",IF(Setup!$B$6=1,YEAR($A1267),YEAR($A1267)+IF(MONTH($A1267)&gt;=Setup!$B$6,1,0)))</f>
        <v/>
      </c>
      <c r="K1267" s="35" t="str">
        <f aca="false">IF($A1267="","",MOD(MONTH($A1267)-Setup!$B$6+12,12)+1)</f>
        <v/>
      </c>
      <c r="L1267" s="36" t="str">
        <f aca="false">IF($A1267="","",TEXT($A1267,"MMM-YY"))</f>
        <v/>
      </c>
      <c r="M1267" s="37" t="str">
        <f aca="false">IF($A1267="","",IF($Q1267=0,"UNMAPPED",INDEX(COA_Mapping!$C$7:$C$256,$Q1267)))</f>
        <v/>
      </c>
      <c r="N1267" s="38" t="str">
        <f aca="false">IF($A1267="","",IF($Q1267=0,"",INDEX(COA_Mapping!$E$7:$E$256,$Q1267)))</f>
        <v/>
      </c>
      <c r="O1267" s="38" t="n">
        <f aca="false">IF($A1267="",1,IF($Q1267=0,1,INDEX(COA_Mapping!$F$7:$F$256,$Q1267)))</f>
        <v>1</v>
      </c>
      <c r="P1267" s="34" t="str">
        <f aca="false">IF($A1267="","",$I1267*$O1267)</f>
        <v/>
      </c>
      <c r="Q1267" s="39" t="n">
        <f aca="false">IF($B1267="",0,IFERROR(MATCH($B1267,COA_Mapping!$A$7:$A$256,0),0))</f>
        <v>0</v>
      </c>
      <c r="R1267" s="39" t="n">
        <f aca="false">IF($A1267="",-1,IF($J1267=Setup!$B$7,1,IF($J1267=Setup!$B$9,0,-1)))</f>
        <v>-1</v>
      </c>
      <c r="S1267" s="35" t="n">
        <f aca="false">IF(OR($A1267="",$Q1267=0,$R1267=-1),0,$Q1267*1000+$R1267*100+$K1267)</f>
        <v>0</v>
      </c>
      <c r="T1267" s="37" t="str">
        <f aca="false">IF($A1267="","",IF($B1267="","NO ACCOUNT",IF($Q1267=0,"UNMAPPED",IF($R1267=-1,"OUTSIDE FY RANGE","OK"))))</f>
        <v/>
      </c>
      <c r="U1267" s="40" t="str">
        <f aca="false">IF($A1267="","",$B1267&amp;"|"&amp;TEXT($A1267,"yyyymmdd")&amp;"|"&amp;TEXT($I1267,"0.00"))</f>
        <v/>
      </c>
      <c r="V1267" s="35" t="str">
        <f aca="false">IF($A1267="","",COUNTIF($U$8:$U$5007,$U1267))</f>
        <v/>
      </c>
    </row>
    <row r="1268" customFormat="false" ht="15" hidden="false" customHeight="false" outlineLevel="0" collapsed="false">
      <c r="A1268" s="31"/>
      <c r="B1268" s="32"/>
      <c r="C1268" s="32"/>
      <c r="D1268" s="32"/>
      <c r="E1268" s="32"/>
      <c r="F1268" s="32"/>
      <c r="G1268" s="33"/>
      <c r="H1268" s="33"/>
      <c r="I1268" s="34" t="str">
        <f aca="false">IF($A1268="","",$G1268-$H1268)</f>
        <v/>
      </c>
      <c r="J1268" s="35" t="str">
        <f aca="false">IF($A1268="","",IF(Setup!$B$6=1,YEAR($A1268),YEAR($A1268)+IF(MONTH($A1268)&gt;=Setup!$B$6,1,0)))</f>
        <v/>
      </c>
      <c r="K1268" s="35" t="str">
        <f aca="false">IF($A1268="","",MOD(MONTH($A1268)-Setup!$B$6+12,12)+1)</f>
        <v/>
      </c>
      <c r="L1268" s="36" t="str">
        <f aca="false">IF($A1268="","",TEXT($A1268,"MMM-YY"))</f>
        <v/>
      </c>
      <c r="M1268" s="37" t="str">
        <f aca="false">IF($A1268="","",IF($Q1268=0,"UNMAPPED",INDEX(COA_Mapping!$C$7:$C$256,$Q1268)))</f>
        <v/>
      </c>
      <c r="N1268" s="38" t="str">
        <f aca="false">IF($A1268="","",IF($Q1268=0,"",INDEX(COA_Mapping!$E$7:$E$256,$Q1268)))</f>
        <v/>
      </c>
      <c r="O1268" s="38" t="n">
        <f aca="false">IF($A1268="",1,IF($Q1268=0,1,INDEX(COA_Mapping!$F$7:$F$256,$Q1268)))</f>
        <v>1</v>
      </c>
      <c r="P1268" s="34" t="str">
        <f aca="false">IF($A1268="","",$I1268*$O1268)</f>
        <v/>
      </c>
      <c r="Q1268" s="39" t="n">
        <f aca="false">IF($B1268="",0,IFERROR(MATCH($B1268,COA_Mapping!$A$7:$A$256,0),0))</f>
        <v>0</v>
      </c>
      <c r="R1268" s="39" t="n">
        <f aca="false">IF($A1268="",-1,IF($J1268=Setup!$B$7,1,IF($J1268=Setup!$B$9,0,-1)))</f>
        <v>-1</v>
      </c>
      <c r="S1268" s="35" t="n">
        <f aca="false">IF(OR($A1268="",$Q1268=0,$R1268=-1),0,$Q1268*1000+$R1268*100+$K1268)</f>
        <v>0</v>
      </c>
      <c r="T1268" s="37" t="str">
        <f aca="false">IF($A1268="","",IF($B1268="","NO ACCOUNT",IF($Q1268=0,"UNMAPPED",IF($R1268=-1,"OUTSIDE FY RANGE","OK"))))</f>
        <v/>
      </c>
      <c r="U1268" s="40" t="str">
        <f aca="false">IF($A1268="","",$B1268&amp;"|"&amp;TEXT($A1268,"yyyymmdd")&amp;"|"&amp;TEXT($I1268,"0.00"))</f>
        <v/>
      </c>
      <c r="V1268" s="35" t="str">
        <f aca="false">IF($A1268="","",COUNTIF($U$8:$U$5007,$U1268))</f>
        <v/>
      </c>
    </row>
    <row r="1269" customFormat="false" ht="15" hidden="false" customHeight="false" outlineLevel="0" collapsed="false">
      <c r="A1269" s="31"/>
      <c r="B1269" s="32"/>
      <c r="C1269" s="32"/>
      <c r="D1269" s="32"/>
      <c r="E1269" s="32"/>
      <c r="F1269" s="32"/>
      <c r="G1269" s="33"/>
      <c r="H1269" s="33"/>
      <c r="I1269" s="34" t="str">
        <f aca="false">IF($A1269="","",$G1269-$H1269)</f>
        <v/>
      </c>
      <c r="J1269" s="35" t="str">
        <f aca="false">IF($A1269="","",IF(Setup!$B$6=1,YEAR($A1269),YEAR($A1269)+IF(MONTH($A1269)&gt;=Setup!$B$6,1,0)))</f>
        <v/>
      </c>
      <c r="K1269" s="35" t="str">
        <f aca="false">IF($A1269="","",MOD(MONTH($A1269)-Setup!$B$6+12,12)+1)</f>
        <v/>
      </c>
      <c r="L1269" s="36" t="str">
        <f aca="false">IF($A1269="","",TEXT($A1269,"MMM-YY"))</f>
        <v/>
      </c>
      <c r="M1269" s="37" t="str">
        <f aca="false">IF($A1269="","",IF($Q1269=0,"UNMAPPED",INDEX(COA_Mapping!$C$7:$C$256,$Q1269)))</f>
        <v/>
      </c>
      <c r="N1269" s="38" t="str">
        <f aca="false">IF($A1269="","",IF($Q1269=0,"",INDEX(COA_Mapping!$E$7:$E$256,$Q1269)))</f>
        <v/>
      </c>
      <c r="O1269" s="38" t="n">
        <f aca="false">IF($A1269="",1,IF($Q1269=0,1,INDEX(COA_Mapping!$F$7:$F$256,$Q1269)))</f>
        <v>1</v>
      </c>
      <c r="P1269" s="34" t="str">
        <f aca="false">IF($A1269="","",$I1269*$O1269)</f>
        <v/>
      </c>
      <c r="Q1269" s="39" t="n">
        <f aca="false">IF($B1269="",0,IFERROR(MATCH($B1269,COA_Mapping!$A$7:$A$256,0),0))</f>
        <v>0</v>
      </c>
      <c r="R1269" s="39" t="n">
        <f aca="false">IF($A1269="",-1,IF($J1269=Setup!$B$7,1,IF($J1269=Setup!$B$9,0,-1)))</f>
        <v>-1</v>
      </c>
      <c r="S1269" s="35" t="n">
        <f aca="false">IF(OR($A1269="",$Q1269=0,$R1269=-1),0,$Q1269*1000+$R1269*100+$K1269)</f>
        <v>0</v>
      </c>
      <c r="T1269" s="37" t="str">
        <f aca="false">IF($A1269="","",IF($B1269="","NO ACCOUNT",IF($Q1269=0,"UNMAPPED",IF($R1269=-1,"OUTSIDE FY RANGE","OK"))))</f>
        <v/>
      </c>
      <c r="U1269" s="40" t="str">
        <f aca="false">IF($A1269="","",$B1269&amp;"|"&amp;TEXT($A1269,"yyyymmdd")&amp;"|"&amp;TEXT($I1269,"0.00"))</f>
        <v/>
      </c>
      <c r="V1269" s="35" t="str">
        <f aca="false">IF($A1269="","",COUNTIF($U$8:$U$5007,$U1269))</f>
        <v/>
      </c>
    </row>
    <row r="1270" customFormat="false" ht="15" hidden="false" customHeight="false" outlineLevel="0" collapsed="false">
      <c r="A1270" s="31"/>
      <c r="B1270" s="32"/>
      <c r="C1270" s="32"/>
      <c r="D1270" s="32"/>
      <c r="E1270" s="32"/>
      <c r="F1270" s="32"/>
      <c r="G1270" s="33"/>
      <c r="H1270" s="33"/>
      <c r="I1270" s="34" t="str">
        <f aca="false">IF($A1270="","",$G1270-$H1270)</f>
        <v/>
      </c>
      <c r="J1270" s="35" t="str">
        <f aca="false">IF($A1270="","",IF(Setup!$B$6=1,YEAR($A1270),YEAR($A1270)+IF(MONTH($A1270)&gt;=Setup!$B$6,1,0)))</f>
        <v/>
      </c>
      <c r="K1270" s="35" t="str">
        <f aca="false">IF($A1270="","",MOD(MONTH($A1270)-Setup!$B$6+12,12)+1)</f>
        <v/>
      </c>
      <c r="L1270" s="36" t="str">
        <f aca="false">IF($A1270="","",TEXT($A1270,"MMM-YY"))</f>
        <v/>
      </c>
      <c r="M1270" s="37" t="str">
        <f aca="false">IF($A1270="","",IF($Q1270=0,"UNMAPPED",INDEX(COA_Mapping!$C$7:$C$256,$Q1270)))</f>
        <v/>
      </c>
      <c r="N1270" s="38" t="str">
        <f aca="false">IF($A1270="","",IF($Q1270=0,"",INDEX(COA_Mapping!$E$7:$E$256,$Q1270)))</f>
        <v/>
      </c>
      <c r="O1270" s="38" t="n">
        <f aca="false">IF($A1270="",1,IF($Q1270=0,1,INDEX(COA_Mapping!$F$7:$F$256,$Q1270)))</f>
        <v>1</v>
      </c>
      <c r="P1270" s="34" t="str">
        <f aca="false">IF($A1270="","",$I1270*$O1270)</f>
        <v/>
      </c>
      <c r="Q1270" s="39" t="n">
        <f aca="false">IF($B1270="",0,IFERROR(MATCH($B1270,COA_Mapping!$A$7:$A$256,0),0))</f>
        <v>0</v>
      </c>
      <c r="R1270" s="39" t="n">
        <f aca="false">IF($A1270="",-1,IF($J1270=Setup!$B$7,1,IF($J1270=Setup!$B$9,0,-1)))</f>
        <v>-1</v>
      </c>
      <c r="S1270" s="35" t="n">
        <f aca="false">IF(OR($A1270="",$Q1270=0,$R1270=-1),0,$Q1270*1000+$R1270*100+$K1270)</f>
        <v>0</v>
      </c>
      <c r="T1270" s="37" t="str">
        <f aca="false">IF($A1270="","",IF($B1270="","NO ACCOUNT",IF($Q1270=0,"UNMAPPED",IF($R1270=-1,"OUTSIDE FY RANGE","OK"))))</f>
        <v/>
      </c>
      <c r="U1270" s="40" t="str">
        <f aca="false">IF($A1270="","",$B1270&amp;"|"&amp;TEXT($A1270,"yyyymmdd")&amp;"|"&amp;TEXT($I1270,"0.00"))</f>
        <v/>
      </c>
      <c r="V1270" s="35" t="str">
        <f aca="false">IF($A1270="","",COUNTIF($U$8:$U$5007,$U1270))</f>
        <v/>
      </c>
    </row>
    <row r="1271" customFormat="false" ht="15" hidden="false" customHeight="false" outlineLevel="0" collapsed="false">
      <c r="A1271" s="31"/>
      <c r="B1271" s="32"/>
      <c r="C1271" s="32"/>
      <c r="D1271" s="32"/>
      <c r="E1271" s="32"/>
      <c r="F1271" s="32"/>
      <c r="G1271" s="33"/>
      <c r="H1271" s="33"/>
      <c r="I1271" s="34" t="str">
        <f aca="false">IF($A1271="","",$G1271-$H1271)</f>
        <v/>
      </c>
      <c r="J1271" s="35" t="str">
        <f aca="false">IF($A1271="","",IF(Setup!$B$6=1,YEAR($A1271),YEAR($A1271)+IF(MONTH($A1271)&gt;=Setup!$B$6,1,0)))</f>
        <v/>
      </c>
      <c r="K1271" s="35" t="str">
        <f aca="false">IF($A1271="","",MOD(MONTH($A1271)-Setup!$B$6+12,12)+1)</f>
        <v/>
      </c>
      <c r="L1271" s="36" t="str">
        <f aca="false">IF($A1271="","",TEXT($A1271,"MMM-YY"))</f>
        <v/>
      </c>
      <c r="M1271" s="37" t="str">
        <f aca="false">IF($A1271="","",IF($Q1271=0,"UNMAPPED",INDEX(COA_Mapping!$C$7:$C$256,$Q1271)))</f>
        <v/>
      </c>
      <c r="N1271" s="38" t="str">
        <f aca="false">IF($A1271="","",IF($Q1271=0,"",INDEX(COA_Mapping!$E$7:$E$256,$Q1271)))</f>
        <v/>
      </c>
      <c r="O1271" s="38" t="n">
        <f aca="false">IF($A1271="",1,IF($Q1271=0,1,INDEX(COA_Mapping!$F$7:$F$256,$Q1271)))</f>
        <v>1</v>
      </c>
      <c r="P1271" s="34" t="str">
        <f aca="false">IF($A1271="","",$I1271*$O1271)</f>
        <v/>
      </c>
      <c r="Q1271" s="39" t="n">
        <f aca="false">IF($B1271="",0,IFERROR(MATCH($B1271,COA_Mapping!$A$7:$A$256,0),0))</f>
        <v>0</v>
      </c>
      <c r="R1271" s="39" t="n">
        <f aca="false">IF($A1271="",-1,IF($J1271=Setup!$B$7,1,IF($J1271=Setup!$B$9,0,-1)))</f>
        <v>-1</v>
      </c>
      <c r="S1271" s="35" t="n">
        <f aca="false">IF(OR($A1271="",$Q1271=0,$R1271=-1),0,$Q1271*1000+$R1271*100+$K1271)</f>
        <v>0</v>
      </c>
      <c r="T1271" s="37" t="str">
        <f aca="false">IF($A1271="","",IF($B1271="","NO ACCOUNT",IF($Q1271=0,"UNMAPPED",IF($R1271=-1,"OUTSIDE FY RANGE","OK"))))</f>
        <v/>
      </c>
      <c r="U1271" s="40" t="str">
        <f aca="false">IF($A1271="","",$B1271&amp;"|"&amp;TEXT($A1271,"yyyymmdd")&amp;"|"&amp;TEXT($I1271,"0.00"))</f>
        <v/>
      </c>
      <c r="V1271" s="35" t="str">
        <f aca="false">IF($A1271="","",COUNTIF($U$8:$U$5007,$U1271))</f>
        <v/>
      </c>
    </row>
    <row r="1272" customFormat="false" ht="15" hidden="false" customHeight="false" outlineLevel="0" collapsed="false">
      <c r="A1272" s="31"/>
      <c r="B1272" s="32"/>
      <c r="C1272" s="32"/>
      <c r="D1272" s="32"/>
      <c r="E1272" s="32"/>
      <c r="F1272" s="32"/>
      <c r="G1272" s="33"/>
      <c r="H1272" s="33"/>
      <c r="I1272" s="34" t="str">
        <f aca="false">IF($A1272="","",$G1272-$H1272)</f>
        <v/>
      </c>
      <c r="J1272" s="35" t="str">
        <f aca="false">IF($A1272="","",IF(Setup!$B$6=1,YEAR($A1272),YEAR($A1272)+IF(MONTH($A1272)&gt;=Setup!$B$6,1,0)))</f>
        <v/>
      </c>
      <c r="K1272" s="35" t="str">
        <f aca="false">IF($A1272="","",MOD(MONTH($A1272)-Setup!$B$6+12,12)+1)</f>
        <v/>
      </c>
      <c r="L1272" s="36" t="str">
        <f aca="false">IF($A1272="","",TEXT($A1272,"MMM-YY"))</f>
        <v/>
      </c>
      <c r="M1272" s="37" t="str">
        <f aca="false">IF($A1272="","",IF($Q1272=0,"UNMAPPED",INDEX(COA_Mapping!$C$7:$C$256,$Q1272)))</f>
        <v/>
      </c>
      <c r="N1272" s="38" t="str">
        <f aca="false">IF($A1272="","",IF($Q1272=0,"",INDEX(COA_Mapping!$E$7:$E$256,$Q1272)))</f>
        <v/>
      </c>
      <c r="O1272" s="38" t="n">
        <f aca="false">IF($A1272="",1,IF($Q1272=0,1,INDEX(COA_Mapping!$F$7:$F$256,$Q1272)))</f>
        <v>1</v>
      </c>
      <c r="P1272" s="34" t="str">
        <f aca="false">IF($A1272="","",$I1272*$O1272)</f>
        <v/>
      </c>
      <c r="Q1272" s="39" t="n">
        <f aca="false">IF($B1272="",0,IFERROR(MATCH($B1272,COA_Mapping!$A$7:$A$256,0),0))</f>
        <v>0</v>
      </c>
      <c r="R1272" s="39" t="n">
        <f aca="false">IF($A1272="",-1,IF($J1272=Setup!$B$7,1,IF($J1272=Setup!$B$9,0,-1)))</f>
        <v>-1</v>
      </c>
      <c r="S1272" s="35" t="n">
        <f aca="false">IF(OR($A1272="",$Q1272=0,$R1272=-1),0,$Q1272*1000+$R1272*100+$K1272)</f>
        <v>0</v>
      </c>
      <c r="T1272" s="37" t="str">
        <f aca="false">IF($A1272="","",IF($B1272="","NO ACCOUNT",IF($Q1272=0,"UNMAPPED",IF($R1272=-1,"OUTSIDE FY RANGE","OK"))))</f>
        <v/>
      </c>
      <c r="U1272" s="40" t="str">
        <f aca="false">IF($A1272="","",$B1272&amp;"|"&amp;TEXT($A1272,"yyyymmdd")&amp;"|"&amp;TEXT($I1272,"0.00"))</f>
        <v/>
      </c>
      <c r="V1272" s="35" t="str">
        <f aca="false">IF($A1272="","",COUNTIF($U$8:$U$5007,$U1272))</f>
        <v/>
      </c>
    </row>
    <row r="1273" customFormat="false" ht="15" hidden="false" customHeight="false" outlineLevel="0" collapsed="false">
      <c r="A1273" s="31"/>
      <c r="B1273" s="32"/>
      <c r="C1273" s="32"/>
      <c r="D1273" s="32"/>
      <c r="E1273" s="32"/>
      <c r="F1273" s="32"/>
      <c r="G1273" s="33"/>
      <c r="H1273" s="33"/>
      <c r="I1273" s="34" t="str">
        <f aca="false">IF($A1273="","",$G1273-$H1273)</f>
        <v/>
      </c>
      <c r="J1273" s="35" t="str">
        <f aca="false">IF($A1273="","",IF(Setup!$B$6=1,YEAR($A1273),YEAR($A1273)+IF(MONTH($A1273)&gt;=Setup!$B$6,1,0)))</f>
        <v/>
      </c>
      <c r="K1273" s="35" t="str">
        <f aca="false">IF($A1273="","",MOD(MONTH($A1273)-Setup!$B$6+12,12)+1)</f>
        <v/>
      </c>
      <c r="L1273" s="36" t="str">
        <f aca="false">IF($A1273="","",TEXT($A1273,"MMM-YY"))</f>
        <v/>
      </c>
      <c r="M1273" s="37" t="str">
        <f aca="false">IF($A1273="","",IF($Q1273=0,"UNMAPPED",INDEX(COA_Mapping!$C$7:$C$256,$Q1273)))</f>
        <v/>
      </c>
      <c r="N1273" s="38" t="str">
        <f aca="false">IF($A1273="","",IF($Q1273=0,"",INDEX(COA_Mapping!$E$7:$E$256,$Q1273)))</f>
        <v/>
      </c>
      <c r="O1273" s="38" t="n">
        <f aca="false">IF($A1273="",1,IF($Q1273=0,1,INDEX(COA_Mapping!$F$7:$F$256,$Q1273)))</f>
        <v>1</v>
      </c>
      <c r="P1273" s="34" t="str">
        <f aca="false">IF($A1273="","",$I1273*$O1273)</f>
        <v/>
      </c>
      <c r="Q1273" s="39" t="n">
        <f aca="false">IF($B1273="",0,IFERROR(MATCH($B1273,COA_Mapping!$A$7:$A$256,0),0))</f>
        <v>0</v>
      </c>
      <c r="R1273" s="39" t="n">
        <f aca="false">IF($A1273="",-1,IF($J1273=Setup!$B$7,1,IF($J1273=Setup!$B$9,0,-1)))</f>
        <v>-1</v>
      </c>
      <c r="S1273" s="35" t="n">
        <f aca="false">IF(OR($A1273="",$Q1273=0,$R1273=-1),0,$Q1273*1000+$R1273*100+$K1273)</f>
        <v>0</v>
      </c>
      <c r="T1273" s="37" t="str">
        <f aca="false">IF($A1273="","",IF($B1273="","NO ACCOUNT",IF($Q1273=0,"UNMAPPED",IF($R1273=-1,"OUTSIDE FY RANGE","OK"))))</f>
        <v/>
      </c>
      <c r="U1273" s="40" t="str">
        <f aca="false">IF($A1273="","",$B1273&amp;"|"&amp;TEXT($A1273,"yyyymmdd")&amp;"|"&amp;TEXT($I1273,"0.00"))</f>
        <v/>
      </c>
      <c r="V1273" s="35" t="str">
        <f aca="false">IF($A1273="","",COUNTIF($U$8:$U$5007,$U1273))</f>
        <v/>
      </c>
    </row>
    <row r="1274" customFormat="false" ht="15" hidden="false" customHeight="false" outlineLevel="0" collapsed="false">
      <c r="A1274" s="31"/>
      <c r="B1274" s="32"/>
      <c r="C1274" s="32"/>
      <c r="D1274" s="32"/>
      <c r="E1274" s="32"/>
      <c r="F1274" s="32"/>
      <c r="G1274" s="33"/>
      <c r="H1274" s="33"/>
      <c r="I1274" s="34" t="str">
        <f aca="false">IF($A1274="","",$G1274-$H1274)</f>
        <v/>
      </c>
      <c r="J1274" s="35" t="str">
        <f aca="false">IF($A1274="","",IF(Setup!$B$6=1,YEAR($A1274),YEAR($A1274)+IF(MONTH($A1274)&gt;=Setup!$B$6,1,0)))</f>
        <v/>
      </c>
      <c r="K1274" s="35" t="str">
        <f aca="false">IF($A1274="","",MOD(MONTH($A1274)-Setup!$B$6+12,12)+1)</f>
        <v/>
      </c>
      <c r="L1274" s="36" t="str">
        <f aca="false">IF($A1274="","",TEXT($A1274,"MMM-YY"))</f>
        <v/>
      </c>
      <c r="M1274" s="37" t="str">
        <f aca="false">IF($A1274="","",IF($Q1274=0,"UNMAPPED",INDEX(COA_Mapping!$C$7:$C$256,$Q1274)))</f>
        <v/>
      </c>
      <c r="N1274" s="38" t="str">
        <f aca="false">IF($A1274="","",IF($Q1274=0,"",INDEX(COA_Mapping!$E$7:$E$256,$Q1274)))</f>
        <v/>
      </c>
      <c r="O1274" s="38" t="n">
        <f aca="false">IF($A1274="",1,IF($Q1274=0,1,INDEX(COA_Mapping!$F$7:$F$256,$Q1274)))</f>
        <v>1</v>
      </c>
      <c r="P1274" s="34" t="str">
        <f aca="false">IF($A1274="","",$I1274*$O1274)</f>
        <v/>
      </c>
      <c r="Q1274" s="39" t="n">
        <f aca="false">IF($B1274="",0,IFERROR(MATCH($B1274,COA_Mapping!$A$7:$A$256,0),0))</f>
        <v>0</v>
      </c>
      <c r="R1274" s="39" t="n">
        <f aca="false">IF($A1274="",-1,IF($J1274=Setup!$B$7,1,IF($J1274=Setup!$B$9,0,-1)))</f>
        <v>-1</v>
      </c>
      <c r="S1274" s="35" t="n">
        <f aca="false">IF(OR($A1274="",$Q1274=0,$R1274=-1),0,$Q1274*1000+$R1274*100+$K1274)</f>
        <v>0</v>
      </c>
      <c r="T1274" s="37" t="str">
        <f aca="false">IF($A1274="","",IF($B1274="","NO ACCOUNT",IF($Q1274=0,"UNMAPPED",IF($R1274=-1,"OUTSIDE FY RANGE","OK"))))</f>
        <v/>
      </c>
      <c r="U1274" s="40" t="str">
        <f aca="false">IF($A1274="","",$B1274&amp;"|"&amp;TEXT($A1274,"yyyymmdd")&amp;"|"&amp;TEXT($I1274,"0.00"))</f>
        <v/>
      </c>
      <c r="V1274" s="35" t="str">
        <f aca="false">IF($A1274="","",COUNTIF($U$8:$U$5007,$U1274))</f>
        <v/>
      </c>
    </row>
    <row r="1275" customFormat="false" ht="15" hidden="false" customHeight="false" outlineLevel="0" collapsed="false">
      <c r="A1275" s="31"/>
      <c r="B1275" s="32"/>
      <c r="C1275" s="32"/>
      <c r="D1275" s="32"/>
      <c r="E1275" s="32"/>
      <c r="F1275" s="32"/>
      <c r="G1275" s="33"/>
      <c r="H1275" s="33"/>
      <c r="I1275" s="34" t="str">
        <f aca="false">IF($A1275="","",$G1275-$H1275)</f>
        <v/>
      </c>
      <c r="J1275" s="35" t="str">
        <f aca="false">IF($A1275="","",IF(Setup!$B$6=1,YEAR($A1275),YEAR($A1275)+IF(MONTH($A1275)&gt;=Setup!$B$6,1,0)))</f>
        <v/>
      </c>
      <c r="K1275" s="35" t="str">
        <f aca="false">IF($A1275="","",MOD(MONTH($A1275)-Setup!$B$6+12,12)+1)</f>
        <v/>
      </c>
      <c r="L1275" s="36" t="str">
        <f aca="false">IF($A1275="","",TEXT($A1275,"MMM-YY"))</f>
        <v/>
      </c>
      <c r="M1275" s="37" t="str">
        <f aca="false">IF($A1275="","",IF($Q1275=0,"UNMAPPED",INDEX(COA_Mapping!$C$7:$C$256,$Q1275)))</f>
        <v/>
      </c>
      <c r="N1275" s="38" t="str">
        <f aca="false">IF($A1275="","",IF($Q1275=0,"",INDEX(COA_Mapping!$E$7:$E$256,$Q1275)))</f>
        <v/>
      </c>
      <c r="O1275" s="38" t="n">
        <f aca="false">IF($A1275="",1,IF($Q1275=0,1,INDEX(COA_Mapping!$F$7:$F$256,$Q1275)))</f>
        <v>1</v>
      </c>
      <c r="P1275" s="34" t="str">
        <f aca="false">IF($A1275="","",$I1275*$O1275)</f>
        <v/>
      </c>
      <c r="Q1275" s="39" t="n">
        <f aca="false">IF($B1275="",0,IFERROR(MATCH($B1275,COA_Mapping!$A$7:$A$256,0),0))</f>
        <v>0</v>
      </c>
      <c r="R1275" s="39" t="n">
        <f aca="false">IF($A1275="",-1,IF($J1275=Setup!$B$7,1,IF($J1275=Setup!$B$9,0,-1)))</f>
        <v>-1</v>
      </c>
      <c r="S1275" s="35" t="n">
        <f aca="false">IF(OR($A1275="",$Q1275=0,$R1275=-1),0,$Q1275*1000+$R1275*100+$K1275)</f>
        <v>0</v>
      </c>
      <c r="T1275" s="37" t="str">
        <f aca="false">IF($A1275="","",IF($B1275="","NO ACCOUNT",IF($Q1275=0,"UNMAPPED",IF($R1275=-1,"OUTSIDE FY RANGE","OK"))))</f>
        <v/>
      </c>
      <c r="U1275" s="40" t="str">
        <f aca="false">IF($A1275="","",$B1275&amp;"|"&amp;TEXT($A1275,"yyyymmdd")&amp;"|"&amp;TEXT($I1275,"0.00"))</f>
        <v/>
      </c>
      <c r="V1275" s="35" t="str">
        <f aca="false">IF($A1275="","",COUNTIF($U$8:$U$5007,$U1275))</f>
        <v/>
      </c>
    </row>
    <row r="1276" customFormat="false" ht="15" hidden="false" customHeight="false" outlineLevel="0" collapsed="false">
      <c r="A1276" s="31"/>
      <c r="B1276" s="32"/>
      <c r="C1276" s="32"/>
      <c r="D1276" s="32"/>
      <c r="E1276" s="32"/>
      <c r="F1276" s="32"/>
      <c r="G1276" s="33"/>
      <c r="H1276" s="33"/>
      <c r="I1276" s="34" t="str">
        <f aca="false">IF($A1276="","",$G1276-$H1276)</f>
        <v/>
      </c>
      <c r="J1276" s="35" t="str">
        <f aca="false">IF($A1276="","",IF(Setup!$B$6=1,YEAR($A1276),YEAR($A1276)+IF(MONTH($A1276)&gt;=Setup!$B$6,1,0)))</f>
        <v/>
      </c>
      <c r="K1276" s="35" t="str">
        <f aca="false">IF($A1276="","",MOD(MONTH($A1276)-Setup!$B$6+12,12)+1)</f>
        <v/>
      </c>
      <c r="L1276" s="36" t="str">
        <f aca="false">IF($A1276="","",TEXT($A1276,"MMM-YY"))</f>
        <v/>
      </c>
      <c r="M1276" s="37" t="str">
        <f aca="false">IF($A1276="","",IF($Q1276=0,"UNMAPPED",INDEX(COA_Mapping!$C$7:$C$256,$Q1276)))</f>
        <v/>
      </c>
      <c r="N1276" s="38" t="str">
        <f aca="false">IF($A1276="","",IF($Q1276=0,"",INDEX(COA_Mapping!$E$7:$E$256,$Q1276)))</f>
        <v/>
      </c>
      <c r="O1276" s="38" t="n">
        <f aca="false">IF($A1276="",1,IF($Q1276=0,1,INDEX(COA_Mapping!$F$7:$F$256,$Q1276)))</f>
        <v>1</v>
      </c>
      <c r="P1276" s="34" t="str">
        <f aca="false">IF($A1276="","",$I1276*$O1276)</f>
        <v/>
      </c>
      <c r="Q1276" s="39" t="n">
        <f aca="false">IF($B1276="",0,IFERROR(MATCH($B1276,COA_Mapping!$A$7:$A$256,0),0))</f>
        <v>0</v>
      </c>
      <c r="R1276" s="39" t="n">
        <f aca="false">IF($A1276="",-1,IF($J1276=Setup!$B$7,1,IF($J1276=Setup!$B$9,0,-1)))</f>
        <v>-1</v>
      </c>
      <c r="S1276" s="35" t="n">
        <f aca="false">IF(OR($A1276="",$Q1276=0,$R1276=-1),0,$Q1276*1000+$R1276*100+$K1276)</f>
        <v>0</v>
      </c>
      <c r="T1276" s="37" t="str">
        <f aca="false">IF($A1276="","",IF($B1276="","NO ACCOUNT",IF($Q1276=0,"UNMAPPED",IF($R1276=-1,"OUTSIDE FY RANGE","OK"))))</f>
        <v/>
      </c>
      <c r="U1276" s="40" t="str">
        <f aca="false">IF($A1276="","",$B1276&amp;"|"&amp;TEXT($A1276,"yyyymmdd")&amp;"|"&amp;TEXT($I1276,"0.00"))</f>
        <v/>
      </c>
      <c r="V1276" s="35" t="str">
        <f aca="false">IF($A1276="","",COUNTIF($U$8:$U$5007,$U1276))</f>
        <v/>
      </c>
    </row>
    <row r="1277" customFormat="false" ht="15" hidden="false" customHeight="false" outlineLevel="0" collapsed="false">
      <c r="A1277" s="31"/>
      <c r="B1277" s="32"/>
      <c r="C1277" s="32"/>
      <c r="D1277" s="32"/>
      <c r="E1277" s="32"/>
      <c r="F1277" s="32"/>
      <c r="G1277" s="33"/>
      <c r="H1277" s="33"/>
      <c r="I1277" s="34" t="str">
        <f aca="false">IF($A1277="","",$G1277-$H1277)</f>
        <v/>
      </c>
      <c r="J1277" s="35" t="str">
        <f aca="false">IF($A1277="","",IF(Setup!$B$6=1,YEAR($A1277),YEAR($A1277)+IF(MONTH($A1277)&gt;=Setup!$B$6,1,0)))</f>
        <v/>
      </c>
      <c r="K1277" s="35" t="str">
        <f aca="false">IF($A1277="","",MOD(MONTH($A1277)-Setup!$B$6+12,12)+1)</f>
        <v/>
      </c>
      <c r="L1277" s="36" t="str">
        <f aca="false">IF($A1277="","",TEXT($A1277,"MMM-YY"))</f>
        <v/>
      </c>
      <c r="M1277" s="37" t="str">
        <f aca="false">IF($A1277="","",IF($Q1277=0,"UNMAPPED",INDEX(COA_Mapping!$C$7:$C$256,$Q1277)))</f>
        <v/>
      </c>
      <c r="N1277" s="38" t="str">
        <f aca="false">IF($A1277="","",IF($Q1277=0,"",INDEX(COA_Mapping!$E$7:$E$256,$Q1277)))</f>
        <v/>
      </c>
      <c r="O1277" s="38" t="n">
        <f aca="false">IF($A1277="",1,IF($Q1277=0,1,INDEX(COA_Mapping!$F$7:$F$256,$Q1277)))</f>
        <v>1</v>
      </c>
      <c r="P1277" s="34" t="str">
        <f aca="false">IF($A1277="","",$I1277*$O1277)</f>
        <v/>
      </c>
      <c r="Q1277" s="39" t="n">
        <f aca="false">IF($B1277="",0,IFERROR(MATCH($B1277,COA_Mapping!$A$7:$A$256,0),0))</f>
        <v>0</v>
      </c>
      <c r="R1277" s="39" t="n">
        <f aca="false">IF($A1277="",-1,IF($J1277=Setup!$B$7,1,IF($J1277=Setup!$B$9,0,-1)))</f>
        <v>-1</v>
      </c>
      <c r="S1277" s="35" t="n">
        <f aca="false">IF(OR($A1277="",$Q1277=0,$R1277=-1),0,$Q1277*1000+$R1277*100+$K1277)</f>
        <v>0</v>
      </c>
      <c r="T1277" s="37" t="str">
        <f aca="false">IF($A1277="","",IF($B1277="","NO ACCOUNT",IF($Q1277=0,"UNMAPPED",IF($R1277=-1,"OUTSIDE FY RANGE","OK"))))</f>
        <v/>
      </c>
      <c r="U1277" s="40" t="str">
        <f aca="false">IF($A1277="","",$B1277&amp;"|"&amp;TEXT($A1277,"yyyymmdd")&amp;"|"&amp;TEXT($I1277,"0.00"))</f>
        <v/>
      </c>
      <c r="V1277" s="35" t="str">
        <f aca="false">IF($A1277="","",COUNTIF($U$8:$U$5007,$U1277))</f>
        <v/>
      </c>
    </row>
    <row r="1278" customFormat="false" ht="15" hidden="false" customHeight="false" outlineLevel="0" collapsed="false">
      <c r="A1278" s="31"/>
      <c r="B1278" s="32"/>
      <c r="C1278" s="32"/>
      <c r="D1278" s="32"/>
      <c r="E1278" s="32"/>
      <c r="F1278" s="32"/>
      <c r="G1278" s="33"/>
      <c r="H1278" s="33"/>
      <c r="I1278" s="34" t="str">
        <f aca="false">IF($A1278="","",$G1278-$H1278)</f>
        <v/>
      </c>
      <c r="J1278" s="35" t="str">
        <f aca="false">IF($A1278="","",IF(Setup!$B$6=1,YEAR($A1278),YEAR($A1278)+IF(MONTH($A1278)&gt;=Setup!$B$6,1,0)))</f>
        <v/>
      </c>
      <c r="K1278" s="35" t="str">
        <f aca="false">IF($A1278="","",MOD(MONTH($A1278)-Setup!$B$6+12,12)+1)</f>
        <v/>
      </c>
      <c r="L1278" s="36" t="str">
        <f aca="false">IF($A1278="","",TEXT($A1278,"MMM-YY"))</f>
        <v/>
      </c>
      <c r="M1278" s="37" t="str">
        <f aca="false">IF($A1278="","",IF($Q1278=0,"UNMAPPED",INDEX(COA_Mapping!$C$7:$C$256,$Q1278)))</f>
        <v/>
      </c>
      <c r="N1278" s="38" t="str">
        <f aca="false">IF($A1278="","",IF($Q1278=0,"",INDEX(COA_Mapping!$E$7:$E$256,$Q1278)))</f>
        <v/>
      </c>
      <c r="O1278" s="38" t="n">
        <f aca="false">IF($A1278="",1,IF($Q1278=0,1,INDEX(COA_Mapping!$F$7:$F$256,$Q1278)))</f>
        <v>1</v>
      </c>
      <c r="P1278" s="34" t="str">
        <f aca="false">IF($A1278="","",$I1278*$O1278)</f>
        <v/>
      </c>
      <c r="Q1278" s="39" t="n">
        <f aca="false">IF($B1278="",0,IFERROR(MATCH($B1278,COA_Mapping!$A$7:$A$256,0),0))</f>
        <v>0</v>
      </c>
      <c r="R1278" s="39" t="n">
        <f aca="false">IF($A1278="",-1,IF($J1278=Setup!$B$7,1,IF($J1278=Setup!$B$9,0,-1)))</f>
        <v>-1</v>
      </c>
      <c r="S1278" s="35" t="n">
        <f aca="false">IF(OR($A1278="",$Q1278=0,$R1278=-1),0,$Q1278*1000+$R1278*100+$K1278)</f>
        <v>0</v>
      </c>
      <c r="T1278" s="37" t="str">
        <f aca="false">IF($A1278="","",IF($B1278="","NO ACCOUNT",IF($Q1278=0,"UNMAPPED",IF($R1278=-1,"OUTSIDE FY RANGE","OK"))))</f>
        <v/>
      </c>
      <c r="U1278" s="40" t="str">
        <f aca="false">IF($A1278="","",$B1278&amp;"|"&amp;TEXT($A1278,"yyyymmdd")&amp;"|"&amp;TEXT($I1278,"0.00"))</f>
        <v/>
      </c>
      <c r="V1278" s="35" t="str">
        <f aca="false">IF($A1278="","",COUNTIF($U$8:$U$5007,$U1278))</f>
        <v/>
      </c>
    </row>
    <row r="1279" customFormat="false" ht="15" hidden="false" customHeight="false" outlineLevel="0" collapsed="false">
      <c r="A1279" s="31"/>
      <c r="B1279" s="32"/>
      <c r="C1279" s="32"/>
      <c r="D1279" s="32"/>
      <c r="E1279" s="32"/>
      <c r="F1279" s="32"/>
      <c r="G1279" s="33"/>
      <c r="H1279" s="33"/>
      <c r="I1279" s="34" t="str">
        <f aca="false">IF($A1279="","",$G1279-$H1279)</f>
        <v/>
      </c>
      <c r="J1279" s="35" t="str">
        <f aca="false">IF($A1279="","",IF(Setup!$B$6=1,YEAR($A1279),YEAR($A1279)+IF(MONTH($A1279)&gt;=Setup!$B$6,1,0)))</f>
        <v/>
      </c>
      <c r="K1279" s="35" t="str">
        <f aca="false">IF($A1279="","",MOD(MONTH($A1279)-Setup!$B$6+12,12)+1)</f>
        <v/>
      </c>
      <c r="L1279" s="36" t="str">
        <f aca="false">IF($A1279="","",TEXT($A1279,"MMM-YY"))</f>
        <v/>
      </c>
      <c r="M1279" s="37" t="str">
        <f aca="false">IF($A1279="","",IF($Q1279=0,"UNMAPPED",INDEX(COA_Mapping!$C$7:$C$256,$Q1279)))</f>
        <v/>
      </c>
      <c r="N1279" s="38" t="str">
        <f aca="false">IF($A1279="","",IF($Q1279=0,"",INDEX(COA_Mapping!$E$7:$E$256,$Q1279)))</f>
        <v/>
      </c>
      <c r="O1279" s="38" t="n">
        <f aca="false">IF($A1279="",1,IF($Q1279=0,1,INDEX(COA_Mapping!$F$7:$F$256,$Q1279)))</f>
        <v>1</v>
      </c>
      <c r="P1279" s="34" t="str">
        <f aca="false">IF($A1279="","",$I1279*$O1279)</f>
        <v/>
      </c>
      <c r="Q1279" s="39" t="n">
        <f aca="false">IF($B1279="",0,IFERROR(MATCH($B1279,COA_Mapping!$A$7:$A$256,0),0))</f>
        <v>0</v>
      </c>
      <c r="R1279" s="39" t="n">
        <f aca="false">IF($A1279="",-1,IF($J1279=Setup!$B$7,1,IF($J1279=Setup!$B$9,0,-1)))</f>
        <v>-1</v>
      </c>
      <c r="S1279" s="35" t="n">
        <f aca="false">IF(OR($A1279="",$Q1279=0,$R1279=-1),0,$Q1279*1000+$R1279*100+$K1279)</f>
        <v>0</v>
      </c>
      <c r="T1279" s="37" t="str">
        <f aca="false">IF($A1279="","",IF($B1279="","NO ACCOUNT",IF($Q1279=0,"UNMAPPED",IF($R1279=-1,"OUTSIDE FY RANGE","OK"))))</f>
        <v/>
      </c>
      <c r="U1279" s="40" t="str">
        <f aca="false">IF($A1279="","",$B1279&amp;"|"&amp;TEXT($A1279,"yyyymmdd")&amp;"|"&amp;TEXT($I1279,"0.00"))</f>
        <v/>
      </c>
      <c r="V1279" s="35" t="str">
        <f aca="false">IF($A1279="","",COUNTIF($U$8:$U$5007,$U1279))</f>
        <v/>
      </c>
    </row>
    <row r="1280" customFormat="false" ht="15" hidden="false" customHeight="false" outlineLevel="0" collapsed="false">
      <c r="A1280" s="31"/>
      <c r="B1280" s="32"/>
      <c r="C1280" s="32"/>
      <c r="D1280" s="32"/>
      <c r="E1280" s="32"/>
      <c r="F1280" s="32"/>
      <c r="G1280" s="33"/>
      <c r="H1280" s="33"/>
      <c r="I1280" s="34" t="str">
        <f aca="false">IF($A1280="","",$G1280-$H1280)</f>
        <v/>
      </c>
      <c r="J1280" s="35" t="str">
        <f aca="false">IF($A1280="","",IF(Setup!$B$6=1,YEAR($A1280),YEAR($A1280)+IF(MONTH($A1280)&gt;=Setup!$B$6,1,0)))</f>
        <v/>
      </c>
      <c r="K1280" s="35" t="str">
        <f aca="false">IF($A1280="","",MOD(MONTH($A1280)-Setup!$B$6+12,12)+1)</f>
        <v/>
      </c>
      <c r="L1280" s="36" t="str">
        <f aca="false">IF($A1280="","",TEXT($A1280,"MMM-YY"))</f>
        <v/>
      </c>
      <c r="M1280" s="37" t="str">
        <f aca="false">IF($A1280="","",IF($Q1280=0,"UNMAPPED",INDEX(COA_Mapping!$C$7:$C$256,$Q1280)))</f>
        <v/>
      </c>
      <c r="N1280" s="38" t="str">
        <f aca="false">IF($A1280="","",IF($Q1280=0,"",INDEX(COA_Mapping!$E$7:$E$256,$Q1280)))</f>
        <v/>
      </c>
      <c r="O1280" s="38" t="n">
        <f aca="false">IF($A1280="",1,IF($Q1280=0,1,INDEX(COA_Mapping!$F$7:$F$256,$Q1280)))</f>
        <v>1</v>
      </c>
      <c r="P1280" s="34" t="str">
        <f aca="false">IF($A1280="","",$I1280*$O1280)</f>
        <v/>
      </c>
      <c r="Q1280" s="39" t="n">
        <f aca="false">IF($B1280="",0,IFERROR(MATCH($B1280,COA_Mapping!$A$7:$A$256,0),0))</f>
        <v>0</v>
      </c>
      <c r="R1280" s="39" t="n">
        <f aca="false">IF($A1280="",-1,IF($J1280=Setup!$B$7,1,IF($J1280=Setup!$B$9,0,-1)))</f>
        <v>-1</v>
      </c>
      <c r="S1280" s="35" t="n">
        <f aca="false">IF(OR($A1280="",$Q1280=0,$R1280=-1),0,$Q1280*1000+$R1280*100+$K1280)</f>
        <v>0</v>
      </c>
      <c r="T1280" s="37" t="str">
        <f aca="false">IF($A1280="","",IF($B1280="","NO ACCOUNT",IF($Q1280=0,"UNMAPPED",IF($R1280=-1,"OUTSIDE FY RANGE","OK"))))</f>
        <v/>
      </c>
      <c r="U1280" s="40" t="str">
        <f aca="false">IF($A1280="","",$B1280&amp;"|"&amp;TEXT($A1280,"yyyymmdd")&amp;"|"&amp;TEXT($I1280,"0.00"))</f>
        <v/>
      </c>
      <c r="V1280" s="35" t="str">
        <f aca="false">IF($A1280="","",COUNTIF($U$8:$U$5007,$U1280))</f>
        <v/>
      </c>
    </row>
    <row r="1281" customFormat="false" ht="15" hidden="false" customHeight="false" outlineLevel="0" collapsed="false">
      <c r="A1281" s="31"/>
      <c r="B1281" s="32"/>
      <c r="C1281" s="32"/>
      <c r="D1281" s="32"/>
      <c r="E1281" s="32"/>
      <c r="F1281" s="32"/>
      <c r="G1281" s="33"/>
      <c r="H1281" s="33"/>
      <c r="I1281" s="34" t="str">
        <f aca="false">IF($A1281="","",$G1281-$H1281)</f>
        <v/>
      </c>
      <c r="J1281" s="35" t="str">
        <f aca="false">IF($A1281="","",IF(Setup!$B$6=1,YEAR($A1281),YEAR($A1281)+IF(MONTH($A1281)&gt;=Setup!$B$6,1,0)))</f>
        <v/>
      </c>
      <c r="K1281" s="35" t="str">
        <f aca="false">IF($A1281="","",MOD(MONTH($A1281)-Setup!$B$6+12,12)+1)</f>
        <v/>
      </c>
      <c r="L1281" s="36" t="str">
        <f aca="false">IF($A1281="","",TEXT($A1281,"MMM-YY"))</f>
        <v/>
      </c>
      <c r="M1281" s="37" t="str">
        <f aca="false">IF($A1281="","",IF($Q1281=0,"UNMAPPED",INDEX(COA_Mapping!$C$7:$C$256,$Q1281)))</f>
        <v/>
      </c>
      <c r="N1281" s="38" t="str">
        <f aca="false">IF($A1281="","",IF($Q1281=0,"",INDEX(COA_Mapping!$E$7:$E$256,$Q1281)))</f>
        <v/>
      </c>
      <c r="O1281" s="38" t="n">
        <f aca="false">IF($A1281="",1,IF($Q1281=0,1,INDEX(COA_Mapping!$F$7:$F$256,$Q1281)))</f>
        <v>1</v>
      </c>
      <c r="P1281" s="34" t="str">
        <f aca="false">IF($A1281="","",$I1281*$O1281)</f>
        <v/>
      </c>
      <c r="Q1281" s="39" t="n">
        <f aca="false">IF($B1281="",0,IFERROR(MATCH($B1281,COA_Mapping!$A$7:$A$256,0),0))</f>
        <v>0</v>
      </c>
      <c r="R1281" s="39" t="n">
        <f aca="false">IF($A1281="",-1,IF($J1281=Setup!$B$7,1,IF($J1281=Setup!$B$9,0,-1)))</f>
        <v>-1</v>
      </c>
      <c r="S1281" s="35" t="n">
        <f aca="false">IF(OR($A1281="",$Q1281=0,$R1281=-1),0,$Q1281*1000+$R1281*100+$K1281)</f>
        <v>0</v>
      </c>
      <c r="T1281" s="37" t="str">
        <f aca="false">IF($A1281="","",IF($B1281="","NO ACCOUNT",IF($Q1281=0,"UNMAPPED",IF($R1281=-1,"OUTSIDE FY RANGE","OK"))))</f>
        <v/>
      </c>
      <c r="U1281" s="40" t="str">
        <f aca="false">IF($A1281="","",$B1281&amp;"|"&amp;TEXT($A1281,"yyyymmdd")&amp;"|"&amp;TEXT($I1281,"0.00"))</f>
        <v/>
      </c>
      <c r="V1281" s="35" t="str">
        <f aca="false">IF($A1281="","",COUNTIF($U$8:$U$5007,$U1281))</f>
        <v/>
      </c>
    </row>
    <row r="1282" customFormat="false" ht="15" hidden="false" customHeight="false" outlineLevel="0" collapsed="false">
      <c r="A1282" s="31"/>
      <c r="B1282" s="32"/>
      <c r="C1282" s="32"/>
      <c r="D1282" s="32"/>
      <c r="E1282" s="32"/>
      <c r="F1282" s="32"/>
      <c r="G1282" s="33"/>
      <c r="H1282" s="33"/>
      <c r="I1282" s="34" t="str">
        <f aca="false">IF($A1282="","",$G1282-$H1282)</f>
        <v/>
      </c>
      <c r="J1282" s="35" t="str">
        <f aca="false">IF($A1282="","",IF(Setup!$B$6=1,YEAR($A1282),YEAR($A1282)+IF(MONTH($A1282)&gt;=Setup!$B$6,1,0)))</f>
        <v/>
      </c>
      <c r="K1282" s="35" t="str">
        <f aca="false">IF($A1282="","",MOD(MONTH($A1282)-Setup!$B$6+12,12)+1)</f>
        <v/>
      </c>
      <c r="L1282" s="36" t="str">
        <f aca="false">IF($A1282="","",TEXT($A1282,"MMM-YY"))</f>
        <v/>
      </c>
      <c r="M1282" s="37" t="str">
        <f aca="false">IF($A1282="","",IF($Q1282=0,"UNMAPPED",INDEX(COA_Mapping!$C$7:$C$256,$Q1282)))</f>
        <v/>
      </c>
      <c r="N1282" s="38" t="str">
        <f aca="false">IF($A1282="","",IF($Q1282=0,"",INDEX(COA_Mapping!$E$7:$E$256,$Q1282)))</f>
        <v/>
      </c>
      <c r="O1282" s="38" t="n">
        <f aca="false">IF($A1282="",1,IF($Q1282=0,1,INDEX(COA_Mapping!$F$7:$F$256,$Q1282)))</f>
        <v>1</v>
      </c>
      <c r="P1282" s="34" t="str">
        <f aca="false">IF($A1282="","",$I1282*$O1282)</f>
        <v/>
      </c>
      <c r="Q1282" s="39" t="n">
        <f aca="false">IF($B1282="",0,IFERROR(MATCH($B1282,COA_Mapping!$A$7:$A$256,0),0))</f>
        <v>0</v>
      </c>
      <c r="R1282" s="39" t="n">
        <f aca="false">IF($A1282="",-1,IF($J1282=Setup!$B$7,1,IF($J1282=Setup!$B$9,0,-1)))</f>
        <v>-1</v>
      </c>
      <c r="S1282" s="35" t="n">
        <f aca="false">IF(OR($A1282="",$Q1282=0,$R1282=-1),0,$Q1282*1000+$R1282*100+$K1282)</f>
        <v>0</v>
      </c>
      <c r="T1282" s="37" t="str">
        <f aca="false">IF($A1282="","",IF($B1282="","NO ACCOUNT",IF($Q1282=0,"UNMAPPED",IF($R1282=-1,"OUTSIDE FY RANGE","OK"))))</f>
        <v/>
      </c>
      <c r="U1282" s="40" t="str">
        <f aca="false">IF($A1282="","",$B1282&amp;"|"&amp;TEXT($A1282,"yyyymmdd")&amp;"|"&amp;TEXT($I1282,"0.00"))</f>
        <v/>
      </c>
      <c r="V1282" s="35" t="str">
        <f aca="false">IF($A1282="","",COUNTIF($U$8:$U$5007,$U1282))</f>
        <v/>
      </c>
    </row>
    <row r="1283" customFormat="false" ht="15" hidden="false" customHeight="false" outlineLevel="0" collapsed="false">
      <c r="A1283" s="31"/>
      <c r="B1283" s="32"/>
      <c r="C1283" s="32"/>
      <c r="D1283" s="32"/>
      <c r="E1283" s="32"/>
      <c r="F1283" s="32"/>
      <c r="G1283" s="33"/>
      <c r="H1283" s="33"/>
      <c r="I1283" s="34" t="str">
        <f aca="false">IF($A1283="","",$G1283-$H1283)</f>
        <v/>
      </c>
      <c r="J1283" s="35" t="str">
        <f aca="false">IF($A1283="","",IF(Setup!$B$6=1,YEAR($A1283),YEAR($A1283)+IF(MONTH($A1283)&gt;=Setup!$B$6,1,0)))</f>
        <v/>
      </c>
      <c r="K1283" s="35" t="str">
        <f aca="false">IF($A1283="","",MOD(MONTH($A1283)-Setup!$B$6+12,12)+1)</f>
        <v/>
      </c>
      <c r="L1283" s="36" t="str">
        <f aca="false">IF($A1283="","",TEXT($A1283,"MMM-YY"))</f>
        <v/>
      </c>
      <c r="M1283" s="37" t="str">
        <f aca="false">IF($A1283="","",IF($Q1283=0,"UNMAPPED",INDEX(COA_Mapping!$C$7:$C$256,$Q1283)))</f>
        <v/>
      </c>
      <c r="N1283" s="38" t="str">
        <f aca="false">IF($A1283="","",IF($Q1283=0,"",INDEX(COA_Mapping!$E$7:$E$256,$Q1283)))</f>
        <v/>
      </c>
      <c r="O1283" s="38" t="n">
        <f aca="false">IF($A1283="",1,IF($Q1283=0,1,INDEX(COA_Mapping!$F$7:$F$256,$Q1283)))</f>
        <v>1</v>
      </c>
      <c r="P1283" s="34" t="str">
        <f aca="false">IF($A1283="","",$I1283*$O1283)</f>
        <v/>
      </c>
      <c r="Q1283" s="39" t="n">
        <f aca="false">IF($B1283="",0,IFERROR(MATCH($B1283,COA_Mapping!$A$7:$A$256,0),0))</f>
        <v>0</v>
      </c>
      <c r="R1283" s="39" t="n">
        <f aca="false">IF($A1283="",-1,IF($J1283=Setup!$B$7,1,IF($J1283=Setup!$B$9,0,-1)))</f>
        <v>-1</v>
      </c>
      <c r="S1283" s="35" t="n">
        <f aca="false">IF(OR($A1283="",$Q1283=0,$R1283=-1),0,$Q1283*1000+$R1283*100+$K1283)</f>
        <v>0</v>
      </c>
      <c r="T1283" s="37" t="str">
        <f aca="false">IF($A1283="","",IF($B1283="","NO ACCOUNT",IF($Q1283=0,"UNMAPPED",IF($R1283=-1,"OUTSIDE FY RANGE","OK"))))</f>
        <v/>
      </c>
      <c r="U1283" s="40" t="str">
        <f aca="false">IF($A1283="","",$B1283&amp;"|"&amp;TEXT($A1283,"yyyymmdd")&amp;"|"&amp;TEXT($I1283,"0.00"))</f>
        <v/>
      </c>
      <c r="V1283" s="35" t="str">
        <f aca="false">IF($A1283="","",COUNTIF($U$8:$U$5007,$U1283))</f>
        <v/>
      </c>
    </row>
    <row r="1284" customFormat="false" ht="15" hidden="false" customHeight="false" outlineLevel="0" collapsed="false">
      <c r="A1284" s="31"/>
      <c r="B1284" s="32"/>
      <c r="C1284" s="32"/>
      <c r="D1284" s="32"/>
      <c r="E1284" s="32"/>
      <c r="F1284" s="32"/>
      <c r="G1284" s="33"/>
      <c r="H1284" s="33"/>
      <c r="I1284" s="34" t="str">
        <f aca="false">IF($A1284="","",$G1284-$H1284)</f>
        <v/>
      </c>
      <c r="J1284" s="35" t="str">
        <f aca="false">IF($A1284="","",IF(Setup!$B$6=1,YEAR($A1284),YEAR($A1284)+IF(MONTH($A1284)&gt;=Setup!$B$6,1,0)))</f>
        <v/>
      </c>
      <c r="K1284" s="35" t="str">
        <f aca="false">IF($A1284="","",MOD(MONTH($A1284)-Setup!$B$6+12,12)+1)</f>
        <v/>
      </c>
      <c r="L1284" s="36" t="str">
        <f aca="false">IF($A1284="","",TEXT($A1284,"MMM-YY"))</f>
        <v/>
      </c>
      <c r="M1284" s="37" t="str">
        <f aca="false">IF($A1284="","",IF($Q1284=0,"UNMAPPED",INDEX(COA_Mapping!$C$7:$C$256,$Q1284)))</f>
        <v/>
      </c>
      <c r="N1284" s="38" t="str">
        <f aca="false">IF($A1284="","",IF($Q1284=0,"",INDEX(COA_Mapping!$E$7:$E$256,$Q1284)))</f>
        <v/>
      </c>
      <c r="O1284" s="38" t="n">
        <f aca="false">IF($A1284="",1,IF($Q1284=0,1,INDEX(COA_Mapping!$F$7:$F$256,$Q1284)))</f>
        <v>1</v>
      </c>
      <c r="P1284" s="34" t="str">
        <f aca="false">IF($A1284="","",$I1284*$O1284)</f>
        <v/>
      </c>
      <c r="Q1284" s="39" t="n">
        <f aca="false">IF($B1284="",0,IFERROR(MATCH($B1284,COA_Mapping!$A$7:$A$256,0),0))</f>
        <v>0</v>
      </c>
      <c r="R1284" s="39" t="n">
        <f aca="false">IF($A1284="",-1,IF($J1284=Setup!$B$7,1,IF($J1284=Setup!$B$9,0,-1)))</f>
        <v>-1</v>
      </c>
      <c r="S1284" s="35" t="n">
        <f aca="false">IF(OR($A1284="",$Q1284=0,$R1284=-1),0,$Q1284*1000+$R1284*100+$K1284)</f>
        <v>0</v>
      </c>
      <c r="T1284" s="37" t="str">
        <f aca="false">IF($A1284="","",IF($B1284="","NO ACCOUNT",IF($Q1284=0,"UNMAPPED",IF($R1284=-1,"OUTSIDE FY RANGE","OK"))))</f>
        <v/>
      </c>
      <c r="U1284" s="40" t="str">
        <f aca="false">IF($A1284="","",$B1284&amp;"|"&amp;TEXT($A1284,"yyyymmdd")&amp;"|"&amp;TEXT($I1284,"0.00"))</f>
        <v/>
      </c>
      <c r="V1284" s="35" t="str">
        <f aca="false">IF($A1284="","",COUNTIF($U$8:$U$5007,$U1284))</f>
        <v/>
      </c>
    </row>
    <row r="1285" customFormat="false" ht="15" hidden="false" customHeight="false" outlineLevel="0" collapsed="false">
      <c r="A1285" s="31"/>
      <c r="B1285" s="32"/>
      <c r="C1285" s="32"/>
      <c r="D1285" s="32"/>
      <c r="E1285" s="32"/>
      <c r="F1285" s="32"/>
      <c r="G1285" s="33"/>
      <c r="H1285" s="33"/>
      <c r="I1285" s="34" t="str">
        <f aca="false">IF($A1285="","",$G1285-$H1285)</f>
        <v/>
      </c>
      <c r="J1285" s="35" t="str">
        <f aca="false">IF($A1285="","",IF(Setup!$B$6=1,YEAR($A1285),YEAR($A1285)+IF(MONTH($A1285)&gt;=Setup!$B$6,1,0)))</f>
        <v/>
      </c>
      <c r="K1285" s="35" t="str">
        <f aca="false">IF($A1285="","",MOD(MONTH($A1285)-Setup!$B$6+12,12)+1)</f>
        <v/>
      </c>
      <c r="L1285" s="36" t="str">
        <f aca="false">IF($A1285="","",TEXT($A1285,"MMM-YY"))</f>
        <v/>
      </c>
      <c r="M1285" s="37" t="str">
        <f aca="false">IF($A1285="","",IF($Q1285=0,"UNMAPPED",INDEX(COA_Mapping!$C$7:$C$256,$Q1285)))</f>
        <v/>
      </c>
      <c r="N1285" s="38" t="str">
        <f aca="false">IF($A1285="","",IF($Q1285=0,"",INDEX(COA_Mapping!$E$7:$E$256,$Q1285)))</f>
        <v/>
      </c>
      <c r="O1285" s="38" t="n">
        <f aca="false">IF($A1285="",1,IF($Q1285=0,1,INDEX(COA_Mapping!$F$7:$F$256,$Q1285)))</f>
        <v>1</v>
      </c>
      <c r="P1285" s="34" t="str">
        <f aca="false">IF($A1285="","",$I1285*$O1285)</f>
        <v/>
      </c>
      <c r="Q1285" s="39" t="n">
        <f aca="false">IF($B1285="",0,IFERROR(MATCH($B1285,COA_Mapping!$A$7:$A$256,0),0))</f>
        <v>0</v>
      </c>
      <c r="R1285" s="39" t="n">
        <f aca="false">IF($A1285="",-1,IF($J1285=Setup!$B$7,1,IF($J1285=Setup!$B$9,0,-1)))</f>
        <v>-1</v>
      </c>
      <c r="S1285" s="35" t="n">
        <f aca="false">IF(OR($A1285="",$Q1285=0,$R1285=-1),0,$Q1285*1000+$R1285*100+$K1285)</f>
        <v>0</v>
      </c>
      <c r="T1285" s="37" t="str">
        <f aca="false">IF($A1285="","",IF($B1285="","NO ACCOUNT",IF($Q1285=0,"UNMAPPED",IF($R1285=-1,"OUTSIDE FY RANGE","OK"))))</f>
        <v/>
      </c>
      <c r="U1285" s="40" t="str">
        <f aca="false">IF($A1285="","",$B1285&amp;"|"&amp;TEXT($A1285,"yyyymmdd")&amp;"|"&amp;TEXT($I1285,"0.00"))</f>
        <v/>
      </c>
      <c r="V1285" s="35" t="str">
        <f aca="false">IF($A1285="","",COUNTIF($U$8:$U$5007,$U1285))</f>
        <v/>
      </c>
    </row>
    <row r="1286" customFormat="false" ht="15" hidden="false" customHeight="false" outlineLevel="0" collapsed="false">
      <c r="A1286" s="31"/>
      <c r="B1286" s="32"/>
      <c r="C1286" s="32"/>
      <c r="D1286" s="32"/>
      <c r="E1286" s="32"/>
      <c r="F1286" s="32"/>
      <c r="G1286" s="33"/>
      <c r="H1286" s="33"/>
      <c r="I1286" s="34" t="str">
        <f aca="false">IF($A1286="","",$G1286-$H1286)</f>
        <v/>
      </c>
      <c r="J1286" s="35" t="str">
        <f aca="false">IF($A1286="","",IF(Setup!$B$6=1,YEAR($A1286),YEAR($A1286)+IF(MONTH($A1286)&gt;=Setup!$B$6,1,0)))</f>
        <v/>
      </c>
      <c r="K1286" s="35" t="str">
        <f aca="false">IF($A1286="","",MOD(MONTH($A1286)-Setup!$B$6+12,12)+1)</f>
        <v/>
      </c>
      <c r="L1286" s="36" t="str">
        <f aca="false">IF($A1286="","",TEXT($A1286,"MMM-YY"))</f>
        <v/>
      </c>
      <c r="M1286" s="37" t="str">
        <f aca="false">IF($A1286="","",IF($Q1286=0,"UNMAPPED",INDEX(COA_Mapping!$C$7:$C$256,$Q1286)))</f>
        <v/>
      </c>
      <c r="N1286" s="38" t="str">
        <f aca="false">IF($A1286="","",IF($Q1286=0,"",INDEX(COA_Mapping!$E$7:$E$256,$Q1286)))</f>
        <v/>
      </c>
      <c r="O1286" s="38" t="n">
        <f aca="false">IF($A1286="",1,IF($Q1286=0,1,INDEX(COA_Mapping!$F$7:$F$256,$Q1286)))</f>
        <v>1</v>
      </c>
      <c r="P1286" s="34" t="str">
        <f aca="false">IF($A1286="","",$I1286*$O1286)</f>
        <v/>
      </c>
      <c r="Q1286" s="39" t="n">
        <f aca="false">IF($B1286="",0,IFERROR(MATCH($B1286,COA_Mapping!$A$7:$A$256,0),0))</f>
        <v>0</v>
      </c>
      <c r="R1286" s="39" t="n">
        <f aca="false">IF($A1286="",-1,IF($J1286=Setup!$B$7,1,IF($J1286=Setup!$B$9,0,-1)))</f>
        <v>-1</v>
      </c>
      <c r="S1286" s="35" t="n">
        <f aca="false">IF(OR($A1286="",$Q1286=0,$R1286=-1),0,$Q1286*1000+$R1286*100+$K1286)</f>
        <v>0</v>
      </c>
      <c r="T1286" s="37" t="str">
        <f aca="false">IF($A1286="","",IF($B1286="","NO ACCOUNT",IF($Q1286=0,"UNMAPPED",IF($R1286=-1,"OUTSIDE FY RANGE","OK"))))</f>
        <v/>
      </c>
      <c r="U1286" s="40" t="str">
        <f aca="false">IF($A1286="","",$B1286&amp;"|"&amp;TEXT($A1286,"yyyymmdd")&amp;"|"&amp;TEXT($I1286,"0.00"))</f>
        <v/>
      </c>
      <c r="V1286" s="35" t="str">
        <f aca="false">IF($A1286="","",COUNTIF($U$8:$U$5007,$U1286))</f>
        <v/>
      </c>
    </row>
    <row r="1287" customFormat="false" ht="15" hidden="false" customHeight="false" outlineLevel="0" collapsed="false">
      <c r="A1287" s="31"/>
      <c r="B1287" s="32"/>
      <c r="C1287" s="32"/>
      <c r="D1287" s="32"/>
      <c r="E1287" s="32"/>
      <c r="F1287" s="32"/>
      <c r="G1287" s="33"/>
      <c r="H1287" s="33"/>
      <c r="I1287" s="34" t="str">
        <f aca="false">IF($A1287="","",$G1287-$H1287)</f>
        <v/>
      </c>
      <c r="J1287" s="35" t="str">
        <f aca="false">IF($A1287="","",IF(Setup!$B$6=1,YEAR($A1287),YEAR($A1287)+IF(MONTH($A1287)&gt;=Setup!$B$6,1,0)))</f>
        <v/>
      </c>
      <c r="K1287" s="35" t="str">
        <f aca="false">IF($A1287="","",MOD(MONTH($A1287)-Setup!$B$6+12,12)+1)</f>
        <v/>
      </c>
      <c r="L1287" s="36" t="str">
        <f aca="false">IF($A1287="","",TEXT($A1287,"MMM-YY"))</f>
        <v/>
      </c>
      <c r="M1287" s="37" t="str">
        <f aca="false">IF($A1287="","",IF($Q1287=0,"UNMAPPED",INDEX(COA_Mapping!$C$7:$C$256,$Q1287)))</f>
        <v/>
      </c>
      <c r="N1287" s="38" t="str">
        <f aca="false">IF($A1287="","",IF($Q1287=0,"",INDEX(COA_Mapping!$E$7:$E$256,$Q1287)))</f>
        <v/>
      </c>
      <c r="O1287" s="38" t="n">
        <f aca="false">IF($A1287="",1,IF($Q1287=0,1,INDEX(COA_Mapping!$F$7:$F$256,$Q1287)))</f>
        <v>1</v>
      </c>
      <c r="P1287" s="34" t="str">
        <f aca="false">IF($A1287="","",$I1287*$O1287)</f>
        <v/>
      </c>
      <c r="Q1287" s="39" t="n">
        <f aca="false">IF($B1287="",0,IFERROR(MATCH($B1287,COA_Mapping!$A$7:$A$256,0),0))</f>
        <v>0</v>
      </c>
      <c r="R1287" s="39" t="n">
        <f aca="false">IF($A1287="",-1,IF($J1287=Setup!$B$7,1,IF($J1287=Setup!$B$9,0,-1)))</f>
        <v>-1</v>
      </c>
      <c r="S1287" s="35" t="n">
        <f aca="false">IF(OR($A1287="",$Q1287=0,$R1287=-1),0,$Q1287*1000+$R1287*100+$K1287)</f>
        <v>0</v>
      </c>
      <c r="T1287" s="37" t="str">
        <f aca="false">IF($A1287="","",IF($B1287="","NO ACCOUNT",IF($Q1287=0,"UNMAPPED",IF($R1287=-1,"OUTSIDE FY RANGE","OK"))))</f>
        <v/>
      </c>
      <c r="U1287" s="40" t="str">
        <f aca="false">IF($A1287="","",$B1287&amp;"|"&amp;TEXT($A1287,"yyyymmdd")&amp;"|"&amp;TEXT($I1287,"0.00"))</f>
        <v/>
      </c>
      <c r="V1287" s="35" t="str">
        <f aca="false">IF($A1287="","",COUNTIF($U$8:$U$5007,$U1287))</f>
        <v/>
      </c>
    </row>
    <row r="1288" customFormat="false" ht="15" hidden="false" customHeight="false" outlineLevel="0" collapsed="false">
      <c r="A1288" s="31"/>
      <c r="B1288" s="32"/>
      <c r="C1288" s="32"/>
      <c r="D1288" s="32"/>
      <c r="E1288" s="32"/>
      <c r="F1288" s="32"/>
      <c r="G1288" s="33"/>
      <c r="H1288" s="33"/>
      <c r="I1288" s="34" t="str">
        <f aca="false">IF($A1288="","",$G1288-$H1288)</f>
        <v/>
      </c>
      <c r="J1288" s="35" t="str">
        <f aca="false">IF($A1288="","",IF(Setup!$B$6=1,YEAR($A1288),YEAR($A1288)+IF(MONTH($A1288)&gt;=Setup!$B$6,1,0)))</f>
        <v/>
      </c>
      <c r="K1288" s="35" t="str">
        <f aca="false">IF($A1288="","",MOD(MONTH($A1288)-Setup!$B$6+12,12)+1)</f>
        <v/>
      </c>
      <c r="L1288" s="36" t="str">
        <f aca="false">IF($A1288="","",TEXT($A1288,"MMM-YY"))</f>
        <v/>
      </c>
      <c r="M1288" s="37" t="str">
        <f aca="false">IF($A1288="","",IF($Q1288=0,"UNMAPPED",INDEX(COA_Mapping!$C$7:$C$256,$Q1288)))</f>
        <v/>
      </c>
      <c r="N1288" s="38" t="str">
        <f aca="false">IF($A1288="","",IF($Q1288=0,"",INDEX(COA_Mapping!$E$7:$E$256,$Q1288)))</f>
        <v/>
      </c>
      <c r="O1288" s="38" t="n">
        <f aca="false">IF($A1288="",1,IF($Q1288=0,1,INDEX(COA_Mapping!$F$7:$F$256,$Q1288)))</f>
        <v>1</v>
      </c>
      <c r="P1288" s="34" t="str">
        <f aca="false">IF($A1288="","",$I1288*$O1288)</f>
        <v/>
      </c>
      <c r="Q1288" s="39" t="n">
        <f aca="false">IF($B1288="",0,IFERROR(MATCH($B1288,COA_Mapping!$A$7:$A$256,0),0))</f>
        <v>0</v>
      </c>
      <c r="R1288" s="39" t="n">
        <f aca="false">IF($A1288="",-1,IF($J1288=Setup!$B$7,1,IF($J1288=Setup!$B$9,0,-1)))</f>
        <v>-1</v>
      </c>
      <c r="S1288" s="35" t="n">
        <f aca="false">IF(OR($A1288="",$Q1288=0,$R1288=-1),0,$Q1288*1000+$R1288*100+$K1288)</f>
        <v>0</v>
      </c>
      <c r="T1288" s="37" t="str">
        <f aca="false">IF($A1288="","",IF($B1288="","NO ACCOUNT",IF($Q1288=0,"UNMAPPED",IF($R1288=-1,"OUTSIDE FY RANGE","OK"))))</f>
        <v/>
      </c>
      <c r="U1288" s="40" t="str">
        <f aca="false">IF($A1288="","",$B1288&amp;"|"&amp;TEXT($A1288,"yyyymmdd")&amp;"|"&amp;TEXT($I1288,"0.00"))</f>
        <v/>
      </c>
      <c r="V1288" s="35" t="str">
        <f aca="false">IF($A1288="","",COUNTIF($U$8:$U$5007,$U1288))</f>
        <v/>
      </c>
    </row>
    <row r="1289" customFormat="false" ht="15" hidden="false" customHeight="false" outlineLevel="0" collapsed="false">
      <c r="A1289" s="31"/>
      <c r="B1289" s="32"/>
      <c r="C1289" s="32"/>
      <c r="D1289" s="32"/>
      <c r="E1289" s="32"/>
      <c r="F1289" s="32"/>
      <c r="G1289" s="33"/>
      <c r="H1289" s="33"/>
      <c r="I1289" s="34" t="str">
        <f aca="false">IF($A1289="","",$G1289-$H1289)</f>
        <v/>
      </c>
      <c r="J1289" s="35" t="str">
        <f aca="false">IF($A1289="","",IF(Setup!$B$6=1,YEAR($A1289),YEAR($A1289)+IF(MONTH($A1289)&gt;=Setup!$B$6,1,0)))</f>
        <v/>
      </c>
      <c r="K1289" s="35" t="str">
        <f aca="false">IF($A1289="","",MOD(MONTH($A1289)-Setup!$B$6+12,12)+1)</f>
        <v/>
      </c>
      <c r="L1289" s="36" t="str">
        <f aca="false">IF($A1289="","",TEXT($A1289,"MMM-YY"))</f>
        <v/>
      </c>
      <c r="M1289" s="37" t="str">
        <f aca="false">IF($A1289="","",IF($Q1289=0,"UNMAPPED",INDEX(COA_Mapping!$C$7:$C$256,$Q1289)))</f>
        <v/>
      </c>
      <c r="N1289" s="38" t="str">
        <f aca="false">IF($A1289="","",IF($Q1289=0,"",INDEX(COA_Mapping!$E$7:$E$256,$Q1289)))</f>
        <v/>
      </c>
      <c r="O1289" s="38" t="n">
        <f aca="false">IF($A1289="",1,IF($Q1289=0,1,INDEX(COA_Mapping!$F$7:$F$256,$Q1289)))</f>
        <v>1</v>
      </c>
      <c r="P1289" s="34" t="str">
        <f aca="false">IF($A1289="","",$I1289*$O1289)</f>
        <v/>
      </c>
      <c r="Q1289" s="39" t="n">
        <f aca="false">IF($B1289="",0,IFERROR(MATCH($B1289,COA_Mapping!$A$7:$A$256,0),0))</f>
        <v>0</v>
      </c>
      <c r="R1289" s="39" t="n">
        <f aca="false">IF($A1289="",-1,IF($J1289=Setup!$B$7,1,IF($J1289=Setup!$B$9,0,-1)))</f>
        <v>-1</v>
      </c>
      <c r="S1289" s="35" t="n">
        <f aca="false">IF(OR($A1289="",$Q1289=0,$R1289=-1),0,$Q1289*1000+$R1289*100+$K1289)</f>
        <v>0</v>
      </c>
      <c r="T1289" s="37" t="str">
        <f aca="false">IF($A1289="","",IF($B1289="","NO ACCOUNT",IF($Q1289=0,"UNMAPPED",IF($R1289=-1,"OUTSIDE FY RANGE","OK"))))</f>
        <v/>
      </c>
      <c r="U1289" s="40" t="str">
        <f aca="false">IF($A1289="","",$B1289&amp;"|"&amp;TEXT($A1289,"yyyymmdd")&amp;"|"&amp;TEXT($I1289,"0.00"))</f>
        <v/>
      </c>
      <c r="V1289" s="35" t="str">
        <f aca="false">IF($A1289="","",COUNTIF($U$8:$U$5007,$U1289))</f>
        <v/>
      </c>
    </row>
    <row r="1290" customFormat="false" ht="15" hidden="false" customHeight="false" outlineLevel="0" collapsed="false">
      <c r="A1290" s="31"/>
      <c r="B1290" s="32"/>
      <c r="C1290" s="32"/>
      <c r="D1290" s="32"/>
      <c r="E1290" s="32"/>
      <c r="F1290" s="32"/>
      <c r="G1290" s="33"/>
      <c r="H1290" s="33"/>
      <c r="I1290" s="34" t="str">
        <f aca="false">IF($A1290="","",$G1290-$H1290)</f>
        <v/>
      </c>
      <c r="J1290" s="35" t="str">
        <f aca="false">IF($A1290="","",IF(Setup!$B$6=1,YEAR($A1290),YEAR($A1290)+IF(MONTH($A1290)&gt;=Setup!$B$6,1,0)))</f>
        <v/>
      </c>
      <c r="K1290" s="35" t="str">
        <f aca="false">IF($A1290="","",MOD(MONTH($A1290)-Setup!$B$6+12,12)+1)</f>
        <v/>
      </c>
      <c r="L1290" s="36" t="str">
        <f aca="false">IF($A1290="","",TEXT($A1290,"MMM-YY"))</f>
        <v/>
      </c>
      <c r="M1290" s="37" t="str">
        <f aca="false">IF($A1290="","",IF($Q1290=0,"UNMAPPED",INDEX(COA_Mapping!$C$7:$C$256,$Q1290)))</f>
        <v/>
      </c>
      <c r="N1290" s="38" t="str">
        <f aca="false">IF($A1290="","",IF($Q1290=0,"",INDEX(COA_Mapping!$E$7:$E$256,$Q1290)))</f>
        <v/>
      </c>
      <c r="O1290" s="38" t="n">
        <f aca="false">IF($A1290="",1,IF($Q1290=0,1,INDEX(COA_Mapping!$F$7:$F$256,$Q1290)))</f>
        <v>1</v>
      </c>
      <c r="P1290" s="34" t="str">
        <f aca="false">IF($A1290="","",$I1290*$O1290)</f>
        <v/>
      </c>
      <c r="Q1290" s="39" t="n">
        <f aca="false">IF($B1290="",0,IFERROR(MATCH($B1290,COA_Mapping!$A$7:$A$256,0),0))</f>
        <v>0</v>
      </c>
      <c r="R1290" s="39" t="n">
        <f aca="false">IF($A1290="",-1,IF($J1290=Setup!$B$7,1,IF($J1290=Setup!$B$9,0,-1)))</f>
        <v>-1</v>
      </c>
      <c r="S1290" s="35" t="n">
        <f aca="false">IF(OR($A1290="",$Q1290=0,$R1290=-1),0,$Q1290*1000+$R1290*100+$K1290)</f>
        <v>0</v>
      </c>
      <c r="T1290" s="37" t="str">
        <f aca="false">IF($A1290="","",IF($B1290="","NO ACCOUNT",IF($Q1290=0,"UNMAPPED",IF($R1290=-1,"OUTSIDE FY RANGE","OK"))))</f>
        <v/>
      </c>
      <c r="U1290" s="40" t="str">
        <f aca="false">IF($A1290="","",$B1290&amp;"|"&amp;TEXT($A1290,"yyyymmdd")&amp;"|"&amp;TEXT($I1290,"0.00"))</f>
        <v/>
      </c>
      <c r="V1290" s="35" t="str">
        <f aca="false">IF($A1290="","",COUNTIF($U$8:$U$5007,$U1290))</f>
        <v/>
      </c>
    </row>
    <row r="1291" customFormat="false" ht="15" hidden="false" customHeight="false" outlineLevel="0" collapsed="false">
      <c r="A1291" s="31"/>
      <c r="B1291" s="32"/>
      <c r="C1291" s="32"/>
      <c r="D1291" s="32"/>
      <c r="E1291" s="32"/>
      <c r="F1291" s="32"/>
      <c r="G1291" s="33"/>
      <c r="H1291" s="33"/>
      <c r="I1291" s="34" t="str">
        <f aca="false">IF($A1291="","",$G1291-$H1291)</f>
        <v/>
      </c>
      <c r="J1291" s="35" t="str">
        <f aca="false">IF($A1291="","",IF(Setup!$B$6=1,YEAR($A1291),YEAR($A1291)+IF(MONTH($A1291)&gt;=Setup!$B$6,1,0)))</f>
        <v/>
      </c>
      <c r="K1291" s="35" t="str">
        <f aca="false">IF($A1291="","",MOD(MONTH($A1291)-Setup!$B$6+12,12)+1)</f>
        <v/>
      </c>
      <c r="L1291" s="36" t="str">
        <f aca="false">IF($A1291="","",TEXT($A1291,"MMM-YY"))</f>
        <v/>
      </c>
      <c r="M1291" s="37" t="str">
        <f aca="false">IF($A1291="","",IF($Q1291=0,"UNMAPPED",INDEX(COA_Mapping!$C$7:$C$256,$Q1291)))</f>
        <v/>
      </c>
      <c r="N1291" s="38" t="str">
        <f aca="false">IF($A1291="","",IF($Q1291=0,"",INDEX(COA_Mapping!$E$7:$E$256,$Q1291)))</f>
        <v/>
      </c>
      <c r="O1291" s="38" t="n">
        <f aca="false">IF($A1291="",1,IF($Q1291=0,1,INDEX(COA_Mapping!$F$7:$F$256,$Q1291)))</f>
        <v>1</v>
      </c>
      <c r="P1291" s="34" t="str">
        <f aca="false">IF($A1291="","",$I1291*$O1291)</f>
        <v/>
      </c>
      <c r="Q1291" s="39" t="n">
        <f aca="false">IF($B1291="",0,IFERROR(MATCH($B1291,COA_Mapping!$A$7:$A$256,0),0))</f>
        <v>0</v>
      </c>
      <c r="R1291" s="39" t="n">
        <f aca="false">IF($A1291="",-1,IF($J1291=Setup!$B$7,1,IF($J1291=Setup!$B$9,0,-1)))</f>
        <v>-1</v>
      </c>
      <c r="S1291" s="35" t="n">
        <f aca="false">IF(OR($A1291="",$Q1291=0,$R1291=-1),0,$Q1291*1000+$R1291*100+$K1291)</f>
        <v>0</v>
      </c>
      <c r="T1291" s="37" t="str">
        <f aca="false">IF($A1291="","",IF($B1291="","NO ACCOUNT",IF($Q1291=0,"UNMAPPED",IF($R1291=-1,"OUTSIDE FY RANGE","OK"))))</f>
        <v/>
      </c>
      <c r="U1291" s="40" t="str">
        <f aca="false">IF($A1291="","",$B1291&amp;"|"&amp;TEXT($A1291,"yyyymmdd")&amp;"|"&amp;TEXT($I1291,"0.00"))</f>
        <v/>
      </c>
      <c r="V1291" s="35" t="str">
        <f aca="false">IF($A1291="","",COUNTIF($U$8:$U$5007,$U1291))</f>
        <v/>
      </c>
    </row>
    <row r="1292" customFormat="false" ht="15" hidden="false" customHeight="false" outlineLevel="0" collapsed="false">
      <c r="A1292" s="31"/>
      <c r="B1292" s="32"/>
      <c r="C1292" s="32"/>
      <c r="D1292" s="32"/>
      <c r="E1292" s="32"/>
      <c r="F1292" s="32"/>
      <c r="G1292" s="33"/>
      <c r="H1292" s="33"/>
      <c r="I1292" s="34" t="str">
        <f aca="false">IF($A1292="","",$G1292-$H1292)</f>
        <v/>
      </c>
      <c r="J1292" s="35" t="str">
        <f aca="false">IF($A1292="","",IF(Setup!$B$6=1,YEAR($A1292),YEAR($A1292)+IF(MONTH($A1292)&gt;=Setup!$B$6,1,0)))</f>
        <v/>
      </c>
      <c r="K1292" s="35" t="str">
        <f aca="false">IF($A1292="","",MOD(MONTH($A1292)-Setup!$B$6+12,12)+1)</f>
        <v/>
      </c>
      <c r="L1292" s="36" t="str">
        <f aca="false">IF($A1292="","",TEXT($A1292,"MMM-YY"))</f>
        <v/>
      </c>
      <c r="M1292" s="37" t="str">
        <f aca="false">IF($A1292="","",IF($Q1292=0,"UNMAPPED",INDEX(COA_Mapping!$C$7:$C$256,$Q1292)))</f>
        <v/>
      </c>
      <c r="N1292" s="38" t="str">
        <f aca="false">IF($A1292="","",IF($Q1292=0,"",INDEX(COA_Mapping!$E$7:$E$256,$Q1292)))</f>
        <v/>
      </c>
      <c r="O1292" s="38" t="n">
        <f aca="false">IF($A1292="",1,IF($Q1292=0,1,INDEX(COA_Mapping!$F$7:$F$256,$Q1292)))</f>
        <v>1</v>
      </c>
      <c r="P1292" s="34" t="str">
        <f aca="false">IF($A1292="","",$I1292*$O1292)</f>
        <v/>
      </c>
      <c r="Q1292" s="39" t="n">
        <f aca="false">IF($B1292="",0,IFERROR(MATCH($B1292,COA_Mapping!$A$7:$A$256,0),0))</f>
        <v>0</v>
      </c>
      <c r="R1292" s="39" t="n">
        <f aca="false">IF($A1292="",-1,IF($J1292=Setup!$B$7,1,IF($J1292=Setup!$B$9,0,-1)))</f>
        <v>-1</v>
      </c>
      <c r="S1292" s="35" t="n">
        <f aca="false">IF(OR($A1292="",$Q1292=0,$R1292=-1),0,$Q1292*1000+$R1292*100+$K1292)</f>
        <v>0</v>
      </c>
      <c r="T1292" s="37" t="str">
        <f aca="false">IF($A1292="","",IF($B1292="","NO ACCOUNT",IF($Q1292=0,"UNMAPPED",IF($R1292=-1,"OUTSIDE FY RANGE","OK"))))</f>
        <v/>
      </c>
      <c r="U1292" s="40" t="str">
        <f aca="false">IF($A1292="","",$B1292&amp;"|"&amp;TEXT($A1292,"yyyymmdd")&amp;"|"&amp;TEXT($I1292,"0.00"))</f>
        <v/>
      </c>
      <c r="V1292" s="35" t="str">
        <f aca="false">IF($A1292="","",COUNTIF($U$8:$U$5007,$U1292))</f>
        <v/>
      </c>
    </row>
    <row r="1293" customFormat="false" ht="15" hidden="false" customHeight="false" outlineLevel="0" collapsed="false">
      <c r="A1293" s="31"/>
      <c r="B1293" s="32"/>
      <c r="C1293" s="32"/>
      <c r="D1293" s="32"/>
      <c r="E1293" s="32"/>
      <c r="F1293" s="32"/>
      <c r="G1293" s="33"/>
      <c r="H1293" s="33"/>
      <c r="I1293" s="34" t="str">
        <f aca="false">IF($A1293="","",$G1293-$H1293)</f>
        <v/>
      </c>
      <c r="J1293" s="35" t="str">
        <f aca="false">IF($A1293="","",IF(Setup!$B$6=1,YEAR($A1293),YEAR($A1293)+IF(MONTH($A1293)&gt;=Setup!$B$6,1,0)))</f>
        <v/>
      </c>
      <c r="K1293" s="35" t="str">
        <f aca="false">IF($A1293="","",MOD(MONTH($A1293)-Setup!$B$6+12,12)+1)</f>
        <v/>
      </c>
      <c r="L1293" s="36" t="str">
        <f aca="false">IF($A1293="","",TEXT($A1293,"MMM-YY"))</f>
        <v/>
      </c>
      <c r="M1293" s="37" t="str">
        <f aca="false">IF($A1293="","",IF($Q1293=0,"UNMAPPED",INDEX(COA_Mapping!$C$7:$C$256,$Q1293)))</f>
        <v/>
      </c>
      <c r="N1293" s="38" t="str">
        <f aca="false">IF($A1293="","",IF($Q1293=0,"",INDEX(COA_Mapping!$E$7:$E$256,$Q1293)))</f>
        <v/>
      </c>
      <c r="O1293" s="38" t="n">
        <f aca="false">IF($A1293="",1,IF($Q1293=0,1,INDEX(COA_Mapping!$F$7:$F$256,$Q1293)))</f>
        <v>1</v>
      </c>
      <c r="P1293" s="34" t="str">
        <f aca="false">IF($A1293="","",$I1293*$O1293)</f>
        <v/>
      </c>
      <c r="Q1293" s="39" t="n">
        <f aca="false">IF($B1293="",0,IFERROR(MATCH($B1293,COA_Mapping!$A$7:$A$256,0),0))</f>
        <v>0</v>
      </c>
      <c r="R1293" s="39" t="n">
        <f aca="false">IF($A1293="",-1,IF($J1293=Setup!$B$7,1,IF($J1293=Setup!$B$9,0,-1)))</f>
        <v>-1</v>
      </c>
      <c r="S1293" s="35" t="n">
        <f aca="false">IF(OR($A1293="",$Q1293=0,$R1293=-1),0,$Q1293*1000+$R1293*100+$K1293)</f>
        <v>0</v>
      </c>
      <c r="T1293" s="37" t="str">
        <f aca="false">IF($A1293="","",IF($B1293="","NO ACCOUNT",IF($Q1293=0,"UNMAPPED",IF($R1293=-1,"OUTSIDE FY RANGE","OK"))))</f>
        <v/>
      </c>
      <c r="U1293" s="40" t="str">
        <f aca="false">IF($A1293="","",$B1293&amp;"|"&amp;TEXT($A1293,"yyyymmdd")&amp;"|"&amp;TEXT($I1293,"0.00"))</f>
        <v/>
      </c>
      <c r="V1293" s="35" t="str">
        <f aca="false">IF($A1293="","",COUNTIF($U$8:$U$5007,$U1293))</f>
        <v/>
      </c>
    </row>
    <row r="1294" customFormat="false" ht="15" hidden="false" customHeight="false" outlineLevel="0" collapsed="false">
      <c r="A1294" s="31"/>
      <c r="B1294" s="32"/>
      <c r="C1294" s="32"/>
      <c r="D1294" s="32"/>
      <c r="E1294" s="32"/>
      <c r="F1294" s="32"/>
      <c r="G1294" s="33"/>
      <c r="H1294" s="33"/>
      <c r="I1294" s="34" t="str">
        <f aca="false">IF($A1294="","",$G1294-$H1294)</f>
        <v/>
      </c>
      <c r="J1294" s="35" t="str">
        <f aca="false">IF($A1294="","",IF(Setup!$B$6=1,YEAR($A1294),YEAR($A1294)+IF(MONTH($A1294)&gt;=Setup!$B$6,1,0)))</f>
        <v/>
      </c>
      <c r="K1294" s="35" t="str">
        <f aca="false">IF($A1294="","",MOD(MONTH($A1294)-Setup!$B$6+12,12)+1)</f>
        <v/>
      </c>
      <c r="L1294" s="36" t="str">
        <f aca="false">IF($A1294="","",TEXT($A1294,"MMM-YY"))</f>
        <v/>
      </c>
      <c r="M1294" s="37" t="str">
        <f aca="false">IF($A1294="","",IF($Q1294=0,"UNMAPPED",INDEX(COA_Mapping!$C$7:$C$256,$Q1294)))</f>
        <v/>
      </c>
      <c r="N1294" s="38" t="str">
        <f aca="false">IF($A1294="","",IF($Q1294=0,"",INDEX(COA_Mapping!$E$7:$E$256,$Q1294)))</f>
        <v/>
      </c>
      <c r="O1294" s="38" t="n">
        <f aca="false">IF($A1294="",1,IF($Q1294=0,1,INDEX(COA_Mapping!$F$7:$F$256,$Q1294)))</f>
        <v>1</v>
      </c>
      <c r="P1294" s="34" t="str">
        <f aca="false">IF($A1294="","",$I1294*$O1294)</f>
        <v/>
      </c>
      <c r="Q1294" s="39" t="n">
        <f aca="false">IF($B1294="",0,IFERROR(MATCH($B1294,COA_Mapping!$A$7:$A$256,0),0))</f>
        <v>0</v>
      </c>
      <c r="R1294" s="39" t="n">
        <f aca="false">IF($A1294="",-1,IF($J1294=Setup!$B$7,1,IF($J1294=Setup!$B$9,0,-1)))</f>
        <v>-1</v>
      </c>
      <c r="S1294" s="35" t="n">
        <f aca="false">IF(OR($A1294="",$Q1294=0,$R1294=-1),0,$Q1294*1000+$R1294*100+$K1294)</f>
        <v>0</v>
      </c>
      <c r="T1294" s="37" t="str">
        <f aca="false">IF($A1294="","",IF($B1294="","NO ACCOUNT",IF($Q1294=0,"UNMAPPED",IF($R1294=-1,"OUTSIDE FY RANGE","OK"))))</f>
        <v/>
      </c>
      <c r="U1294" s="40" t="str">
        <f aca="false">IF($A1294="","",$B1294&amp;"|"&amp;TEXT($A1294,"yyyymmdd")&amp;"|"&amp;TEXT($I1294,"0.00"))</f>
        <v/>
      </c>
      <c r="V1294" s="35" t="str">
        <f aca="false">IF($A1294="","",COUNTIF($U$8:$U$5007,$U1294))</f>
        <v/>
      </c>
    </row>
    <row r="1295" customFormat="false" ht="15" hidden="false" customHeight="false" outlineLevel="0" collapsed="false">
      <c r="A1295" s="31"/>
      <c r="B1295" s="32"/>
      <c r="C1295" s="32"/>
      <c r="D1295" s="32"/>
      <c r="E1295" s="32"/>
      <c r="F1295" s="32"/>
      <c r="G1295" s="33"/>
      <c r="H1295" s="33"/>
      <c r="I1295" s="34" t="str">
        <f aca="false">IF($A1295="","",$G1295-$H1295)</f>
        <v/>
      </c>
      <c r="J1295" s="35" t="str">
        <f aca="false">IF($A1295="","",IF(Setup!$B$6=1,YEAR($A1295),YEAR($A1295)+IF(MONTH($A1295)&gt;=Setup!$B$6,1,0)))</f>
        <v/>
      </c>
      <c r="K1295" s="35" t="str">
        <f aca="false">IF($A1295="","",MOD(MONTH($A1295)-Setup!$B$6+12,12)+1)</f>
        <v/>
      </c>
      <c r="L1295" s="36" t="str">
        <f aca="false">IF($A1295="","",TEXT($A1295,"MMM-YY"))</f>
        <v/>
      </c>
      <c r="M1295" s="37" t="str">
        <f aca="false">IF($A1295="","",IF($Q1295=0,"UNMAPPED",INDEX(COA_Mapping!$C$7:$C$256,$Q1295)))</f>
        <v/>
      </c>
      <c r="N1295" s="38" t="str">
        <f aca="false">IF($A1295="","",IF($Q1295=0,"",INDEX(COA_Mapping!$E$7:$E$256,$Q1295)))</f>
        <v/>
      </c>
      <c r="O1295" s="38" t="n">
        <f aca="false">IF($A1295="",1,IF($Q1295=0,1,INDEX(COA_Mapping!$F$7:$F$256,$Q1295)))</f>
        <v>1</v>
      </c>
      <c r="P1295" s="34" t="str">
        <f aca="false">IF($A1295="","",$I1295*$O1295)</f>
        <v/>
      </c>
      <c r="Q1295" s="39" t="n">
        <f aca="false">IF($B1295="",0,IFERROR(MATCH($B1295,COA_Mapping!$A$7:$A$256,0),0))</f>
        <v>0</v>
      </c>
      <c r="R1295" s="39" t="n">
        <f aca="false">IF($A1295="",-1,IF($J1295=Setup!$B$7,1,IF($J1295=Setup!$B$9,0,-1)))</f>
        <v>-1</v>
      </c>
      <c r="S1295" s="35" t="n">
        <f aca="false">IF(OR($A1295="",$Q1295=0,$R1295=-1),0,$Q1295*1000+$R1295*100+$K1295)</f>
        <v>0</v>
      </c>
      <c r="T1295" s="37" t="str">
        <f aca="false">IF($A1295="","",IF($B1295="","NO ACCOUNT",IF($Q1295=0,"UNMAPPED",IF($R1295=-1,"OUTSIDE FY RANGE","OK"))))</f>
        <v/>
      </c>
      <c r="U1295" s="40" t="str">
        <f aca="false">IF($A1295="","",$B1295&amp;"|"&amp;TEXT($A1295,"yyyymmdd")&amp;"|"&amp;TEXT($I1295,"0.00"))</f>
        <v/>
      </c>
      <c r="V1295" s="35" t="str">
        <f aca="false">IF($A1295="","",COUNTIF($U$8:$U$5007,$U1295))</f>
        <v/>
      </c>
    </row>
    <row r="1296" customFormat="false" ht="15" hidden="false" customHeight="false" outlineLevel="0" collapsed="false">
      <c r="A1296" s="31"/>
      <c r="B1296" s="32"/>
      <c r="C1296" s="32"/>
      <c r="D1296" s="32"/>
      <c r="E1296" s="32"/>
      <c r="F1296" s="32"/>
      <c r="G1296" s="33"/>
      <c r="H1296" s="33"/>
      <c r="I1296" s="34" t="str">
        <f aca="false">IF($A1296="","",$G1296-$H1296)</f>
        <v/>
      </c>
      <c r="J1296" s="35" t="str">
        <f aca="false">IF($A1296="","",IF(Setup!$B$6=1,YEAR($A1296),YEAR($A1296)+IF(MONTH($A1296)&gt;=Setup!$B$6,1,0)))</f>
        <v/>
      </c>
      <c r="K1296" s="35" t="str">
        <f aca="false">IF($A1296="","",MOD(MONTH($A1296)-Setup!$B$6+12,12)+1)</f>
        <v/>
      </c>
      <c r="L1296" s="36" t="str">
        <f aca="false">IF($A1296="","",TEXT($A1296,"MMM-YY"))</f>
        <v/>
      </c>
      <c r="M1296" s="37" t="str">
        <f aca="false">IF($A1296="","",IF($Q1296=0,"UNMAPPED",INDEX(COA_Mapping!$C$7:$C$256,$Q1296)))</f>
        <v/>
      </c>
      <c r="N1296" s="38" t="str">
        <f aca="false">IF($A1296="","",IF($Q1296=0,"",INDEX(COA_Mapping!$E$7:$E$256,$Q1296)))</f>
        <v/>
      </c>
      <c r="O1296" s="38" t="n">
        <f aca="false">IF($A1296="",1,IF($Q1296=0,1,INDEX(COA_Mapping!$F$7:$F$256,$Q1296)))</f>
        <v>1</v>
      </c>
      <c r="P1296" s="34" t="str">
        <f aca="false">IF($A1296="","",$I1296*$O1296)</f>
        <v/>
      </c>
      <c r="Q1296" s="39" t="n">
        <f aca="false">IF($B1296="",0,IFERROR(MATCH($B1296,COA_Mapping!$A$7:$A$256,0),0))</f>
        <v>0</v>
      </c>
      <c r="R1296" s="39" t="n">
        <f aca="false">IF($A1296="",-1,IF($J1296=Setup!$B$7,1,IF($J1296=Setup!$B$9,0,-1)))</f>
        <v>-1</v>
      </c>
      <c r="S1296" s="35" t="n">
        <f aca="false">IF(OR($A1296="",$Q1296=0,$R1296=-1),0,$Q1296*1000+$R1296*100+$K1296)</f>
        <v>0</v>
      </c>
      <c r="T1296" s="37" t="str">
        <f aca="false">IF($A1296="","",IF($B1296="","NO ACCOUNT",IF($Q1296=0,"UNMAPPED",IF($R1296=-1,"OUTSIDE FY RANGE","OK"))))</f>
        <v/>
      </c>
      <c r="U1296" s="40" t="str">
        <f aca="false">IF($A1296="","",$B1296&amp;"|"&amp;TEXT($A1296,"yyyymmdd")&amp;"|"&amp;TEXT($I1296,"0.00"))</f>
        <v/>
      </c>
      <c r="V1296" s="35" t="str">
        <f aca="false">IF($A1296="","",COUNTIF($U$8:$U$5007,$U1296))</f>
        <v/>
      </c>
    </row>
    <row r="1297" customFormat="false" ht="15" hidden="false" customHeight="false" outlineLevel="0" collapsed="false">
      <c r="A1297" s="31"/>
      <c r="B1297" s="32"/>
      <c r="C1297" s="32"/>
      <c r="D1297" s="32"/>
      <c r="E1297" s="32"/>
      <c r="F1297" s="32"/>
      <c r="G1297" s="33"/>
      <c r="H1297" s="33"/>
      <c r="I1297" s="34" t="str">
        <f aca="false">IF($A1297="","",$G1297-$H1297)</f>
        <v/>
      </c>
      <c r="J1297" s="35" t="str">
        <f aca="false">IF($A1297="","",IF(Setup!$B$6=1,YEAR($A1297),YEAR($A1297)+IF(MONTH($A1297)&gt;=Setup!$B$6,1,0)))</f>
        <v/>
      </c>
      <c r="K1297" s="35" t="str">
        <f aca="false">IF($A1297="","",MOD(MONTH($A1297)-Setup!$B$6+12,12)+1)</f>
        <v/>
      </c>
      <c r="L1297" s="36" t="str">
        <f aca="false">IF($A1297="","",TEXT($A1297,"MMM-YY"))</f>
        <v/>
      </c>
      <c r="M1297" s="37" t="str">
        <f aca="false">IF($A1297="","",IF($Q1297=0,"UNMAPPED",INDEX(COA_Mapping!$C$7:$C$256,$Q1297)))</f>
        <v/>
      </c>
      <c r="N1297" s="38" t="str">
        <f aca="false">IF($A1297="","",IF($Q1297=0,"",INDEX(COA_Mapping!$E$7:$E$256,$Q1297)))</f>
        <v/>
      </c>
      <c r="O1297" s="38" t="n">
        <f aca="false">IF($A1297="",1,IF($Q1297=0,1,INDEX(COA_Mapping!$F$7:$F$256,$Q1297)))</f>
        <v>1</v>
      </c>
      <c r="P1297" s="34" t="str">
        <f aca="false">IF($A1297="","",$I1297*$O1297)</f>
        <v/>
      </c>
      <c r="Q1297" s="39" t="n">
        <f aca="false">IF($B1297="",0,IFERROR(MATCH($B1297,COA_Mapping!$A$7:$A$256,0),0))</f>
        <v>0</v>
      </c>
      <c r="R1297" s="39" t="n">
        <f aca="false">IF($A1297="",-1,IF($J1297=Setup!$B$7,1,IF($J1297=Setup!$B$9,0,-1)))</f>
        <v>-1</v>
      </c>
      <c r="S1297" s="35" t="n">
        <f aca="false">IF(OR($A1297="",$Q1297=0,$R1297=-1),0,$Q1297*1000+$R1297*100+$K1297)</f>
        <v>0</v>
      </c>
      <c r="T1297" s="37" t="str">
        <f aca="false">IF($A1297="","",IF($B1297="","NO ACCOUNT",IF($Q1297=0,"UNMAPPED",IF($R1297=-1,"OUTSIDE FY RANGE","OK"))))</f>
        <v/>
      </c>
      <c r="U1297" s="40" t="str">
        <f aca="false">IF($A1297="","",$B1297&amp;"|"&amp;TEXT($A1297,"yyyymmdd")&amp;"|"&amp;TEXT($I1297,"0.00"))</f>
        <v/>
      </c>
      <c r="V1297" s="35" t="str">
        <f aca="false">IF($A1297="","",COUNTIF($U$8:$U$5007,$U1297))</f>
        <v/>
      </c>
    </row>
    <row r="1298" customFormat="false" ht="15" hidden="false" customHeight="false" outlineLevel="0" collapsed="false">
      <c r="A1298" s="31"/>
      <c r="B1298" s="32"/>
      <c r="C1298" s="32"/>
      <c r="D1298" s="32"/>
      <c r="E1298" s="32"/>
      <c r="F1298" s="32"/>
      <c r="G1298" s="33"/>
      <c r="H1298" s="33"/>
      <c r="I1298" s="34" t="str">
        <f aca="false">IF($A1298="","",$G1298-$H1298)</f>
        <v/>
      </c>
      <c r="J1298" s="35" t="str">
        <f aca="false">IF($A1298="","",IF(Setup!$B$6=1,YEAR($A1298),YEAR($A1298)+IF(MONTH($A1298)&gt;=Setup!$B$6,1,0)))</f>
        <v/>
      </c>
      <c r="K1298" s="35" t="str">
        <f aca="false">IF($A1298="","",MOD(MONTH($A1298)-Setup!$B$6+12,12)+1)</f>
        <v/>
      </c>
      <c r="L1298" s="36" t="str">
        <f aca="false">IF($A1298="","",TEXT($A1298,"MMM-YY"))</f>
        <v/>
      </c>
      <c r="M1298" s="37" t="str">
        <f aca="false">IF($A1298="","",IF($Q1298=0,"UNMAPPED",INDEX(COA_Mapping!$C$7:$C$256,$Q1298)))</f>
        <v/>
      </c>
      <c r="N1298" s="38" t="str">
        <f aca="false">IF($A1298="","",IF($Q1298=0,"",INDEX(COA_Mapping!$E$7:$E$256,$Q1298)))</f>
        <v/>
      </c>
      <c r="O1298" s="38" t="n">
        <f aca="false">IF($A1298="",1,IF($Q1298=0,1,INDEX(COA_Mapping!$F$7:$F$256,$Q1298)))</f>
        <v>1</v>
      </c>
      <c r="P1298" s="34" t="str">
        <f aca="false">IF($A1298="","",$I1298*$O1298)</f>
        <v/>
      </c>
      <c r="Q1298" s="39" t="n">
        <f aca="false">IF($B1298="",0,IFERROR(MATCH($B1298,COA_Mapping!$A$7:$A$256,0),0))</f>
        <v>0</v>
      </c>
      <c r="R1298" s="39" t="n">
        <f aca="false">IF($A1298="",-1,IF($J1298=Setup!$B$7,1,IF($J1298=Setup!$B$9,0,-1)))</f>
        <v>-1</v>
      </c>
      <c r="S1298" s="35" t="n">
        <f aca="false">IF(OR($A1298="",$Q1298=0,$R1298=-1),0,$Q1298*1000+$R1298*100+$K1298)</f>
        <v>0</v>
      </c>
      <c r="T1298" s="37" t="str">
        <f aca="false">IF($A1298="","",IF($B1298="","NO ACCOUNT",IF($Q1298=0,"UNMAPPED",IF($R1298=-1,"OUTSIDE FY RANGE","OK"))))</f>
        <v/>
      </c>
      <c r="U1298" s="40" t="str">
        <f aca="false">IF($A1298="","",$B1298&amp;"|"&amp;TEXT($A1298,"yyyymmdd")&amp;"|"&amp;TEXT($I1298,"0.00"))</f>
        <v/>
      </c>
      <c r="V1298" s="35" t="str">
        <f aca="false">IF($A1298="","",COUNTIF($U$8:$U$5007,$U1298))</f>
        <v/>
      </c>
    </row>
    <row r="1299" customFormat="false" ht="15" hidden="false" customHeight="false" outlineLevel="0" collapsed="false">
      <c r="A1299" s="31"/>
      <c r="B1299" s="32"/>
      <c r="C1299" s="32"/>
      <c r="D1299" s="32"/>
      <c r="E1299" s="32"/>
      <c r="F1299" s="32"/>
      <c r="G1299" s="33"/>
      <c r="H1299" s="33"/>
      <c r="I1299" s="34" t="str">
        <f aca="false">IF($A1299="","",$G1299-$H1299)</f>
        <v/>
      </c>
      <c r="J1299" s="35" t="str">
        <f aca="false">IF($A1299="","",IF(Setup!$B$6=1,YEAR($A1299),YEAR($A1299)+IF(MONTH($A1299)&gt;=Setup!$B$6,1,0)))</f>
        <v/>
      </c>
      <c r="K1299" s="35" t="str">
        <f aca="false">IF($A1299="","",MOD(MONTH($A1299)-Setup!$B$6+12,12)+1)</f>
        <v/>
      </c>
      <c r="L1299" s="36" t="str">
        <f aca="false">IF($A1299="","",TEXT($A1299,"MMM-YY"))</f>
        <v/>
      </c>
      <c r="M1299" s="37" t="str">
        <f aca="false">IF($A1299="","",IF($Q1299=0,"UNMAPPED",INDEX(COA_Mapping!$C$7:$C$256,$Q1299)))</f>
        <v/>
      </c>
      <c r="N1299" s="38" t="str">
        <f aca="false">IF($A1299="","",IF($Q1299=0,"",INDEX(COA_Mapping!$E$7:$E$256,$Q1299)))</f>
        <v/>
      </c>
      <c r="O1299" s="38" t="n">
        <f aca="false">IF($A1299="",1,IF($Q1299=0,1,INDEX(COA_Mapping!$F$7:$F$256,$Q1299)))</f>
        <v>1</v>
      </c>
      <c r="P1299" s="34" t="str">
        <f aca="false">IF($A1299="","",$I1299*$O1299)</f>
        <v/>
      </c>
      <c r="Q1299" s="39" t="n">
        <f aca="false">IF($B1299="",0,IFERROR(MATCH($B1299,COA_Mapping!$A$7:$A$256,0),0))</f>
        <v>0</v>
      </c>
      <c r="R1299" s="39" t="n">
        <f aca="false">IF($A1299="",-1,IF($J1299=Setup!$B$7,1,IF($J1299=Setup!$B$9,0,-1)))</f>
        <v>-1</v>
      </c>
      <c r="S1299" s="35" t="n">
        <f aca="false">IF(OR($A1299="",$Q1299=0,$R1299=-1),0,$Q1299*1000+$R1299*100+$K1299)</f>
        <v>0</v>
      </c>
      <c r="T1299" s="37" t="str">
        <f aca="false">IF($A1299="","",IF($B1299="","NO ACCOUNT",IF($Q1299=0,"UNMAPPED",IF($R1299=-1,"OUTSIDE FY RANGE","OK"))))</f>
        <v/>
      </c>
      <c r="U1299" s="40" t="str">
        <f aca="false">IF($A1299="","",$B1299&amp;"|"&amp;TEXT($A1299,"yyyymmdd")&amp;"|"&amp;TEXT($I1299,"0.00"))</f>
        <v/>
      </c>
      <c r="V1299" s="35" t="str">
        <f aca="false">IF($A1299="","",COUNTIF($U$8:$U$5007,$U1299))</f>
        <v/>
      </c>
    </row>
    <row r="1300" customFormat="false" ht="15" hidden="false" customHeight="false" outlineLevel="0" collapsed="false">
      <c r="A1300" s="31"/>
      <c r="B1300" s="32"/>
      <c r="C1300" s="32"/>
      <c r="D1300" s="32"/>
      <c r="E1300" s="32"/>
      <c r="F1300" s="32"/>
      <c r="G1300" s="33"/>
      <c r="H1300" s="33"/>
      <c r="I1300" s="34" t="str">
        <f aca="false">IF($A1300="","",$G1300-$H1300)</f>
        <v/>
      </c>
      <c r="J1300" s="35" t="str">
        <f aca="false">IF($A1300="","",IF(Setup!$B$6=1,YEAR($A1300),YEAR($A1300)+IF(MONTH($A1300)&gt;=Setup!$B$6,1,0)))</f>
        <v/>
      </c>
      <c r="K1300" s="35" t="str">
        <f aca="false">IF($A1300="","",MOD(MONTH($A1300)-Setup!$B$6+12,12)+1)</f>
        <v/>
      </c>
      <c r="L1300" s="36" t="str">
        <f aca="false">IF($A1300="","",TEXT($A1300,"MMM-YY"))</f>
        <v/>
      </c>
      <c r="M1300" s="37" t="str">
        <f aca="false">IF($A1300="","",IF($Q1300=0,"UNMAPPED",INDEX(COA_Mapping!$C$7:$C$256,$Q1300)))</f>
        <v/>
      </c>
      <c r="N1300" s="38" t="str">
        <f aca="false">IF($A1300="","",IF($Q1300=0,"",INDEX(COA_Mapping!$E$7:$E$256,$Q1300)))</f>
        <v/>
      </c>
      <c r="O1300" s="38" t="n">
        <f aca="false">IF($A1300="",1,IF($Q1300=0,1,INDEX(COA_Mapping!$F$7:$F$256,$Q1300)))</f>
        <v>1</v>
      </c>
      <c r="P1300" s="34" t="str">
        <f aca="false">IF($A1300="","",$I1300*$O1300)</f>
        <v/>
      </c>
      <c r="Q1300" s="39" t="n">
        <f aca="false">IF($B1300="",0,IFERROR(MATCH($B1300,COA_Mapping!$A$7:$A$256,0),0))</f>
        <v>0</v>
      </c>
      <c r="R1300" s="39" t="n">
        <f aca="false">IF($A1300="",-1,IF($J1300=Setup!$B$7,1,IF($J1300=Setup!$B$9,0,-1)))</f>
        <v>-1</v>
      </c>
      <c r="S1300" s="35" t="n">
        <f aca="false">IF(OR($A1300="",$Q1300=0,$R1300=-1),0,$Q1300*1000+$R1300*100+$K1300)</f>
        <v>0</v>
      </c>
      <c r="T1300" s="37" t="str">
        <f aca="false">IF($A1300="","",IF($B1300="","NO ACCOUNT",IF($Q1300=0,"UNMAPPED",IF($R1300=-1,"OUTSIDE FY RANGE","OK"))))</f>
        <v/>
      </c>
      <c r="U1300" s="40" t="str">
        <f aca="false">IF($A1300="","",$B1300&amp;"|"&amp;TEXT($A1300,"yyyymmdd")&amp;"|"&amp;TEXT($I1300,"0.00"))</f>
        <v/>
      </c>
      <c r="V1300" s="35" t="str">
        <f aca="false">IF($A1300="","",COUNTIF($U$8:$U$5007,$U1300))</f>
        <v/>
      </c>
    </row>
    <row r="1301" customFormat="false" ht="15" hidden="false" customHeight="false" outlineLevel="0" collapsed="false">
      <c r="A1301" s="31"/>
      <c r="B1301" s="32"/>
      <c r="C1301" s="32"/>
      <c r="D1301" s="32"/>
      <c r="E1301" s="32"/>
      <c r="F1301" s="32"/>
      <c r="G1301" s="33"/>
      <c r="H1301" s="33"/>
      <c r="I1301" s="34" t="str">
        <f aca="false">IF($A1301="","",$G1301-$H1301)</f>
        <v/>
      </c>
      <c r="J1301" s="35" t="str">
        <f aca="false">IF($A1301="","",IF(Setup!$B$6=1,YEAR($A1301),YEAR($A1301)+IF(MONTH($A1301)&gt;=Setup!$B$6,1,0)))</f>
        <v/>
      </c>
      <c r="K1301" s="35" t="str">
        <f aca="false">IF($A1301="","",MOD(MONTH($A1301)-Setup!$B$6+12,12)+1)</f>
        <v/>
      </c>
      <c r="L1301" s="36" t="str">
        <f aca="false">IF($A1301="","",TEXT($A1301,"MMM-YY"))</f>
        <v/>
      </c>
      <c r="M1301" s="37" t="str">
        <f aca="false">IF($A1301="","",IF($Q1301=0,"UNMAPPED",INDEX(COA_Mapping!$C$7:$C$256,$Q1301)))</f>
        <v/>
      </c>
      <c r="N1301" s="38" t="str">
        <f aca="false">IF($A1301="","",IF($Q1301=0,"",INDEX(COA_Mapping!$E$7:$E$256,$Q1301)))</f>
        <v/>
      </c>
      <c r="O1301" s="38" t="n">
        <f aca="false">IF($A1301="",1,IF($Q1301=0,1,INDEX(COA_Mapping!$F$7:$F$256,$Q1301)))</f>
        <v>1</v>
      </c>
      <c r="P1301" s="34" t="str">
        <f aca="false">IF($A1301="","",$I1301*$O1301)</f>
        <v/>
      </c>
      <c r="Q1301" s="39" t="n">
        <f aca="false">IF($B1301="",0,IFERROR(MATCH($B1301,COA_Mapping!$A$7:$A$256,0),0))</f>
        <v>0</v>
      </c>
      <c r="R1301" s="39" t="n">
        <f aca="false">IF($A1301="",-1,IF($J1301=Setup!$B$7,1,IF($J1301=Setup!$B$9,0,-1)))</f>
        <v>-1</v>
      </c>
      <c r="S1301" s="35" t="n">
        <f aca="false">IF(OR($A1301="",$Q1301=0,$R1301=-1),0,$Q1301*1000+$R1301*100+$K1301)</f>
        <v>0</v>
      </c>
      <c r="T1301" s="37" t="str">
        <f aca="false">IF($A1301="","",IF($B1301="","NO ACCOUNT",IF($Q1301=0,"UNMAPPED",IF($R1301=-1,"OUTSIDE FY RANGE","OK"))))</f>
        <v/>
      </c>
      <c r="U1301" s="40" t="str">
        <f aca="false">IF($A1301="","",$B1301&amp;"|"&amp;TEXT($A1301,"yyyymmdd")&amp;"|"&amp;TEXT($I1301,"0.00"))</f>
        <v/>
      </c>
      <c r="V1301" s="35" t="str">
        <f aca="false">IF($A1301="","",COUNTIF($U$8:$U$5007,$U1301))</f>
        <v/>
      </c>
    </row>
    <row r="1302" customFormat="false" ht="15" hidden="false" customHeight="false" outlineLevel="0" collapsed="false">
      <c r="A1302" s="31"/>
      <c r="B1302" s="32"/>
      <c r="C1302" s="32"/>
      <c r="D1302" s="32"/>
      <c r="E1302" s="32"/>
      <c r="F1302" s="32"/>
      <c r="G1302" s="33"/>
      <c r="H1302" s="33"/>
      <c r="I1302" s="34" t="str">
        <f aca="false">IF($A1302="","",$G1302-$H1302)</f>
        <v/>
      </c>
      <c r="J1302" s="35" t="str">
        <f aca="false">IF($A1302="","",IF(Setup!$B$6=1,YEAR($A1302),YEAR($A1302)+IF(MONTH($A1302)&gt;=Setup!$B$6,1,0)))</f>
        <v/>
      </c>
      <c r="K1302" s="35" t="str">
        <f aca="false">IF($A1302="","",MOD(MONTH($A1302)-Setup!$B$6+12,12)+1)</f>
        <v/>
      </c>
      <c r="L1302" s="36" t="str">
        <f aca="false">IF($A1302="","",TEXT($A1302,"MMM-YY"))</f>
        <v/>
      </c>
      <c r="M1302" s="37" t="str">
        <f aca="false">IF($A1302="","",IF($Q1302=0,"UNMAPPED",INDEX(COA_Mapping!$C$7:$C$256,$Q1302)))</f>
        <v/>
      </c>
      <c r="N1302" s="38" t="str">
        <f aca="false">IF($A1302="","",IF($Q1302=0,"",INDEX(COA_Mapping!$E$7:$E$256,$Q1302)))</f>
        <v/>
      </c>
      <c r="O1302" s="38" t="n">
        <f aca="false">IF($A1302="",1,IF($Q1302=0,1,INDEX(COA_Mapping!$F$7:$F$256,$Q1302)))</f>
        <v>1</v>
      </c>
      <c r="P1302" s="34" t="str">
        <f aca="false">IF($A1302="","",$I1302*$O1302)</f>
        <v/>
      </c>
      <c r="Q1302" s="39" t="n">
        <f aca="false">IF($B1302="",0,IFERROR(MATCH($B1302,COA_Mapping!$A$7:$A$256,0),0))</f>
        <v>0</v>
      </c>
      <c r="R1302" s="39" t="n">
        <f aca="false">IF($A1302="",-1,IF($J1302=Setup!$B$7,1,IF($J1302=Setup!$B$9,0,-1)))</f>
        <v>-1</v>
      </c>
      <c r="S1302" s="35" t="n">
        <f aca="false">IF(OR($A1302="",$Q1302=0,$R1302=-1),0,$Q1302*1000+$R1302*100+$K1302)</f>
        <v>0</v>
      </c>
      <c r="T1302" s="37" t="str">
        <f aca="false">IF($A1302="","",IF($B1302="","NO ACCOUNT",IF($Q1302=0,"UNMAPPED",IF($R1302=-1,"OUTSIDE FY RANGE","OK"))))</f>
        <v/>
      </c>
      <c r="U1302" s="40" t="str">
        <f aca="false">IF($A1302="","",$B1302&amp;"|"&amp;TEXT($A1302,"yyyymmdd")&amp;"|"&amp;TEXT($I1302,"0.00"))</f>
        <v/>
      </c>
      <c r="V1302" s="35" t="str">
        <f aca="false">IF($A1302="","",COUNTIF($U$8:$U$5007,$U1302))</f>
        <v/>
      </c>
    </row>
    <row r="1303" customFormat="false" ht="15" hidden="false" customHeight="false" outlineLevel="0" collapsed="false">
      <c r="A1303" s="31"/>
      <c r="B1303" s="32"/>
      <c r="C1303" s="32"/>
      <c r="D1303" s="32"/>
      <c r="E1303" s="32"/>
      <c r="F1303" s="32"/>
      <c r="G1303" s="33"/>
      <c r="H1303" s="33"/>
      <c r="I1303" s="34" t="str">
        <f aca="false">IF($A1303="","",$G1303-$H1303)</f>
        <v/>
      </c>
      <c r="J1303" s="35" t="str">
        <f aca="false">IF($A1303="","",IF(Setup!$B$6=1,YEAR($A1303),YEAR($A1303)+IF(MONTH($A1303)&gt;=Setup!$B$6,1,0)))</f>
        <v/>
      </c>
      <c r="K1303" s="35" t="str">
        <f aca="false">IF($A1303="","",MOD(MONTH($A1303)-Setup!$B$6+12,12)+1)</f>
        <v/>
      </c>
      <c r="L1303" s="36" t="str">
        <f aca="false">IF($A1303="","",TEXT($A1303,"MMM-YY"))</f>
        <v/>
      </c>
      <c r="M1303" s="37" t="str">
        <f aca="false">IF($A1303="","",IF($Q1303=0,"UNMAPPED",INDEX(COA_Mapping!$C$7:$C$256,$Q1303)))</f>
        <v/>
      </c>
      <c r="N1303" s="38" t="str">
        <f aca="false">IF($A1303="","",IF($Q1303=0,"",INDEX(COA_Mapping!$E$7:$E$256,$Q1303)))</f>
        <v/>
      </c>
      <c r="O1303" s="38" t="n">
        <f aca="false">IF($A1303="",1,IF($Q1303=0,1,INDEX(COA_Mapping!$F$7:$F$256,$Q1303)))</f>
        <v>1</v>
      </c>
      <c r="P1303" s="34" t="str">
        <f aca="false">IF($A1303="","",$I1303*$O1303)</f>
        <v/>
      </c>
      <c r="Q1303" s="39" t="n">
        <f aca="false">IF($B1303="",0,IFERROR(MATCH($B1303,COA_Mapping!$A$7:$A$256,0),0))</f>
        <v>0</v>
      </c>
      <c r="R1303" s="39" t="n">
        <f aca="false">IF($A1303="",-1,IF($J1303=Setup!$B$7,1,IF($J1303=Setup!$B$9,0,-1)))</f>
        <v>-1</v>
      </c>
      <c r="S1303" s="35" t="n">
        <f aca="false">IF(OR($A1303="",$Q1303=0,$R1303=-1),0,$Q1303*1000+$R1303*100+$K1303)</f>
        <v>0</v>
      </c>
      <c r="T1303" s="37" t="str">
        <f aca="false">IF($A1303="","",IF($B1303="","NO ACCOUNT",IF($Q1303=0,"UNMAPPED",IF($R1303=-1,"OUTSIDE FY RANGE","OK"))))</f>
        <v/>
      </c>
      <c r="U1303" s="40" t="str">
        <f aca="false">IF($A1303="","",$B1303&amp;"|"&amp;TEXT($A1303,"yyyymmdd")&amp;"|"&amp;TEXT($I1303,"0.00"))</f>
        <v/>
      </c>
      <c r="V1303" s="35" t="str">
        <f aca="false">IF($A1303="","",COUNTIF($U$8:$U$5007,$U1303))</f>
        <v/>
      </c>
    </row>
    <row r="1304" customFormat="false" ht="15" hidden="false" customHeight="false" outlineLevel="0" collapsed="false">
      <c r="A1304" s="31"/>
      <c r="B1304" s="32"/>
      <c r="C1304" s="32"/>
      <c r="D1304" s="32"/>
      <c r="E1304" s="32"/>
      <c r="F1304" s="32"/>
      <c r="G1304" s="33"/>
      <c r="H1304" s="33"/>
      <c r="I1304" s="34" t="str">
        <f aca="false">IF($A1304="","",$G1304-$H1304)</f>
        <v/>
      </c>
      <c r="J1304" s="35" t="str">
        <f aca="false">IF($A1304="","",IF(Setup!$B$6=1,YEAR($A1304),YEAR($A1304)+IF(MONTH($A1304)&gt;=Setup!$B$6,1,0)))</f>
        <v/>
      </c>
      <c r="K1304" s="35" t="str">
        <f aca="false">IF($A1304="","",MOD(MONTH($A1304)-Setup!$B$6+12,12)+1)</f>
        <v/>
      </c>
      <c r="L1304" s="36" t="str">
        <f aca="false">IF($A1304="","",TEXT($A1304,"MMM-YY"))</f>
        <v/>
      </c>
      <c r="M1304" s="37" t="str">
        <f aca="false">IF($A1304="","",IF($Q1304=0,"UNMAPPED",INDEX(COA_Mapping!$C$7:$C$256,$Q1304)))</f>
        <v/>
      </c>
      <c r="N1304" s="38" t="str">
        <f aca="false">IF($A1304="","",IF($Q1304=0,"",INDEX(COA_Mapping!$E$7:$E$256,$Q1304)))</f>
        <v/>
      </c>
      <c r="O1304" s="38" t="n">
        <f aca="false">IF($A1304="",1,IF($Q1304=0,1,INDEX(COA_Mapping!$F$7:$F$256,$Q1304)))</f>
        <v>1</v>
      </c>
      <c r="P1304" s="34" t="str">
        <f aca="false">IF($A1304="","",$I1304*$O1304)</f>
        <v/>
      </c>
      <c r="Q1304" s="39" t="n">
        <f aca="false">IF($B1304="",0,IFERROR(MATCH($B1304,COA_Mapping!$A$7:$A$256,0),0))</f>
        <v>0</v>
      </c>
      <c r="R1304" s="39" t="n">
        <f aca="false">IF($A1304="",-1,IF($J1304=Setup!$B$7,1,IF($J1304=Setup!$B$9,0,-1)))</f>
        <v>-1</v>
      </c>
      <c r="S1304" s="35" t="n">
        <f aca="false">IF(OR($A1304="",$Q1304=0,$R1304=-1),0,$Q1304*1000+$R1304*100+$K1304)</f>
        <v>0</v>
      </c>
      <c r="T1304" s="37" t="str">
        <f aca="false">IF($A1304="","",IF($B1304="","NO ACCOUNT",IF($Q1304=0,"UNMAPPED",IF($R1304=-1,"OUTSIDE FY RANGE","OK"))))</f>
        <v/>
      </c>
      <c r="U1304" s="40" t="str">
        <f aca="false">IF($A1304="","",$B1304&amp;"|"&amp;TEXT($A1304,"yyyymmdd")&amp;"|"&amp;TEXT($I1304,"0.00"))</f>
        <v/>
      </c>
      <c r="V1304" s="35" t="str">
        <f aca="false">IF($A1304="","",COUNTIF($U$8:$U$5007,$U1304))</f>
        <v/>
      </c>
    </row>
    <row r="1305" customFormat="false" ht="15" hidden="false" customHeight="false" outlineLevel="0" collapsed="false">
      <c r="A1305" s="31"/>
      <c r="B1305" s="32"/>
      <c r="C1305" s="32"/>
      <c r="D1305" s="32"/>
      <c r="E1305" s="32"/>
      <c r="F1305" s="32"/>
      <c r="G1305" s="33"/>
      <c r="H1305" s="33"/>
      <c r="I1305" s="34" t="str">
        <f aca="false">IF($A1305="","",$G1305-$H1305)</f>
        <v/>
      </c>
      <c r="J1305" s="35" t="str">
        <f aca="false">IF($A1305="","",IF(Setup!$B$6=1,YEAR($A1305),YEAR($A1305)+IF(MONTH($A1305)&gt;=Setup!$B$6,1,0)))</f>
        <v/>
      </c>
      <c r="K1305" s="35" t="str">
        <f aca="false">IF($A1305="","",MOD(MONTH($A1305)-Setup!$B$6+12,12)+1)</f>
        <v/>
      </c>
      <c r="L1305" s="36" t="str">
        <f aca="false">IF($A1305="","",TEXT($A1305,"MMM-YY"))</f>
        <v/>
      </c>
      <c r="M1305" s="37" t="str">
        <f aca="false">IF($A1305="","",IF($Q1305=0,"UNMAPPED",INDEX(COA_Mapping!$C$7:$C$256,$Q1305)))</f>
        <v/>
      </c>
      <c r="N1305" s="38" t="str">
        <f aca="false">IF($A1305="","",IF($Q1305=0,"",INDEX(COA_Mapping!$E$7:$E$256,$Q1305)))</f>
        <v/>
      </c>
      <c r="O1305" s="38" t="n">
        <f aca="false">IF($A1305="",1,IF($Q1305=0,1,INDEX(COA_Mapping!$F$7:$F$256,$Q1305)))</f>
        <v>1</v>
      </c>
      <c r="P1305" s="34" t="str">
        <f aca="false">IF($A1305="","",$I1305*$O1305)</f>
        <v/>
      </c>
      <c r="Q1305" s="39" t="n">
        <f aca="false">IF($B1305="",0,IFERROR(MATCH($B1305,COA_Mapping!$A$7:$A$256,0),0))</f>
        <v>0</v>
      </c>
      <c r="R1305" s="39" t="n">
        <f aca="false">IF($A1305="",-1,IF($J1305=Setup!$B$7,1,IF($J1305=Setup!$B$9,0,-1)))</f>
        <v>-1</v>
      </c>
      <c r="S1305" s="35" t="n">
        <f aca="false">IF(OR($A1305="",$Q1305=0,$R1305=-1),0,$Q1305*1000+$R1305*100+$K1305)</f>
        <v>0</v>
      </c>
      <c r="T1305" s="37" t="str">
        <f aca="false">IF($A1305="","",IF($B1305="","NO ACCOUNT",IF($Q1305=0,"UNMAPPED",IF($R1305=-1,"OUTSIDE FY RANGE","OK"))))</f>
        <v/>
      </c>
      <c r="U1305" s="40" t="str">
        <f aca="false">IF($A1305="","",$B1305&amp;"|"&amp;TEXT($A1305,"yyyymmdd")&amp;"|"&amp;TEXT($I1305,"0.00"))</f>
        <v/>
      </c>
      <c r="V1305" s="35" t="str">
        <f aca="false">IF($A1305="","",COUNTIF($U$8:$U$5007,$U1305))</f>
        <v/>
      </c>
    </row>
    <row r="1306" customFormat="false" ht="15" hidden="false" customHeight="false" outlineLevel="0" collapsed="false">
      <c r="A1306" s="31"/>
      <c r="B1306" s="32"/>
      <c r="C1306" s="32"/>
      <c r="D1306" s="32"/>
      <c r="E1306" s="32"/>
      <c r="F1306" s="32"/>
      <c r="G1306" s="33"/>
      <c r="H1306" s="33"/>
      <c r="I1306" s="34" t="str">
        <f aca="false">IF($A1306="","",$G1306-$H1306)</f>
        <v/>
      </c>
      <c r="J1306" s="35" t="str">
        <f aca="false">IF($A1306="","",IF(Setup!$B$6=1,YEAR($A1306),YEAR($A1306)+IF(MONTH($A1306)&gt;=Setup!$B$6,1,0)))</f>
        <v/>
      </c>
      <c r="K1306" s="35" t="str">
        <f aca="false">IF($A1306="","",MOD(MONTH($A1306)-Setup!$B$6+12,12)+1)</f>
        <v/>
      </c>
      <c r="L1306" s="36" t="str">
        <f aca="false">IF($A1306="","",TEXT($A1306,"MMM-YY"))</f>
        <v/>
      </c>
      <c r="M1306" s="37" t="str">
        <f aca="false">IF($A1306="","",IF($Q1306=0,"UNMAPPED",INDEX(COA_Mapping!$C$7:$C$256,$Q1306)))</f>
        <v/>
      </c>
      <c r="N1306" s="38" t="str">
        <f aca="false">IF($A1306="","",IF($Q1306=0,"",INDEX(COA_Mapping!$E$7:$E$256,$Q1306)))</f>
        <v/>
      </c>
      <c r="O1306" s="38" t="n">
        <f aca="false">IF($A1306="",1,IF($Q1306=0,1,INDEX(COA_Mapping!$F$7:$F$256,$Q1306)))</f>
        <v>1</v>
      </c>
      <c r="P1306" s="34" t="str">
        <f aca="false">IF($A1306="","",$I1306*$O1306)</f>
        <v/>
      </c>
      <c r="Q1306" s="39" t="n">
        <f aca="false">IF($B1306="",0,IFERROR(MATCH($B1306,COA_Mapping!$A$7:$A$256,0),0))</f>
        <v>0</v>
      </c>
      <c r="R1306" s="39" t="n">
        <f aca="false">IF($A1306="",-1,IF($J1306=Setup!$B$7,1,IF($J1306=Setup!$B$9,0,-1)))</f>
        <v>-1</v>
      </c>
      <c r="S1306" s="35" t="n">
        <f aca="false">IF(OR($A1306="",$Q1306=0,$R1306=-1),0,$Q1306*1000+$R1306*100+$K1306)</f>
        <v>0</v>
      </c>
      <c r="T1306" s="37" t="str">
        <f aca="false">IF($A1306="","",IF($B1306="","NO ACCOUNT",IF($Q1306=0,"UNMAPPED",IF($R1306=-1,"OUTSIDE FY RANGE","OK"))))</f>
        <v/>
      </c>
      <c r="U1306" s="40" t="str">
        <f aca="false">IF($A1306="","",$B1306&amp;"|"&amp;TEXT($A1306,"yyyymmdd")&amp;"|"&amp;TEXT($I1306,"0.00"))</f>
        <v/>
      </c>
      <c r="V1306" s="35" t="str">
        <f aca="false">IF($A1306="","",COUNTIF($U$8:$U$5007,$U1306))</f>
        <v/>
      </c>
    </row>
    <row r="1307" customFormat="false" ht="15" hidden="false" customHeight="false" outlineLevel="0" collapsed="false">
      <c r="A1307" s="31"/>
      <c r="B1307" s="32"/>
      <c r="C1307" s="32"/>
      <c r="D1307" s="32"/>
      <c r="E1307" s="32"/>
      <c r="F1307" s="32"/>
      <c r="G1307" s="33"/>
      <c r="H1307" s="33"/>
      <c r="I1307" s="34" t="str">
        <f aca="false">IF($A1307="","",$G1307-$H1307)</f>
        <v/>
      </c>
      <c r="J1307" s="35" t="str">
        <f aca="false">IF($A1307="","",IF(Setup!$B$6=1,YEAR($A1307),YEAR($A1307)+IF(MONTH($A1307)&gt;=Setup!$B$6,1,0)))</f>
        <v/>
      </c>
      <c r="K1307" s="35" t="str">
        <f aca="false">IF($A1307="","",MOD(MONTH($A1307)-Setup!$B$6+12,12)+1)</f>
        <v/>
      </c>
      <c r="L1307" s="36" t="str">
        <f aca="false">IF($A1307="","",TEXT($A1307,"MMM-YY"))</f>
        <v/>
      </c>
      <c r="M1307" s="37" t="str">
        <f aca="false">IF($A1307="","",IF($Q1307=0,"UNMAPPED",INDEX(COA_Mapping!$C$7:$C$256,$Q1307)))</f>
        <v/>
      </c>
      <c r="N1307" s="38" t="str">
        <f aca="false">IF($A1307="","",IF($Q1307=0,"",INDEX(COA_Mapping!$E$7:$E$256,$Q1307)))</f>
        <v/>
      </c>
      <c r="O1307" s="38" t="n">
        <f aca="false">IF($A1307="",1,IF($Q1307=0,1,INDEX(COA_Mapping!$F$7:$F$256,$Q1307)))</f>
        <v>1</v>
      </c>
      <c r="P1307" s="34" t="str">
        <f aca="false">IF($A1307="","",$I1307*$O1307)</f>
        <v/>
      </c>
      <c r="Q1307" s="39" t="n">
        <f aca="false">IF($B1307="",0,IFERROR(MATCH($B1307,COA_Mapping!$A$7:$A$256,0),0))</f>
        <v>0</v>
      </c>
      <c r="R1307" s="39" t="n">
        <f aca="false">IF($A1307="",-1,IF($J1307=Setup!$B$7,1,IF($J1307=Setup!$B$9,0,-1)))</f>
        <v>-1</v>
      </c>
      <c r="S1307" s="35" t="n">
        <f aca="false">IF(OR($A1307="",$Q1307=0,$R1307=-1),0,$Q1307*1000+$R1307*100+$K1307)</f>
        <v>0</v>
      </c>
      <c r="T1307" s="37" t="str">
        <f aca="false">IF($A1307="","",IF($B1307="","NO ACCOUNT",IF($Q1307=0,"UNMAPPED",IF($R1307=-1,"OUTSIDE FY RANGE","OK"))))</f>
        <v/>
      </c>
      <c r="U1307" s="40" t="str">
        <f aca="false">IF($A1307="","",$B1307&amp;"|"&amp;TEXT($A1307,"yyyymmdd")&amp;"|"&amp;TEXT($I1307,"0.00"))</f>
        <v/>
      </c>
      <c r="V1307" s="35" t="str">
        <f aca="false">IF($A1307="","",COUNTIF($U$8:$U$5007,$U1307))</f>
        <v/>
      </c>
    </row>
    <row r="1308" customFormat="false" ht="15" hidden="false" customHeight="false" outlineLevel="0" collapsed="false">
      <c r="A1308" s="31"/>
      <c r="B1308" s="32"/>
      <c r="C1308" s="32"/>
      <c r="D1308" s="32"/>
      <c r="E1308" s="32"/>
      <c r="F1308" s="32"/>
      <c r="G1308" s="33"/>
      <c r="H1308" s="33"/>
      <c r="I1308" s="34" t="str">
        <f aca="false">IF($A1308="","",$G1308-$H1308)</f>
        <v/>
      </c>
      <c r="J1308" s="35" t="str">
        <f aca="false">IF($A1308="","",IF(Setup!$B$6=1,YEAR($A1308),YEAR($A1308)+IF(MONTH($A1308)&gt;=Setup!$B$6,1,0)))</f>
        <v/>
      </c>
      <c r="K1308" s="35" t="str">
        <f aca="false">IF($A1308="","",MOD(MONTH($A1308)-Setup!$B$6+12,12)+1)</f>
        <v/>
      </c>
      <c r="L1308" s="36" t="str">
        <f aca="false">IF($A1308="","",TEXT($A1308,"MMM-YY"))</f>
        <v/>
      </c>
      <c r="M1308" s="37" t="str">
        <f aca="false">IF($A1308="","",IF($Q1308=0,"UNMAPPED",INDEX(COA_Mapping!$C$7:$C$256,$Q1308)))</f>
        <v/>
      </c>
      <c r="N1308" s="38" t="str">
        <f aca="false">IF($A1308="","",IF($Q1308=0,"",INDEX(COA_Mapping!$E$7:$E$256,$Q1308)))</f>
        <v/>
      </c>
      <c r="O1308" s="38" t="n">
        <f aca="false">IF($A1308="",1,IF($Q1308=0,1,INDEX(COA_Mapping!$F$7:$F$256,$Q1308)))</f>
        <v>1</v>
      </c>
      <c r="P1308" s="34" t="str">
        <f aca="false">IF($A1308="","",$I1308*$O1308)</f>
        <v/>
      </c>
      <c r="Q1308" s="39" t="n">
        <f aca="false">IF($B1308="",0,IFERROR(MATCH($B1308,COA_Mapping!$A$7:$A$256,0),0))</f>
        <v>0</v>
      </c>
      <c r="R1308" s="39" t="n">
        <f aca="false">IF($A1308="",-1,IF($J1308=Setup!$B$7,1,IF($J1308=Setup!$B$9,0,-1)))</f>
        <v>-1</v>
      </c>
      <c r="S1308" s="35" t="n">
        <f aca="false">IF(OR($A1308="",$Q1308=0,$R1308=-1),0,$Q1308*1000+$R1308*100+$K1308)</f>
        <v>0</v>
      </c>
      <c r="T1308" s="37" t="str">
        <f aca="false">IF($A1308="","",IF($B1308="","NO ACCOUNT",IF($Q1308=0,"UNMAPPED",IF($R1308=-1,"OUTSIDE FY RANGE","OK"))))</f>
        <v/>
      </c>
      <c r="U1308" s="40" t="str">
        <f aca="false">IF($A1308="","",$B1308&amp;"|"&amp;TEXT($A1308,"yyyymmdd")&amp;"|"&amp;TEXT($I1308,"0.00"))</f>
        <v/>
      </c>
      <c r="V1308" s="35" t="str">
        <f aca="false">IF($A1308="","",COUNTIF($U$8:$U$5007,$U1308))</f>
        <v/>
      </c>
    </row>
    <row r="1309" customFormat="false" ht="15" hidden="false" customHeight="false" outlineLevel="0" collapsed="false">
      <c r="A1309" s="31"/>
      <c r="B1309" s="32"/>
      <c r="C1309" s="32"/>
      <c r="D1309" s="32"/>
      <c r="E1309" s="32"/>
      <c r="F1309" s="32"/>
      <c r="G1309" s="33"/>
      <c r="H1309" s="33"/>
      <c r="I1309" s="34" t="str">
        <f aca="false">IF($A1309="","",$G1309-$H1309)</f>
        <v/>
      </c>
      <c r="J1309" s="35" t="str">
        <f aca="false">IF($A1309="","",IF(Setup!$B$6=1,YEAR($A1309),YEAR($A1309)+IF(MONTH($A1309)&gt;=Setup!$B$6,1,0)))</f>
        <v/>
      </c>
      <c r="K1309" s="35" t="str">
        <f aca="false">IF($A1309="","",MOD(MONTH($A1309)-Setup!$B$6+12,12)+1)</f>
        <v/>
      </c>
      <c r="L1309" s="36" t="str">
        <f aca="false">IF($A1309="","",TEXT($A1309,"MMM-YY"))</f>
        <v/>
      </c>
      <c r="M1309" s="37" t="str">
        <f aca="false">IF($A1309="","",IF($Q1309=0,"UNMAPPED",INDEX(COA_Mapping!$C$7:$C$256,$Q1309)))</f>
        <v/>
      </c>
      <c r="N1309" s="38" t="str">
        <f aca="false">IF($A1309="","",IF($Q1309=0,"",INDEX(COA_Mapping!$E$7:$E$256,$Q1309)))</f>
        <v/>
      </c>
      <c r="O1309" s="38" t="n">
        <f aca="false">IF($A1309="",1,IF($Q1309=0,1,INDEX(COA_Mapping!$F$7:$F$256,$Q1309)))</f>
        <v>1</v>
      </c>
      <c r="P1309" s="34" t="str">
        <f aca="false">IF($A1309="","",$I1309*$O1309)</f>
        <v/>
      </c>
      <c r="Q1309" s="39" t="n">
        <f aca="false">IF($B1309="",0,IFERROR(MATCH($B1309,COA_Mapping!$A$7:$A$256,0),0))</f>
        <v>0</v>
      </c>
      <c r="R1309" s="39" t="n">
        <f aca="false">IF($A1309="",-1,IF($J1309=Setup!$B$7,1,IF($J1309=Setup!$B$9,0,-1)))</f>
        <v>-1</v>
      </c>
      <c r="S1309" s="35" t="n">
        <f aca="false">IF(OR($A1309="",$Q1309=0,$R1309=-1),0,$Q1309*1000+$R1309*100+$K1309)</f>
        <v>0</v>
      </c>
      <c r="T1309" s="37" t="str">
        <f aca="false">IF($A1309="","",IF($B1309="","NO ACCOUNT",IF($Q1309=0,"UNMAPPED",IF($R1309=-1,"OUTSIDE FY RANGE","OK"))))</f>
        <v/>
      </c>
      <c r="U1309" s="40" t="str">
        <f aca="false">IF($A1309="","",$B1309&amp;"|"&amp;TEXT($A1309,"yyyymmdd")&amp;"|"&amp;TEXT($I1309,"0.00"))</f>
        <v/>
      </c>
      <c r="V1309" s="35" t="str">
        <f aca="false">IF($A1309="","",COUNTIF($U$8:$U$5007,$U1309))</f>
        <v/>
      </c>
    </row>
    <row r="1310" customFormat="false" ht="15" hidden="false" customHeight="false" outlineLevel="0" collapsed="false">
      <c r="A1310" s="31"/>
      <c r="B1310" s="32"/>
      <c r="C1310" s="32"/>
      <c r="D1310" s="32"/>
      <c r="E1310" s="32"/>
      <c r="F1310" s="32"/>
      <c r="G1310" s="33"/>
      <c r="H1310" s="33"/>
      <c r="I1310" s="34" t="str">
        <f aca="false">IF($A1310="","",$G1310-$H1310)</f>
        <v/>
      </c>
      <c r="J1310" s="35" t="str">
        <f aca="false">IF($A1310="","",IF(Setup!$B$6=1,YEAR($A1310),YEAR($A1310)+IF(MONTH($A1310)&gt;=Setup!$B$6,1,0)))</f>
        <v/>
      </c>
      <c r="K1310" s="35" t="str">
        <f aca="false">IF($A1310="","",MOD(MONTH($A1310)-Setup!$B$6+12,12)+1)</f>
        <v/>
      </c>
      <c r="L1310" s="36" t="str">
        <f aca="false">IF($A1310="","",TEXT($A1310,"MMM-YY"))</f>
        <v/>
      </c>
      <c r="M1310" s="37" t="str">
        <f aca="false">IF($A1310="","",IF($Q1310=0,"UNMAPPED",INDEX(COA_Mapping!$C$7:$C$256,$Q1310)))</f>
        <v/>
      </c>
      <c r="N1310" s="38" t="str">
        <f aca="false">IF($A1310="","",IF($Q1310=0,"",INDEX(COA_Mapping!$E$7:$E$256,$Q1310)))</f>
        <v/>
      </c>
      <c r="O1310" s="38" t="n">
        <f aca="false">IF($A1310="",1,IF($Q1310=0,1,INDEX(COA_Mapping!$F$7:$F$256,$Q1310)))</f>
        <v>1</v>
      </c>
      <c r="P1310" s="34" t="str">
        <f aca="false">IF($A1310="","",$I1310*$O1310)</f>
        <v/>
      </c>
      <c r="Q1310" s="39" t="n">
        <f aca="false">IF($B1310="",0,IFERROR(MATCH($B1310,COA_Mapping!$A$7:$A$256,0),0))</f>
        <v>0</v>
      </c>
      <c r="R1310" s="39" t="n">
        <f aca="false">IF($A1310="",-1,IF($J1310=Setup!$B$7,1,IF($J1310=Setup!$B$9,0,-1)))</f>
        <v>-1</v>
      </c>
      <c r="S1310" s="35" t="n">
        <f aca="false">IF(OR($A1310="",$Q1310=0,$R1310=-1),0,$Q1310*1000+$R1310*100+$K1310)</f>
        <v>0</v>
      </c>
      <c r="T1310" s="37" t="str">
        <f aca="false">IF($A1310="","",IF($B1310="","NO ACCOUNT",IF($Q1310=0,"UNMAPPED",IF($R1310=-1,"OUTSIDE FY RANGE","OK"))))</f>
        <v/>
      </c>
      <c r="U1310" s="40" t="str">
        <f aca="false">IF($A1310="","",$B1310&amp;"|"&amp;TEXT($A1310,"yyyymmdd")&amp;"|"&amp;TEXT($I1310,"0.00"))</f>
        <v/>
      </c>
      <c r="V1310" s="35" t="str">
        <f aca="false">IF($A1310="","",COUNTIF($U$8:$U$5007,$U1310))</f>
        <v/>
      </c>
    </row>
    <row r="1311" customFormat="false" ht="15" hidden="false" customHeight="false" outlineLevel="0" collapsed="false">
      <c r="A1311" s="31"/>
      <c r="B1311" s="32"/>
      <c r="C1311" s="32"/>
      <c r="D1311" s="32"/>
      <c r="E1311" s="32"/>
      <c r="F1311" s="32"/>
      <c r="G1311" s="33"/>
      <c r="H1311" s="33"/>
      <c r="I1311" s="34" t="str">
        <f aca="false">IF($A1311="","",$G1311-$H1311)</f>
        <v/>
      </c>
      <c r="J1311" s="35" t="str">
        <f aca="false">IF($A1311="","",IF(Setup!$B$6=1,YEAR($A1311),YEAR($A1311)+IF(MONTH($A1311)&gt;=Setup!$B$6,1,0)))</f>
        <v/>
      </c>
      <c r="K1311" s="35" t="str">
        <f aca="false">IF($A1311="","",MOD(MONTH($A1311)-Setup!$B$6+12,12)+1)</f>
        <v/>
      </c>
      <c r="L1311" s="36" t="str">
        <f aca="false">IF($A1311="","",TEXT($A1311,"MMM-YY"))</f>
        <v/>
      </c>
      <c r="M1311" s="37" t="str">
        <f aca="false">IF($A1311="","",IF($Q1311=0,"UNMAPPED",INDEX(COA_Mapping!$C$7:$C$256,$Q1311)))</f>
        <v/>
      </c>
      <c r="N1311" s="38" t="str">
        <f aca="false">IF($A1311="","",IF($Q1311=0,"",INDEX(COA_Mapping!$E$7:$E$256,$Q1311)))</f>
        <v/>
      </c>
      <c r="O1311" s="38" t="n">
        <f aca="false">IF($A1311="",1,IF($Q1311=0,1,INDEX(COA_Mapping!$F$7:$F$256,$Q1311)))</f>
        <v>1</v>
      </c>
      <c r="P1311" s="34" t="str">
        <f aca="false">IF($A1311="","",$I1311*$O1311)</f>
        <v/>
      </c>
      <c r="Q1311" s="39" t="n">
        <f aca="false">IF($B1311="",0,IFERROR(MATCH($B1311,COA_Mapping!$A$7:$A$256,0),0))</f>
        <v>0</v>
      </c>
      <c r="R1311" s="39" t="n">
        <f aca="false">IF($A1311="",-1,IF($J1311=Setup!$B$7,1,IF($J1311=Setup!$B$9,0,-1)))</f>
        <v>-1</v>
      </c>
      <c r="S1311" s="35" t="n">
        <f aca="false">IF(OR($A1311="",$Q1311=0,$R1311=-1),0,$Q1311*1000+$R1311*100+$K1311)</f>
        <v>0</v>
      </c>
      <c r="T1311" s="37" t="str">
        <f aca="false">IF($A1311="","",IF($B1311="","NO ACCOUNT",IF($Q1311=0,"UNMAPPED",IF($R1311=-1,"OUTSIDE FY RANGE","OK"))))</f>
        <v/>
      </c>
      <c r="U1311" s="40" t="str">
        <f aca="false">IF($A1311="","",$B1311&amp;"|"&amp;TEXT($A1311,"yyyymmdd")&amp;"|"&amp;TEXT($I1311,"0.00"))</f>
        <v/>
      </c>
      <c r="V1311" s="35" t="str">
        <f aca="false">IF($A1311="","",COUNTIF($U$8:$U$5007,$U1311))</f>
        <v/>
      </c>
    </row>
    <row r="1312" customFormat="false" ht="15" hidden="false" customHeight="false" outlineLevel="0" collapsed="false">
      <c r="A1312" s="31"/>
      <c r="B1312" s="32"/>
      <c r="C1312" s="32"/>
      <c r="D1312" s="32"/>
      <c r="E1312" s="32"/>
      <c r="F1312" s="32"/>
      <c r="G1312" s="33"/>
      <c r="H1312" s="33"/>
      <c r="I1312" s="34" t="str">
        <f aca="false">IF($A1312="","",$G1312-$H1312)</f>
        <v/>
      </c>
      <c r="J1312" s="35" t="str">
        <f aca="false">IF($A1312="","",IF(Setup!$B$6=1,YEAR($A1312),YEAR($A1312)+IF(MONTH($A1312)&gt;=Setup!$B$6,1,0)))</f>
        <v/>
      </c>
      <c r="K1312" s="35" t="str">
        <f aca="false">IF($A1312="","",MOD(MONTH($A1312)-Setup!$B$6+12,12)+1)</f>
        <v/>
      </c>
      <c r="L1312" s="36" t="str">
        <f aca="false">IF($A1312="","",TEXT($A1312,"MMM-YY"))</f>
        <v/>
      </c>
      <c r="M1312" s="37" t="str">
        <f aca="false">IF($A1312="","",IF($Q1312=0,"UNMAPPED",INDEX(COA_Mapping!$C$7:$C$256,$Q1312)))</f>
        <v/>
      </c>
      <c r="N1312" s="38" t="str">
        <f aca="false">IF($A1312="","",IF($Q1312=0,"",INDEX(COA_Mapping!$E$7:$E$256,$Q1312)))</f>
        <v/>
      </c>
      <c r="O1312" s="38" t="n">
        <f aca="false">IF($A1312="",1,IF($Q1312=0,1,INDEX(COA_Mapping!$F$7:$F$256,$Q1312)))</f>
        <v>1</v>
      </c>
      <c r="P1312" s="34" t="str">
        <f aca="false">IF($A1312="","",$I1312*$O1312)</f>
        <v/>
      </c>
      <c r="Q1312" s="39" t="n">
        <f aca="false">IF($B1312="",0,IFERROR(MATCH($B1312,COA_Mapping!$A$7:$A$256,0),0))</f>
        <v>0</v>
      </c>
      <c r="R1312" s="39" t="n">
        <f aca="false">IF($A1312="",-1,IF($J1312=Setup!$B$7,1,IF($J1312=Setup!$B$9,0,-1)))</f>
        <v>-1</v>
      </c>
      <c r="S1312" s="35" t="n">
        <f aca="false">IF(OR($A1312="",$Q1312=0,$R1312=-1),0,$Q1312*1000+$R1312*100+$K1312)</f>
        <v>0</v>
      </c>
      <c r="T1312" s="37" t="str">
        <f aca="false">IF($A1312="","",IF($B1312="","NO ACCOUNT",IF($Q1312=0,"UNMAPPED",IF($R1312=-1,"OUTSIDE FY RANGE","OK"))))</f>
        <v/>
      </c>
      <c r="U1312" s="40" t="str">
        <f aca="false">IF($A1312="","",$B1312&amp;"|"&amp;TEXT($A1312,"yyyymmdd")&amp;"|"&amp;TEXT($I1312,"0.00"))</f>
        <v/>
      </c>
      <c r="V1312" s="35" t="str">
        <f aca="false">IF($A1312="","",COUNTIF($U$8:$U$5007,$U1312))</f>
        <v/>
      </c>
    </row>
    <row r="1313" customFormat="false" ht="15" hidden="false" customHeight="false" outlineLevel="0" collapsed="false">
      <c r="A1313" s="31"/>
      <c r="B1313" s="32"/>
      <c r="C1313" s="32"/>
      <c r="D1313" s="32"/>
      <c r="E1313" s="32"/>
      <c r="F1313" s="32"/>
      <c r="G1313" s="33"/>
      <c r="H1313" s="33"/>
      <c r="I1313" s="34" t="str">
        <f aca="false">IF($A1313="","",$G1313-$H1313)</f>
        <v/>
      </c>
      <c r="J1313" s="35" t="str">
        <f aca="false">IF($A1313="","",IF(Setup!$B$6=1,YEAR($A1313),YEAR($A1313)+IF(MONTH($A1313)&gt;=Setup!$B$6,1,0)))</f>
        <v/>
      </c>
      <c r="K1313" s="35" t="str">
        <f aca="false">IF($A1313="","",MOD(MONTH($A1313)-Setup!$B$6+12,12)+1)</f>
        <v/>
      </c>
      <c r="L1313" s="36" t="str">
        <f aca="false">IF($A1313="","",TEXT($A1313,"MMM-YY"))</f>
        <v/>
      </c>
      <c r="M1313" s="37" t="str">
        <f aca="false">IF($A1313="","",IF($Q1313=0,"UNMAPPED",INDEX(COA_Mapping!$C$7:$C$256,$Q1313)))</f>
        <v/>
      </c>
      <c r="N1313" s="38" t="str">
        <f aca="false">IF($A1313="","",IF($Q1313=0,"",INDEX(COA_Mapping!$E$7:$E$256,$Q1313)))</f>
        <v/>
      </c>
      <c r="O1313" s="38" t="n">
        <f aca="false">IF($A1313="",1,IF($Q1313=0,1,INDEX(COA_Mapping!$F$7:$F$256,$Q1313)))</f>
        <v>1</v>
      </c>
      <c r="P1313" s="34" t="str">
        <f aca="false">IF($A1313="","",$I1313*$O1313)</f>
        <v/>
      </c>
      <c r="Q1313" s="39" t="n">
        <f aca="false">IF($B1313="",0,IFERROR(MATCH($B1313,COA_Mapping!$A$7:$A$256,0),0))</f>
        <v>0</v>
      </c>
      <c r="R1313" s="39" t="n">
        <f aca="false">IF($A1313="",-1,IF($J1313=Setup!$B$7,1,IF($J1313=Setup!$B$9,0,-1)))</f>
        <v>-1</v>
      </c>
      <c r="S1313" s="35" t="n">
        <f aca="false">IF(OR($A1313="",$Q1313=0,$R1313=-1),0,$Q1313*1000+$R1313*100+$K1313)</f>
        <v>0</v>
      </c>
      <c r="T1313" s="37" t="str">
        <f aca="false">IF($A1313="","",IF($B1313="","NO ACCOUNT",IF($Q1313=0,"UNMAPPED",IF($R1313=-1,"OUTSIDE FY RANGE","OK"))))</f>
        <v/>
      </c>
      <c r="U1313" s="40" t="str">
        <f aca="false">IF($A1313="","",$B1313&amp;"|"&amp;TEXT($A1313,"yyyymmdd")&amp;"|"&amp;TEXT($I1313,"0.00"))</f>
        <v/>
      </c>
      <c r="V1313" s="35" t="str">
        <f aca="false">IF($A1313="","",COUNTIF($U$8:$U$5007,$U1313))</f>
        <v/>
      </c>
    </row>
    <row r="1314" customFormat="false" ht="15" hidden="false" customHeight="false" outlineLevel="0" collapsed="false">
      <c r="A1314" s="31"/>
      <c r="B1314" s="32"/>
      <c r="C1314" s="32"/>
      <c r="D1314" s="32"/>
      <c r="E1314" s="32"/>
      <c r="F1314" s="32"/>
      <c r="G1314" s="33"/>
      <c r="H1314" s="33"/>
      <c r="I1314" s="34" t="str">
        <f aca="false">IF($A1314="","",$G1314-$H1314)</f>
        <v/>
      </c>
      <c r="J1314" s="35" t="str">
        <f aca="false">IF($A1314="","",IF(Setup!$B$6=1,YEAR($A1314),YEAR($A1314)+IF(MONTH($A1314)&gt;=Setup!$B$6,1,0)))</f>
        <v/>
      </c>
      <c r="K1314" s="35" t="str">
        <f aca="false">IF($A1314="","",MOD(MONTH($A1314)-Setup!$B$6+12,12)+1)</f>
        <v/>
      </c>
      <c r="L1314" s="36" t="str">
        <f aca="false">IF($A1314="","",TEXT($A1314,"MMM-YY"))</f>
        <v/>
      </c>
      <c r="M1314" s="37" t="str">
        <f aca="false">IF($A1314="","",IF($Q1314=0,"UNMAPPED",INDEX(COA_Mapping!$C$7:$C$256,$Q1314)))</f>
        <v/>
      </c>
      <c r="N1314" s="38" t="str">
        <f aca="false">IF($A1314="","",IF($Q1314=0,"",INDEX(COA_Mapping!$E$7:$E$256,$Q1314)))</f>
        <v/>
      </c>
      <c r="O1314" s="38" t="n">
        <f aca="false">IF($A1314="",1,IF($Q1314=0,1,INDEX(COA_Mapping!$F$7:$F$256,$Q1314)))</f>
        <v>1</v>
      </c>
      <c r="P1314" s="34" t="str">
        <f aca="false">IF($A1314="","",$I1314*$O1314)</f>
        <v/>
      </c>
      <c r="Q1314" s="39" t="n">
        <f aca="false">IF($B1314="",0,IFERROR(MATCH($B1314,COA_Mapping!$A$7:$A$256,0),0))</f>
        <v>0</v>
      </c>
      <c r="R1314" s="39" t="n">
        <f aca="false">IF($A1314="",-1,IF($J1314=Setup!$B$7,1,IF($J1314=Setup!$B$9,0,-1)))</f>
        <v>-1</v>
      </c>
      <c r="S1314" s="35" t="n">
        <f aca="false">IF(OR($A1314="",$Q1314=0,$R1314=-1),0,$Q1314*1000+$R1314*100+$K1314)</f>
        <v>0</v>
      </c>
      <c r="T1314" s="37" t="str">
        <f aca="false">IF($A1314="","",IF($B1314="","NO ACCOUNT",IF($Q1314=0,"UNMAPPED",IF($R1314=-1,"OUTSIDE FY RANGE","OK"))))</f>
        <v/>
      </c>
      <c r="U1314" s="40" t="str">
        <f aca="false">IF($A1314="","",$B1314&amp;"|"&amp;TEXT($A1314,"yyyymmdd")&amp;"|"&amp;TEXT($I1314,"0.00"))</f>
        <v/>
      </c>
      <c r="V1314" s="35" t="str">
        <f aca="false">IF($A1314="","",COUNTIF($U$8:$U$5007,$U1314))</f>
        <v/>
      </c>
    </row>
    <row r="1315" customFormat="false" ht="15" hidden="false" customHeight="false" outlineLevel="0" collapsed="false">
      <c r="A1315" s="31"/>
      <c r="B1315" s="32"/>
      <c r="C1315" s="32"/>
      <c r="D1315" s="32"/>
      <c r="E1315" s="32"/>
      <c r="F1315" s="32"/>
      <c r="G1315" s="33"/>
      <c r="H1315" s="33"/>
      <c r="I1315" s="34" t="str">
        <f aca="false">IF($A1315="","",$G1315-$H1315)</f>
        <v/>
      </c>
      <c r="J1315" s="35" t="str">
        <f aca="false">IF($A1315="","",IF(Setup!$B$6=1,YEAR($A1315),YEAR($A1315)+IF(MONTH($A1315)&gt;=Setup!$B$6,1,0)))</f>
        <v/>
      </c>
      <c r="K1315" s="35" t="str">
        <f aca="false">IF($A1315="","",MOD(MONTH($A1315)-Setup!$B$6+12,12)+1)</f>
        <v/>
      </c>
      <c r="L1315" s="36" t="str">
        <f aca="false">IF($A1315="","",TEXT($A1315,"MMM-YY"))</f>
        <v/>
      </c>
      <c r="M1315" s="37" t="str">
        <f aca="false">IF($A1315="","",IF($Q1315=0,"UNMAPPED",INDEX(COA_Mapping!$C$7:$C$256,$Q1315)))</f>
        <v/>
      </c>
      <c r="N1315" s="38" t="str">
        <f aca="false">IF($A1315="","",IF($Q1315=0,"",INDEX(COA_Mapping!$E$7:$E$256,$Q1315)))</f>
        <v/>
      </c>
      <c r="O1315" s="38" t="n">
        <f aca="false">IF($A1315="",1,IF($Q1315=0,1,INDEX(COA_Mapping!$F$7:$F$256,$Q1315)))</f>
        <v>1</v>
      </c>
      <c r="P1315" s="34" t="str">
        <f aca="false">IF($A1315="","",$I1315*$O1315)</f>
        <v/>
      </c>
      <c r="Q1315" s="39" t="n">
        <f aca="false">IF($B1315="",0,IFERROR(MATCH($B1315,COA_Mapping!$A$7:$A$256,0),0))</f>
        <v>0</v>
      </c>
      <c r="R1315" s="39" t="n">
        <f aca="false">IF($A1315="",-1,IF($J1315=Setup!$B$7,1,IF($J1315=Setup!$B$9,0,-1)))</f>
        <v>-1</v>
      </c>
      <c r="S1315" s="35" t="n">
        <f aca="false">IF(OR($A1315="",$Q1315=0,$R1315=-1),0,$Q1315*1000+$R1315*100+$K1315)</f>
        <v>0</v>
      </c>
      <c r="T1315" s="37" t="str">
        <f aca="false">IF($A1315="","",IF($B1315="","NO ACCOUNT",IF($Q1315=0,"UNMAPPED",IF($R1315=-1,"OUTSIDE FY RANGE","OK"))))</f>
        <v/>
      </c>
      <c r="U1315" s="40" t="str">
        <f aca="false">IF($A1315="","",$B1315&amp;"|"&amp;TEXT($A1315,"yyyymmdd")&amp;"|"&amp;TEXT($I1315,"0.00"))</f>
        <v/>
      </c>
      <c r="V1315" s="35" t="str">
        <f aca="false">IF($A1315="","",COUNTIF($U$8:$U$5007,$U1315))</f>
        <v/>
      </c>
    </row>
    <row r="1316" customFormat="false" ht="15" hidden="false" customHeight="false" outlineLevel="0" collapsed="false">
      <c r="A1316" s="31"/>
      <c r="B1316" s="32"/>
      <c r="C1316" s="32"/>
      <c r="D1316" s="32"/>
      <c r="E1316" s="32"/>
      <c r="F1316" s="32"/>
      <c r="G1316" s="33"/>
      <c r="H1316" s="33"/>
      <c r="I1316" s="34" t="str">
        <f aca="false">IF($A1316="","",$G1316-$H1316)</f>
        <v/>
      </c>
      <c r="J1316" s="35" t="str">
        <f aca="false">IF($A1316="","",IF(Setup!$B$6=1,YEAR($A1316),YEAR($A1316)+IF(MONTH($A1316)&gt;=Setup!$B$6,1,0)))</f>
        <v/>
      </c>
      <c r="K1316" s="35" t="str">
        <f aca="false">IF($A1316="","",MOD(MONTH($A1316)-Setup!$B$6+12,12)+1)</f>
        <v/>
      </c>
      <c r="L1316" s="36" t="str">
        <f aca="false">IF($A1316="","",TEXT($A1316,"MMM-YY"))</f>
        <v/>
      </c>
      <c r="M1316" s="37" t="str">
        <f aca="false">IF($A1316="","",IF($Q1316=0,"UNMAPPED",INDEX(COA_Mapping!$C$7:$C$256,$Q1316)))</f>
        <v/>
      </c>
      <c r="N1316" s="38" t="str">
        <f aca="false">IF($A1316="","",IF($Q1316=0,"",INDEX(COA_Mapping!$E$7:$E$256,$Q1316)))</f>
        <v/>
      </c>
      <c r="O1316" s="38" t="n">
        <f aca="false">IF($A1316="",1,IF($Q1316=0,1,INDEX(COA_Mapping!$F$7:$F$256,$Q1316)))</f>
        <v>1</v>
      </c>
      <c r="P1316" s="34" t="str">
        <f aca="false">IF($A1316="","",$I1316*$O1316)</f>
        <v/>
      </c>
      <c r="Q1316" s="39" t="n">
        <f aca="false">IF($B1316="",0,IFERROR(MATCH($B1316,COA_Mapping!$A$7:$A$256,0),0))</f>
        <v>0</v>
      </c>
      <c r="R1316" s="39" t="n">
        <f aca="false">IF($A1316="",-1,IF($J1316=Setup!$B$7,1,IF($J1316=Setup!$B$9,0,-1)))</f>
        <v>-1</v>
      </c>
      <c r="S1316" s="35" t="n">
        <f aca="false">IF(OR($A1316="",$Q1316=0,$R1316=-1),0,$Q1316*1000+$R1316*100+$K1316)</f>
        <v>0</v>
      </c>
      <c r="T1316" s="37" t="str">
        <f aca="false">IF($A1316="","",IF($B1316="","NO ACCOUNT",IF($Q1316=0,"UNMAPPED",IF($R1316=-1,"OUTSIDE FY RANGE","OK"))))</f>
        <v/>
      </c>
      <c r="U1316" s="40" t="str">
        <f aca="false">IF($A1316="","",$B1316&amp;"|"&amp;TEXT($A1316,"yyyymmdd")&amp;"|"&amp;TEXT($I1316,"0.00"))</f>
        <v/>
      </c>
      <c r="V1316" s="35" t="str">
        <f aca="false">IF($A1316="","",COUNTIF($U$8:$U$5007,$U1316))</f>
        <v/>
      </c>
    </row>
    <row r="1317" customFormat="false" ht="15" hidden="false" customHeight="false" outlineLevel="0" collapsed="false">
      <c r="A1317" s="31"/>
      <c r="B1317" s="32"/>
      <c r="C1317" s="32"/>
      <c r="D1317" s="32"/>
      <c r="E1317" s="32"/>
      <c r="F1317" s="32"/>
      <c r="G1317" s="33"/>
      <c r="H1317" s="33"/>
      <c r="I1317" s="34" t="str">
        <f aca="false">IF($A1317="","",$G1317-$H1317)</f>
        <v/>
      </c>
      <c r="J1317" s="35" t="str">
        <f aca="false">IF($A1317="","",IF(Setup!$B$6=1,YEAR($A1317),YEAR($A1317)+IF(MONTH($A1317)&gt;=Setup!$B$6,1,0)))</f>
        <v/>
      </c>
      <c r="K1317" s="35" t="str">
        <f aca="false">IF($A1317="","",MOD(MONTH($A1317)-Setup!$B$6+12,12)+1)</f>
        <v/>
      </c>
      <c r="L1317" s="36" t="str">
        <f aca="false">IF($A1317="","",TEXT($A1317,"MMM-YY"))</f>
        <v/>
      </c>
      <c r="M1317" s="37" t="str">
        <f aca="false">IF($A1317="","",IF($Q1317=0,"UNMAPPED",INDEX(COA_Mapping!$C$7:$C$256,$Q1317)))</f>
        <v/>
      </c>
      <c r="N1317" s="38" t="str">
        <f aca="false">IF($A1317="","",IF($Q1317=0,"",INDEX(COA_Mapping!$E$7:$E$256,$Q1317)))</f>
        <v/>
      </c>
      <c r="O1317" s="38" t="n">
        <f aca="false">IF($A1317="",1,IF($Q1317=0,1,INDEX(COA_Mapping!$F$7:$F$256,$Q1317)))</f>
        <v>1</v>
      </c>
      <c r="P1317" s="34" t="str">
        <f aca="false">IF($A1317="","",$I1317*$O1317)</f>
        <v/>
      </c>
      <c r="Q1317" s="39" t="n">
        <f aca="false">IF($B1317="",0,IFERROR(MATCH($B1317,COA_Mapping!$A$7:$A$256,0),0))</f>
        <v>0</v>
      </c>
      <c r="R1317" s="39" t="n">
        <f aca="false">IF($A1317="",-1,IF($J1317=Setup!$B$7,1,IF($J1317=Setup!$B$9,0,-1)))</f>
        <v>-1</v>
      </c>
      <c r="S1317" s="35" t="n">
        <f aca="false">IF(OR($A1317="",$Q1317=0,$R1317=-1),0,$Q1317*1000+$R1317*100+$K1317)</f>
        <v>0</v>
      </c>
      <c r="T1317" s="37" t="str">
        <f aca="false">IF($A1317="","",IF($B1317="","NO ACCOUNT",IF($Q1317=0,"UNMAPPED",IF($R1317=-1,"OUTSIDE FY RANGE","OK"))))</f>
        <v/>
      </c>
      <c r="U1317" s="40" t="str">
        <f aca="false">IF($A1317="","",$B1317&amp;"|"&amp;TEXT($A1317,"yyyymmdd")&amp;"|"&amp;TEXT($I1317,"0.00"))</f>
        <v/>
      </c>
      <c r="V1317" s="35" t="str">
        <f aca="false">IF($A1317="","",COUNTIF($U$8:$U$5007,$U1317))</f>
        <v/>
      </c>
    </row>
    <row r="1318" customFormat="false" ht="15" hidden="false" customHeight="false" outlineLevel="0" collapsed="false">
      <c r="A1318" s="31"/>
      <c r="B1318" s="32"/>
      <c r="C1318" s="32"/>
      <c r="D1318" s="32"/>
      <c r="E1318" s="32"/>
      <c r="F1318" s="32"/>
      <c r="G1318" s="33"/>
      <c r="H1318" s="33"/>
      <c r="I1318" s="34" t="str">
        <f aca="false">IF($A1318="","",$G1318-$H1318)</f>
        <v/>
      </c>
      <c r="J1318" s="35" t="str">
        <f aca="false">IF($A1318="","",IF(Setup!$B$6=1,YEAR($A1318),YEAR($A1318)+IF(MONTH($A1318)&gt;=Setup!$B$6,1,0)))</f>
        <v/>
      </c>
      <c r="K1318" s="35" t="str">
        <f aca="false">IF($A1318="","",MOD(MONTH($A1318)-Setup!$B$6+12,12)+1)</f>
        <v/>
      </c>
      <c r="L1318" s="36" t="str">
        <f aca="false">IF($A1318="","",TEXT($A1318,"MMM-YY"))</f>
        <v/>
      </c>
      <c r="M1318" s="37" t="str">
        <f aca="false">IF($A1318="","",IF($Q1318=0,"UNMAPPED",INDEX(COA_Mapping!$C$7:$C$256,$Q1318)))</f>
        <v/>
      </c>
      <c r="N1318" s="38" t="str">
        <f aca="false">IF($A1318="","",IF($Q1318=0,"",INDEX(COA_Mapping!$E$7:$E$256,$Q1318)))</f>
        <v/>
      </c>
      <c r="O1318" s="38" t="n">
        <f aca="false">IF($A1318="",1,IF($Q1318=0,1,INDEX(COA_Mapping!$F$7:$F$256,$Q1318)))</f>
        <v>1</v>
      </c>
      <c r="P1318" s="34" t="str">
        <f aca="false">IF($A1318="","",$I1318*$O1318)</f>
        <v/>
      </c>
      <c r="Q1318" s="39" t="n">
        <f aca="false">IF($B1318="",0,IFERROR(MATCH($B1318,COA_Mapping!$A$7:$A$256,0),0))</f>
        <v>0</v>
      </c>
      <c r="R1318" s="39" t="n">
        <f aca="false">IF($A1318="",-1,IF($J1318=Setup!$B$7,1,IF($J1318=Setup!$B$9,0,-1)))</f>
        <v>-1</v>
      </c>
      <c r="S1318" s="35" t="n">
        <f aca="false">IF(OR($A1318="",$Q1318=0,$R1318=-1),0,$Q1318*1000+$R1318*100+$K1318)</f>
        <v>0</v>
      </c>
      <c r="T1318" s="37" t="str">
        <f aca="false">IF($A1318="","",IF($B1318="","NO ACCOUNT",IF($Q1318=0,"UNMAPPED",IF($R1318=-1,"OUTSIDE FY RANGE","OK"))))</f>
        <v/>
      </c>
      <c r="U1318" s="40" t="str">
        <f aca="false">IF($A1318="","",$B1318&amp;"|"&amp;TEXT($A1318,"yyyymmdd")&amp;"|"&amp;TEXT($I1318,"0.00"))</f>
        <v/>
      </c>
      <c r="V1318" s="35" t="str">
        <f aca="false">IF($A1318="","",COUNTIF($U$8:$U$5007,$U1318))</f>
        <v/>
      </c>
    </row>
    <row r="1319" customFormat="false" ht="15" hidden="false" customHeight="false" outlineLevel="0" collapsed="false">
      <c r="A1319" s="31"/>
      <c r="B1319" s="32"/>
      <c r="C1319" s="32"/>
      <c r="D1319" s="32"/>
      <c r="E1319" s="32"/>
      <c r="F1319" s="32"/>
      <c r="G1319" s="33"/>
      <c r="H1319" s="33"/>
      <c r="I1319" s="34" t="str">
        <f aca="false">IF($A1319="","",$G1319-$H1319)</f>
        <v/>
      </c>
      <c r="J1319" s="35" t="str">
        <f aca="false">IF($A1319="","",IF(Setup!$B$6=1,YEAR($A1319),YEAR($A1319)+IF(MONTH($A1319)&gt;=Setup!$B$6,1,0)))</f>
        <v/>
      </c>
      <c r="K1319" s="35" t="str">
        <f aca="false">IF($A1319="","",MOD(MONTH($A1319)-Setup!$B$6+12,12)+1)</f>
        <v/>
      </c>
      <c r="L1319" s="36" t="str">
        <f aca="false">IF($A1319="","",TEXT($A1319,"MMM-YY"))</f>
        <v/>
      </c>
      <c r="M1319" s="37" t="str">
        <f aca="false">IF($A1319="","",IF($Q1319=0,"UNMAPPED",INDEX(COA_Mapping!$C$7:$C$256,$Q1319)))</f>
        <v/>
      </c>
      <c r="N1319" s="38" t="str">
        <f aca="false">IF($A1319="","",IF($Q1319=0,"",INDEX(COA_Mapping!$E$7:$E$256,$Q1319)))</f>
        <v/>
      </c>
      <c r="O1319" s="38" t="n">
        <f aca="false">IF($A1319="",1,IF($Q1319=0,1,INDEX(COA_Mapping!$F$7:$F$256,$Q1319)))</f>
        <v>1</v>
      </c>
      <c r="P1319" s="34" t="str">
        <f aca="false">IF($A1319="","",$I1319*$O1319)</f>
        <v/>
      </c>
      <c r="Q1319" s="39" t="n">
        <f aca="false">IF($B1319="",0,IFERROR(MATCH($B1319,COA_Mapping!$A$7:$A$256,0),0))</f>
        <v>0</v>
      </c>
      <c r="R1319" s="39" t="n">
        <f aca="false">IF($A1319="",-1,IF($J1319=Setup!$B$7,1,IF($J1319=Setup!$B$9,0,-1)))</f>
        <v>-1</v>
      </c>
      <c r="S1319" s="35" t="n">
        <f aca="false">IF(OR($A1319="",$Q1319=0,$R1319=-1),0,$Q1319*1000+$R1319*100+$K1319)</f>
        <v>0</v>
      </c>
      <c r="T1319" s="37" t="str">
        <f aca="false">IF($A1319="","",IF($B1319="","NO ACCOUNT",IF($Q1319=0,"UNMAPPED",IF($R1319=-1,"OUTSIDE FY RANGE","OK"))))</f>
        <v/>
      </c>
      <c r="U1319" s="40" t="str">
        <f aca="false">IF($A1319="","",$B1319&amp;"|"&amp;TEXT($A1319,"yyyymmdd")&amp;"|"&amp;TEXT($I1319,"0.00"))</f>
        <v/>
      </c>
      <c r="V1319" s="35" t="str">
        <f aca="false">IF($A1319="","",COUNTIF($U$8:$U$5007,$U1319))</f>
        <v/>
      </c>
    </row>
    <row r="1320" customFormat="false" ht="15" hidden="false" customHeight="false" outlineLevel="0" collapsed="false">
      <c r="A1320" s="31"/>
      <c r="B1320" s="32"/>
      <c r="C1320" s="32"/>
      <c r="D1320" s="32"/>
      <c r="E1320" s="32"/>
      <c r="F1320" s="32"/>
      <c r="G1320" s="33"/>
      <c r="H1320" s="33"/>
      <c r="I1320" s="34" t="str">
        <f aca="false">IF($A1320="","",$G1320-$H1320)</f>
        <v/>
      </c>
      <c r="J1320" s="35" t="str">
        <f aca="false">IF($A1320="","",IF(Setup!$B$6=1,YEAR($A1320),YEAR($A1320)+IF(MONTH($A1320)&gt;=Setup!$B$6,1,0)))</f>
        <v/>
      </c>
      <c r="K1320" s="35" t="str">
        <f aca="false">IF($A1320="","",MOD(MONTH($A1320)-Setup!$B$6+12,12)+1)</f>
        <v/>
      </c>
      <c r="L1320" s="36" t="str">
        <f aca="false">IF($A1320="","",TEXT($A1320,"MMM-YY"))</f>
        <v/>
      </c>
      <c r="M1320" s="37" t="str">
        <f aca="false">IF($A1320="","",IF($Q1320=0,"UNMAPPED",INDEX(COA_Mapping!$C$7:$C$256,$Q1320)))</f>
        <v/>
      </c>
      <c r="N1320" s="38" t="str">
        <f aca="false">IF($A1320="","",IF($Q1320=0,"",INDEX(COA_Mapping!$E$7:$E$256,$Q1320)))</f>
        <v/>
      </c>
      <c r="O1320" s="38" t="n">
        <f aca="false">IF($A1320="",1,IF($Q1320=0,1,INDEX(COA_Mapping!$F$7:$F$256,$Q1320)))</f>
        <v>1</v>
      </c>
      <c r="P1320" s="34" t="str">
        <f aca="false">IF($A1320="","",$I1320*$O1320)</f>
        <v/>
      </c>
      <c r="Q1320" s="39" t="n">
        <f aca="false">IF($B1320="",0,IFERROR(MATCH($B1320,COA_Mapping!$A$7:$A$256,0),0))</f>
        <v>0</v>
      </c>
      <c r="R1320" s="39" t="n">
        <f aca="false">IF($A1320="",-1,IF($J1320=Setup!$B$7,1,IF($J1320=Setup!$B$9,0,-1)))</f>
        <v>-1</v>
      </c>
      <c r="S1320" s="35" t="n">
        <f aca="false">IF(OR($A1320="",$Q1320=0,$R1320=-1),0,$Q1320*1000+$R1320*100+$K1320)</f>
        <v>0</v>
      </c>
      <c r="T1320" s="37" t="str">
        <f aca="false">IF($A1320="","",IF($B1320="","NO ACCOUNT",IF($Q1320=0,"UNMAPPED",IF($R1320=-1,"OUTSIDE FY RANGE","OK"))))</f>
        <v/>
      </c>
      <c r="U1320" s="40" t="str">
        <f aca="false">IF($A1320="","",$B1320&amp;"|"&amp;TEXT($A1320,"yyyymmdd")&amp;"|"&amp;TEXT($I1320,"0.00"))</f>
        <v/>
      </c>
      <c r="V1320" s="35" t="str">
        <f aca="false">IF($A1320="","",COUNTIF($U$8:$U$5007,$U1320))</f>
        <v/>
      </c>
    </row>
    <row r="1321" customFormat="false" ht="15" hidden="false" customHeight="false" outlineLevel="0" collapsed="false">
      <c r="A1321" s="31"/>
      <c r="B1321" s="32"/>
      <c r="C1321" s="32"/>
      <c r="D1321" s="32"/>
      <c r="E1321" s="32"/>
      <c r="F1321" s="32"/>
      <c r="G1321" s="33"/>
      <c r="H1321" s="33"/>
      <c r="I1321" s="34" t="str">
        <f aca="false">IF($A1321="","",$G1321-$H1321)</f>
        <v/>
      </c>
      <c r="J1321" s="35" t="str">
        <f aca="false">IF($A1321="","",IF(Setup!$B$6=1,YEAR($A1321),YEAR($A1321)+IF(MONTH($A1321)&gt;=Setup!$B$6,1,0)))</f>
        <v/>
      </c>
      <c r="K1321" s="35" t="str">
        <f aca="false">IF($A1321="","",MOD(MONTH($A1321)-Setup!$B$6+12,12)+1)</f>
        <v/>
      </c>
      <c r="L1321" s="36" t="str">
        <f aca="false">IF($A1321="","",TEXT($A1321,"MMM-YY"))</f>
        <v/>
      </c>
      <c r="M1321" s="37" t="str">
        <f aca="false">IF($A1321="","",IF($Q1321=0,"UNMAPPED",INDEX(COA_Mapping!$C$7:$C$256,$Q1321)))</f>
        <v/>
      </c>
      <c r="N1321" s="38" t="str">
        <f aca="false">IF($A1321="","",IF($Q1321=0,"",INDEX(COA_Mapping!$E$7:$E$256,$Q1321)))</f>
        <v/>
      </c>
      <c r="O1321" s="38" t="n">
        <f aca="false">IF($A1321="",1,IF($Q1321=0,1,INDEX(COA_Mapping!$F$7:$F$256,$Q1321)))</f>
        <v>1</v>
      </c>
      <c r="P1321" s="34" t="str">
        <f aca="false">IF($A1321="","",$I1321*$O1321)</f>
        <v/>
      </c>
      <c r="Q1321" s="39" t="n">
        <f aca="false">IF($B1321="",0,IFERROR(MATCH($B1321,COA_Mapping!$A$7:$A$256,0),0))</f>
        <v>0</v>
      </c>
      <c r="R1321" s="39" t="n">
        <f aca="false">IF($A1321="",-1,IF($J1321=Setup!$B$7,1,IF($J1321=Setup!$B$9,0,-1)))</f>
        <v>-1</v>
      </c>
      <c r="S1321" s="35" t="n">
        <f aca="false">IF(OR($A1321="",$Q1321=0,$R1321=-1),0,$Q1321*1000+$R1321*100+$K1321)</f>
        <v>0</v>
      </c>
      <c r="T1321" s="37" t="str">
        <f aca="false">IF($A1321="","",IF($B1321="","NO ACCOUNT",IF($Q1321=0,"UNMAPPED",IF($R1321=-1,"OUTSIDE FY RANGE","OK"))))</f>
        <v/>
      </c>
      <c r="U1321" s="40" t="str">
        <f aca="false">IF($A1321="","",$B1321&amp;"|"&amp;TEXT($A1321,"yyyymmdd")&amp;"|"&amp;TEXT($I1321,"0.00"))</f>
        <v/>
      </c>
      <c r="V1321" s="35" t="str">
        <f aca="false">IF($A1321="","",COUNTIF($U$8:$U$5007,$U1321))</f>
        <v/>
      </c>
    </row>
    <row r="1322" customFormat="false" ht="15" hidden="false" customHeight="false" outlineLevel="0" collapsed="false">
      <c r="A1322" s="31"/>
      <c r="B1322" s="32"/>
      <c r="C1322" s="32"/>
      <c r="D1322" s="32"/>
      <c r="E1322" s="32"/>
      <c r="F1322" s="32"/>
      <c r="G1322" s="33"/>
      <c r="H1322" s="33"/>
      <c r="I1322" s="34" t="str">
        <f aca="false">IF($A1322="","",$G1322-$H1322)</f>
        <v/>
      </c>
      <c r="J1322" s="35" t="str">
        <f aca="false">IF($A1322="","",IF(Setup!$B$6=1,YEAR($A1322),YEAR($A1322)+IF(MONTH($A1322)&gt;=Setup!$B$6,1,0)))</f>
        <v/>
      </c>
      <c r="K1322" s="35" t="str">
        <f aca="false">IF($A1322="","",MOD(MONTH($A1322)-Setup!$B$6+12,12)+1)</f>
        <v/>
      </c>
      <c r="L1322" s="36" t="str">
        <f aca="false">IF($A1322="","",TEXT($A1322,"MMM-YY"))</f>
        <v/>
      </c>
      <c r="M1322" s="37" t="str">
        <f aca="false">IF($A1322="","",IF($Q1322=0,"UNMAPPED",INDEX(COA_Mapping!$C$7:$C$256,$Q1322)))</f>
        <v/>
      </c>
      <c r="N1322" s="38" t="str">
        <f aca="false">IF($A1322="","",IF($Q1322=0,"",INDEX(COA_Mapping!$E$7:$E$256,$Q1322)))</f>
        <v/>
      </c>
      <c r="O1322" s="38" t="n">
        <f aca="false">IF($A1322="",1,IF($Q1322=0,1,INDEX(COA_Mapping!$F$7:$F$256,$Q1322)))</f>
        <v>1</v>
      </c>
      <c r="P1322" s="34" t="str">
        <f aca="false">IF($A1322="","",$I1322*$O1322)</f>
        <v/>
      </c>
      <c r="Q1322" s="39" t="n">
        <f aca="false">IF($B1322="",0,IFERROR(MATCH($B1322,COA_Mapping!$A$7:$A$256,0),0))</f>
        <v>0</v>
      </c>
      <c r="R1322" s="39" t="n">
        <f aca="false">IF($A1322="",-1,IF($J1322=Setup!$B$7,1,IF($J1322=Setup!$B$9,0,-1)))</f>
        <v>-1</v>
      </c>
      <c r="S1322" s="35" t="n">
        <f aca="false">IF(OR($A1322="",$Q1322=0,$R1322=-1),0,$Q1322*1000+$R1322*100+$K1322)</f>
        <v>0</v>
      </c>
      <c r="T1322" s="37" t="str">
        <f aca="false">IF($A1322="","",IF($B1322="","NO ACCOUNT",IF($Q1322=0,"UNMAPPED",IF($R1322=-1,"OUTSIDE FY RANGE","OK"))))</f>
        <v/>
      </c>
      <c r="U1322" s="40" t="str">
        <f aca="false">IF($A1322="","",$B1322&amp;"|"&amp;TEXT($A1322,"yyyymmdd")&amp;"|"&amp;TEXT($I1322,"0.00"))</f>
        <v/>
      </c>
      <c r="V1322" s="35" t="str">
        <f aca="false">IF($A1322="","",COUNTIF($U$8:$U$5007,$U1322))</f>
        <v/>
      </c>
    </row>
    <row r="1323" customFormat="false" ht="15" hidden="false" customHeight="false" outlineLevel="0" collapsed="false">
      <c r="A1323" s="31"/>
      <c r="B1323" s="32"/>
      <c r="C1323" s="32"/>
      <c r="D1323" s="32"/>
      <c r="E1323" s="32"/>
      <c r="F1323" s="32"/>
      <c r="G1323" s="33"/>
      <c r="H1323" s="33"/>
      <c r="I1323" s="34" t="str">
        <f aca="false">IF($A1323="","",$G1323-$H1323)</f>
        <v/>
      </c>
      <c r="J1323" s="35" t="str">
        <f aca="false">IF($A1323="","",IF(Setup!$B$6=1,YEAR($A1323),YEAR($A1323)+IF(MONTH($A1323)&gt;=Setup!$B$6,1,0)))</f>
        <v/>
      </c>
      <c r="K1323" s="35" t="str">
        <f aca="false">IF($A1323="","",MOD(MONTH($A1323)-Setup!$B$6+12,12)+1)</f>
        <v/>
      </c>
      <c r="L1323" s="36" t="str">
        <f aca="false">IF($A1323="","",TEXT($A1323,"MMM-YY"))</f>
        <v/>
      </c>
      <c r="M1323" s="37" t="str">
        <f aca="false">IF($A1323="","",IF($Q1323=0,"UNMAPPED",INDEX(COA_Mapping!$C$7:$C$256,$Q1323)))</f>
        <v/>
      </c>
      <c r="N1323" s="38" t="str">
        <f aca="false">IF($A1323="","",IF($Q1323=0,"",INDEX(COA_Mapping!$E$7:$E$256,$Q1323)))</f>
        <v/>
      </c>
      <c r="O1323" s="38" t="n">
        <f aca="false">IF($A1323="",1,IF($Q1323=0,1,INDEX(COA_Mapping!$F$7:$F$256,$Q1323)))</f>
        <v>1</v>
      </c>
      <c r="P1323" s="34" t="str">
        <f aca="false">IF($A1323="","",$I1323*$O1323)</f>
        <v/>
      </c>
      <c r="Q1323" s="39" t="n">
        <f aca="false">IF($B1323="",0,IFERROR(MATCH($B1323,COA_Mapping!$A$7:$A$256,0),0))</f>
        <v>0</v>
      </c>
      <c r="R1323" s="39" t="n">
        <f aca="false">IF($A1323="",-1,IF($J1323=Setup!$B$7,1,IF($J1323=Setup!$B$9,0,-1)))</f>
        <v>-1</v>
      </c>
      <c r="S1323" s="35" t="n">
        <f aca="false">IF(OR($A1323="",$Q1323=0,$R1323=-1),0,$Q1323*1000+$R1323*100+$K1323)</f>
        <v>0</v>
      </c>
      <c r="T1323" s="37" t="str">
        <f aca="false">IF($A1323="","",IF($B1323="","NO ACCOUNT",IF($Q1323=0,"UNMAPPED",IF($R1323=-1,"OUTSIDE FY RANGE","OK"))))</f>
        <v/>
      </c>
      <c r="U1323" s="40" t="str">
        <f aca="false">IF($A1323="","",$B1323&amp;"|"&amp;TEXT($A1323,"yyyymmdd")&amp;"|"&amp;TEXT($I1323,"0.00"))</f>
        <v/>
      </c>
      <c r="V1323" s="35" t="str">
        <f aca="false">IF($A1323="","",COUNTIF($U$8:$U$5007,$U1323))</f>
        <v/>
      </c>
    </row>
    <row r="1324" customFormat="false" ht="15" hidden="false" customHeight="false" outlineLevel="0" collapsed="false">
      <c r="A1324" s="31"/>
      <c r="B1324" s="32"/>
      <c r="C1324" s="32"/>
      <c r="D1324" s="32"/>
      <c r="E1324" s="32"/>
      <c r="F1324" s="32"/>
      <c r="G1324" s="33"/>
      <c r="H1324" s="33"/>
      <c r="I1324" s="34" t="str">
        <f aca="false">IF($A1324="","",$G1324-$H1324)</f>
        <v/>
      </c>
      <c r="J1324" s="35" t="str">
        <f aca="false">IF($A1324="","",IF(Setup!$B$6=1,YEAR($A1324),YEAR($A1324)+IF(MONTH($A1324)&gt;=Setup!$B$6,1,0)))</f>
        <v/>
      </c>
      <c r="K1324" s="35" t="str">
        <f aca="false">IF($A1324="","",MOD(MONTH($A1324)-Setup!$B$6+12,12)+1)</f>
        <v/>
      </c>
      <c r="L1324" s="36" t="str">
        <f aca="false">IF($A1324="","",TEXT($A1324,"MMM-YY"))</f>
        <v/>
      </c>
      <c r="M1324" s="37" t="str">
        <f aca="false">IF($A1324="","",IF($Q1324=0,"UNMAPPED",INDEX(COA_Mapping!$C$7:$C$256,$Q1324)))</f>
        <v/>
      </c>
      <c r="N1324" s="38" t="str">
        <f aca="false">IF($A1324="","",IF($Q1324=0,"",INDEX(COA_Mapping!$E$7:$E$256,$Q1324)))</f>
        <v/>
      </c>
      <c r="O1324" s="38" t="n">
        <f aca="false">IF($A1324="",1,IF($Q1324=0,1,INDEX(COA_Mapping!$F$7:$F$256,$Q1324)))</f>
        <v>1</v>
      </c>
      <c r="P1324" s="34" t="str">
        <f aca="false">IF($A1324="","",$I1324*$O1324)</f>
        <v/>
      </c>
      <c r="Q1324" s="39" t="n">
        <f aca="false">IF($B1324="",0,IFERROR(MATCH($B1324,COA_Mapping!$A$7:$A$256,0),0))</f>
        <v>0</v>
      </c>
      <c r="R1324" s="39" t="n">
        <f aca="false">IF($A1324="",-1,IF($J1324=Setup!$B$7,1,IF($J1324=Setup!$B$9,0,-1)))</f>
        <v>-1</v>
      </c>
      <c r="S1324" s="35" t="n">
        <f aca="false">IF(OR($A1324="",$Q1324=0,$R1324=-1),0,$Q1324*1000+$R1324*100+$K1324)</f>
        <v>0</v>
      </c>
      <c r="T1324" s="37" t="str">
        <f aca="false">IF($A1324="","",IF($B1324="","NO ACCOUNT",IF($Q1324=0,"UNMAPPED",IF($R1324=-1,"OUTSIDE FY RANGE","OK"))))</f>
        <v/>
      </c>
      <c r="U1324" s="40" t="str">
        <f aca="false">IF($A1324="","",$B1324&amp;"|"&amp;TEXT($A1324,"yyyymmdd")&amp;"|"&amp;TEXT($I1324,"0.00"))</f>
        <v/>
      </c>
      <c r="V1324" s="35" t="str">
        <f aca="false">IF($A1324="","",COUNTIF($U$8:$U$5007,$U1324))</f>
        <v/>
      </c>
    </row>
    <row r="1325" customFormat="false" ht="15" hidden="false" customHeight="false" outlineLevel="0" collapsed="false">
      <c r="A1325" s="31"/>
      <c r="B1325" s="32"/>
      <c r="C1325" s="32"/>
      <c r="D1325" s="32"/>
      <c r="E1325" s="32"/>
      <c r="F1325" s="32"/>
      <c r="G1325" s="33"/>
      <c r="H1325" s="33"/>
      <c r="I1325" s="34" t="str">
        <f aca="false">IF($A1325="","",$G1325-$H1325)</f>
        <v/>
      </c>
      <c r="J1325" s="35" t="str">
        <f aca="false">IF($A1325="","",IF(Setup!$B$6=1,YEAR($A1325),YEAR($A1325)+IF(MONTH($A1325)&gt;=Setup!$B$6,1,0)))</f>
        <v/>
      </c>
      <c r="K1325" s="35" t="str">
        <f aca="false">IF($A1325="","",MOD(MONTH($A1325)-Setup!$B$6+12,12)+1)</f>
        <v/>
      </c>
      <c r="L1325" s="36" t="str">
        <f aca="false">IF($A1325="","",TEXT($A1325,"MMM-YY"))</f>
        <v/>
      </c>
      <c r="M1325" s="37" t="str">
        <f aca="false">IF($A1325="","",IF($Q1325=0,"UNMAPPED",INDEX(COA_Mapping!$C$7:$C$256,$Q1325)))</f>
        <v/>
      </c>
      <c r="N1325" s="38" t="str">
        <f aca="false">IF($A1325="","",IF($Q1325=0,"",INDEX(COA_Mapping!$E$7:$E$256,$Q1325)))</f>
        <v/>
      </c>
      <c r="O1325" s="38" t="n">
        <f aca="false">IF($A1325="",1,IF($Q1325=0,1,INDEX(COA_Mapping!$F$7:$F$256,$Q1325)))</f>
        <v>1</v>
      </c>
      <c r="P1325" s="34" t="str">
        <f aca="false">IF($A1325="","",$I1325*$O1325)</f>
        <v/>
      </c>
      <c r="Q1325" s="39" t="n">
        <f aca="false">IF($B1325="",0,IFERROR(MATCH($B1325,COA_Mapping!$A$7:$A$256,0),0))</f>
        <v>0</v>
      </c>
      <c r="R1325" s="39" t="n">
        <f aca="false">IF($A1325="",-1,IF($J1325=Setup!$B$7,1,IF($J1325=Setup!$B$9,0,-1)))</f>
        <v>-1</v>
      </c>
      <c r="S1325" s="35" t="n">
        <f aca="false">IF(OR($A1325="",$Q1325=0,$R1325=-1),0,$Q1325*1000+$R1325*100+$K1325)</f>
        <v>0</v>
      </c>
      <c r="T1325" s="37" t="str">
        <f aca="false">IF($A1325="","",IF($B1325="","NO ACCOUNT",IF($Q1325=0,"UNMAPPED",IF($R1325=-1,"OUTSIDE FY RANGE","OK"))))</f>
        <v/>
      </c>
      <c r="U1325" s="40" t="str">
        <f aca="false">IF($A1325="","",$B1325&amp;"|"&amp;TEXT($A1325,"yyyymmdd")&amp;"|"&amp;TEXT($I1325,"0.00"))</f>
        <v/>
      </c>
      <c r="V1325" s="35" t="str">
        <f aca="false">IF($A1325="","",COUNTIF($U$8:$U$5007,$U1325))</f>
        <v/>
      </c>
    </row>
    <row r="1326" customFormat="false" ht="15" hidden="false" customHeight="false" outlineLevel="0" collapsed="false">
      <c r="A1326" s="31"/>
      <c r="B1326" s="32"/>
      <c r="C1326" s="32"/>
      <c r="D1326" s="32"/>
      <c r="E1326" s="32"/>
      <c r="F1326" s="32"/>
      <c r="G1326" s="33"/>
      <c r="H1326" s="33"/>
      <c r="I1326" s="34" t="str">
        <f aca="false">IF($A1326="","",$G1326-$H1326)</f>
        <v/>
      </c>
      <c r="J1326" s="35" t="str">
        <f aca="false">IF($A1326="","",IF(Setup!$B$6=1,YEAR($A1326),YEAR($A1326)+IF(MONTH($A1326)&gt;=Setup!$B$6,1,0)))</f>
        <v/>
      </c>
      <c r="K1326" s="35" t="str">
        <f aca="false">IF($A1326="","",MOD(MONTH($A1326)-Setup!$B$6+12,12)+1)</f>
        <v/>
      </c>
      <c r="L1326" s="36" t="str">
        <f aca="false">IF($A1326="","",TEXT($A1326,"MMM-YY"))</f>
        <v/>
      </c>
      <c r="M1326" s="37" t="str">
        <f aca="false">IF($A1326="","",IF($Q1326=0,"UNMAPPED",INDEX(COA_Mapping!$C$7:$C$256,$Q1326)))</f>
        <v/>
      </c>
      <c r="N1326" s="38" t="str">
        <f aca="false">IF($A1326="","",IF($Q1326=0,"",INDEX(COA_Mapping!$E$7:$E$256,$Q1326)))</f>
        <v/>
      </c>
      <c r="O1326" s="38" t="n">
        <f aca="false">IF($A1326="",1,IF($Q1326=0,1,INDEX(COA_Mapping!$F$7:$F$256,$Q1326)))</f>
        <v>1</v>
      </c>
      <c r="P1326" s="34" t="str">
        <f aca="false">IF($A1326="","",$I1326*$O1326)</f>
        <v/>
      </c>
      <c r="Q1326" s="39" t="n">
        <f aca="false">IF($B1326="",0,IFERROR(MATCH($B1326,COA_Mapping!$A$7:$A$256,0),0))</f>
        <v>0</v>
      </c>
      <c r="R1326" s="39" t="n">
        <f aca="false">IF($A1326="",-1,IF($J1326=Setup!$B$7,1,IF($J1326=Setup!$B$9,0,-1)))</f>
        <v>-1</v>
      </c>
      <c r="S1326" s="35" t="n">
        <f aca="false">IF(OR($A1326="",$Q1326=0,$R1326=-1),0,$Q1326*1000+$R1326*100+$K1326)</f>
        <v>0</v>
      </c>
      <c r="T1326" s="37" t="str">
        <f aca="false">IF($A1326="","",IF($B1326="","NO ACCOUNT",IF($Q1326=0,"UNMAPPED",IF($R1326=-1,"OUTSIDE FY RANGE","OK"))))</f>
        <v/>
      </c>
      <c r="U1326" s="40" t="str">
        <f aca="false">IF($A1326="","",$B1326&amp;"|"&amp;TEXT($A1326,"yyyymmdd")&amp;"|"&amp;TEXT($I1326,"0.00"))</f>
        <v/>
      </c>
      <c r="V1326" s="35" t="str">
        <f aca="false">IF($A1326="","",COUNTIF($U$8:$U$5007,$U1326))</f>
        <v/>
      </c>
    </row>
    <row r="1327" customFormat="false" ht="15" hidden="false" customHeight="false" outlineLevel="0" collapsed="false">
      <c r="A1327" s="31"/>
      <c r="B1327" s="32"/>
      <c r="C1327" s="32"/>
      <c r="D1327" s="32"/>
      <c r="E1327" s="32"/>
      <c r="F1327" s="32"/>
      <c r="G1327" s="33"/>
      <c r="H1327" s="33"/>
      <c r="I1327" s="34" t="str">
        <f aca="false">IF($A1327="","",$G1327-$H1327)</f>
        <v/>
      </c>
      <c r="J1327" s="35" t="str">
        <f aca="false">IF($A1327="","",IF(Setup!$B$6=1,YEAR($A1327),YEAR($A1327)+IF(MONTH($A1327)&gt;=Setup!$B$6,1,0)))</f>
        <v/>
      </c>
      <c r="K1327" s="35" t="str">
        <f aca="false">IF($A1327="","",MOD(MONTH($A1327)-Setup!$B$6+12,12)+1)</f>
        <v/>
      </c>
      <c r="L1327" s="36" t="str">
        <f aca="false">IF($A1327="","",TEXT($A1327,"MMM-YY"))</f>
        <v/>
      </c>
      <c r="M1327" s="37" t="str">
        <f aca="false">IF($A1327="","",IF($Q1327=0,"UNMAPPED",INDEX(COA_Mapping!$C$7:$C$256,$Q1327)))</f>
        <v/>
      </c>
      <c r="N1327" s="38" t="str">
        <f aca="false">IF($A1327="","",IF($Q1327=0,"",INDEX(COA_Mapping!$E$7:$E$256,$Q1327)))</f>
        <v/>
      </c>
      <c r="O1327" s="38" t="n">
        <f aca="false">IF($A1327="",1,IF($Q1327=0,1,INDEX(COA_Mapping!$F$7:$F$256,$Q1327)))</f>
        <v>1</v>
      </c>
      <c r="P1327" s="34" t="str">
        <f aca="false">IF($A1327="","",$I1327*$O1327)</f>
        <v/>
      </c>
      <c r="Q1327" s="39" t="n">
        <f aca="false">IF($B1327="",0,IFERROR(MATCH($B1327,COA_Mapping!$A$7:$A$256,0),0))</f>
        <v>0</v>
      </c>
      <c r="R1327" s="39" t="n">
        <f aca="false">IF($A1327="",-1,IF($J1327=Setup!$B$7,1,IF($J1327=Setup!$B$9,0,-1)))</f>
        <v>-1</v>
      </c>
      <c r="S1327" s="35" t="n">
        <f aca="false">IF(OR($A1327="",$Q1327=0,$R1327=-1),0,$Q1327*1000+$R1327*100+$K1327)</f>
        <v>0</v>
      </c>
      <c r="T1327" s="37" t="str">
        <f aca="false">IF($A1327="","",IF($B1327="","NO ACCOUNT",IF($Q1327=0,"UNMAPPED",IF($R1327=-1,"OUTSIDE FY RANGE","OK"))))</f>
        <v/>
      </c>
      <c r="U1327" s="40" t="str">
        <f aca="false">IF($A1327="","",$B1327&amp;"|"&amp;TEXT($A1327,"yyyymmdd")&amp;"|"&amp;TEXT($I1327,"0.00"))</f>
        <v/>
      </c>
      <c r="V1327" s="35" t="str">
        <f aca="false">IF($A1327="","",COUNTIF($U$8:$U$5007,$U1327))</f>
        <v/>
      </c>
    </row>
    <row r="1328" customFormat="false" ht="15" hidden="false" customHeight="false" outlineLevel="0" collapsed="false">
      <c r="A1328" s="31"/>
      <c r="B1328" s="32"/>
      <c r="C1328" s="32"/>
      <c r="D1328" s="32"/>
      <c r="E1328" s="32"/>
      <c r="F1328" s="32"/>
      <c r="G1328" s="33"/>
      <c r="H1328" s="33"/>
      <c r="I1328" s="34" t="str">
        <f aca="false">IF($A1328="","",$G1328-$H1328)</f>
        <v/>
      </c>
      <c r="J1328" s="35" t="str">
        <f aca="false">IF($A1328="","",IF(Setup!$B$6=1,YEAR($A1328),YEAR($A1328)+IF(MONTH($A1328)&gt;=Setup!$B$6,1,0)))</f>
        <v/>
      </c>
      <c r="K1328" s="35" t="str">
        <f aca="false">IF($A1328="","",MOD(MONTH($A1328)-Setup!$B$6+12,12)+1)</f>
        <v/>
      </c>
      <c r="L1328" s="36" t="str">
        <f aca="false">IF($A1328="","",TEXT($A1328,"MMM-YY"))</f>
        <v/>
      </c>
      <c r="M1328" s="37" t="str">
        <f aca="false">IF($A1328="","",IF($Q1328=0,"UNMAPPED",INDEX(COA_Mapping!$C$7:$C$256,$Q1328)))</f>
        <v/>
      </c>
      <c r="N1328" s="38" t="str">
        <f aca="false">IF($A1328="","",IF($Q1328=0,"",INDEX(COA_Mapping!$E$7:$E$256,$Q1328)))</f>
        <v/>
      </c>
      <c r="O1328" s="38" t="n">
        <f aca="false">IF($A1328="",1,IF($Q1328=0,1,INDEX(COA_Mapping!$F$7:$F$256,$Q1328)))</f>
        <v>1</v>
      </c>
      <c r="P1328" s="34" t="str">
        <f aca="false">IF($A1328="","",$I1328*$O1328)</f>
        <v/>
      </c>
      <c r="Q1328" s="39" t="n">
        <f aca="false">IF($B1328="",0,IFERROR(MATCH($B1328,COA_Mapping!$A$7:$A$256,0),0))</f>
        <v>0</v>
      </c>
      <c r="R1328" s="39" t="n">
        <f aca="false">IF($A1328="",-1,IF($J1328=Setup!$B$7,1,IF($J1328=Setup!$B$9,0,-1)))</f>
        <v>-1</v>
      </c>
      <c r="S1328" s="35" t="n">
        <f aca="false">IF(OR($A1328="",$Q1328=0,$R1328=-1),0,$Q1328*1000+$R1328*100+$K1328)</f>
        <v>0</v>
      </c>
      <c r="T1328" s="37" t="str">
        <f aca="false">IF($A1328="","",IF($B1328="","NO ACCOUNT",IF($Q1328=0,"UNMAPPED",IF($R1328=-1,"OUTSIDE FY RANGE","OK"))))</f>
        <v/>
      </c>
      <c r="U1328" s="40" t="str">
        <f aca="false">IF($A1328="","",$B1328&amp;"|"&amp;TEXT($A1328,"yyyymmdd")&amp;"|"&amp;TEXT($I1328,"0.00"))</f>
        <v/>
      </c>
      <c r="V1328" s="35" t="str">
        <f aca="false">IF($A1328="","",COUNTIF($U$8:$U$5007,$U1328))</f>
        <v/>
      </c>
    </row>
    <row r="1329" customFormat="false" ht="15" hidden="false" customHeight="false" outlineLevel="0" collapsed="false">
      <c r="A1329" s="31"/>
      <c r="B1329" s="32"/>
      <c r="C1329" s="32"/>
      <c r="D1329" s="32"/>
      <c r="E1329" s="32"/>
      <c r="F1329" s="32"/>
      <c r="G1329" s="33"/>
      <c r="H1329" s="33"/>
      <c r="I1329" s="34" t="str">
        <f aca="false">IF($A1329="","",$G1329-$H1329)</f>
        <v/>
      </c>
      <c r="J1329" s="35" t="str">
        <f aca="false">IF($A1329="","",IF(Setup!$B$6=1,YEAR($A1329),YEAR($A1329)+IF(MONTH($A1329)&gt;=Setup!$B$6,1,0)))</f>
        <v/>
      </c>
      <c r="K1329" s="35" t="str">
        <f aca="false">IF($A1329="","",MOD(MONTH($A1329)-Setup!$B$6+12,12)+1)</f>
        <v/>
      </c>
      <c r="L1329" s="36" t="str">
        <f aca="false">IF($A1329="","",TEXT($A1329,"MMM-YY"))</f>
        <v/>
      </c>
      <c r="M1329" s="37" t="str">
        <f aca="false">IF($A1329="","",IF($Q1329=0,"UNMAPPED",INDEX(COA_Mapping!$C$7:$C$256,$Q1329)))</f>
        <v/>
      </c>
      <c r="N1329" s="38" t="str">
        <f aca="false">IF($A1329="","",IF($Q1329=0,"",INDEX(COA_Mapping!$E$7:$E$256,$Q1329)))</f>
        <v/>
      </c>
      <c r="O1329" s="38" t="n">
        <f aca="false">IF($A1329="",1,IF($Q1329=0,1,INDEX(COA_Mapping!$F$7:$F$256,$Q1329)))</f>
        <v>1</v>
      </c>
      <c r="P1329" s="34" t="str">
        <f aca="false">IF($A1329="","",$I1329*$O1329)</f>
        <v/>
      </c>
      <c r="Q1329" s="39" t="n">
        <f aca="false">IF($B1329="",0,IFERROR(MATCH($B1329,COA_Mapping!$A$7:$A$256,0),0))</f>
        <v>0</v>
      </c>
      <c r="R1329" s="39" t="n">
        <f aca="false">IF($A1329="",-1,IF($J1329=Setup!$B$7,1,IF($J1329=Setup!$B$9,0,-1)))</f>
        <v>-1</v>
      </c>
      <c r="S1329" s="35" t="n">
        <f aca="false">IF(OR($A1329="",$Q1329=0,$R1329=-1),0,$Q1329*1000+$R1329*100+$K1329)</f>
        <v>0</v>
      </c>
      <c r="T1329" s="37" t="str">
        <f aca="false">IF($A1329="","",IF($B1329="","NO ACCOUNT",IF($Q1329=0,"UNMAPPED",IF($R1329=-1,"OUTSIDE FY RANGE","OK"))))</f>
        <v/>
      </c>
      <c r="U1329" s="40" t="str">
        <f aca="false">IF($A1329="","",$B1329&amp;"|"&amp;TEXT($A1329,"yyyymmdd")&amp;"|"&amp;TEXT($I1329,"0.00"))</f>
        <v/>
      </c>
      <c r="V1329" s="35" t="str">
        <f aca="false">IF($A1329="","",COUNTIF($U$8:$U$5007,$U1329))</f>
        <v/>
      </c>
    </row>
    <row r="1330" customFormat="false" ht="15" hidden="false" customHeight="false" outlineLevel="0" collapsed="false">
      <c r="A1330" s="31"/>
      <c r="B1330" s="32"/>
      <c r="C1330" s="32"/>
      <c r="D1330" s="32"/>
      <c r="E1330" s="32"/>
      <c r="F1330" s="32"/>
      <c r="G1330" s="33"/>
      <c r="H1330" s="33"/>
      <c r="I1330" s="34" t="str">
        <f aca="false">IF($A1330="","",$G1330-$H1330)</f>
        <v/>
      </c>
      <c r="J1330" s="35" t="str">
        <f aca="false">IF($A1330="","",IF(Setup!$B$6=1,YEAR($A1330),YEAR($A1330)+IF(MONTH($A1330)&gt;=Setup!$B$6,1,0)))</f>
        <v/>
      </c>
      <c r="K1330" s="35" t="str">
        <f aca="false">IF($A1330="","",MOD(MONTH($A1330)-Setup!$B$6+12,12)+1)</f>
        <v/>
      </c>
      <c r="L1330" s="36" t="str">
        <f aca="false">IF($A1330="","",TEXT($A1330,"MMM-YY"))</f>
        <v/>
      </c>
      <c r="M1330" s="37" t="str">
        <f aca="false">IF($A1330="","",IF($Q1330=0,"UNMAPPED",INDEX(COA_Mapping!$C$7:$C$256,$Q1330)))</f>
        <v/>
      </c>
      <c r="N1330" s="38" t="str">
        <f aca="false">IF($A1330="","",IF($Q1330=0,"",INDEX(COA_Mapping!$E$7:$E$256,$Q1330)))</f>
        <v/>
      </c>
      <c r="O1330" s="38" t="n">
        <f aca="false">IF($A1330="",1,IF($Q1330=0,1,INDEX(COA_Mapping!$F$7:$F$256,$Q1330)))</f>
        <v>1</v>
      </c>
      <c r="P1330" s="34" t="str">
        <f aca="false">IF($A1330="","",$I1330*$O1330)</f>
        <v/>
      </c>
      <c r="Q1330" s="39" t="n">
        <f aca="false">IF($B1330="",0,IFERROR(MATCH($B1330,COA_Mapping!$A$7:$A$256,0),0))</f>
        <v>0</v>
      </c>
      <c r="R1330" s="39" t="n">
        <f aca="false">IF($A1330="",-1,IF($J1330=Setup!$B$7,1,IF($J1330=Setup!$B$9,0,-1)))</f>
        <v>-1</v>
      </c>
      <c r="S1330" s="35" t="n">
        <f aca="false">IF(OR($A1330="",$Q1330=0,$R1330=-1),0,$Q1330*1000+$R1330*100+$K1330)</f>
        <v>0</v>
      </c>
      <c r="T1330" s="37" t="str">
        <f aca="false">IF($A1330="","",IF($B1330="","NO ACCOUNT",IF($Q1330=0,"UNMAPPED",IF($R1330=-1,"OUTSIDE FY RANGE","OK"))))</f>
        <v/>
      </c>
      <c r="U1330" s="40" t="str">
        <f aca="false">IF($A1330="","",$B1330&amp;"|"&amp;TEXT($A1330,"yyyymmdd")&amp;"|"&amp;TEXT($I1330,"0.00"))</f>
        <v/>
      </c>
      <c r="V1330" s="35" t="str">
        <f aca="false">IF($A1330="","",COUNTIF($U$8:$U$5007,$U1330))</f>
        <v/>
      </c>
    </row>
    <row r="1331" customFormat="false" ht="15" hidden="false" customHeight="false" outlineLevel="0" collapsed="false">
      <c r="A1331" s="31"/>
      <c r="B1331" s="32"/>
      <c r="C1331" s="32"/>
      <c r="D1331" s="32"/>
      <c r="E1331" s="32"/>
      <c r="F1331" s="32"/>
      <c r="G1331" s="33"/>
      <c r="H1331" s="33"/>
      <c r="I1331" s="34" t="str">
        <f aca="false">IF($A1331="","",$G1331-$H1331)</f>
        <v/>
      </c>
      <c r="J1331" s="35" t="str">
        <f aca="false">IF($A1331="","",IF(Setup!$B$6=1,YEAR($A1331),YEAR($A1331)+IF(MONTH($A1331)&gt;=Setup!$B$6,1,0)))</f>
        <v/>
      </c>
      <c r="K1331" s="35" t="str">
        <f aca="false">IF($A1331="","",MOD(MONTH($A1331)-Setup!$B$6+12,12)+1)</f>
        <v/>
      </c>
      <c r="L1331" s="36" t="str">
        <f aca="false">IF($A1331="","",TEXT($A1331,"MMM-YY"))</f>
        <v/>
      </c>
      <c r="M1331" s="37" t="str">
        <f aca="false">IF($A1331="","",IF($Q1331=0,"UNMAPPED",INDEX(COA_Mapping!$C$7:$C$256,$Q1331)))</f>
        <v/>
      </c>
      <c r="N1331" s="38" t="str">
        <f aca="false">IF($A1331="","",IF($Q1331=0,"",INDEX(COA_Mapping!$E$7:$E$256,$Q1331)))</f>
        <v/>
      </c>
      <c r="O1331" s="38" t="n">
        <f aca="false">IF($A1331="",1,IF($Q1331=0,1,INDEX(COA_Mapping!$F$7:$F$256,$Q1331)))</f>
        <v>1</v>
      </c>
      <c r="P1331" s="34" t="str">
        <f aca="false">IF($A1331="","",$I1331*$O1331)</f>
        <v/>
      </c>
      <c r="Q1331" s="39" t="n">
        <f aca="false">IF($B1331="",0,IFERROR(MATCH($B1331,COA_Mapping!$A$7:$A$256,0),0))</f>
        <v>0</v>
      </c>
      <c r="R1331" s="39" t="n">
        <f aca="false">IF($A1331="",-1,IF($J1331=Setup!$B$7,1,IF($J1331=Setup!$B$9,0,-1)))</f>
        <v>-1</v>
      </c>
      <c r="S1331" s="35" t="n">
        <f aca="false">IF(OR($A1331="",$Q1331=0,$R1331=-1),0,$Q1331*1000+$R1331*100+$K1331)</f>
        <v>0</v>
      </c>
      <c r="T1331" s="37" t="str">
        <f aca="false">IF($A1331="","",IF($B1331="","NO ACCOUNT",IF($Q1331=0,"UNMAPPED",IF($R1331=-1,"OUTSIDE FY RANGE","OK"))))</f>
        <v/>
      </c>
      <c r="U1331" s="40" t="str">
        <f aca="false">IF($A1331="","",$B1331&amp;"|"&amp;TEXT($A1331,"yyyymmdd")&amp;"|"&amp;TEXT($I1331,"0.00"))</f>
        <v/>
      </c>
      <c r="V1331" s="35" t="str">
        <f aca="false">IF($A1331="","",COUNTIF($U$8:$U$5007,$U1331))</f>
        <v/>
      </c>
    </row>
    <row r="1332" customFormat="false" ht="15" hidden="false" customHeight="false" outlineLevel="0" collapsed="false">
      <c r="A1332" s="31"/>
      <c r="B1332" s="32"/>
      <c r="C1332" s="32"/>
      <c r="D1332" s="32"/>
      <c r="E1332" s="32"/>
      <c r="F1332" s="32"/>
      <c r="G1332" s="33"/>
      <c r="H1332" s="33"/>
      <c r="I1332" s="34" t="str">
        <f aca="false">IF($A1332="","",$G1332-$H1332)</f>
        <v/>
      </c>
      <c r="J1332" s="35" t="str">
        <f aca="false">IF($A1332="","",IF(Setup!$B$6=1,YEAR($A1332),YEAR($A1332)+IF(MONTH($A1332)&gt;=Setup!$B$6,1,0)))</f>
        <v/>
      </c>
      <c r="K1332" s="35" t="str">
        <f aca="false">IF($A1332="","",MOD(MONTH($A1332)-Setup!$B$6+12,12)+1)</f>
        <v/>
      </c>
      <c r="L1332" s="36" t="str">
        <f aca="false">IF($A1332="","",TEXT($A1332,"MMM-YY"))</f>
        <v/>
      </c>
      <c r="M1332" s="37" t="str">
        <f aca="false">IF($A1332="","",IF($Q1332=0,"UNMAPPED",INDEX(COA_Mapping!$C$7:$C$256,$Q1332)))</f>
        <v/>
      </c>
      <c r="N1332" s="38" t="str">
        <f aca="false">IF($A1332="","",IF($Q1332=0,"",INDEX(COA_Mapping!$E$7:$E$256,$Q1332)))</f>
        <v/>
      </c>
      <c r="O1332" s="38" t="n">
        <f aca="false">IF($A1332="",1,IF($Q1332=0,1,INDEX(COA_Mapping!$F$7:$F$256,$Q1332)))</f>
        <v>1</v>
      </c>
      <c r="P1332" s="34" t="str">
        <f aca="false">IF($A1332="","",$I1332*$O1332)</f>
        <v/>
      </c>
      <c r="Q1332" s="39" t="n">
        <f aca="false">IF($B1332="",0,IFERROR(MATCH($B1332,COA_Mapping!$A$7:$A$256,0),0))</f>
        <v>0</v>
      </c>
      <c r="R1332" s="39" t="n">
        <f aca="false">IF($A1332="",-1,IF($J1332=Setup!$B$7,1,IF($J1332=Setup!$B$9,0,-1)))</f>
        <v>-1</v>
      </c>
      <c r="S1332" s="35" t="n">
        <f aca="false">IF(OR($A1332="",$Q1332=0,$R1332=-1),0,$Q1332*1000+$R1332*100+$K1332)</f>
        <v>0</v>
      </c>
      <c r="T1332" s="37" t="str">
        <f aca="false">IF($A1332="","",IF($B1332="","NO ACCOUNT",IF($Q1332=0,"UNMAPPED",IF($R1332=-1,"OUTSIDE FY RANGE","OK"))))</f>
        <v/>
      </c>
      <c r="U1332" s="40" t="str">
        <f aca="false">IF($A1332="","",$B1332&amp;"|"&amp;TEXT($A1332,"yyyymmdd")&amp;"|"&amp;TEXT($I1332,"0.00"))</f>
        <v/>
      </c>
      <c r="V1332" s="35" t="str">
        <f aca="false">IF($A1332="","",COUNTIF($U$8:$U$5007,$U1332))</f>
        <v/>
      </c>
    </row>
    <row r="1333" customFormat="false" ht="15" hidden="false" customHeight="false" outlineLevel="0" collapsed="false">
      <c r="A1333" s="31"/>
      <c r="B1333" s="32"/>
      <c r="C1333" s="32"/>
      <c r="D1333" s="32"/>
      <c r="E1333" s="32"/>
      <c r="F1333" s="32"/>
      <c r="G1333" s="33"/>
      <c r="H1333" s="33"/>
      <c r="I1333" s="34" t="str">
        <f aca="false">IF($A1333="","",$G1333-$H1333)</f>
        <v/>
      </c>
      <c r="J1333" s="35" t="str">
        <f aca="false">IF($A1333="","",IF(Setup!$B$6=1,YEAR($A1333),YEAR($A1333)+IF(MONTH($A1333)&gt;=Setup!$B$6,1,0)))</f>
        <v/>
      </c>
      <c r="K1333" s="35" t="str">
        <f aca="false">IF($A1333="","",MOD(MONTH($A1333)-Setup!$B$6+12,12)+1)</f>
        <v/>
      </c>
      <c r="L1333" s="36" t="str">
        <f aca="false">IF($A1333="","",TEXT($A1333,"MMM-YY"))</f>
        <v/>
      </c>
      <c r="M1333" s="37" t="str">
        <f aca="false">IF($A1333="","",IF($Q1333=0,"UNMAPPED",INDEX(COA_Mapping!$C$7:$C$256,$Q1333)))</f>
        <v/>
      </c>
      <c r="N1333" s="38" t="str">
        <f aca="false">IF($A1333="","",IF($Q1333=0,"",INDEX(COA_Mapping!$E$7:$E$256,$Q1333)))</f>
        <v/>
      </c>
      <c r="O1333" s="38" t="n">
        <f aca="false">IF($A1333="",1,IF($Q1333=0,1,INDEX(COA_Mapping!$F$7:$F$256,$Q1333)))</f>
        <v>1</v>
      </c>
      <c r="P1333" s="34" t="str">
        <f aca="false">IF($A1333="","",$I1333*$O1333)</f>
        <v/>
      </c>
      <c r="Q1333" s="39" t="n">
        <f aca="false">IF($B1333="",0,IFERROR(MATCH($B1333,COA_Mapping!$A$7:$A$256,0),0))</f>
        <v>0</v>
      </c>
      <c r="R1333" s="39" t="n">
        <f aca="false">IF($A1333="",-1,IF($J1333=Setup!$B$7,1,IF($J1333=Setup!$B$9,0,-1)))</f>
        <v>-1</v>
      </c>
      <c r="S1333" s="35" t="n">
        <f aca="false">IF(OR($A1333="",$Q1333=0,$R1333=-1),0,$Q1333*1000+$R1333*100+$K1333)</f>
        <v>0</v>
      </c>
      <c r="T1333" s="37" t="str">
        <f aca="false">IF($A1333="","",IF($B1333="","NO ACCOUNT",IF($Q1333=0,"UNMAPPED",IF($R1333=-1,"OUTSIDE FY RANGE","OK"))))</f>
        <v/>
      </c>
      <c r="U1333" s="40" t="str">
        <f aca="false">IF($A1333="","",$B1333&amp;"|"&amp;TEXT($A1333,"yyyymmdd")&amp;"|"&amp;TEXT($I1333,"0.00"))</f>
        <v/>
      </c>
      <c r="V1333" s="35" t="str">
        <f aca="false">IF($A1333="","",COUNTIF($U$8:$U$5007,$U1333))</f>
        <v/>
      </c>
    </row>
    <row r="1334" customFormat="false" ht="15" hidden="false" customHeight="false" outlineLevel="0" collapsed="false">
      <c r="A1334" s="31"/>
      <c r="B1334" s="32"/>
      <c r="C1334" s="32"/>
      <c r="D1334" s="32"/>
      <c r="E1334" s="32"/>
      <c r="F1334" s="32"/>
      <c r="G1334" s="33"/>
      <c r="H1334" s="33"/>
      <c r="I1334" s="34" t="str">
        <f aca="false">IF($A1334="","",$G1334-$H1334)</f>
        <v/>
      </c>
      <c r="J1334" s="35" t="str">
        <f aca="false">IF($A1334="","",IF(Setup!$B$6=1,YEAR($A1334),YEAR($A1334)+IF(MONTH($A1334)&gt;=Setup!$B$6,1,0)))</f>
        <v/>
      </c>
      <c r="K1334" s="35" t="str">
        <f aca="false">IF($A1334="","",MOD(MONTH($A1334)-Setup!$B$6+12,12)+1)</f>
        <v/>
      </c>
      <c r="L1334" s="36" t="str">
        <f aca="false">IF($A1334="","",TEXT($A1334,"MMM-YY"))</f>
        <v/>
      </c>
      <c r="M1334" s="37" t="str">
        <f aca="false">IF($A1334="","",IF($Q1334=0,"UNMAPPED",INDEX(COA_Mapping!$C$7:$C$256,$Q1334)))</f>
        <v/>
      </c>
      <c r="N1334" s="38" t="str">
        <f aca="false">IF($A1334="","",IF($Q1334=0,"",INDEX(COA_Mapping!$E$7:$E$256,$Q1334)))</f>
        <v/>
      </c>
      <c r="O1334" s="38" t="n">
        <f aca="false">IF($A1334="",1,IF($Q1334=0,1,INDEX(COA_Mapping!$F$7:$F$256,$Q1334)))</f>
        <v>1</v>
      </c>
      <c r="P1334" s="34" t="str">
        <f aca="false">IF($A1334="","",$I1334*$O1334)</f>
        <v/>
      </c>
      <c r="Q1334" s="39" t="n">
        <f aca="false">IF($B1334="",0,IFERROR(MATCH($B1334,COA_Mapping!$A$7:$A$256,0),0))</f>
        <v>0</v>
      </c>
      <c r="R1334" s="39" t="n">
        <f aca="false">IF($A1334="",-1,IF($J1334=Setup!$B$7,1,IF($J1334=Setup!$B$9,0,-1)))</f>
        <v>-1</v>
      </c>
      <c r="S1334" s="35" t="n">
        <f aca="false">IF(OR($A1334="",$Q1334=0,$R1334=-1),0,$Q1334*1000+$R1334*100+$K1334)</f>
        <v>0</v>
      </c>
      <c r="T1334" s="37" t="str">
        <f aca="false">IF($A1334="","",IF($B1334="","NO ACCOUNT",IF($Q1334=0,"UNMAPPED",IF($R1334=-1,"OUTSIDE FY RANGE","OK"))))</f>
        <v/>
      </c>
      <c r="U1334" s="40" t="str">
        <f aca="false">IF($A1334="","",$B1334&amp;"|"&amp;TEXT($A1334,"yyyymmdd")&amp;"|"&amp;TEXT($I1334,"0.00"))</f>
        <v/>
      </c>
      <c r="V1334" s="35" t="str">
        <f aca="false">IF($A1334="","",COUNTIF($U$8:$U$5007,$U1334))</f>
        <v/>
      </c>
    </row>
    <row r="1335" customFormat="false" ht="15" hidden="false" customHeight="false" outlineLevel="0" collapsed="false">
      <c r="A1335" s="31"/>
      <c r="B1335" s="32"/>
      <c r="C1335" s="32"/>
      <c r="D1335" s="32"/>
      <c r="E1335" s="32"/>
      <c r="F1335" s="32"/>
      <c r="G1335" s="33"/>
      <c r="H1335" s="33"/>
      <c r="I1335" s="34" t="str">
        <f aca="false">IF($A1335="","",$G1335-$H1335)</f>
        <v/>
      </c>
      <c r="J1335" s="35" t="str">
        <f aca="false">IF($A1335="","",IF(Setup!$B$6=1,YEAR($A1335),YEAR($A1335)+IF(MONTH($A1335)&gt;=Setup!$B$6,1,0)))</f>
        <v/>
      </c>
      <c r="K1335" s="35" t="str">
        <f aca="false">IF($A1335="","",MOD(MONTH($A1335)-Setup!$B$6+12,12)+1)</f>
        <v/>
      </c>
      <c r="L1335" s="36" t="str">
        <f aca="false">IF($A1335="","",TEXT($A1335,"MMM-YY"))</f>
        <v/>
      </c>
      <c r="M1335" s="37" t="str">
        <f aca="false">IF($A1335="","",IF($Q1335=0,"UNMAPPED",INDEX(COA_Mapping!$C$7:$C$256,$Q1335)))</f>
        <v/>
      </c>
      <c r="N1335" s="38" t="str">
        <f aca="false">IF($A1335="","",IF($Q1335=0,"",INDEX(COA_Mapping!$E$7:$E$256,$Q1335)))</f>
        <v/>
      </c>
      <c r="O1335" s="38" t="n">
        <f aca="false">IF($A1335="",1,IF($Q1335=0,1,INDEX(COA_Mapping!$F$7:$F$256,$Q1335)))</f>
        <v>1</v>
      </c>
      <c r="P1335" s="34" t="str">
        <f aca="false">IF($A1335="","",$I1335*$O1335)</f>
        <v/>
      </c>
      <c r="Q1335" s="39" t="n">
        <f aca="false">IF($B1335="",0,IFERROR(MATCH($B1335,COA_Mapping!$A$7:$A$256,0),0))</f>
        <v>0</v>
      </c>
      <c r="R1335" s="39" t="n">
        <f aca="false">IF($A1335="",-1,IF($J1335=Setup!$B$7,1,IF($J1335=Setup!$B$9,0,-1)))</f>
        <v>-1</v>
      </c>
      <c r="S1335" s="35" t="n">
        <f aca="false">IF(OR($A1335="",$Q1335=0,$R1335=-1),0,$Q1335*1000+$R1335*100+$K1335)</f>
        <v>0</v>
      </c>
      <c r="T1335" s="37" t="str">
        <f aca="false">IF($A1335="","",IF($B1335="","NO ACCOUNT",IF($Q1335=0,"UNMAPPED",IF($R1335=-1,"OUTSIDE FY RANGE","OK"))))</f>
        <v/>
      </c>
      <c r="U1335" s="40" t="str">
        <f aca="false">IF($A1335="","",$B1335&amp;"|"&amp;TEXT($A1335,"yyyymmdd")&amp;"|"&amp;TEXT($I1335,"0.00"))</f>
        <v/>
      </c>
      <c r="V1335" s="35" t="str">
        <f aca="false">IF($A1335="","",COUNTIF($U$8:$U$5007,$U1335))</f>
        <v/>
      </c>
    </row>
    <row r="1336" customFormat="false" ht="15" hidden="false" customHeight="false" outlineLevel="0" collapsed="false">
      <c r="A1336" s="31"/>
      <c r="B1336" s="32"/>
      <c r="C1336" s="32"/>
      <c r="D1336" s="32"/>
      <c r="E1336" s="32"/>
      <c r="F1336" s="32"/>
      <c r="G1336" s="33"/>
      <c r="H1336" s="33"/>
      <c r="I1336" s="34" t="str">
        <f aca="false">IF($A1336="","",$G1336-$H1336)</f>
        <v/>
      </c>
      <c r="J1336" s="35" t="str">
        <f aca="false">IF($A1336="","",IF(Setup!$B$6=1,YEAR($A1336),YEAR($A1336)+IF(MONTH($A1336)&gt;=Setup!$B$6,1,0)))</f>
        <v/>
      </c>
      <c r="K1336" s="35" t="str">
        <f aca="false">IF($A1336="","",MOD(MONTH($A1336)-Setup!$B$6+12,12)+1)</f>
        <v/>
      </c>
      <c r="L1336" s="36" t="str">
        <f aca="false">IF($A1336="","",TEXT($A1336,"MMM-YY"))</f>
        <v/>
      </c>
      <c r="M1336" s="37" t="str">
        <f aca="false">IF($A1336="","",IF($Q1336=0,"UNMAPPED",INDEX(COA_Mapping!$C$7:$C$256,$Q1336)))</f>
        <v/>
      </c>
      <c r="N1336" s="38" t="str">
        <f aca="false">IF($A1336="","",IF($Q1336=0,"",INDEX(COA_Mapping!$E$7:$E$256,$Q1336)))</f>
        <v/>
      </c>
      <c r="O1336" s="38" t="n">
        <f aca="false">IF($A1336="",1,IF($Q1336=0,1,INDEX(COA_Mapping!$F$7:$F$256,$Q1336)))</f>
        <v>1</v>
      </c>
      <c r="P1336" s="34" t="str">
        <f aca="false">IF($A1336="","",$I1336*$O1336)</f>
        <v/>
      </c>
      <c r="Q1336" s="39" t="n">
        <f aca="false">IF($B1336="",0,IFERROR(MATCH($B1336,COA_Mapping!$A$7:$A$256,0),0))</f>
        <v>0</v>
      </c>
      <c r="R1336" s="39" t="n">
        <f aca="false">IF($A1336="",-1,IF($J1336=Setup!$B$7,1,IF($J1336=Setup!$B$9,0,-1)))</f>
        <v>-1</v>
      </c>
      <c r="S1336" s="35" t="n">
        <f aca="false">IF(OR($A1336="",$Q1336=0,$R1336=-1),0,$Q1336*1000+$R1336*100+$K1336)</f>
        <v>0</v>
      </c>
      <c r="T1336" s="37" t="str">
        <f aca="false">IF($A1336="","",IF($B1336="","NO ACCOUNT",IF($Q1336=0,"UNMAPPED",IF($R1336=-1,"OUTSIDE FY RANGE","OK"))))</f>
        <v/>
      </c>
      <c r="U1336" s="40" t="str">
        <f aca="false">IF($A1336="","",$B1336&amp;"|"&amp;TEXT($A1336,"yyyymmdd")&amp;"|"&amp;TEXT($I1336,"0.00"))</f>
        <v/>
      </c>
      <c r="V1336" s="35" t="str">
        <f aca="false">IF($A1336="","",COUNTIF($U$8:$U$5007,$U1336))</f>
        <v/>
      </c>
    </row>
    <row r="1337" customFormat="false" ht="15" hidden="false" customHeight="false" outlineLevel="0" collapsed="false">
      <c r="A1337" s="31"/>
      <c r="B1337" s="32"/>
      <c r="C1337" s="32"/>
      <c r="D1337" s="32"/>
      <c r="E1337" s="32"/>
      <c r="F1337" s="32"/>
      <c r="G1337" s="33"/>
      <c r="H1337" s="33"/>
      <c r="I1337" s="34" t="str">
        <f aca="false">IF($A1337="","",$G1337-$H1337)</f>
        <v/>
      </c>
      <c r="J1337" s="35" t="str">
        <f aca="false">IF($A1337="","",IF(Setup!$B$6=1,YEAR($A1337),YEAR($A1337)+IF(MONTH($A1337)&gt;=Setup!$B$6,1,0)))</f>
        <v/>
      </c>
      <c r="K1337" s="35" t="str">
        <f aca="false">IF($A1337="","",MOD(MONTH($A1337)-Setup!$B$6+12,12)+1)</f>
        <v/>
      </c>
      <c r="L1337" s="36" t="str">
        <f aca="false">IF($A1337="","",TEXT($A1337,"MMM-YY"))</f>
        <v/>
      </c>
      <c r="M1337" s="37" t="str">
        <f aca="false">IF($A1337="","",IF($Q1337=0,"UNMAPPED",INDEX(COA_Mapping!$C$7:$C$256,$Q1337)))</f>
        <v/>
      </c>
      <c r="N1337" s="38" t="str">
        <f aca="false">IF($A1337="","",IF($Q1337=0,"",INDEX(COA_Mapping!$E$7:$E$256,$Q1337)))</f>
        <v/>
      </c>
      <c r="O1337" s="38" t="n">
        <f aca="false">IF($A1337="",1,IF($Q1337=0,1,INDEX(COA_Mapping!$F$7:$F$256,$Q1337)))</f>
        <v>1</v>
      </c>
      <c r="P1337" s="34" t="str">
        <f aca="false">IF($A1337="","",$I1337*$O1337)</f>
        <v/>
      </c>
      <c r="Q1337" s="39" t="n">
        <f aca="false">IF($B1337="",0,IFERROR(MATCH($B1337,COA_Mapping!$A$7:$A$256,0),0))</f>
        <v>0</v>
      </c>
      <c r="R1337" s="39" t="n">
        <f aca="false">IF($A1337="",-1,IF($J1337=Setup!$B$7,1,IF($J1337=Setup!$B$9,0,-1)))</f>
        <v>-1</v>
      </c>
      <c r="S1337" s="35" t="n">
        <f aca="false">IF(OR($A1337="",$Q1337=0,$R1337=-1),0,$Q1337*1000+$R1337*100+$K1337)</f>
        <v>0</v>
      </c>
      <c r="T1337" s="37" t="str">
        <f aca="false">IF($A1337="","",IF($B1337="","NO ACCOUNT",IF($Q1337=0,"UNMAPPED",IF($R1337=-1,"OUTSIDE FY RANGE","OK"))))</f>
        <v/>
      </c>
      <c r="U1337" s="40" t="str">
        <f aca="false">IF($A1337="","",$B1337&amp;"|"&amp;TEXT($A1337,"yyyymmdd")&amp;"|"&amp;TEXT($I1337,"0.00"))</f>
        <v/>
      </c>
      <c r="V1337" s="35" t="str">
        <f aca="false">IF($A1337="","",COUNTIF($U$8:$U$5007,$U1337))</f>
        <v/>
      </c>
    </row>
    <row r="1338" customFormat="false" ht="15" hidden="false" customHeight="false" outlineLevel="0" collapsed="false">
      <c r="A1338" s="31"/>
      <c r="B1338" s="32"/>
      <c r="C1338" s="32"/>
      <c r="D1338" s="32"/>
      <c r="E1338" s="32"/>
      <c r="F1338" s="32"/>
      <c r="G1338" s="33"/>
      <c r="H1338" s="33"/>
      <c r="I1338" s="34" t="str">
        <f aca="false">IF($A1338="","",$G1338-$H1338)</f>
        <v/>
      </c>
      <c r="J1338" s="35" t="str">
        <f aca="false">IF($A1338="","",IF(Setup!$B$6=1,YEAR($A1338),YEAR($A1338)+IF(MONTH($A1338)&gt;=Setup!$B$6,1,0)))</f>
        <v/>
      </c>
      <c r="K1338" s="35" t="str">
        <f aca="false">IF($A1338="","",MOD(MONTH($A1338)-Setup!$B$6+12,12)+1)</f>
        <v/>
      </c>
      <c r="L1338" s="36" t="str">
        <f aca="false">IF($A1338="","",TEXT($A1338,"MMM-YY"))</f>
        <v/>
      </c>
      <c r="M1338" s="37" t="str">
        <f aca="false">IF($A1338="","",IF($Q1338=0,"UNMAPPED",INDEX(COA_Mapping!$C$7:$C$256,$Q1338)))</f>
        <v/>
      </c>
      <c r="N1338" s="38" t="str">
        <f aca="false">IF($A1338="","",IF($Q1338=0,"",INDEX(COA_Mapping!$E$7:$E$256,$Q1338)))</f>
        <v/>
      </c>
      <c r="O1338" s="38" t="n">
        <f aca="false">IF($A1338="",1,IF($Q1338=0,1,INDEX(COA_Mapping!$F$7:$F$256,$Q1338)))</f>
        <v>1</v>
      </c>
      <c r="P1338" s="34" t="str">
        <f aca="false">IF($A1338="","",$I1338*$O1338)</f>
        <v/>
      </c>
      <c r="Q1338" s="39" t="n">
        <f aca="false">IF($B1338="",0,IFERROR(MATCH($B1338,COA_Mapping!$A$7:$A$256,0),0))</f>
        <v>0</v>
      </c>
      <c r="R1338" s="39" t="n">
        <f aca="false">IF($A1338="",-1,IF($J1338=Setup!$B$7,1,IF($J1338=Setup!$B$9,0,-1)))</f>
        <v>-1</v>
      </c>
      <c r="S1338" s="35" t="n">
        <f aca="false">IF(OR($A1338="",$Q1338=0,$R1338=-1),0,$Q1338*1000+$R1338*100+$K1338)</f>
        <v>0</v>
      </c>
      <c r="T1338" s="37" t="str">
        <f aca="false">IF($A1338="","",IF($B1338="","NO ACCOUNT",IF($Q1338=0,"UNMAPPED",IF($R1338=-1,"OUTSIDE FY RANGE","OK"))))</f>
        <v/>
      </c>
      <c r="U1338" s="40" t="str">
        <f aca="false">IF($A1338="","",$B1338&amp;"|"&amp;TEXT($A1338,"yyyymmdd")&amp;"|"&amp;TEXT($I1338,"0.00"))</f>
        <v/>
      </c>
      <c r="V1338" s="35" t="str">
        <f aca="false">IF($A1338="","",COUNTIF($U$8:$U$5007,$U1338))</f>
        <v/>
      </c>
    </row>
    <row r="1339" customFormat="false" ht="15" hidden="false" customHeight="false" outlineLevel="0" collapsed="false">
      <c r="A1339" s="31"/>
      <c r="B1339" s="32"/>
      <c r="C1339" s="32"/>
      <c r="D1339" s="32"/>
      <c r="E1339" s="32"/>
      <c r="F1339" s="32"/>
      <c r="G1339" s="33"/>
      <c r="H1339" s="33"/>
      <c r="I1339" s="34" t="str">
        <f aca="false">IF($A1339="","",$G1339-$H1339)</f>
        <v/>
      </c>
      <c r="J1339" s="35" t="str">
        <f aca="false">IF($A1339="","",IF(Setup!$B$6=1,YEAR($A1339),YEAR($A1339)+IF(MONTH($A1339)&gt;=Setup!$B$6,1,0)))</f>
        <v/>
      </c>
      <c r="K1339" s="35" t="str">
        <f aca="false">IF($A1339="","",MOD(MONTH($A1339)-Setup!$B$6+12,12)+1)</f>
        <v/>
      </c>
      <c r="L1339" s="36" t="str">
        <f aca="false">IF($A1339="","",TEXT($A1339,"MMM-YY"))</f>
        <v/>
      </c>
      <c r="M1339" s="37" t="str">
        <f aca="false">IF($A1339="","",IF($Q1339=0,"UNMAPPED",INDEX(COA_Mapping!$C$7:$C$256,$Q1339)))</f>
        <v/>
      </c>
      <c r="N1339" s="38" t="str">
        <f aca="false">IF($A1339="","",IF($Q1339=0,"",INDEX(COA_Mapping!$E$7:$E$256,$Q1339)))</f>
        <v/>
      </c>
      <c r="O1339" s="38" t="n">
        <f aca="false">IF($A1339="",1,IF($Q1339=0,1,INDEX(COA_Mapping!$F$7:$F$256,$Q1339)))</f>
        <v>1</v>
      </c>
      <c r="P1339" s="34" t="str">
        <f aca="false">IF($A1339="","",$I1339*$O1339)</f>
        <v/>
      </c>
      <c r="Q1339" s="39" t="n">
        <f aca="false">IF($B1339="",0,IFERROR(MATCH($B1339,COA_Mapping!$A$7:$A$256,0),0))</f>
        <v>0</v>
      </c>
      <c r="R1339" s="39" t="n">
        <f aca="false">IF($A1339="",-1,IF($J1339=Setup!$B$7,1,IF($J1339=Setup!$B$9,0,-1)))</f>
        <v>-1</v>
      </c>
      <c r="S1339" s="35" t="n">
        <f aca="false">IF(OR($A1339="",$Q1339=0,$R1339=-1),0,$Q1339*1000+$R1339*100+$K1339)</f>
        <v>0</v>
      </c>
      <c r="T1339" s="37" t="str">
        <f aca="false">IF($A1339="","",IF($B1339="","NO ACCOUNT",IF($Q1339=0,"UNMAPPED",IF($R1339=-1,"OUTSIDE FY RANGE","OK"))))</f>
        <v/>
      </c>
      <c r="U1339" s="40" t="str">
        <f aca="false">IF($A1339="","",$B1339&amp;"|"&amp;TEXT($A1339,"yyyymmdd")&amp;"|"&amp;TEXT($I1339,"0.00"))</f>
        <v/>
      </c>
      <c r="V1339" s="35" t="str">
        <f aca="false">IF($A1339="","",COUNTIF($U$8:$U$5007,$U1339))</f>
        <v/>
      </c>
    </row>
    <row r="1340" customFormat="false" ht="15" hidden="false" customHeight="false" outlineLevel="0" collapsed="false">
      <c r="A1340" s="31"/>
      <c r="B1340" s="32"/>
      <c r="C1340" s="32"/>
      <c r="D1340" s="32"/>
      <c r="E1340" s="32"/>
      <c r="F1340" s="32"/>
      <c r="G1340" s="33"/>
      <c r="H1340" s="33"/>
      <c r="I1340" s="34" t="str">
        <f aca="false">IF($A1340="","",$G1340-$H1340)</f>
        <v/>
      </c>
      <c r="J1340" s="35" t="str">
        <f aca="false">IF($A1340="","",IF(Setup!$B$6=1,YEAR($A1340),YEAR($A1340)+IF(MONTH($A1340)&gt;=Setup!$B$6,1,0)))</f>
        <v/>
      </c>
      <c r="K1340" s="35" t="str">
        <f aca="false">IF($A1340="","",MOD(MONTH($A1340)-Setup!$B$6+12,12)+1)</f>
        <v/>
      </c>
      <c r="L1340" s="36" t="str">
        <f aca="false">IF($A1340="","",TEXT($A1340,"MMM-YY"))</f>
        <v/>
      </c>
      <c r="M1340" s="37" t="str">
        <f aca="false">IF($A1340="","",IF($Q1340=0,"UNMAPPED",INDEX(COA_Mapping!$C$7:$C$256,$Q1340)))</f>
        <v/>
      </c>
      <c r="N1340" s="38" t="str">
        <f aca="false">IF($A1340="","",IF($Q1340=0,"",INDEX(COA_Mapping!$E$7:$E$256,$Q1340)))</f>
        <v/>
      </c>
      <c r="O1340" s="38" t="n">
        <f aca="false">IF($A1340="",1,IF($Q1340=0,1,INDEX(COA_Mapping!$F$7:$F$256,$Q1340)))</f>
        <v>1</v>
      </c>
      <c r="P1340" s="34" t="str">
        <f aca="false">IF($A1340="","",$I1340*$O1340)</f>
        <v/>
      </c>
      <c r="Q1340" s="39" t="n">
        <f aca="false">IF($B1340="",0,IFERROR(MATCH($B1340,COA_Mapping!$A$7:$A$256,0),0))</f>
        <v>0</v>
      </c>
      <c r="R1340" s="39" t="n">
        <f aca="false">IF($A1340="",-1,IF($J1340=Setup!$B$7,1,IF($J1340=Setup!$B$9,0,-1)))</f>
        <v>-1</v>
      </c>
      <c r="S1340" s="35" t="n">
        <f aca="false">IF(OR($A1340="",$Q1340=0,$R1340=-1),0,$Q1340*1000+$R1340*100+$K1340)</f>
        <v>0</v>
      </c>
      <c r="T1340" s="37" t="str">
        <f aca="false">IF($A1340="","",IF($B1340="","NO ACCOUNT",IF($Q1340=0,"UNMAPPED",IF($R1340=-1,"OUTSIDE FY RANGE","OK"))))</f>
        <v/>
      </c>
      <c r="U1340" s="40" t="str">
        <f aca="false">IF($A1340="","",$B1340&amp;"|"&amp;TEXT($A1340,"yyyymmdd")&amp;"|"&amp;TEXT($I1340,"0.00"))</f>
        <v/>
      </c>
      <c r="V1340" s="35" t="str">
        <f aca="false">IF($A1340="","",COUNTIF($U$8:$U$5007,$U1340))</f>
        <v/>
      </c>
    </row>
    <row r="1341" customFormat="false" ht="15" hidden="false" customHeight="false" outlineLevel="0" collapsed="false">
      <c r="A1341" s="31"/>
      <c r="B1341" s="32"/>
      <c r="C1341" s="32"/>
      <c r="D1341" s="32"/>
      <c r="E1341" s="32"/>
      <c r="F1341" s="32"/>
      <c r="G1341" s="33"/>
      <c r="H1341" s="33"/>
      <c r="I1341" s="34" t="str">
        <f aca="false">IF($A1341="","",$G1341-$H1341)</f>
        <v/>
      </c>
      <c r="J1341" s="35" t="str">
        <f aca="false">IF($A1341="","",IF(Setup!$B$6=1,YEAR($A1341),YEAR($A1341)+IF(MONTH($A1341)&gt;=Setup!$B$6,1,0)))</f>
        <v/>
      </c>
      <c r="K1341" s="35" t="str">
        <f aca="false">IF($A1341="","",MOD(MONTH($A1341)-Setup!$B$6+12,12)+1)</f>
        <v/>
      </c>
      <c r="L1341" s="36" t="str">
        <f aca="false">IF($A1341="","",TEXT($A1341,"MMM-YY"))</f>
        <v/>
      </c>
      <c r="M1341" s="37" t="str">
        <f aca="false">IF($A1341="","",IF($Q1341=0,"UNMAPPED",INDEX(COA_Mapping!$C$7:$C$256,$Q1341)))</f>
        <v/>
      </c>
      <c r="N1341" s="38" t="str">
        <f aca="false">IF($A1341="","",IF($Q1341=0,"",INDEX(COA_Mapping!$E$7:$E$256,$Q1341)))</f>
        <v/>
      </c>
      <c r="O1341" s="38" t="n">
        <f aca="false">IF($A1341="",1,IF($Q1341=0,1,INDEX(COA_Mapping!$F$7:$F$256,$Q1341)))</f>
        <v>1</v>
      </c>
      <c r="P1341" s="34" t="str">
        <f aca="false">IF($A1341="","",$I1341*$O1341)</f>
        <v/>
      </c>
      <c r="Q1341" s="39" t="n">
        <f aca="false">IF($B1341="",0,IFERROR(MATCH($B1341,COA_Mapping!$A$7:$A$256,0),0))</f>
        <v>0</v>
      </c>
      <c r="R1341" s="39" t="n">
        <f aca="false">IF($A1341="",-1,IF($J1341=Setup!$B$7,1,IF($J1341=Setup!$B$9,0,-1)))</f>
        <v>-1</v>
      </c>
      <c r="S1341" s="35" t="n">
        <f aca="false">IF(OR($A1341="",$Q1341=0,$R1341=-1),0,$Q1341*1000+$R1341*100+$K1341)</f>
        <v>0</v>
      </c>
      <c r="T1341" s="37" t="str">
        <f aca="false">IF($A1341="","",IF($B1341="","NO ACCOUNT",IF($Q1341=0,"UNMAPPED",IF($R1341=-1,"OUTSIDE FY RANGE","OK"))))</f>
        <v/>
      </c>
      <c r="U1341" s="40" t="str">
        <f aca="false">IF($A1341="","",$B1341&amp;"|"&amp;TEXT($A1341,"yyyymmdd")&amp;"|"&amp;TEXT($I1341,"0.00"))</f>
        <v/>
      </c>
      <c r="V1341" s="35" t="str">
        <f aca="false">IF($A1341="","",COUNTIF($U$8:$U$5007,$U1341))</f>
        <v/>
      </c>
    </row>
    <row r="1342" customFormat="false" ht="15" hidden="false" customHeight="false" outlineLevel="0" collapsed="false">
      <c r="A1342" s="31"/>
      <c r="B1342" s="32"/>
      <c r="C1342" s="32"/>
      <c r="D1342" s="32"/>
      <c r="E1342" s="32"/>
      <c r="F1342" s="32"/>
      <c r="G1342" s="33"/>
      <c r="H1342" s="33"/>
      <c r="I1342" s="34" t="str">
        <f aca="false">IF($A1342="","",$G1342-$H1342)</f>
        <v/>
      </c>
      <c r="J1342" s="35" t="str">
        <f aca="false">IF($A1342="","",IF(Setup!$B$6=1,YEAR($A1342),YEAR($A1342)+IF(MONTH($A1342)&gt;=Setup!$B$6,1,0)))</f>
        <v/>
      </c>
      <c r="K1342" s="35" t="str">
        <f aca="false">IF($A1342="","",MOD(MONTH($A1342)-Setup!$B$6+12,12)+1)</f>
        <v/>
      </c>
      <c r="L1342" s="36" t="str">
        <f aca="false">IF($A1342="","",TEXT($A1342,"MMM-YY"))</f>
        <v/>
      </c>
      <c r="M1342" s="37" t="str">
        <f aca="false">IF($A1342="","",IF($Q1342=0,"UNMAPPED",INDEX(COA_Mapping!$C$7:$C$256,$Q1342)))</f>
        <v/>
      </c>
      <c r="N1342" s="38" t="str">
        <f aca="false">IF($A1342="","",IF($Q1342=0,"",INDEX(COA_Mapping!$E$7:$E$256,$Q1342)))</f>
        <v/>
      </c>
      <c r="O1342" s="38" t="n">
        <f aca="false">IF($A1342="",1,IF($Q1342=0,1,INDEX(COA_Mapping!$F$7:$F$256,$Q1342)))</f>
        <v>1</v>
      </c>
      <c r="P1342" s="34" t="str">
        <f aca="false">IF($A1342="","",$I1342*$O1342)</f>
        <v/>
      </c>
      <c r="Q1342" s="39" t="n">
        <f aca="false">IF($B1342="",0,IFERROR(MATCH($B1342,COA_Mapping!$A$7:$A$256,0),0))</f>
        <v>0</v>
      </c>
      <c r="R1342" s="39" t="n">
        <f aca="false">IF($A1342="",-1,IF($J1342=Setup!$B$7,1,IF($J1342=Setup!$B$9,0,-1)))</f>
        <v>-1</v>
      </c>
      <c r="S1342" s="35" t="n">
        <f aca="false">IF(OR($A1342="",$Q1342=0,$R1342=-1),0,$Q1342*1000+$R1342*100+$K1342)</f>
        <v>0</v>
      </c>
      <c r="T1342" s="37" t="str">
        <f aca="false">IF($A1342="","",IF($B1342="","NO ACCOUNT",IF($Q1342=0,"UNMAPPED",IF($R1342=-1,"OUTSIDE FY RANGE","OK"))))</f>
        <v/>
      </c>
      <c r="U1342" s="40" t="str">
        <f aca="false">IF($A1342="","",$B1342&amp;"|"&amp;TEXT($A1342,"yyyymmdd")&amp;"|"&amp;TEXT($I1342,"0.00"))</f>
        <v/>
      </c>
      <c r="V1342" s="35" t="str">
        <f aca="false">IF($A1342="","",COUNTIF($U$8:$U$5007,$U1342))</f>
        <v/>
      </c>
    </row>
    <row r="1343" customFormat="false" ht="15" hidden="false" customHeight="false" outlineLevel="0" collapsed="false">
      <c r="A1343" s="31"/>
      <c r="B1343" s="32"/>
      <c r="C1343" s="32"/>
      <c r="D1343" s="32"/>
      <c r="E1343" s="32"/>
      <c r="F1343" s="32"/>
      <c r="G1343" s="33"/>
      <c r="H1343" s="33"/>
      <c r="I1343" s="34" t="str">
        <f aca="false">IF($A1343="","",$G1343-$H1343)</f>
        <v/>
      </c>
      <c r="J1343" s="35" t="str">
        <f aca="false">IF($A1343="","",IF(Setup!$B$6=1,YEAR($A1343),YEAR($A1343)+IF(MONTH($A1343)&gt;=Setup!$B$6,1,0)))</f>
        <v/>
      </c>
      <c r="K1343" s="35" t="str">
        <f aca="false">IF($A1343="","",MOD(MONTH($A1343)-Setup!$B$6+12,12)+1)</f>
        <v/>
      </c>
      <c r="L1343" s="36" t="str">
        <f aca="false">IF($A1343="","",TEXT($A1343,"MMM-YY"))</f>
        <v/>
      </c>
      <c r="M1343" s="37" t="str">
        <f aca="false">IF($A1343="","",IF($Q1343=0,"UNMAPPED",INDEX(COA_Mapping!$C$7:$C$256,$Q1343)))</f>
        <v/>
      </c>
      <c r="N1343" s="38" t="str">
        <f aca="false">IF($A1343="","",IF($Q1343=0,"",INDEX(COA_Mapping!$E$7:$E$256,$Q1343)))</f>
        <v/>
      </c>
      <c r="O1343" s="38" t="n">
        <f aca="false">IF($A1343="",1,IF($Q1343=0,1,INDEX(COA_Mapping!$F$7:$F$256,$Q1343)))</f>
        <v>1</v>
      </c>
      <c r="P1343" s="34" t="str">
        <f aca="false">IF($A1343="","",$I1343*$O1343)</f>
        <v/>
      </c>
      <c r="Q1343" s="39" t="n">
        <f aca="false">IF($B1343="",0,IFERROR(MATCH($B1343,COA_Mapping!$A$7:$A$256,0),0))</f>
        <v>0</v>
      </c>
      <c r="R1343" s="39" t="n">
        <f aca="false">IF($A1343="",-1,IF($J1343=Setup!$B$7,1,IF($J1343=Setup!$B$9,0,-1)))</f>
        <v>-1</v>
      </c>
      <c r="S1343" s="35" t="n">
        <f aca="false">IF(OR($A1343="",$Q1343=0,$R1343=-1),0,$Q1343*1000+$R1343*100+$K1343)</f>
        <v>0</v>
      </c>
      <c r="T1343" s="37" t="str">
        <f aca="false">IF($A1343="","",IF($B1343="","NO ACCOUNT",IF($Q1343=0,"UNMAPPED",IF($R1343=-1,"OUTSIDE FY RANGE","OK"))))</f>
        <v/>
      </c>
      <c r="U1343" s="40" t="str">
        <f aca="false">IF($A1343="","",$B1343&amp;"|"&amp;TEXT($A1343,"yyyymmdd")&amp;"|"&amp;TEXT($I1343,"0.00"))</f>
        <v/>
      </c>
      <c r="V1343" s="35" t="str">
        <f aca="false">IF($A1343="","",COUNTIF($U$8:$U$5007,$U1343))</f>
        <v/>
      </c>
    </row>
    <row r="1344" customFormat="false" ht="15" hidden="false" customHeight="false" outlineLevel="0" collapsed="false">
      <c r="A1344" s="31"/>
      <c r="B1344" s="32"/>
      <c r="C1344" s="32"/>
      <c r="D1344" s="32"/>
      <c r="E1344" s="32"/>
      <c r="F1344" s="32"/>
      <c r="G1344" s="33"/>
      <c r="H1344" s="33"/>
      <c r="I1344" s="34" t="str">
        <f aca="false">IF($A1344="","",$G1344-$H1344)</f>
        <v/>
      </c>
      <c r="J1344" s="35" t="str">
        <f aca="false">IF($A1344="","",IF(Setup!$B$6=1,YEAR($A1344),YEAR($A1344)+IF(MONTH($A1344)&gt;=Setup!$B$6,1,0)))</f>
        <v/>
      </c>
      <c r="K1344" s="35" t="str">
        <f aca="false">IF($A1344="","",MOD(MONTH($A1344)-Setup!$B$6+12,12)+1)</f>
        <v/>
      </c>
      <c r="L1344" s="36" t="str">
        <f aca="false">IF($A1344="","",TEXT($A1344,"MMM-YY"))</f>
        <v/>
      </c>
      <c r="M1344" s="37" t="str">
        <f aca="false">IF($A1344="","",IF($Q1344=0,"UNMAPPED",INDEX(COA_Mapping!$C$7:$C$256,$Q1344)))</f>
        <v/>
      </c>
      <c r="N1344" s="38" t="str">
        <f aca="false">IF($A1344="","",IF($Q1344=0,"",INDEX(COA_Mapping!$E$7:$E$256,$Q1344)))</f>
        <v/>
      </c>
      <c r="O1344" s="38" t="n">
        <f aca="false">IF($A1344="",1,IF($Q1344=0,1,INDEX(COA_Mapping!$F$7:$F$256,$Q1344)))</f>
        <v>1</v>
      </c>
      <c r="P1344" s="34" t="str">
        <f aca="false">IF($A1344="","",$I1344*$O1344)</f>
        <v/>
      </c>
      <c r="Q1344" s="39" t="n">
        <f aca="false">IF($B1344="",0,IFERROR(MATCH($B1344,COA_Mapping!$A$7:$A$256,0),0))</f>
        <v>0</v>
      </c>
      <c r="R1344" s="39" t="n">
        <f aca="false">IF($A1344="",-1,IF($J1344=Setup!$B$7,1,IF($J1344=Setup!$B$9,0,-1)))</f>
        <v>-1</v>
      </c>
      <c r="S1344" s="35" t="n">
        <f aca="false">IF(OR($A1344="",$Q1344=0,$R1344=-1),0,$Q1344*1000+$R1344*100+$K1344)</f>
        <v>0</v>
      </c>
      <c r="T1344" s="37" t="str">
        <f aca="false">IF($A1344="","",IF($B1344="","NO ACCOUNT",IF($Q1344=0,"UNMAPPED",IF($R1344=-1,"OUTSIDE FY RANGE","OK"))))</f>
        <v/>
      </c>
      <c r="U1344" s="40" t="str">
        <f aca="false">IF($A1344="","",$B1344&amp;"|"&amp;TEXT($A1344,"yyyymmdd")&amp;"|"&amp;TEXT($I1344,"0.00"))</f>
        <v/>
      </c>
      <c r="V1344" s="35" t="str">
        <f aca="false">IF($A1344="","",COUNTIF($U$8:$U$5007,$U1344))</f>
        <v/>
      </c>
    </row>
    <row r="1345" customFormat="false" ht="15" hidden="false" customHeight="false" outlineLevel="0" collapsed="false">
      <c r="A1345" s="31"/>
      <c r="B1345" s="32"/>
      <c r="C1345" s="32"/>
      <c r="D1345" s="32"/>
      <c r="E1345" s="32"/>
      <c r="F1345" s="32"/>
      <c r="G1345" s="33"/>
      <c r="H1345" s="33"/>
      <c r="I1345" s="34" t="str">
        <f aca="false">IF($A1345="","",$G1345-$H1345)</f>
        <v/>
      </c>
      <c r="J1345" s="35" t="str">
        <f aca="false">IF($A1345="","",IF(Setup!$B$6=1,YEAR($A1345),YEAR($A1345)+IF(MONTH($A1345)&gt;=Setup!$B$6,1,0)))</f>
        <v/>
      </c>
      <c r="K1345" s="35" t="str">
        <f aca="false">IF($A1345="","",MOD(MONTH($A1345)-Setup!$B$6+12,12)+1)</f>
        <v/>
      </c>
      <c r="L1345" s="36" t="str">
        <f aca="false">IF($A1345="","",TEXT($A1345,"MMM-YY"))</f>
        <v/>
      </c>
      <c r="M1345" s="37" t="str">
        <f aca="false">IF($A1345="","",IF($Q1345=0,"UNMAPPED",INDEX(COA_Mapping!$C$7:$C$256,$Q1345)))</f>
        <v/>
      </c>
      <c r="N1345" s="38" t="str">
        <f aca="false">IF($A1345="","",IF($Q1345=0,"",INDEX(COA_Mapping!$E$7:$E$256,$Q1345)))</f>
        <v/>
      </c>
      <c r="O1345" s="38" t="n">
        <f aca="false">IF($A1345="",1,IF($Q1345=0,1,INDEX(COA_Mapping!$F$7:$F$256,$Q1345)))</f>
        <v>1</v>
      </c>
      <c r="P1345" s="34" t="str">
        <f aca="false">IF($A1345="","",$I1345*$O1345)</f>
        <v/>
      </c>
      <c r="Q1345" s="39" t="n">
        <f aca="false">IF($B1345="",0,IFERROR(MATCH($B1345,COA_Mapping!$A$7:$A$256,0),0))</f>
        <v>0</v>
      </c>
      <c r="R1345" s="39" t="n">
        <f aca="false">IF($A1345="",-1,IF($J1345=Setup!$B$7,1,IF($J1345=Setup!$B$9,0,-1)))</f>
        <v>-1</v>
      </c>
      <c r="S1345" s="35" t="n">
        <f aca="false">IF(OR($A1345="",$Q1345=0,$R1345=-1),0,$Q1345*1000+$R1345*100+$K1345)</f>
        <v>0</v>
      </c>
      <c r="T1345" s="37" t="str">
        <f aca="false">IF($A1345="","",IF($B1345="","NO ACCOUNT",IF($Q1345=0,"UNMAPPED",IF($R1345=-1,"OUTSIDE FY RANGE","OK"))))</f>
        <v/>
      </c>
      <c r="U1345" s="40" t="str">
        <f aca="false">IF($A1345="","",$B1345&amp;"|"&amp;TEXT($A1345,"yyyymmdd")&amp;"|"&amp;TEXT($I1345,"0.00"))</f>
        <v/>
      </c>
      <c r="V1345" s="35" t="str">
        <f aca="false">IF($A1345="","",COUNTIF($U$8:$U$5007,$U1345))</f>
        <v/>
      </c>
    </row>
    <row r="1346" customFormat="false" ht="15" hidden="false" customHeight="false" outlineLevel="0" collapsed="false">
      <c r="A1346" s="31"/>
      <c r="B1346" s="32"/>
      <c r="C1346" s="32"/>
      <c r="D1346" s="32"/>
      <c r="E1346" s="32"/>
      <c r="F1346" s="32"/>
      <c r="G1346" s="33"/>
      <c r="H1346" s="33"/>
      <c r="I1346" s="34" t="str">
        <f aca="false">IF($A1346="","",$G1346-$H1346)</f>
        <v/>
      </c>
      <c r="J1346" s="35" t="str">
        <f aca="false">IF($A1346="","",IF(Setup!$B$6=1,YEAR($A1346),YEAR($A1346)+IF(MONTH($A1346)&gt;=Setup!$B$6,1,0)))</f>
        <v/>
      </c>
      <c r="K1346" s="35" t="str">
        <f aca="false">IF($A1346="","",MOD(MONTH($A1346)-Setup!$B$6+12,12)+1)</f>
        <v/>
      </c>
      <c r="L1346" s="36" t="str">
        <f aca="false">IF($A1346="","",TEXT($A1346,"MMM-YY"))</f>
        <v/>
      </c>
      <c r="M1346" s="37" t="str">
        <f aca="false">IF($A1346="","",IF($Q1346=0,"UNMAPPED",INDEX(COA_Mapping!$C$7:$C$256,$Q1346)))</f>
        <v/>
      </c>
      <c r="N1346" s="38" t="str">
        <f aca="false">IF($A1346="","",IF($Q1346=0,"",INDEX(COA_Mapping!$E$7:$E$256,$Q1346)))</f>
        <v/>
      </c>
      <c r="O1346" s="38" t="n">
        <f aca="false">IF($A1346="",1,IF($Q1346=0,1,INDEX(COA_Mapping!$F$7:$F$256,$Q1346)))</f>
        <v>1</v>
      </c>
      <c r="P1346" s="34" t="str">
        <f aca="false">IF($A1346="","",$I1346*$O1346)</f>
        <v/>
      </c>
      <c r="Q1346" s="39" t="n">
        <f aca="false">IF($B1346="",0,IFERROR(MATCH($B1346,COA_Mapping!$A$7:$A$256,0),0))</f>
        <v>0</v>
      </c>
      <c r="R1346" s="39" t="n">
        <f aca="false">IF($A1346="",-1,IF($J1346=Setup!$B$7,1,IF($J1346=Setup!$B$9,0,-1)))</f>
        <v>-1</v>
      </c>
      <c r="S1346" s="35" t="n">
        <f aca="false">IF(OR($A1346="",$Q1346=0,$R1346=-1),0,$Q1346*1000+$R1346*100+$K1346)</f>
        <v>0</v>
      </c>
      <c r="T1346" s="37" t="str">
        <f aca="false">IF($A1346="","",IF($B1346="","NO ACCOUNT",IF($Q1346=0,"UNMAPPED",IF($R1346=-1,"OUTSIDE FY RANGE","OK"))))</f>
        <v/>
      </c>
      <c r="U1346" s="40" t="str">
        <f aca="false">IF($A1346="","",$B1346&amp;"|"&amp;TEXT($A1346,"yyyymmdd")&amp;"|"&amp;TEXT($I1346,"0.00"))</f>
        <v/>
      </c>
      <c r="V1346" s="35" t="str">
        <f aca="false">IF($A1346="","",COUNTIF($U$8:$U$5007,$U1346))</f>
        <v/>
      </c>
    </row>
    <row r="1347" customFormat="false" ht="15" hidden="false" customHeight="false" outlineLevel="0" collapsed="false">
      <c r="A1347" s="31"/>
      <c r="B1347" s="32"/>
      <c r="C1347" s="32"/>
      <c r="D1347" s="32"/>
      <c r="E1347" s="32"/>
      <c r="F1347" s="32"/>
      <c r="G1347" s="33"/>
      <c r="H1347" s="33"/>
      <c r="I1347" s="34" t="str">
        <f aca="false">IF($A1347="","",$G1347-$H1347)</f>
        <v/>
      </c>
      <c r="J1347" s="35" t="str">
        <f aca="false">IF($A1347="","",IF(Setup!$B$6=1,YEAR($A1347),YEAR($A1347)+IF(MONTH($A1347)&gt;=Setup!$B$6,1,0)))</f>
        <v/>
      </c>
      <c r="K1347" s="35" t="str">
        <f aca="false">IF($A1347="","",MOD(MONTH($A1347)-Setup!$B$6+12,12)+1)</f>
        <v/>
      </c>
      <c r="L1347" s="36" t="str">
        <f aca="false">IF($A1347="","",TEXT($A1347,"MMM-YY"))</f>
        <v/>
      </c>
      <c r="M1347" s="37" t="str">
        <f aca="false">IF($A1347="","",IF($Q1347=0,"UNMAPPED",INDEX(COA_Mapping!$C$7:$C$256,$Q1347)))</f>
        <v/>
      </c>
      <c r="N1347" s="38" t="str">
        <f aca="false">IF($A1347="","",IF($Q1347=0,"",INDEX(COA_Mapping!$E$7:$E$256,$Q1347)))</f>
        <v/>
      </c>
      <c r="O1347" s="38" t="n">
        <f aca="false">IF($A1347="",1,IF($Q1347=0,1,INDEX(COA_Mapping!$F$7:$F$256,$Q1347)))</f>
        <v>1</v>
      </c>
      <c r="P1347" s="34" t="str">
        <f aca="false">IF($A1347="","",$I1347*$O1347)</f>
        <v/>
      </c>
      <c r="Q1347" s="39" t="n">
        <f aca="false">IF($B1347="",0,IFERROR(MATCH($B1347,COA_Mapping!$A$7:$A$256,0),0))</f>
        <v>0</v>
      </c>
      <c r="R1347" s="39" t="n">
        <f aca="false">IF($A1347="",-1,IF($J1347=Setup!$B$7,1,IF($J1347=Setup!$B$9,0,-1)))</f>
        <v>-1</v>
      </c>
      <c r="S1347" s="35" t="n">
        <f aca="false">IF(OR($A1347="",$Q1347=0,$R1347=-1),0,$Q1347*1000+$R1347*100+$K1347)</f>
        <v>0</v>
      </c>
      <c r="T1347" s="37" t="str">
        <f aca="false">IF($A1347="","",IF($B1347="","NO ACCOUNT",IF($Q1347=0,"UNMAPPED",IF($R1347=-1,"OUTSIDE FY RANGE","OK"))))</f>
        <v/>
      </c>
      <c r="U1347" s="40" t="str">
        <f aca="false">IF($A1347="","",$B1347&amp;"|"&amp;TEXT($A1347,"yyyymmdd")&amp;"|"&amp;TEXT($I1347,"0.00"))</f>
        <v/>
      </c>
      <c r="V1347" s="35" t="str">
        <f aca="false">IF($A1347="","",COUNTIF($U$8:$U$5007,$U1347))</f>
        <v/>
      </c>
    </row>
    <row r="1348" customFormat="false" ht="15" hidden="false" customHeight="false" outlineLevel="0" collapsed="false">
      <c r="A1348" s="31"/>
      <c r="B1348" s="32"/>
      <c r="C1348" s="32"/>
      <c r="D1348" s="32"/>
      <c r="E1348" s="32"/>
      <c r="F1348" s="32"/>
      <c r="G1348" s="33"/>
      <c r="H1348" s="33"/>
      <c r="I1348" s="34" t="str">
        <f aca="false">IF($A1348="","",$G1348-$H1348)</f>
        <v/>
      </c>
      <c r="J1348" s="35" t="str">
        <f aca="false">IF($A1348="","",IF(Setup!$B$6=1,YEAR($A1348),YEAR($A1348)+IF(MONTH($A1348)&gt;=Setup!$B$6,1,0)))</f>
        <v/>
      </c>
      <c r="K1348" s="35" t="str">
        <f aca="false">IF($A1348="","",MOD(MONTH($A1348)-Setup!$B$6+12,12)+1)</f>
        <v/>
      </c>
      <c r="L1348" s="36" t="str">
        <f aca="false">IF($A1348="","",TEXT($A1348,"MMM-YY"))</f>
        <v/>
      </c>
      <c r="M1348" s="37" t="str">
        <f aca="false">IF($A1348="","",IF($Q1348=0,"UNMAPPED",INDEX(COA_Mapping!$C$7:$C$256,$Q1348)))</f>
        <v/>
      </c>
      <c r="N1348" s="38" t="str">
        <f aca="false">IF($A1348="","",IF($Q1348=0,"",INDEX(COA_Mapping!$E$7:$E$256,$Q1348)))</f>
        <v/>
      </c>
      <c r="O1348" s="38" t="n">
        <f aca="false">IF($A1348="",1,IF($Q1348=0,1,INDEX(COA_Mapping!$F$7:$F$256,$Q1348)))</f>
        <v>1</v>
      </c>
      <c r="P1348" s="34" t="str">
        <f aca="false">IF($A1348="","",$I1348*$O1348)</f>
        <v/>
      </c>
      <c r="Q1348" s="39" t="n">
        <f aca="false">IF($B1348="",0,IFERROR(MATCH($B1348,COA_Mapping!$A$7:$A$256,0),0))</f>
        <v>0</v>
      </c>
      <c r="R1348" s="39" t="n">
        <f aca="false">IF($A1348="",-1,IF($J1348=Setup!$B$7,1,IF($J1348=Setup!$B$9,0,-1)))</f>
        <v>-1</v>
      </c>
      <c r="S1348" s="35" t="n">
        <f aca="false">IF(OR($A1348="",$Q1348=0,$R1348=-1),0,$Q1348*1000+$R1348*100+$K1348)</f>
        <v>0</v>
      </c>
      <c r="T1348" s="37" t="str">
        <f aca="false">IF($A1348="","",IF($B1348="","NO ACCOUNT",IF($Q1348=0,"UNMAPPED",IF($R1348=-1,"OUTSIDE FY RANGE","OK"))))</f>
        <v/>
      </c>
      <c r="U1348" s="40" t="str">
        <f aca="false">IF($A1348="","",$B1348&amp;"|"&amp;TEXT($A1348,"yyyymmdd")&amp;"|"&amp;TEXT($I1348,"0.00"))</f>
        <v/>
      </c>
      <c r="V1348" s="35" t="str">
        <f aca="false">IF($A1348="","",COUNTIF($U$8:$U$5007,$U1348))</f>
        <v/>
      </c>
    </row>
    <row r="1349" customFormat="false" ht="15" hidden="false" customHeight="false" outlineLevel="0" collapsed="false">
      <c r="A1349" s="31"/>
      <c r="B1349" s="32"/>
      <c r="C1349" s="32"/>
      <c r="D1349" s="32"/>
      <c r="E1349" s="32"/>
      <c r="F1349" s="32"/>
      <c r="G1349" s="33"/>
      <c r="H1349" s="33"/>
      <c r="I1349" s="34" t="str">
        <f aca="false">IF($A1349="","",$G1349-$H1349)</f>
        <v/>
      </c>
      <c r="J1349" s="35" t="str">
        <f aca="false">IF($A1349="","",IF(Setup!$B$6=1,YEAR($A1349),YEAR($A1349)+IF(MONTH($A1349)&gt;=Setup!$B$6,1,0)))</f>
        <v/>
      </c>
      <c r="K1349" s="35" t="str">
        <f aca="false">IF($A1349="","",MOD(MONTH($A1349)-Setup!$B$6+12,12)+1)</f>
        <v/>
      </c>
      <c r="L1349" s="36" t="str">
        <f aca="false">IF($A1349="","",TEXT($A1349,"MMM-YY"))</f>
        <v/>
      </c>
      <c r="M1349" s="37" t="str">
        <f aca="false">IF($A1349="","",IF($Q1349=0,"UNMAPPED",INDEX(COA_Mapping!$C$7:$C$256,$Q1349)))</f>
        <v/>
      </c>
      <c r="N1349" s="38" t="str">
        <f aca="false">IF($A1349="","",IF($Q1349=0,"",INDEX(COA_Mapping!$E$7:$E$256,$Q1349)))</f>
        <v/>
      </c>
      <c r="O1349" s="38" t="n">
        <f aca="false">IF($A1349="",1,IF($Q1349=0,1,INDEX(COA_Mapping!$F$7:$F$256,$Q1349)))</f>
        <v>1</v>
      </c>
      <c r="P1349" s="34" t="str">
        <f aca="false">IF($A1349="","",$I1349*$O1349)</f>
        <v/>
      </c>
      <c r="Q1349" s="39" t="n">
        <f aca="false">IF($B1349="",0,IFERROR(MATCH($B1349,COA_Mapping!$A$7:$A$256,0),0))</f>
        <v>0</v>
      </c>
      <c r="R1349" s="39" t="n">
        <f aca="false">IF($A1349="",-1,IF($J1349=Setup!$B$7,1,IF($J1349=Setup!$B$9,0,-1)))</f>
        <v>-1</v>
      </c>
      <c r="S1349" s="35" t="n">
        <f aca="false">IF(OR($A1349="",$Q1349=0,$R1349=-1),0,$Q1349*1000+$R1349*100+$K1349)</f>
        <v>0</v>
      </c>
      <c r="T1349" s="37" t="str">
        <f aca="false">IF($A1349="","",IF($B1349="","NO ACCOUNT",IF($Q1349=0,"UNMAPPED",IF($R1349=-1,"OUTSIDE FY RANGE","OK"))))</f>
        <v/>
      </c>
      <c r="U1349" s="40" t="str">
        <f aca="false">IF($A1349="","",$B1349&amp;"|"&amp;TEXT($A1349,"yyyymmdd")&amp;"|"&amp;TEXT($I1349,"0.00"))</f>
        <v/>
      </c>
      <c r="V1349" s="35" t="str">
        <f aca="false">IF($A1349="","",COUNTIF($U$8:$U$5007,$U1349))</f>
        <v/>
      </c>
    </row>
    <row r="1350" customFormat="false" ht="15" hidden="false" customHeight="false" outlineLevel="0" collapsed="false">
      <c r="A1350" s="31"/>
      <c r="B1350" s="32"/>
      <c r="C1350" s="32"/>
      <c r="D1350" s="32"/>
      <c r="E1350" s="32"/>
      <c r="F1350" s="32"/>
      <c r="G1350" s="33"/>
      <c r="H1350" s="33"/>
      <c r="I1350" s="34" t="str">
        <f aca="false">IF($A1350="","",$G1350-$H1350)</f>
        <v/>
      </c>
      <c r="J1350" s="35" t="str">
        <f aca="false">IF($A1350="","",IF(Setup!$B$6=1,YEAR($A1350),YEAR($A1350)+IF(MONTH($A1350)&gt;=Setup!$B$6,1,0)))</f>
        <v/>
      </c>
      <c r="K1350" s="35" t="str">
        <f aca="false">IF($A1350="","",MOD(MONTH($A1350)-Setup!$B$6+12,12)+1)</f>
        <v/>
      </c>
      <c r="L1350" s="36" t="str">
        <f aca="false">IF($A1350="","",TEXT($A1350,"MMM-YY"))</f>
        <v/>
      </c>
      <c r="M1350" s="37" t="str">
        <f aca="false">IF($A1350="","",IF($Q1350=0,"UNMAPPED",INDEX(COA_Mapping!$C$7:$C$256,$Q1350)))</f>
        <v/>
      </c>
      <c r="N1350" s="38" t="str">
        <f aca="false">IF($A1350="","",IF($Q1350=0,"",INDEX(COA_Mapping!$E$7:$E$256,$Q1350)))</f>
        <v/>
      </c>
      <c r="O1350" s="38" t="n">
        <f aca="false">IF($A1350="",1,IF($Q1350=0,1,INDEX(COA_Mapping!$F$7:$F$256,$Q1350)))</f>
        <v>1</v>
      </c>
      <c r="P1350" s="34" t="str">
        <f aca="false">IF($A1350="","",$I1350*$O1350)</f>
        <v/>
      </c>
      <c r="Q1350" s="39" t="n">
        <f aca="false">IF($B1350="",0,IFERROR(MATCH($B1350,COA_Mapping!$A$7:$A$256,0),0))</f>
        <v>0</v>
      </c>
      <c r="R1350" s="39" t="n">
        <f aca="false">IF($A1350="",-1,IF($J1350=Setup!$B$7,1,IF($J1350=Setup!$B$9,0,-1)))</f>
        <v>-1</v>
      </c>
      <c r="S1350" s="35" t="n">
        <f aca="false">IF(OR($A1350="",$Q1350=0,$R1350=-1),0,$Q1350*1000+$R1350*100+$K1350)</f>
        <v>0</v>
      </c>
      <c r="T1350" s="37" t="str">
        <f aca="false">IF($A1350="","",IF($B1350="","NO ACCOUNT",IF($Q1350=0,"UNMAPPED",IF($R1350=-1,"OUTSIDE FY RANGE","OK"))))</f>
        <v/>
      </c>
      <c r="U1350" s="40" t="str">
        <f aca="false">IF($A1350="","",$B1350&amp;"|"&amp;TEXT($A1350,"yyyymmdd")&amp;"|"&amp;TEXT($I1350,"0.00"))</f>
        <v/>
      </c>
      <c r="V1350" s="35" t="str">
        <f aca="false">IF($A1350="","",COUNTIF($U$8:$U$5007,$U1350))</f>
        <v/>
      </c>
    </row>
    <row r="1351" customFormat="false" ht="15" hidden="false" customHeight="false" outlineLevel="0" collapsed="false">
      <c r="A1351" s="31"/>
      <c r="B1351" s="32"/>
      <c r="C1351" s="32"/>
      <c r="D1351" s="32"/>
      <c r="E1351" s="32"/>
      <c r="F1351" s="32"/>
      <c r="G1351" s="33"/>
      <c r="H1351" s="33"/>
      <c r="I1351" s="34" t="str">
        <f aca="false">IF($A1351="","",$G1351-$H1351)</f>
        <v/>
      </c>
      <c r="J1351" s="35" t="str">
        <f aca="false">IF($A1351="","",IF(Setup!$B$6=1,YEAR($A1351),YEAR($A1351)+IF(MONTH($A1351)&gt;=Setup!$B$6,1,0)))</f>
        <v/>
      </c>
      <c r="K1351" s="35" t="str">
        <f aca="false">IF($A1351="","",MOD(MONTH($A1351)-Setup!$B$6+12,12)+1)</f>
        <v/>
      </c>
      <c r="L1351" s="36" t="str">
        <f aca="false">IF($A1351="","",TEXT($A1351,"MMM-YY"))</f>
        <v/>
      </c>
      <c r="M1351" s="37" t="str">
        <f aca="false">IF($A1351="","",IF($Q1351=0,"UNMAPPED",INDEX(COA_Mapping!$C$7:$C$256,$Q1351)))</f>
        <v/>
      </c>
      <c r="N1351" s="38" t="str">
        <f aca="false">IF($A1351="","",IF($Q1351=0,"",INDEX(COA_Mapping!$E$7:$E$256,$Q1351)))</f>
        <v/>
      </c>
      <c r="O1351" s="38" t="n">
        <f aca="false">IF($A1351="",1,IF($Q1351=0,1,INDEX(COA_Mapping!$F$7:$F$256,$Q1351)))</f>
        <v>1</v>
      </c>
      <c r="P1351" s="34" t="str">
        <f aca="false">IF($A1351="","",$I1351*$O1351)</f>
        <v/>
      </c>
      <c r="Q1351" s="39" t="n">
        <f aca="false">IF($B1351="",0,IFERROR(MATCH($B1351,COA_Mapping!$A$7:$A$256,0),0))</f>
        <v>0</v>
      </c>
      <c r="R1351" s="39" t="n">
        <f aca="false">IF($A1351="",-1,IF($J1351=Setup!$B$7,1,IF($J1351=Setup!$B$9,0,-1)))</f>
        <v>-1</v>
      </c>
      <c r="S1351" s="35" t="n">
        <f aca="false">IF(OR($A1351="",$Q1351=0,$R1351=-1),0,$Q1351*1000+$R1351*100+$K1351)</f>
        <v>0</v>
      </c>
      <c r="T1351" s="37" t="str">
        <f aca="false">IF($A1351="","",IF($B1351="","NO ACCOUNT",IF($Q1351=0,"UNMAPPED",IF($R1351=-1,"OUTSIDE FY RANGE","OK"))))</f>
        <v/>
      </c>
      <c r="U1351" s="40" t="str">
        <f aca="false">IF($A1351="","",$B1351&amp;"|"&amp;TEXT($A1351,"yyyymmdd")&amp;"|"&amp;TEXT($I1351,"0.00"))</f>
        <v/>
      </c>
      <c r="V1351" s="35" t="str">
        <f aca="false">IF($A1351="","",COUNTIF($U$8:$U$5007,$U1351))</f>
        <v/>
      </c>
    </row>
    <row r="1352" customFormat="false" ht="15" hidden="false" customHeight="false" outlineLevel="0" collapsed="false">
      <c r="A1352" s="31"/>
      <c r="B1352" s="32"/>
      <c r="C1352" s="32"/>
      <c r="D1352" s="32"/>
      <c r="E1352" s="32"/>
      <c r="F1352" s="32"/>
      <c r="G1352" s="33"/>
      <c r="H1352" s="33"/>
      <c r="I1352" s="34" t="str">
        <f aca="false">IF($A1352="","",$G1352-$H1352)</f>
        <v/>
      </c>
      <c r="J1352" s="35" t="str">
        <f aca="false">IF($A1352="","",IF(Setup!$B$6=1,YEAR($A1352),YEAR($A1352)+IF(MONTH($A1352)&gt;=Setup!$B$6,1,0)))</f>
        <v/>
      </c>
      <c r="K1352" s="35" t="str">
        <f aca="false">IF($A1352="","",MOD(MONTH($A1352)-Setup!$B$6+12,12)+1)</f>
        <v/>
      </c>
      <c r="L1352" s="36" t="str">
        <f aca="false">IF($A1352="","",TEXT($A1352,"MMM-YY"))</f>
        <v/>
      </c>
      <c r="M1352" s="37" t="str">
        <f aca="false">IF($A1352="","",IF($Q1352=0,"UNMAPPED",INDEX(COA_Mapping!$C$7:$C$256,$Q1352)))</f>
        <v/>
      </c>
      <c r="N1352" s="38" t="str">
        <f aca="false">IF($A1352="","",IF($Q1352=0,"",INDEX(COA_Mapping!$E$7:$E$256,$Q1352)))</f>
        <v/>
      </c>
      <c r="O1352" s="38" t="n">
        <f aca="false">IF($A1352="",1,IF($Q1352=0,1,INDEX(COA_Mapping!$F$7:$F$256,$Q1352)))</f>
        <v>1</v>
      </c>
      <c r="P1352" s="34" t="str">
        <f aca="false">IF($A1352="","",$I1352*$O1352)</f>
        <v/>
      </c>
      <c r="Q1352" s="39" t="n">
        <f aca="false">IF($B1352="",0,IFERROR(MATCH($B1352,COA_Mapping!$A$7:$A$256,0),0))</f>
        <v>0</v>
      </c>
      <c r="R1352" s="39" t="n">
        <f aca="false">IF($A1352="",-1,IF($J1352=Setup!$B$7,1,IF($J1352=Setup!$B$9,0,-1)))</f>
        <v>-1</v>
      </c>
      <c r="S1352" s="35" t="n">
        <f aca="false">IF(OR($A1352="",$Q1352=0,$R1352=-1),0,$Q1352*1000+$R1352*100+$K1352)</f>
        <v>0</v>
      </c>
      <c r="T1352" s="37" t="str">
        <f aca="false">IF($A1352="","",IF($B1352="","NO ACCOUNT",IF($Q1352=0,"UNMAPPED",IF($R1352=-1,"OUTSIDE FY RANGE","OK"))))</f>
        <v/>
      </c>
      <c r="U1352" s="40" t="str">
        <f aca="false">IF($A1352="","",$B1352&amp;"|"&amp;TEXT($A1352,"yyyymmdd")&amp;"|"&amp;TEXT($I1352,"0.00"))</f>
        <v/>
      </c>
      <c r="V1352" s="35" t="str">
        <f aca="false">IF($A1352="","",COUNTIF($U$8:$U$5007,$U1352))</f>
        <v/>
      </c>
    </row>
    <row r="1353" customFormat="false" ht="15" hidden="false" customHeight="false" outlineLevel="0" collapsed="false">
      <c r="A1353" s="31"/>
      <c r="B1353" s="32"/>
      <c r="C1353" s="32"/>
      <c r="D1353" s="32"/>
      <c r="E1353" s="32"/>
      <c r="F1353" s="32"/>
      <c r="G1353" s="33"/>
      <c r="H1353" s="33"/>
      <c r="I1353" s="34" t="str">
        <f aca="false">IF($A1353="","",$G1353-$H1353)</f>
        <v/>
      </c>
      <c r="J1353" s="35" t="str">
        <f aca="false">IF($A1353="","",IF(Setup!$B$6=1,YEAR($A1353),YEAR($A1353)+IF(MONTH($A1353)&gt;=Setup!$B$6,1,0)))</f>
        <v/>
      </c>
      <c r="K1353" s="35" t="str">
        <f aca="false">IF($A1353="","",MOD(MONTH($A1353)-Setup!$B$6+12,12)+1)</f>
        <v/>
      </c>
      <c r="L1353" s="36" t="str">
        <f aca="false">IF($A1353="","",TEXT($A1353,"MMM-YY"))</f>
        <v/>
      </c>
      <c r="M1353" s="37" t="str">
        <f aca="false">IF($A1353="","",IF($Q1353=0,"UNMAPPED",INDEX(COA_Mapping!$C$7:$C$256,$Q1353)))</f>
        <v/>
      </c>
      <c r="N1353" s="38" t="str">
        <f aca="false">IF($A1353="","",IF($Q1353=0,"",INDEX(COA_Mapping!$E$7:$E$256,$Q1353)))</f>
        <v/>
      </c>
      <c r="O1353" s="38" t="n">
        <f aca="false">IF($A1353="",1,IF($Q1353=0,1,INDEX(COA_Mapping!$F$7:$F$256,$Q1353)))</f>
        <v>1</v>
      </c>
      <c r="P1353" s="34" t="str">
        <f aca="false">IF($A1353="","",$I1353*$O1353)</f>
        <v/>
      </c>
      <c r="Q1353" s="39" t="n">
        <f aca="false">IF($B1353="",0,IFERROR(MATCH($B1353,COA_Mapping!$A$7:$A$256,0),0))</f>
        <v>0</v>
      </c>
      <c r="R1353" s="39" t="n">
        <f aca="false">IF($A1353="",-1,IF($J1353=Setup!$B$7,1,IF($J1353=Setup!$B$9,0,-1)))</f>
        <v>-1</v>
      </c>
      <c r="S1353" s="35" t="n">
        <f aca="false">IF(OR($A1353="",$Q1353=0,$R1353=-1),0,$Q1353*1000+$R1353*100+$K1353)</f>
        <v>0</v>
      </c>
      <c r="T1353" s="37" t="str">
        <f aca="false">IF($A1353="","",IF($B1353="","NO ACCOUNT",IF($Q1353=0,"UNMAPPED",IF($R1353=-1,"OUTSIDE FY RANGE","OK"))))</f>
        <v/>
      </c>
      <c r="U1353" s="40" t="str">
        <f aca="false">IF($A1353="","",$B1353&amp;"|"&amp;TEXT($A1353,"yyyymmdd")&amp;"|"&amp;TEXT($I1353,"0.00"))</f>
        <v/>
      </c>
      <c r="V1353" s="35" t="str">
        <f aca="false">IF($A1353="","",COUNTIF($U$8:$U$5007,$U1353))</f>
        <v/>
      </c>
    </row>
    <row r="1354" customFormat="false" ht="15" hidden="false" customHeight="false" outlineLevel="0" collapsed="false">
      <c r="A1354" s="31"/>
      <c r="B1354" s="32"/>
      <c r="C1354" s="32"/>
      <c r="D1354" s="32"/>
      <c r="E1354" s="32"/>
      <c r="F1354" s="32"/>
      <c r="G1354" s="33"/>
      <c r="H1354" s="33"/>
      <c r="I1354" s="34" t="str">
        <f aca="false">IF($A1354="","",$G1354-$H1354)</f>
        <v/>
      </c>
      <c r="J1354" s="35" t="str">
        <f aca="false">IF($A1354="","",IF(Setup!$B$6=1,YEAR($A1354),YEAR($A1354)+IF(MONTH($A1354)&gt;=Setup!$B$6,1,0)))</f>
        <v/>
      </c>
      <c r="K1354" s="35" t="str">
        <f aca="false">IF($A1354="","",MOD(MONTH($A1354)-Setup!$B$6+12,12)+1)</f>
        <v/>
      </c>
      <c r="L1354" s="36" t="str">
        <f aca="false">IF($A1354="","",TEXT($A1354,"MMM-YY"))</f>
        <v/>
      </c>
      <c r="M1354" s="37" t="str">
        <f aca="false">IF($A1354="","",IF($Q1354=0,"UNMAPPED",INDEX(COA_Mapping!$C$7:$C$256,$Q1354)))</f>
        <v/>
      </c>
      <c r="N1354" s="38" t="str">
        <f aca="false">IF($A1354="","",IF($Q1354=0,"",INDEX(COA_Mapping!$E$7:$E$256,$Q1354)))</f>
        <v/>
      </c>
      <c r="O1354" s="38" t="n">
        <f aca="false">IF($A1354="",1,IF($Q1354=0,1,INDEX(COA_Mapping!$F$7:$F$256,$Q1354)))</f>
        <v>1</v>
      </c>
      <c r="P1354" s="34" t="str">
        <f aca="false">IF($A1354="","",$I1354*$O1354)</f>
        <v/>
      </c>
      <c r="Q1354" s="39" t="n">
        <f aca="false">IF($B1354="",0,IFERROR(MATCH($B1354,COA_Mapping!$A$7:$A$256,0),0))</f>
        <v>0</v>
      </c>
      <c r="R1354" s="39" t="n">
        <f aca="false">IF($A1354="",-1,IF($J1354=Setup!$B$7,1,IF($J1354=Setup!$B$9,0,-1)))</f>
        <v>-1</v>
      </c>
      <c r="S1354" s="35" t="n">
        <f aca="false">IF(OR($A1354="",$Q1354=0,$R1354=-1),0,$Q1354*1000+$R1354*100+$K1354)</f>
        <v>0</v>
      </c>
      <c r="T1354" s="37" t="str">
        <f aca="false">IF($A1354="","",IF($B1354="","NO ACCOUNT",IF($Q1354=0,"UNMAPPED",IF($R1354=-1,"OUTSIDE FY RANGE","OK"))))</f>
        <v/>
      </c>
      <c r="U1354" s="40" t="str">
        <f aca="false">IF($A1354="","",$B1354&amp;"|"&amp;TEXT($A1354,"yyyymmdd")&amp;"|"&amp;TEXT($I1354,"0.00"))</f>
        <v/>
      </c>
      <c r="V1354" s="35" t="str">
        <f aca="false">IF($A1354="","",COUNTIF($U$8:$U$5007,$U1354))</f>
        <v/>
      </c>
    </row>
    <row r="1355" customFormat="false" ht="15" hidden="false" customHeight="false" outlineLevel="0" collapsed="false">
      <c r="A1355" s="31"/>
      <c r="B1355" s="32"/>
      <c r="C1355" s="32"/>
      <c r="D1355" s="32"/>
      <c r="E1355" s="32"/>
      <c r="F1355" s="32"/>
      <c r="G1355" s="33"/>
      <c r="H1355" s="33"/>
      <c r="I1355" s="34" t="str">
        <f aca="false">IF($A1355="","",$G1355-$H1355)</f>
        <v/>
      </c>
      <c r="J1355" s="35" t="str">
        <f aca="false">IF($A1355="","",IF(Setup!$B$6=1,YEAR($A1355),YEAR($A1355)+IF(MONTH($A1355)&gt;=Setup!$B$6,1,0)))</f>
        <v/>
      </c>
      <c r="K1355" s="35" t="str">
        <f aca="false">IF($A1355="","",MOD(MONTH($A1355)-Setup!$B$6+12,12)+1)</f>
        <v/>
      </c>
      <c r="L1355" s="36" t="str">
        <f aca="false">IF($A1355="","",TEXT($A1355,"MMM-YY"))</f>
        <v/>
      </c>
      <c r="M1355" s="37" t="str">
        <f aca="false">IF($A1355="","",IF($Q1355=0,"UNMAPPED",INDEX(COA_Mapping!$C$7:$C$256,$Q1355)))</f>
        <v/>
      </c>
      <c r="N1355" s="38" t="str">
        <f aca="false">IF($A1355="","",IF($Q1355=0,"",INDEX(COA_Mapping!$E$7:$E$256,$Q1355)))</f>
        <v/>
      </c>
      <c r="O1355" s="38" t="n">
        <f aca="false">IF($A1355="",1,IF($Q1355=0,1,INDEX(COA_Mapping!$F$7:$F$256,$Q1355)))</f>
        <v>1</v>
      </c>
      <c r="P1355" s="34" t="str">
        <f aca="false">IF($A1355="","",$I1355*$O1355)</f>
        <v/>
      </c>
      <c r="Q1355" s="39" t="n">
        <f aca="false">IF($B1355="",0,IFERROR(MATCH($B1355,COA_Mapping!$A$7:$A$256,0),0))</f>
        <v>0</v>
      </c>
      <c r="R1355" s="39" t="n">
        <f aca="false">IF($A1355="",-1,IF($J1355=Setup!$B$7,1,IF($J1355=Setup!$B$9,0,-1)))</f>
        <v>-1</v>
      </c>
      <c r="S1355" s="35" t="n">
        <f aca="false">IF(OR($A1355="",$Q1355=0,$R1355=-1),0,$Q1355*1000+$R1355*100+$K1355)</f>
        <v>0</v>
      </c>
      <c r="T1355" s="37" t="str">
        <f aca="false">IF($A1355="","",IF($B1355="","NO ACCOUNT",IF($Q1355=0,"UNMAPPED",IF($R1355=-1,"OUTSIDE FY RANGE","OK"))))</f>
        <v/>
      </c>
      <c r="U1355" s="40" t="str">
        <f aca="false">IF($A1355="","",$B1355&amp;"|"&amp;TEXT($A1355,"yyyymmdd")&amp;"|"&amp;TEXT($I1355,"0.00"))</f>
        <v/>
      </c>
      <c r="V1355" s="35" t="str">
        <f aca="false">IF($A1355="","",COUNTIF($U$8:$U$5007,$U1355))</f>
        <v/>
      </c>
    </row>
    <row r="1356" customFormat="false" ht="15" hidden="false" customHeight="false" outlineLevel="0" collapsed="false">
      <c r="A1356" s="31"/>
      <c r="B1356" s="32"/>
      <c r="C1356" s="32"/>
      <c r="D1356" s="32"/>
      <c r="E1356" s="32"/>
      <c r="F1356" s="32"/>
      <c r="G1356" s="33"/>
      <c r="H1356" s="33"/>
      <c r="I1356" s="34" t="str">
        <f aca="false">IF($A1356="","",$G1356-$H1356)</f>
        <v/>
      </c>
      <c r="J1356" s="35" t="str">
        <f aca="false">IF($A1356="","",IF(Setup!$B$6=1,YEAR($A1356),YEAR($A1356)+IF(MONTH($A1356)&gt;=Setup!$B$6,1,0)))</f>
        <v/>
      </c>
      <c r="K1356" s="35" t="str">
        <f aca="false">IF($A1356="","",MOD(MONTH($A1356)-Setup!$B$6+12,12)+1)</f>
        <v/>
      </c>
      <c r="L1356" s="36" t="str">
        <f aca="false">IF($A1356="","",TEXT($A1356,"MMM-YY"))</f>
        <v/>
      </c>
      <c r="M1356" s="37" t="str">
        <f aca="false">IF($A1356="","",IF($Q1356=0,"UNMAPPED",INDEX(COA_Mapping!$C$7:$C$256,$Q1356)))</f>
        <v/>
      </c>
      <c r="N1356" s="38" t="str">
        <f aca="false">IF($A1356="","",IF($Q1356=0,"",INDEX(COA_Mapping!$E$7:$E$256,$Q1356)))</f>
        <v/>
      </c>
      <c r="O1356" s="38" t="n">
        <f aca="false">IF($A1356="",1,IF($Q1356=0,1,INDEX(COA_Mapping!$F$7:$F$256,$Q1356)))</f>
        <v>1</v>
      </c>
      <c r="P1356" s="34" t="str">
        <f aca="false">IF($A1356="","",$I1356*$O1356)</f>
        <v/>
      </c>
      <c r="Q1356" s="39" t="n">
        <f aca="false">IF($B1356="",0,IFERROR(MATCH($B1356,COA_Mapping!$A$7:$A$256,0),0))</f>
        <v>0</v>
      </c>
      <c r="R1356" s="39" t="n">
        <f aca="false">IF($A1356="",-1,IF($J1356=Setup!$B$7,1,IF($J1356=Setup!$B$9,0,-1)))</f>
        <v>-1</v>
      </c>
      <c r="S1356" s="35" t="n">
        <f aca="false">IF(OR($A1356="",$Q1356=0,$R1356=-1),0,$Q1356*1000+$R1356*100+$K1356)</f>
        <v>0</v>
      </c>
      <c r="T1356" s="37" t="str">
        <f aca="false">IF($A1356="","",IF($B1356="","NO ACCOUNT",IF($Q1356=0,"UNMAPPED",IF($R1356=-1,"OUTSIDE FY RANGE","OK"))))</f>
        <v/>
      </c>
      <c r="U1356" s="40" t="str">
        <f aca="false">IF($A1356="","",$B1356&amp;"|"&amp;TEXT($A1356,"yyyymmdd")&amp;"|"&amp;TEXT($I1356,"0.00"))</f>
        <v/>
      </c>
      <c r="V1356" s="35" t="str">
        <f aca="false">IF($A1356="","",COUNTIF($U$8:$U$5007,$U1356))</f>
        <v/>
      </c>
    </row>
    <row r="1357" customFormat="false" ht="15" hidden="false" customHeight="false" outlineLevel="0" collapsed="false">
      <c r="A1357" s="31"/>
      <c r="B1357" s="32"/>
      <c r="C1357" s="32"/>
      <c r="D1357" s="32"/>
      <c r="E1357" s="32"/>
      <c r="F1357" s="32"/>
      <c r="G1357" s="33"/>
      <c r="H1357" s="33"/>
      <c r="I1357" s="34" t="str">
        <f aca="false">IF($A1357="","",$G1357-$H1357)</f>
        <v/>
      </c>
      <c r="J1357" s="35" t="str">
        <f aca="false">IF($A1357="","",IF(Setup!$B$6=1,YEAR($A1357),YEAR($A1357)+IF(MONTH($A1357)&gt;=Setup!$B$6,1,0)))</f>
        <v/>
      </c>
      <c r="K1357" s="35" t="str">
        <f aca="false">IF($A1357="","",MOD(MONTH($A1357)-Setup!$B$6+12,12)+1)</f>
        <v/>
      </c>
      <c r="L1357" s="36" t="str">
        <f aca="false">IF($A1357="","",TEXT($A1357,"MMM-YY"))</f>
        <v/>
      </c>
      <c r="M1357" s="37" t="str">
        <f aca="false">IF($A1357="","",IF($Q1357=0,"UNMAPPED",INDEX(COA_Mapping!$C$7:$C$256,$Q1357)))</f>
        <v/>
      </c>
      <c r="N1357" s="38" t="str">
        <f aca="false">IF($A1357="","",IF($Q1357=0,"",INDEX(COA_Mapping!$E$7:$E$256,$Q1357)))</f>
        <v/>
      </c>
      <c r="O1357" s="38" t="n">
        <f aca="false">IF($A1357="",1,IF($Q1357=0,1,INDEX(COA_Mapping!$F$7:$F$256,$Q1357)))</f>
        <v>1</v>
      </c>
      <c r="P1357" s="34" t="str">
        <f aca="false">IF($A1357="","",$I1357*$O1357)</f>
        <v/>
      </c>
      <c r="Q1357" s="39" t="n">
        <f aca="false">IF($B1357="",0,IFERROR(MATCH($B1357,COA_Mapping!$A$7:$A$256,0),0))</f>
        <v>0</v>
      </c>
      <c r="R1357" s="39" t="n">
        <f aca="false">IF($A1357="",-1,IF($J1357=Setup!$B$7,1,IF($J1357=Setup!$B$9,0,-1)))</f>
        <v>-1</v>
      </c>
      <c r="S1357" s="35" t="n">
        <f aca="false">IF(OR($A1357="",$Q1357=0,$R1357=-1),0,$Q1357*1000+$R1357*100+$K1357)</f>
        <v>0</v>
      </c>
      <c r="T1357" s="37" t="str">
        <f aca="false">IF($A1357="","",IF($B1357="","NO ACCOUNT",IF($Q1357=0,"UNMAPPED",IF($R1357=-1,"OUTSIDE FY RANGE","OK"))))</f>
        <v/>
      </c>
      <c r="U1357" s="40" t="str">
        <f aca="false">IF($A1357="","",$B1357&amp;"|"&amp;TEXT($A1357,"yyyymmdd")&amp;"|"&amp;TEXT($I1357,"0.00"))</f>
        <v/>
      </c>
      <c r="V1357" s="35" t="str">
        <f aca="false">IF($A1357="","",COUNTIF($U$8:$U$5007,$U1357))</f>
        <v/>
      </c>
    </row>
    <row r="1358" customFormat="false" ht="15" hidden="false" customHeight="false" outlineLevel="0" collapsed="false">
      <c r="A1358" s="31"/>
      <c r="B1358" s="32"/>
      <c r="C1358" s="32"/>
      <c r="D1358" s="32"/>
      <c r="E1358" s="32"/>
      <c r="F1358" s="32"/>
      <c r="G1358" s="33"/>
      <c r="H1358" s="33"/>
      <c r="I1358" s="34" t="str">
        <f aca="false">IF($A1358="","",$G1358-$H1358)</f>
        <v/>
      </c>
      <c r="J1358" s="35" t="str">
        <f aca="false">IF($A1358="","",IF(Setup!$B$6=1,YEAR($A1358),YEAR($A1358)+IF(MONTH($A1358)&gt;=Setup!$B$6,1,0)))</f>
        <v/>
      </c>
      <c r="K1358" s="35" t="str">
        <f aca="false">IF($A1358="","",MOD(MONTH($A1358)-Setup!$B$6+12,12)+1)</f>
        <v/>
      </c>
      <c r="L1358" s="36" t="str">
        <f aca="false">IF($A1358="","",TEXT($A1358,"MMM-YY"))</f>
        <v/>
      </c>
      <c r="M1358" s="37" t="str">
        <f aca="false">IF($A1358="","",IF($Q1358=0,"UNMAPPED",INDEX(COA_Mapping!$C$7:$C$256,$Q1358)))</f>
        <v/>
      </c>
      <c r="N1358" s="38" t="str">
        <f aca="false">IF($A1358="","",IF($Q1358=0,"",INDEX(COA_Mapping!$E$7:$E$256,$Q1358)))</f>
        <v/>
      </c>
      <c r="O1358" s="38" t="n">
        <f aca="false">IF($A1358="",1,IF($Q1358=0,1,INDEX(COA_Mapping!$F$7:$F$256,$Q1358)))</f>
        <v>1</v>
      </c>
      <c r="P1358" s="34" t="str">
        <f aca="false">IF($A1358="","",$I1358*$O1358)</f>
        <v/>
      </c>
      <c r="Q1358" s="39" t="n">
        <f aca="false">IF($B1358="",0,IFERROR(MATCH($B1358,COA_Mapping!$A$7:$A$256,0),0))</f>
        <v>0</v>
      </c>
      <c r="R1358" s="39" t="n">
        <f aca="false">IF($A1358="",-1,IF($J1358=Setup!$B$7,1,IF($J1358=Setup!$B$9,0,-1)))</f>
        <v>-1</v>
      </c>
      <c r="S1358" s="35" t="n">
        <f aca="false">IF(OR($A1358="",$Q1358=0,$R1358=-1),0,$Q1358*1000+$R1358*100+$K1358)</f>
        <v>0</v>
      </c>
      <c r="T1358" s="37" t="str">
        <f aca="false">IF($A1358="","",IF($B1358="","NO ACCOUNT",IF($Q1358=0,"UNMAPPED",IF($R1358=-1,"OUTSIDE FY RANGE","OK"))))</f>
        <v/>
      </c>
      <c r="U1358" s="40" t="str">
        <f aca="false">IF($A1358="","",$B1358&amp;"|"&amp;TEXT($A1358,"yyyymmdd")&amp;"|"&amp;TEXT($I1358,"0.00"))</f>
        <v/>
      </c>
      <c r="V1358" s="35" t="str">
        <f aca="false">IF($A1358="","",COUNTIF($U$8:$U$5007,$U1358))</f>
        <v/>
      </c>
    </row>
    <row r="1359" customFormat="false" ht="15" hidden="false" customHeight="false" outlineLevel="0" collapsed="false">
      <c r="A1359" s="31"/>
      <c r="B1359" s="32"/>
      <c r="C1359" s="32"/>
      <c r="D1359" s="32"/>
      <c r="E1359" s="32"/>
      <c r="F1359" s="32"/>
      <c r="G1359" s="33"/>
      <c r="H1359" s="33"/>
      <c r="I1359" s="34" t="str">
        <f aca="false">IF($A1359="","",$G1359-$H1359)</f>
        <v/>
      </c>
      <c r="J1359" s="35" t="str">
        <f aca="false">IF($A1359="","",IF(Setup!$B$6=1,YEAR($A1359),YEAR($A1359)+IF(MONTH($A1359)&gt;=Setup!$B$6,1,0)))</f>
        <v/>
      </c>
      <c r="K1359" s="35" t="str">
        <f aca="false">IF($A1359="","",MOD(MONTH($A1359)-Setup!$B$6+12,12)+1)</f>
        <v/>
      </c>
      <c r="L1359" s="36" t="str">
        <f aca="false">IF($A1359="","",TEXT($A1359,"MMM-YY"))</f>
        <v/>
      </c>
      <c r="M1359" s="37" t="str">
        <f aca="false">IF($A1359="","",IF($Q1359=0,"UNMAPPED",INDEX(COA_Mapping!$C$7:$C$256,$Q1359)))</f>
        <v/>
      </c>
      <c r="N1359" s="38" t="str">
        <f aca="false">IF($A1359="","",IF($Q1359=0,"",INDEX(COA_Mapping!$E$7:$E$256,$Q1359)))</f>
        <v/>
      </c>
      <c r="O1359" s="38" t="n">
        <f aca="false">IF($A1359="",1,IF($Q1359=0,1,INDEX(COA_Mapping!$F$7:$F$256,$Q1359)))</f>
        <v>1</v>
      </c>
      <c r="P1359" s="34" t="str">
        <f aca="false">IF($A1359="","",$I1359*$O1359)</f>
        <v/>
      </c>
      <c r="Q1359" s="39" t="n">
        <f aca="false">IF($B1359="",0,IFERROR(MATCH($B1359,COA_Mapping!$A$7:$A$256,0),0))</f>
        <v>0</v>
      </c>
      <c r="R1359" s="39" t="n">
        <f aca="false">IF($A1359="",-1,IF($J1359=Setup!$B$7,1,IF($J1359=Setup!$B$9,0,-1)))</f>
        <v>-1</v>
      </c>
      <c r="S1359" s="35" t="n">
        <f aca="false">IF(OR($A1359="",$Q1359=0,$R1359=-1),0,$Q1359*1000+$R1359*100+$K1359)</f>
        <v>0</v>
      </c>
      <c r="T1359" s="37" t="str">
        <f aca="false">IF($A1359="","",IF($B1359="","NO ACCOUNT",IF($Q1359=0,"UNMAPPED",IF($R1359=-1,"OUTSIDE FY RANGE","OK"))))</f>
        <v/>
      </c>
      <c r="U1359" s="40" t="str">
        <f aca="false">IF($A1359="","",$B1359&amp;"|"&amp;TEXT($A1359,"yyyymmdd")&amp;"|"&amp;TEXT($I1359,"0.00"))</f>
        <v/>
      </c>
      <c r="V1359" s="35" t="str">
        <f aca="false">IF($A1359="","",COUNTIF($U$8:$U$5007,$U1359))</f>
        <v/>
      </c>
    </row>
    <row r="1360" customFormat="false" ht="15" hidden="false" customHeight="false" outlineLevel="0" collapsed="false">
      <c r="A1360" s="31"/>
      <c r="B1360" s="32"/>
      <c r="C1360" s="32"/>
      <c r="D1360" s="32"/>
      <c r="E1360" s="32"/>
      <c r="F1360" s="32"/>
      <c r="G1360" s="33"/>
      <c r="H1360" s="33"/>
      <c r="I1360" s="34" t="str">
        <f aca="false">IF($A1360="","",$G1360-$H1360)</f>
        <v/>
      </c>
      <c r="J1360" s="35" t="str">
        <f aca="false">IF($A1360="","",IF(Setup!$B$6=1,YEAR($A1360),YEAR($A1360)+IF(MONTH($A1360)&gt;=Setup!$B$6,1,0)))</f>
        <v/>
      </c>
      <c r="K1360" s="35" t="str">
        <f aca="false">IF($A1360="","",MOD(MONTH($A1360)-Setup!$B$6+12,12)+1)</f>
        <v/>
      </c>
      <c r="L1360" s="36" t="str">
        <f aca="false">IF($A1360="","",TEXT($A1360,"MMM-YY"))</f>
        <v/>
      </c>
      <c r="M1360" s="37" t="str">
        <f aca="false">IF($A1360="","",IF($Q1360=0,"UNMAPPED",INDEX(COA_Mapping!$C$7:$C$256,$Q1360)))</f>
        <v/>
      </c>
      <c r="N1360" s="38" t="str">
        <f aca="false">IF($A1360="","",IF($Q1360=0,"",INDEX(COA_Mapping!$E$7:$E$256,$Q1360)))</f>
        <v/>
      </c>
      <c r="O1360" s="38" t="n">
        <f aca="false">IF($A1360="",1,IF($Q1360=0,1,INDEX(COA_Mapping!$F$7:$F$256,$Q1360)))</f>
        <v>1</v>
      </c>
      <c r="P1360" s="34" t="str">
        <f aca="false">IF($A1360="","",$I1360*$O1360)</f>
        <v/>
      </c>
      <c r="Q1360" s="39" t="n">
        <f aca="false">IF($B1360="",0,IFERROR(MATCH($B1360,COA_Mapping!$A$7:$A$256,0),0))</f>
        <v>0</v>
      </c>
      <c r="R1360" s="39" t="n">
        <f aca="false">IF($A1360="",-1,IF($J1360=Setup!$B$7,1,IF($J1360=Setup!$B$9,0,-1)))</f>
        <v>-1</v>
      </c>
      <c r="S1360" s="35" t="n">
        <f aca="false">IF(OR($A1360="",$Q1360=0,$R1360=-1),0,$Q1360*1000+$R1360*100+$K1360)</f>
        <v>0</v>
      </c>
      <c r="T1360" s="37" t="str">
        <f aca="false">IF($A1360="","",IF($B1360="","NO ACCOUNT",IF($Q1360=0,"UNMAPPED",IF($R1360=-1,"OUTSIDE FY RANGE","OK"))))</f>
        <v/>
      </c>
      <c r="U1360" s="40" t="str">
        <f aca="false">IF($A1360="","",$B1360&amp;"|"&amp;TEXT($A1360,"yyyymmdd")&amp;"|"&amp;TEXT($I1360,"0.00"))</f>
        <v/>
      </c>
      <c r="V1360" s="35" t="str">
        <f aca="false">IF($A1360="","",COUNTIF($U$8:$U$5007,$U1360))</f>
        <v/>
      </c>
    </row>
    <row r="1361" customFormat="false" ht="15" hidden="false" customHeight="false" outlineLevel="0" collapsed="false">
      <c r="A1361" s="31"/>
      <c r="B1361" s="32"/>
      <c r="C1361" s="32"/>
      <c r="D1361" s="32"/>
      <c r="E1361" s="32"/>
      <c r="F1361" s="32"/>
      <c r="G1361" s="33"/>
      <c r="H1361" s="33"/>
      <c r="I1361" s="34" t="str">
        <f aca="false">IF($A1361="","",$G1361-$H1361)</f>
        <v/>
      </c>
      <c r="J1361" s="35" t="str">
        <f aca="false">IF($A1361="","",IF(Setup!$B$6=1,YEAR($A1361),YEAR($A1361)+IF(MONTH($A1361)&gt;=Setup!$B$6,1,0)))</f>
        <v/>
      </c>
      <c r="K1361" s="35" t="str">
        <f aca="false">IF($A1361="","",MOD(MONTH($A1361)-Setup!$B$6+12,12)+1)</f>
        <v/>
      </c>
      <c r="L1361" s="36" t="str">
        <f aca="false">IF($A1361="","",TEXT($A1361,"MMM-YY"))</f>
        <v/>
      </c>
      <c r="M1361" s="37" t="str">
        <f aca="false">IF($A1361="","",IF($Q1361=0,"UNMAPPED",INDEX(COA_Mapping!$C$7:$C$256,$Q1361)))</f>
        <v/>
      </c>
      <c r="N1361" s="38" t="str">
        <f aca="false">IF($A1361="","",IF($Q1361=0,"",INDEX(COA_Mapping!$E$7:$E$256,$Q1361)))</f>
        <v/>
      </c>
      <c r="O1361" s="38" t="n">
        <f aca="false">IF($A1361="",1,IF($Q1361=0,1,INDEX(COA_Mapping!$F$7:$F$256,$Q1361)))</f>
        <v>1</v>
      </c>
      <c r="P1361" s="34" t="str">
        <f aca="false">IF($A1361="","",$I1361*$O1361)</f>
        <v/>
      </c>
      <c r="Q1361" s="39" t="n">
        <f aca="false">IF($B1361="",0,IFERROR(MATCH($B1361,COA_Mapping!$A$7:$A$256,0),0))</f>
        <v>0</v>
      </c>
      <c r="R1361" s="39" t="n">
        <f aca="false">IF($A1361="",-1,IF($J1361=Setup!$B$7,1,IF($J1361=Setup!$B$9,0,-1)))</f>
        <v>-1</v>
      </c>
      <c r="S1361" s="35" t="n">
        <f aca="false">IF(OR($A1361="",$Q1361=0,$R1361=-1),0,$Q1361*1000+$R1361*100+$K1361)</f>
        <v>0</v>
      </c>
      <c r="T1361" s="37" t="str">
        <f aca="false">IF($A1361="","",IF($B1361="","NO ACCOUNT",IF($Q1361=0,"UNMAPPED",IF($R1361=-1,"OUTSIDE FY RANGE","OK"))))</f>
        <v/>
      </c>
      <c r="U1361" s="40" t="str">
        <f aca="false">IF($A1361="","",$B1361&amp;"|"&amp;TEXT($A1361,"yyyymmdd")&amp;"|"&amp;TEXT($I1361,"0.00"))</f>
        <v/>
      </c>
      <c r="V1361" s="35" t="str">
        <f aca="false">IF($A1361="","",COUNTIF($U$8:$U$5007,$U1361))</f>
        <v/>
      </c>
    </row>
    <row r="1362" customFormat="false" ht="15" hidden="false" customHeight="false" outlineLevel="0" collapsed="false">
      <c r="A1362" s="31"/>
      <c r="B1362" s="32"/>
      <c r="C1362" s="32"/>
      <c r="D1362" s="32"/>
      <c r="E1362" s="32"/>
      <c r="F1362" s="32"/>
      <c r="G1362" s="33"/>
      <c r="H1362" s="33"/>
      <c r="I1362" s="34" t="str">
        <f aca="false">IF($A1362="","",$G1362-$H1362)</f>
        <v/>
      </c>
      <c r="J1362" s="35" t="str">
        <f aca="false">IF($A1362="","",IF(Setup!$B$6=1,YEAR($A1362),YEAR($A1362)+IF(MONTH($A1362)&gt;=Setup!$B$6,1,0)))</f>
        <v/>
      </c>
      <c r="K1362" s="35" t="str">
        <f aca="false">IF($A1362="","",MOD(MONTH($A1362)-Setup!$B$6+12,12)+1)</f>
        <v/>
      </c>
      <c r="L1362" s="36" t="str">
        <f aca="false">IF($A1362="","",TEXT($A1362,"MMM-YY"))</f>
        <v/>
      </c>
      <c r="M1362" s="37" t="str">
        <f aca="false">IF($A1362="","",IF($Q1362=0,"UNMAPPED",INDEX(COA_Mapping!$C$7:$C$256,$Q1362)))</f>
        <v/>
      </c>
      <c r="N1362" s="38" t="str">
        <f aca="false">IF($A1362="","",IF($Q1362=0,"",INDEX(COA_Mapping!$E$7:$E$256,$Q1362)))</f>
        <v/>
      </c>
      <c r="O1362" s="38" t="n">
        <f aca="false">IF($A1362="",1,IF($Q1362=0,1,INDEX(COA_Mapping!$F$7:$F$256,$Q1362)))</f>
        <v>1</v>
      </c>
      <c r="P1362" s="34" t="str">
        <f aca="false">IF($A1362="","",$I1362*$O1362)</f>
        <v/>
      </c>
      <c r="Q1362" s="39" t="n">
        <f aca="false">IF($B1362="",0,IFERROR(MATCH($B1362,COA_Mapping!$A$7:$A$256,0),0))</f>
        <v>0</v>
      </c>
      <c r="R1362" s="39" t="n">
        <f aca="false">IF($A1362="",-1,IF($J1362=Setup!$B$7,1,IF($J1362=Setup!$B$9,0,-1)))</f>
        <v>-1</v>
      </c>
      <c r="S1362" s="35" t="n">
        <f aca="false">IF(OR($A1362="",$Q1362=0,$R1362=-1),0,$Q1362*1000+$R1362*100+$K1362)</f>
        <v>0</v>
      </c>
      <c r="T1362" s="37" t="str">
        <f aca="false">IF($A1362="","",IF($B1362="","NO ACCOUNT",IF($Q1362=0,"UNMAPPED",IF($R1362=-1,"OUTSIDE FY RANGE","OK"))))</f>
        <v/>
      </c>
      <c r="U1362" s="40" t="str">
        <f aca="false">IF($A1362="","",$B1362&amp;"|"&amp;TEXT($A1362,"yyyymmdd")&amp;"|"&amp;TEXT($I1362,"0.00"))</f>
        <v/>
      </c>
      <c r="V1362" s="35" t="str">
        <f aca="false">IF($A1362="","",COUNTIF($U$8:$U$5007,$U1362))</f>
        <v/>
      </c>
    </row>
    <row r="1363" customFormat="false" ht="15" hidden="false" customHeight="false" outlineLevel="0" collapsed="false">
      <c r="A1363" s="31"/>
      <c r="B1363" s="32"/>
      <c r="C1363" s="32"/>
      <c r="D1363" s="32"/>
      <c r="E1363" s="32"/>
      <c r="F1363" s="32"/>
      <c r="G1363" s="33"/>
      <c r="H1363" s="33"/>
      <c r="I1363" s="34" t="str">
        <f aca="false">IF($A1363="","",$G1363-$H1363)</f>
        <v/>
      </c>
      <c r="J1363" s="35" t="str">
        <f aca="false">IF($A1363="","",IF(Setup!$B$6=1,YEAR($A1363),YEAR($A1363)+IF(MONTH($A1363)&gt;=Setup!$B$6,1,0)))</f>
        <v/>
      </c>
      <c r="K1363" s="35" t="str">
        <f aca="false">IF($A1363="","",MOD(MONTH($A1363)-Setup!$B$6+12,12)+1)</f>
        <v/>
      </c>
      <c r="L1363" s="36" t="str">
        <f aca="false">IF($A1363="","",TEXT($A1363,"MMM-YY"))</f>
        <v/>
      </c>
      <c r="M1363" s="37" t="str">
        <f aca="false">IF($A1363="","",IF($Q1363=0,"UNMAPPED",INDEX(COA_Mapping!$C$7:$C$256,$Q1363)))</f>
        <v/>
      </c>
      <c r="N1363" s="38" t="str">
        <f aca="false">IF($A1363="","",IF($Q1363=0,"",INDEX(COA_Mapping!$E$7:$E$256,$Q1363)))</f>
        <v/>
      </c>
      <c r="O1363" s="38" t="n">
        <f aca="false">IF($A1363="",1,IF($Q1363=0,1,INDEX(COA_Mapping!$F$7:$F$256,$Q1363)))</f>
        <v>1</v>
      </c>
      <c r="P1363" s="34" t="str">
        <f aca="false">IF($A1363="","",$I1363*$O1363)</f>
        <v/>
      </c>
      <c r="Q1363" s="39" t="n">
        <f aca="false">IF($B1363="",0,IFERROR(MATCH($B1363,COA_Mapping!$A$7:$A$256,0),0))</f>
        <v>0</v>
      </c>
      <c r="R1363" s="39" t="n">
        <f aca="false">IF($A1363="",-1,IF($J1363=Setup!$B$7,1,IF($J1363=Setup!$B$9,0,-1)))</f>
        <v>-1</v>
      </c>
      <c r="S1363" s="35" t="n">
        <f aca="false">IF(OR($A1363="",$Q1363=0,$R1363=-1),0,$Q1363*1000+$R1363*100+$K1363)</f>
        <v>0</v>
      </c>
      <c r="T1363" s="37" t="str">
        <f aca="false">IF($A1363="","",IF($B1363="","NO ACCOUNT",IF($Q1363=0,"UNMAPPED",IF($R1363=-1,"OUTSIDE FY RANGE","OK"))))</f>
        <v/>
      </c>
      <c r="U1363" s="40" t="str">
        <f aca="false">IF($A1363="","",$B1363&amp;"|"&amp;TEXT($A1363,"yyyymmdd")&amp;"|"&amp;TEXT($I1363,"0.00"))</f>
        <v/>
      </c>
      <c r="V1363" s="35" t="str">
        <f aca="false">IF($A1363="","",COUNTIF($U$8:$U$5007,$U1363))</f>
        <v/>
      </c>
    </row>
    <row r="1364" customFormat="false" ht="15" hidden="false" customHeight="false" outlineLevel="0" collapsed="false">
      <c r="A1364" s="31"/>
      <c r="B1364" s="32"/>
      <c r="C1364" s="32"/>
      <c r="D1364" s="32"/>
      <c r="E1364" s="32"/>
      <c r="F1364" s="32"/>
      <c r="G1364" s="33"/>
      <c r="H1364" s="33"/>
      <c r="I1364" s="34" t="str">
        <f aca="false">IF($A1364="","",$G1364-$H1364)</f>
        <v/>
      </c>
      <c r="J1364" s="35" t="str">
        <f aca="false">IF($A1364="","",IF(Setup!$B$6=1,YEAR($A1364),YEAR($A1364)+IF(MONTH($A1364)&gt;=Setup!$B$6,1,0)))</f>
        <v/>
      </c>
      <c r="K1364" s="35" t="str">
        <f aca="false">IF($A1364="","",MOD(MONTH($A1364)-Setup!$B$6+12,12)+1)</f>
        <v/>
      </c>
      <c r="L1364" s="36" t="str">
        <f aca="false">IF($A1364="","",TEXT($A1364,"MMM-YY"))</f>
        <v/>
      </c>
      <c r="M1364" s="37" t="str">
        <f aca="false">IF($A1364="","",IF($Q1364=0,"UNMAPPED",INDEX(COA_Mapping!$C$7:$C$256,$Q1364)))</f>
        <v/>
      </c>
      <c r="N1364" s="38" t="str">
        <f aca="false">IF($A1364="","",IF($Q1364=0,"",INDEX(COA_Mapping!$E$7:$E$256,$Q1364)))</f>
        <v/>
      </c>
      <c r="O1364" s="38" t="n">
        <f aca="false">IF($A1364="",1,IF($Q1364=0,1,INDEX(COA_Mapping!$F$7:$F$256,$Q1364)))</f>
        <v>1</v>
      </c>
      <c r="P1364" s="34" t="str">
        <f aca="false">IF($A1364="","",$I1364*$O1364)</f>
        <v/>
      </c>
      <c r="Q1364" s="39" t="n">
        <f aca="false">IF($B1364="",0,IFERROR(MATCH($B1364,COA_Mapping!$A$7:$A$256,0),0))</f>
        <v>0</v>
      </c>
      <c r="R1364" s="39" t="n">
        <f aca="false">IF($A1364="",-1,IF($J1364=Setup!$B$7,1,IF($J1364=Setup!$B$9,0,-1)))</f>
        <v>-1</v>
      </c>
      <c r="S1364" s="35" t="n">
        <f aca="false">IF(OR($A1364="",$Q1364=0,$R1364=-1),0,$Q1364*1000+$R1364*100+$K1364)</f>
        <v>0</v>
      </c>
      <c r="T1364" s="37" t="str">
        <f aca="false">IF($A1364="","",IF($B1364="","NO ACCOUNT",IF($Q1364=0,"UNMAPPED",IF($R1364=-1,"OUTSIDE FY RANGE","OK"))))</f>
        <v/>
      </c>
      <c r="U1364" s="40" t="str">
        <f aca="false">IF($A1364="","",$B1364&amp;"|"&amp;TEXT($A1364,"yyyymmdd")&amp;"|"&amp;TEXT($I1364,"0.00"))</f>
        <v/>
      </c>
      <c r="V1364" s="35" t="str">
        <f aca="false">IF($A1364="","",COUNTIF($U$8:$U$5007,$U1364))</f>
        <v/>
      </c>
    </row>
    <row r="1365" customFormat="false" ht="15" hidden="false" customHeight="false" outlineLevel="0" collapsed="false">
      <c r="A1365" s="31"/>
      <c r="B1365" s="32"/>
      <c r="C1365" s="32"/>
      <c r="D1365" s="32"/>
      <c r="E1365" s="32"/>
      <c r="F1365" s="32"/>
      <c r="G1365" s="33"/>
      <c r="H1365" s="33"/>
      <c r="I1365" s="34" t="str">
        <f aca="false">IF($A1365="","",$G1365-$H1365)</f>
        <v/>
      </c>
      <c r="J1365" s="35" t="str">
        <f aca="false">IF($A1365="","",IF(Setup!$B$6=1,YEAR($A1365),YEAR($A1365)+IF(MONTH($A1365)&gt;=Setup!$B$6,1,0)))</f>
        <v/>
      </c>
      <c r="K1365" s="35" t="str">
        <f aca="false">IF($A1365="","",MOD(MONTH($A1365)-Setup!$B$6+12,12)+1)</f>
        <v/>
      </c>
      <c r="L1365" s="36" t="str">
        <f aca="false">IF($A1365="","",TEXT($A1365,"MMM-YY"))</f>
        <v/>
      </c>
      <c r="M1365" s="37" t="str">
        <f aca="false">IF($A1365="","",IF($Q1365=0,"UNMAPPED",INDEX(COA_Mapping!$C$7:$C$256,$Q1365)))</f>
        <v/>
      </c>
      <c r="N1365" s="38" t="str">
        <f aca="false">IF($A1365="","",IF($Q1365=0,"",INDEX(COA_Mapping!$E$7:$E$256,$Q1365)))</f>
        <v/>
      </c>
      <c r="O1365" s="38" t="n">
        <f aca="false">IF($A1365="",1,IF($Q1365=0,1,INDEX(COA_Mapping!$F$7:$F$256,$Q1365)))</f>
        <v>1</v>
      </c>
      <c r="P1365" s="34" t="str">
        <f aca="false">IF($A1365="","",$I1365*$O1365)</f>
        <v/>
      </c>
      <c r="Q1365" s="39" t="n">
        <f aca="false">IF($B1365="",0,IFERROR(MATCH($B1365,COA_Mapping!$A$7:$A$256,0),0))</f>
        <v>0</v>
      </c>
      <c r="R1365" s="39" t="n">
        <f aca="false">IF($A1365="",-1,IF($J1365=Setup!$B$7,1,IF($J1365=Setup!$B$9,0,-1)))</f>
        <v>-1</v>
      </c>
      <c r="S1365" s="35" t="n">
        <f aca="false">IF(OR($A1365="",$Q1365=0,$R1365=-1),0,$Q1365*1000+$R1365*100+$K1365)</f>
        <v>0</v>
      </c>
      <c r="T1365" s="37" t="str">
        <f aca="false">IF($A1365="","",IF($B1365="","NO ACCOUNT",IF($Q1365=0,"UNMAPPED",IF($R1365=-1,"OUTSIDE FY RANGE","OK"))))</f>
        <v/>
      </c>
      <c r="U1365" s="40" t="str">
        <f aca="false">IF($A1365="","",$B1365&amp;"|"&amp;TEXT($A1365,"yyyymmdd")&amp;"|"&amp;TEXT($I1365,"0.00"))</f>
        <v/>
      </c>
      <c r="V1365" s="35" t="str">
        <f aca="false">IF($A1365="","",COUNTIF($U$8:$U$5007,$U1365))</f>
        <v/>
      </c>
    </row>
    <row r="1366" customFormat="false" ht="15" hidden="false" customHeight="false" outlineLevel="0" collapsed="false">
      <c r="A1366" s="31"/>
      <c r="B1366" s="32"/>
      <c r="C1366" s="32"/>
      <c r="D1366" s="32"/>
      <c r="E1366" s="32"/>
      <c r="F1366" s="32"/>
      <c r="G1366" s="33"/>
      <c r="H1366" s="33"/>
      <c r="I1366" s="34" t="str">
        <f aca="false">IF($A1366="","",$G1366-$H1366)</f>
        <v/>
      </c>
      <c r="J1366" s="35" t="str">
        <f aca="false">IF($A1366="","",IF(Setup!$B$6=1,YEAR($A1366),YEAR($A1366)+IF(MONTH($A1366)&gt;=Setup!$B$6,1,0)))</f>
        <v/>
      </c>
      <c r="K1366" s="35" t="str">
        <f aca="false">IF($A1366="","",MOD(MONTH($A1366)-Setup!$B$6+12,12)+1)</f>
        <v/>
      </c>
      <c r="L1366" s="36" t="str">
        <f aca="false">IF($A1366="","",TEXT($A1366,"MMM-YY"))</f>
        <v/>
      </c>
      <c r="M1366" s="37" t="str">
        <f aca="false">IF($A1366="","",IF($Q1366=0,"UNMAPPED",INDEX(COA_Mapping!$C$7:$C$256,$Q1366)))</f>
        <v/>
      </c>
      <c r="N1366" s="38" t="str">
        <f aca="false">IF($A1366="","",IF($Q1366=0,"",INDEX(COA_Mapping!$E$7:$E$256,$Q1366)))</f>
        <v/>
      </c>
      <c r="O1366" s="38" t="n">
        <f aca="false">IF($A1366="",1,IF($Q1366=0,1,INDEX(COA_Mapping!$F$7:$F$256,$Q1366)))</f>
        <v>1</v>
      </c>
      <c r="P1366" s="34" t="str">
        <f aca="false">IF($A1366="","",$I1366*$O1366)</f>
        <v/>
      </c>
      <c r="Q1366" s="39" t="n">
        <f aca="false">IF($B1366="",0,IFERROR(MATCH($B1366,COA_Mapping!$A$7:$A$256,0),0))</f>
        <v>0</v>
      </c>
      <c r="R1366" s="39" t="n">
        <f aca="false">IF($A1366="",-1,IF($J1366=Setup!$B$7,1,IF($J1366=Setup!$B$9,0,-1)))</f>
        <v>-1</v>
      </c>
      <c r="S1366" s="35" t="n">
        <f aca="false">IF(OR($A1366="",$Q1366=0,$R1366=-1),0,$Q1366*1000+$R1366*100+$K1366)</f>
        <v>0</v>
      </c>
      <c r="T1366" s="37" t="str">
        <f aca="false">IF($A1366="","",IF($B1366="","NO ACCOUNT",IF($Q1366=0,"UNMAPPED",IF($R1366=-1,"OUTSIDE FY RANGE","OK"))))</f>
        <v/>
      </c>
      <c r="U1366" s="40" t="str">
        <f aca="false">IF($A1366="","",$B1366&amp;"|"&amp;TEXT($A1366,"yyyymmdd")&amp;"|"&amp;TEXT($I1366,"0.00"))</f>
        <v/>
      </c>
      <c r="V1366" s="35" t="str">
        <f aca="false">IF($A1366="","",COUNTIF($U$8:$U$5007,$U1366))</f>
        <v/>
      </c>
    </row>
    <row r="1367" customFormat="false" ht="15" hidden="false" customHeight="false" outlineLevel="0" collapsed="false">
      <c r="A1367" s="31"/>
      <c r="B1367" s="32"/>
      <c r="C1367" s="32"/>
      <c r="D1367" s="32"/>
      <c r="E1367" s="32"/>
      <c r="F1367" s="32"/>
      <c r="G1367" s="33"/>
      <c r="H1367" s="33"/>
      <c r="I1367" s="34" t="str">
        <f aca="false">IF($A1367="","",$G1367-$H1367)</f>
        <v/>
      </c>
      <c r="J1367" s="35" t="str">
        <f aca="false">IF($A1367="","",IF(Setup!$B$6=1,YEAR($A1367),YEAR($A1367)+IF(MONTH($A1367)&gt;=Setup!$B$6,1,0)))</f>
        <v/>
      </c>
      <c r="K1367" s="35" t="str">
        <f aca="false">IF($A1367="","",MOD(MONTH($A1367)-Setup!$B$6+12,12)+1)</f>
        <v/>
      </c>
      <c r="L1367" s="36" t="str">
        <f aca="false">IF($A1367="","",TEXT($A1367,"MMM-YY"))</f>
        <v/>
      </c>
      <c r="M1367" s="37" t="str">
        <f aca="false">IF($A1367="","",IF($Q1367=0,"UNMAPPED",INDEX(COA_Mapping!$C$7:$C$256,$Q1367)))</f>
        <v/>
      </c>
      <c r="N1367" s="38" t="str">
        <f aca="false">IF($A1367="","",IF($Q1367=0,"",INDEX(COA_Mapping!$E$7:$E$256,$Q1367)))</f>
        <v/>
      </c>
      <c r="O1367" s="38" t="n">
        <f aca="false">IF($A1367="",1,IF($Q1367=0,1,INDEX(COA_Mapping!$F$7:$F$256,$Q1367)))</f>
        <v>1</v>
      </c>
      <c r="P1367" s="34" t="str">
        <f aca="false">IF($A1367="","",$I1367*$O1367)</f>
        <v/>
      </c>
      <c r="Q1367" s="39" t="n">
        <f aca="false">IF($B1367="",0,IFERROR(MATCH($B1367,COA_Mapping!$A$7:$A$256,0),0))</f>
        <v>0</v>
      </c>
      <c r="R1367" s="39" t="n">
        <f aca="false">IF($A1367="",-1,IF($J1367=Setup!$B$7,1,IF($J1367=Setup!$B$9,0,-1)))</f>
        <v>-1</v>
      </c>
      <c r="S1367" s="35" t="n">
        <f aca="false">IF(OR($A1367="",$Q1367=0,$R1367=-1),0,$Q1367*1000+$R1367*100+$K1367)</f>
        <v>0</v>
      </c>
      <c r="T1367" s="37" t="str">
        <f aca="false">IF($A1367="","",IF($B1367="","NO ACCOUNT",IF($Q1367=0,"UNMAPPED",IF($R1367=-1,"OUTSIDE FY RANGE","OK"))))</f>
        <v/>
      </c>
      <c r="U1367" s="40" t="str">
        <f aca="false">IF($A1367="","",$B1367&amp;"|"&amp;TEXT($A1367,"yyyymmdd")&amp;"|"&amp;TEXT($I1367,"0.00"))</f>
        <v/>
      </c>
      <c r="V1367" s="35" t="str">
        <f aca="false">IF($A1367="","",COUNTIF($U$8:$U$5007,$U1367))</f>
        <v/>
      </c>
    </row>
    <row r="1368" customFormat="false" ht="15" hidden="false" customHeight="false" outlineLevel="0" collapsed="false">
      <c r="A1368" s="31"/>
      <c r="B1368" s="32"/>
      <c r="C1368" s="32"/>
      <c r="D1368" s="32"/>
      <c r="E1368" s="32"/>
      <c r="F1368" s="32"/>
      <c r="G1368" s="33"/>
      <c r="H1368" s="33"/>
      <c r="I1368" s="34" t="str">
        <f aca="false">IF($A1368="","",$G1368-$H1368)</f>
        <v/>
      </c>
      <c r="J1368" s="35" t="str">
        <f aca="false">IF($A1368="","",IF(Setup!$B$6=1,YEAR($A1368),YEAR($A1368)+IF(MONTH($A1368)&gt;=Setup!$B$6,1,0)))</f>
        <v/>
      </c>
      <c r="K1368" s="35" t="str">
        <f aca="false">IF($A1368="","",MOD(MONTH($A1368)-Setup!$B$6+12,12)+1)</f>
        <v/>
      </c>
      <c r="L1368" s="36" t="str">
        <f aca="false">IF($A1368="","",TEXT($A1368,"MMM-YY"))</f>
        <v/>
      </c>
      <c r="M1368" s="37" t="str">
        <f aca="false">IF($A1368="","",IF($Q1368=0,"UNMAPPED",INDEX(COA_Mapping!$C$7:$C$256,$Q1368)))</f>
        <v/>
      </c>
      <c r="N1368" s="38" t="str">
        <f aca="false">IF($A1368="","",IF($Q1368=0,"",INDEX(COA_Mapping!$E$7:$E$256,$Q1368)))</f>
        <v/>
      </c>
      <c r="O1368" s="38" t="n">
        <f aca="false">IF($A1368="",1,IF($Q1368=0,1,INDEX(COA_Mapping!$F$7:$F$256,$Q1368)))</f>
        <v>1</v>
      </c>
      <c r="P1368" s="34" t="str">
        <f aca="false">IF($A1368="","",$I1368*$O1368)</f>
        <v/>
      </c>
      <c r="Q1368" s="39" t="n">
        <f aca="false">IF($B1368="",0,IFERROR(MATCH($B1368,COA_Mapping!$A$7:$A$256,0),0))</f>
        <v>0</v>
      </c>
      <c r="R1368" s="39" t="n">
        <f aca="false">IF($A1368="",-1,IF($J1368=Setup!$B$7,1,IF($J1368=Setup!$B$9,0,-1)))</f>
        <v>-1</v>
      </c>
      <c r="S1368" s="35" t="n">
        <f aca="false">IF(OR($A1368="",$Q1368=0,$R1368=-1),0,$Q1368*1000+$R1368*100+$K1368)</f>
        <v>0</v>
      </c>
      <c r="T1368" s="37" t="str">
        <f aca="false">IF($A1368="","",IF($B1368="","NO ACCOUNT",IF($Q1368=0,"UNMAPPED",IF($R1368=-1,"OUTSIDE FY RANGE","OK"))))</f>
        <v/>
      </c>
      <c r="U1368" s="40" t="str">
        <f aca="false">IF($A1368="","",$B1368&amp;"|"&amp;TEXT($A1368,"yyyymmdd")&amp;"|"&amp;TEXT($I1368,"0.00"))</f>
        <v/>
      </c>
      <c r="V1368" s="35" t="str">
        <f aca="false">IF($A1368="","",COUNTIF($U$8:$U$5007,$U1368))</f>
        <v/>
      </c>
    </row>
    <row r="1369" customFormat="false" ht="15" hidden="false" customHeight="false" outlineLevel="0" collapsed="false">
      <c r="A1369" s="31"/>
      <c r="B1369" s="32"/>
      <c r="C1369" s="32"/>
      <c r="D1369" s="32"/>
      <c r="E1369" s="32"/>
      <c r="F1369" s="32"/>
      <c r="G1369" s="33"/>
      <c r="H1369" s="33"/>
      <c r="I1369" s="34" t="str">
        <f aca="false">IF($A1369="","",$G1369-$H1369)</f>
        <v/>
      </c>
      <c r="J1369" s="35" t="str">
        <f aca="false">IF($A1369="","",IF(Setup!$B$6=1,YEAR($A1369),YEAR($A1369)+IF(MONTH($A1369)&gt;=Setup!$B$6,1,0)))</f>
        <v/>
      </c>
      <c r="K1369" s="35" t="str">
        <f aca="false">IF($A1369="","",MOD(MONTH($A1369)-Setup!$B$6+12,12)+1)</f>
        <v/>
      </c>
      <c r="L1369" s="36" t="str">
        <f aca="false">IF($A1369="","",TEXT($A1369,"MMM-YY"))</f>
        <v/>
      </c>
      <c r="M1369" s="37" t="str">
        <f aca="false">IF($A1369="","",IF($Q1369=0,"UNMAPPED",INDEX(COA_Mapping!$C$7:$C$256,$Q1369)))</f>
        <v/>
      </c>
      <c r="N1369" s="38" t="str">
        <f aca="false">IF($A1369="","",IF($Q1369=0,"",INDEX(COA_Mapping!$E$7:$E$256,$Q1369)))</f>
        <v/>
      </c>
      <c r="O1369" s="38" t="n">
        <f aca="false">IF($A1369="",1,IF($Q1369=0,1,INDEX(COA_Mapping!$F$7:$F$256,$Q1369)))</f>
        <v>1</v>
      </c>
      <c r="P1369" s="34" t="str">
        <f aca="false">IF($A1369="","",$I1369*$O1369)</f>
        <v/>
      </c>
      <c r="Q1369" s="39" t="n">
        <f aca="false">IF($B1369="",0,IFERROR(MATCH($B1369,COA_Mapping!$A$7:$A$256,0),0))</f>
        <v>0</v>
      </c>
      <c r="R1369" s="39" t="n">
        <f aca="false">IF($A1369="",-1,IF($J1369=Setup!$B$7,1,IF($J1369=Setup!$B$9,0,-1)))</f>
        <v>-1</v>
      </c>
      <c r="S1369" s="35" t="n">
        <f aca="false">IF(OR($A1369="",$Q1369=0,$R1369=-1),0,$Q1369*1000+$R1369*100+$K1369)</f>
        <v>0</v>
      </c>
      <c r="T1369" s="37" t="str">
        <f aca="false">IF($A1369="","",IF($B1369="","NO ACCOUNT",IF($Q1369=0,"UNMAPPED",IF($R1369=-1,"OUTSIDE FY RANGE","OK"))))</f>
        <v/>
      </c>
      <c r="U1369" s="40" t="str">
        <f aca="false">IF($A1369="","",$B1369&amp;"|"&amp;TEXT($A1369,"yyyymmdd")&amp;"|"&amp;TEXT($I1369,"0.00"))</f>
        <v/>
      </c>
      <c r="V1369" s="35" t="str">
        <f aca="false">IF($A1369="","",COUNTIF($U$8:$U$5007,$U1369))</f>
        <v/>
      </c>
    </row>
    <row r="1370" customFormat="false" ht="15" hidden="false" customHeight="false" outlineLevel="0" collapsed="false">
      <c r="A1370" s="31"/>
      <c r="B1370" s="32"/>
      <c r="C1370" s="32"/>
      <c r="D1370" s="32"/>
      <c r="E1370" s="32"/>
      <c r="F1370" s="32"/>
      <c r="G1370" s="33"/>
      <c r="H1370" s="33"/>
      <c r="I1370" s="34" t="str">
        <f aca="false">IF($A1370="","",$G1370-$H1370)</f>
        <v/>
      </c>
      <c r="J1370" s="35" t="str">
        <f aca="false">IF($A1370="","",IF(Setup!$B$6=1,YEAR($A1370),YEAR($A1370)+IF(MONTH($A1370)&gt;=Setup!$B$6,1,0)))</f>
        <v/>
      </c>
      <c r="K1370" s="35" t="str">
        <f aca="false">IF($A1370="","",MOD(MONTH($A1370)-Setup!$B$6+12,12)+1)</f>
        <v/>
      </c>
      <c r="L1370" s="36" t="str">
        <f aca="false">IF($A1370="","",TEXT($A1370,"MMM-YY"))</f>
        <v/>
      </c>
      <c r="M1370" s="37" t="str">
        <f aca="false">IF($A1370="","",IF($Q1370=0,"UNMAPPED",INDEX(COA_Mapping!$C$7:$C$256,$Q1370)))</f>
        <v/>
      </c>
      <c r="N1370" s="38" t="str">
        <f aca="false">IF($A1370="","",IF($Q1370=0,"",INDEX(COA_Mapping!$E$7:$E$256,$Q1370)))</f>
        <v/>
      </c>
      <c r="O1370" s="38" t="n">
        <f aca="false">IF($A1370="",1,IF($Q1370=0,1,INDEX(COA_Mapping!$F$7:$F$256,$Q1370)))</f>
        <v>1</v>
      </c>
      <c r="P1370" s="34" t="str">
        <f aca="false">IF($A1370="","",$I1370*$O1370)</f>
        <v/>
      </c>
      <c r="Q1370" s="39" t="n">
        <f aca="false">IF($B1370="",0,IFERROR(MATCH($B1370,COA_Mapping!$A$7:$A$256,0),0))</f>
        <v>0</v>
      </c>
      <c r="R1370" s="39" t="n">
        <f aca="false">IF($A1370="",-1,IF($J1370=Setup!$B$7,1,IF($J1370=Setup!$B$9,0,-1)))</f>
        <v>-1</v>
      </c>
      <c r="S1370" s="35" t="n">
        <f aca="false">IF(OR($A1370="",$Q1370=0,$R1370=-1),0,$Q1370*1000+$R1370*100+$K1370)</f>
        <v>0</v>
      </c>
      <c r="T1370" s="37" t="str">
        <f aca="false">IF($A1370="","",IF($B1370="","NO ACCOUNT",IF($Q1370=0,"UNMAPPED",IF($R1370=-1,"OUTSIDE FY RANGE","OK"))))</f>
        <v/>
      </c>
      <c r="U1370" s="40" t="str">
        <f aca="false">IF($A1370="","",$B1370&amp;"|"&amp;TEXT($A1370,"yyyymmdd")&amp;"|"&amp;TEXT($I1370,"0.00"))</f>
        <v/>
      </c>
      <c r="V1370" s="35" t="str">
        <f aca="false">IF($A1370="","",COUNTIF($U$8:$U$5007,$U1370))</f>
        <v/>
      </c>
    </row>
    <row r="1371" customFormat="false" ht="15" hidden="false" customHeight="false" outlineLevel="0" collapsed="false">
      <c r="A1371" s="31"/>
      <c r="B1371" s="32"/>
      <c r="C1371" s="32"/>
      <c r="D1371" s="32"/>
      <c r="E1371" s="32"/>
      <c r="F1371" s="32"/>
      <c r="G1371" s="33"/>
      <c r="H1371" s="33"/>
      <c r="I1371" s="34" t="str">
        <f aca="false">IF($A1371="","",$G1371-$H1371)</f>
        <v/>
      </c>
      <c r="J1371" s="35" t="str">
        <f aca="false">IF($A1371="","",IF(Setup!$B$6=1,YEAR($A1371),YEAR($A1371)+IF(MONTH($A1371)&gt;=Setup!$B$6,1,0)))</f>
        <v/>
      </c>
      <c r="K1371" s="35" t="str">
        <f aca="false">IF($A1371="","",MOD(MONTH($A1371)-Setup!$B$6+12,12)+1)</f>
        <v/>
      </c>
      <c r="L1371" s="36" t="str">
        <f aca="false">IF($A1371="","",TEXT($A1371,"MMM-YY"))</f>
        <v/>
      </c>
      <c r="M1371" s="37" t="str">
        <f aca="false">IF($A1371="","",IF($Q1371=0,"UNMAPPED",INDEX(COA_Mapping!$C$7:$C$256,$Q1371)))</f>
        <v/>
      </c>
      <c r="N1371" s="38" t="str">
        <f aca="false">IF($A1371="","",IF($Q1371=0,"",INDEX(COA_Mapping!$E$7:$E$256,$Q1371)))</f>
        <v/>
      </c>
      <c r="O1371" s="38" t="n">
        <f aca="false">IF($A1371="",1,IF($Q1371=0,1,INDEX(COA_Mapping!$F$7:$F$256,$Q1371)))</f>
        <v>1</v>
      </c>
      <c r="P1371" s="34" t="str">
        <f aca="false">IF($A1371="","",$I1371*$O1371)</f>
        <v/>
      </c>
      <c r="Q1371" s="39" t="n">
        <f aca="false">IF($B1371="",0,IFERROR(MATCH($B1371,COA_Mapping!$A$7:$A$256,0),0))</f>
        <v>0</v>
      </c>
      <c r="R1371" s="39" t="n">
        <f aca="false">IF($A1371="",-1,IF($J1371=Setup!$B$7,1,IF($J1371=Setup!$B$9,0,-1)))</f>
        <v>-1</v>
      </c>
      <c r="S1371" s="35" t="n">
        <f aca="false">IF(OR($A1371="",$Q1371=0,$R1371=-1),0,$Q1371*1000+$R1371*100+$K1371)</f>
        <v>0</v>
      </c>
      <c r="T1371" s="37" t="str">
        <f aca="false">IF($A1371="","",IF($B1371="","NO ACCOUNT",IF($Q1371=0,"UNMAPPED",IF($R1371=-1,"OUTSIDE FY RANGE","OK"))))</f>
        <v/>
      </c>
      <c r="U1371" s="40" t="str">
        <f aca="false">IF($A1371="","",$B1371&amp;"|"&amp;TEXT($A1371,"yyyymmdd")&amp;"|"&amp;TEXT($I1371,"0.00"))</f>
        <v/>
      </c>
      <c r="V1371" s="35" t="str">
        <f aca="false">IF($A1371="","",COUNTIF($U$8:$U$5007,$U1371))</f>
        <v/>
      </c>
    </row>
    <row r="1372" customFormat="false" ht="15" hidden="false" customHeight="false" outlineLevel="0" collapsed="false">
      <c r="A1372" s="31"/>
      <c r="B1372" s="32"/>
      <c r="C1372" s="32"/>
      <c r="D1372" s="32"/>
      <c r="E1372" s="32"/>
      <c r="F1372" s="32"/>
      <c r="G1372" s="33"/>
      <c r="H1372" s="33"/>
      <c r="I1372" s="34" t="str">
        <f aca="false">IF($A1372="","",$G1372-$H1372)</f>
        <v/>
      </c>
      <c r="J1372" s="35" t="str">
        <f aca="false">IF($A1372="","",IF(Setup!$B$6=1,YEAR($A1372),YEAR($A1372)+IF(MONTH($A1372)&gt;=Setup!$B$6,1,0)))</f>
        <v/>
      </c>
      <c r="K1372" s="35" t="str">
        <f aca="false">IF($A1372="","",MOD(MONTH($A1372)-Setup!$B$6+12,12)+1)</f>
        <v/>
      </c>
      <c r="L1372" s="36" t="str">
        <f aca="false">IF($A1372="","",TEXT($A1372,"MMM-YY"))</f>
        <v/>
      </c>
      <c r="M1372" s="37" t="str">
        <f aca="false">IF($A1372="","",IF($Q1372=0,"UNMAPPED",INDEX(COA_Mapping!$C$7:$C$256,$Q1372)))</f>
        <v/>
      </c>
      <c r="N1372" s="38" t="str">
        <f aca="false">IF($A1372="","",IF($Q1372=0,"",INDEX(COA_Mapping!$E$7:$E$256,$Q1372)))</f>
        <v/>
      </c>
      <c r="O1372" s="38" t="n">
        <f aca="false">IF($A1372="",1,IF($Q1372=0,1,INDEX(COA_Mapping!$F$7:$F$256,$Q1372)))</f>
        <v>1</v>
      </c>
      <c r="P1372" s="34" t="str">
        <f aca="false">IF($A1372="","",$I1372*$O1372)</f>
        <v/>
      </c>
      <c r="Q1372" s="39" t="n">
        <f aca="false">IF($B1372="",0,IFERROR(MATCH($B1372,COA_Mapping!$A$7:$A$256,0),0))</f>
        <v>0</v>
      </c>
      <c r="R1372" s="39" t="n">
        <f aca="false">IF($A1372="",-1,IF($J1372=Setup!$B$7,1,IF($J1372=Setup!$B$9,0,-1)))</f>
        <v>-1</v>
      </c>
      <c r="S1372" s="35" t="n">
        <f aca="false">IF(OR($A1372="",$Q1372=0,$R1372=-1),0,$Q1372*1000+$R1372*100+$K1372)</f>
        <v>0</v>
      </c>
      <c r="T1372" s="37" t="str">
        <f aca="false">IF($A1372="","",IF($B1372="","NO ACCOUNT",IF($Q1372=0,"UNMAPPED",IF($R1372=-1,"OUTSIDE FY RANGE","OK"))))</f>
        <v/>
      </c>
      <c r="U1372" s="40" t="str">
        <f aca="false">IF($A1372="","",$B1372&amp;"|"&amp;TEXT($A1372,"yyyymmdd")&amp;"|"&amp;TEXT($I1372,"0.00"))</f>
        <v/>
      </c>
      <c r="V1372" s="35" t="str">
        <f aca="false">IF($A1372="","",COUNTIF($U$8:$U$5007,$U1372))</f>
        <v/>
      </c>
    </row>
    <row r="1373" customFormat="false" ht="15" hidden="false" customHeight="false" outlineLevel="0" collapsed="false">
      <c r="A1373" s="31"/>
      <c r="B1373" s="32"/>
      <c r="C1373" s="32"/>
      <c r="D1373" s="32"/>
      <c r="E1373" s="32"/>
      <c r="F1373" s="32"/>
      <c r="G1373" s="33"/>
      <c r="H1373" s="33"/>
      <c r="I1373" s="34" t="str">
        <f aca="false">IF($A1373="","",$G1373-$H1373)</f>
        <v/>
      </c>
      <c r="J1373" s="35" t="str">
        <f aca="false">IF($A1373="","",IF(Setup!$B$6=1,YEAR($A1373),YEAR($A1373)+IF(MONTH($A1373)&gt;=Setup!$B$6,1,0)))</f>
        <v/>
      </c>
      <c r="K1373" s="35" t="str">
        <f aca="false">IF($A1373="","",MOD(MONTH($A1373)-Setup!$B$6+12,12)+1)</f>
        <v/>
      </c>
      <c r="L1373" s="36" t="str">
        <f aca="false">IF($A1373="","",TEXT($A1373,"MMM-YY"))</f>
        <v/>
      </c>
      <c r="M1373" s="37" t="str">
        <f aca="false">IF($A1373="","",IF($Q1373=0,"UNMAPPED",INDEX(COA_Mapping!$C$7:$C$256,$Q1373)))</f>
        <v/>
      </c>
      <c r="N1373" s="38" t="str">
        <f aca="false">IF($A1373="","",IF($Q1373=0,"",INDEX(COA_Mapping!$E$7:$E$256,$Q1373)))</f>
        <v/>
      </c>
      <c r="O1373" s="38" t="n">
        <f aca="false">IF($A1373="",1,IF($Q1373=0,1,INDEX(COA_Mapping!$F$7:$F$256,$Q1373)))</f>
        <v>1</v>
      </c>
      <c r="P1373" s="34" t="str">
        <f aca="false">IF($A1373="","",$I1373*$O1373)</f>
        <v/>
      </c>
      <c r="Q1373" s="39" t="n">
        <f aca="false">IF($B1373="",0,IFERROR(MATCH($B1373,COA_Mapping!$A$7:$A$256,0),0))</f>
        <v>0</v>
      </c>
      <c r="R1373" s="39" t="n">
        <f aca="false">IF($A1373="",-1,IF($J1373=Setup!$B$7,1,IF($J1373=Setup!$B$9,0,-1)))</f>
        <v>-1</v>
      </c>
      <c r="S1373" s="35" t="n">
        <f aca="false">IF(OR($A1373="",$Q1373=0,$R1373=-1),0,$Q1373*1000+$R1373*100+$K1373)</f>
        <v>0</v>
      </c>
      <c r="T1373" s="37" t="str">
        <f aca="false">IF($A1373="","",IF($B1373="","NO ACCOUNT",IF($Q1373=0,"UNMAPPED",IF($R1373=-1,"OUTSIDE FY RANGE","OK"))))</f>
        <v/>
      </c>
      <c r="U1373" s="40" t="str">
        <f aca="false">IF($A1373="","",$B1373&amp;"|"&amp;TEXT($A1373,"yyyymmdd")&amp;"|"&amp;TEXT($I1373,"0.00"))</f>
        <v/>
      </c>
      <c r="V1373" s="35" t="str">
        <f aca="false">IF($A1373="","",COUNTIF($U$8:$U$5007,$U1373))</f>
        <v/>
      </c>
    </row>
    <row r="1374" customFormat="false" ht="15" hidden="false" customHeight="false" outlineLevel="0" collapsed="false">
      <c r="A1374" s="31"/>
      <c r="B1374" s="32"/>
      <c r="C1374" s="32"/>
      <c r="D1374" s="32"/>
      <c r="E1374" s="32"/>
      <c r="F1374" s="32"/>
      <c r="G1374" s="33"/>
      <c r="H1374" s="33"/>
      <c r="I1374" s="34" t="str">
        <f aca="false">IF($A1374="","",$G1374-$H1374)</f>
        <v/>
      </c>
      <c r="J1374" s="35" t="str">
        <f aca="false">IF($A1374="","",IF(Setup!$B$6=1,YEAR($A1374),YEAR($A1374)+IF(MONTH($A1374)&gt;=Setup!$B$6,1,0)))</f>
        <v/>
      </c>
      <c r="K1374" s="35" t="str">
        <f aca="false">IF($A1374="","",MOD(MONTH($A1374)-Setup!$B$6+12,12)+1)</f>
        <v/>
      </c>
      <c r="L1374" s="36" t="str">
        <f aca="false">IF($A1374="","",TEXT($A1374,"MMM-YY"))</f>
        <v/>
      </c>
      <c r="M1374" s="37" t="str">
        <f aca="false">IF($A1374="","",IF($Q1374=0,"UNMAPPED",INDEX(COA_Mapping!$C$7:$C$256,$Q1374)))</f>
        <v/>
      </c>
      <c r="N1374" s="38" t="str">
        <f aca="false">IF($A1374="","",IF($Q1374=0,"",INDEX(COA_Mapping!$E$7:$E$256,$Q1374)))</f>
        <v/>
      </c>
      <c r="O1374" s="38" t="n">
        <f aca="false">IF($A1374="",1,IF($Q1374=0,1,INDEX(COA_Mapping!$F$7:$F$256,$Q1374)))</f>
        <v>1</v>
      </c>
      <c r="P1374" s="34" t="str">
        <f aca="false">IF($A1374="","",$I1374*$O1374)</f>
        <v/>
      </c>
      <c r="Q1374" s="39" t="n">
        <f aca="false">IF($B1374="",0,IFERROR(MATCH($B1374,COA_Mapping!$A$7:$A$256,0),0))</f>
        <v>0</v>
      </c>
      <c r="R1374" s="39" t="n">
        <f aca="false">IF($A1374="",-1,IF($J1374=Setup!$B$7,1,IF($J1374=Setup!$B$9,0,-1)))</f>
        <v>-1</v>
      </c>
      <c r="S1374" s="35" t="n">
        <f aca="false">IF(OR($A1374="",$Q1374=0,$R1374=-1),0,$Q1374*1000+$R1374*100+$K1374)</f>
        <v>0</v>
      </c>
      <c r="T1374" s="37" t="str">
        <f aca="false">IF($A1374="","",IF($B1374="","NO ACCOUNT",IF($Q1374=0,"UNMAPPED",IF($R1374=-1,"OUTSIDE FY RANGE","OK"))))</f>
        <v/>
      </c>
      <c r="U1374" s="40" t="str">
        <f aca="false">IF($A1374="","",$B1374&amp;"|"&amp;TEXT($A1374,"yyyymmdd")&amp;"|"&amp;TEXT($I1374,"0.00"))</f>
        <v/>
      </c>
      <c r="V1374" s="35" t="str">
        <f aca="false">IF($A1374="","",COUNTIF($U$8:$U$5007,$U1374))</f>
        <v/>
      </c>
    </row>
    <row r="1375" customFormat="false" ht="15" hidden="false" customHeight="false" outlineLevel="0" collapsed="false">
      <c r="A1375" s="31"/>
      <c r="B1375" s="32"/>
      <c r="C1375" s="32"/>
      <c r="D1375" s="32"/>
      <c r="E1375" s="32"/>
      <c r="F1375" s="32"/>
      <c r="G1375" s="33"/>
      <c r="H1375" s="33"/>
      <c r="I1375" s="34" t="str">
        <f aca="false">IF($A1375="","",$G1375-$H1375)</f>
        <v/>
      </c>
      <c r="J1375" s="35" t="str">
        <f aca="false">IF($A1375="","",IF(Setup!$B$6=1,YEAR($A1375),YEAR($A1375)+IF(MONTH($A1375)&gt;=Setup!$B$6,1,0)))</f>
        <v/>
      </c>
      <c r="K1375" s="35" t="str">
        <f aca="false">IF($A1375="","",MOD(MONTH($A1375)-Setup!$B$6+12,12)+1)</f>
        <v/>
      </c>
      <c r="L1375" s="36" t="str">
        <f aca="false">IF($A1375="","",TEXT($A1375,"MMM-YY"))</f>
        <v/>
      </c>
      <c r="M1375" s="37" t="str">
        <f aca="false">IF($A1375="","",IF($Q1375=0,"UNMAPPED",INDEX(COA_Mapping!$C$7:$C$256,$Q1375)))</f>
        <v/>
      </c>
      <c r="N1375" s="38" t="str">
        <f aca="false">IF($A1375="","",IF($Q1375=0,"",INDEX(COA_Mapping!$E$7:$E$256,$Q1375)))</f>
        <v/>
      </c>
      <c r="O1375" s="38" t="n">
        <f aca="false">IF($A1375="",1,IF($Q1375=0,1,INDEX(COA_Mapping!$F$7:$F$256,$Q1375)))</f>
        <v>1</v>
      </c>
      <c r="P1375" s="34" t="str">
        <f aca="false">IF($A1375="","",$I1375*$O1375)</f>
        <v/>
      </c>
      <c r="Q1375" s="39" t="n">
        <f aca="false">IF($B1375="",0,IFERROR(MATCH($B1375,COA_Mapping!$A$7:$A$256,0),0))</f>
        <v>0</v>
      </c>
      <c r="R1375" s="39" t="n">
        <f aca="false">IF($A1375="",-1,IF($J1375=Setup!$B$7,1,IF($J1375=Setup!$B$9,0,-1)))</f>
        <v>-1</v>
      </c>
      <c r="S1375" s="35" t="n">
        <f aca="false">IF(OR($A1375="",$Q1375=0,$R1375=-1),0,$Q1375*1000+$R1375*100+$K1375)</f>
        <v>0</v>
      </c>
      <c r="T1375" s="37" t="str">
        <f aca="false">IF($A1375="","",IF($B1375="","NO ACCOUNT",IF($Q1375=0,"UNMAPPED",IF($R1375=-1,"OUTSIDE FY RANGE","OK"))))</f>
        <v/>
      </c>
      <c r="U1375" s="40" t="str">
        <f aca="false">IF($A1375="","",$B1375&amp;"|"&amp;TEXT($A1375,"yyyymmdd")&amp;"|"&amp;TEXT($I1375,"0.00"))</f>
        <v/>
      </c>
      <c r="V1375" s="35" t="str">
        <f aca="false">IF($A1375="","",COUNTIF($U$8:$U$5007,$U1375))</f>
        <v/>
      </c>
    </row>
    <row r="1376" customFormat="false" ht="15" hidden="false" customHeight="false" outlineLevel="0" collapsed="false">
      <c r="A1376" s="31"/>
      <c r="B1376" s="32"/>
      <c r="C1376" s="32"/>
      <c r="D1376" s="32"/>
      <c r="E1376" s="32"/>
      <c r="F1376" s="32"/>
      <c r="G1376" s="33"/>
      <c r="H1376" s="33"/>
      <c r="I1376" s="34" t="str">
        <f aca="false">IF($A1376="","",$G1376-$H1376)</f>
        <v/>
      </c>
      <c r="J1376" s="35" t="str">
        <f aca="false">IF($A1376="","",IF(Setup!$B$6=1,YEAR($A1376),YEAR($A1376)+IF(MONTH($A1376)&gt;=Setup!$B$6,1,0)))</f>
        <v/>
      </c>
      <c r="K1376" s="35" t="str">
        <f aca="false">IF($A1376="","",MOD(MONTH($A1376)-Setup!$B$6+12,12)+1)</f>
        <v/>
      </c>
      <c r="L1376" s="36" t="str">
        <f aca="false">IF($A1376="","",TEXT($A1376,"MMM-YY"))</f>
        <v/>
      </c>
      <c r="M1376" s="37" t="str">
        <f aca="false">IF($A1376="","",IF($Q1376=0,"UNMAPPED",INDEX(COA_Mapping!$C$7:$C$256,$Q1376)))</f>
        <v/>
      </c>
      <c r="N1376" s="38" t="str">
        <f aca="false">IF($A1376="","",IF($Q1376=0,"",INDEX(COA_Mapping!$E$7:$E$256,$Q1376)))</f>
        <v/>
      </c>
      <c r="O1376" s="38" t="n">
        <f aca="false">IF($A1376="",1,IF($Q1376=0,1,INDEX(COA_Mapping!$F$7:$F$256,$Q1376)))</f>
        <v>1</v>
      </c>
      <c r="P1376" s="34" t="str">
        <f aca="false">IF($A1376="","",$I1376*$O1376)</f>
        <v/>
      </c>
      <c r="Q1376" s="39" t="n">
        <f aca="false">IF($B1376="",0,IFERROR(MATCH($B1376,COA_Mapping!$A$7:$A$256,0),0))</f>
        <v>0</v>
      </c>
      <c r="R1376" s="39" t="n">
        <f aca="false">IF($A1376="",-1,IF($J1376=Setup!$B$7,1,IF($J1376=Setup!$B$9,0,-1)))</f>
        <v>-1</v>
      </c>
      <c r="S1376" s="35" t="n">
        <f aca="false">IF(OR($A1376="",$Q1376=0,$R1376=-1),0,$Q1376*1000+$R1376*100+$K1376)</f>
        <v>0</v>
      </c>
      <c r="T1376" s="37" t="str">
        <f aca="false">IF($A1376="","",IF($B1376="","NO ACCOUNT",IF($Q1376=0,"UNMAPPED",IF($R1376=-1,"OUTSIDE FY RANGE","OK"))))</f>
        <v/>
      </c>
      <c r="U1376" s="40" t="str">
        <f aca="false">IF($A1376="","",$B1376&amp;"|"&amp;TEXT($A1376,"yyyymmdd")&amp;"|"&amp;TEXT($I1376,"0.00"))</f>
        <v/>
      </c>
      <c r="V1376" s="35" t="str">
        <f aca="false">IF($A1376="","",COUNTIF($U$8:$U$5007,$U1376))</f>
        <v/>
      </c>
    </row>
    <row r="1377" customFormat="false" ht="15" hidden="false" customHeight="false" outlineLevel="0" collapsed="false">
      <c r="A1377" s="31"/>
      <c r="B1377" s="32"/>
      <c r="C1377" s="32"/>
      <c r="D1377" s="32"/>
      <c r="E1377" s="32"/>
      <c r="F1377" s="32"/>
      <c r="G1377" s="33"/>
      <c r="H1377" s="33"/>
      <c r="I1377" s="34" t="str">
        <f aca="false">IF($A1377="","",$G1377-$H1377)</f>
        <v/>
      </c>
      <c r="J1377" s="35" t="str">
        <f aca="false">IF($A1377="","",IF(Setup!$B$6=1,YEAR($A1377),YEAR($A1377)+IF(MONTH($A1377)&gt;=Setup!$B$6,1,0)))</f>
        <v/>
      </c>
      <c r="K1377" s="35" t="str">
        <f aca="false">IF($A1377="","",MOD(MONTH($A1377)-Setup!$B$6+12,12)+1)</f>
        <v/>
      </c>
      <c r="L1377" s="36" t="str">
        <f aca="false">IF($A1377="","",TEXT($A1377,"MMM-YY"))</f>
        <v/>
      </c>
      <c r="M1377" s="37" t="str">
        <f aca="false">IF($A1377="","",IF($Q1377=0,"UNMAPPED",INDEX(COA_Mapping!$C$7:$C$256,$Q1377)))</f>
        <v/>
      </c>
      <c r="N1377" s="38" t="str">
        <f aca="false">IF($A1377="","",IF($Q1377=0,"",INDEX(COA_Mapping!$E$7:$E$256,$Q1377)))</f>
        <v/>
      </c>
      <c r="O1377" s="38" t="n">
        <f aca="false">IF($A1377="",1,IF($Q1377=0,1,INDEX(COA_Mapping!$F$7:$F$256,$Q1377)))</f>
        <v>1</v>
      </c>
      <c r="P1377" s="34" t="str">
        <f aca="false">IF($A1377="","",$I1377*$O1377)</f>
        <v/>
      </c>
      <c r="Q1377" s="39" t="n">
        <f aca="false">IF($B1377="",0,IFERROR(MATCH($B1377,COA_Mapping!$A$7:$A$256,0),0))</f>
        <v>0</v>
      </c>
      <c r="R1377" s="39" t="n">
        <f aca="false">IF($A1377="",-1,IF($J1377=Setup!$B$7,1,IF($J1377=Setup!$B$9,0,-1)))</f>
        <v>-1</v>
      </c>
      <c r="S1377" s="35" t="n">
        <f aca="false">IF(OR($A1377="",$Q1377=0,$R1377=-1),0,$Q1377*1000+$R1377*100+$K1377)</f>
        <v>0</v>
      </c>
      <c r="T1377" s="37" t="str">
        <f aca="false">IF($A1377="","",IF($B1377="","NO ACCOUNT",IF($Q1377=0,"UNMAPPED",IF($R1377=-1,"OUTSIDE FY RANGE","OK"))))</f>
        <v/>
      </c>
      <c r="U1377" s="40" t="str">
        <f aca="false">IF($A1377="","",$B1377&amp;"|"&amp;TEXT($A1377,"yyyymmdd")&amp;"|"&amp;TEXT($I1377,"0.00"))</f>
        <v/>
      </c>
      <c r="V1377" s="35" t="str">
        <f aca="false">IF($A1377="","",COUNTIF($U$8:$U$5007,$U1377))</f>
        <v/>
      </c>
    </row>
    <row r="1378" customFormat="false" ht="15" hidden="false" customHeight="false" outlineLevel="0" collapsed="false">
      <c r="A1378" s="31"/>
      <c r="B1378" s="32"/>
      <c r="C1378" s="32"/>
      <c r="D1378" s="32"/>
      <c r="E1378" s="32"/>
      <c r="F1378" s="32"/>
      <c r="G1378" s="33"/>
      <c r="H1378" s="33"/>
      <c r="I1378" s="34" t="str">
        <f aca="false">IF($A1378="","",$G1378-$H1378)</f>
        <v/>
      </c>
      <c r="J1378" s="35" t="str">
        <f aca="false">IF($A1378="","",IF(Setup!$B$6=1,YEAR($A1378),YEAR($A1378)+IF(MONTH($A1378)&gt;=Setup!$B$6,1,0)))</f>
        <v/>
      </c>
      <c r="K1378" s="35" t="str">
        <f aca="false">IF($A1378="","",MOD(MONTH($A1378)-Setup!$B$6+12,12)+1)</f>
        <v/>
      </c>
      <c r="L1378" s="36" t="str">
        <f aca="false">IF($A1378="","",TEXT($A1378,"MMM-YY"))</f>
        <v/>
      </c>
      <c r="M1378" s="37" t="str">
        <f aca="false">IF($A1378="","",IF($Q1378=0,"UNMAPPED",INDEX(COA_Mapping!$C$7:$C$256,$Q1378)))</f>
        <v/>
      </c>
      <c r="N1378" s="38" t="str">
        <f aca="false">IF($A1378="","",IF($Q1378=0,"",INDEX(COA_Mapping!$E$7:$E$256,$Q1378)))</f>
        <v/>
      </c>
      <c r="O1378" s="38" t="n">
        <f aca="false">IF($A1378="",1,IF($Q1378=0,1,INDEX(COA_Mapping!$F$7:$F$256,$Q1378)))</f>
        <v>1</v>
      </c>
      <c r="P1378" s="34" t="str">
        <f aca="false">IF($A1378="","",$I1378*$O1378)</f>
        <v/>
      </c>
      <c r="Q1378" s="39" t="n">
        <f aca="false">IF($B1378="",0,IFERROR(MATCH($B1378,COA_Mapping!$A$7:$A$256,0),0))</f>
        <v>0</v>
      </c>
      <c r="R1378" s="39" t="n">
        <f aca="false">IF($A1378="",-1,IF($J1378=Setup!$B$7,1,IF($J1378=Setup!$B$9,0,-1)))</f>
        <v>-1</v>
      </c>
      <c r="S1378" s="35" t="n">
        <f aca="false">IF(OR($A1378="",$Q1378=0,$R1378=-1),0,$Q1378*1000+$R1378*100+$K1378)</f>
        <v>0</v>
      </c>
      <c r="T1378" s="37" t="str">
        <f aca="false">IF($A1378="","",IF($B1378="","NO ACCOUNT",IF($Q1378=0,"UNMAPPED",IF($R1378=-1,"OUTSIDE FY RANGE","OK"))))</f>
        <v/>
      </c>
      <c r="U1378" s="40" t="str">
        <f aca="false">IF($A1378="","",$B1378&amp;"|"&amp;TEXT($A1378,"yyyymmdd")&amp;"|"&amp;TEXT($I1378,"0.00"))</f>
        <v/>
      </c>
      <c r="V1378" s="35" t="str">
        <f aca="false">IF($A1378="","",COUNTIF($U$8:$U$5007,$U1378))</f>
        <v/>
      </c>
    </row>
    <row r="1379" customFormat="false" ht="15" hidden="false" customHeight="false" outlineLevel="0" collapsed="false">
      <c r="A1379" s="31"/>
      <c r="B1379" s="32"/>
      <c r="C1379" s="32"/>
      <c r="D1379" s="32"/>
      <c r="E1379" s="32"/>
      <c r="F1379" s="32"/>
      <c r="G1379" s="33"/>
      <c r="H1379" s="33"/>
      <c r="I1379" s="34" t="str">
        <f aca="false">IF($A1379="","",$G1379-$H1379)</f>
        <v/>
      </c>
      <c r="J1379" s="35" t="str">
        <f aca="false">IF($A1379="","",IF(Setup!$B$6=1,YEAR($A1379),YEAR($A1379)+IF(MONTH($A1379)&gt;=Setup!$B$6,1,0)))</f>
        <v/>
      </c>
      <c r="K1379" s="35" t="str">
        <f aca="false">IF($A1379="","",MOD(MONTH($A1379)-Setup!$B$6+12,12)+1)</f>
        <v/>
      </c>
      <c r="L1379" s="36" t="str">
        <f aca="false">IF($A1379="","",TEXT($A1379,"MMM-YY"))</f>
        <v/>
      </c>
      <c r="M1379" s="37" t="str">
        <f aca="false">IF($A1379="","",IF($Q1379=0,"UNMAPPED",INDEX(COA_Mapping!$C$7:$C$256,$Q1379)))</f>
        <v/>
      </c>
      <c r="N1379" s="38" t="str">
        <f aca="false">IF($A1379="","",IF($Q1379=0,"",INDEX(COA_Mapping!$E$7:$E$256,$Q1379)))</f>
        <v/>
      </c>
      <c r="O1379" s="38" t="n">
        <f aca="false">IF($A1379="",1,IF($Q1379=0,1,INDEX(COA_Mapping!$F$7:$F$256,$Q1379)))</f>
        <v>1</v>
      </c>
      <c r="P1379" s="34" t="str">
        <f aca="false">IF($A1379="","",$I1379*$O1379)</f>
        <v/>
      </c>
      <c r="Q1379" s="39" t="n">
        <f aca="false">IF($B1379="",0,IFERROR(MATCH($B1379,COA_Mapping!$A$7:$A$256,0),0))</f>
        <v>0</v>
      </c>
      <c r="R1379" s="39" t="n">
        <f aca="false">IF($A1379="",-1,IF($J1379=Setup!$B$7,1,IF($J1379=Setup!$B$9,0,-1)))</f>
        <v>-1</v>
      </c>
      <c r="S1379" s="35" t="n">
        <f aca="false">IF(OR($A1379="",$Q1379=0,$R1379=-1),0,$Q1379*1000+$R1379*100+$K1379)</f>
        <v>0</v>
      </c>
      <c r="T1379" s="37" t="str">
        <f aca="false">IF($A1379="","",IF($B1379="","NO ACCOUNT",IF($Q1379=0,"UNMAPPED",IF($R1379=-1,"OUTSIDE FY RANGE","OK"))))</f>
        <v/>
      </c>
      <c r="U1379" s="40" t="str">
        <f aca="false">IF($A1379="","",$B1379&amp;"|"&amp;TEXT($A1379,"yyyymmdd")&amp;"|"&amp;TEXT($I1379,"0.00"))</f>
        <v/>
      </c>
      <c r="V1379" s="35" t="str">
        <f aca="false">IF($A1379="","",COUNTIF($U$8:$U$5007,$U1379))</f>
        <v/>
      </c>
    </row>
    <row r="1380" customFormat="false" ht="15" hidden="false" customHeight="false" outlineLevel="0" collapsed="false">
      <c r="A1380" s="31"/>
      <c r="B1380" s="32"/>
      <c r="C1380" s="32"/>
      <c r="D1380" s="32"/>
      <c r="E1380" s="32"/>
      <c r="F1380" s="32"/>
      <c r="G1380" s="33"/>
      <c r="H1380" s="33"/>
      <c r="I1380" s="34" t="str">
        <f aca="false">IF($A1380="","",$G1380-$H1380)</f>
        <v/>
      </c>
      <c r="J1380" s="35" t="str">
        <f aca="false">IF($A1380="","",IF(Setup!$B$6=1,YEAR($A1380),YEAR($A1380)+IF(MONTH($A1380)&gt;=Setup!$B$6,1,0)))</f>
        <v/>
      </c>
      <c r="K1380" s="35" t="str">
        <f aca="false">IF($A1380="","",MOD(MONTH($A1380)-Setup!$B$6+12,12)+1)</f>
        <v/>
      </c>
      <c r="L1380" s="36" t="str">
        <f aca="false">IF($A1380="","",TEXT($A1380,"MMM-YY"))</f>
        <v/>
      </c>
      <c r="M1380" s="37" t="str">
        <f aca="false">IF($A1380="","",IF($Q1380=0,"UNMAPPED",INDEX(COA_Mapping!$C$7:$C$256,$Q1380)))</f>
        <v/>
      </c>
      <c r="N1380" s="38" t="str">
        <f aca="false">IF($A1380="","",IF($Q1380=0,"",INDEX(COA_Mapping!$E$7:$E$256,$Q1380)))</f>
        <v/>
      </c>
      <c r="O1380" s="38" t="n">
        <f aca="false">IF($A1380="",1,IF($Q1380=0,1,INDEX(COA_Mapping!$F$7:$F$256,$Q1380)))</f>
        <v>1</v>
      </c>
      <c r="P1380" s="34" t="str">
        <f aca="false">IF($A1380="","",$I1380*$O1380)</f>
        <v/>
      </c>
      <c r="Q1380" s="39" t="n">
        <f aca="false">IF($B1380="",0,IFERROR(MATCH($B1380,COA_Mapping!$A$7:$A$256,0),0))</f>
        <v>0</v>
      </c>
      <c r="R1380" s="39" t="n">
        <f aca="false">IF($A1380="",-1,IF($J1380=Setup!$B$7,1,IF($J1380=Setup!$B$9,0,-1)))</f>
        <v>-1</v>
      </c>
      <c r="S1380" s="35" t="n">
        <f aca="false">IF(OR($A1380="",$Q1380=0,$R1380=-1),0,$Q1380*1000+$R1380*100+$K1380)</f>
        <v>0</v>
      </c>
      <c r="T1380" s="37" t="str">
        <f aca="false">IF($A1380="","",IF($B1380="","NO ACCOUNT",IF($Q1380=0,"UNMAPPED",IF($R1380=-1,"OUTSIDE FY RANGE","OK"))))</f>
        <v/>
      </c>
      <c r="U1380" s="40" t="str">
        <f aca="false">IF($A1380="","",$B1380&amp;"|"&amp;TEXT($A1380,"yyyymmdd")&amp;"|"&amp;TEXT($I1380,"0.00"))</f>
        <v/>
      </c>
      <c r="V1380" s="35" t="str">
        <f aca="false">IF($A1380="","",COUNTIF($U$8:$U$5007,$U1380))</f>
        <v/>
      </c>
    </row>
    <row r="1381" customFormat="false" ht="15" hidden="false" customHeight="false" outlineLevel="0" collapsed="false">
      <c r="A1381" s="31"/>
      <c r="B1381" s="32"/>
      <c r="C1381" s="32"/>
      <c r="D1381" s="32"/>
      <c r="E1381" s="32"/>
      <c r="F1381" s="32"/>
      <c r="G1381" s="33"/>
      <c r="H1381" s="33"/>
      <c r="I1381" s="34" t="str">
        <f aca="false">IF($A1381="","",$G1381-$H1381)</f>
        <v/>
      </c>
      <c r="J1381" s="35" t="str">
        <f aca="false">IF($A1381="","",IF(Setup!$B$6=1,YEAR($A1381),YEAR($A1381)+IF(MONTH($A1381)&gt;=Setup!$B$6,1,0)))</f>
        <v/>
      </c>
      <c r="K1381" s="35" t="str">
        <f aca="false">IF($A1381="","",MOD(MONTH($A1381)-Setup!$B$6+12,12)+1)</f>
        <v/>
      </c>
      <c r="L1381" s="36" t="str">
        <f aca="false">IF($A1381="","",TEXT($A1381,"MMM-YY"))</f>
        <v/>
      </c>
      <c r="M1381" s="37" t="str">
        <f aca="false">IF($A1381="","",IF($Q1381=0,"UNMAPPED",INDEX(COA_Mapping!$C$7:$C$256,$Q1381)))</f>
        <v/>
      </c>
      <c r="N1381" s="38" t="str">
        <f aca="false">IF($A1381="","",IF($Q1381=0,"",INDEX(COA_Mapping!$E$7:$E$256,$Q1381)))</f>
        <v/>
      </c>
      <c r="O1381" s="38" t="n">
        <f aca="false">IF($A1381="",1,IF($Q1381=0,1,INDEX(COA_Mapping!$F$7:$F$256,$Q1381)))</f>
        <v>1</v>
      </c>
      <c r="P1381" s="34" t="str">
        <f aca="false">IF($A1381="","",$I1381*$O1381)</f>
        <v/>
      </c>
      <c r="Q1381" s="39" t="n">
        <f aca="false">IF($B1381="",0,IFERROR(MATCH($B1381,COA_Mapping!$A$7:$A$256,0),0))</f>
        <v>0</v>
      </c>
      <c r="R1381" s="39" t="n">
        <f aca="false">IF($A1381="",-1,IF($J1381=Setup!$B$7,1,IF($J1381=Setup!$B$9,0,-1)))</f>
        <v>-1</v>
      </c>
      <c r="S1381" s="35" t="n">
        <f aca="false">IF(OR($A1381="",$Q1381=0,$R1381=-1),0,$Q1381*1000+$R1381*100+$K1381)</f>
        <v>0</v>
      </c>
      <c r="T1381" s="37" t="str">
        <f aca="false">IF($A1381="","",IF($B1381="","NO ACCOUNT",IF($Q1381=0,"UNMAPPED",IF($R1381=-1,"OUTSIDE FY RANGE","OK"))))</f>
        <v/>
      </c>
      <c r="U1381" s="40" t="str">
        <f aca="false">IF($A1381="","",$B1381&amp;"|"&amp;TEXT($A1381,"yyyymmdd")&amp;"|"&amp;TEXT($I1381,"0.00"))</f>
        <v/>
      </c>
      <c r="V1381" s="35" t="str">
        <f aca="false">IF($A1381="","",COUNTIF($U$8:$U$5007,$U1381))</f>
        <v/>
      </c>
    </row>
    <row r="1382" customFormat="false" ht="15" hidden="false" customHeight="false" outlineLevel="0" collapsed="false">
      <c r="A1382" s="31"/>
      <c r="B1382" s="32"/>
      <c r="C1382" s="32"/>
      <c r="D1382" s="32"/>
      <c r="E1382" s="32"/>
      <c r="F1382" s="32"/>
      <c r="G1382" s="33"/>
      <c r="H1382" s="33"/>
      <c r="I1382" s="34" t="str">
        <f aca="false">IF($A1382="","",$G1382-$H1382)</f>
        <v/>
      </c>
      <c r="J1382" s="35" t="str">
        <f aca="false">IF($A1382="","",IF(Setup!$B$6=1,YEAR($A1382),YEAR($A1382)+IF(MONTH($A1382)&gt;=Setup!$B$6,1,0)))</f>
        <v/>
      </c>
      <c r="K1382" s="35" t="str">
        <f aca="false">IF($A1382="","",MOD(MONTH($A1382)-Setup!$B$6+12,12)+1)</f>
        <v/>
      </c>
      <c r="L1382" s="36" t="str">
        <f aca="false">IF($A1382="","",TEXT($A1382,"MMM-YY"))</f>
        <v/>
      </c>
      <c r="M1382" s="37" t="str">
        <f aca="false">IF($A1382="","",IF($Q1382=0,"UNMAPPED",INDEX(COA_Mapping!$C$7:$C$256,$Q1382)))</f>
        <v/>
      </c>
      <c r="N1382" s="38" t="str">
        <f aca="false">IF($A1382="","",IF($Q1382=0,"",INDEX(COA_Mapping!$E$7:$E$256,$Q1382)))</f>
        <v/>
      </c>
      <c r="O1382" s="38" t="n">
        <f aca="false">IF($A1382="",1,IF($Q1382=0,1,INDEX(COA_Mapping!$F$7:$F$256,$Q1382)))</f>
        <v>1</v>
      </c>
      <c r="P1382" s="34" t="str">
        <f aca="false">IF($A1382="","",$I1382*$O1382)</f>
        <v/>
      </c>
      <c r="Q1382" s="39" t="n">
        <f aca="false">IF($B1382="",0,IFERROR(MATCH($B1382,COA_Mapping!$A$7:$A$256,0),0))</f>
        <v>0</v>
      </c>
      <c r="R1382" s="39" t="n">
        <f aca="false">IF($A1382="",-1,IF($J1382=Setup!$B$7,1,IF($J1382=Setup!$B$9,0,-1)))</f>
        <v>-1</v>
      </c>
      <c r="S1382" s="35" t="n">
        <f aca="false">IF(OR($A1382="",$Q1382=0,$R1382=-1),0,$Q1382*1000+$R1382*100+$K1382)</f>
        <v>0</v>
      </c>
      <c r="T1382" s="37" t="str">
        <f aca="false">IF($A1382="","",IF($B1382="","NO ACCOUNT",IF($Q1382=0,"UNMAPPED",IF($R1382=-1,"OUTSIDE FY RANGE","OK"))))</f>
        <v/>
      </c>
      <c r="U1382" s="40" t="str">
        <f aca="false">IF($A1382="","",$B1382&amp;"|"&amp;TEXT($A1382,"yyyymmdd")&amp;"|"&amp;TEXT($I1382,"0.00"))</f>
        <v/>
      </c>
      <c r="V1382" s="35" t="str">
        <f aca="false">IF($A1382="","",COUNTIF($U$8:$U$5007,$U1382))</f>
        <v/>
      </c>
    </row>
    <row r="1383" customFormat="false" ht="15" hidden="false" customHeight="false" outlineLevel="0" collapsed="false">
      <c r="A1383" s="31"/>
      <c r="B1383" s="32"/>
      <c r="C1383" s="32"/>
      <c r="D1383" s="32"/>
      <c r="E1383" s="32"/>
      <c r="F1383" s="32"/>
      <c r="G1383" s="33"/>
      <c r="H1383" s="33"/>
      <c r="I1383" s="34" t="str">
        <f aca="false">IF($A1383="","",$G1383-$H1383)</f>
        <v/>
      </c>
      <c r="J1383" s="35" t="str">
        <f aca="false">IF($A1383="","",IF(Setup!$B$6=1,YEAR($A1383),YEAR($A1383)+IF(MONTH($A1383)&gt;=Setup!$B$6,1,0)))</f>
        <v/>
      </c>
      <c r="K1383" s="35" t="str">
        <f aca="false">IF($A1383="","",MOD(MONTH($A1383)-Setup!$B$6+12,12)+1)</f>
        <v/>
      </c>
      <c r="L1383" s="36" t="str">
        <f aca="false">IF($A1383="","",TEXT($A1383,"MMM-YY"))</f>
        <v/>
      </c>
      <c r="M1383" s="37" t="str">
        <f aca="false">IF($A1383="","",IF($Q1383=0,"UNMAPPED",INDEX(COA_Mapping!$C$7:$C$256,$Q1383)))</f>
        <v/>
      </c>
      <c r="N1383" s="38" t="str">
        <f aca="false">IF($A1383="","",IF($Q1383=0,"",INDEX(COA_Mapping!$E$7:$E$256,$Q1383)))</f>
        <v/>
      </c>
      <c r="O1383" s="38" t="n">
        <f aca="false">IF($A1383="",1,IF($Q1383=0,1,INDEX(COA_Mapping!$F$7:$F$256,$Q1383)))</f>
        <v>1</v>
      </c>
      <c r="P1383" s="34" t="str">
        <f aca="false">IF($A1383="","",$I1383*$O1383)</f>
        <v/>
      </c>
      <c r="Q1383" s="39" t="n">
        <f aca="false">IF($B1383="",0,IFERROR(MATCH($B1383,COA_Mapping!$A$7:$A$256,0),0))</f>
        <v>0</v>
      </c>
      <c r="R1383" s="39" t="n">
        <f aca="false">IF($A1383="",-1,IF($J1383=Setup!$B$7,1,IF($J1383=Setup!$B$9,0,-1)))</f>
        <v>-1</v>
      </c>
      <c r="S1383" s="35" t="n">
        <f aca="false">IF(OR($A1383="",$Q1383=0,$R1383=-1),0,$Q1383*1000+$R1383*100+$K1383)</f>
        <v>0</v>
      </c>
      <c r="T1383" s="37" t="str">
        <f aca="false">IF($A1383="","",IF($B1383="","NO ACCOUNT",IF($Q1383=0,"UNMAPPED",IF($R1383=-1,"OUTSIDE FY RANGE","OK"))))</f>
        <v/>
      </c>
      <c r="U1383" s="40" t="str">
        <f aca="false">IF($A1383="","",$B1383&amp;"|"&amp;TEXT($A1383,"yyyymmdd")&amp;"|"&amp;TEXT($I1383,"0.00"))</f>
        <v/>
      </c>
      <c r="V1383" s="35" t="str">
        <f aca="false">IF($A1383="","",COUNTIF($U$8:$U$5007,$U1383))</f>
        <v/>
      </c>
    </row>
    <row r="1384" customFormat="false" ht="15" hidden="false" customHeight="false" outlineLevel="0" collapsed="false">
      <c r="A1384" s="31"/>
      <c r="B1384" s="32"/>
      <c r="C1384" s="32"/>
      <c r="D1384" s="32"/>
      <c r="E1384" s="32"/>
      <c r="F1384" s="32"/>
      <c r="G1384" s="33"/>
      <c r="H1384" s="33"/>
      <c r="I1384" s="34" t="str">
        <f aca="false">IF($A1384="","",$G1384-$H1384)</f>
        <v/>
      </c>
      <c r="J1384" s="35" t="str">
        <f aca="false">IF($A1384="","",IF(Setup!$B$6=1,YEAR($A1384),YEAR($A1384)+IF(MONTH($A1384)&gt;=Setup!$B$6,1,0)))</f>
        <v/>
      </c>
      <c r="K1384" s="35" t="str">
        <f aca="false">IF($A1384="","",MOD(MONTH($A1384)-Setup!$B$6+12,12)+1)</f>
        <v/>
      </c>
      <c r="L1384" s="36" t="str">
        <f aca="false">IF($A1384="","",TEXT($A1384,"MMM-YY"))</f>
        <v/>
      </c>
      <c r="M1384" s="37" t="str">
        <f aca="false">IF($A1384="","",IF($Q1384=0,"UNMAPPED",INDEX(COA_Mapping!$C$7:$C$256,$Q1384)))</f>
        <v/>
      </c>
      <c r="N1384" s="38" t="str">
        <f aca="false">IF($A1384="","",IF($Q1384=0,"",INDEX(COA_Mapping!$E$7:$E$256,$Q1384)))</f>
        <v/>
      </c>
      <c r="O1384" s="38" t="n">
        <f aca="false">IF($A1384="",1,IF($Q1384=0,1,INDEX(COA_Mapping!$F$7:$F$256,$Q1384)))</f>
        <v>1</v>
      </c>
      <c r="P1384" s="34" t="str">
        <f aca="false">IF($A1384="","",$I1384*$O1384)</f>
        <v/>
      </c>
      <c r="Q1384" s="39" t="n">
        <f aca="false">IF($B1384="",0,IFERROR(MATCH($B1384,COA_Mapping!$A$7:$A$256,0),0))</f>
        <v>0</v>
      </c>
      <c r="R1384" s="39" t="n">
        <f aca="false">IF($A1384="",-1,IF($J1384=Setup!$B$7,1,IF($J1384=Setup!$B$9,0,-1)))</f>
        <v>-1</v>
      </c>
      <c r="S1384" s="35" t="n">
        <f aca="false">IF(OR($A1384="",$Q1384=0,$R1384=-1),0,$Q1384*1000+$R1384*100+$K1384)</f>
        <v>0</v>
      </c>
      <c r="T1384" s="37" t="str">
        <f aca="false">IF($A1384="","",IF($B1384="","NO ACCOUNT",IF($Q1384=0,"UNMAPPED",IF($R1384=-1,"OUTSIDE FY RANGE","OK"))))</f>
        <v/>
      </c>
      <c r="U1384" s="40" t="str">
        <f aca="false">IF($A1384="","",$B1384&amp;"|"&amp;TEXT($A1384,"yyyymmdd")&amp;"|"&amp;TEXT($I1384,"0.00"))</f>
        <v/>
      </c>
      <c r="V1384" s="35" t="str">
        <f aca="false">IF($A1384="","",COUNTIF($U$8:$U$5007,$U1384))</f>
        <v/>
      </c>
    </row>
    <row r="1385" customFormat="false" ht="15" hidden="false" customHeight="false" outlineLevel="0" collapsed="false">
      <c r="A1385" s="31"/>
      <c r="B1385" s="32"/>
      <c r="C1385" s="32"/>
      <c r="D1385" s="32"/>
      <c r="E1385" s="32"/>
      <c r="F1385" s="32"/>
      <c r="G1385" s="33"/>
      <c r="H1385" s="33"/>
      <c r="I1385" s="34" t="str">
        <f aca="false">IF($A1385="","",$G1385-$H1385)</f>
        <v/>
      </c>
      <c r="J1385" s="35" t="str">
        <f aca="false">IF($A1385="","",IF(Setup!$B$6=1,YEAR($A1385),YEAR($A1385)+IF(MONTH($A1385)&gt;=Setup!$B$6,1,0)))</f>
        <v/>
      </c>
      <c r="K1385" s="35" t="str">
        <f aca="false">IF($A1385="","",MOD(MONTH($A1385)-Setup!$B$6+12,12)+1)</f>
        <v/>
      </c>
      <c r="L1385" s="36" t="str">
        <f aca="false">IF($A1385="","",TEXT($A1385,"MMM-YY"))</f>
        <v/>
      </c>
      <c r="M1385" s="37" t="str">
        <f aca="false">IF($A1385="","",IF($Q1385=0,"UNMAPPED",INDEX(COA_Mapping!$C$7:$C$256,$Q1385)))</f>
        <v/>
      </c>
      <c r="N1385" s="38" t="str">
        <f aca="false">IF($A1385="","",IF($Q1385=0,"",INDEX(COA_Mapping!$E$7:$E$256,$Q1385)))</f>
        <v/>
      </c>
      <c r="O1385" s="38" t="n">
        <f aca="false">IF($A1385="",1,IF($Q1385=0,1,INDEX(COA_Mapping!$F$7:$F$256,$Q1385)))</f>
        <v>1</v>
      </c>
      <c r="P1385" s="34" t="str">
        <f aca="false">IF($A1385="","",$I1385*$O1385)</f>
        <v/>
      </c>
      <c r="Q1385" s="39" t="n">
        <f aca="false">IF($B1385="",0,IFERROR(MATCH($B1385,COA_Mapping!$A$7:$A$256,0),0))</f>
        <v>0</v>
      </c>
      <c r="R1385" s="39" t="n">
        <f aca="false">IF($A1385="",-1,IF($J1385=Setup!$B$7,1,IF($J1385=Setup!$B$9,0,-1)))</f>
        <v>-1</v>
      </c>
      <c r="S1385" s="35" t="n">
        <f aca="false">IF(OR($A1385="",$Q1385=0,$R1385=-1),0,$Q1385*1000+$R1385*100+$K1385)</f>
        <v>0</v>
      </c>
      <c r="T1385" s="37" t="str">
        <f aca="false">IF($A1385="","",IF($B1385="","NO ACCOUNT",IF($Q1385=0,"UNMAPPED",IF($R1385=-1,"OUTSIDE FY RANGE","OK"))))</f>
        <v/>
      </c>
      <c r="U1385" s="40" t="str">
        <f aca="false">IF($A1385="","",$B1385&amp;"|"&amp;TEXT($A1385,"yyyymmdd")&amp;"|"&amp;TEXT($I1385,"0.00"))</f>
        <v/>
      </c>
      <c r="V1385" s="35" t="str">
        <f aca="false">IF($A1385="","",COUNTIF($U$8:$U$5007,$U1385))</f>
        <v/>
      </c>
    </row>
    <row r="1386" customFormat="false" ht="15" hidden="false" customHeight="false" outlineLevel="0" collapsed="false">
      <c r="A1386" s="31"/>
      <c r="B1386" s="32"/>
      <c r="C1386" s="32"/>
      <c r="D1386" s="32"/>
      <c r="E1386" s="32"/>
      <c r="F1386" s="32"/>
      <c r="G1386" s="33"/>
      <c r="H1386" s="33"/>
      <c r="I1386" s="34" t="str">
        <f aca="false">IF($A1386="","",$G1386-$H1386)</f>
        <v/>
      </c>
      <c r="J1386" s="35" t="str">
        <f aca="false">IF($A1386="","",IF(Setup!$B$6=1,YEAR($A1386),YEAR($A1386)+IF(MONTH($A1386)&gt;=Setup!$B$6,1,0)))</f>
        <v/>
      </c>
      <c r="K1386" s="35" t="str">
        <f aca="false">IF($A1386="","",MOD(MONTH($A1386)-Setup!$B$6+12,12)+1)</f>
        <v/>
      </c>
      <c r="L1386" s="36" t="str">
        <f aca="false">IF($A1386="","",TEXT($A1386,"MMM-YY"))</f>
        <v/>
      </c>
      <c r="M1386" s="37" t="str">
        <f aca="false">IF($A1386="","",IF($Q1386=0,"UNMAPPED",INDEX(COA_Mapping!$C$7:$C$256,$Q1386)))</f>
        <v/>
      </c>
      <c r="N1386" s="38" t="str">
        <f aca="false">IF($A1386="","",IF($Q1386=0,"",INDEX(COA_Mapping!$E$7:$E$256,$Q1386)))</f>
        <v/>
      </c>
      <c r="O1386" s="38" t="n">
        <f aca="false">IF($A1386="",1,IF($Q1386=0,1,INDEX(COA_Mapping!$F$7:$F$256,$Q1386)))</f>
        <v>1</v>
      </c>
      <c r="P1386" s="34" t="str">
        <f aca="false">IF($A1386="","",$I1386*$O1386)</f>
        <v/>
      </c>
      <c r="Q1386" s="39" t="n">
        <f aca="false">IF($B1386="",0,IFERROR(MATCH($B1386,COA_Mapping!$A$7:$A$256,0),0))</f>
        <v>0</v>
      </c>
      <c r="R1386" s="39" t="n">
        <f aca="false">IF($A1386="",-1,IF($J1386=Setup!$B$7,1,IF($J1386=Setup!$B$9,0,-1)))</f>
        <v>-1</v>
      </c>
      <c r="S1386" s="35" t="n">
        <f aca="false">IF(OR($A1386="",$Q1386=0,$R1386=-1),0,$Q1386*1000+$R1386*100+$K1386)</f>
        <v>0</v>
      </c>
      <c r="T1386" s="37" t="str">
        <f aca="false">IF($A1386="","",IF($B1386="","NO ACCOUNT",IF($Q1386=0,"UNMAPPED",IF($R1386=-1,"OUTSIDE FY RANGE","OK"))))</f>
        <v/>
      </c>
      <c r="U1386" s="40" t="str">
        <f aca="false">IF($A1386="","",$B1386&amp;"|"&amp;TEXT($A1386,"yyyymmdd")&amp;"|"&amp;TEXT($I1386,"0.00"))</f>
        <v/>
      </c>
      <c r="V1386" s="35" t="str">
        <f aca="false">IF($A1386="","",COUNTIF($U$8:$U$5007,$U1386))</f>
        <v/>
      </c>
    </row>
    <row r="1387" customFormat="false" ht="15" hidden="false" customHeight="false" outlineLevel="0" collapsed="false">
      <c r="A1387" s="31"/>
      <c r="B1387" s="32"/>
      <c r="C1387" s="32"/>
      <c r="D1387" s="32"/>
      <c r="E1387" s="32"/>
      <c r="F1387" s="32"/>
      <c r="G1387" s="33"/>
      <c r="H1387" s="33"/>
      <c r="I1387" s="34" t="str">
        <f aca="false">IF($A1387="","",$G1387-$H1387)</f>
        <v/>
      </c>
      <c r="J1387" s="35" t="str">
        <f aca="false">IF($A1387="","",IF(Setup!$B$6=1,YEAR($A1387),YEAR($A1387)+IF(MONTH($A1387)&gt;=Setup!$B$6,1,0)))</f>
        <v/>
      </c>
      <c r="K1387" s="35" t="str">
        <f aca="false">IF($A1387="","",MOD(MONTH($A1387)-Setup!$B$6+12,12)+1)</f>
        <v/>
      </c>
      <c r="L1387" s="36" t="str">
        <f aca="false">IF($A1387="","",TEXT($A1387,"MMM-YY"))</f>
        <v/>
      </c>
      <c r="M1387" s="37" t="str">
        <f aca="false">IF($A1387="","",IF($Q1387=0,"UNMAPPED",INDEX(COA_Mapping!$C$7:$C$256,$Q1387)))</f>
        <v/>
      </c>
      <c r="N1387" s="38" t="str">
        <f aca="false">IF($A1387="","",IF($Q1387=0,"",INDEX(COA_Mapping!$E$7:$E$256,$Q1387)))</f>
        <v/>
      </c>
      <c r="O1387" s="38" t="n">
        <f aca="false">IF($A1387="",1,IF($Q1387=0,1,INDEX(COA_Mapping!$F$7:$F$256,$Q1387)))</f>
        <v>1</v>
      </c>
      <c r="P1387" s="34" t="str">
        <f aca="false">IF($A1387="","",$I1387*$O1387)</f>
        <v/>
      </c>
      <c r="Q1387" s="39" t="n">
        <f aca="false">IF($B1387="",0,IFERROR(MATCH($B1387,COA_Mapping!$A$7:$A$256,0),0))</f>
        <v>0</v>
      </c>
      <c r="R1387" s="39" t="n">
        <f aca="false">IF($A1387="",-1,IF($J1387=Setup!$B$7,1,IF($J1387=Setup!$B$9,0,-1)))</f>
        <v>-1</v>
      </c>
      <c r="S1387" s="35" t="n">
        <f aca="false">IF(OR($A1387="",$Q1387=0,$R1387=-1),0,$Q1387*1000+$R1387*100+$K1387)</f>
        <v>0</v>
      </c>
      <c r="T1387" s="37" t="str">
        <f aca="false">IF($A1387="","",IF($B1387="","NO ACCOUNT",IF($Q1387=0,"UNMAPPED",IF($R1387=-1,"OUTSIDE FY RANGE","OK"))))</f>
        <v/>
      </c>
      <c r="U1387" s="40" t="str">
        <f aca="false">IF($A1387="","",$B1387&amp;"|"&amp;TEXT($A1387,"yyyymmdd")&amp;"|"&amp;TEXT($I1387,"0.00"))</f>
        <v/>
      </c>
      <c r="V1387" s="35" t="str">
        <f aca="false">IF($A1387="","",COUNTIF($U$8:$U$5007,$U1387))</f>
        <v/>
      </c>
    </row>
    <row r="1388" customFormat="false" ht="15" hidden="false" customHeight="false" outlineLevel="0" collapsed="false">
      <c r="A1388" s="31"/>
      <c r="B1388" s="32"/>
      <c r="C1388" s="32"/>
      <c r="D1388" s="32"/>
      <c r="E1388" s="32"/>
      <c r="F1388" s="32"/>
      <c r="G1388" s="33"/>
      <c r="H1388" s="33"/>
      <c r="I1388" s="34" t="str">
        <f aca="false">IF($A1388="","",$G1388-$H1388)</f>
        <v/>
      </c>
      <c r="J1388" s="35" t="str">
        <f aca="false">IF($A1388="","",IF(Setup!$B$6=1,YEAR($A1388),YEAR($A1388)+IF(MONTH($A1388)&gt;=Setup!$B$6,1,0)))</f>
        <v/>
      </c>
      <c r="K1388" s="35" t="str">
        <f aca="false">IF($A1388="","",MOD(MONTH($A1388)-Setup!$B$6+12,12)+1)</f>
        <v/>
      </c>
      <c r="L1388" s="36" t="str">
        <f aca="false">IF($A1388="","",TEXT($A1388,"MMM-YY"))</f>
        <v/>
      </c>
      <c r="M1388" s="37" t="str">
        <f aca="false">IF($A1388="","",IF($Q1388=0,"UNMAPPED",INDEX(COA_Mapping!$C$7:$C$256,$Q1388)))</f>
        <v/>
      </c>
      <c r="N1388" s="38" t="str">
        <f aca="false">IF($A1388="","",IF($Q1388=0,"",INDEX(COA_Mapping!$E$7:$E$256,$Q1388)))</f>
        <v/>
      </c>
      <c r="O1388" s="38" t="n">
        <f aca="false">IF($A1388="",1,IF($Q1388=0,1,INDEX(COA_Mapping!$F$7:$F$256,$Q1388)))</f>
        <v>1</v>
      </c>
      <c r="P1388" s="34" t="str">
        <f aca="false">IF($A1388="","",$I1388*$O1388)</f>
        <v/>
      </c>
      <c r="Q1388" s="39" t="n">
        <f aca="false">IF($B1388="",0,IFERROR(MATCH($B1388,COA_Mapping!$A$7:$A$256,0),0))</f>
        <v>0</v>
      </c>
      <c r="R1388" s="39" t="n">
        <f aca="false">IF($A1388="",-1,IF($J1388=Setup!$B$7,1,IF($J1388=Setup!$B$9,0,-1)))</f>
        <v>-1</v>
      </c>
      <c r="S1388" s="35" t="n">
        <f aca="false">IF(OR($A1388="",$Q1388=0,$R1388=-1),0,$Q1388*1000+$R1388*100+$K1388)</f>
        <v>0</v>
      </c>
      <c r="T1388" s="37" t="str">
        <f aca="false">IF($A1388="","",IF($B1388="","NO ACCOUNT",IF($Q1388=0,"UNMAPPED",IF($R1388=-1,"OUTSIDE FY RANGE","OK"))))</f>
        <v/>
      </c>
      <c r="U1388" s="40" t="str">
        <f aca="false">IF($A1388="","",$B1388&amp;"|"&amp;TEXT($A1388,"yyyymmdd")&amp;"|"&amp;TEXT($I1388,"0.00"))</f>
        <v/>
      </c>
      <c r="V1388" s="35" t="str">
        <f aca="false">IF($A1388="","",COUNTIF($U$8:$U$5007,$U1388))</f>
        <v/>
      </c>
    </row>
    <row r="1389" customFormat="false" ht="15" hidden="false" customHeight="false" outlineLevel="0" collapsed="false">
      <c r="A1389" s="31"/>
      <c r="B1389" s="32"/>
      <c r="C1389" s="32"/>
      <c r="D1389" s="32"/>
      <c r="E1389" s="32"/>
      <c r="F1389" s="32"/>
      <c r="G1389" s="33"/>
      <c r="H1389" s="33"/>
      <c r="I1389" s="34" t="str">
        <f aca="false">IF($A1389="","",$G1389-$H1389)</f>
        <v/>
      </c>
      <c r="J1389" s="35" t="str">
        <f aca="false">IF($A1389="","",IF(Setup!$B$6=1,YEAR($A1389),YEAR($A1389)+IF(MONTH($A1389)&gt;=Setup!$B$6,1,0)))</f>
        <v/>
      </c>
      <c r="K1389" s="35" t="str">
        <f aca="false">IF($A1389="","",MOD(MONTH($A1389)-Setup!$B$6+12,12)+1)</f>
        <v/>
      </c>
      <c r="L1389" s="36" t="str">
        <f aca="false">IF($A1389="","",TEXT($A1389,"MMM-YY"))</f>
        <v/>
      </c>
      <c r="M1389" s="37" t="str">
        <f aca="false">IF($A1389="","",IF($Q1389=0,"UNMAPPED",INDEX(COA_Mapping!$C$7:$C$256,$Q1389)))</f>
        <v/>
      </c>
      <c r="N1389" s="38" t="str">
        <f aca="false">IF($A1389="","",IF($Q1389=0,"",INDEX(COA_Mapping!$E$7:$E$256,$Q1389)))</f>
        <v/>
      </c>
      <c r="O1389" s="38" t="n">
        <f aca="false">IF($A1389="",1,IF($Q1389=0,1,INDEX(COA_Mapping!$F$7:$F$256,$Q1389)))</f>
        <v>1</v>
      </c>
      <c r="P1389" s="34" t="str">
        <f aca="false">IF($A1389="","",$I1389*$O1389)</f>
        <v/>
      </c>
      <c r="Q1389" s="39" t="n">
        <f aca="false">IF($B1389="",0,IFERROR(MATCH($B1389,COA_Mapping!$A$7:$A$256,0),0))</f>
        <v>0</v>
      </c>
      <c r="R1389" s="39" t="n">
        <f aca="false">IF($A1389="",-1,IF($J1389=Setup!$B$7,1,IF($J1389=Setup!$B$9,0,-1)))</f>
        <v>-1</v>
      </c>
      <c r="S1389" s="35" t="n">
        <f aca="false">IF(OR($A1389="",$Q1389=0,$R1389=-1),0,$Q1389*1000+$R1389*100+$K1389)</f>
        <v>0</v>
      </c>
      <c r="T1389" s="37" t="str">
        <f aca="false">IF($A1389="","",IF($B1389="","NO ACCOUNT",IF($Q1389=0,"UNMAPPED",IF($R1389=-1,"OUTSIDE FY RANGE","OK"))))</f>
        <v/>
      </c>
      <c r="U1389" s="40" t="str">
        <f aca="false">IF($A1389="","",$B1389&amp;"|"&amp;TEXT($A1389,"yyyymmdd")&amp;"|"&amp;TEXT($I1389,"0.00"))</f>
        <v/>
      </c>
      <c r="V1389" s="35" t="str">
        <f aca="false">IF($A1389="","",COUNTIF($U$8:$U$5007,$U1389))</f>
        <v/>
      </c>
    </row>
    <row r="1390" customFormat="false" ht="15" hidden="false" customHeight="false" outlineLevel="0" collapsed="false">
      <c r="A1390" s="31"/>
      <c r="B1390" s="32"/>
      <c r="C1390" s="32"/>
      <c r="D1390" s="32"/>
      <c r="E1390" s="32"/>
      <c r="F1390" s="32"/>
      <c r="G1390" s="33"/>
      <c r="H1390" s="33"/>
      <c r="I1390" s="34" t="str">
        <f aca="false">IF($A1390="","",$G1390-$H1390)</f>
        <v/>
      </c>
      <c r="J1390" s="35" t="str">
        <f aca="false">IF($A1390="","",IF(Setup!$B$6=1,YEAR($A1390),YEAR($A1390)+IF(MONTH($A1390)&gt;=Setup!$B$6,1,0)))</f>
        <v/>
      </c>
      <c r="K1390" s="35" t="str">
        <f aca="false">IF($A1390="","",MOD(MONTH($A1390)-Setup!$B$6+12,12)+1)</f>
        <v/>
      </c>
      <c r="L1390" s="36" t="str">
        <f aca="false">IF($A1390="","",TEXT($A1390,"MMM-YY"))</f>
        <v/>
      </c>
      <c r="M1390" s="37" t="str">
        <f aca="false">IF($A1390="","",IF($Q1390=0,"UNMAPPED",INDEX(COA_Mapping!$C$7:$C$256,$Q1390)))</f>
        <v/>
      </c>
      <c r="N1390" s="38" t="str">
        <f aca="false">IF($A1390="","",IF($Q1390=0,"",INDEX(COA_Mapping!$E$7:$E$256,$Q1390)))</f>
        <v/>
      </c>
      <c r="O1390" s="38" t="n">
        <f aca="false">IF($A1390="",1,IF($Q1390=0,1,INDEX(COA_Mapping!$F$7:$F$256,$Q1390)))</f>
        <v>1</v>
      </c>
      <c r="P1390" s="34" t="str">
        <f aca="false">IF($A1390="","",$I1390*$O1390)</f>
        <v/>
      </c>
      <c r="Q1390" s="39" t="n">
        <f aca="false">IF($B1390="",0,IFERROR(MATCH($B1390,COA_Mapping!$A$7:$A$256,0),0))</f>
        <v>0</v>
      </c>
      <c r="R1390" s="39" t="n">
        <f aca="false">IF($A1390="",-1,IF($J1390=Setup!$B$7,1,IF($J1390=Setup!$B$9,0,-1)))</f>
        <v>-1</v>
      </c>
      <c r="S1390" s="35" t="n">
        <f aca="false">IF(OR($A1390="",$Q1390=0,$R1390=-1),0,$Q1390*1000+$R1390*100+$K1390)</f>
        <v>0</v>
      </c>
      <c r="T1390" s="37" t="str">
        <f aca="false">IF($A1390="","",IF($B1390="","NO ACCOUNT",IF($Q1390=0,"UNMAPPED",IF($R1390=-1,"OUTSIDE FY RANGE","OK"))))</f>
        <v/>
      </c>
      <c r="U1390" s="40" t="str">
        <f aca="false">IF($A1390="","",$B1390&amp;"|"&amp;TEXT($A1390,"yyyymmdd")&amp;"|"&amp;TEXT($I1390,"0.00"))</f>
        <v/>
      </c>
      <c r="V1390" s="35" t="str">
        <f aca="false">IF($A1390="","",COUNTIF($U$8:$U$5007,$U1390))</f>
        <v/>
      </c>
    </row>
    <row r="1391" customFormat="false" ht="15" hidden="false" customHeight="false" outlineLevel="0" collapsed="false">
      <c r="A1391" s="31"/>
      <c r="B1391" s="32"/>
      <c r="C1391" s="32"/>
      <c r="D1391" s="32"/>
      <c r="E1391" s="32"/>
      <c r="F1391" s="32"/>
      <c r="G1391" s="33"/>
      <c r="H1391" s="33"/>
      <c r="I1391" s="34" t="str">
        <f aca="false">IF($A1391="","",$G1391-$H1391)</f>
        <v/>
      </c>
      <c r="J1391" s="35" t="str">
        <f aca="false">IF($A1391="","",IF(Setup!$B$6=1,YEAR($A1391),YEAR($A1391)+IF(MONTH($A1391)&gt;=Setup!$B$6,1,0)))</f>
        <v/>
      </c>
      <c r="K1391" s="35" t="str">
        <f aca="false">IF($A1391="","",MOD(MONTH($A1391)-Setup!$B$6+12,12)+1)</f>
        <v/>
      </c>
      <c r="L1391" s="36" t="str">
        <f aca="false">IF($A1391="","",TEXT($A1391,"MMM-YY"))</f>
        <v/>
      </c>
      <c r="M1391" s="37" t="str">
        <f aca="false">IF($A1391="","",IF($Q1391=0,"UNMAPPED",INDEX(COA_Mapping!$C$7:$C$256,$Q1391)))</f>
        <v/>
      </c>
      <c r="N1391" s="38" t="str">
        <f aca="false">IF($A1391="","",IF($Q1391=0,"",INDEX(COA_Mapping!$E$7:$E$256,$Q1391)))</f>
        <v/>
      </c>
      <c r="O1391" s="38" t="n">
        <f aca="false">IF($A1391="",1,IF($Q1391=0,1,INDEX(COA_Mapping!$F$7:$F$256,$Q1391)))</f>
        <v>1</v>
      </c>
      <c r="P1391" s="34" t="str">
        <f aca="false">IF($A1391="","",$I1391*$O1391)</f>
        <v/>
      </c>
      <c r="Q1391" s="39" t="n">
        <f aca="false">IF($B1391="",0,IFERROR(MATCH($B1391,COA_Mapping!$A$7:$A$256,0),0))</f>
        <v>0</v>
      </c>
      <c r="R1391" s="39" t="n">
        <f aca="false">IF($A1391="",-1,IF($J1391=Setup!$B$7,1,IF($J1391=Setup!$B$9,0,-1)))</f>
        <v>-1</v>
      </c>
      <c r="S1391" s="35" t="n">
        <f aca="false">IF(OR($A1391="",$Q1391=0,$R1391=-1),0,$Q1391*1000+$R1391*100+$K1391)</f>
        <v>0</v>
      </c>
      <c r="T1391" s="37" t="str">
        <f aca="false">IF($A1391="","",IF($B1391="","NO ACCOUNT",IF($Q1391=0,"UNMAPPED",IF($R1391=-1,"OUTSIDE FY RANGE","OK"))))</f>
        <v/>
      </c>
      <c r="U1391" s="40" t="str">
        <f aca="false">IF($A1391="","",$B1391&amp;"|"&amp;TEXT($A1391,"yyyymmdd")&amp;"|"&amp;TEXT($I1391,"0.00"))</f>
        <v/>
      </c>
      <c r="V1391" s="35" t="str">
        <f aca="false">IF($A1391="","",COUNTIF($U$8:$U$5007,$U1391))</f>
        <v/>
      </c>
    </row>
    <row r="1392" customFormat="false" ht="15" hidden="false" customHeight="false" outlineLevel="0" collapsed="false">
      <c r="A1392" s="31"/>
      <c r="B1392" s="32"/>
      <c r="C1392" s="32"/>
      <c r="D1392" s="32"/>
      <c r="E1392" s="32"/>
      <c r="F1392" s="32"/>
      <c r="G1392" s="33"/>
      <c r="H1392" s="33"/>
      <c r="I1392" s="34" t="str">
        <f aca="false">IF($A1392="","",$G1392-$H1392)</f>
        <v/>
      </c>
      <c r="J1392" s="35" t="str">
        <f aca="false">IF($A1392="","",IF(Setup!$B$6=1,YEAR($A1392),YEAR($A1392)+IF(MONTH($A1392)&gt;=Setup!$B$6,1,0)))</f>
        <v/>
      </c>
      <c r="K1392" s="35" t="str">
        <f aca="false">IF($A1392="","",MOD(MONTH($A1392)-Setup!$B$6+12,12)+1)</f>
        <v/>
      </c>
      <c r="L1392" s="36" t="str">
        <f aca="false">IF($A1392="","",TEXT($A1392,"MMM-YY"))</f>
        <v/>
      </c>
      <c r="M1392" s="37" t="str">
        <f aca="false">IF($A1392="","",IF($Q1392=0,"UNMAPPED",INDEX(COA_Mapping!$C$7:$C$256,$Q1392)))</f>
        <v/>
      </c>
      <c r="N1392" s="38" t="str">
        <f aca="false">IF($A1392="","",IF($Q1392=0,"",INDEX(COA_Mapping!$E$7:$E$256,$Q1392)))</f>
        <v/>
      </c>
      <c r="O1392" s="38" t="n">
        <f aca="false">IF($A1392="",1,IF($Q1392=0,1,INDEX(COA_Mapping!$F$7:$F$256,$Q1392)))</f>
        <v>1</v>
      </c>
      <c r="P1392" s="34" t="str">
        <f aca="false">IF($A1392="","",$I1392*$O1392)</f>
        <v/>
      </c>
      <c r="Q1392" s="39" t="n">
        <f aca="false">IF($B1392="",0,IFERROR(MATCH($B1392,COA_Mapping!$A$7:$A$256,0),0))</f>
        <v>0</v>
      </c>
      <c r="R1392" s="39" t="n">
        <f aca="false">IF($A1392="",-1,IF($J1392=Setup!$B$7,1,IF($J1392=Setup!$B$9,0,-1)))</f>
        <v>-1</v>
      </c>
      <c r="S1392" s="35" t="n">
        <f aca="false">IF(OR($A1392="",$Q1392=0,$R1392=-1),0,$Q1392*1000+$R1392*100+$K1392)</f>
        <v>0</v>
      </c>
      <c r="T1392" s="37" t="str">
        <f aca="false">IF($A1392="","",IF($B1392="","NO ACCOUNT",IF($Q1392=0,"UNMAPPED",IF($R1392=-1,"OUTSIDE FY RANGE","OK"))))</f>
        <v/>
      </c>
      <c r="U1392" s="40" t="str">
        <f aca="false">IF($A1392="","",$B1392&amp;"|"&amp;TEXT($A1392,"yyyymmdd")&amp;"|"&amp;TEXT($I1392,"0.00"))</f>
        <v/>
      </c>
      <c r="V1392" s="35" t="str">
        <f aca="false">IF($A1392="","",COUNTIF($U$8:$U$5007,$U1392))</f>
        <v/>
      </c>
    </row>
    <row r="1393" customFormat="false" ht="15" hidden="false" customHeight="false" outlineLevel="0" collapsed="false">
      <c r="A1393" s="31"/>
      <c r="B1393" s="32"/>
      <c r="C1393" s="32"/>
      <c r="D1393" s="32"/>
      <c r="E1393" s="32"/>
      <c r="F1393" s="32"/>
      <c r="G1393" s="33"/>
      <c r="H1393" s="33"/>
      <c r="I1393" s="34" t="str">
        <f aca="false">IF($A1393="","",$G1393-$H1393)</f>
        <v/>
      </c>
      <c r="J1393" s="35" t="str">
        <f aca="false">IF($A1393="","",IF(Setup!$B$6=1,YEAR($A1393),YEAR($A1393)+IF(MONTH($A1393)&gt;=Setup!$B$6,1,0)))</f>
        <v/>
      </c>
      <c r="K1393" s="35" t="str">
        <f aca="false">IF($A1393="","",MOD(MONTH($A1393)-Setup!$B$6+12,12)+1)</f>
        <v/>
      </c>
      <c r="L1393" s="36" t="str">
        <f aca="false">IF($A1393="","",TEXT($A1393,"MMM-YY"))</f>
        <v/>
      </c>
      <c r="M1393" s="37" t="str">
        <f aca="false">IF($A1393="","",IF($Q1393=0,"UNMAPPED",INDEX(COA_Mapping!$C$7:$C$256,$Q1393)))</f>
        <v/>
      </c>
      <c r="N1393" s="38" t="str">
        <f aca="false">IF($A1393="","",IF($Q1393=0,"",INDEX(COA_Mapping!$E$7:$E$256,$Q1393)))</f>
        <v/>
      </c>
      <c r="O1393" s="38" t="n">
        <f aca="false">IF($A1393="",1,IF($Q1393=0,1,INDEX(COA_Mapping!$F$7:$F$256,$Q1393)))</f>
        <v>1</v>
      </c>
      <c r="P1393" s="34" t="str">
        <f aca="false">IF($A1393="","",$I1393*$O1393)</f>
        <v/>
      </c>
      <c r="Q1393" s="39" t="n">
        <f aca="false">IF($B1393="",0,IFERROR(MATCH($B1393,COA_Mapping!$A$7:$A$256,0),0))</f>
        <v>0</v>
      </c>
      <c r="R1393" s="39" t="n">
        <f aca="false">IF($A1393="",-1,IF($J1393=Setup!$B$7,1,IF($J1393=Setup!$B$9,0,-1)))</f>
        <v>-1</v>
      </c>
      <c r="S1393" s="35" t="n">
        <f aca="false">IF(OR($A1393="",$Q1393=0,$R1393=-1),0,$Q1393*1000+$R1393*100+$K1393)</f>
        <v>0</v>
      </c>
      <c r="T1393" s="37" t="str">
        <f aca="false">IF($A1393="","",IF($B1393="","NO ACCOUNT",IF($Q1393=0,"UNMAPPED",IF($R1393=-1,"OUTSIDE FY RANGE","OK"))))</f>
        <v/>
      </c>
      <c r="U1393" s="40" t="str">
        <f aca="false">IF($A1393="","",$B1393&amp;"|"&amp;TEXT($A1393,"yyyymmdd")&amp;"|"&amp;TEXT($I1393,"0.00"))</f>
        <v/>
      </c>
      <c r="V1393" s="35" t="str">
        <f aca="false">IF($A1393="","",COUNTIF($U$8:$U$5007,$U1393))</f>
        <v/>
      </c>
    </row>
    <row r="1394" customFormat="false" ht="15" hidden="false" customHeight="false" outlineLevel="0" collapsed="false">
      <c r="A1394" s="31"/>
      <c r="B1394" s="32"/>
      <c r="C1394" s="32"/>
      <c r="D1394" s="32"/>
      <c r="E1394" s="32"/>
      <c r="F1394" s="32"/>
      <c r="G1394" s="33"/>
      <c r="H1394" s="33"/>
      <c r="I1394" s="34" t="str">
        <f aca="false">IF($A1394="","",$G1394-$H1394)</f>
        <v/>
      </c>
      <c r="J1394" s="35" t="str">
        <f aca="false">IF($A1394="","",IF(Setup!$B$6=1,YEAR($A1394),YEAR($A1394)+IF(MONTH($A1394)&gt;=Setup!$B$6,1,0)))</f>
        <v/>
      </c>
      <c r="K1394" s="35" t="str">
        <f aca="false">IF($A1394="","",MOD(MONTH($A1394)-Setup!$B$6+12,12)+1)</f>
        <v/>
      </c>
      <c r="L1394" s="36" t="str">
        <f aca="false">IF($A1394="","",TEXT($A1394,"MMM-YY"))</f>
        <v/>
      </c>
      <c r="M1394" s="37" t="str">
        <f aca="false">IF($A1394="","",IF($Q1394=0,"UNMAPPED",INDEX(COA_Mapping!$C$7:$C$256,$Q1394)))</f>
        <v/>
      </c>
      <c r="N1394" s="38" t="str">
        <f aca="false">IF($A1394="","",IF($Q1394=0,"",INDEX(COA_Mapping!$E$7:$E$256,$Q1394)))</f>
        <v/>
      </c>
      <c r="O1394" s="38" t="n">
        <f aca="false">IF($A1394="",1,IF($Q1394=0,1,INDEX(COA_Mapping!$F$7:$F$256,$Q1394)))</f>
        <v>1</v>
      </c>
      <c r="P1394" s="34" t="str">
        <f aca="false">IF($A1394="","",$I1394*$O1394)</f>
        <v/>
      </c>
      <c r="Q1394" s="39" t="n">
        <f aca="false">IF($B1394="",0,IFERROR(MATCH($B1394,COA_Mapping!$A$7:$A$256,0),0))</f>
        <v>0</v>
      </c>
      <c r="R1394" s="39" t="n">
        <f aca="false">IF($A1394="",-1,IF($J1394=Setup!$B$7,1,IF($J1394=Setup!$B$9,0,-1)))</f>
        <v>-1</v>
      </c>
      <c r="S1394" s="35" t="n">
        <f aca="false">IF(OR($A1394="",$Q1394=0,$R1394=-1),0,$Q1394*1000+$R1394*100+$K1394)</f>
        <v>0</v>
      </c>
      <c r="T1394" s="37" t="str">
        <f aca="false">IF($A1394="","",IF($B1394="","NO ACCOUNT",IF($Q1394=0,"UNMAPPED",IF($R1394=-1,"OUTSIDE FY RANGE","OK"))))</f>
        <v/>
      </c>
      <c r="U1394" s="40" t="str">
        <f aca="false">IF($A1394="","",$B1394&amp;"|"&amp;TEXT($A1394,"yyyymmdd")&amp;"|"&amp;TEXT($I1394,"0.00"))</f>
        <v/>
      </c>
      <c r="V1394" s="35" t="str">
        <f aca="false">IF($A1394="","",COUNTIF($U$8:$U$5007,$U1394))</f>
        <v/>
      </c>
    </row>
    <row r="1395" customFormat="false" ht="15" hidden="false" customHeight="false" outlineLevel="0" collapsed="false">
      <c r="A1395" s="31"/>
      <c r="B1395" s="32"/>
      <c r="C1395" s="32"/>
      <c r="D1395" s="32"/>
      <c r="E1395" s="32"/>
      <c r="F1395" s="32"/>
      <c r="G1395" s="33"/>
      <c r="H1395" s="33"/>
      <c r="I1395" s="34" t="str">
        <f aca="false">IF($A1395="","",$G1395-$H1395)</f>
        <v/>
      </c>
      <c r="J1395" s="35" t="str">
        <f aca="false">IF($A1395="","",IF(Setup!$B$6=1,YEAR($A1395),YEAR($A1395)+IF(MONTH($A1395)&gt;=Setup!$B$6,1,0)))</f>
        <v/>
      </c>
      <c r="K1395" s="35" t="str">
        <f aca="false">IF($A1395="","",MOD(MONTH($A1395)-Setup!$B$6+12,12)+1)</f>
        <v/>
      </c>
      <c r="L1395" s="36" t="str">
        <f aca="false">IF($A1395="","",TEXT($A1395,"MMM-YY"))</f>
        <v/>
      </c>
      <c r="M1395" s="37" t="str">
        <f aca="false">IF($A1395="","",IF($Q1395=0,"UNMAPPED",INDEX(COA_Mapping!$C$7:$C$256,$Q1395)))</f>
        <v/>
      </c>
      <c r="N1395" s="38" t="str">
        <f aca="false">IF($A1395="","",IF($Q1395=0,"",INDEX(COA_Mapping!$E$7:$E$256,$Q1395)))</f>
        <v/>
      </c>
      <c r="O1395" s="38" t="n">
        <f aca="false">IF($A1395="",1,IF($Q1395=0,1,INDEX(COA_Mapping!$F$7:$F$256,$Q1395)))</f>
        <v>1</v>
      </c>
      <c r="P1395" s="34" t="str">
        <f aca="false">IF($A1395="","",$I1395*$O1395)</f>
        <v/>
      </c>
      <c r="Q1395" s="39" t="n">
        <f aca="false">IF($B1395="",0,IFERROR(MATCH($B1395,COA_Mapping!$A$7:$A$256,0),0))</f>
        <v>0</v>
      </c>
      <c r="R1395" s="39" t="n">
        <f aca="false">IF($A1395="",-1,IF($J1395=Setup!$B$7,1,IF($J1395=Setup!$B$9,0,-1)))</f>
        <v>-1</v>
      </c>
      <c r="S1395" s="35" t="n">
        <f aca="false">IF(OR($A1395="",$Q1395=0,$R1395=-1),0,$Q1395*1000+$R1395*100+$K1395)</f>
        <v>0</v>
      </c>
      <c r="T1395" s="37" t="str">
        <f aca="false">IF($A1395="","",IF($B1395="","NO ACCOUNT",IF($Q1395=0,"UNMAPPED",IF($R1395=-1,"OUTSIDE FY RANGE","OK"))))</f>
        <v/>
      </c>
      <c r="U1395" s="40" t="str">
        <f aca="false">IF($A1395="","",$B1395&amp;"|"&amp;TEXT($A1395,"yyyymmdd")&amp;"|"&amp;TEXT($I1395,"0.00"))</f>
        <v/>
      </c>
      <c r="V1395" s="35" t="str">
        <f aca="false">IF($A1395="","",COUNTIF($U$8:$U$5007,$U1395))</f>
        <v/>
      </c>
    </row>
    <row r="1396" customFormat="false" ht="15" hidden="false" customHeight="false" outlineLevel="0" collapsed="false">
      <c r="A1396" s="31"/>
      <c r="B1396" s="32"/>
      <c r="C1396" s="32"/>
      <c r="D1396" s="32"/>
      <c r="E1396" s="32"/>
      <c r="F1396" s="32"/>
      <c r="G1396" s="33"/>
      <c r="H1396" s="33"/>
      <c r="I1396" s="34" t="str">
        <f aca="false">IF($A1396="","",$G1396-$H1396)</f>
        <v/>
      </c>
      <c r="J1396" s="35" t="str">
        <f aca="false">IF($A1396="","",IF(Setup!$B$6=1,YEAR($A1396),YEAR($A1396)+IF(MONTH($A1396)&gt;=Setup!$B$6,1,0)))</f>
        <v/>
      </c>
      <c r="K1396" s="35" t="str">
        <f aca="false">IF($A1396="","",MOD(MONTH($A1396)-Setup!$B$6+12,12)+1)</f>
        <v/>
      </c>
      <c r="L1396" s="36" t="str">
        <f aca="false">IF($A1396="","",TEXT($A1396,"MMM-YY"))</f>
        <v/>
      </c>
      <c r="M1396" s="37" t="str">
        <f aca="false">IF($A1396="","",IF($Q1396=0,"UNMAPPED",INDEX(COA_Mapping!$C$7:$C$256,$Q1396)))</f>
        <v/>
      </c>
      <c r="N1396" s="38" t="str">
        <f aca="false">IF($A1396="","",IF($Q1396=0,"",INDEX(COA_Mapping!$E$7:$E$256,$Q1396)))</f>
        <v/>
      </c>
      <c r="O1396" s="38" t="n">
        <f aca="false">IF($A1396="",1,IF($Q1396=0,1,INDEX(COA_Mapping!$F$7:$F$256,$Q1396)))</f>
        <v>1</v>
      </c>
      <c r="P1396" s="34" t="str">
        <f aca="false">IF($A1396="","",$I1396*$O1396)</f>
        <v/>
      </c>
      <c r="Q1396" s="39" t="n">
        <f aca="false">IF($B1396="",0,IFERROR(MATCH($B1396,COA_Mapping!$A$7:$A$256,0),0))</f>
        <v>0</v>
      </c>
      <c r="R1396" s="39" t="n">
        <f aca="false">IF($A1396="",-1,IF($J1396=Setup!$B$7,1,IF($J1396=Setup!$B$9,0,-1)))</f>
        <v>-1</v>
      </c>
      <c r="S1396" s="35" t="n">
        <f aca="false">IF(OR($A1396="",$Q1396=0,$R1396=-1),0,$Q1396*1000+$R1396*100+$K1396)</f>
        <v>0</v>
      </c>
      <c r="T1396" s="37" t="str">
        <f aca="false">IF($A1396="","",IF($B1396="","NO ACCOUNT",IF($Q1396=0,"UNMAPPED",IF($R1396=-1,"OUTSIDE FY RANGE","OK"))))</f>
        <v/>
      </c>
      <c r="U1396" s="40" t="str">
        <f aca="false">IF($A1396="","",$B1396&amp;"|"&amp;TEXT($A1396,"yyyymmdd")&amp;"|"&amp;TEXT($I1396,"0.00"))</f>
        <v/>
      </c>
      <c r="V1396" s="35" t="str">
        <f aca="false">IF($A1396="","",COUNTIF($U$8:$U$5007,$U1396))</f>
        <v/>
      </c>
    </row>
    <row r="1397" customFormat="false" ht="15" hidden="false" customHeight="false" outlineLevel="0" collapsed="false">
      <c r="A1397" s="31"/>
      <c r="B1397" s="32"/>
      <c r="C1397" s="32"/>
      <c r="D1397" s="32"/>
      <c r="E1397" s="32"/>
      <c r="F1397" s="32"/>
      <c r="G1397" s="33"/>
      <c r="H1397" s="33"/>
      <c r="I1397" s="34" t="str">
        <f aca="false">IF($A1397="","",$G1397-$H1397)</f>
        <v/>
      </c>
      <c r="J1397" s="35" t="str">
        <f aca="false">IF($A1397="","",IF(Setup!$B$6=1,YEAR($A1397),YEAR($A1397)+IF(MONTH($A1397)&gt;=Setup!$B$6,1,0)))</f>
        <v/>
      </c>
      <c r="K1397" s="35" t="str">
        <f aca="false">IF($A1397="","",MOD(MONTH($A1397)-Setup!$B$6+12,12)+1)</f>
        <v/>
      </c>
      <c r="L1397" s="36" t="str">
        <f aca="false">IF($A1397="","",TEXT($A1397,"MMM-YY"))</f>
        <v/>
      </c>
      <c r="M1397" s="37" t="str">
        <f aca="false">IF($A1397="","",IF($Q1397=0,"UNMAPPED",INDEX(COA_Mapping!$C$7:$C$256,$Q1397)))</f>
        <v/>
      </c>
      <c r="N1397" s="38" t="str">
        <f aca="false">IF($A1397="","",IF($Q1397=0,"",INDEX(COA_Mapping!$E$7:$E$256,$Q1397)))</f>
        <v/>
      </c>
      <c r="O1397" s="38" t="n">
        <f aca="false">IF($A1397="",1,IF($Q1397=0,1,INDEX(COA_Mapping!$F$7:$F$256,$Q1397)))</f>
        <v>1</v>
      </c>
      <c r="P1397" s="34" t="str">
        <f aca="false">IF($A1397="","",$I1397*$O1397)</f>
        <v/>
      </c>
      <c r="Q1397" s="39" t="n">
        <f aca="false">IF($B1397="",0,IFERROR(MATCH($B1397,COA_Mapping!$A$7:$A$256,0),0))</f>
        <v>0</v>
      </c>
      <c r="R1397" s="39" t="n">
        <f aca="false">IF($A1397="",-1,IF($J1397=Setup!$B$7,1,IF($J1397=Setup!$B$9,0,-1)))</f>
        <v>-1</v>
      </c>
      <c r="S1397" s="35" t="n">
        <f aca="false">IF(OR($A1397="",$Q1397=0,$R1397=-1),0,$Q1397*1000+$R1397*100+$K1397)</f>
        <v>0</v>
      </c>
      <c r="T1397" s="37" t="str">
        <f aca="false">IF($A1397="","",IF($B1397="","NO ACCOUNT",IF($Q1397=0,"UNMAPPED",IF($R1397=-1,"OUTSIDE FY RANGE","OK"))))</f>
        <v/>
      </c>
      <c r="U1397" s="40" t="str">
        <f aca="false">IF($A1397="","",$B1397&amp;"|"&amp;TEXT($A1397,"yyyymmdd")&amp;"|"&amp;TEXT($I1397,"0.00"))</f>
        <v/>
      </c>
      <c r="V1397" s="35" t="str">
        <f aca="false">IF($A1397="","",COUNTIF($U$8:$U$5007,$U1397))</f>
        <v/>
      </c>
    </row>
    <row r="1398" customFormat="false" ht="15" hidden="false" customHeight="false" outlineLevel="0" collapsed="false">
      <c r="A1398" s="31"/>
      <c r="B1398" s="32"/>
      <c r="C1398" s="32"/>
      <c r="D1398" s="32"/>
      <c r="E1398" s="32"/>
      <c r="F1398" s="32"/>
      <c r="G1398" s="33"/>
      <c r="H1398" s="33"/>
      <c r="I1398" s="34" t="str">
        <f aca="false">IF($A1398="","",$G1398-$H1398)</f>
        <v/>
      </c>
      <c r="J1398" s="35" t="str">
        <f aca="false">IF($A1398="","",IF(Setup!$B$6=1,YEAR($A1398),YEAR($A1398)+IF(MONTH($A1398)&gt;=Setup!$B$6,1,0)))</f>
        <v/>
      </c>
      <c r="K1398" s="35" t="str">
        <f aca="false">IF($A1398="","",MOD(MONTH($A1398)-Setup!$B$6+12,12)+1)</f>
        <v/>
      </c>
      <c r="L1398" s="36" t="str">
        <f aca="false">IF($A1398="","",TEXT($A1398,"MMM-YY"))</f>
        <v/>
      </c>
      <c r="M1398" s="37" t="str">
        <f aca="false">IF($A1398="","",IF($Q1398=0,"UNMAPPED",INDEX(COA_Mapping!$C$7:$C$256,$Q1398)))</f>
        <v/>
      </c>
      <c r="N1398" s="38" t="str">
        <f aca="false">IF($A1398="","",IF($Q1398=0,"",INDEX(COA_Mapping!$E$7:$E$256,$Q1398)))</f>
        <v/>
      </c>
      <c r="O1398" s="38" t="n">
        <f aca="false">IF($A1398="",1,IF($Q1398=0,1,INDEX(COA_Mapping!$F$7:$F$256,$Q1398)))</f>
        <v>1</v>
      </c>
      <c r="P1398" s="34" t="str">
        <f aca="false">IF($A1398="","",$I1398*$O1398)</f>
        <v/>
      </c>
      <c r="Q1398" s="39" t="n">
        <f aca="false">IF($B1398="",0,IFERROR(MATCH($B1398,COA_Mapping!$A$7:$A$256,0),0))</f>
        <v>0</v>
      </c>
      <c r="R1398" s="39" t="n">
        <f aca="false">IF($A1398="",-1,IF($J1398=Setup!$B$7,1,IF($J1398=Setup!$B$9,0,-1)))</f>
        <v>-1</v>
      </c>
      <c r="S1398" s="35" t="n">
        <f aca="false">IF(OR($A1398="",$Q1398=0,$R1398=-1),0,$Q1398*1000+$R1398*100+$K1398)</f>
        <v>0</v>
      </c>
      <c r="T1398" s="37" t="str">
        <f aca="false">IF($A1398="","",IF($B1398="","NO ACCOUNT",IF($Q1398=0,"UNMAPPED",IF($R1398=-1,"OUTSIDE FY RANGE","OK"))))</f>
        <v/>
      </c>
      <c r="U1398" s="40" t="str">
        <f aca="false">IF($A1398="","",$B1398&amp;"|"&amp;TEXT($A1398,"yyyymmdd")&amp;"|"&amp;TEXT($I1398,"0.00"))</f>
        <v/>
      </c>
      <c r="V1398" s="35" t="str">
        <f aca="false">IF($A1398="","",COUNTIF($U$8:$U$5007,$U1398))</f>
        <v/>
      </c>
    </row>
    <row r="1399" customFormat="false" ht="15" hidden="false" customHeight="false" outlineLevel="0" collapsed="false">
      <c r="A1399" s="31"/>
      <c r="B1399" s="32"/>
      <c r="C1399" s="32"/>
      <c r="D1399" s="32"/>
      <c r="E1399" s="32"/>
      <c r="F1399" s="32"/>
      <c r="G1399" s="33"/>
      <c r="H1399" s="33"/>
      <c r="I1399" s="34" t="str">
        <f aca="false">IF($A1399="","",$G1399-$H1399)</f>
        <v/>
      </c>
      <c r="J1399" s="35" t="str">
        <f aca="false">IF($A1399="","",IF(Setup!$B$6=1,YEAR($A1399),YEAR($A1399)+IF(MONTH($A1399)&gt;=Setup!$B$6,1,0)))</f>
        <v/>
      </c>
      <c r="K1399" s="35" t="str">
        <f aca="false">IF($A1399="","",MOD(MONTH($A1399)-Setup!$B$6+12,12)+1)</f>
        <v/>
      </c>
      <c r="L1399" s="36" t="str">
        <f aca="false">IF($A1399="","",TEXT($A1399,"MMM-YY"))</f>
        <v/>
      </c>
      <c r="M1399" s="37" t="str">
        <f aca="false">IF($A1399="","",IF($Q1399=0,"UNMAPPED",INDEX(COA_Mapping!$C$7:$C$256,$Q1399)))</f>
        <v/>
      </c>
      <c r="N1399" s="38" t="str">
        <f aca="false">IF($A1399="","",IF($Q1399=0,"",INDEX(COA_Mapping!$E$7:$E$256,$Q1399)))</f>
        <v/>
      </c>
      <c r="O1399" s="38" t="n">
        <f aca="false">IF($A1399="",1,IF($Q1399=0,1,INDEX(COA_Mapping!$F$7:$F$256,$Q1399)))</f>
        <v>1</v>
      </c>
      <c r="P1399" s="34" t="str">
        <f aca="false">IF($A1399="","",$I1399*$O1399)</f>
        <v/>
      </c>
      <c r="Q1399" s="39" t="n">
        <f aca="false">IF($B1399="",0,IFERROR(MATCH($B1399,COA_Mapping!$A$7:$A$256,0),0))</f>
        <v>0</v>
      </c>
      <c r="R1399" s="39" t="n">
        <f aca="false">IF($A1399="",-1,IF($J1399=Setup!$B$7,1,IF($J1399=Setup!$B$9,0,-1)))</f>
        <v>-1</v>
      </c>
      <c r="S1399" s="35" t="n">
        <f aca="false">IF(OR($A1399="",$Q1399=0,$R1399=-1),0,$Q1399*1000+$R1399*100+$K1399)</f>
        <v>0</v>
      </c>
      <c r="T1399" s="37" t="str">
        <f aca="false">IF($A1399="","",IF($B1399="","NO ACCOUNT",IF($Q1399=0,"UNMAPPED",IF($R1399=-1,"OUTSIDE FY RANGE","OK"))))</f>
        <v/>
      </c>
      <c r="U1399" s="40" t="str">
        <f aca="false">IF($A1399="","",$B1399&amp;"|"&amp;TEXT($A1399,"yyyymmdd")&amp;"|"&amp;TEXT($I1399,"0.00"))</f>
        <v/>
      </c>
      <c r="V1399" s="35" t="str">
        <f aca="false">IF($A1399="","",COUNTIF($U$8:$U$5007,$U1399))</f>
        <v/>
      </c>
    </row>
    <row r="1400" customFormat="false" ht="15" hidden="false" customHeight="false" outlineLevel="0" collapsed="false">
      <c r="A1400" s="31"/>
      <c r="B1400" s="32"/>
      <c r="C1400" s="32"/>
      <c r="D1400" s="32"/>
      <c r="E1400" s="32"/>
      <c r="F1400" s="32"/>
      <c r="G1400" s="33"/>
      <c r="H1400" s="33"/>
      <c r="I1400" s="34" t="str">
        <f aca="false">IF($A1400="","",$G1400-$H1400)</f>
        <v/>
      </c>
      <c r="J1400" s="35" t="str">
        <f aca="false">IF($A1400="","",IF(Setup!$B$6=1,YEAR($A1400),YEAR($A1400)+IF(MONTH($A1400)&gt;=Setup!$B$6,1,0)))</f>
        <v/>
      </c>
      <c r="K1400" s="35" t="str">
        <f aca="false">IF($A1400="","",MOD(MONTH($A1400)-Setup!$B$6+12,12)+1)</f>
        <v/>
      </c>
      <c r="L1400" s="36" t="str">
        <f aca="false">IF($A1400="","",TEXT($A1400,"MMM-YY"))</f>
        <v/>
      </c>
      <c r="M1400" s="37" t="str">
        <f aca="false">IF($A1400="","",IF($Q1400=0,"UNMAPPED",INDEX(COA_Mapping!$C$7:$C$256,$Q1400)))</f>
        <v/>
      </c>
      <c r="N1400" s="38" t="str">
        <f aca="false">IF($A1400="","",IF($Q1400=0,"",INDEX(COA_Mapping!$E$7:$E$256,$Q1400)))</f>
        <v/>
      </c>
      <c r="O1400" s="38" t="n">
        <f aca="false">IF($A1400="",1,IF($Q1400=0,1,INDEX(COA_Mapping!$F$7:$F$256,$Q1400)))</f>
        <v>1</v>
      </c>
      <c r="P1400" s="34" t="str">
        <f aca="false">IF($A1400="","",$I1400*$O1400)</f>
        <v/>
      </c>
      <c r="Q1400" s="39" t="n">
        <f aca="false">IF($B1400="",0,IFERROR(MATCH($B1400,COA_Mapping!$A$7:$A$256,0),0))</f>
        <v>0</v>
      </c>
      <c r="R1400" s="39" t="n">
        <f aca="false">IF($A1400="",-1,IF($J1400=Setup!$B$7,1,IF($J1400=Setup!$B$9,0,-1)))</f>
        <v>-1</v>
      </c>
      <c r="S1400" s="35" t="n">
        <f aca="false">IF(OR($A1400="",$Q1400=0,$R1400=-1),0,$Q1400*1000+$R1400*100+$K1400)</f>
        <v>0</v>
      </c>
      <c r="T1400" s="37" t="str">
        <f aca="false">IF($A1400="","",IF($B1400="","NO ACCOUNT",IF($Q1400=0,"UNMAPPED",IF($R1400=-1,"OUTSIDE FY RANGE","OK"))))</f>
        <v/>
      </c>
      <c r="U1400" s="40" t="str">
        <f aca="false">IF($A1400="","",$B1400&amp;"|"&amp;TEXT($A1400,"yyyymmdd")&amp;"|"&amp;TEXT($I1400,"0.00"))</f>
        <v/>
      </c>
      <c r="V1400" s="35" t="str">
        <f aca="false">IF($A1400="","",COUNTIF($U$8:$U$5007,$U1400))</f>
        <v/>
      </c>
    </row>
    <row r="1401" customFormat="false" ht="15" hidden="false" customHeight="false" outlineLevel="0" collapsed="false">
      <c r="A1401" s="31"/>
      <c r="B1401" s="32"/>
      <c r="C1401" s="32"/>
      <c r="D1401" s="32"/>
      <c r="E1401" s="32"/>
      <c r="F1401" s="32"/>
      <c r="G1401" s="33"/>
      <c r="H1401" s="33"/>
      <c r="I1401" s="34" t="str">
        <f aca="false">IF($A1401="","",$G1401-$H1401)</f>
        <v/>
      </c>
      <c r="J1401" s="35" t="str">
        <f aca="false">IF($A1401="","",IF(Setup!$B$6=1,YEAR($A1401),YEAR($A1401)+IF(MONTH($A1401)&gt;=Setup!$B$6,1,0)))</f>
        <v/>
      </c>
      <c r="K1401" s="35" t="str">
        <f aca="false">IF($A1401="","",MOD(MONTH($A1401)-Setup!$B$6+12,12)+1)</f>
        <v/>
      </c>
      <c r="L1401" s="36" t="str">
        <f aca="false">IF($A1401="","",TEXT($A1401,"MMM-YY"))</f>
        <v/>
      </c>
      <c r="M1401" s="37" t="str">
        <f aca="false">IF($A1401="","",IF($Q1401=0,"UNMAPPED",INDEX(COA_Mapping!$C$7:$C$256,$Q1401)))</f>
        <v/>
      </c>
      <c r="N1401" s="38" t="str">
        <f aca="false">IF($A1401="","",IF($Q1401=0,"",INDEX(COA_Mapping!$E$7:$E$256,$Q1401)))</f>
        <v/>
      </c>
      <c r="O1401" s="38" t="n">
        <f aca="false">IF($A1401="",1,IF($Q1401=0,1,INDEX(COA_Mapping!$F$7:$F$256,$Q1401)))</f>
        <v>1</v>
      </c>
      <c r="P1401" s="34" t="str">
        <f aca="false">IF($A1401="","",$I1401*$O1401)</f>
        <v/>
      </c>
      <c r="Q1401" s="39" t="n">
        <f aca="false">IF($B1401="",0,IFERROR(MATCH($B1401,COA_Mapping!$A$7:$A$256,0),0))</f>
        <v>0</v>
      </c>
      <c r="R1401" s="39" t="n">
        <f aca="false">IF($A1401="",-1,IF($J1401=Setup!$B$7,1,IF($J1401=Setup!$B$9,0,-1)))</f>
        <v>-1</v>
      </c>
      <c r="S1401" s="35" t="n">
        <f aca="false">IF(OR($A1401="",$Q1401=0,$R1401=-1),0,$Q1401*1000+$R1401*100+$K1401)</f>
        <v>0</v>
      </c>
      <c r="T1401" s="37" t="str">
        <f aca="false">IF($A1401="","",IF($B1401="","NO ACCOUNT",IF($Q1401=0,"UNMAPPED",IF($R1401=-1,"OUTSIDE FY RANGE","OK"))))</f>
        <v/>
      </c>
      <c r="U1401" s="40" t="str">
        <f aca="false">IF($A1401="","",$B1401&amp;"|"&amp;TEXT($A1401,"yyyymmdd")&amp;"|"&amp;TEXT($I1401,"0.00"))</f>
        <v/>
      </c>
      <c r="V1401" s="35" t="str">
        <f aca="false">IF($A1401="","",COUNTIF($U$8:$U$5007,$U1401))</f>
        <v/>
      </c>
    </row>
    <row r="1402" customFormat="false" ht="15" hidden="false" customHeight="false" outlineLevel="0" collapsed="false">
      <c r="A1402" s="31"/>
      <c r="B1402" s="32"/>
      <c r="C1402" s="32"/>
      <c r="D1402" s="32"/>
      <c r="E1402" s="32"/>
      <c r="F1402" s="32"/>
      <c r="G1402" s="33"/>
      <c r="H1402" s="33"/>
      <c r="I1402" s="34" t="str">
        <f aca="false">IF($A1402="","",$G1402-$H1402)</f>
        <v/>
      </c>
      <c r="J1402" s="35" t="str">
        <f aca="false">IF($A1402="","",IF(Setup!$B$6=1,YEAR($A1402),YEAR($A1402)+IF(MONTH($A1402)&gt;=Setup!$B$6,1,0)))</f>
        <v/>
      </c>
      <c r="K1402" s="35" t="str">
        <f aca="false">IF($A1402="","",MOD(MONTH($A1402)-Setup!$B$6+12,12)+1)</f>
        <v/>
      </c>
      <c r="L1402" s="36" t="str">
        <f aca="false">IF($A1402="","",TEXT($A1402,"MMM-YY"))</f>
        <v/>
      </c>
      <c r="M1402" s="37" t="str">
        <f aca="false">IF($A1402="","",IF($Q1402=0,"UNMAPPED",INDEX(COA_Mapping!$C$7:$C$256,$Q1402)))</f>
        <v/>
      </c>
      <c r="N1402" s="38" t="str">
        <f aca="false">IF($A1402="","",IF($Q1402=0,"",INDEX(COA_Mapping!$E$7:$E$256,$Q1402)))</f>
        <v/>
      </c>
      <c r="O1402" s="38" t="n">
        <f aca="false">IF($A1402="",1,IF($Q1402=0,1,INDEX(COA_Mapping!$F$7:$F$256,$Q1402)))</f>
        <v>1</v>
      </c>
      <c r="P1402" s="34" t="str">
        <f aca="false">IF($A1402="","",$I1402*$O1402)</f>
        <v/>
      </c>
      <c r="Q1402" s="39" t="n">
        <f aca="false">IF($B1402="",0,IFERROR(MATCH($B1402,COA_Mapping!$A$7:$A$256,0),0))</f>
        <v>0</v>
      </c>
      <c r="R1402" s="39" t="n">
        <f aca="false">IF($A1402="",-1,IF($J1402=Setup!$B$7,1,IF($J1402=Setup!$B$9,0,-1)))</f>
        <v>-1</v>
      </c>
      <c r="S1402" s="35" t="n">
        <f aca="false">IF(OR($A1402="",$Q1402=0,$R1402=-1),0,$Q1402*1000+$R1402*100+$K1402)</f>
        <v>0</v>
      </c>
      <c r="T1402" s="37" t="str">
        <f aca="false">IF($A1402="","",IF($B1402="","NO ACCOUNT",IF($Q1402=0,"UNMAPPED",IF($R1402=-1,"OUTSIDE FY RANGE","OK"))))</f>
        <v/>
      </c>
      <c r="U1402" s="40" t="str">
        <f aca="false">IF($A1402="","",$B1402&amp;"|"&amp;TEXT($A1402,"yyyymmdd")&amp;"|"&amp;TEXT($I1402,"0.00"))</f>
        <v/>
      </c>
      <c r="V1402" s="35" t="str">
        <f aca="false">IF($A1402="","",COUNTIF($U$8:$U$5007,$U1402))</f>
        <v/>
      </c>
    </row>
    <row r="1403" customFormat="false" ht="15" hidden="false" customHeight="false" outlineLevel="0" collapsed="false">
      <c r="A1403" s="31"/>
      <c r="B1403" s="32"/>
      <c r="C1403" s="32"/>
      <c r="D1403" s="32"/>
      <c r="E1403" s="32"/>
      <c r="F1403" s="32"/>
      <c r="G1403" s="33"/>
      <c r="H1403" s="33"/>
      <c r="I1403" s="34" t="str">
        <f aca="false">IF($A1403="","",$G1403-$H1403)</f>
        <v/>
      </c>
      <c r="J1403" s="35" t="str">
        <f aca="false">IF($A1403="","",IF(Setup!$B$6=1,YEAR($A1403),YEAR($A1403)+IF(MONTH($A1403)&gt;=Setup!$B$6,1,0)))</f>
        <v/>
      </c>
      <c r="K1403" s="35" t="str">
        <f aca="false">IF($A1403="","",MOD(MONTH($A1403)-Setup!$B$6+12,12)+1)</f>
        <v/>
      </c>
      <c r="L1403" s="36" t="str">
        <f aca="false">IF($A1403="","",TEXT($A1403,"MMM-YY"))</f>
        <v/>
      </c>
      <c r="M1403" s="37" t="str">
        <f aca="false">IF($A1403="","",IF($Q1403=0,"UNMAPPED",INDEX(COA_Mapping!$C$7:$C$256,$Q1403)))</f>
        <v/>
      </c>
      <c r="N1403" s="38" t="str">
        <f aca="false">IF($A1403="","",IF($Q1403=0,"",INDEX(COA_Mapping!$E$7:$E$256,$Q1403)))</f>
        <v/>
      </c>
      <c r="O1403" s="38" t="n">
        <f aca="false">IF($A1403="",1,IF($Q1403=0,1,INDEX(COA_Mapping!$F$7:$F$256,$Q1403)))</f>
        <v>1</v>
      </c>
      <c r="P1403" s="34" t="str">
        <f aca="false">IF($A1403="","",$I1403*$O1403)</f>
        <v/>
      </c>
      <c r="Q1403" s="39" t="n">
        <f aca="false">IF($B1403="",0,IFERROR(MATCH($B1403,COA_Mapping!$A$7:$A$256,0),0))</f>
        <v>0</v>
      </c>
      <c r="R1403" s="39" t="n">
        <f aca="false">IF($A1403="",-1,IF($J1403=Setup!$B$7,1,IF($J1403=Setup!$B$9,0,-1)))</f>
        <v>-1</v>
      </c>
      <c r="S1403" s="35" t="n">
        <f aca="false">IF(OR($A1403="",$Q1403=0,$R1403=-1),0,$Q1403*1000+$R1403*100+$K1403)</f>
        <v>0</v>
      </c>
      <c r="T1403" s="37" t="str">
        <f aca="false">IF($A1403="","",IF($B1403="","NO ACCOUNT",IF($Q1403=0,"UNMAPPED",IF($R1403=-1,"OUTSIDE FY RANGE","OK"))))</f>
        <v/>
      </c>
      <c r="U1403" s="40" t="str">
        <f aca="false">IF($A1403="","",$B1403&amp;"|"&amp;TEXT($A1403,"yyyymmdd")&amp;"|"&amp;TEXT($I1403,"0.00"))</f>
        <v/>
      </c>
      <c r="V1403" s="35" t="str">
        <f aca="false">IF($A1403="","",COUNTIF($U$8:$U$5007,$U1403))</f>
        <v/>
      </c>
    </row>
    <row r="1404" customFormat="false" ht="15" hidden="false" customHeight="false" outlineLevel="0" collapsed="false">
      <c r="A1404" s="31"/>
      <c r="B1404" s="32"/>
      <c r="C1404" s="32"/>
      <c r="D1404" s="32"/>
      <c r="E1404" s="32"/>
      <c r="F1404" s="32"/>
      <c r="G1404" s="33"/>
      <c r="H1404" s="33"/>
      <c r="I1404" s="34" t="str">
        <f aca="false">IF($A1404="","",$G1404-$H1404)</f>
        <v/>
      </c>
      <c r="J1404" s="35" t="str">
        <f aca="false">IF($A1404="","",IF(Setup!$B$6=1,YEAR($A1404),YEAR($A1404)+IF(MONTH($A1404)&gt;=Setup!$B$6,1,0)))</f>
        <v/>
      </c>
      <c r="K1404" s="35" t="str">
        <f aca="false">IF($A1404="","",MOD(MONTH($A1404)-Setup!$B$6+12,12)+1)</f>
        <v/>
      </c>
      <c r="L1404" s="36" t="str">
        <f aca="false">IF($A1404="","",TEXT($A1404,"MMM-YY"))</f>
        <v/>
      </c>
      <c r="M1404" s="37" t="str">
        <f aca="false">IF($A1404="","",IF($Q1404=0,"UNMAPPED",INDEX(COA_Mapping!$C$7:$C$256,$Q1404)))</f>
        <v/>
      </c>
      <c r="N1404" s="38" t="str">
        <f aca="false">IF($A1404="","",IF($Q1404=0,"",INDEX(COA_Mapping!$E$7:$E$256,$Q1404)))</f>
        <v/>
      </c>
      <c r="O1404" s="38" t="n">
        <f aca="false">IF($A1404="",1,IF($Q1404=0,1,INDEX(COA_Mapping!$F$7:$F$256,$Q1404)))</f>
        <v>1</v>
      </c>
      <c r="P1404" s="34" t="str">
        <f aca="false">IF($A1404="","",$I1404*$O1404)</f>
        <v/>
      </c>
      <c r="Q1404" s="39" t="n">
        <f aca="false">IF($B1404="",0,IFERROR(MATCH($B1404,COA_Mapping!$A$7:$A$256,0),0))</f>
        <v>0</v>
      </c>
      <c r="R1404" s="39" t="n">
        <f aca="false">IF($A1404="",-1,IF($J1404=Setup!$B$7,1,IF($J1404=Setup!$B$9,0,-1)))</f>
        <v>-1</v>
      </c>
      <c r="S1404" s="35" t="n">
        <f aca="false">IF(OR($A1404="",$Q1404=0,$R1404=-1),0,$Q1404*1000+$R1404*100+$K1404)</f>
        <v>0</v>
      </c>
      <c r="T1404" s="37" t="str">
        <f aca="false">IF($A1404="","",IF($B1404="","NO ACCOUNT",IF($Q1404=0,"UNMAPPED",IF($R1404=-1,"OUTSIDE FY RANGE","OK"))))</f>
        <v/>
      </c>
      <c r="U1404" s="40" t="str">
        <f aca="false">IF($A1404="","",$B1404&amp;"|"&amp;TEXT($A1404,"yyyymmdd")&amp;"|"&amp;TEXT($I1404,"0.00"))</f>
        <v/>
      </c>
      <c r="V1404" s="35" t="str">
        <f aca="false">IF($A1404="","",COUNTIF($U$8:$U$5007,$U1404))</f>
        <v/>
      </c>
    </row>
    <row r="1405" customFormat="false" ht="15" hidden="false" customHeight="false" outlineLevel="0" collapsed="false">
      <c r="A1405" s="31"/>
      <c r="B1405" s="32"/>
      <c r="C1405" s="32"/>
      <c r="D1405" s="32"/>
      <c r="E1405" s="32"/>
      <c r="F1405" s="32"/>
      <c r="G1405" s="33"/>
      <c r="H1405" s="33"/>
      <c r="I1405" s="34" t="str">
        <f aca="false">IF($A1405="","",$G1405-$H1405)</f>
        <v/>
      </c>
      <c r="J1405" s="35" t="str">
        <f aca="false">IF($A1405="","",IF(Setup!$B$6=1,YEAR($A1405),YEAR($A1405)+IF(MONTH($A1405)&gt;=Setup!$B$6,1,0)))</f>
        <v/>
      </c>
      <c r="K1405" s="35" t="str">
        <f aca="false">IF($A1405="","",MOD(MONTH($A1405)-Setup!$B$6+12,12)+1)</f>
        <v/>
      </c>
      <c r="L1405" s="36" t="str">
        <f aca="false">IF($A1405="","",TEXT($A1405,"MMM-YY"))</f>
        <v/>
      </c>
      <c r="M1405" s="37" t="str">
        <f aca="false">IF($A1405="","",IF($Q1405=0,"UNMAPPED",INDEX(COA_Mapping!$C$7:$C$256,$Q1405)))</f>
        <v/>
      </c>
      <c r="N1405" s="38" t="str">
        <f aca="false">IF($A1405="","",IF($Q1405=0,"",INDEX(COA_Mapping!$E$7:$E$256,$Q1405)))</f>
        <v/>
      </c>
      <c r="O1405" s="38" t="n">
        <f aca="false">IF($A1405="",1,IF($Q1405=0,1,INDEX(COA_Mapping!$F$7:$F$256,$Q1405)))</f>
        <v>1</v>
      </c>
      <c r="P1405" s="34" t="str">
        <f aca="false">IF($A1405="","",$I1405*$O1405)</f>
        <v/>
      </c>
      <c r="Q1405" s="39" t="n">
        <f aca="false">IF($B1405="",0,IFERROR(MATCH($B1405,COA_Mapping!$A$7:$A$256,0),0))</f>
        <v>0</v>
      </c>
      <c r="R1405" s="39" t="n">
        <f aca="false">IF($A1405="",-1,IF($J1405=Setup!$B$7,1,IF($J1405=Setup!$B$9,0,-1)))</f>
        <v>-1</v>
      </c>
      <c r="S1405" s="35" t="n">
        <f aca="false">IF(OR($A1405="",$Q1405=0,$R1405=-1),0,$Q1405*1000+$R1405*100+$K1405)</f>
        <v>0</v>
      </c>
      <c r="T1405" s="37" t="str">
        <f aca="false">IF($A1405="","",IF($B1405="","NO ACCOUNT",IF($Q1405=0,"UNMAPPED",IF($R1405=-1,"OUTSIDE FY RANGE","OK"))))</f>
        <v/>
      </c>
      <c r="U1405" s="40" t="str">
        <f aca="false">IF($A1405="","",$B1405&amp;"|"&amp;TEXT($A1405,"yyyymmdd")&amp;"|"&amp;TEXT($I1405,"0.00"))</f>
        <v/>
      </c>
      <c r="V1405" s="35" t="str">
        <f aca="false">IF($A1405="","",COUNTIF($U$8:$U$5007,$U1405))</f>
        <v/>
      </c>
    </row>
    <row r="1406" customFormat="false" ht="15" hidden="false" customHeight="false" outlineLevel="0" collapsed="false">
      <c r="A1406" s="31"/>
      <c r="B1406" s="32"/>
      <c r="C1406" s="32"/>
      <c r="D1406" s="32"/>
      <c r="E1406" s="32"/>
      <c r="F1406" s="32"/>
      <c r="G1406" s="33"/>
      <c r="H1406" s="33"/>
      <c r="I1406" s="34" t="str">
        <f aca="false">IF($A1406="","",$G1406-$H1406)</f>
        <v/>
      </c>
      <c r="J1406" s="35" t="str">
        <f aca="false">IF($A1406="","",IF(Setup!$B$6=1,YEAR($A1406),YEAR($A1406)+IF(MONTH($A1406)&gt;=Setup!$B$6,1,0)))</f>
        <v/>
      </c>
      <c r="K1406" s="35" t="str">
        <f aca="false">IF($A1406="","",MOD(MONTH($A1406)-Setup!$B$6+12,12)+1)</f>
        <v/>
      </c>
      <c r="L1406" s="36" t="str">
        <f aca="false">IF($A1406="","",TEXT($A1406,"MMM-YY"))</f>
        <v/>
      </c>
      <c r="M1406" s="37" t="str">
        <f aca="false">IF($A1406="","",IF($Q1406=0,"UNMAPPED",INDEX(COA_Mapping!$C$7:$C$256,$Q1406)))</f>
        <v/>
      </c>
      <c r="N1406" s="38" t="str">
        <f aca="false">IF($A1406="","",IF($Q1406=0,"",INDEX(COA_Mapping!$E$7:$E$256,$Q1406)))</f>
        <v/>
      </c>
      <c r="O1406" s="38" t="n">
        <f aca="false">IF($A1406="",1,IF($Q1406=0,1,INDEX(COA_Mapping!$F$7:$F$256,$Q1406)))</f>
        <v>1</v>
      </c>
      <c r="P1406" s="34" t="str">
        <f aca="false">IF($A1406="","",$I1406*$O1406)</f>
        <v/>
      </c>
      <c r="Q1406" s="39" t="n">
        <f aca="false">IF($B1406="",0,IFERROR(MATCH($B1406,COA_Mapping!$A$7:$A$256,0),0))</f>
        <v>0</v>
      </c>
      <c r="R1406" s="39" t="n">
        <f aca="false">IF($A1406="",-1,IF($J1406=Setup!$B$7,1,IF($J1406=Setup!$B$9,0,-1)))</f>
        <v>-1</v>
      </c>
      <c r="S1406" s="35" t="n">
        <f aca="false">IF(OR($A1406="",$Q1406=0,$R1406=-1),0,$Q1406*1000+$R1406*100+$K1406)</f>
        <v>0</v>
      </c>
      <c r="T1406" s="37" t="str">
        <f aca="false">IF($A1406="","",IF($B1406="","NO ACCOUNT",IF($Q1406=0,"UNMAPPED",IF($R1406=-1,"OUTSIDE FY RANGE","OK"))))</f>
        <v/>
      </c>
      <c r="U1406" s="40" t="str">
        <f aca="false">IF($A1406="","",$B1406&amp;"|"&amp;TEXT($A1406,"yyyymmdd")&amp;"|"&amp;TEXT($I1406,"0.00"))</f>
        <v/>
      </c>
      <c r="V1406" s="35" t="str">
        <f aca="false">IF($A1406="","",COUNTIF($U$8:$U$5007,$U1406))</f>
        <v/>
      </c>
    </row>
    <row r="1407" customFormat="false" ht="15" hidden="false" customHeight="false" outlineLevel="0" collapsed="false">
      <c r="A1407" s="31"/>
      <c r="B1407" s="32"/>
      <c r="C1407" s="32"/>
      <c r="D1407" s="32"/>
      <c r="E1407" s="32"/>
      <c r="F1407" s="32"/>
      <c r="G1407" s="33"/>
      <c r="H1407" s="33"/>
      <c r="I1407" s="34" t="str">
        <f aca="false">IF($A1407="","",$G1407-$H1407)</f>
        <v/>
      </c>
      <c r="J1407" s="35" t="str">
        <f aca="false">IF($A1407="","",IF(Setup!$B$6=1,YEAR($A1407),YEAR($A1407)+IF(MONTH($A1407)&gt;=Setup!$B$6,1,0)))</f>
        <v/>
      </c>
      <c r="K1407" s="35" t="str">
        <f aca="false">IF($A1407="","",MOD(MONTH($A1407)-Setup!$B$6+12,12)+1)</f>
        <v/>
      </c>
      <c r="L1407" s="36" t="str">
        <f aca="false">IF($A1407="","",TEXT($A1407,"MMM-YY"))</f>
        <v/>
      </c>
      <c r="M1407" s="37" t="str">
        <f aca="false">IF($A1407="","",IF($Q1407=0,"UNMAPPED",INDEX(COA_Mapping!$C$7:$C$256,$Q1407)))</f>
        <v/>
      </c>
      <c r="N1407" s="38" t="str">
        <f aca="false">IF($A1407="","",IF($Q1407=0,"",INDEX(COA_Mapping!$E$7:$E$256,$Q1407)))</f>
        <v/>
      </c>
      <c r="O1407" s="38" t="n">
        <f aca="false">IF($A1407="",1,IF($Q1407=0,1,INDEX(COA_Mapping!$F$7:$F$256,$Q1407)))</f>
        <v>1</v>
      </c>
      <c r="P1407" s="34" t="str">
        <f aca="false">IF($A1407="","",$I1407*$O1407)</f>
        <v/>
      </c>
      <c r="Q1407" s="39" t="n">
        <f aca="false">IF($B1407="",0,IFERROR(MATCH($B1407,COA_Mapping!$A$7:$A$256,0),0))</f>
        <v>0</v>
      </c>
      <c r="R1407" s="39" t="n">
        <f aca="false">IF($A1407="",-1,IF($J1407=Setup!$B$7,1,IF($J1407=Setup!$B$9,0,-1)))</f>
        <v>-1</v>
      </c>
      <c r="S1407" s="35" t="n">
        <f aca="false">IF(OR($A1407="",$Q1407=0,$R1407=-1),0,$Q1407*1000+$R1407*100+$K1407)</f>
        <v>0</v>
      </c>
      <c r="T1407" s="37" t="str">
        <f aca="false">IF($A1407="","",IF($B1407="","NO ACCOUNT",IF($Q1407=0,"UNMAPPED",IF($R1407=-1,"OUTSIDE FY RANGE","OK"))))</f>
        <v/>
      </c>
      <c r="U1407" s="40" t="str">
        <f aca="false">IF($A1407="","",$B1407&amp;"|"&amp;TEXT($A1407,"yyyymmdd")&amp;"|"&amp;TEXT($I1407,"0.00"))</f>
        <v/>
      </c>
      <c r="V1407" s="35" t="str">
        <f aca="false">IF($A1407="","",COUNTIF($U$8:$U$5007,$U1407))</f>
        <v/>
      </c>
    </row>
    <row r="1408" customFormat="false" ht="15" hidden="false" customHeight="false" outlineLevel="0" collapsed="false">
      <c r="A1408" s="31"/>
      <c r="B1408" s="32"/>
      <c r="C1408" s="32"/>
      <c r="D1408" s="32"/>
      <c r="E1408" s="32"/>
      <c r="F1408" s="32"/>
      <c r="G1408" s="33"/>
      <c r="H1408" s="33"/>
      <c r="I1408" s="34" t="str">
        <f aca="false">IF($A1408="","",$G1408-$H1408)</f>
        <v/>
      </c>
      <c r="J1408" s="35" t="str">
        <f aca="false">IF($A1408="","",IF(Setup!$B$6=1,YEAR($A1408),YEAR($A1408)+IF(MONTH($A1408)&gt;=Setup!$B$6,1,0)))</f>
        <v/>
      </c>
      <c r="K1408" s="35" t="str">
        <f aca="false">IF($A1408="","",MOD(MONTH($A1408)-Setup!$B$6+12,12)+1)</f>
        <v/>
      </c>
      <c r="L1408" s="36" t="str">
        <f aca="false">IF($A1408="","",TEXT($A1408,"MMM-YY"))</f>
        <v/>
      </c>
      <c r="M1408" s="37" t="str">
        <f aca="false">IF($A1408="","",IF($Q1408=0,"UNMAPPED",INDEX(COA_Mapping!$C$7:$C$256,$Q1408)))</f>
        <v/>
      </c>
      <c r="N1408" s="38" t="str">
        <f aca="false">IF($A1408="","",IF($Q1408=0,"",INDEX(COA_Mapping!$E$7:$E$256,$Q1408)))</f>
        <v/>
      </c>
      <c r="O1408" s="38" t="n">
        <f aca="false">IF($A1408="",1,IF($Q1408=0,1,INDEX(COA_Mapping!$F$7:$F$256,$Q1408)))</f>
        <v>1</v>
      </c>
      <c r="P1408" s="34" t="str">
        <f aca="false">IF($A1408="","",$I1408*$O1408)</f>
        <v/>
      </c>
      <c r="Q1408" s="39" t="n">
        <f aca="false">IF($B1408="",0,IFERROR(MATCH($B1408,COA_Mapping!$A$7:$A$256,0),0))</f>
        <v>0</v>
      </c>
      <c r="R1408" s="39" t="n">
        <f aca="false">IF($A1408="",-1,IF($J1408=Setup!$B$7,1,IF($J1408=Setup!$B$9,0,-1)))</f>
        <v>-1</v>
      </c>
      <c r="S1408" s="35" t="n">
        <f aca="false">IF(OR($A1408="",$Q1408=0,$R1408=-1),0,$Q1408*1000+$R1408*100+$K1408)</f>
        <v>0</v>
      </c>
      <c r="T1408" s="37" t="str">
        <f aca="false">IF($A1408="","",IF($B1408="","NO ACCOUNT",IF($Q1408=0,"UNMAPPED",IF($R1408=-1,"OUTSIDE FY RANGE","OK"))))</f>
        <v/>
      </c>
      <c r="U1408" s="40" t="str">
        <f aca="false">IF($A1408="","",$B1408&amp;"|"&amp;TEXT($A1408,"yyyymmdd")&amp;"|"&amp;TEXT($I1408,"0.00"))</f>
        <v/>
      </c>
      <c r="V1408" s="35" t="str">
        <f aca="false">IF($A1408="","",COUNTIF($U$8:$U$5007,$U1408))</f>
        <v/>
      </c>
    </row>
    <row r="1409" customFormat="false" ht="15" hidden="false" customHeight="false" outlineLevel="0" collapsed="false">
      <c r="A1409" s="31"/>
      <c r="B1409" s="32"/>
      <c r="C1409" s="32"/>
      <c r="D1409" s="32"/>
      <c r="E1409" s="32"/>
      <c r="F1409" s="32"/>
      <c r="G1409" s="33"/>
      <c r="H1409" s="33"/>
      <c r="I1409" s="34" t="str">
        <f aca="false">IF($A1409="","",$G1409-$H1409)</f>
        <v/>
      </c>
      <c r="J1409" s="35" t="str">
        <f aca="false">IF($A1409="","",IF(Setup!$B$6=1,YEAR($A1409),YEAR($A1409)+IF(MONTH($A1409)&gt;=Setup!$B$6,1,0)))</f>
        <v/>
      </c>
      <c r="K1409" s="35" t="str">
        <f aca="false">IF($A1409="","",MOD(MONTH($A1409)-Setup!$B$6+12,12)+1)</f>
        <v/>
      </c>
      <c r="L1409" s="36" t="str">
        <f aca="false">IF($A1409="","",TEXT($A1409,"MMM-YY"))</f>
        <v/>
      </c>
      <c r="M1409" s="37" t="str">
        <f aca="false">IF($A1409="","",IF($Q1409=0,"UNMAPPED",INDEX(COA_Mapping!$C$7:$C$256,$Q1409)))</f>
        <v/>
      </c>
      <c r="N1409" s="38" t="str">
        <f aca="false">IF($A1409="","",IF($Q1409=0,"",INDEX(COA_Mapping!$E$7:$E$256,$Q1409)))</f>
        <v/>
      </c>
      <c r="O1409" s="38" t="n">
        <f aca="false">IF($A1409="",1,IF($Q1409=0,1,INDEX(COA_Mapping!$F$7:$F$256,$Q1409)))</f>
        <v>1</v>
      </c>
      <c r="P1409" s="34" t="str">
        <f aca="false">IF($A1409="","",$I1409*$O1409)</f>
        <v/>
      </c>
      <c r="Q1409" s="39" t="n">
        <f aca="false">IF($B1409="",0,IFERROR(MATCH($B1409,COA_Mapping!$A$7:$A$256,0),0))</f>
        <v>0</v>
      </c>
      <c r="R1409" s="39" t="n">
        <f aca="false">IF($A1409="",-1,IF($J1409=Setup!$B$7,1,IF($J1409=Setup!$B$9,0,-1)))</f>
        <v>-1</v>
      </c>
      <c r="S1409" s="35" t="n">
        <f aca="false">IF(OR($A1409="",$Q1409=0,$R1409=-1),0,$Q1409*1000+$R1409*100+$K1409)</f>
        <v>0</v>
      </c>
      <c r="T1409" s="37" t="str">
        <f aca="false">IF($A1409="","",IF($B1409="","NO ACCOUNT",IF($Q1409=0,"UNMAPPED",IF($R1409=-1,"OUTSIDE FY RANGE","OK"))))</f>
        <v/>
      </c>
      <c r="U1409" s="40" t="str">
        <f aca="false">IF($A1409="","",$B1409&amp;"|"&amp;TEXT($A1409,"yyyymmdd")&amp;"|"&amp;TEXT($I1409,"0.00"))</f>
        <v/>
      </c>
      <c r="V1409" s="35" t="str">
        <f aca="false">IF($A1409="","",COUNTIF($U$8:$U$5007,$U1409))</f>
        <v/>
      </c>
    </row>
    <row r="1410" customFormat="false" ht="15" hidden="false" customHeight="false" outlineLevel="0" collapsed="false">
      <c r="A1410" s="31"/>
      <c r="B1410" s="32"/>
      <c r="C1410" s="32"/>
      <c r="D1410" s="32"/>
      <c r="E1410" s="32"/>
      <c r="F1410" s="32"/>
      <c r="G1410" s="33"/>
      <c r="H1410" s="33"/>
      <c r="I1410" s="34" t="str">
        <f aca="false">IF($A1410="","",$G1410-$H1410)</f>
        <v/>
      </c>
      <c r="J1410" s="35" t="str">
        <f aca="false">IF($A1410="","",IF(Setup!$B$6=1,YEAR($A1410),YEAR($A1410)+IF(MONTH($A1410)&gt;=Setup!$B$6,1,0)))</f>
        <v/>
      </c>
      <c r="K1410" s="35" t="str">
        <f aca="false">IF($A1410="","",MOD(MONTH($A1410)-Setup!$B$6+12,12)+1)</f>
        <v/>
      </c>
      <c r="L1410" s="36" t="str">
        <f aca="false">IF($A1410="","",TEXT($A1410,"MMM-YY"))</f>
        <v/>
      </c>
      <c r="M1410" s="37" t="str">
        <f aca="false">IF($A1410="","",IF($Q1410=0,"UNMAPPED",INDEX(COA_Mapping!$C$7:$C$256,$Q1410)))</f>
        <v/>
      </c>
      <c r="N1410" s="38" t="str">
        <f aca="false">IF($A1410="","",IF($Q1410=0,"",INDEX(COA_Mapping!$E$7:$E$256,$Q1410)))</f>
        <v/>
      </c>
      <c r="O1410" s="38" t="n">
        <f aca="false">IF($A1410="",1,IF($Q1410=0,1,INDEX(COA_Mapping!$F$7:$F$256,$Q1410)))</f>
        <v>1</v>
      </c>
      <c r="P1410" s="34" t="str">
        <f aca="false">IF($A1410="","",$I1410*$O1410)</f>
        <v/>
      </c>
      <c r="Q1410" s="39" t="n">
        <f aca="false">IF($B1410="",0,IFERROR(MATCH($B1410,COA_Mapping!$A$7:$A$256,0),0))</f>
        <v>0</v>
      </c>
      <c r="R1410" s="39" t="n">
        <f aca="false">IF($A1410="",-1,IF($J1410=Setup!$B$7,1,IF($J1410=Setup!$B$9,0,-1)))</f>
        <v>-1</v>
      </c>
      <c r="S1410" s="35" t="n">
        <f aca="false">IF(OR($A1410="",$Q1410=0,$R1410=-1),0,$Q1410*1000+$R1410*100+$K1410)</f>
        <v>0</v>
      </c>
      <c r="T1410" s="37" t="str">
        <f aca="false">IF($A1410="","",IF($B1410="","NO ACCOUNT",IF($Q1410=0,"UNMAPPED",IF($R1410=-1,"OUTSIDE FY RANGE","OK"))))</f>
        <v/>
      </c>
      <c r="U1410" s="40" t="str">
        <f aca="false">IF($A1410="","",$B1410&amp;"|"&amp;TEXT($A1410,"yyyymmdd")&amp;"|"&amp;TEXT($I1410,"0.00"))</f>
        <v/>
      </c>
      <c r="V1410" s="35" t="str">
        <f aca="false">IF($A1410="","",COUNTIF($U$8:$U$5007,$U1410))</f>
        <v/>
      </c>
    </row>
    <row r="1411" customFormat="false" ht="15" hidden="false" customHeight="false" outlineLevel="0" collapsed="false">
      <c r="A1411" s="31"/>
      <c r="B1411" s="32"/>
      <c r="C1411" s="32"/>
      <c r="D1411" s="32"/>
      <c r="E1411" s="32"/>
      <c r="F1411" s="32"/>
      <c r="G1411" s="33"/>
      <c r="H1411" s="33"/>
      <c r="I1411" s="34" t="str">
        <f aca="false">IF($A1411="","",$G1411-$H1411)</f>
        <v/>
      </c>
      <c r="J1411" s="35" t="str">
        <f aca="false">IF($A1411="","",IF(Setup!$B$6=1,YEAR($A1411),YEAR($A1411)+IF(MONTH($A1411)&gt;=Setup!$B$6,1,0)))</f>
        <v/>
      </c>
      <c r="K1411" s="35" t="str">
        <f aca="false">IF($A1411="","",MOD(MONTH($A1411)-Setup!$B$6+12,12)+1)</f>
        <v/>
      </c>
      <c r="L1411" s="36" t="str">
        <f aca="false">IF($A1411="","",TEXT($A1411,"MMM-YY"))</f>
        <v/>
      </c>
      <c r="M1411" s="37" t="str">
        <f aca="false">IF($A1411="","",IF($Q1411=0,"UNMAPPED",INDEX(COA_Mapping!$C$7:$C$256,$Q1411)))</f>
        <v/>
      </c>
      <c r="N1411" s="38" t="str">
        <f aca="false">IF($A1411="","",IF($Q1411=0,"",INDEX(COA_Mapping!$E$7:$E$256,$Q1411)))</f>
        <v/>
      </c>
      <c r="O1411" s="38" t="n">
        <f aca="false">IF($A1411="",1,IF($Q1411=0,1,INDEX(COA_Mapping!$F$7:$F$256,$Q1411)))</f>
        <v>1</v>
      </c>
      <c r="P1411" s="34" t="str">
        <f aca="false">IF($A1411="","",$I1411*$O1411)</f>
        <v/>
      </c>
      <c r="Q1411" s="39" t="n">
        <f aca="false">IF($B1411="",0,IFERROR(MATCH($B1411,COA_Mapping!$A$7:$A$256,0),0))</f>
        <v>0</v>
      </c>
      <c r="R1411" s="39" t="n">
        <f aca="false">IF($A1411="",-1,IF($J1411=Setup!$B$7,1,IF($J1411=Setup!$B$9,0,-1)))</f>
        <v>-1</v>
      </c>
      <c r="S1411" s="35" t="n">
        <f aca="false">IF(OR($A1411="",$Q1411=0,$R1411=-1),0,$Q1411*1000+$R1411*100+$K1411)</f>
        <v>0</v>
      </c>
      <c r="T1411" s="37" t="str">
        <f aca="false">IF($A1411="","",IF($B1411="","NO ACCOUNT",IF($Q1411=0,"UNMAPPED",IF($R1411=-1,"OUTSIDE FY RANGE","OK"))))</f>
        <v/>
      </c>
      <c r="U1411" s="40" t="str">
        <f aca="false">IF($A1411="","",$B1411&amp;"|"&amp;TEXT($A1411,"yyyymmdd")&amp;"|"&amp;TEXT($I1411,"0.00"))</f>
        <v/>
      </c>
      <c r="V1411" s="35" t="str">
        <f aca="false">IF($A1411="","",COUNTIF($U$8:$U$5007,$U1411))</f>
        <v/>
      </c>
    </row>
    <row r="1412" customFormat="false" ht="15" hidden="false" customHeight="false" outlineLevel="0" collapsed="false">
      <c r="A1412" s="31"/>
      <c r="B1412" s="32"/>
      <c r="C1412" s="32"/>
      <c r="D1412" s="32"/>
      <c r="E1412" s="32"/>
      <c r="F1412" s="32"/>
      <c r="G1412" s="33"/>
      <c r="H1412" s="33"/>
      <c r="I1412" s="34" t="str">
        <f aca="false">IF($A1412="","",$G1412-$H1412)</f>
        <v/>
      </c>
      <c r="J1412" s="35" t="str">
        <f aca="false">IF($A1412="","",IF(Setup!$B$6=1,YEAR($A1412),YEAR($A1412)+IF(MONTH($A1412)&gt;=Setup!$B$6,1,0)))</f>
        <v/>
      </c>
      <c r="K1412" s="35" t="str">
        <f aca="false">IF($A1412="","",MOD(MONTH($A1412)-Setup!$B$6+12,12)+1)</f>
        <v/>
      </c>
      <c r="L1412" s="36" t="str">
        <f aca="false">IF($A1412="","",TEXT($A1412,"MMM-YY"))</f>
        <v/>
      </c>
      <c r="M1412" s="37" t="str">
        <f aca="false">IF($A1412="","",IF($Q1412=0,"UNMAPPED",INDEX(COA_Mapping!$C$7:$C$256,$Q1412)))</f>
        <v/>
      </c>
      <c r="N1412" s="38" t="str">
        <f aca="false">IF($A1412="","",IF($Q1412=0,"",INDEX(COA_Mapping!$E$7:$E$256,$Q1412)))</f>
        <v/>
      </c>
      <c r="O1412" s="38" t="n">
        <f aca="false">IF($A1412="",1,IF($Q1412=0,1,INDEX(COA_Mapping!$F$7:$F$256,$Q1412)))</f>
        <v>1</v>
      </c>
      <c r="P1412" s="34" t="str">
        <f aca="false">IF($A1412="","",$I1412*$O1412)</f>
        <v/>
      </c>
      <c r="Q1412" s="39" t="n">
        <f aca="false">IF($B1412="",0,IFERROR(MATCH($B1412,COA_Mapping!$A$7:$A$256,0),0))</f>
        <v>0</v>
      </c>
      <c r="R1412" s="39" t="n">
        <f aca="false">IF($A1412="",-1,IF($J1412=Setup!$B$7,1,IF($J1412=Setup!$B$9,0,-1)))</f>
        <v>-1</v>
      </c>
      <c r="S1412" s="35" t="n">
        <f aca="false">IF(OR($A1412="",$Q1412=0,$R1412=-1),0,$Q1412*1000+$R1412*100+$K1412)</f>
        <v>0</v>
      </c>
      <c r="T1412" s="37" t="str">
        <f aca="false">IF($A1412="","",IF($B1412="","NO ACCOUNT",IF($Q1412=0,"UNMAPPED",IF($R1412=-1,"OUTSIDE FY RANGE","OK"))))</f>
        <v/>
      </c>
      <c r="U1412" s="40" t="str">
        <f aca="false">IF($A1412="","",$B1412&amp;"|"&amp;TEXT($A1412,"yyyymmdd")&amp;"|"&amp;TEXT($I1412,"0.00"))</f>
        <v/>
      </c>
      <c r="V1412" s="35" t="str">
        <f aca="false">IF($A1412="","",COUNTIF($U$8:$U$5007,$U1412))</f>
        <v/>
      </c>
    </row>
    <row r="1413" customFormat="false" ht="15" hidden="false" customHeight="false" outlineLevel="0" collapsed="false">
      <c r="A1413" s="31"/>
      <c r="B1413" s="32"/>
      <c r="C1413" s="32"/>
      <c r="D1413" s="32"/>
      <c r="E1413" s="32"/>
      <c r="F1413" s="32"/>
      <c r="G1413" s="33"/>
      <c r="H1413" s="33"/>
      <c r="I1413" s="34" t="str">
        <f aca="false">IF($A1413="","",$G1413-$H1413)</f>
        <v/>
      </c>
      <c r="J1413" s="35" t="str">
        <f aca="false">IF($A1413="","",IF(Setup!$B$6=1,YEAR($A1413),YEAR($A1413)+IF(MONTH($A1413)&gt;=Setup!$B$6,1,0)))</f>
        <v/>
      </c>
      <c r="K1413" s="35" t="str">
        <f aca="false">IF($A1413="","",MOD(MONTH($A1413)-Setup!$B$6+12,12)+1)</f>
        <v/>
      </c>
      <c r="L1413" s="36" t="str">
        <f aca="false">IF($A1413="","",TEXT($A1413,"MMM-YY"))</f>
        <v/>
      </c>
      <c r="M1413" s="37" t="str">
        <f aca="false">IF($A1413="","",IF($Q1413=0,"UNMAPPED",INDEX(COA_Mapping!$C$7:$C$256,$Q1413)))</f>
        <v/>
      </c>
      <c r="N1413" s="38" t="str">
        <f aca="false">IF($A1413="","",IF($Q1413=0,"",INDEX(COA_Mapping!$E$7:$E$256,$Q1413)))</f>
        <v/>
      </c>
      <c r="O1413" s="38" t="n">
        <f aca="false">IF($A1413="",1,IF($Q1413=0,1,INDEX(COA_Mapping!$F$7:$F$256,$Q1413)))</f>
        <v>1</v>
      </c>
      <c r="P1413" s="34" t="str">
        <f aca="false">IF($A1413="","",$I1413*$O1413)</f>
        <v/>
      </c>
      <c r="Q1413" s="39" t="n">
        <f aca="false">IF($B1413="",0,IFERROR(MATCH($B1413,COA_Mapping!$A$7:$A$256,0),0))</f>
        <v>0</v>
      </c>
      <c r="R1413" s="39" t="n">
        <f aca="false">IF($A1413="",-1,IF($J1413=Setup!$B$7,1,IF($J1413=Setup!$B$9,0,-1)))</f>
        <v>-1</v>
      </c>
      <c r="S1413" s="35" t="n">
        <f aca="false">IF(OR($A1413="",$Q1413=0,$R1413=-1),0,$Q1413*1000+$R1413*100+$K1413)</f>
        <v>0</v>
      </c>
      <c r="T1413" s="37" t="str">
        <f aca="false">IF($A1413="","",IF($B1413="","NO ACCOUNT",IF($Q1413=0,"UNMAPPED",IF($R1413=-1,"OUTSIDE FY RANGE","OK"))))</f>
        <v/>
      </c>
      <c r="U1413" s="40" t="str">
        <f aca="false">IF($A1413="","",$B1413&amp;"|"&amp;TEXT($A1413,"yyyymmdd")&amp;"|"&amp;TEXT($I1413,"0.00"))</f>
        <v/>
      </c>
      <c r="V1413" s="35" t="str">
        <f aca="false">IF($A1413="","",COUNTIF($U$8:$U$5007,$U1413))</f>
        <v/>
      </c>
    </row>
    <row r="1414" customFormat="false" ht="15" hidden="false" customHeight="false" outlineLevel="0" collapsed="false">
      <c r="A1414" s="31"/>
      <c r="B1414" s="32"/>
      <c r="C1414" s="32"/>
      <c r="D1414" s="32"/>
      <c r="E1414" s="32"/>
      <c r="F1414" s="32"/>
      <c r="G1414" s="33"/>
      <c r="H1414" s="33"/>
      <c r="I1414" s="34" t="str">
        <f aca="false">IF($A1414="","",$G1414-$H1414)</f>
        <v/>
      </c>
      <c r="J1414" s="35" t="str">
        <f aca="false">IF($A1414="","",IF(Setup!$B$6=1,YEAR($A1414),YEAR($A1414)+IF(MONTH($A1414)&gt;=Setup!$B$6,1,0)))</f>
        <v/>
      </c>
      <c r="K1414" s="35" t="str">
        <f aca="false">IF($A1414="","",MOD(MONTH($A1414)-Setup!$B$6+12,12)+1)</f>
        <v/>
      </c>
      <c r="L1414" s="36" t="str">
        <f aca="false">IF($A1414="","",TEXT($A1414,"MMM-YY"))</f>
        <v/>
      </c>
      <c r="M1414" s="37" t="str">
        <f aca="false">IF($A1414="","",IF($Q1414=0,"UNMAPPED",INDEX(COA_Mapping!$C$7:$C$256,$Q1414)))</f>
        <v/>
      </c>
      <c r="N1414" s="38" t="str">
        <f aca="false">IF($A1414="","",IF($Q1414=0,"",INDEX(COA_Mapping!$E$7:$E$256,$Q1414)))</f>
        <v/>
      </c>
      <c r="O1414" s="38" t="n">
        <f aca="false">IF($A1414="",1,IF($Q1414=0,1,INDEX(COA_Mapping!$F$7:$F$256,$Q1414)))</f>
        <v>1</v>
      </c>
      <c r="P1414" s="34" t="str">
        <f aca="false">IF($A1414="","",$I1414*$O1414)</f>
        <v/>
      </c>
      <c r="Q1414" s="39" t="n">
        <f aca="false">IF($B1414="",0,IFERROR(MATCH($B1414,COA_Mapping!$A$7:$A$256,0),0))</f>
        <v>0</v>
      </c>
      <c r="R1414" s="39" t="n">
        <f aca="false">IF($A1414="",-1,IF($J1414=Setup!$B$7,1,IF($J1414=Setup!$B$9,0,-1)))</f>
        <v>-1</v>
      </c>
      <c r="S1414" s="35" t="n">
        <f aca="false">IF(OR($A1414="",$Q1414=0,$R1414=-1),0,$Q1414*1000+$R1414*100+$K1414)</f>
        <v>0</v>
      </c>
      <c r="T1414" s="37" t="str">
        <f aca="false">IF($A1414="","",IF($B1414="","NO ACCOUNT",IF($Q1414=0,"UNMAPPED",IF($R1414=-1,"OUTSIDE FY RANGE","OK"))))</f>
        <v/>
      </c>
      <c r="U1414" s="40" t="str">
        <f aca="false">IF($A1414="","",$B1414&amp;"|"&amp;TEXT($A1414,"yyyymmdd")&amp;"|"&amp;TEXT($I1414,"0.00"))</f>
        <v/>
      </c>
      <c r="V1414" s="35" t="str">
        <f aca="false">IF($A1414="","",COUNTIF($U$8:$U$5007,$U1414))</f>
        <v/>
      </c>
    </row>
    <row r="1415" customFormat="false" ht="15" hidden="false" customHeight="false" outlineLevel="0" collapsed="false">
      <c r="A1415" s="31"/>
      <c r="B1415" s="32"/>
      <c r="C1415" s="32"/>
      <c r="D1415" s="32"/>
      <c r="E1415" s="32"/>
      <c r="F1415" s="32"/>
      <c r="G1415" s="33"/>
      <c r="H1415" s="33"/>
      <c r="I1415" s="34" t="str">
        <f aca="false">IF($A1415="","",$G1415-$H1415)</f>
        <v/>
      </c>
      <c r="J1415" s="35" t="str">
        <f aca="false">IF($A1415="","",IF(Setup!$B$6=1,YEAR($A1415),YEAR($A1415)+IF(MONTH($A1415)&gt;=Setup!$B$6,1,0)))</f>
        <v/>
      </c>
      <c r="K1415" s="35" t="str">
        <f aca="false">IF($A1415="","",MOD(MONTH($A1415)-Setup!$B$6+12,12)+1)</f>
        <v/>
      </c>
      <c r="L1415" s="36" t="str">
        <f aca="false">IF($A1415="","",TEXT($A1415,"MMM-YY"))</f>
        <v/>
      </c>
      <c r="M1415" s="37" t="str">
        <f aca="false">IF($A1415="","",IF($Q1415=0,"UNMAPPED",INDEX(COA_Mapping!$C$7:$C$256,$Q1415)))</f>
        <v/>
      </c>
      <c r="N1415" s="38" t="str">
        <f aca="false">IF($A1415="","",IF($Q1415=0,"",INDEX(COA_Mapping!$E$7:$E$256,$Q1415)))</f>
        <v/>
      </c>
      <c r="O1415" s="38" t="n">
        <f aca="false">IF($A1415="",1,IF($Q1415=0,1,INDEX(COA_Mapping!$F$7:$F$256,$Q1415)))</f>
        <v>1</v>
      </c>
      <c r="P1415" s="34" t="str">
        <f aca="false">IF($A1415="","",$I1415*$O1415)</f>
        <v/>
      </c>
      <c r="Q1415" s="39" t="n">
        <f aca="false">IF($B1415="",0,IFERROR(MATCH($B1415,COA_Mapping!$A$7:$A$256,0),0))</f>
        <v>0</v>
      </c>
      <c r="R1415" s="39" t="n">
        <f aca="false">IF($A1415="",-1,IF($J1415=Setup!$B$7,1,IF($J1415=Setup!$B$9,0,-1)))</f>
        <v>-1</v>
      </c>
      <c r="S1415" s="35" t="n">
        <f aca="false">IF(OR($A1415="",$Q1415=0,$R1415=-1),0,$Q1415*1000+$R1415*100+$K1415)</f>
        <v>0</v>
      </c>
      <c r="T1415" s="37" t="str">
        <f aca="false">IF($A1415="","",IF($B1415="","NO ACCOUNT",IF($Q1415=0,"UNMAPPED",IF($R1415=-1,"OUTSIDE FY RANGE","OK"))))</f>
        <v/>
      </c>
      <c r="U1415" s="40" t="str">
        <f aca="false">IF($A1415="","",$B1415&amp;"|"&amp;TEXT($A1415,"yyyymmdd")&amp;"|"&amp;TEXT($I1415,"0.00"))</f>
        <v/>
      </c>
      <c r="V1415" s="35" t="str">
        <f aca="false">IF($A1415="","",COUNTIF($U$8:$U$5007,$U1415))</f>
        <v/>
      </c>
    </row>
    <row r="1416" customFormat="false" ht="15" hidden="false" customHeight="false" outlineLevel="0" collapsed="false">
      <c r="A1416" s="31"/>
      <c r="B1416" s="32"/>
      <c r="C1416" s="32"/>
      <c r="D1416" s="32"/>
      <c r="E1416" s="32"/>
      <c r="F1416" s="32"/>
      <c r="G1416" s="33"/>
      <c r="H1416" s="33"/>
      <c r="I1416" s="34" t="str">
        <f aca="false">IF($A1416="","",$G1416-$H1416)</f>
        <v/>
      </c>
      <c r="J1416" s="35" t="str">
        <f aca="false">IF($A1416="","",IF(Setup!$B$6=1,YEAR($A1416),YEAR($A1416)+IF(MONTH($A1416)&gt;=Setup!$B$6,1,0)))</f>
        <v/>
      </c>
      <c r="K1416" s="35" t="str">
        <f aca="false">IF($A1416="","",MOD(MONTH($A1416)-Setup!$B$6+12,12)+1)</f>
        <v/>
      </c>
      <c r="L1416" s="36" t="str">
        <f aca="false">IF($A1416="","",TEXT($A1416,"MMM-YY"))</f>
        <v/>
      </c>
      <c r="M1416" s="37" t="str">
        <f aca="false">IF($A1416="","",IF($Q1416=0,"UNMAPPED",INDEX(COA_Mapping!$C$7:$C$256,$Q1416)))</f>
        <v/>
      </c>
      <c r="N1416" s="38" t="str">
        <f aca="false">IF($A1416="","",IF($Q1416=0,"",INDEX(COA_Mapping!$E$7:$E$256,$Q1416)))</f>
        <v/>
      </c>
      <c r="O1416" s="38" t="n">
        <f aca="false">IF($A1416="",1,IF($Q1416=0,1,INDEX(COA_Mapping!$F$7:$F$256,$Q1416)))</f>
        <v>1</v>
      </c>
      <c r="P1416" s="34" t="str">
        <f aca="false">IF($A1416="","",$I1416*$O1416)</f>
        <v/>
      </c>
      <c r="Q1416" s="39" t="n">
        <f aca="false">IF($B1416="",0,IFERROR(MATCH($B1416,COA_Mapping!$A$7:$A$256,0),0))</f>
        <v>0</v>
      </c>
      <c r="R1416" s="39" t="n">
        <f aca="false">IF($A1416="",-1,IF($J1416=Setup!$B$7,1,IF($J1416=Setup!$B$9,0,-1)))</f>
        <v>-1</v>
      </c>
      <c r="S1416" s="35" t="n">
        <f aca="false">IF(OR($A1416="",$Q1416=0,$R1416=-1),0,$Q1416*1000+$R1416*100+$K1416)</f>
        <v>0</v>
      </c>
      <c r="T1416" s="37" t="str">
        <f aca="false">IF($A1416="","",IF($B1416="","NO ACCOUNT",IF($Q1416=0,"UNMAPPED",IF($R1416=-1,"OUTSIDE FY RANGE","OK"))))</f>
        <v/>
      </c>
      <c r="U1416" s="40" t="str">
        <f aca="false">IF($A1416="","",$B1416&amp;"|"&amp;TEXT($A1416,"yyyymmdd")&amp;"|"&amp;TEXT($I1416,"0.00"))</f>
        <v/>
      </c>
      <c r="V1416" s="35" t="str">
        <f aca="false">IF($A1416="","",COUNTIF($U$8:$U$5007,$U1416))</f>
        <v/>
      </c>
    </row>
    <row r="1417" customFormat="false" ht="15" hidden="false" customHeight="false" outlineLevel="0" collapsed="false">
      <c r="A1417" s="31"/>
      <c r="B1417" s="32"/>
      <c r="C1417" s="32"/>
      <c r="D1417" s="32"/>
      <c r="E1417" s="32"/>
      <c r="F1417" s="32"/>
      <c r="G1417" s="33"/>
      <c r="H1417" s="33"/>
      <c r="I1417" s="34" t="str">
        <f aca="false">IF($A1417="","",$G1417-$H1417)</f>
        <v/>
      </c>
      <c r="J1417" s="35" t="str">
        <f aca="false">IF($A1417="","",IF(Setup!$B$6=1,YEAR($A1417),YEAR($A1417)+IF(MONTH($A1417)&gt;=Setup!$B$6,1,0)))</f>
        <v/>
      </c>
      <c r="K1417" s="35" t="str">
        <f aca="false">IF($A1417="","",MOD(MONTH($A1417)-Setup!$B$6+12,12)+1)</f>
        <v/>
      </c>
      <c r="L1417" s="36" t="str">
        <f aca="false">IF($A1417="","",TEXT($A1417,"MMM-YY"))</f>
        <v/>
      </c>
      <c r="M1417" s="37" t="str">
        <f aca="false">IF($A1417="","",IF($Q1417=0,"UNMAPPED",INDEX(COA_Mapping!$C$7:$C$256,$Q1417)))</f>
        <v/>
      </c>
      <c r="N1417" s="38" t="str">
        <f aca="false">IF($A1417="","",IF($Q1417=0,"",INDEX(COA_Mapping!$E$7:$E$256,$Q1417)))</f>
        <v/>
      </c>
      <c r="O1417" s="38" t="n">
        <f aca="false">IF($A1417="",1,IF($Q1417=0,1,INDEX(COA_Mapping!$F$7:$F$256,$Q1417)))</f>
        <v>1</v>
      </c>
      <c r="P1417" s="34" t="str">
        <f aca="false">IF($A1417="","",$I1417*$O1417)</f>
        <v/>
      </c>
      <c r="Q1417" s="39" t="n">
        <f aca="false">IF($B1417="",0,IFERROR(MATCH($B1417,COA_Mapping!$A$7:$A$256,0),0))</f>
        <v>0</v>
      </c>
      <c r="R1417" s="39" t="n">
        <f aca="false">IF($A1417="",-1,IF($J1417=Setup!$B$7,1,IF($J1417=Setup!$B$9,0,-1)))</f>
        <v>-1</v>
      </c>
      <c r="S1417" s="35" t="n">
        <f aca="false">IF(OR($A1417="",$Q1417=0,$R1417=-1),0,$Q1417*1000+$R1417*100+$K1417)</f>
        <v>0</v>
      </c>
      <c r="T1417" s="37" t="str">
        <f aca="false">IF($A1417="","",IF($B1417="","NO ACCOUNT",IF($Q1417=0,"UNMAPPED",IF($R1417=-1,"OUTSIDE FY RANGE","OK"))))</f>
        <v/>
      </c>
      <c r="U1417" s="40" t="str">
        <f aca="false">IF($A1417="","",$B1417&amp;"|"&amp;TEXT($A1417,"yyyymmdd")&amp;"|"&amp;TEXT($I1417,"0.00"))</f>
        <v/>
      </c>
      <c r="V1417" s="35" t="str">
        <f aca="false">IF($A1417="","",COUNTIF($U$8:$U$5007,$U1417))</f>
        <v/>
      </c>
    </row>
    <row r="1418" customFormat="false" ht="15" hidden="false" customHeight="false" outlineLevel="0" collapsed="false">
      <c r="A1418" s="31"/>
      <c r="B1418" s="32"/>
      <c r="C1418" s="32"/>
      <c r="D1418" s="32"/>
      <c r="E1418" s="32"/>
      <c r="F1418" s="32"/>
      <c r="G1418" s="33"/>
      <c r="H1418" s="33"/>
      <c r="I1418" s="34" t="str">
        <f aca="false">IF($A1418="","",$G1418-$H1418)</f>
        <v/>
      </c>
      <c r="J1418" s="35" t="str">
        <f aca="false">IF($A1418="","",IF(Setup!$B$6=1,YEAR($A1418),YEAR($A1418)+IF(MONTH($A1418)&gt;=Setup!$B$6,1,0)))</f>
        <v/>
      </c>
      <c r="K1418" s="35" t="str">
        <f aca="false">IF($A1418="","",MOD(MONTH($A1418)-Setup!$B$6+12,12)+1)</f>
        <v/>
      </c>
      <c r="L1418" s="36" t="str">
        <f aca="false">IF($A1418="","",TEXT($A1418,"MMM-YY"))</f>
        <v/>
      </c>
      <c r="M1418" s="37" t="str">
        <f aca="false">IF($A1418="","",IF($Q1418=0,"UNMAPPED",INDEX(COA_Mapping!$C$7:$C$256,$Q1418)))</f>
        <v/>
      </c>
      <c r="N1418" s="38" t="str">
        <f aca="false">IF($A1418="","",IF($Q1418=0,"",INDEX(COA_Mapping!$E$7:$E$256,$Q1418)))</f>
        <v/>
      </c>
      <c r="O1418" s="38" t="n">
        <f aca="false">IF($A1418="",1,IF($Q1418=0,1,INDEX(COA_Mapping!$F$7:$F$256,$Q1418)))</f>
        <v>1</v>
      </c>
      <c r="P1418" s="34" t="str">
        <f aca="false">IF($A1418="","",$I1418*$O1418)</f>
        <v/>
      </c>
      <c r="Q1418" s="39" t="n">
        <f aca="false">IF($B1418="",0,IFERROR(MATCH($B1418,COA_Mapping!$A$7:$A$256,0),0))</f>
        <v>0</v>
      </c>
      <c r="R1418" s="39" t="n">
        <f aca="false">IF($A1418="",-1,IF($J1418=Setup!$B$7,1,IF($J1418=Setup!$B$9,0,-1)))</f>
        <v>-1</v>
      </c>
      <c r="S1418" s="35" t="n">
        <f aca="false">IF(OR($A1418="",$Q1418=0,$R1418=-1),0,$Q1418*1000+$R1418*100+$K1418)</f>
        <v>0</v>
      </c>
      <c r="T1418" s="37" t="str">
        <f aca="false">IF($A1418="","",IF($B1418="","NO ACCOUNT",IF($Q1418=0,"UNMAPPED",IF($R1418=-1,"OUTSIDE FY RANGE","OK"))))</f>
        <v/>
      </c>
      <c r="U1418" s="40" t="str">
        <f aca="false">IF($A1418="","",$B1418&amp;"|"&amp;TEXT($A1418,"yyyymmdd")&amp;"|"&amp;TEXT($I1418,"0.00"))</f>
        <v/>
      </c>
      <c r="V1418" s="35" t="str">
        <f aca="false">IF($A1418="","",COUNTIF($U$8:$U$5007,$U1418))</f>
        <v/>
      </c>
    </row>
    <row r="1419" customFormat="false" ht="15" hidden="false" customHeight="false" outlineLevel="0" collapsed="false">
      <c r="A1419" s="31"/>
      <c r="B1419" s="32"/>
      <c r="C1419" s="32"/>
      <c r="D1419" s="32"/>
      <c r="E1419" s="32"/>
      <c r="F1419" s="32"/>
      <c r="G1419" s="33"/>
      <c r="H1419" s="33"/>
      <c r="I1419" s="34" t="str">
        <f aca="false">IF($A1419="","",$G1419-$H1419)</f>
        <v/>
      </c>
      <c r="J1419" s="35" t="str">
        <f aca="false">IF($A1419="","",IF(Setup!$B$6=1,YEAR($A1419),YEAR($A1419)+IF(MONTH($A1419)&gt;=Setup!$B$6,1,0)))</f>
        <v/>
      </c>
      <c r="K1419" s="35" t="str">
        <f aca="false">IF($A1419="","",MOD(MONTH($A1419)-Setup!$B$6+12,12)+1)</f>
        <v/>
      </c>
      <c r="L1419" s="36" t="str">
        <f aca="false">IF($A1419="","",TEXT($A1419,"MMM-YY"))</f>
        <v/>
      </c>
      <c r="M1419" s="37" t="str">
        <f aca="false">IF($A1419="","",IF($Q1419=0,"UNMAPPED",INDEX(COA_Mapping!$C$7:$C$256,$Q1419)))</f>
        <v/>
      </c>
      <c r="N1419" s="38" t="str">
        <f aca="false">IF($A1419="","",IF($Q1419=0,"",INDEX(COA_Mapping!$E$7:$E$256,$Q1419)))</f>
        <v/>
      </c>
      <c r="O1419" s="38" t="n">
        <f aca="false">IF($A1419="",1,IF($Q1419=0,1,INDEX(COA_Mapping!$F$7:$F$256,$Q1419)))</f>
        <v>1</v>
      </c>
      <c r="P1419" s="34" t="str">
        <f aca="false">IF($A1419="","",$I1419*$O1419)</f>
        <v/>
      </c>
      <c r="Q1419" s="39" t="n">
        <f aca="false">IF($B1419="",0,IFERROR(MATCH($B1419,COA_Mapping!$A$7:$A$256,0),0))</f>
        <v>0</v>
      </c>
      <c r="R1419" s="39" t="n">
        <f aca="false">IF($A1419="",-1,IF($J1419=Setup!$B$7,1,IF($J1419=Setup!$B$9,0,-1)))</f>
        <v>-1</v>
      </c>
      <c r="S1419" s="35" t="n">
        <f aca="false">IF(OR($A1419="",$Q1419=0,$R1419=-1),0,$Q1419*1000+$R1419*100+$K1419)</f>
        <v>0</v>
      </c>
      <c r="T1419" s="37" t="str">
        <f aca="false">IF($A1419="","",IF($B1419="","NO ACCOUNT",IF($Q1419=0,"UNMAPPED",IF($R1419=-1,"OUTSIDE FY RANGE","OK"))))</f>
        <v/>
      </c>
      <c r="U1419" s="40" t="str">
        <f aca="false">IF($A1419="","",$B1419&amp;"|"&amp;TEXT($A1419,"yyyymmdd")&amp;"|"&amp;TEXT($I1419,"0.00"))</f>
        <v/>
      </c>
      <c r="V1419" s="35" t="str">
        <f aca="false">IF($A1419="","",COUNTIF($U$8:$U$5007,$U1419))</f>
        <v/>
      </c>
    </row>
    <row r="1420" customFormat="false" ht="15" hidden="false" customHeight="false" outlineLevel="0" collapsed="false">
      <c r="A1420" s="31"/>
      <c r="B1420" s="32"/>
      <c r="C1420" s="32"/>
      <c r="D1420" s="32"/>
      <c r="E1420" s="32"/>
      <c r="F1420" s="32"/>
      <c r="G1420" s="33"/>
      <c r="H1420" s="33"/>
      <c r="I1420" s="34" t="str">
        <f aca="false">IF($A1420="","",$G1420-$H1420)</f>
        <v/>
      </c>
      <c r="J1420" s="35" t="str">
        <f aca="false">IF($A1420="","",IF(Setup!$B$6=1,YEAR($A1420),YEAR($A1420)+IF(MONTH($A1420)&gt;=Setup!$B$6,1,0)))</f>
        <v/>
      </c>
      <c r="K1420" s="35" t="str">
        <f aca="false">IF($A1420="","",MOD(MONTH($A1420)-Setup!$B$6+12,12)+1)</f>
        <v/>
      </c>
      <c r="L1420" s="36" t="str">
        <f aca="false">IF($A1420="","",TEXT($A1420,"MMM-YY"))</f>
        <v/>
      </c>
      <c r="M1420" s="37" t="str">
        <f aca="false">IF($A1420="","",IF($Q1420=0,"UNMAPPED",INDEX(COA_Mapping!$C$7:$C$256,$Q1420)))</f>
        <v/>
      </c>
      <c r="N1420" s="38" t="str">
        <f aca="false">IF($A1420="","",IF($Q1420=0,"",INDEX(COA_Mapping!$E$7:$E$256,$Q1420)))</f>
        <v/>
      </c>
      <c r="O1420" s="38" t="n">
        <f aca="false">IF($A1420="",1,IF($Q1420=0,1,INDEX(COA_Mapping!$F$7:$F$256,$Q1420)))</f>
        <v>1</v>
      </c>
      <c r="P1420" s="34" t="str">
        <f aca="false">IF($A1420="","",$I1420*$O1420)</f>
        <v/>
      </c>
      <c r="Q1420" s="39" t="n">
        <f aca="false">IF($B1420="",0,IFERROR(MATCH($B1420,COA_Mapping!$A$7:$A$256,0),0))</f>
        <v>0</v>
      </c>
      <c r="R1420" s="39" t="n">
        <f aca="false">IF($A1420="",-1,IF($J1420=Setup!$B$7,1,IF($J1420=Setup!$B$9,0,-1)))</f>
        <v>-1</v>
      </c>
      <c r="S1420" s="35" t="n">
        <f aca="false">IF(OR($A1420="",$Q1420=0,$R1420=-1),0,$Q1420*1000+$R1420*100+$K1420)</f>
        <v>0</v>
      </c>
      <c r="T1420" s="37" t="str">
        <f aca="false">IF($A1420="","",IF($B1420="","NO ACCOUNT",IF($Q1420=0,"UNMAPPED",IF($R1420=-1,"OUTSIDE FY RANGE","OK"))))</f>
        <v/>
      </c>
      <c r="U1420" s="40" t="str">
        <f aca="false">IF($A1420="","",$B1420&amp;"|"&amp;TEXT($A1420,"yyyymmdd")&amp;"|"&amp;TEXT($I1420,"0.00"))</f>
        <v/>
      </c>
      <c r="V1420" s="35" t="str">
        <f aca="false">IF($A1420="","",COUNTIF($U$8:$U$5007,$U1420))</f>
        <v/>
      </c>
    </row>
    <row r="1421" customFormat="false" ht="15" hidden="false" customHeight="false" outlineLevel="0" collapsed="false">
      <c r="A1421" s="31"/>
      <c r="B1421" s="32"/>
      <c r="C1421" s="32"/>
      <c r="D1421" s="32"/>
      <c r="E1421" s="32"/>
      <c r="F1421" s="32"/>
      <c r="G1421" s="33"/>
      <c r="H1421" s="33"/>
      <c r="I1421" s="34" t="str">
        <f aca="false">IF($A1421="","",$G1421-$H1421)</f>
        <v/>
      </c>
      <c r="J1421" s="35" t="str">
        <f aca="false">IF($A1421="","",IF(Setup!$B$6=1,YEAR($A1421),YEAR($A1421)+IF(MONTH($A1421)&gt;=Setup!$B$6,1,0)))</f>
        <v/>
      </c>
      <c r="K1421" s="35" t="str">
        <f aca="false">IF($A1421="","",MOD(MONTH($A1421)-Setup!$B$6+12,12)+1)</f>
        <v/>
      </c>
      <c r="L1421" s="36" t="str">
        <f aca="false">IF($A1421="","",TEXT($A1421,"MMM-YY"))</f>
        <v/>
      </c>
      <c r="M1421" s="37" t="str">
        <f aca="false">IF($A1421="","",IF($Q1421=0,"UNMAPPED",INDEX(COA_Mapping!$C$7:$C$256,$Q1421)))</f>
        <v/>
      </c>
      <c r="N1421" s="38" t="str">
        <f aca="false">IF($A1421="","",IF($Q1421=0,"",INDEX(COA_Mapping!$E$7:$E$256,$Q1421)))</f>
        <v/>
      </c>
      <c r="O1421" s="38" t="n">
        <f aca="false">IF($A1421="",1,IF($Q1421=0,1,INDEX(COA_Mapping!$F$7:$F$256,$Q1421)))</f>
        <v>1</v>
      </c>
      <c r="P1421" s="34" t="str">
        <f aca="false">IF($A1421="","",$I1421*$O1421)</f>
        <v/>
      </c>
      <c r="Q1421" s="39" t="n">
        <f aca="false">IF($B1421="",0,IFERROR(MATCH($B1421,COA_Mapping!$A$7:$A$256,0),0))</f>
        <v>0</v>
      </c>
      <c r="R1421" s="39" t="n">
        <f aca="false">IF($A1421="",-1,IF($J1421=Setup!$B$7,1,IF($J1421=Setup!$B$9,0,-1)))</f>
        <v>-1</v>
      </c>
      <c r="S1421" s="35" t="n">
        <f aca="false">IF(OR($A1421="",$Q1421=0,$R1421=-1),0,$Q1421*1000+$R1421*100+$K1421)</f>
        <v>0</v>
      </c>
      <c r="T1421" s="37" t="str">
        <f aca="false">IF($A1421="","",IF($B1421="","NO ACCOUNT",IF($Q1421=0,"UNMAPPED",IF($R1421=-1,"OUTSIDE FY RANGE","OK"))))</f>
        <v/>
      </c>
      <c r="U1421" s="40" t="str">
        <f aca="false">IF($A1421="","",$B1421&amp;"|"&amp;TEXT($A1421,"yyyymmdd")&amp;"|"&amp;TEXT($I1421,"0.00"))</f>
        <v/>
      </c>
      <c r="V1421" s="35" t="str">
        <f aca="false">IF($A1421="","",COUNTIF($U$8:$U$5007,$U1421))</f>
        <v/>
      </c>
    </row>
    <row r="1422" customFormat="false" ht="15" hidden="false" customHeight="false" outlineLevel="0" collapsed="false">
      <c r="A1422" s="31"/>
      <c r="B1422" s="32"/>
      <c r="C1422" s="32"/>
      <c r="D1422" s="32"/>
      <c r="E1422" s="32"/>
      <c r="F1422" s="32"/>
      <c r="G1422" s="33"/>
      <c r="H1422" s="33"/>
      <c r="I1422" s="34" t="str">
        <f aca="false">IF($A1422="","",$G1422-$H1422)</f>
        <v/>
      </c>
      <c r="J1422" s="35" t="str">
        <f aca="false">IF($A1422="","",IF(Setup!$B$6=1,YEAR($A1422),YEAR($A1422)+IF(MONTH($A1422)&gt;=Setup!$B$6,1,0)))</f>
        <v/>
      </c>
      <c r="K1422" s="35" t="str">
        <f aca="false">IF($A1422="","",MOD(MONTH($A1422)-Setup!$B$6+12,12)+1)</f>
        <v/>
      </c>
      <c r="L1422" s="36" t="str">
        <f aca="false">IF($A1422="","",TEXT($A1422,"MMM-YY"))</f>
        <v/>
      </c>
      <c r="M1422" s="37" t="str">
        <f aca="false">IF($A1422="","",IF($Q1422=0,"UNMAPPED",INDEX(COA_Mapping!$C$7:$C$256,$Q1422)))</f>
        <v/>
      </c>
      <c r="N1422" s="38" t="str">
        <f aca="false">IF($A1422="","",IF($Q1422=0,"",INDEX(COA_Mapping!$E$7:$E$256,$Q1422)))</f>
        <v/>
      </c>
      <c r="O1422" s="38" t="n">
        <f aca="false">IF($A1422="",1,IF($Q1422=0,1,INDEX(COA_Mapping!$F$7:$F$256,$Q1422)))</f>
        <v>1</v>
      </c>
      <c r="P1422" s="34" t="str">
        <f aca="false">IF($A1422="","",$I1422*$O1422)</f>
        <v/>
      </c>
      <c r="Q1422" s="39" t="n">
        <f aca="false">IF($B1422="",0,IFERROR(MATCH($B1422,COA_Mapping!$A$7:$A$256,0),0))</f>
        <v>0</v>
      </c>
      <c r="R1422" s="39" t="n">
        <f aca="false">IF($A1422="",-1,IF($J1422=Setup!$B$7,1,IF($J1422=Setup!$B$9,0,-1)))</f>
        <v>-1</v>
      </c>
      <c r="S1422" s="35" t="n">
        <f aca="false">IF(OR($A1422="",$Q1422=0,$R1422=-1),0,$Q1422*1000+$R1422*100+$K1422)</f>
        <v>0</v>
      </c>
      <c r="T1422" s="37" t="str">
        <f aca="false">IF($A1422="","",IF($B1422="","NO ACCOUNT",IF($Q1422=0,"UNMAPPED",IF($R1422=-1,"OUTSIDE FY RANGE","OK"))))</f>
        <v/>
      </c>
      <c r="U1422" s="40" t="str">
        <f aca="false">IF($A1422="","",$B1422&amp;"|"&amp;TEXT($A1422,"yyyymmdd")&amp;"|"&amp;TEXT($I1422,"0.00"))</f>
        <v/>
      </c>
      <c r="V1422" s="35" t="str">
        <f aca="false">IF($A1422="","",COUNTIF($U$8:$U$5007,$U1422))</f>
        <v/>
      </c>
    </row>
    <row r="1423" customFormat="false" ht="15" hidden="false" customHeight="false" outlineLevel="0" collapsed="false">
      <c r="A1423" s="31"/>
      <c r="B1423" s="32"/>
      <c r="C1423" s="32"/>
      <c r="D1423" s="32"/>
      <c r="E1423" s="32"/>
      <c r="F1423" s="32"/>
      <c r="G1423" s="33"/>
      <c r="H1423" s="33"/>
      <c r="I1423" s="34" t="str">
        <f aca="false">IF($A1423="","",$G1423-$H1423)</f>
        <v/>
      </c>
      <c r="J1423" s="35" t="str">
        <f aca="false">IF($A1423="","",IF(Setup!$B$6=1,YEAR($A1423),YEAR($A1423)+IF(MONTH($A1423)&gt;=Setup!$B$6,1,0)))</f>
        <v/>
      </c>
      <c r="K1423" s="35" t="str">
        <f aca="false">IF($A1423="","",MOD(MONTH($A1423)-Setup!$B$6+12,12)+1)</f>
        <v/>
      </c>
      <c r="L1423" s="36" t="str">
        <f aca="false">IF($A1423="","",TEXT($A1423,"MMM-YY"))</f>
        <v/>
      </c>
      <c r="M1423" s="37" t="str">
        <f aca="false">IF($A1423="","",IF($Q1423=0,"UNMAPPED",INDEX(COA_Mapping!$C$7:$C$256,$Q1423)))</f>
        <v/>
      </c>
      <c r="N1423" s="38" t="str">
        <f aca="false">IF($A1423="","",IF($Q1423=0,"",INDEX(COA_Mapping!$E$7:$E$256,$Q1423)))</f>
        <v/>
      </c>
      <c r="O1423" s="38" t="n">
        <f aca="false">IF($A1423="",1,IF($Q1423=0,1,INDEX(COA_Mapping!$F$7:$F$256,$Q1423)))</f>
        <v>1</v>
      </c>
      <c r="P1423" s="34" t="str">
        <f aca="false">IF($A1423="","",$I1423*$O1423)</f>
        <v/>
      </c>
      <c r="Q1423" s="39" t="n">
        <f aca="false">IF($B1423="",0,IFERROR(MATCH($B1423,COA_Mapping!$A$7:$A$256,0),0))</f>
        <v>0</v>
      </c>
      <c r="R1423" s="39" t="n">
        <f aca="false">IF($A1423="",-1,IF($J1423=Setup!$B$7,1,IF($J1423=Setup!$B$9,0,-1)))</f>
        <v>-1</v>
      </c>
      <c r="S1423" s="35" t="n">
        <f aca="false">IF(OR($A1423="",$Q1423=0,$R1423=-1),0,$Q1423*1000+$R1423*100+$K1423)</f>
        <v>0</v>
      </c>
      <c r="T1423" s="37" t="str">
        <f aca="false">IF($A1423="","",IF($B1423="","NO ACCOUNT",IF($Q1423=0,"UNMAPPED",IF($R1423=-1,"OUTSIDE FY RANGE","OK"))))</f>
        <v/>
      </c>
      <c r="U1423" s="40" t="str">
        <f aca="false">IF($A1423="","",$B1423&amp;"|"&amp;TEXT($A1423,"yyyymmdd")&amp;"|"&amp;TEXT($I1423,"0.00"))</f>
        <v/>
      </c>
      <c r="V1423" s="35" t="str">
        <f aca="false">IF($A1423="","",COUNTIF($U$8:$U$5007,$U1423))</f>
        <v/>
      </c>
    </row>
    <row r="1424" customFormat="false" ht="15" hidden="false" customHeight="false" outlineLevel="0" collapsed="false">
      <c r="A1424" s="31"/>
      <c r="B1424" s="32"/>
      <c r="C1424" s="32"/>
      <c r="D1424" s="32"/>
      <c r="E1424" s="32"/>
      <c r="F1424" s="32"/>
      <c r="G1424" s="33"/>
      <c r="H1424" s="33"/>
      <c r="I1424" s="34" t="str">
        <f aca="false">IF($A1424="","",$G1424-$H1424)</f>
        <v/>
      </c>
      <c r="J1424" s="35" t="str">
        <f aca="false">IF($A1424="","",IF(Setup!$B$6=1,YEAR($A1424),YEAR($A1424)+IF(MONTH($A1424)&gt;=Setup!$B$6,1,0)))</f>
        <v/>
      </c>
      <c r="K1424" s="35" t="str">
        <f aca="false">IF($A1424="","",MOD(MONTH($A1424)-Setup!$B$6+12,12)+1)</f>
        <v/>
      </c>
      <c r="L1424" s="36" t="str">
        <f aca="false">IF($A1424="","",TEXT($A1424,"MMM-YY"))</f>
        <v/>
      </c>
      <c r="M1424" s="37" t="str">
        <f aca="false">IF($A1424="","",IF($Q1424=0,"UNMAPPED",INDEX(COA_Mapping!$C$7:$C$256,$Q1424)))</f>
        <v/>
      </c>
      <c r="N1424" s="38" t="str">
        <f aca="false">IF($A1424="","",IF($Q1424=0,"",INDEX(COA_Mapping!$E$7:$E$256,$Q1424)))</f>
        <v/>
      </c>
      <c r="O1424" s="38" t="n">
        <f aca="false">IF($A1424="",1,IF($Q1424=0,1,INDEX(COA_Mapping!$F$7:$F$256,$Q1424)))</f>
        <v>1</v>
      </c>
      <c r="P1424" s="34" t="str">
        <f aca="false">IF($A1424="","",$I1424*$O1424)</f>
        <v/>
      </c>
      <c r="Q1424" s="39" t="n">
        <f aca="false">IF($B1424="",0,IFERROR(MATCH($B1424,COA_Mapping!$A$7:$A$256,0),0))</f>
        <v>0</v>
      </c>
      <c r="R1424" s="39" t="n">
        <f aca="false">IF($A1424="",-1,IF($J1424=Setup!$B$7,1,IF($J1424=Setup!$B$9,0,-1)))</f>
        <v>-1</v>
      </c>
      <c r="S1424" s="35" t="n">
        <f aca="false">IF(OR($A1424="",$Q1424=0,$R1424=-1),0,$Q1424*1000+$R1424*100+$K1424)</f>
        <v>0</v>
      </c>
      <c r="T1424" s="37" t="str">
        <f aca="false">IF($A1424="","",IF($B1424="","NO ACCOUNT",IF($Q1424=0,"UNMAPPED",IF($R1424=-1,"OUTSIDE FY RANGE","OK"))))</f>
        <v/>
      </c>
      <c r="U1424" s="40" t="str">
        <f aca="false">IF($A1424="","",$B1424&amp;"|"&amp;TEXT($A1424,"yyyymmdd")&amp;"|"&amp;TEXT($I1424,"0.00"))</f>
        <v/>
      </c>
      <c r="V1424" s="35" t="str">
        <f aca="false">IF($A1424="","",COUNTIF($U$8:$U$5007,$U1424))</f>
        <v/>
      </c>
    </row>
    <row r="1425" customFormat="false" ht="15" hidden="false" customHeight="false" outlineLevel="0" collapsed="false">
      <c r="A1425" s="31"/>
      <c r="B1425" s="32"/>
      <c r="C1425" s="32"/>
      <c r="D1425" s="32"/>
      <c r="E1425" s="32"/>
      <c r="F1425" s="32"/>
      <c r="G1425" s="33"/>
      <c r="H1425" s="33"/>
      <c r="I1425" s="34" t="str">
        <f aca="false">IF($A1425="","",$G1425-$H1425)</f>
        <v/>
      </c>
      <c r="J1425" s="35" t="str">
        <f aca="false">IF($A1425="","",IF(Setup!$B$6=1,YEAR($A1425),YEAR($A1425)+IF(MONTH($A1425)&gt;=Setup!$B$6,1,0)))</f>
        <v/>
      </c>
      <c r="K1425" s="35" t="str">
        <f aca="false">IF($A1425="","",MOD(MONTH($A1425)-Setup!$B$6+12,12)+1)</f>
        <v/>
      </c>
      <c r="L1425" s="36" t="str">
        <f aca="false">IF($A1425="","",TEXT($A1425,"MMM-YY"))</f>
        <v/>
      </c>
      <c r="M1425" s="37" t="str">
        <f aca="false">IF($A1425="","",IF($Q1425=0,"UNMAPPED",INDEX(COA_Mapping!$C$7:$C$256,$Q1425)))</f>
        <v/>
      </c>
      <c r="N1425" s="38" t="str">
        <f aca="false">IF($A1425="","",IF($Q1425=0,"",INDEX(COA_Mapping!$E$7:$E$256,$Q1425)))</f>
        <v/>
      </c>
      <c r="O1425" s="38" t="n">
        <f aca="false">IF($A1425="",1,IF($Q1425=0,1,INDEX(COA_Mapping!$F$7:$F$256,$Q1425)))</f>
        <v>1</v>
      </c>
      <c r="P1425" s="34" t="str">
        <f aca="false">IF($A1425="","",$I1425*$O1425)</f>
        <v/>
      </c>
      <c r="Q1425" s="39" t="n">
        <f aca="false">IF($B1425="",0,IFERROR(MATCH($B1425,COA_Mapping!$A$7:$A$256,0),0))</f>
        <v>0</v>
      </c>
      <c r="R1425" s="39" t="n">
        <f aca="false">IF($A1425="",-1,IF($J1425=Setup!$B$7,1,IF($J1425=Setup!$B$9,0,-1)))</f>
        <v>-1</v>
      </c>
      <c r="S1425" s="35" t="n">
        <f aca="false">IF(OR($A1425="",$Q1425=0,$R1425=-1),0,$Q1425*1000+$R1425*100+$K1425)</f>
        <v>0</v>
      </c>
      <c r="T1425" s="37" t="str">
        <f aca="false">IF($A1425="","",IF($B1425="","NO ACCOUNT",IF($Q1425=0,"UNMAPPED",IF($R1425=-1,"OUTSIDE FY RANGE","OK"))))</f>
        <v/>
      </c>
      <c r="U1425" s="40" t="str">
        <f aca="false">IF($A1425="","",$B1425&amp;"|"&amp;TEXT($A1425,"yyyymmdd")&amp;"|"&amp;TEXT($I1425,"0.00"))</f>
        <v/>
      </c>
      <c r="V1425" s="35" t="str">
        <f aca="false">IF($A1425="","",COUNTIF($U$8:$U$5007,$U1425))</f>
        <v/>
      </c>
    </row>
    <row r="1426" customFormat="false" ht="15" hidden="false" customHeight="false" outlineLevel="0" collapsed="false">
      <c r="A1426" s="31"/>
      <c r="B1426" s="32"/>
      <c r="C1426" s="32"/>
      <c r="D1426" s="32"/>
      <c r="E1426" s="32"/>
      <c r="F1426" s="32"/>
      <c r="G1426" s="33"/>
      <c r="H1426" s="33"/>
      <c r="I1426" s="34" t="str">
        <f aca="false">IF($A1426="","",$G1426-$H1426)</f>
        <v/>
      </c>
      <c r="J1426" s="35" t="str">
        <f aca="false">IF($A1426="","",IF(Setup!$B$6=1,YEAR($A1426),YEAR($A1426)+IF(MONTH($A1426)&gt;=Setup!$B$6,1,0)))</f>
        <v/>
      </c>
      <c r="K1426" s="35" t="str">
        <f aca="false">IF($A1426="","",MOD(MONTH($A1426)-Setup!$B$6+12,12)+1)</f>
        <v/>
      </c>
      <c r="L1426" s="36" t="str">
        <f aca="false">IF($A1426="","",TEXT($A1426,"MMM-YY"))</f>
        <v/>
      </c>
      <c r="M1426" s="37" t="str">
        <f aca="false">IF($A1426="","",IF($Q1426=0,"UNMAPPED",INDEX(COA_Mapping!$C$7:$C$256,$Q1426)))</f>
        <v/>
      </c>
      <c r="N1426" s="38" t="str">
        <f aca="false">IF($A1426="","",IF($Q1426=0,"",INDEX(COA_Mapping!$E$7:$E$256,$Q1426)))</f>
        <v/>
      </c>
      <c r="O1426" s="38" t="n">
        <f aca="false">IF($A1426="",1,IF($Q1426=0,1,INDEX(COA_Mapping!$F$7:$F$256,$Q1426)))</f>
        <v>1</v>
      </c>
      <c r="P1426" s="34" t="str">
        <f aca="false">IF($A1426="","",$I1426*$O1426)</f>
        <v/>
      </c>
      <c r="Q1426" s="39" t="n">
        <f aca="false">IF($B1426="",0,IFERROR(MATCH($B1426,COA_Mapping!$A$7:$A$256,0),0))</f>
        <v>0</v>
      </c>
      <c r="R1426" s="39" t="n">
        <f aca="false">IF($A1426="",-1,IF($J1426=Setup!$B$7,1,IF($J1426=Setup!$B$9,0,-1)))</f>
        <v>-1</v>
      </c>
      <c r="S1426" s="35" t="n">
        <f aca="false">IF(OR($A1426="",$Q1426=0,$R1426=-1),0,$Q1426*1000+$R1426*100+$K1426)</f>
        <v>0</v>
      </c>
      <c r="T1426" s="37" t="str">
        <f aca="false">IF($A1426="","",IF($B1426="","NO ACCOUNT",IF($Q1426=0,"UNMAPPED",IF($R1426=-1,"OUTSIDE FY RANGE","OK"))))</f>
        <v/>
      </c>
      <c r="U1426" s="40" t="str">
        <f aca="false">IF($A1426="","",$B1426&amp;"|"&amp;TEXT($A1426,"yyyymmdd")&amp;"|"&amp;TEXT($I1426,"0.00"))</f>
        <v/>
      </c>
      <c r="V1426" s="35" t="str">
        <f aca="false">IF($A1426="","",COUNTIF($U$8:$U$5007,$U1426))</f>
        <v/>
      </c>
    </row>
    <row r="1427" customFormat="false" ht="15" hidden="false" customHeight="false" outlineLevel="0" collapsed="false">
      <c r="A1427" s="31"/>
      <c r="B1427" s="32"/>
      <c r="C1427" s="32"/>
      <c r="D1427" s="32"/>
      <c r="E1427" s="32"/>
      <c r="F1427" s="32"/>
      <c r="G1427" s="33"/>
      <c r="H1427" s="33"/>
      <c r="I1427" s="34" t="str">
        <f aca="false">IF($A1427="","",$G1427-$H1427)</f>
        <v/>
      </c>
      <c r="J1427" s="35" t="str">
        <f aca="false">IF($A1427="","",IF(Setup!$B$6=1,YEAR($A1427),YEAR($A1427)+IF(MONTH($A1427)&gt;=Setup!$B$6,1,0)))</f>
        <v/>
      </c>
      <c r="K1427" s="35" t="str">
        <f aca="false">IF($A1427="","",MOD(MONTH($A1427)-Setup!$B$6+12,12)+1)</f>
        <v/>
      </c>
      <c r="L1427" s="36" t="str">
        <f aca="false">IF($A1427="","",TEXT($A1427,"MMM-YY"))</f>
        <v/>
      </c>
      <c r="M1427" s="37" t="str">
        <f aca="false">IF($A1427="","",IF($Q1427=0,"UNMAPPED",INDEX(COA_Mapping!$C$7:$C$256,$Q1427)))</f>
        <v/>
      </c>
      <c r="N1427" s="38" t="str">
        <f aca="false">IF($A1427="","",IF($Q1427=0,"",INDEX(COA_Mapping!$E$7:$E$256,$Q1427)))</f>
        <v/>
      </c>
      <c r="O1427" s="38" t="n">
        <f aca="false">IF($A1427="",1,IF($Q1427=0,1,INDEX(COA_Mapping!$F$7:$F$256,$Q1427)))</f>
        <v>1</v>
      </c>
      <c r="P1427" s="34" t="str">
        <f aca="false">IF($A1427="","",$I1427*$O1427)</f>
        <v/>
      </c>
      <c r="Q1427" s="39" t="n">
        <f aca="false">IF($B1427="",0,IFERROR(MATCH($B1427,COA_Mapping!$A$7:$A$256,0),0))</f>
        <v>0</v>
      </c>
      <c r="R1427" s="39" t="n">
        <f aca="false">IF($A1427="",-1,IF($J1427=Setup!$B$7,1,IF($J1427=Setup!$B$9,0,-1)))</f>
        <v>-1</v>
      </c>
      <c r="S1427" s="35" t="n">
        <f aca="false">IF(OR($A1427="",$Q1427=0,$R1427=-1),0,$Q1427*1000+$R1427*100+$K1427)</f>
        <v>0</v>
      </c>
      <c r="T1427" s="37" t="str">
        <f aca="false">IF($A1427="","",IF($B1427="","NO ACCOUNT",IF($Q1427=0,"UNMAPPED",IF($R1427=-1,"OUTSIDE FY RANGE","OK"))))</f>
        <v/>
      </c>
      <c r="U1427" s="40" t="str">
        <f aca="false">IF($A1427="","",$B1427&amp;"|"&amp;TEXT($A1427,"yyyymmdd")&amp;"|"&amp;TEXT($I1427,"0.00"))</f>
        <v/>
      </c>
      <c r="V1427" s="35" t="str">
        <f aca="false">IF($A1427="","",COUNTIF($U$8:$U$5007,$U1427))</f>
        <v/>
      </c>
    </row>
    <row r="1428" customFormat="false" ht="15" hidden="false" customHeight="false" outlineLevel="0" collapsed="false">
      <c r="A1428" s="31"/>
      <c r="B1428" s="32"/>
      <c r="C1428" s="32"/>
      <c r="D1428" s="32"/>
      <c r="E1428" s="32"/>
      <c r="F1428" s="32"/>
      <c r="G1428" s="33"/>
      <c r="H1428" s="33"/>
      <c r="I1428" s="34" t="str">
        <f aca="false">IF($A1428="","",$G1428-$H1428)</f>
        <v/>
      </c>
      <c r="J1428" s="35" t="str">
        <f aca="false">IF($A1428="","",IF(Setup!$B$6=1,YEAR($A1428),YEAR($A1428)+IF(MONTH($A1428)&gt;=Setup!$B$6,1,0)))</f>
        <v/>
      </c>
      <c r="K1428" s="35" t="str">
        <f aca="false">IF($A1428="","",MOD(MONTH($A1428)-Setup!$B$6+12,12)+1)</f>
        <v/>
      </c>
      <c r="L1428" s="36" t="str">
        <f aca="false">IF($A1428="","",TEXT($A1428,"MMM-YY"))</f>
        <v/>
      </c>
      <c r="M1428" s="37" t="str">
        <f aca="false">IF($A1428="","",IF($Q1428=0,"UNMAPPED",INDEX(COA_Mapping!$C$7:$C$256,$Q1428)))</f>
        <v/>
      </c>
      <c r="N1428" s="38" t="str">
        <f aca="false">IF($A1428="","",IF($Q1428=0,"",INDEX(COA_Mapping!$E$7:$E$256,$Q1428)))</f>
        <v/>
      </c>
      <c r="O1428" s="38" t="n">
        <f aca="false">IF($A1428="",1,IF($Q1428=0,1,INDEX(COA_Mapping!$F$7:$F$256,$Q1428)))</f>
        <v>1</v>
      </c>
      <c r="P1428" s="34" t="str">
        <f aca="false">IF($A1428="","",$I1428*$O1428)</f>
        <v/>
      </c>
      <c r="Q1428" s="39" t="n">
        <f aca="false">IF($B1428="",0,IFERROR(MATCH($B1428,COA_Mapping!$A$7:$A$256,0),0))</f>
        <v>0</v>
      </c>
      <c r="R1428" s="39" t="n">
        <f aca="false">IF($A1428="",-1,IF($J1428=Setup!$B$7,1,IF($J1428=Setup!$B$9,0,-1)))</f>
        <v>-1</v>
      </c>
      <c r="S1428" s="35" t="n">
        <f aca="false">IF(OR($A1428="",$Q1428=0,$R1428=-1),0,$Q1428*1000+$R1428*100+$K1428)</f>
        <v>0</v>
      </c>
      <c r="T1428" s="37" t="str">
        <f aca="false">IF($A1428="","",IF($B1428="","NO ACCOUNT",IF($Q1428=0,"UNMAPPED",IF($R1428=-1,"OUTSIDE FY RANGE","OK"))))</f>
        <v/>
      </c>
      <c r="U1428" s="40" t="str">
        <f aca="false">IF($A1428="","",$B1428&amp;"|"&amp;TEXT($A1428,"yyyymmdd")&amp;"|"&amp;TEXT($I1428,"0.00"))</f>
        <v/>
      </c>
      <c r="V1428" s="35" t="str">
        <f aca="false">IF($A1428="","",COUNTIF($U$8:$U$5007,$U1428))</f>
        <v/>
      </c>
    </row>
    <row r="1429" customFormat="false" ht="15" hidden="false" customHeight="false" outlineLevel="0" collapsed="false">
      <c r="A1429" s="31"/>
      <c r="B1429" s="32"/>
      <c r="C1429" s="32"/>
      <c r="D1429" s="32"/>
      <c r="E1429" s="32"/>
      <c r="F1429" s="32"/>
      <c r="G1429" s="33"/>
      <c r="H1429" s="33"/>
      <c r="I1429" s="34" t="str">
        <f aca="false">IF($A1429="","",$G1429-$H1429)</f>
        <v/>
      </c>
      <c r="J1429" s="35" t="str">
        <f aca="false">IF($A1429="","",IF(Setup!$B$6=1,YEAR($A1429),YEAR($A1429)+IF(MONTH($A1429)&gt;=Setup!$B$6,1,0)))</f>
        <v/>
      </c>
      <c r="K1429" s="35" t="str">
        <f aca="false">IF($A1429="","",MOD(MONTH($A1429)-Setup!$B$6+12,12)+1)</f>
        <v/>
      </c>
      <c r="L1429" s="36" t="str">
        <f aca="false">IF($A1429="","",TEXT($A1429,"MMM-YY"))</f>
        <v/>
      </c>
      <c r="M1429" s="37" t="str">
        <f aca="false">IF($A1429="","",IF($Q1429=0,"UNMAPPED",INDEX(COA_Mapping!$C$7:$C$256,$Q1429)))</f>
        <v/>
      </c>
      <c r="N1429" s="38" t="str">
        <f aca="false">IF($A1429="","",IF($Q1429=0,"",INDEX(COA_Mapping!$E$7:$E$256,$Q1429)))</f>
        <v/>
      </c>
      <c r="O1429" s="38" t="n">
        <f aca="false">IF($A1429="",1,IF($Q1429=0,1,INDEX(COA_Mapping!$F$7:$F$256,$Q1429)))</f>
        <v>1</v>
      </c>
      <c r="P1429" s="34" t="str">
        <f aca="false">IF($A1429="","",$I1429*$O1429)</f>
        <v/>
      </c>
      <c r="Q1429" s="39" t="n">
        <f aca="false">IF($B1429="",0,IFERROR(MATCH($B1429,COA_Mapping!$A$7:$A$256,0),0))</f>
        <v>0</v>
      </c>
      <c r="R1429" s="39" t="n">
        <f aca="false">IF($A1429="",-1,IF($J1429=Setup!$B$7,1,IF($J1429=Setup!$B$9,0,-1)))</f>
        <v>-1</v>
      </c>
      <c r="S1429" s="35" t="n">
        <f aca="false">IF(OR($A1429="",$Q1429=0,$R1429=-1),0,$Q1429*1000+$R1429*100+$K1429)</f>
        <v>0</v>
      </c>
      <c r="T1429" s="37" t="str">
        <f aca="false">IF($A1429="","",IF($B1429="","NO ACCOUNT",IF($Q1429=0,"UNMAPPED",IF($R1429=-1,"OUTSIDE FY RANGE","OK"))))</f>
        <v/>
      </c>
      <c r="U1429" s="40" t="str">
        <f aca="false">IF($A1429="","",$B1429&amp;"|"&amp;TEXT($A1429,"yyyymmdd")&amp;"|"&amp;TEXT($I1429,"0.00"))</f>
        <v/>
      </c>
      <c r="V1429" s="35" t="str">
        <f aca="false">IF($A1429="","",COUNTIF($U$8:$U$5007,$U1429))</f>
        <v/>
      </c>
    </row>
    <row r="1430" customFormat="false" ht="15" hidden="false" customHeight="false" outlineLevel="0" collapsed="false">
      <c r="A1430" s="31"/>
      <c r="B1430" s="32"/>
      <c r="C1430" s="32"/>
      <c r="D1430" s="32"/>
      <c r="E1430" s="32"/>
      <c r="F1430" s="32"/>
      <c r="G1430" s="33"/>
      <c r="H1430" s="33"/>
      <c r="I1430" s="34" t="str">
        <f aca="false">IF($A1430="","",$G1430-$H1430)</f>
        <v/>
      </c>
      <c r="J1430" s="35" t="str">
        <f aca="false">IF($A1430="","",IF(Setup!$B$6=1,YEAR($A1430),YEAR($A1430)+IF(MONTH($A1430)&gt;=Setup!$B$6,1,0)))</f>
        <v/>
      </c>
      <c r="K1430" s="35" t="str">
        <f aca="false">IF($A1430="","",MOD(MONTH($A1430)-Setup!$B$6+12,12)+1)</f>
        <v/>
      </c>
      <c r="L1430" s="36" t="str">
        <f aca="false">IF($A1430="","",TEXT($A1430,"MMM-YY"))</f>
        <v/>
      </c>
      <c r="M1430" s="37" t="str">
        <f aca="false">IF($A1430="","",IF($Q1430=0,"UNMAPPED",INDEX(COA_Mapping!$C$7:$C$256,$Q1430)))</f>
        <v/>
      </c>
      <c r="N1430" s="38" t="str">
        <f aca="false">IF($A1430="","",IF($Q1430=0,"",INDEX(COA_Mapping!$E$7:$E$256,$Q1430)))</f>
        <v/>
      </c>
      <c r="O1430" s="38" t="n">
        <f aca="false">IF($A1430="",1,IF($Q1430=0,1,INDEX(COA_Mapping!$F$7:$F$256,$Q1430)))</f>
        <v>1</v>
      </c>
      <c r="P1430" s="34" t="str">
        <f aca="false">IF($A1430="","",$I1430*$O1430)</f>
        <v/>
      </c>
      <c r="Q1430" s="39" t="n">
        <f aca="false">IF($B1430="",0,IFERROR(MATCH($B1430,COA_Mapping!$A$7:$A$256,0),0))</f>
        <v>0</v>
      </c>
      <c r="R1430" s="39" t="n">
        <f aca="false">IF($A1430="",-1,IF($J1430=Setup!$B$7,1,IF($J1430=Setup!$B$9,0,-1)))</f>
        <v>-1</v>
      </c>
      <c r="S1430" s="35" t="n">
        <f aca="false">IF(OR($A1430="",$Q1430=0,$R1430=-1),0,$Q1430*1000+$R1430*100+$K1430)</f>
        <v>0</v>
      </c>
      <c r="T1430" s="37" t="str">
        <f aca="false">IF($A1430="","",IF($B1430="","NO ACCOUNT",IF($Q1430=0,"UNMAPPED",IF($R1430=-1,"OUTSIDE FY RANGE","OK"))))</f>
        <v/>
      </c>
      <c r="U1430" s="40" t="str">
        <f aca="false">IF($A1430="","",$B1430&amp;"|"&amp;TEXT($A1430,"yyyymmdd")&amp;"|"&amp;TEXT($I1430,"0.00"))</f>
        <v/>
      </c>
      <c r="V1430" s="35" t="str">
        <f aca="false">IF($A1430="","",COUNTIF($U$8:$U$5007,$U1430))</f>
        <v/>
      </c>
    </row>
    <row r="1431" customFormat="false" ht="15" hidden="false" customHeight="false" outlineLevel="0" collapsed="false">
      <c r="A1431" s="31"/>
      <c r="B1431" s="32"/>
      <c r="C1431" s="32"/>
      <c r="D1431" s="32"/>
      <c r="E1431" s="32"/>
      <c r="F1431" s="32"/>
      <c r="G1431" s="33"/>
      <c r="H1431" s="33"/>
      <c r="I1431" s="34" t="str">
        <f aca="false">IF($A1431="","",$G1431-$H1431)</f>
        <v/>
      </c>
      <c r="J1431" s="35" t="str">
        <f aca="false">IF($A1431="","",IF(Setup!$B$6=1,YEAR($A1431),YEAR($A1431)+IF(MONTH($A1431)&gt;=Setup!$B$6,1,0)))</f>
        <v/>
      </c>
      <c r="K1431" s="35" t="str">
        <f aca="false">IF($A1431="","",MOD(MONTH($A1431)-Setup!$B$6+12,12)+1)</f>
        <v/>
      </c>
      <c r="L1431" s="36" t="str">
        <f aca="false">IF($A1431="","",TEXT($A1431,"MMM-YY"))</f>
        <v/>
      </c>
      <c r="M1431" s="37" t="str">
        <f aca="false">IF($A1431="","",IF($Q1431=0,"UNMAPPED",INDEX(COA_Mapping!$C$7:$C$256,$Q1431)))</f>
        <v/>
      </c>
      <c r="N1431" s="38" t="str">
        <f aca="false">IF($A1431="","",IF($Q1431=0,"",INDEX(COA_Mapping!$E$7:$E$256,$Q1431)))</f>
        <v/>
      </c>
      <c r="O1431" s="38" t="n">
        <f aca="false">IF($A1431="",1,IF($Q1431=0,1,INDEX(COA_Mapping!$F$7:$F$256,$Q1431)))</f>
        <v>1</v>
      </c>
      <c r="P1431" s="34" t="str">
        <f aca="false">IF($A1431="","",$I1431*$O1431)</f>
        <v/>
      </c>
      <c r="Q1431" s="39" t="n">
        <f aca="false">IF($B1431="",0,IFERROR(MATCH($B1431,COA_Mapping!$A$7:$A$256,0),0))</f>
        <v>0</v>
      </c>
      <c r="R1431" s="39" t="n">
        <f aca="false">IF($A1431="",-1,IF($J1431=Setup!$B$7,1,IF($J1431=Setup!$B$9,0,-1)))</f>
        <v>-1</v>
      </c>
      <c r="S1431" s="35" t="n">
        <f aca="false">IF(OR($A1431="",$Q1431=0,$R1431=-1),0,$Q1431*1000+$R1431*100+$K1431)</f>
        <v>0</v>
      </c>
      <c r="T1431" s="37" t="str">
        <f aca="false">IF($A1431="","",IF($B1431="","NO ACCOUNT",IF($Q1431=0,"UNMAPPED",IF($R1431=-1,"OUTSIDE FY RANGE","OK"))))</f>
        <v/>
      </c>
      <c r="U1431" s="40" t="str">
        <f aca="false">IF($A1431="","",$B1431&amp;"|"&amp;TEXT($A1431,"yyyymmdd")&amp;"|"&amp;TEXT($I1431,"0.00"))</f>
        <v/>
      </c>
      <c r="V1431" s="35" t="str">
        <f aca="false">IF($A1431="","",COUNTIF($U$8:$U$5007,$U1431))</f>
        <v/>
      </c>
    </row>
    <row r="1432" customFormat="false" ht="15" hidden="false" customHeight="false" outlineLevel="0" collapsed="false">
      <c r="A1432" s="31"/>
      <c r="B1432" s="32"/>
      <c r="C1432" s="32"/>
      <c r="D1432" s="32"/>
      <c r="E1432" s="32"/>
      <c r="F1432" s="32"/>
      <c r="G1432" s="33"/>
      <c r="H1432" s="33"/>
      <c r="I1432" s="34" t="str">
        <f aca="false">IF($A1432="","",$G1432-$H1432)</f>
        <v/>
      </c>
      <c r="J1432" s="35" t="str">
        <f aca="false">IF($A1432="","",IF(Setup!$B$6=1,YEAR($A1432),YEAR($A1432)+IF(MONTH($A1432)&gt;=Setup!$B$6,1,0)))</f>
        <v/>
      </c>
      <c r="K1432" s="35" t="str">
        <f aca="false">IF($A1432="","",MOD(MONTH($A1432)-Setup!$B$6+12,12)+1)</f>
        <v/>
      </c>
      <c r="L1432" s="36" t="str">
        <f aca="false">IF($A1432="","",TEXT($A1432,"MMM-YY"))</f>
        <v/>
      </c>
      <c r="M1432" s="37" t="str">
        <f aca="false">IF($A1432="","",IF($Q1432=0,"UNMAPPED",INDEX(COA_Mapping!$C$7:$C$256,$Q1432)))</f>
        <v/>
      </c>
      <c r="N1432" s="38" t="str">
        <f aca="false">IF($A1432="","",IF($Q1432=0,"",INDEX(COA_Mapping!$E$7:$E$256,$Q1432)))</f>
        <v/>
      </c>
      <c r="O1432" s="38" t="n">
        <f aca="false">IF($A1432="",1,IF($Q1432=0,1,INDEX(COA_Mapping!$F$7:$F$256,$Q1432)))</f>
        <v>1</v>
      </c>
      <c r="P1432" s="34" t="str">
        <f aca="false">IF($A1432="","",$I1432*$O1432)</f>
        <v/>
      </c>
      <c r="Q1432" s="39" t="n">
        <f aca="false">IF($B1432="",0,IFERROR(MATCH($B1432,COA_Mapping!$A$7:$A$256,0),0))</f>
        <v>0</v>
      </c>
      <c r="R1432" s="39" t="n">
        <f aca="false">IF($A1432="",-1,IF($J1432=Setup!$B$7,1,IF($J1432=Setup!$B$9,0,-1)))</f>
        <v>-1</v>
      </c>
      <c r="S1432" s="35" t="n">
        <f aca="false">IF(OR($A1432="",$Q1432=0,$R1432=-1),0,$Q1432*1000+$R1432*100+$K1432)</f>
        <v>0</v>
      </c>
      <c r="T1432" s="37" t="str">
        <f aca="false">IF($A1432="","",IF($B1432="","NO ACCOUNT",IF($Q1432=0,"UNMAPPED",IF($R1432=-1,"OUTSIDE FY RANGE","OK"))))</f>
        <v/>
      </c>
      <c r="U1432" s="40" t="str">
        <f aca="false">IF($A1432="","",$B1432&amp;"|"&amp;TEXT($A1432,"yyyymmdd")&amp;"|"&amp;TEXT($I1432,"0.00"))</f>
        <v/>
      </c>
      <c r="V1432" s="35" t="str">
        <f aca="false">IF($A1432="","",COUNTIF($U$8:$U$5007,$U1432))</f>
        <v/>
      </c>
    </row>
    <row r="1433" customFormat="false" ht="15" hidden="false" customHeight="false" outlineLevel="0" collapsed="false">
      <c r="A1433" s="31"/>
      <c r="B1433" s="32"/>
      <c r="C1433" s="32"/>
      <c r="D1433" s="32"/>
      <c r="E1433" s="32"/>
      <c r="F1433" s="32"/>
      <c r="G1433" s="33"/>
      <c r="H1433" s="33"/>
      <c r="I1433" s="34" t="str">
        <f aca="false">IF($A1433="","",$G1433-$H1433)</f>
        <v/>
      </c>
      <c r="J1433" s="35" t="str">
        <f aca="false">IF($A1433="","",IF(Setup!$B$6=1,YEAR($A1433),YEAR($A1433)+IF(MONTH($A1433)&gt;=Setup!$B$6,1,0)))</f>
        <v/>
      </c>
      <c r="K1433" s="35" t="str">
        <f aca="false">IF($A1433="","",MOD(MONTH($A1433)-Setup!$B$6+12,12)+1)</f>
        <v/>
      </c>
      <c r="L1433" s="36" t="str">
        <f aca="false">IF($A1433="","",TEXT($A1433,"MMM-YY"))</f>
        <v/>
      </c>
      <c r="M1433" s="37" t="str">
        <f aca="false">IF($A1433="","",IF($Q1433=0,"UNMAPPED",INDEX(COA_Mapping!$C$7:$C$256,$Q1433)))</f>
        <v/>
      </c>
      <c r="N1433" s="38" t="str">
        <f aca="false">IF($A1433="","",IF($Q1433=0,"",INDEX(COA_Mapping!$E$7:$E$256,$Q1433)))</f>
        <v/>
      </c>
      <c r="O1433" s="38" t="n">
        <f aca="false">IF($A1433="",1,IF($Q1433=0,1,INDEX(COA_Mapping!$F$7:$F$256,$Q1433)))</f>
        <v>1</v>
      </c>
      <c r="P1433" s="34" t="str">
        <f aca="false">IF($A1433="","",$I1433*$O1433)</f>
        <v/>
      </c>
      <c r="Q1433" s="39" t="n">
        <f aca="false">IF($B1433="",0,IFERROR(MATCH($B1433,COA_Mapping!$A$7:$A$256,0),0))</f>
        <v>0</v>
      </c>
      <c r="R1433" s="39" t="n">
        <f aca="false">IF($A1433="",-1,IF($J1433=Setup!$B$7,1,IF($J1433=Setup!$B$9,0,-1)))</f>
        <v>-1</v>
      </c>
      <c r="S1433" s="35" t="n">
        <f aca="false">IF(OR($A1433="",$Q1433=0,$R1433=-1),0,$Q1433*1000+$R1433*100+$K1433)</f>
        <v>0</v>
      </c>
      <c r="T1433" s="37" t="str">
        <f aca="false">IF($A1433="","",IF($B1433="","NO ACCOUNT",IF($Q1433=0,"UNMAPPED",IF($R1433=-1,"OUTSIDE FY RANGE","OK"))))</f>
        <v/>
      </c>
      <c r="U1433" s="40" t="str">
        <f aca="false">IF($A1433="","",$B1433&amp;"|"&amp;TEXT($A1433,"yyyymmdd")&amp;"|"&amp;TEXT($I1433,"0.00"))</f>
        <v/>
      </c>
      <c r="V1433" s="35" t="str">
        <f aca="false">IF($A1433="","",COUNTIF($U$8:$U$5007,$U1433))</f>
        <v/>
      </c>
    </row>
    <row r="1434" customFormat="false" ht="15" hidden="false" customHeight="false" outlineLevel="0" collapsed="false">
      <c r="A1434" s="31"/>
      <c r="B1434" s="32"/>
      <c r="C1434" s="32"/>
      <c r="D1434" s="32"/>
      <c r="E1434" s="32"/>
      <c r="F1434" s="32"/>
      <c r="G1434" s="33"/>
      <c r="H1434" s="33"/>
      <c r="I1434" s="34" t="str">
        <f aca="false">IF($A1434="","",$G1434-$H1434)</f>
        <v/>
      </c>
      <c r="J1434" s="35" t="str">
        <f aca="false">IF($A1434="","",IF(Setup!$B$6=1,YEAR($A1434),YEAR($A1434)+IF(MONTH($A1434)&gt;=Setup!$B$6,1,0)))</f>
        <v/>
      </c>
      <c r="K1434" s="35" t="str">
        <f aca="false">IF($A1434="","",MOD(MONTH($A1434)-Setup!$B$6+12,12)+1)</f>
        <v/>
      </c>
      <c r="L1434" s="36" t="str">
        <f aca="false">IF($A1434="","",TEXT($A1434,"MMM-YY"))</f>
        <v/>
      </c>
      <c r="M1434" s="37" t="str">
        <f aca="false">IF($A1434="","",IF($Q1434=0,"UNMAPPED",INDEX(COA_Mapping!$C$7:$C$256,$Q1434)))</f>
        <v/>
      </c>
      <c r="N1434" s="38" t="str">
        <f aca="false">IF($A1434="","",IF($Q1434=0,"",INDEX(COA_Mapping!$E$7:$E$256,$Q1434)))</f>
        <v/>
      </c>
      <c r="O1434" s="38" t="n">
        <f aca="false">IF($A1434="",1,IF($Q1434=0,1,INDEX(COA_Mapping!$F$7:$F$256,$Q1434)))</f>
        <v>1</v>
      </c>
      <c r="P1434" s="34" t="str">
        <f aca="false">IF($A1434="","",$I1434*$O1434)</f>
        <v/>
      </c>
      <c r="Q1434" s="39" t="n">
        <f aca="false">IF($B1434="",0,IFERROR(MATCH($B1434,COA_Mapping!$A$7:$A$256,0),0))</f>
        <v>0</v>
      </c>
      <c r="R1434" s="39" t="n">
        <f aca="false">IF($A1434="",-1,IF($J1434=Setup!$B$7,1,IF($J1434=Setup!$B$9,0,-1)))</f>
        <v>-1</v>
      </c>
      <c r="S1434" s="35" t="n">
        <f aca="false">IF(OR($A1434="",$Q1434=0,$R1434=-1),0,$Q1434*1000+$R1434*100+$K1434)</f>
        <v>0</v>
      </c>
      <c r="T1434" s="37" t="str">
        <f aca="false">IF($A1434="","",IF($B1434="","NO ACCOUNT",IF($Q1434=0,"UNMAPPED",IF($R1434=-1,"OUTSIDE FY RANGE","OK"))))</f>
        <v/>
      </c>
      <c r="U1434" s="40" t="str">
        <f aca="false">IF($A1434="","",$B1434&amp;"|"&amp;TEXT($A1434,"yyyymmdd")&amp;"|"&amp;TEXT($I1434,"0.00"))</f>
        <v/>
      </c>
      <c r="V1434" s="35" t="str">
        <f aca="false">IF($A1434="","",COUNTIF($U$8:$U$5007,$U1434))</f>
        <v/>
      </c>
    </row>
    <row r="1435" customFormat="false" ht="15" hidden="false" customHeight="false" outlineLevel="0" collapsed="false">
      <c r="A1435" s="31"/>
      <c r="B1435" s="32"/>
      <c r="C1435" s="32"/>
      <c r="D1435" s="32"/>
      <c r="E1435" s="32"/>
      <c r="F1435" s="32"/>
      <c r="G1435" s="33"/>
      <c r="H1435" s="33"/>
      <c r="I1435" s="34" t="str">
        <f aca="false">IF($A1435="","",$G1435-$H1435)</f>
        <v/>
      </c>
      <c r="J1435" s="35" t="str">
        <f aca="false">IF($A1435="","",IF(Setup!$B$6=1,YEAR($A1435),YEAR($A1435)+IF(MONTH($A1435)&gt;=Setup!$B$6,1,0)))</f>
        <v/>
      </c>
      <c r="K1435" s="35" t="str">
        <f aca="false">IF($A1435="","",MOD(MONTH($A1435)-Setup!$B$6+12,12)+1)</f>
        <v/>
      </c>
      <c r="L1435" s="36" t="str">
        <f aca="false">IF($A1435="","",TEXT($A1435,"MMM-YY"))</f>
        <v/>
      </c>
      <c r="M1435" s="37" t="str">
        <f aca="false">IF($A1435="","",IF($Q1435=0,"UNMAPPED",INDEX(COA_Mapping!$C$7:$C$256,$Q1435)))</f>
        <v/>
      </c>
      <c r="N1435" s="38" t="str">
        <f aca="false">IF($A1435="","",IF($Q1435=0,"",INDEX(COA_Mapping!$E$7:$E$256,$Q1435)))</f>
        <v/>
      </c>
      <c r="O1435" s="38" t="n">
        <f aca="false">IF($A1435="",1,IF($Q1435=0,1,INDEX(COA_Mapping!$F$7:$F$256,$Q1435)))</f>
        <v>1</v>
      </c>
      <c r="P1435" s="34" t="str">
        <f aca="false">IF($A1435="","",$I1435*$O1435)</f>
        <v/>
      </c>
      <c r="Q1435" s="39" t="n">
        <f aca="false">IF($B1435="",0,IFERROR(MATCH($B1435,COA_Mapping!$A$7:$A$256,0),0))</f>
        <v>0</v>
      </c>
      <c r="R1435" s="39" t="n">
        <f aca="false">IF($A1435="",-1,IF($J1435=Setup!$B$7,1,IF($J1435=Setup!$B$9,0,-1)))</f>
        <v>-1</v>
      </c>
      <c r="S1435" s="35" t="n">
        <f aca="false">IF(OR($A1435="",$Q1435=0,$R1435=-1),0,$Q1435*1000+$R1435*100+$K1435)</f>
        <v>0</v>
      </c>
      <c r="T1435" s="37" t="str">
        <f aca="false">IF($A1435="","",IF($B1435="","NO ACCOUNT",IF($Q1435=0,"UNMAPPED",IF($R1435=-1,"OUTSIDE FY RANGE","OK"))))</f>
        <v/>
      </c>
      <c r="U1435" s="40" t="str">
        <f aca="false">IF($A1435="","",$B1435&amp;"|"&amp;TEXT($A1435,"yyyymmdd")&amp;"|"&amp;TEXT($I1435,"0.00"))</f>
        <v/>
      </c>
      <c r="V1435" s="35" t="str">
        <f aca="false">IF($A1435="","",COUNTIF($U$8:$U$5007,$U1435))</f>
        <v/>
      </c>
    </row>
    <row r="1436" customFormat="false" ht="15" hidden="false" customHeight="false" outlineLevel="0" collapsed="false">
      <c r="A1436" s="31"/>
      <c r="B1436" s="32"/>
      <c r="C1436" s="32"/>
      <c r="D1436" s="32"/>
      <c r="E1436" s="32"/>
      <c r="F1436" s="32"/>
      <c r="G1436" s="33"/>
      <c r="H1436" s="33"/>
      <c r="I1436" s="34" t="str">
        <f aca="false">IF($A1436="","",$G1436-$H1436)</f>
        <v/>
      </c>
      <c r="J1436" s="35" t="str">
        <f aca="false">IF($A1436="","",IF(Setup!$B$6=1,YEAR($A1436),YEAR($A1436)+IF(MONTH($A1436)&gt;=Setup!$B$6,1,0)))</f>
        <v/>
      </c>
      <c r="K1436" s="35" t="str">
        <f aca="false">IF($A1436="","",MOD(MONTH($A1436)-Setup!$B$6+12,12)+1)</f>
        <v/>
      </c>
      <c r="L1436" s="36" t="str">
        <f aca="false">IF($A1436="","",TEXT($A1436,"MMM-YY"))</f>
        <v/>
      </c>
      <c r="M1436" s="37" t="str">
        <f aca="false">IF($A1436="","",IF($Q1436=0,"UNMAPPED",INDEX(COA_Mapping!$C$7:$C$256,$Q1436)))</f>
        <v/>
      </c>
      <c r="N1436" s="38" t="str">
        <f aca="false">IF($A1436="","",IF($Q1436=0,"",INDEX(COA_Mapping!$E$7:$E$256,$Q1436)))</f>
        <v/>
      </c>
      <c r="O1436" s="38" t="n">
        <f aca="false">IF($A1436="",1,IF($Q1436=0,1,INDEX(COA_Mapping!$F$7:$F$256,$Q1436)))</f>
        <v>1</v>
      </c>
      <c r="P1436" s="34" t="str">
        <f aca="false">IF($A1436="","",$I1436*$O1436)</f>
        <v/>
      </c>
      <c r="Q1436" s="39" t="n">
        <f aca="false">IF($B1436="",0,IFERROR(MATCH($B1436,COA_Mapping!$A$7:$A$256,0),0))</f>
        <v>0</v>
      </c>
      <c r="R1436" s="39" t="n">
        <f aca="false">IF($A1436="",-1,IF($J1436=Setup!$B$7,1,IF($J1436=Setup!$B$9,0,-1)))</f>
        <v>-1</v>
      </c>
      <c r="S1436" s="35" t="n">
        <f aca="false">IF(OR($A1436="",$Q1436=0,$R1436=-1),0,$Q1436*1000+$R1436*100+$K1436)</f>
        <v>0</v>
      </c>
      <c r="T1436" s="37" t="str">
        <f aca="false">IF($A1436="","",IF($B1436="","NO ACCOUNT",IF($Q1436=0,"UNMAPPED",IF($R1436=-1,"OUTSIDE FY RANGE","OK"))))</f>
        <v/>
      </c>
      <c r="U1436" s="40" t="str">
        <f aca="false">IF($A1436="","",$B1436&amp;"|"&amp;TEXT($A1436,"yyyymmdd")&amp;"|"&amp;TEXT($I1436,"0.00"))</f>
        <v/>
      </c>
      <c r="V1436" s="35" t="str">
        <f aca="false">IF($A1436="","",COUNTIF($U$8:$U$5007,$U1436))</f>
        <v/>
      </c>
    </row>
    <row r="1437" customFormat="false" ht="15" hidden="false" customHeight="false" outlineLevel="0" collapsed="false">
      <c r="A1437" s="31"/>
      <c r="B1437" s="32"/>
      <c r="C1437" s="32"/>
      <c r="D1437" s="32"/>
      <c r="E1437" s="32"/>
      <c r="F1437" s="32"/>
      <c r="G1437" s="33"/>
      <c r="H1437" s="33"/>
      <c r="I1437" s="34" t="str">
        <f aca="false">IF($A1437="","",$G1437-$H1437)</f>
        <v/>
      </c>
      <c r="J1437" s="35" t="str">
        <f aca="false">IF($A1437="","",IF(Setup!$B$6=1,YEAR($A1437),YEAR($A1437)+IF(MONTH($A1437)&gt;=Setup!$B$6,1,0)))</f>
        <v/>
      </c>
      <c r="K1437" s="35" t="str">
        <f aca="false">IF($A1437="","",MOD(MONTH($A1437)-Setup!$B$6+12,12)+1)</f>
        <v/>
      </c>
      <c r="L1437" s="36" t="str">
        <f aca="false">IF($A1437="","",TEXT($A1437,"MMM-YY"))</f>
        <v/>
      </c>
      <c r="M1437" s="37" t="str">
        <f aca="false">IF($A1437="","",IF($Q1437=0,"UNMAPPED",INDEX(COA_Mapping!$C$7:$C$256,$Q1437)))</f>
        <v/>
      </c>
      <c r="N1437" s="38" t="str">
        <f aca="false">IF($A1437="","",IF($Q1437=0,"",INDEX(COA_Mapping!$E$7:$E$256,$Q1437)))</f>
        <v/>
      </c>
      <c r="O1437" s="38" t="n">
        <f aca="false">IF($A1437="",1,IF($Q1437=0,1,INDEX(COA_Mapping!$F$7:$F$256,$Q1437)))</f>
        <v>1</v>
      </c>
      <c r="P1437" s="34" t="str">
        <f aca="false">IF($A1437="","",$I1437*$O1437)</f>
        <v/>
      </c>
      <c r="Q1437" s="39" t="n">
        <f aca="false">IF($B1437="",0,IFERROR(MATCH($B1437,COA_Mapping!$A$7:$A$256,0),0))</f>
        <v>0</v>
      </c>
      <c r="R1437" s="39" t="n">
        <f aca="false">IF($A1437="",-1,IF($J1437=Setup!$B$7,1,IF($J1437=Setup!$B$9,0,-1)))</f>
        <v>-1</v>
      </c>
      <c r="S1437" s="35" t="n">
        <f aca="false">IF(OR($A1437="",$Q1437=0,$R1437=-1),0,$Q1437*1000+$R1437*100+$K1437)</f>
        <v>0</v>
      </c>
      <c r="T1437" s="37" t="str">
        <f aca="false">IF($A1437="","",IF($B1437="","NO ACCOUNT",IF($Q1437=0,"UNMAPPED",IF($R1437=-1,"OUTSIDE FY RANGE","OK"))))</f>
        <v/>
      </c>
      <c r="U1437" s="40" t="str">
        <f aca="false">IF($A1437="","",$B1437&amp;"|"&amp;TEXT($A1437,"yyyymmdd")&amp;"|"&amp;TEXT($I1437,"0.00"))</f>
        <v/>
      </c>
      <c r="V1437" s="35" t="str">
        <f aca="false">IF($A1437="","",COUNTIF($U$8:$U$5007,$U1437))</f>
        <v/>
      </c>
    </row>
    <row r="1438" customFormat="false" ht="15" hidden="false" customHeight="false" outlineLevel="0" collapsed="false">
      <c r="A1438" s="31"/>
      <c r="B1438" s="32"/>
      <c r="C1438" s="32"/>
      <c r="D1438" s="32"/>
      <c r="E1438" s="32"/>
      <c r="F1438" s="32"/>
      <c r="G1438" s="33"/>
      <c r="H1438" s="33"/>
      <c r="I1438" s="34" t="str">
        <f aca="false">IF($A1438="","",$G1438-$H1438)</f>
        <v/>
      </c>
      <c r="J1438" s="35" t="str">
        <f aca="false">IF($A1438="","",IF(Setup!$B$6=1,YEAR($A1438),YEAR($A1438)+IF(MONTH($A1438)&gt;=Setup!$B$6,1,0)))</f>
        <v/>
      </c>
      <c r="K1438" s="35" t="str">
        <f aca="false">IF($A1438="","",MOD(MONTH($A1438)-Setup!$B$6+12,12)+1)</f>
        <v/>
      </c>
      <c r="L1438" s="36" t="str">
        <f aca="false">IF($A1438="","",TEXT($A1438,"MMM-YY"))</f>
        <v/>
      </c>
      <c r="M1438" s="37" t="str">
        <f aca="false">IF($A1438="","",IF($Q1438=0,"UNMAPPED",INDEX(COA_Mapping!$C$7:$C$256,$Q1438)))</f>
        <v/>
      </c>
      <c r="N1438" s="38" t="str">
        <f aca="false">IF($A1438="","",IF($Q1438=0,"",INDEX(COA_Mapping!$E$7:$E$256,$Q1438)))</f>
        <v/>
      </c>
      <c r="O1438" s="38" t="n">
        <f aca="false">IF($A1438="",1,IF($Q1438=0,1,INDEX(COA_Mapping!$F$7:$F$256,$Q1438)))</f>
        <v>1</v>
      </c>
      <c r="P1438" s="34" t="str">
        <f aca="false">IF($A1438="","",$I1438*$O1438)</f>
        <v/>
      </c>
      <c r="Q1438" s="39" t="n">
        <f aca="false">IF($B1438="",0,IFERROR(MATCH($B1438,COA_Mapping!$A$7:$A$256,0),0))</f>
        <v>0</v>
      </c>
      <c r="R1438" s="39" t="n">
        <f aca="false">IF($A1438="",-1,IF($J1438=Setup!$B$7,1,IF($J1438=Setup!$B$9,0,-1)))</f>
        <v>-1</v>
      </c>
      <c r="S1438" s="35" t="n">
        <f aca="false">IF(OR($A1438="",$Q1438=0,$R1438=-1),0,$Q1438*1000+$R1438*100+$K1438)</f>
        <v>0</v>
      </c>
      <c r="T1438" s="37" t="str">
        <f aca="false">IF($A1438="","",IF($B1438="","NO ACCOUNT",IF($Q1438=0,"UNMAPPED",IF($R1438=-1,"OUTSIDE FY RANGE","OK"))))</f>
        <v/>
      </c>
      <c r="U1438" s="40" t="str">
        <f aca="false">IF($A1438="","",$B1438&amp;"|"&amp;TEXT($A1438,"yyyymmdd")&amp;"|"&amp;TEXT($I1438,"0.00"))</f>
        <v/>
      </c>
      <c r="V1438" s="35" t="str">
        <f aca="false">IF($A1438="","",COUNTIF($U$8:$U$5007,$U1438))</f>
        <v/>
      </c>
    </row>
    <row r="1439" customFormat="false" ht="15" hidden="false" customHeight="false" outlineLevel="0" collapsed="false">
      <c r="A1439" s="31"/>
      <c r="B1439" s="32"/>
      <c r="C1439" s="32"/>
      <c r="D1439" s="32"/>
      <c r="E1439" s="32"/>
      <c r="F1439" s="32"/>
      <c r="G1439" s="33"/>
      <c r="H1439" s="33"/>
      <c r="I1439" s="34" t="str">
        <f aca="false">IF($A1439="","",$G1439-$H1439)</f>
        <v/>
      </c>
      <c r="J1439" s="35" t="str">
        <f aca="false">IF($A1439="","",IF(Setup!$B$6=1,YEAR($A1439),YEAR($A1439)+IF(MONTH($A1439)&gt;=Setup!$B$6,1,0)))</f>
        <v/>
      </c>
      <c r="K1439" s="35" t="str">
        <f aca="false">IF($A1439="","",MOD(MONTH($A1439)-Setup!$B$6+12,12)+1)</f>
        <v/>
      </c>
      <c r="L1439" s="36" t="str">
        <f aca="false">IF($A1439="","",TEXT($A1439,"MMM-YY"))</f>
        <v/>
      </c>
      <c r="M1439" s="37" t="str">
        <f aca="false">IF($A1439="","",IF($Q1439=0,"UNMAPPED",INDEX(COA_Mapping!$C$7:$C$256,$Q1439)))</f>
        <v/>
      </c>
      <c r="N1439" s="38" t="str">
        <f aca="false">IF($A1439="","",IF($Q1439=0,"",INDEX(COA_Mapping!$E$7:$E$256,$Q1439)))</f>
        <v/>
      </c>
      <c r="O1439" s="38" t="n">
        <f aca="false">IF($A1439="",1,IF($Q1439=0,1,INDEX(COA_Mapping!$F$7:$F$256,$Q1439)))</f>
        <v>1</v>
      </c>
      <c r="P1439" s="34" t="str">
        <f aca="false">IF($A1439="","",$I1439*$O1439)</f>
        <v/>
      </c>
      <c r="Q1439" s="39" t="n">
        <f aca="false">IF($B1439="",0,IFERROR(MATCH($B1439,COA_Mapping!$A$7:$A$256,0),0))</f>
        <v>0</v>
      </c>
      <c r="R1439" s="39" t="n">
        <f aca="false">IF($A1439="",-1,IF($J1439=Setup!$B$7,1,IF($J1439=Setup!$B$9,0,-1)))</f>
        <v>-1</v>
      </c>
      <c r="S1439" s="35" t="n">
        <f aca="false">IF(OR($A1439="",$Q1439=0,$R1439=-1),0,$Q1439*1000+$R1439*100+$K1439)</f>
        <v>0</v>
      </c>
      <c r="T1439" s="37" t="str">
        <f aca="false">IF($A1439="","",IF($B1439="","NO ACCOUNT",IF($Q1439=0,"UNMAPPED",IF($R1439=-1,"OUTSIDE FY RANGE","OK"))))</f>
        <v/>
      </c>
      <c r="U1439" s="40" t="str">
        <f aca="false">IF($A1439="","",$B1439&amp;"|"&amp;TEXT($A1439,"yyyymmdd")&amp;"|"&amp;TEXT($I1439,"0.00"))</f>
        <v/>
      </c>
      <c r="V1439" s="35" t="str">
        <f aca="false">IF($A1439="","",COUNTIF($U$8:$U$5007,$U1439))</f>
        <v/>
      </c>
    </row>
    <row r="1440" customFormat="false" ht="15" hidden="false" customHeight="false" outlineLevel="0" collapsed="false">
      <c r="A1440" s="31"/>
      <c r="B1440" s="32"/>
      <c r="C1440" s="32"/>
      <c r="D1440" s="32"/>
      <c r="E1440" s="32"/>
      <c r="F1440" s="32"/>
      <c r="G1440" s="33"/>
      <c r="H1440" s="33"/>
      <c r="I1440" s="34" t="str">
        <f aca="false">IF($A1440="","",$G1440-$H1440)</f>
        <v/>
      </c>
      <c r="J1440" s="35" t="str">
        <f aca="false">IF($A1440="","",IF(Setup!$B$6=1,YEAR($A1440),YEAR($A1440)+IF(MONTH($A1440)&gt;=Setup!$B$6,1,0)))</f>
        <v/>
      </c>
      <c r="K1440" s="35" t="str">
        <f aca="false">IF($A1440="","",MOD(MONTH($A1440)-Setup!$B$6+12,12)+1)</f>
        <v/>
      </c>
      <c r="L1440" s="36" t="str">
        <f aca="false">IF($A1440="","",TEXT($A1440,"MMM-YY"))</f>
        <v/>
      </c>
      <c r="M1440" s="37" t="str">
        <f aca="false">IF($A1440="","",IF($Q1440=0,"UNMAPPED",INDEX(COA_Mapping!$C$7:$C$256,$Q1440)))</f>
        <v/>
      </c>
      <c r="N1440" s="38" t="str">
        <f aca="false">IF($A1440="","",IF($Q1440=0,"",INDEX(COA_Mapping!$E$7:$E$256,$Q1440)))</f>
        <v/>
      </c>
      <c r="O1440" s="38" t="n">
        <f aca="false">IF($A1440="",1,IF($Q1440=0,1,INDEX(COA_Mapping!$F$7:$F$256,$Q1440)))</f>
        <v>1</v>
      </c>
      <c r="P1440" s="34" t="str">
        <f aca="false">IF($A1440="","",$I1440*$O1440)</f>
        <v/>
      </c>
      <c r="Q1440" s="39" t="n">
        <f aca="false">IF($B1440="",0,IFERROR(MATCH($B1440,COA_Mapping!$A$7:$A$256,0),0))</f>
        <v>0</v>
      </c>
      <c r="R1440" s="39" t="n">
        <f aca="false">IF($A1440="",-1,IF($J1440=Setup!$B$7,1,IF($J1440=Setup!$B$9,0,-1)))</f>
        <v>-1</v>
      </c>
      <c r="S1440" s="35" t="n">
        <f aca="false">IF(OR($A1440="",$Q1440=0,$R1440=-1),0,$Q1440*1000+$R1440*100+$K1440)</f>
        <v>0</v>
      </c>
      <c r="T1440" s="37" t="str">
        <f aca="false">IF($A1440="","",IF($B1440="","NO ACCOUNT",IF($Q1440=0,"UNMAPPED",IF($R1440=-1,"OUTSIDE FY RANGE","OK"))))</f>
        <v/>
      </c>
      <c r="U1440" s="40" t="str">
        <f aca="false">IF($A1440="","",$B1440&amp;"|"&amp;TEXT($A1440,"yyyymmdd")&amp;"|"&amp;TEXT($I1440,"0.00"))</f>
        <v/>
      </c>
      <c r="V1440" s="35" t="str">
        <f aca="false">IF($A1440="","",COUNTIF($U$8:$U$5007,$U1440))</f>
        <v/>
      </c>
    </row>
    <row r="1441" customFormat="false" ht="15" hidden="false" customHeight="false" outlineLevel="0" collapsed="false">
      <c r="A1441" s="31"/>
      <c r="B1441" s="32"/>
      <c r="C1441" s="32"/>
      <c r="D1441" s="32"/>
      <c r="E1441" s="32"/>
      <c r="F1441" s="32"/>
      <c r="G1441" s="33"/>
      <c r="H1441" s="33"/>
      <c r="I1441" s="34" t="str">
        <f aca="false">IF($A1441="","",$G1441-$H1441)</f>
        <v/>
      </c>
      <c r="J1441" s="35" t="str">
        <f aca="false">IF($A1441="","",IF(Setup!$B$6=1,YEAR($A1441),YEAR($A1441)+IF(MONTH($A1441)&gt;=Setup!$B$6,1,0)))</f>
        <v/>
      </c>
      <c r="K1441" s="35" t="str">
        <f aca="false">IF($A1441="","",MOD(MONTH($A1441)-Setup!$B$6+12,12)+1)</f>
        <v/>
      </c>
      <c r="L1441" s="36" t="str">
        <f aca="false">IF($A1441="","",TEXT($A1441,"MMM-YY"))</f>
        <v/>
      </c>
      <c r="M1441" s="37" t="str">
        <f aca="false">IF($A1441="","",IF($Q1441=0,"UNMAPPED",INDEX(COA_Mapping!$C$7:$C$256,$Q1441)))</f>
        <v/>
      </c>
      <c r="N1441" s="38" t="str">
        <f aca="false">IF($A1441="","",IF($Q1441=0,"",INDEX(COA_Mapping!$E$7:$E$256,$Q1441)))</f>
        <v/>
      </c>
      <c r="O1441" s="38" t="n">
        <f aca="false">IF($A1441="",1,IF($Q1441=0,1,INDEX(COA_Mapping!$F$7:$F$256,$Q1441)))</f>
        <v>1</v>
      </c>
      <c r="P1441" s="34" t="str">
        <f aca="false">IF($A1441="","",$I1441*$O1441)</f>
        <v/>
      </c>
      <c r="Q1441" s="39" t="n">
        <f aca="false">IF($B1441="",0,IFERROR(MATCH($B1441,COA_Mapping!$A$7:$A$256,0),0))</f>
        <v>0</v>
      </c>
      <c r="R1441" s="39" t="n">
        <f aca="false">IF($A1441="",-1,IF($J1441=Setup!$B$7,1,IF($J1441=Setup!$B$9,0,-1)))</f>
        <v>-1</v>
      </c>
      <c r="S1441" s="35" t="n">
        <f aca="false">IF(OR($A1441="",$Q1441=0,$R1441=-1),0,$Q1441*1000+$R1441*100+$K1441)</f>
        <v>0</v>
      </c>
      <c r="T1441" s="37" t="str">
        <f aca="false">IF($A1441="","",IF($B1441="","NO ACCOUNT",IF($Q1441=0,"UNMAPPED",IF($R1441=-1,"OUTSIDE FY RANGE","OK"))))</f>
        <v/>
      </c>
      <c r="U1441" s="40" t="str">
        <f aca="false">IF($A1441="","",$B1441&amp;"|"&amp;TEXT($A1441,"yyyymmdd")&amp;"|"&amp;TEXT($I1441,"0.00"))</f>
        <v/>
      </c>
      <c r="V1441" s="35" t="str">
        <f aca="false">IF($A1441="","",COUNTIF($U$8:$U$5007,$U1441))</f>
        <v/>
      </c>
    </row>
    <row r="1442" customFormat="false" ht="15" hidden="false" customHeight="false" outlineLevel="0" collapsed="false">
      <c r="A1442" s="31"/>
      <c r="B1442" s="32"/>
      <c r="C1442" s="32"/>
      <c r="D1442" s="32"/>
      <c r="E1442" s="32"/>
      <c r="F1442" s="32"/>
      <c r="G1442" s="33"/>
      <c r="H1442" s="33"/>
      <c r="I1442" s="34" t="str">
        <f aca="false">IF($A1442="","",$G1442-$H1442)</f>
        <v/>
      </c>
      <c r="J1442" s="35" t="str">
        <f aca="false">IF($A1442="","",IF(Setup!$B$6=1,YEAR($A1442),YEAR($A1442)+IF(MONTH($A1442)&gt;=Setup!$B$6,1,0)))</f>
        <v/>
      </c>
      <c r="K1442" s="35" t="str">
        <f aca="false">IF($A1442="","",MOD(MONTH($A1442)-Setup!$B$6+12,12)+1)</f>
        <v/>
      </c>
      <c r="L1442" s="36" t="str">
        <f aca="false">IF($A1442="","",TEXT($A1442,"MMM-YY"))</f>
        <v/>
      </c>
      <c r="M1442" s="37" t="str">
        <f aca="false">IF($A1442="","",IF($Q1442=0,"UNMAPPED",INDEX(COA_Mapping!$C$7:$C$256,$Q1442)))</f>
        <v/>
      </c>
      <c r="N1442" s="38" t="str">
        <f aca="false">IF($A1442="","",IF($Q1442=0,"",INDEX(COA_Mapping!$E$7:$E$256,$Q1442)))</f>
        <v/>
      </c>
      <c r="O1442" s="38" t="n">
        <f aca="false">IF($A1442="",1,IF($Q1442=0,1,INDEX(COA_Mapping!$F$7:$F$256,$Q1442)))</f>
        <v>1</v>
      </c>
      <c r="P1442" s="34" t="str">
        <f aca="false">IF($A1442="","",$I1442*$O1442)</f>
        <v/>
      </c>
      <c r="Q1442" s="39" t="n">
        <f aca="false">IF($B1442="",0,IFERROR(MATCH($B1442,COA_Mapping!$A$7:$A$256,0),0))</f>
        <v>0</v>
      </c>
      <c r="R1442" s="39" t="n">
        <f aca="false">IF($A1442="",-1,IF($J1442=Setup!$B$7,1,IF($J1442=Setup!$B$9,0,-1)))</f>
        <v>-1</v>
      </c>
      <c r="S1442" s="35" t="n">
        <f aca="false">IF(OR($A1442="",$Q1442=0,$R1442=-1),0,$Q1442*1000+$R1442*100+$K1442)</f>
        <v>0</v>
      </c>
      <c r="T1442" s="37" t="str">
        <f aca="false">IF($A1442="","",IF($B1442="","NO ACCOUNT",IF($Q1442=0,"UNMAPPED",IF($R1442=-1,"OUTSIDE FY RANGE","OK"))))</f>
        <v/>
      </c>
      <c r="U1442" s="40" t="str">
        <f aca="false">IF($A1442="","",$B1442&amp;"|"&amp;TEXT($A1442,"yyyymmdd")&amp;"|"&amp;TEXT($I1442,"0.00"))</f>
        <v/>
      </c>
      <c r="V1442" s="35" t="str">
        <f aca="false">IF($A1442="","",COUNTIF($U$8:$U$5007,$U1442))</f>
        <v/>
      </c>
    </row>
    <row r="1443" customFormat="false" ht="15" hidden="false" customHeight="false" outlineLevel="0" collapsed="false">
      <c r="A1443" s="31"/>
      <c r="B1443" s="32"/>
      <c r="C1443" s="32"/>
      <c r="D1443" s="32"/>
      <c r="E1443" s="32"/>
      <c r="F1443" s="32"/>
      <c r="G1443" s="33"/>
      <c r="H1443" s="33"/>
      <c r="I1443" s="34" t="str">
        <f aca="false">IF($A1443="","",$G1443-$H1443)</f>
        <v/>
      </c>
      <c r="J1443" s="35" t="str">
        <f aca="false">IF($A1443="","",IF(Setup!$B$6=1,YEAR($A1443),YEAR($A1443)+IF(MONTH($A1443)&gt;=Setup!$B$6,1,0)))</f>
        <v/>
      </c>
      <c r="K1443" s="35" t="str">
        <f aca="false">IF($A1443="","",MOD(MONTH($A1443)-Setup!$B$6+12,12)+1)</f>
        <v/>
      </c>
      <c r="L1443" s="36" t="str">
        <f aca="false">IF($A1443="","",TEXT($A1443,"MMM-YY"))</f>
        <v/>
      </c>
      <c r="M1443" s="37" t="str">
        <f aca="false">IF($A1443="","",IF($Q1443=0,"UNMAPPED",INDEX(COA_Mapping!$C$7:$C$256,$Q1443)))</f>
        <v/>
      </c>
      <c r="N1443" s="38" t="str">
        <f aca="false">IF($A1443="","",IF($Q1443=0,"",INDEX(COA_Mapping!$E$7:$E$256,$Q1443)))</f>
        <v/>
      </c>
      <c r="O1443" s="38" t="n">
        <f aca="false">IF($A1443="",1,IF($Q1443=0,1,INDEX(COA_Mapping!$F$7:$F$256,$Q1443)))</f>
        <v>1</v>
      </c>
      <c r="P1443" s="34" t="str">
        <f aca="false">IF($A1443="","",$I1443*$O1443)</f>
        <v/>
      </c>
      <c r="Q1443" s="39" t="n">
        <f aca="false">IF($B1443="",0,IFERROR(MATCH($B1443,COA_Mapping!$A$7:$A$256,0),0))</f>
        <v>0</v>
      </c>
      <c r="R1443" s="39" t="n">
        <f aca="false">IF($A1443="",-1,IF($J1443=Setup!$B$7,1,IF($J1443=Setup!$B$9,0,-1)))</f>
        <v>-1</v>
      </c>
      <c r="S1443" s="35" t="n">
        <f aca="false">IF(OR($A1443="",$Q1443=0,$R1443=-1),0,$Q1443*1000+$R1443*100+$K1443)</f>
        <v>0</v>
      </c>
      <c r="T1443" s="37" t="str">
        <f aca="false">IF($A1443="","",IF($B1443="","NO ACCOUNT",IF($Q1443=0,"UNMAPPED",IF($R1443=-1,"OUTSIDE FY RANGE","OK"))))</f>
        <v/>
      </c>
      <c r="U1443" s="40" t="str">
        <f aca="false">IF($A1443="","",$B1443&amp;"|"&amp;TEXT($A1443,"yyyymmdd")&amp;"|"&amp;TEXT($I1443,"0.00"))</f>
        <v/>
      </c>
      <c r="V1443" s="35" t="str">
        <f aca="false">IF($A1443="","",COUNTIF($U$8:$U$5007,$U1443))</f>
        <v/>
      </c>
    </row>
    <row r="1444" customFormat="false" ht="15" hidden="false" customHeight="false" outlineLevel="0" collapsed="false">
      <c r="A1444" s="31"/>
      <c r="B1444" s="32"/>
      <c r="C1444" s="32"/>
      <c r="D1444" s="32"/>
      <c r="E1444" s="32"/>
      <c r="F1444" s="32"/>
      <c r="G1444" s="33"/>
      <c r="H1444" s="33"/>
      <c r="I1444" s="34" t="str">
        <f aca="false">IF($A1444="","",$G1444-$H1444)</f>
        <v/>
      </c>
      <c r="J1444" s="35" t="str">
        <f aca="false">IF($A1444="","",IF(Setup!$B$6=1,YEAR($A1444),YEAR($A1444)+IF(MONTH($A1444)&gt;=Setup!$B$6,1,0)))</f>
        <v/>
      </c>
      <c r="K1444" s="35" t="str">
        <f aca="false">IF($A1444="","",MOD(MONTH($A1444)-Setup!$B$6+12,12)+1)</f>
        <v/>
      </c>
      <c r="L1444" s="36" t="str">
        <f aca="false">IF($A1444="","",TEXT($A1444,"MMM-YY"))</f>
        <v/>
      </c>
      <c r="M1444" s="37" t="str">
        <f aca="false">IF($A1444="","",IF($Q1444=0,"UNMAPPED",INDEX(COA_Mapping!$C$7:$C$256,$Q1444)))</f>
        <v/>
      </c>
      <c r="N1444" s="38" t="str">
        <f aca="false">IF($A1444="","",IF($Q1444=0,"",INDEX(COA_Mapping!$E$7:$E$256,$Q1444)))</f>
        <v/>
      </c>
      <c r="O1444" s="38" t="n">
        <f aca="false">IF($A1444="",1,IF($Q1444=0,1,INDEX(COA_Mapping!$F$7:$F$256,$Q1444)))</f>
        <v>1</v>
      </c>
      <c r="P1444" s="34" t="str">
        <f aca="false">IF($A1444="","",$I1444*$O1444)</f>
        <v/>
      </c>
      <c r="Q1444" s="39" t="n">
        <f aca="false">IF($B1444="",0,IFERROR(MATCH($B1444,COA_Mapping!$A$7:$A$256,0),0))</f>
        <v>0</v>
      </c>
      <c r="R1444" s="39" t="n">
        <f aca="false">IF($A1444="",-1,IF($J1444=Setup!$B$7,1,IF($J1444=Setup!$B$9,0,-1)))</f>
        <v>-1</v>
      </c>
      <c r="S1444" s="35" t="n">
        <f aca="false">IF(OR($A1444="",$Q1444=0,$R1444=-1),0,$Q1444*1000+$R1444*100+$K1444)</f>
        <v>0</v>
      </c>
      <c r="T1444" s="37" t="str">
        <f aca="false">IF($A1444="","",IF($B1444="","NO ACCOUNT",IF($Q1444=0,"UNMAPPED",IF($R1444=-1,"OUTSIDE FY RANGE","OK"))))</f>
        <v/>
      </c>
      <c r="U1444" s="40" t="str">
        <f aca="false">IF($A1444="","",$B1444&amp;"|"&amp;TEXT($A1444,"yyyymmdd")&amp;"|"&amp;TEXT($I1444,"0.00"))</f>
        <v/>
      </c>
      <c r="V1444" s="35" t="str">
        <f aca="false">IF($A1444="","",COUNTIF($U$8:$U$5007,$U1444))</f>
        <v/>
      </c>
    </row>
    <row r="1445" customFormat="false" ht="15" hidden="false" customHeight="false" outlineLevel="0" collapsed="false">
      <c r="A1445" s="31"/>
      <c r="B1445" s="32"/>
      <c r="C1445" s="32"/>
      <c r="D1445" s="32"/>
      <c r="E1445" s="32"/>
      <c r="F1445" s="32"/>
      <c r="G1445" s="33"/>
      <c r="H1445" s="33"/>
      <c r="I1445" s="34" t="str">
        <f aca="false">IF($A1445="","",$G1445-$H1445)</f>
        <v/>
      </c>
      <c r="J1445" s="35" t="str">
        <f aca="false">IF($A1445="","",IF(Setup!$B$6=1,YEAR($A1445),YEAR($A1445)+IF(MONTH($A1445)&gt;=Setup!$B$6,1,0)))</f>
        <v/>
      </c>
      <c r="K1445" s="35" t="str">
        <f aca="false">IF($A1445="","",MOD(MONTH($A1445)-Setup!$B$6+12,12)+1)</f>
        <v/>
      </c>
      <c r="L1445" s="36" t="str">
        <f aca="false">IF($A1445="","",TEXT($A1445,"MMM-YY"))</f>
        <v/>
      </c>
      <c r="M1445" s="37" t="str">
        <f aca="false">IF($A1445="","",IF($Q1445=0,"UNMAPPED",INDEX(COA_Mapping!$C$7:$C$256,$Q1445)))</f>
        <v/>
      </c>
      <c r="N1445" s="38" t="str">
        <f aca="false">IF($A1445="","",IF($Q1445=0,"",INDEX(COA_Mapping!$E$7:$E$256,$Q1445)))</f>
        <v/>
      </c>
      <c r="O1445" s="38" t="n">
        <f aca="false">IF($A1445="",1,IF($Q1445=0,1,INDEX(COA_Mapping!$F$7:$F$256,$Q1445)))</f>
        <v>1</v>
      </c>
      <c r="P1445" s="34" t="str">
        <f aca="false">IF($A1445="","",$I1445*$O1445)</f>
        <v/>
      </c>
      <c r="Q1445" s="39" t="n">
        <f aca="false">IF($B1445="",0,IFERROR(MATCH($B1445,COA_Mapping!$A$7:$A$256,0),0))</f>
        <v>0</v>
      </c>
      <c r="R1445" s="39" t="n">
        <f aca="false">IF($A1445="",-1,IF($J1445=Setup!$B$7,1,IF($J1445=Setup!$B$9,0,-1)))</f>
        <v>-1</v>
      </c>
      <c r="S1445" s="35" t="n">
        <f aca="false">IF(OR($A1445="",$Q1445=0,$R1445=-1),0,$Q1445*1000+$R1445*100+$K1445)</f>
        <v>0</v>
      </c>
      <c r="T1445" s="37" t="str">
        <f aca="false">IF($A1445="","",IF($B1445="","NO ACCOUNT",IF($Q1445=0,"UNMAPPED",IF($R1445=-1,"OUTSIDE FY RANGE","OK"))))</f>
        <v/>
      </c>
      <c r="U1445" s="40" t="str">
        <f aca="false">IF($A1445="","",$B1445&amp;"|"&amp;TEXT($A1445,"yyyymmdd")&amp;"|"&amp;TEXT($I1445,"0.00"))</f>
        <v/>
      </c>
      <c r="V1445" s="35" t="str">
        <f aca="false">IF($A1445="","",COUNTIF($U$8:$U$5007,$U1445))</f>
        <v/>
      </c>
    </row>
    <row r="1446" customFormat="false" ht="15" hidden="false" customHeight="false" outlineLevel="0" collapsed="false">
      <c r="A1446" s="31"/>
      <c r="B1446" s="32"/>
      <c r="C1446" s="32"/>
      <c r="D1446" s="32"/>
      <c r="E1446" s="32"/>
      <c r="F1446" s="32"/>
      <c r="G1446" s="33"/>
      <c r="H1446" s="33"/>
      <c r="I1446" s="34" t="str">
        <f aca="false">IF($A1446="","",$G1446-$H1446)</f>
        <v/>
      </c>
      <c r="J1446" s="35" t="str">
        <f aca="false">IF($A1446="","",IF(Setup!$B$6=1,YEAR($A1446),YEAR($A1446)+IF(MONTH($A1446)&gt;=Setup!$B$6,1,0)))</f>
        <v/>
      </c>
      <c r="K1446" s="35" t="str">
        <f aca="false">IF($A1446="","",MOD(MONTH($A1446)-Setup!$B$6+12,12)+1)</f>
        <v/>
      </c>
      <c r="L1446" s="36" t="str">
        <f aca="false">IF($A1446="","",TEXT($A1446,"MMM-YY"))</f>
        <v/>
      </c>
      <c r="M1446" s="37" t="str">
        <f aca="false">IF($A1446="","",IF($Q1446=0,"UNMAPPED",INDEX(COA_Mapping!$C$7:$C$256,$Q1446)))</f>
        <v/>
      </c>
      <c r="N1446" s="38" t="str">
        <f aca="false">IF($A1446="","",IF($Q1446=0,"",INDEX(COA_Mapping!$E$7:$E$256,$Q1446)))</f>
        <v/>
      </c>
      <c r="O1446" s="38" t="n">
        <f aca="false">IF($A1446="",1,IF($Q1446=0,1,INDEX(COA_Mapping!$F$7:$F$256,$Q1446)))</f>
        <v>1</v>
      </c>
      <c r="P1446" s="34" t="str">
        <f aca="false">IF($A1446="","",$I1446*$O1446)</f>
        <v/>
      </c>
      <c r="Q1446" s="39" t="n">
        <f aca="false">IF($B1446="",0,IFERROR(MATCH($B1446,COA_Mapping!$A$7:$A$256,0),0))</f>
        <v>0</v>
      </c>
      <c r="R1446" s="39" t="n">
        <f aca="false">IF($A1446="",-1,IF($J1446=Setup!$B$7,1,IF($J1446=Setup!$B$9,0,-1)))</f>
        <v>-1</v>
      </c>
      <c r="S1446" s="35" t="n">
        <f aca="false">IF(OR($A1446="",$Q1446=0,$R1446=-1),0,$Q1446*1000+$R1446*100+$K1446)</f>
        <v>0</v>
      </c>
      <c r="T1446" s="37" t="str">
        <f aca="false">IF($A1446="","",IF($B1446="","NO ACCOUNT",IF($Q1446=0,"UNMAPPED",IF($R1446=-1,"OUTSIDE FY RANGE","OK"))))</f>
        <v/>
      </c>
      <c r="U1446" s="40" t="str">
        <f aca="false">IF($A1446="","",$B1446&amp;"|"&amp;TEXT($A1446,"yyyymmdd")&amp;"|"&amp;TEXT($I1446,"0.00"))</f>
        <v/>
      </c>
      <c r="V1446" s="35" t="str">
        <f aca="false">IF($A1446="","",COUNTIF($U$8:$U$5007,$U1446))</f>
        <v/>
      </c>
    </row>
    <row r="1447" customFormat="false" ht="15" hidden="false" customHeight="false" outlineLevel="0" collapsed="false">
      <c r="A1447" s="31"/>
      <c r="B1447" s="32"/>
      <c r="C1447" s="32"/>
      <c r="D1447" s="32"/>
      <c r="E1447" s="32"/>
      <c r="F1447" s="32"/>
      <c r="G1447" s="33"/>
      <c r="H1447" s="33"/>
      <c r="I1447" s="34" t="str">
        <f aca="false">IF($A1447="","",$G1447-$H1447)</f>
        <v/>
      </c>
      <c r="J1447" s="35" t="str">
        <f aca="false">IF($A1447="","",IF(Setup!$B$6=1,YEAR($A1447),YEAR($A1447)+IF(MONTH($A1447)&gt;=Setup!$B$6,1,0)))</f>
        <v/>
      </c>
      <c r="K1447" s="35" t="str">
        <f aca="false">IF($A1447="","",MOD(MONTH($A1447)-Setup!$B$6+12,12)+1)</f>
        <v/>
      </c>
      <c r="L1447" s="36" t="str">
        <f aca="false">IF($A1447="","",TEXT($A1447,"MMM-YY"))</f>
        <v/>
      </c>
      <c r="M1447" s="37" t="str">
        <f aca="false">IF($A1447="","",IF($Q1447=0,"UNMAPPED",INDEX(COA_Mapping!$C$7:$C$256,$Q1447)))</f>
        <v/>
      </c>
      <c r="N1447" s="38" t="str">
        <f aca="false">IF($A1447="","",IF($Q1447=0,"",INDEX(COA_Mapping!$E$7:$E$256,$Q1447)))</f>
        <v/>
      </c>
      <c r="O1447" s="38" t="n">
        <f aca="false">IF($A1447="",1,IF($Q1447=0,1,INDEX(COA_Mapping!$F$7:$F$256,$Q1447)))</f>
        <v>1</v>
      </c>
      <c r="P1447" s="34" t="str">
        <f aca="false">IF($A1447="","",$I1447*$O1447)</f>
        <v/>
      </c>
      <c r="Q1447" s="39" t="n">
        <f aca="false">IF($B1447="",0,IFERROR(MATCH($B1447,COA_Mapping!$A$7:$A$256,0),0))</f>
        <v>0</v>
      </c>
      <c r="R1447" s="39" t="n">
        <f aca="false">IF($A1447="",-1,IF($J1447=Setup!$B$7,1,IF($J1447=Setup!$B$9,0,-1)))</f>
        <v>-1</v>
      </c>
      <c r="S1447" s="35" t="n">
        <f aca="false">IF(OR($A1447="",$Q1447=0,$R1447=-1),0,$Q1447*1000+$R1447*100+$K1447)</f>
        <v>0</v>
      </c>
      <c r="T1447" s="37" t="str">
        <f aca="false">IF($A1447="","",IF($B1447="","NO ACCOUNT",IF($Q1447=0,"UNMAPPED",IF($R1447=-1,"OUTSIDE FY RANGE","OK"))))</f>
        <v/>
      </c>
      <c r="U1447" s="40" t="str">
        <f aca="false">IF($A1447="","",$B1447&amp;"|"&amp;TEXT($A1447,"yyyymmdd")&amp;"|"&amp;TEXT($I1447,"0.00"))</f>
        <v/>
      </c>
      <c r="V1447" s="35" t="str">
        <f aca="false">IF($A1447="","",COUNTIF($U$8:$U$5007,$U1447))</f>
        <v/>
      </c>
    </row>
    <row r="1448" customFormat="false" ht="15" hidden="false" customHeight="false" outlineLevel="0" collapsed="false">
      <c r="A1448" s="31"/>
      <c r="B1448" s="32"/>
      <c r="C1448" s="32"/>
      <c r="D1448" s="32"/>
      <c r="E1448" s="32"/>
      <c r="F1448" s="32"/>
      <c r="G1448" s="33"/>
      <c r="H1448" s="33"/>
      <c r="I1448" s="34" t="str">
        <f aca="false">IF($A1448="","",$G1448-$H1448)</f>
        <v/>
      </c>
      <c r="J1448" s="35" t="str">
        <f aca="false">IF($A1448="","",IF(Setup!$B$6=1,YEAR($A1448),YEAR($A1448)+IF(MONTH($A1448)&gt;=Setup!$B$6,1,0)))</f>
        <v/>
      </c>
      <c r="K1448" s="35" t="str">
        <f aca="false">IF($A1448="","",MOD(MONTH($A1448)-Setup!$B$6+12,12)+1)</f>
        <v/>
      </c>
      <c r="L1448" s="36" t="str">
        <f aca="false">IF($A1448="","",TEXT($A1448,"MMM-YY"))</f>
        <v/>
      </c>
      <c r="M1448" s="37" t="str">
        <f aca="false">IF($A1448="","",IF($Q1448=0,"UNMAPPED",INDEX(COA_Mapping!$C$7:$C$256,$Q1448)))</f>
        <v/>
      </c>
      <c r="N1448" s="38" t="str">
        <f aca="false">IF($A1448="","",IF($Q1448=0,"",INDEX(COA_Mapping!$E$7:$E$256,$Q1448)))</f>
        <v/>
      </c>
      <c r="O1448" s="38" t="n">
        <f aca="false">IF($A1448="",1,IF($Q1448=0,1,INDEX(COA_Mapping!$F$7:$F$256,$Q1448)))</f>
        <v>1</v>
      </c>
      <c r="P1448" s="34" t="str">
        <f aca="false">IF($A1448="","",$I1448*$O1448)</f>
        <v/>
      </c>
      <c r="Q1448" s="39" t="n">
        <f aca="false">IF($B1448="",0,IFERROR(MATCH($B1448,COA_Mapping!$A$7:$A$256,0),0))</f>
        <v>0</v>
      </c>
      <c r="R1448" s="39" t="n">
        <f aca="false">IF($A1448="",-1,IF($J1448=Setup!$B$7,1,IF($J1448=Setup!$B$9,0,-1)))</f>
        <v>-1</v>
      </c>
      <c r="S1448" s="35" t="n">
        <f aca="false">IF(OR($A1448="",$Q1448=0,$R1448=-1),0,$Q1448*1000+$R1448*100+$K1448)</f>
        <v>0</v>
      </c>
      <c r="T1448" s="37" t="str">
        <f aca="false">IF($A1448="","",IF($B1448="","NO ACCOUNT",IF($Q1448=0,"UNMAPPED",IF($R1448=-1,"OUTSIDE FY RANGE","OK"))))</f>
        <v/>
      </c>
      <c r="U1448" s="40" t="str">
        <f aca="false">IF($A1448="","",$B1448&amp;"|"&amp;TEXT($A1448,"yyyymmdd")&amp;"|"&amp;TEXT($I1448,"0.00"))</f>
        <v/>
      </c>
      <c r="V1448" s="35" t="str">
        <f aca="false">IF($A1448="","",COUNTIF($U$8:$U$5007,$U1448))</f>
        <v/>
      </c>
    </row>
    <row r="1449" customFormat="false" ht="15" hidden="false" customHeight="false" outlineLevel="0" collapsed="false">
      <c r="A1449" s="31"/>
      <c r="B1449" s="32"/>
      <c r="C1449" s="32"/>
      <c r="D1449" s="32"/>
      <c r="E1449" s="32"/>
      <c r="F1449" s="32"/>
      <c r="G1449" s="33"/>
      <c r="H1449" s="33"/>
      <c r="I1449" s="34" t="str">
        <f aca="false">IF($A1449="","",$G1449-$H1449)</f>
        <v/>
      </c>
      <c r="J1449" s="35" t="str">
        <f aca="false">IF($A1449="","",IF(Setup!$B$6=1,YEAR($A1449),YEAR($A1449)+IF(MONTH($A1449)&gt;=Setup!$B$6,1,0)))</f>
        <v/>
      </c>
      <c r="K1449" s="35" t="str">
        <f aca="false">IF($A1449="","",MOD(MONTH($A1449)-Setup!$B$6+12,12)+1)</f>
        <v/>
      </c>
      <c r="L1449" s="36" t="str">
        <f aca="false">IF($A1449="","",TEXT($A1449,"MMM-YY"))</f>
        <v/>
      </c>
      <c r="M1449" s="37" t="str">
        <f aca="false">IF($A1449="","",IF($Q1449=0,"UNMAPPED",INDEX(COA_Mapping!$C$7:$C$256,$Q1449)))</f>
        <v/>
      </c>
      <c r="N1449" s="38" t="str">
        <f aca="false">IF($A1449="","",IF($Q1449=0,"",INDEX(COA_Mapping!$E$7:$E$256,$Q1449)))</f>
        <v/>
      </c>
      <c r="O1449" s="38" t="n">
        <f aca="false">IF($A1449="",1,IF($Q1449=0,1,INDEX(COA_Mapping!$F$7:$F$256,$Q1449)))</f>
        <v>1</v>
      </c>
      <c r="P1449" s="34" t="str">
        <f aca="false">IF($A1449="","",$I1449*$O1449)</f>
        <v/>
      </c>
      <c r="Q1449" s="39" t="n">
        <f aca="false">IF($B1449="",0,IFERROR(MATCH($B1449,COA_Mapping!$A$7:$A$256,0),0))</f>
        <v>0</v>
      </c>
      <c r="R1449" s="39" t="n">
        <f aca="false">IF($A1449="",-1,IF($J1449=Setup!$B$7,1,IF($J1449=Setup!$B$9,0,-1)))</f>
        <v>-1</v>
      </c>
      <c r="S1449" s="35" t="n">
        <f aca="false">IF(OR($A1449="",$Q1449=0,$R1449=-1),0,$Q1449*1000+$R1449*100+$K1449)</f>
        <v>0</v>
      </c>
      <c r="T1449" s="37" t="str">
        <f aca="false">IF($A1449="","",IF($B1449="","NO ACCOUNT",IF($Q1449=0,"UNMAPPED",IF($R1449=-1,"OUTSIDE FY RANGE","OK"))))</f>
        <v/>
      </c>
      <c r="U1449" s="40" t="str">
        <f aca="false">IF($A1449="","",$B1449&amp;"|"&amp;TEXT($A1449,"yyyymmdd")&amp;"|"&amp;TEXT($I1449,"0.00"))</f>
        <v/>
      </c>
      <c r="V1449" s="35" t="str">
        <f aca="false">IF($A1449="","",COUNTIF($U$8:$U$5007,$U1449))</f>
        <v/>
      </c>
    </row>
    <row r="1450" customFormat="false" ht="15" hidden="false" customHeight="false" outlineLevel="0" collapsed="false">
      <c r="A1450" s="31"/>
      <c r="B1450" s="32"/>
      <c r="C1450" s="32"/>
      <c r="D1450" s="32"/>
      <c r="E1450" s="32"/>
      <c r="F1450" s="32"/>
      <c r="G1450" s="33"/>
      <c r="H1450" s="33"/>
      <c r="I1450" s="34" t="str">
        <f aca="false">IF($A1450="","",$G1450-$H1450)</f>
        <v/>
      </c>
      <c r="J1450" s="35" t="str">
        <f aca="false">IF($A1450="","",IF(Setup!$B$6=1,YEAR($A1450),YEAR($A1450)+IF(MONTH($A1450)&gt;=Setup!$B$6,1,0)))</f>
        <v/>
      </c>
      <c r="K1450" s="35" t="str">
        <f aca="false">IF($A1450="","",MOD(MONTH($A1450)-Setup!$B$6+12,12)+1)</f>
        <v/>
      </c>
      <c r="L1450" s="36" t="str">
        <f aca="false">IF($A1450="","",TEXT($A1450,"MMM-YY"))</f>
        <v/>
      </c>
      <c r="M1450" s="37" t="str">
        <f aca="false">IF($A1450="","",IF($Q1450=0,"UNMAPPED",INDEX(COA_Mapping!$C$7:$C$256,$Q1450)))</f>
        <v/>
      </c>
      <c r="N1450" s="38" t="str">
        <f aca="false">IF($A1450="","",IF($Q1450=0,"",INDEX(COA_Mapping!$E$7:$E$256,$Q1450)))</f>
        <v/>
      </c>
      <c r="O1450" s="38" t="n">
        <f aca="false">IF($A1450="",1,IF($Q1450=0,1,INDEX(COA_Mapping!$F$7:$F$256,$Q1450)))</f>
        <v>1</v>
      </c>
      <c r="P1450" s="34" t="str">
        <f aca="false">IF($A1450="","",$I1450*$O1450)</f>
        <v/>
      </c>
      <c r="Q1450" s="39" t="n">
        <f aca="false">IF($B1450="",0,IFERROR(MATCH($B1450,COA_Mapping!$A$7:$A$256,0),0))</f>
        <v>0</v>
      </c>
      <c r="R1450" s="39" t="n">
        <f aca="false">IF($A1450="",-1,IF($J1450=Setup!$B$7,1,IF($J1450=Setup!$B$9,0,-1)))</f>
        <v>-1</v>
      </c>
      <c r="S1450" s="35" t="n">
        <f aca="false">IF(OR($A1450="",$Q1450=0,$R1450=-1),0,$Q1450*1000+$R1450*100+$K1450)</f>
        <v>0</v>
      </c>
      <c r="T1450" s="37" t="str">
        <f aca="false">IF($A1450="","",IF($B1450="","NO ACCOUNT",IF($Q1450=0,"UNMAPPED",IF($R1450=-1,"OUTSIDE FY RANGE","OK"))))</f>
        <v/>
      </c>
      <c r="U1450" s="40" t="str">
        <f aca="false">IF($A1450="","",$B1450&amp;"|"&amp;TEXT($A1450,"yyyymmdd")&amp;"|"&amp;TEXT($I1450,"0.00"))</f>
        <v/>
      </c>
      <c r="V1450" s="35" t="str">
        <f aca="false">IF($A1450="","",COUNTIF($U$8:$U$5007,$U1450))</f>
        <v/>
      </c>
    </row>
    <row r="1451" customFormat="false" ht="15" hidden="false" customHeight="false" outlineLevel="0" collapsed="false">
      <c r="A1451" s="31"/>
      <c r="B1451" s="32"/>
      <c r="C1451" s="32"/>
      <c r="D1451" s="32"/>
      <c r="E1451" s="32"/>
      <c r="F1451" s="32"/>
      <c r="G1451" s="33"/>
      <c r="H1451" s="33"/>
      <c r="I1451" s="34" t="str">
        <f aca="false">IF($A1451="","",$G1451-$H1451)</f>
        <v/>
      </c>
      <c r="J1451" s="35" t="str">
        <f aca="false">IF($A1451="","",IF(Setup!$B$6=1,YEAR($A1451),YEAR($A1451)+IF(MONTH($A1451)&gt;=Setup!$B$6,1,0)))</f>
        <v/>
      </c>
      <c r="K1451" s="35" t="str">
        <f aca="false">IF($A1451="","",MOD(MONTH($A1451)-Setup!$B$6+12,12)+1)</f>
        <v/>
      </c>
      <c r="L1451" s="36" t="str">
        <f aca="false">IF($A1451="","",TEXT($A1451,"MMM-YY"))</f>
        <v/>
      </c>
      <c r="M1451" s="37" t="str">
        <f aca="false">IF($A1451="","",IF($Q1451=0,"UNMAPPED",INDEX(COA_Mapping!$C$7:$C$256,$Q1451)))</f>
        <v/>
      </c>
      <c r="N1451" s="38" t="str">
        <f aca="false">IF($A1451="","",IF($Q1451=0,"",INDEX(COA_Mapping!$E$7:$E$256,$Q1451)))</f>
        <v/>
      </c>
      <c r="O1451" s="38" t="n">
        <f aca="false">IF($A1451="",1,IF($Q1451=0,1,INDEX(COA_Mapping!$F$7:$F$256,$Q1451)))</f>
        <v>1</v>
      </c>
      <c r="P1451" s="34" t="str">
        <f aca="false">IF($A1451="","",$I1451*$O1451)</f>
        <v/>
      </c>
      <c r="Q1451" s="39" t="n">
        <f aca="false">IF($B1451="",0,IFERROR(MATCH($B1451,COA_Mapping!$A$7:$A$256,0),0))</f>
        <v>0</v>
      </c>
      <c r="R1451" s="39" t="n">
        <f aca="false">IF($A1451="",-1,IF($J1451=Setup!$B$7,1,IF($J1451=Setup!$B$9,0,-1)))</f>
        <v>-1</v>
      </c>
      <c r="S1451" s="35" t="n">
        <f aca="false">IF(OR($A1451="",$Q1451=0,$R1451=-1),0,$Q1451*1000+$R1451*100+$K1451)</f>
        <v>0</v>
      </c>
      <c r="T1451" s="37" t="str">
        <f aca="false">IF($A1451="","",IF($B1451="","NO ACCOUNT",IF($Q1451=0,"UNMAPPED",IF($R1451=-1,"OUTSIDE FY RANGE","OK"))))</f>
        <v/>
      </c>
      <c r="U1451" s="40" t="str">
        <f aca="false">IF($A1451="","",$B1451&amp;"|"&amp;TEXT($A1451,"yyyymmdd")&amp;"|"&amp;TEXT($I1451,"0.00"))</f>
        <v/>
      </c>
      <c r="V1451" s="35" t="str">
        <f aca="false">IF($A1451="","",COUNTIF($U$8:$U$5007,$U1451))</f>
        <v/>
      </c>
    </row>
    <row r="1452" customFormat="false" ht="15" hidden="false" customHeight="false" outlineLevel="0" collapsed="false">
      <c r="A1452" s="31"/>
      <c r="B1452" s="32"/>
      <c r="C1452" s="32"/>
      <c r="D1452" s="32"/>
      <c r="E1452" s="32"/>
      <c r="F1452" s="32"/>
      <c r="G1452" s="33"/>
      <c r="H1452" s="33"/>
      <c r="I1452" s="34" t="str">
        <f aca="false">IF($A1452="","",$G1452-$H1452)</f>
        <v/>
      </c>
      <c r="J1452" s="35" t="str">
        <f aca="false">IF($A1452="","",IF(Setup!$B$6=1,YEAR($A1452),YEAR($A1452)+IF(MONTH($A1452)&gt;=Setup!$B$6,1,0)))</f>
        <v/>
      </c>
      <c r="K1452" s="35" t="str">
        <f aca="false">IF($A1452="","",MOD(MONTH($A1452)-Setup!$B$6+12,12)+1)</f>
        <v/>
      </c>
      <c r="L1452" s="36" t="str">
        <f aca="false">IF($A1452="","",TEXT($A1452,"MMM-YY"))</f>
        <v/>
      </c>
      <c r="M1452" s="37" t="str">
        <f aca="false">IF($A1452="","",IF($Q1452=0,"UNMAPPED",INDEX(COA_Mapping!$C$7:$C$256,$Q1452)))</f>
        <v/>
      </c>
      <c r="N1452" s="38" t="str">
        <f aca="false">IF($A1452="","",IF($Q1452=0,"",INDEX(COA_Mapping!$E$7:$E$256,$Q1452)))</f>
        <v/>
      </c>
      <c r="O1452" s="38" t="n">
        <f aca="false">IF($A1452="",1,IF($Q1452=0,1,INDEX(COA_Mapping!$F$7:$F$256,$Q1452)))</f>
        <v>1</v>
      </c>
      <c r="P1452" s="34" t="str">
        <f aca="false">IF($A1452="","",$I1452*$O1452)</f>
        <v/>
      </c>
      <c r="Q1452" s="39" t="n">
        <f aca="false">IF($B1452="",0,IFERROR(MATCH($B1452,COA_Mapping!$A$7:$A$256,0),0))</f>
        <v>0</v>
      </c>
      <c r="R1452" s="39" t="n">
        <f aca="false">IF($A1452="",-1,IF($J1452=Setup!$B$7,1,IF($J1452=Setup!$B$9,0,-1)))</f>
        <v>-1</v>
      </c>
      <c r="S1452" s="35" t="n">
        <f aca="false">IF(OR($A1452="",$Q1452=0,$R1452=-1),0,$Q1452*1000+$R1452*100+$K1452)</f>
        <v>0</v>
      </c>
      <c r="T1452" s="37" t="str">
        <f aca="false">IF($A1452="","",IF($B1452="","NO ACCOUNT",IF($Q1452=0,"UNMAPPED",IF($R1452=-1,"OUTSIDE FY RANGE","OK"))))</f>
        <v/>
      </c>
      <c r="U1452" s="40" t="str">
        <f aca="false">IF($A1452="","",$B1452&amp;"|"&amp;TEXT($A1452,"yyyymmdd")&amp;"|"&amp;TEXT($I1452,"0.00"))</f>
        <v/>
      </c>
      <c r="V1452" s="35" t="str">
        <f aca="false">IF($A1452="","",COUNTIF($U$8:$U$5007,$U1452))</f>
        <v/>
      </c>
    </row>
    <row r="1453" customFormat="false" ht="15" hidden="false" customHeight="false" outlineLevel="0" collapsed="false">
      <c r="A1453" s="31"/>
      <c r="B1453" s="32"/>
      <c r="C1453" s="32"/>
      <c r="D1453" s="32"/>
      <c r="E1453" s="32"/>
      <c r="F1453" s="32"/>
      <c r="G1453" s="33"/>
      <c r="H1453" s="33"/>
      <c r="I1453" s="34" t="str">
        <f aca="false">IF($A1453="","",$G1453-$H1453)</f>
        <v/>
      </c>
      <c r="J1453" s="35" t="str">
        <f aca="false">IF($A1453="","",IF(Setup!$B$6=1,YEAR($A1453),YEAR($A1453)+IF(MONTH($A1453)&gt;=Setup!$B$6,1,0)))</f>
        <v/>
      </c>
      <c r="K1453" s="35" t="str">
        <f aca="false">IF($A1453="","",MOD(MONTH($A1453)-Setup!$B$6+12,12)+1)</f>
        <v/>
      </c>
      <c r="L1453" s="36" t="str">
        <f aca="false">IF($A1453="","",TEXT($A1453,"MMM-YY"))</f>
        <v/>
      </c>
      <c r="M1453" s="37" t="str">
        <f aca="false">IF($A1453="","",IF($Q1453=0,"UNMAPPED",INDEX(COA_Mapping!$C$7:$C$256,$Q1453)))</f>
        <v/>
      </c>
      <c r="N1453" s="38" t="str">
        <f aca="false">IF($A1453="","",IF($Q1453=0,"",INDEX(COA_Mapping!$E$7:$E$256,$Q1453)))</f>
        <v/>
      </c>
      <c r="O1453" s="38" t="n">
        <f aca="false">IF($A1453="",1,IF($Q1453=0,1,INDEX(COA_Mapping!$F$7:$F$256,$Q1453)))</f>
        <v>1</v>
      </c>
      <c r="P1453" s="34" t="str">
        <f aca="false">IF($A1453="","",$I1453*$O1453)</f>
        <v/>
      </c>
      <c r="Q1453" s="39" t="n">
        <f aca="false">IF($B1453="",0,IFERROR(MATCH($B1453,COA_Mapping!$A$7:$A$256,0),0))</f>
        <v>0</v>
      </c>
      <c r="R1453" s="39" t="n">
        <f aca="false">IF($A1453="",-1,IF($J1453=Setup!$B$7,1,IF($J1453=Setup!$B$9,0,-1)))</f>
        <v>-1</v>
      </c>
      <c r="S1453" s="35" t="n">
        <f aca="false">IF(OR($A1453="",$Q1453=0,$R1453=-1),0,$Q1453*1000+$R1453*100+$K1453)</f>
        <v>0</v>
      </c>
      <c r="T1453" s="37" t="str">
        <f aca="false">IF($A1453="","",IF($B1453="","NO ACCOUNT",IF($Q1453=0,"UNMAPPED",IF($R1453=-1,"OUTSIDE FY RANGE","OK"))))</f>
        <v/>
      </c>
      <c r="U1453" s="40" t="str">
        <f aca="false">IF($A1453="","",$B1453&amp;"|"&amp;TEXT($A1453,"yyyymmdd")&amp;"|"&amp;TEXT($I1453,"0.00"))</f>
        <v/>
      </c>
      <c r="V1453" s="35" t="str">
        <f aca="false">IF($A1453="","",COUNTIF($U$8:$U$5007,$U1453))</f>
        <v/>
      </c>
    </row>
    <row r="1454" customFormat="false" ht="15" hidden="false" customHeight="false" outlineLevel="0" collapsed="false">
      <c r="A1454" s="31"/>
      <c r="B1454" s="32"/>
      <c r="C1454" s="32"/>
      <c r="D1454" s="32"/>
      <c r="E1454" s="32"/>
      <c r="F1454" s="32"/>
      <c r="G1454" s="33"/>
      <c r="H1454" s="33"/>
      <c r="I1454" s="34" t="str">
        <f aca="false">IF($A1454="","",$G1454-$H1454)</f>
        <v/>
      </c>
      <c r="J1454" s="35" t="str">
        <f aca="false">IF($A1454="","",IF(Setup!$B$6=1,YEAR($A1454),YEAR($A1454)+IF(MONTH($A1454)&gt;=Setup!$B$6,1,0)))</f>
        <v/>
      </c>
      <c r="K1454" s="35" t="str">
        <f aca="false">IF($A1454="","",MOD(MONTH($A1454)-Setup!$B$6+12,12)+1)</f>
        <v/>
      </c>
      <c r="L1454" s="36" t="str">
        <f aca="false">IF($A1454="","",TEXT($A1454,"MMM-YY"))</f>
        <v/>
      </c>
      <c r="M1454" s="37" t="str">
        <f aca="false">IF($A1454="","",IF($Q1454=0,"UNMAPPED",INDEX(COA_Mapping!$C$7:$C$256,$Q1454)))</f>
        <v/>
      </c>
      <c r="N1454" s="38" t="str">
        <f aca="false">IF($A1454="","",IF($Q1454=0,"",INDEX(COA_Mapping!$E$7:$E$256,$Q1454)))</f>
        <v/>
      </c>
      <c r="O1454" s="38" t="n">
        <f aca="false">IF($A1454="",1,IF($Q1454=0,1,INDEX(COA_Mapping!$F$7:$F$256,$Q1454)))</f>
        <v>1</v>
      </c>
      <c r="P1454" s="34" t="str">
        <f aca="false">IF($A1454="","",$I1454*$O1454)</f>
        <v/>
      </c>
      <c r="Q1454" s="39" t="n">
        <f aca="false">IF($B1454="",0,IFERROR(MATCH($B1454,COA_Mapping!$A$7:$A$256,0),0))</f>
        <v>0</v>
      </c>
      <c r="R1454" s="39" t="n">
        <f aca="false">IF($A1454="",-1,IF($J1454=Setup!$B$7,1,IF($J1454=Setup!$B$9,0,-1)))</f>
        <v>-1</v>
      </c>
      <c r="S1454" s="35" t="n">
        <f aca="false">IF(OR($A1454="",$Q1454=0,$R1454=-1),0,$Q1454*1000+$R1454*100+$K1454)</f>
        <v>0</v>
      </c>
      <c r="T1454" s="37" t="str">
        <f aca="false">IF($A1454="","",IF($B1454="","NO ACCOUNT",IF($Q1454=0,"UNMAPPED",IF($R1454=-1,"OUTSIDE FY RANGE","OK"))))</f>
        <v/>
      </c>
      <c r="U1454" s="40" t="str">
        <f aca="false">IF($A1454="","",$B1454&amp;"|"&amp;TEXT($A1454,"yyyymmdd")&amp;"|"&amp;TEXT($I1454,"0.00"))</f>
        <v/>
      </c>
      <c r="V1454" s="35" t="str">
        <f aca="false">IF($A1454="","",COUNTIF($U$8:$U$5007,$U1454))</f>
        <v/>
      </c>
    </row>
    <row r="1455" customFormat="false" ht="15" hidden="false" customHeight="false" outlineLevel="0" collapsed="false">
      <c r="A1455" s="31"/>
      <c r="B1455" s="32"/>
      <c r="C1455" s="32"/>
      <c r="D1455" s="32"/>
      <c r="E1455" s="32"/>
      <c r="F1455" s="32"/>
      <c r="G1455" s="33"/>
      <c r="H1455" s="33"/>
      <c r="I1455" s="34" t="str">
        <f aca="false">IF($A1455="","",$G1455-$H1455)</f>
        <v/>
      </c>
      <c r="J1455" s="35" t="str">
        <f aca="false">IF($A1455="","",IF(Setup!$B$6=1,YEAR($A1455),YEAR($A1455)+IF(MONTH($A1455)&gt;=Setup!$B$6,1,0)))</f>
        <v/>
      </c>
      <c r="K1455" s="35" t="str">
        <f aca="false">IF($A1455="","",MOD(MONTH($A1455)-Setup!$B$6+12,12)+1)</f>
        <v/>
      </c>
      <c r="L1455" s="36" t="str">
        <f aca="false">IF($A1455="","",TEXT($A1455,"MMM-YY"))</f>
        <v/>
      </c>
      <c r="M1455" s="37" t="str">
        <f aca="false">IF($A1455="","",IF($Q1455=0,"UNMAPPED",INDEX(COA_Mapping!$C$7:$C$256,$Q1455)))</f>
        <v/>
      </c>
      <c r="N1455" s="38" t="str">
        <f aca="false">IF($A1455="","",IF($Q1455=0,"",INDEX(COA_Mapping!$E$7:$E$256,$Q1455)))</f>
        <v/>
      </c>
      <c r="O1455" s="38" t="n">
        <f aca="false">IF($A1455="",1,IF($Q1455=0,1,INDEX(COA_Mapping!$F$7:$F$256,$Q1455)))</f>
        <v>1</v>
      </c>
      <c r="P1455" s="34" t="str">
        <f aca="false">IF($A1455="","",$I1455*$O1455)</f>
        <v/>
      </c>
      <c r="Q1455" s="39" t="n">
        <f aca="false">IF($B1455="",0,IFERROR(MATCH($B1455,COA_Mapping!$A$7:$A$256,0),0))</f>
        <v>0</v>
      </c>
      <c r="R1455" s="39" t="n">
        <f aca="false">IF($A1455="",-1,IF($J1455=Setup!$B$7,1,IF($J1455=Setup!$B$9,0,-1)))</f>
        <v>-1</v>
      </c>
      <c r="S1455" s="35" t="n">
        <f aca="false">IF(OR($A1455="",$Q1455=0,$R1455=-1),0,$Q1455*1000+$R1455*100+$K1455)</f>
        <v>0</v>
      </c>
      <c r="T1455" s="37" t="str">
        <f aca="false">IF($A1455="","",IF($B1455="","NO ACCOUNT",IF($Q1455=0,"UNMAPPED",IF($R1455=-1,"OUTSIDE FY RANGE","OK"))))</f>
        <v/>
      </c>
      <c r="U1455" s="40" t="str">
        <f aca="false">IF($A1455="","",$B1455&amp;"|"&amp;TEXT($A1455,"yyyymmdd")&amp;"|"&amp;TEXT($I1455,"0.00"))</f>
        <v/>
      </c>
      <c r="V1455" s="35" t="str">
        <f aca="false">IF($A1455="","",COUNTIF($U$8:$U$5007,$U1455))</f>
        <v/>
      </c>
    </row>
    <row r="1456" customFormat="false" ht="15" hidden="false" customHeight="false" outlineLevel="0" collapsed="false">
      <c r="A1456" s="31"/>
      <c r="B1456" s="32"/>
      <c r="C1456" s="32"/>
      <c r="D1456" s="32"/>
      <c r="E1456" s="32"/>
      <c r="F1456" s="32"/>
      <c r="G1456" s="33"/>
      <c r="H1456" s="33"/>
      <c r="I1456" s="34" t="str">
        <f aca="false">IF($A1456="","",$G1456-$H1456)</f>
        <v/>
      </c>
      <c r="J1456" s="35" t="str">
        <f aca="false">IF($A1456="","",IF(Setup!$B$6=1,YEAR($A1456),YEAR($A1456)+IF(MONTH($A1456)&gt;=Setup!$B$6,1,0)))</f>
        <v/>
      </c>
      <c r="K1456" s="35" t="str">
        <f aca="false">IF($A1456="","",MOD(MONTH($A1456)-Setup!$B$6+12,12)+1)</f>
        <v/>
      </c>
      <c r="L1456" s="36" t="str">
        <f aca="false">IF($A1456="","",TEXT($A1456,"MMM-YY"))</f>
        <v/>
      </c>
      <c r="M1456" s="37" t="str">
        <f aca="false">IF($A1456="","",IF($Q1456=0,"UNMAPPED",INDEX(COA_Mapping!$C$7:$C$256,$Q1456)))</f>
        <v/>
      </c>
      <c r="N1456" s="38" t="str">
        <f aca="false">IF($A1456="","",IF($Q1456=0,"",INDEX(COA_Mapping!$E$7:$E$256,$Q1456)))</f>
        <v/>
      </c>
      <c r="O1456" s="38" t="n">
        <f aca="false">IF($A1456="",1,IF($Q1456=0,1,INDEX(COA_Mapping!$F$7:$F$256,$Q1456)))</f>
        <v>1</v>
      </c>
      <c r="P1456" s="34" t="str">
        <f aca="false">IF($A1456="","",$I1456*$O1456)</f>
        <v/>
      </c>
      <c r="Q1456" s="39" t="n">
        <f aca="false">IF($B1456="",0,IFERROR(MATCH($B1456,COA_Mapping!$A$7:$A$256,0),0))</f>
        <v>0</v>
      </c>
      <c r="R1456" s="39" t="n">
        <f aca="false">IF($A1456="",-1,IF($J1456=Setup!$B$7,1,IF($J1456=Setup!$B$9,0,-1)))</f>
        <v>-1</v>
      </c>
      <c r="S1456" s="35" t="n">
        <f aca="false">IF(OR($A1456="",$Q1456=0,$R1456=-1),0,$Q1456*1000+$R1456*100+$K1456)</f>
        <v>0</v>
      </c>
      <c r="T1456" s="37" t="str">
        <f aca="false">IF($A1456="","",IF($B1456="","NO ACCOUNT",IF($Q1456=0,"UNMAPPED",IF($R1456=-1,"OUTSIDE FY RANGE","OK"))))</f>
        <v/>
      </c>
      <c r="U1456" s="40" t="str">
        <f aca="false">IF($A1456="","",$B1456&amp;"|"&amp;TEXT($A1456,"yyyymmdd")&amp;"|"&amp;TEXT($I1456,"0.00"))</f>
        <v/>
      </c>
      <c r="V1456" s="35" t="str">
        <f aca="false">IF($A1456="","",COUNTIF($U$8:$U$5007,$U1456))</f>
        <v/>
      </c>
    </row>
    <row r="1457" customFormat="false" ht="15" hidden="false" customHeight="false" outlineLevel="0" collapsed="false">
      <c r="A1457" s="31"/>
      <c r="B1457" s="32"/>
      <c r="C1457" s="32"/>
      <c r="D1457" s="32"/>
      <c r="E1457" s="32"/>
      <c r="F1457" s="32"/>
      <c r="G1457" s="33"/>
      <c r="H1457" s="33"/>
      <c r="I1457" s="34" t="str">
        <f aca="false">IF($A1457="","",$G1457-$H1457)</f>
        <v/>
      </c>
      <c r="J1457" s="35" t="str">
        <f aca="false">IF($A1457="","",IF(Setup!$B$6=1,YEAR($A1457),YEAR($A1457)+IF(MONTH($A1457)&gt;=Setup!$B$6,1,0)))</f>
        <v/>
      </c>
      <c r="K1457" s="35" t="str">
        <f aca="false">IF($A1457="","",MOD(MONTH($A1457)-Setup!$B$6+12,12)+1)</f>
        <v/>
      </c>
      <c r="L1457" s="36" t="str">
        <f aca="false">IF($A1457="","",TEXT($A1457,"MMM-YY"))</f>
        <v/>
      </c>
      <c r="M1457" s="37" t="str">
        <f aca="false">IF($A1457="","",IF($Q1457=0,"UNMAPPED",INDEX(COA_Mapping!$C$7:$C$256,$Q1457)))</f>
        <v/>
      </c>
      <c r="N1457" s="38" t="str">
        <f aca="false">IF($A1457="","",IF($Q1457=0,"",INDEX(COA_Mapping!$E$7:$E$256,$Q1457)))</f>
        <v/>
      </c>
      <c r="O1457" s="38" t="n">
        <f aca="false">IF($A1457="",1,IF($Q1457=0,1,INDEX(COA_Mapping!$F$7:$F$256,$Q1457)))</f>
        <v>1</v>
      </c>
      <c r="P1457" s="34" t="str">
        <f aca="false">IF($A1457="","",$I1457*$O1457)</f>
        <v/>
      </c>
      <c r="Q1457" s="39" t="n">
        <f aca="false">IF($B1457="",0,IFERROR(MATCH($B1457,COA_Mapping!$A$7:$A$256,0),0))</f>
        <v>0</v>
      </c>
      <c r="R1457" s="39" t="n">
        <f aca="false">IF($A1457="",-1,IF($J1457=Setup!$B$7,1,IF($J1457=Setup!$B$9,0,-1)))</f>
        <v>-1</v>
      </c>
      <c r="S1457" s="35" t="n">
        <f aca="false">IF(OR($A1457="",$Q1457=0,$R1457=-1),0,$Q1457*1000+$R1457*100+$K1457)</f>
        <v>0</v>
      </c>
      <c r="T1457" s="37" t="str">
        <f aca="false">IF($A1457="","",IF($B1457="","NO ACCOUNT",IF($Q1457=0,"UNMAPPED",IF($R1457=-1,"OUTSIDE FY RANGE","OK"))))</f>
        <v/>
      </c>
      <c r="U1457" s="40" t="str">
        <f aca="false">IF($A1457="","",$B1457&amp;"|"&amp;TEXT($A1457,"yyyymmdd")&amp;"|"&amp;TEXT($I1457,"0.00"))</f>
        <v/>
      </c>
      <c r="V1457" s="35" t="str">
        <f aca="false">IF($A1457="","",COUNTIF($U$8:$U$5007,$U1457))</f>
        <v/>
      </c>
    </row>
    <row r="1458" customFormat="false" ht="15" hidden="false" customHeight="false" outlineLevel="0" collapsed="false">
      <c r="A1458" s="31"/>
      <c r="B1458" s="32"/>
      <c r="C1458" s="32"/>
      <c r="D1458" s="32"/>
      <c r="E1458" s="32"/>
      <c r="F1458" s="32"/>
      <c r="G1458" s="33"/>
      <c r="H1458" s="33"/>
      <c r="I1458" s="34" t="str">
        <f aca="false">IF($A1458="","",$G1458-$H1458)</f>
        <v/>
      </c>
      <c r="J1458" s="35" t="str">
        <f aca="false">IF($A1458="","",IF(Setup!$B$6=1,YEAR($A1458),YEAR($A1458)+IF(MONTH($A1458)&gt;=Setup!$B$6,1,0)))</f>
        <v/>
      </c>
      <c r="K1458" s="35" t="str">
        <f aca="false">IF($A1458="","",MOD(MONTH($A1458)-Setup!$B$6+12,12)+1)</f>
        <v/>
      </c>
      <c r="L1458" s="36" t="str">
        <f aca="false">IF($A1458="","",TEXT($A1458,"MMM-YY"))</f>
        <v/>
      </c>
      <c r="M1458" s="37" t="str">
        <f aca="false">IF($A1458="","",IF($Q1458=0,"UNMAPPED",INDEX(COA_Mapping!$C$7:$C$256,$Q1458)))</f>
        <v/>
      </c>
      <c r="N1458" s="38" t="str">
        <f aca="false">IF($A1458="","",IF($Q1458=0,"",INDEX(COA_Mapping!$E$7:$E$256,$Q1458)))</f>
        <v/>
      </c>
      <c r="O1458" s="38" t="n">
        <f aca="false">IF($A1458="",1,IF($Q1458=0,1,INDEX(COA_Mapping!$F$7:$F$256,$Q1458)))</f>
        <v>1</v>
      </c>
      <c r="P1458" s="34" t="str">
        <f aca="false">IF($A1458="","",$I1458*$O1458)</f>
        <v/>
      </c>
      <c r="Q1458" s="39" t="n">
        <f aca="false">IF($B1458="",0,IFERROR(MATCH($B1458,COA_Mapping!$A$7:$A$256,0),0))</f>
        <v>0</v>
      </c>
      <c r="R1458" s="39" t="n">
        <f aca="false">IF($A1458="",-1,IF($J1458=Setup!$B$7,1,IF($J1458=Setup!$B$9,0,-1)))</f>
        <v>-1</v>
      </c>
      <c r="S1458" s="35" t="n">
        <f aca="false">IF(OR($A1458="",$Q1458=0,$R1458=-1),0,$Q1458*1000+$R1458*100+$K1458)</f>
        <v>0</v>
      </c>
      <c r="T1458" s="37" t="str">
        <f aca="false">IF($A1458="","",IF($B1458="","NO ACCOUNT",IF($Q1458=0,"UNMAPPED",IF($R1458=-1,"OUTSIDE FY RANGE","OK"))))</f>
        <v/>
      </c>
      <c r="U1458" s="40" t="str">
        <f aca="false">IF($A1458="","",$B1458&amp;"|"&amp;TEXT($A1458,"yyyymmdd")&amp;"|"&amp;TEXT($I1458,"0.00"))</f>
        <v/>
      </c>
      <c r="V1458" s="35" t="str">
        <f aca="false">IF($A1458="","",COUNTIF($U$8:$U$5007,$U1458))</f>
        <v/>
      </c>
    </row>
    <row r="1459" customFormat="false" ht="15" hidden="false" customHeight="false" outlineLevel="0" collapsed="false">
      <c r="A1459" s="31"/>
      <c r="B1459" s="32"/>
      <c r="C1459" s="32"/>
      <c r="D1459" s="32"/>
      <c r="E1459" s="32"/>
      <c r="F1459" s="32"/>
      <c r="G1459" s="33"/>
      <c r="H1459" s="33"/>
      <c r="I1459" s="34" t="str">
        <f aca="false">IF($A1459="","",$G1459-$H1459)</f>
        <v/>
      </c>
      <c r="J1459" s="35" t="str">
        <f aca="false">IF($A1459="","",IF(Setup!$B$6=1,YEAR($A1459),YEAR($A1459)+IF(MONTH($A1459)&gt;=Setup!$B$6,1,0)))</f>
        <v/>
      </c>
      <c r="K1459" s="35" t="str">
        <f aca="false">IF($A1459="","",MOD(MONTH($A1459)-Setup!$B$6+12,12)+1)</f>
        <v/>
      </c>
      <c r="L1459" s="36" t="str">
        <f aca="false">IF($A1459="","",TEXT($A1459,"MMM-YY"))</f>
        <v/>
      </c>
      <c r="M1459" s="37" t="str">
        <f aca="false">IF($A1459="","",IF($Q1459=0,"UNMAPPED",INDEX(COA_Mapping!$C$7:$C$256,$Q1459)))</f>
        <v/>
      </c>
      <c r="N1459" s="38" t="str">
        <f aca="false">IF($A1459="","",IF($Q1459=0,"",INDEX(COA_Mapping!$E$7:$E$256,$Q1459)))</f>
        <v/>
      </c>
      <c r="O1459" s="38" t="n">
        <f aca="false">IF($A1459="",1,IF($Q1459=0,1,INDEX(COA_Mapping!$F$7:$F$256,$Q1459)))</f>
        <v>1</v>
      </c>
      <c r="P1459" s="34" t="str">
        <f aca="false">IF($A1459="","",$I1459*$O1459)</f>
        <v/>
      </c>
      <c r="Q1459" s="39" t="n">
        <f aca="false">IF($B1459="",0,IFERROR(MATCH($B1459,COA_Mapping!$A$7:$A$256,0),0))</f>
        <v>0</v>
      </c>
      <c r="R1459" s="39" t="n">
        <f aca="false">IF($A1459="",-1,IF($J1459=Setup!$B$7,1,IF($J1459=Setup!$B$9,0,-1)))</f>
        <v>-1</v>
      </c>
      <c r="S1459" s="35" t="n">
        <f aca="false">IF(OR($A1459="",$Q1459=0,$R1459=-1),0,$Q1459*1000+$R1459*100+$K1459)</f>
        <v>0</v>
      </c>
      <c r="T1459" s="37" t="str">
        <f aca="false">IF($A1459="","",IF($B1459="","NO ACCOUNT",IF($Q1459=0,"UNMAPPED",IF($R1459=-1,"OUTSIDE FY RANGE","OK"))))</f>
        <v/>
      </c>
      <c r="U1459" s="40" t="str">
        <f aca="false">IF($A1459="","",$B1459&amp;"|"&amp;TEXT($A1459,"yyyymmdd")&amp;"|"&amp;TEXT($I1459,"0.00"))</f>
        <v/>
      </c>
      <c r="V1459" s="35" t="str">
        <f aca="false">IF($A1459="","",COUNTIF($U$8:$U$5007,$U1459))</f>
        <v/>
      </c>
    </row>
    <row r="1460" customFormat="false" ht="15" hidden="false" customHeight="false" outlineLevel="0" collapsed="false">
      <c r="A1460" s="31"/>
      <c r="B1460" s="32"/>
      <c r="C1460" s="32"/>
      <c r="D1460" s="32"/>
      <c r="E1460" s="32"/>
      <c r="F1460" s="32"/>
      <c r="G1460" s="33"/>
      <c r="H1460" s="33"/>
      <c r="I1460" s="34" t="str">
        <f aca="false">IF($A1460="","",$G1460-$H1460)</f>
        <v/>
      </c>
      <c r="J1460" s="35" t="str">
        <f aca="false">IF($A1460="","",IF(Setup!$B$6=1,YEAR($A1460),YEAR($A1460)+IF(MONTH($A1460)&gt;=Setup!$B$6,1,0)))</f>
        <v/>
      </c>
      <c r="K1460" s="35" t="str">
        <f aca="false">IF($A1460="","",MOD(MONTH($A1460)-Setup!$B$6+12,12)+1)</f>
        <v/>
      </c>
      <c r="L1460" s="36" t="str">
        <f aca="false">IF($A1460="","",TEXT($A1460,"MMM-YY"))</f>
        <v/>
      </c>
      <c r="M1460" s="37" t="str">
        <f aca="false">IF($A1460="","",IF($Q1460=0,"UNMAPPED",INDEX(COA_Mapping!$C$7:$C$256,$Q1460)))</f>
        <v/>
      </c>
      <c r="N1460" s="38" t="str">
        <f aca="false">IF($A1460="","",IF($Q1460=0,"",INDEX(COA_Mapping!$E$7:$E$256,$Q1460)))</f>
        <v/>
      </c>
      <c r="O1460" s="38" t="n">
        <f aca="false">IF($A1460="",1,IF($Q1460=0,1,INDEX(COA_Mapping!$F$7:$F$256,$Q1460)))</f>
        <v>1</v>
      </c>
      <c r="P1460" s="34" t="str">
        <f aca="false">IF($A1460="","",$I1460*$O1460)</f>
        <v/>
      </c>
      <c r="Q1460" s="39" t="n">
        <f aca="false">IF($B1460="",0,IFERROR(MATCH($B1460,COA_Mapping!$A$7:$A$256,0),0))</f>
        <v>0</v>
      </c>
      <c r="R1460" s="39" t="n">
        <f aca="false">IF($A1460="",-1,IF($J1460=Setup!$B$7,1,IF($J1460=Setup!$B$9,0,-1)))</f>
        <v>-1</v>
      </c>
      <c r="S1460" s="35" t="n">
        <f aca="false">IF(OR($A1460="",$Q1460=0,$R1460=-1),0,$Q1460*1000+$R1460*100+$K1460)</f>
        <v>0</v>
      </c>
      <c r="T1460" s="37" t="str">
        <f aca="false">IF($A1460="","",IF($B1460="","NO ACCOUNT",IF($Q1460=0,"UNMAPPED",IF($R1460=-1,"OUTSIDE FY RANGE","OK"))))</f>
        <v/>
      </c>
      <c r="U1460" s="40" t="str">
        <f aca="false">IF($A1460="","",$B1460&amp;"|"&amp;TEXT($A1460,"yyyymmdd")&amp;"|"&amp;TEXT($I1460,"0.00"))</f>
        <v/>
      </c>
      <c r="V1460" s="35" t="str">
        <f aca="false">IF($A1460="","",COUNTIF($U$8:$U$5007,$U1460))</f>
        <v/>
      </c>
    </row>
    <row r="1461" customFormat="false" ht="15" hidden="false" customHeight="false" outlineLevel="0" collapsed="false">
      <c r="A1461" s="31"/>
      <c r="B1461" s="32"/>
      <c r="C1461" s="32"/>
      <c r="D1461" s="32"/>
      <c r="E1461" s="32"/>
      <c r="F1461" s="32"/>
      <c r="G1461" s="33"/>
      <c r="H1461" s="33"/>
      <c r="I1461" s="34" t="str">
        <f aca="false">IF($A1461="","",$G1461-$H1461)</f>
        <v/>
      </c>
      <c r="J1461" s="35" t="str">
        <f aca="false">IF($A1461="","",IF(Setup!$B$6=1,YEAR($A1461),YEAR($A1461)+IF(MONTH($A1461)&gt;=Setup!$B$6,1,0)))</f>
        <v/>
      </c>
      <c r="K1461" s="35" t="str">
        <f aca="false">IF($A1461="","",MOD(MONTH($A1461)-Setup!$B$6+12,12)+1)</f>
        <v/>
      </c>
      <c r="L1461" s="36" t="str">
        <f aca="false">IF($A1461="","",TEXT($A1461,"MMM-YY"))</f>
        <v/>
      </c>
      <c r="M1461" s="37" t="str">
        <f aca="false">IF($A1461="","",IF($Q1461=0,"UNMAPPED",INDEX(COA_Mapping!$C$7:$C$256,$Q1461)))</f>
        <v/>
      </c>
      <c r="N1461" s="38" t="str">
        <f aca="false">IF($A1461="","",IF($Q1461=0,"",INDEX(COA_Mapping!$E$7:$E$256,$Q1461)))</f>
        <v/>
      </c>
      <c r="O1461" s="38" t="n">
        <f aca="false">IF($A1461="",1,IF($Q1461=0,1,INDEX(COA_Mapping!$F$7:$F$256,$Q1461)))</f>
        <v>1</v>
      </c>
      <c r="P1461" s="34" t="str">
        <f aca="false">IF($A1461="","",$I1461*$O1461)</f>
        <v/>
      </c>
      <c r="Q1461" s="39" t="n">
        <f aca="false">IF($B1461="",0,IFERROR(MATCH($B1461,COA_Mapping!$A$7:$A$256,0),0))</f>
        <v>0</v>
      </c>
      <c r="R1461" s="39" t="n">
        <f aca="false">IF($A1461="",-1,IF($J1461=Setup!$B$7,1,IF($J1461=Setup!$B$9,0,-1)))</f>
        <v>-1</v>
      </c>
      <c r="S1461" s="35" t="n">
        <f aca="false">IF(OR($A1461="",$Q1461=0,$R1461=-1),0,$Q1461*1000+$R1461*100+$K1461)</f>
        <v>0</v>
      </c>
      <c r="T1461" s="37" t="str">
        <f aca="false">IF($A1461="","",IF($B1461="","NO ACCOUNT",IF($Q1461=0,"UNMAPPED",IF($R1461=-1,"OUTSIDE FY RANGE","OK"))))</f>
        <v/>
      </c>
      <c r="U1461" s="40" t="str">
        <f aca="false">IF($A1461="","",$B1461&amp;"|"&amp;TEXT($A1461,"yyyymmdd")&amp;"|"&amp;TEXT($I1461,"0.00"))</f>
        <v/>
      </c>
      <c r="V1461" s="35" t="str">
        <f aca="false">IF($A1461="","",COUNTIF($U$8:$U$5007,$U1461))</f>
        <v/>
      </c>
    </row>
    <row r="1462" customFormat="false" ht="15" hidden="false" customHeight="false" outlineLevel="0" collapsed="false">
      <c r="A1462" s="31"/>
      <c r="B1462" s="32"/>
      <c r="C1462" s="32"/>
      <c r="D1462" s="32"/>
      <c r="E1462" s="32"/>
      <c r="F1462" s="32"/>
      <c r="G1462" s="33"/>
      <c r="H1462" s="33"/>
      <c r="I1462" s="34" t="str">
        <f aca="false">IF($A1462="","",$G1462-$H1462)</f>
        <v/>
      </c>
      <c r="J1462" s="35" t="str">
        <f aca="false">IF($A1462="","",IF(Setup!$B$6=1,YEAR($A1462),YEAR($A1462)+IF(MONTH($A1462)&gt;=Setup!$B$6,1,0)))</f>
        <v/>
      </c>
      <c r="K1462" s="35" t="str">
        <f aca="false">IF($A1462="","",MOD(MONTH($A1462)-Setup!$B$6+12,12)+1)</f>
        <v/>
      </c>
      <c r="L1462" s="36" t="str">
        <f aca="false">IF($A1462="","",TEXT($A1462,"MMM-YY"))</f>
        <v/>
      </c>
      <c r="M1462" s="37" t="str">
        <f aca="false">IF($A1462="","",IF($Q1462=0,"UNMAPPED",INDEX(COA_Mapping!$C$7:$C$256,$Q1462)))</f>
        <v/>
      </c>
      <c r="N1462" s="38" t="str">
        <f aca="false">IF($A1462="","",IF($Q1462=0,"",INDEX(COA_Mapping!$E$7:$E$256,$Q1462)))</f>
        <v/>
      </c>
      <c r="O1462" s="38" t="n">
        <f aca="false">IF($A1462="",1,IF($Q1462=0,1,INDEX(COA_Mapping!$F$7:$F$256,$Q1462)))</f>
        <v>1</v>
      </c>
      <c r="P1462" s="34" t="str">
        <f aca="false">IF($A1462="","",$I1462*$O1462)</f>
        <v/>
      </c>
      <c r="Q1462" s="39" t="n">
        <f aca="false">IF($B1462="",0,IFERROR(MATCH($B1462,COA_Mapping!$A$7:$A$256,0),0))</f>
        <v>0</v>
      </c>
      <c r="R1462" s="39" t="n">
        <f aca="false">IF($A1462="",-1,IF($J1462=Setup!$B$7,1,IF($J1462=Setup!$B$9,0,-1)))</f>
        <v>-1</v>
      </c>
      <c r="S1462" s="35" t="n">
        <f aca="false">IF(OR($A1462="",$Q1462=0,$R1462=-1),0,$Q1462*1000+$R1462*100+$K1462)</f>
        <v>0</v>
      </c>
      <c r="T1462" s="37" t="str">
        <f aca="false">IF($A1462="","",IF($B1462="","NO ACCOUNT",IF($Q1462=0,"UNMAPPED",IF($R1462=-1,"OUTSIDE FY RANGE","OK"))))</f>
        <v/>
      </c>
      <c r="U1462" s="40" t="str">
        <f aca="false">IF($A1462="","",$B1462&amp;"|"&amp;TEXT($A1462,"yyyymmdd")&amp;"|"&amp;TEXT($I1462,"0.00"))</f>
        <v/>
      </c>
      <c r="V1462" s="35" t="str">
        <f aca="false">IF($A1462="","",COUNTIF($U$8:$U$5007,$U1462))</f>
        <v/>
      </c>
    </row>
    <row r="1463" customFormat="false" ht="15" hidden="false" customHeight="false" outlineLevel="0" collapsed="false">
      <c r="A1463" s="31"/>
      <c r="B1463" s="32"/>
      <c r="C1463" s="32"/>
      <c r="D1463" s="32"/>
      <c r="E1463" s="32"/>
      <c r="F1463" s="32"/>
      <c r="G1463" s="33"/>
      <c r="H1463" s="33"/>
      <c r="I1463" s="34" t="str">
        <f aca="false">IF($A1463="","",$G1463-$H1463)</f>
        <v/>
      </c>
      <c r="J1463" s="35" t="str">
        <f aca="false">IF($A1463="","",IF(Setup!$B$6=1,YEAR($A1463),YEAR($A1463)+IF(MONTH($A1463)&gt;=Setup!$B$6,1,0)))</f>
        <v/>
      </c>
      <c r="K1463" s="35" t="str">
        <f aca="false">IF($A1463="","",MOD(MONTH($A1463)-Setup!$B$6+12,12)+1)</f>
        <v/>
      </c>
      <c r="L1463" s="36" t="str">
        <f aca="false">IF($A1463="","",TEXT($A1463,"MMM-YY"))</f>
        <v/>
      </c>
      <c r="M1463" s="37" t="str">
        <f aca="false">IF($A1463="","",IF($Q1463=0,"UNMAPPED",INDEX(COA_Mapping!$C$7:$C$256,$Q1463)))</f>
        <v/>
      </c>
      <c r="N1463" s="38" t="str">
        <f aca="false">IF($A1463="","",IF($Q1463=0,"",INDEX(COA_Mapping!$E$7:$E$256,$Q1463)))</f>
        <v/>
      </c>
      <c r="O1463" s="38" t="n">
        <f aca="false">IF($A1463="",1,IF($Q1463=0,1,INDEX(COA_Mapping!$F$7:$F$256,$Q1463)))</f>
        <v>1</v>
      </c>
      <c r="P1463" s="34" t="str">
        <f aca="false">IF($A1463="","",$I1463*$O1463)</f>
        <v/>
      </c>
      <c r="Q1463" s="39" t="n">
        <f aca="false">IF($B1463="",0,IFERROR(MATCH($B1463,COA_Mapping!$A$7:$A$256,0),0))</f>
        <v>0</v>
      </c>
      <c r="R1463" s="39" t="n">
        <f aca="false">IF($A1463="",-1,IF($J1463=Setup!$B$7,1,IF($J1463=Setup!$B$9,0,-1)))</f>
        <v>-1</v>
      </c>
      <c r="S1463" s="35" t="n">
        <f aca="false">IF(OR($A1463="",$Q1463=0,$R1463=-1),0,$Q1463*1000+$R1463*100+$K1463)</f>
        <v>0</v>
      </c>
      <c r="T1463" s="37" t="str">
        <f aca="false">IF($A1463="","",IF($B1463="","NO ACCOUNT",IF($Q1463=0,"UNMAPPED",IF($R1463=-1,"OUTSIDE FY RANGE","OK"))))</f>
        <v/>
      </c>
      <c r="U1463" s="40" t="str">
        <f aca="false">IF($A1463="","",$B1463&amp;"|"&amp;TEXT($A1463,"yyyymmdd")&amp;"|"&amp;TEXT($I1463,"0.00"))</f>
        <v/>
      </c>
      <c r="V1463" s="35" t="str">
        <f aca="false">IF($A1463="","",COUNTIF($U$8:$U$5007,$U1463))</f>
        <v/>
      </c>
    </row>
    <row r="1464" customFormat="false" ht="15" hidden="false" customHeight="false" outlineLevel="0" collapsed="false">
      <c r="A1464" s="31"/>
      <c r="B1464" s="32"/>
      <c r="C1464" s="32"/>
      <c r="D1464" s="32"/>
      <c r="E1464" s="32"/>
      <c r="F1464" s="32"/>
      <c r="G1464" s="33"/>
      <c r="H1464" s="33"/>
      <c r="I1464" s="34" t="str">
        <f aca="false">IF($A1464="","",$G1464-$H1464)</f>
        <v/>
      </c>
      <c r="J1464" s="35" t="str">
        <f aca="false">IF($A1464="","",IF(Setup!$B$6=1,YEAR($A1464),YEAR($A1464)+IF(MONTH($A1464)&gt;=Setup!$B$6,1,0)))</f>
        <v/>
      </c>
      <c r="K1464" s="35" t="str">
        <f aca="false">IF($A1464="","",MOD(MONTH($A1464)-Setup!$B$6+12,12)+1)</f>
        <v/>
      </c>
      <c r="L1464" s="36" t="str">
        <f aca="false">IF($A1464="","",TEXT($A1464,"MMM-YY"))</f>
        <v/>
      </c>
      <c r="M1464" s="37" t="str">
        <f aca="false">IF($A1464="","",IF($Q1464=0,"UNMAPPED",INDEX(COA_Mapping!$C$7:$C$256,$Q1464)))</f>
        <v/>
      </c>
      <c r="N1464" s="38" t="str">
        <f aca="false">IF($A1464="","",IF($Q1464=0,"",INDEX(COA_Mapping!$E$7:$E$256,$Q1464)))</f>
        <v/>
      </c>
      <c r="O1464" s="38" t="n">
        <f aca="false">IF($A1464="",1,IF($Q1464=0,1,INDEX(COA_Mapping!$F$7:$F$256,$Q1464)))</f>
        <v>1</v>
      </c>
      <c r="P1464" s="34" t="str">
        <f aca="false">IF($A1464="","",$I1464*$O1464)</f>
        <v/>
      </c>
      <c r="Q1464" s="39" t="n">
        <f aca="false">IF($B1464="",0,IFERROR(MATCH($B1464,COA_Mapping!$A$7:$A$256,0),0))</f>
        <v>0</v>
      </c>
      <c r="R1464" s="39" t="n">
        <f aca="false">IF($A1464="",-1,IF($J1464=Setup!$B$7,1,IF($J1464=Setup!$B$9,0,-1)))</f>
        <v>-1</v>
      </c>
      <c r="S1464" s="35" t="n">
        <f aca="false">IF(OR($A1464="",$Q1464=0,$R1464=-1),0,$Q1464*1000+$R1464*100+$K1464)</f>
        <v>0</v>
      </c>
      <c r="T1464" s="37" t="str">
        <f aca="false">IF($A1464="","",IF($B1464="","NO ACCOUNT",IF($Q1464=0,"UNMAPPED",IF($R1464=-1,"OUTSIDE FY RANGE","OK"))))</f>
        <v/>
      </c>
      <c r="U1464" s="40" t="str">
        <f aca="false">IF($A1464="","",$B1464&amp;"|"&amp;TEXT($A1464,"yyyymmdd")&amp;"|"&amp;TEXT($I1464,"0.00"))</f>
        <v/>
      </c>
      <c r="V1464" s="35" t="str">
        <f aca="false">IF($A1464="","",COUNTIF($U$8:$U$5007,$U1464))</f>
        <v/>
      </c>
    </row>
    <row r="1465" customFormat="false" ht="15" hidden="false" customHeight="false" outlineLevel="0" collapsed="false">
      <c r="A1465" s="31"/>
      <c r="B1465" s="32"/>
      <c r="C1465" s="32"/>
      <c r="D1465" s="32"/>
      <c r="E1465" s="32"/>
      <c r="F1465" s="32"/>
      <c r="G1465" s="33"/>
      <c r="H1465" s="33"/>
      <c r="I1465" s="34" t="str">
        <f aca="false">IF($A1465="","",$G1465-$H1465)</f>
        <v/>
      </c>
      <c r="J1465" s="35" t="str">
        <f aca="false">IF($A1465="","",IF(Setup!$B$6=1,YEAR($A1465),YEAR($A1465)+IF(MONTH($A1465)&gt;=Setup!$B$6,1,0)))</f>
        <v/>
      </c>
      <c r="K1465" s="35" t="str">
        <f aca="false">IF($A1465="","",MOD(MONTH($A1465)-Setup!$B$6+12,12)+1)</f>
        <v/>
      </c>
      <c r="L1465" s="36" t="str">
        <f aca="false">IF($A1465="","",TEXT($A1465,"MMM-YY"))</f>
        <v/>
      </c>
      <c r="M1465" s="37" t="str">
        <f aca="false">IF($A1465="","",IF($Q1465=0,"UNMAPPED",INDEX(COA_Mapping!$C$7:$C$256,$Q1465)))</f>
        <v/>
      </c>
      <c r="N1465" s="38" t="str">
        <f aca="false">IF($A1465="","",IF($Q1465=0,"",INDEX(COA_Mapping!$E$7:$E$256,$Q1465)))</f>
        <v/>
      </c>
      <c r="O1465" s="38" t="n">
        <f aca="false">IF($A1465="",1,IF($Q1465=0,1,INDEX(COA_Mapping!$F$7:$F$256,$Q1465)))</f>
        <v>1</v>
      </c>
      <c r="P1465" s="34" t="str">
        <f aca="false">IF($A1465="","",$I1465*$O1465)</f>
        <v/>
      </c>
      <c r="Q1465" s="39" t="n">
        <f aca="false">IF($B1465="",0,IFERROR(MATCH($B1465,COA_Mapping!$A$7:$A$256,0),0))</f>
        <v>0</v>
      </c>
      <c r="R1465" s="39" t="n">
        <f aca="false">IF($A1465="",-1,IF($J1465=Setup!$B$7,1,IF($J1465=Setup!$B$9,0,-1)))</f>
        <v>-1</v>
      </c>
      <c r="S1465" s="35" t="n">
        <f aca="false">IF(OR($A1465="",$Q1465=0,$R1465=-1),0,$Q1465*1000+$R1465*100+$K1465)</f>
        <v>0</v>
      </c>
      <c r="T1465" s="37" t="str">
        <f aca="false">IF($A1465="","",IF($B1465="","NO ACCOUNT",IF($Q1465=0,"UNMAPPED",IF($R1465=-1,"OUTSIDE FY RANGE","OK"))))</f>
        <v/>
      </c>
      <c r="U1465" s="40" t="str">
        <f aca="false">IF($A1465="","",$B1465&amp;"|"&amp;TEXT($A1465,"yyyymmdd")&amp;"|"&amp;TEXT($I1465,"0.00"))</f>
        <v/>
      </c>
      <c r="V1465" s="35" t="str">
        <f aca="false">IF($A1465="","",COUNTIF($U$8:$U$5007,$U1465))</f>
        <v/>
      </c>
    </row>
    <row r="1466" customFormat="false" ht="15" hidden="false" customHeight="false" outlineLevel="0" collapsed="false">
      <c r="A1466" s="31"/>
      <c r="B1466" s="32"/>
      <c r="C1466" s="32"/>
      <c r="D1466" s="32"/>
      <c r="E1466" s="32"/>
      <c r="F1466" s="32"/>
      <c r="G1466" s="33"/>
      <c r="H1466" s="33"/>
      <c r="I1466" s="34" t="str">
        <f aca="false">IF($A1466="","",$G1466-$H1466)</f>
        <v/>
      </c>
      <c r="J1466" s="35" t="str">
        <f aca="false">IF($A1466="","",IF(Setup!$B$6=1,YEAR($A1466),YEAR($A1466)+IF(MONTH($A1466)&gt;=Setup!$B$6,1,0)))</f>
        <v/>
      </c>
      <c r="K1466" s="35" t="str">
        <f aca="false">IF($A1466="","",MOD(MONTH($A1466)-Setup!$B$6+12,12)+1)</f>
        <v/>
      </c>
      <c r="L1466" s="36" t="str">
        <f aca="false">IF($A1466="","",TEXT($A1466,"MMM-YY"))</f>
        <v/>
      </c>
      <c r="M1466" s="37" t="str">
        <f aca="false">IF($A1466="","",IF($Q1466=0,"UNMAPPED",INDEX(COA_Mapping!$C$7:$C$256,$Q1466)))</f>
        <v/>
      </c>
      <c r="N1466" s="38" t="str">
        <f aca="false">IF($A1466="","",IF($Q1466=0,"",INDEX(COA_Mapping!$E$7:$E$256,$Q1466)))</f>
        <v/>
      </c>
      <c r="O1466" s="38" t="n">
        <f aca="false">IF($A1466="",1,IF($Q1466=0,1,INDEX(COA_Mapping!$F$7:$F$256,$Q1466)))</f>
        <v>1</v>
      </c>
      <c r="P1466" s="34" t="str">
        <f aca="false">IF($A1466="","",$I1466*$O1466)</f>
        <v/>
      </c>
      <c r="Q1466" s="39" t="n">
        <f aca="false">IF($B1466="",0,IFERROR(MATCH($B1466,COA_Mapping!$A$7:$A$256,0),0))</f>
        <v>0</v>
      </c>
      <c r="R1466" s="39" t="n">
        <f aca="false">IF($A1466="",-1,IF($J1466=Setup!$B$7,1,IF($J1466=Setup!$B$9,0,-1)))</f>
        <v>-1</v>
      </c>
      <c r="S1466" s="35" t="n">
        <f aca="false">IF(OR($A1466="",$Q1466=0,$R1466=-1),0,$Q1466*1000+$R1466*100+$K1466)</f>
        <v>0</v>
      </c>
      <c r="T1466" s="37" t="str">
        <f aca="false">IF($A1466="","",IF($B1466="","NO ACCOUNT",IF($Q1466=0,"UNMAPPED",IF($R1466=-1,"OUTSIDE FY RANGE","OK"))))</f>
        <v/>
      </c>
      <c r="U1466" s="40" t="str">
        <f aca="false">IF($A1466="","",$B1466&amp;"|"&amp;TEXT($A1466,"yyyymmdd")&amp;"|"&amp;TEXT($I1466,"0.00"))</f>
        <v/>
      </c>
      <c r="V1466" s="35" t="str">
        <f aca="false">IF($A1466="","",COUNTIF($U$8:$U$5007,$U1466))</f>
        <v/>
      </c>
    </row>
    <row r="1467" customFormat="false" ht="15" hidden="false" customHeight="false" outlineLevel="0" collapsed="false">
      <c r="A1467" s="31"/>
      <c r="B1467" s="32"/>
      <c r="C1467" s="32"/>
      <c r="D1467" s="32"/>
      <c r="E1467" s="32"/>
      <c r="F1467" s="32"/>
      <c r="G1467" s="33"/>
      <c r="H1467" s="33"/>
      <c r="I1467" s="34" t="str">
        <f aca="false">IF($A1467="","",$G1467-$H1467)</f>
        <v/>
      </c>
      <c r="J1467" s="35" t="str">
        <f aca="false">IF($A1467="","",IF(Setup!$B$6=1,YEAR($A1467),YEAR($A1467)+IF(MONTH($A1467)&gt;=Setup!$B$6,1,0)))</f>
        <v/>
      </c>
      <c r="K1467" s="35" t="str">
        <f aca="false">IF($A1467="","",MOD(MONTH($A1467)-Setup!$B$6+12,12)+1)</f>
        <v/>
      </c>
      <c r="L1467" s="36" t="str">
        <f aca="false">IF($A1467="","",TEXT($A1467,"MMM-YY"))</f>
        <v/>
      </c>
      <c r="M1467" s="37" t="str">
        <f aca="false">IF($A1467="","",IF($Q1467=0,"UNMAPPED",INDEX(COA_Mapping!$C$7:$C$256,$Q1467)))</f>
        <v/>
      </c>
      <c r="N1467" s="38" t="str">
        <f aca="false">IF($A1467="","",IF($Q1467=0,"",INDEX(COA_Mapping!$E$7:$E$256,$Q1467)))</f>
        <v/>
      </c>
      <c r="O1467" s="38" t="n">
        <f aca="false">IF($A1467="",1,IF($Q1467=0,1,INDEX(COA_Mapping!$F$7:$F$256,$Q1467)))</f>
        <v>1</v>
      </c>
      <c r="P1467" s="34" t="str">
        <f aca="false">IF($A1467="","",$I1467*$O1467)</f>
        <v/>
      </c>
      <c r="Q1467" s="39" t="n">
        <f aca="false">IF($B1467="",0,IFERROR(MATCH($B1467,COA_Mapping!$A$7:$A$256,0),0))</f>
        <v>0</v>
      </c>
      <c r="R1467" s="39" t="n">
        <f aca="false">IF($A1467="",-1,IF($J1467=Setup!$B$7,1,IF($J1467=Setup!$B$9,0,-1)))</f>
        <v>-1</v>
      </c>
      <c r="S1467" s="35" t="n">
        <f aca="false">IF(OR($A1467="",$Q1467=0,$R1467=-1),0,$Q1467*1000+$R1467*100+$K1467)</f>
        <v>0</v>
      </c>
      <c r="T1467" s="37" t="str">
        <f aca="false">IF($A1467="","",IF($B1467="","NO ACCOUNT",IF($Q1467=0,"UNMAPPED",IF($R1467=-1,"OUTSIDE FY RANGE","OK"))))</f>
        <v/>
      </c>
      <c r="U1467" s="40" t="str">
        <f aca="false">IF($A1467="","",$B1467&amp;"|"&amp;TEXT($A1467,"yyyymmdd")&amp;"|"&amp;TEXT($I1467,"0.00"))</f>
        <v/>
      </c>
      <c r="V1467" s="35" t="str">
        <f aca="false">IF($A1467="","",COUNTIF($U$8:$U$5007,$U1467))</f>
        <v/>
      </c>
    </row>
    <row r="1468" customFormat="false" ht="15" hidden="false" customHeight="false" outlineLevel="0" collapsed="false">
      <c r="A1468" s="31"/>
      <c r="B1468" s="32"/>
      <c r="C1468" s="32"/>
      <c r="D1468" s="32"/>
      <c r="E1468" s="32"/>
      <c r="F1468" s="32"/>
      <c r="G1468" s="33"/>
      <c r="H1468" s="33"/>
      <c r="I1468" s="34" t="str">
        <f aca="false">IF($A1468="","",$G1468-$H1468)</f>
        <v/>
      </c>
      <c r="J1468" s="35" t="str">
        <f aca="false">IF($A1468="","",IF(Setup!$B$6=1,YEAR($A1468),YEAR($A1468)+IF(MONTH($A1468)&gt;=Setup!$B$6,1,0)))</f>
        <v/>
      </c>
      <c r="K1468" s="35" t="str">
        <f aca="false">IF($A1468="","",MOD(MONTH($A1468)-Setup!$B$6+12,12)+1)</f>
        <v/>
      </c>
      <c r="L1468" s="36" t="str">
        <f aca="false">IF($A1468="","",TEXT($A1468,"MMM-YY"))</f>
        <v/>
      </c>
      <c r="M1468" s="37" t="str">
        <f aca="false">IF($A1468="","",IF($Q1468=0,"UNMAPPED",INDEX(COA_Mapping!$C$7:$C$256,$Q1468)))</f>
        <v/>
      </c>
      <c r="N1468" s="38" t="str">
        <f aca="false">IF($A1468="","",IF($Q1468=0,"",INDEX(COA_Mapping!$E$7:$E$256,$Q1468)))</f>
        <v/>
      </c>
      <c r="O1468" s="38" t="n">
        <f aca="false">IF($A1468="",1,IF($Q1468=0,1,INDEX(COA_Mapping!$F$7:$F$256,$Q1468)))</f>
        <v>1</v>
      </c>
      <c r="P1468" s="34" t="str">
        <f aca="false">IF($A1468="","",$I1468*$O1468)</f>
        <v/>
      </c>
      <c r="Q1468" s="39" t="n">
        <f aca="false">IF($B1468="",0,IFERROR(MATCH($B1468,COA_Mapping!$A$7:$A$256,0),0))</f>
        <v>0</v>
      </c>
      <c r="R1468" s="39" t="n">
        <f aca="false">IF($A1468="",-1,IF($J1468=Setup!$B$7,1,IF($J1468=Setup!$B$9,0,-1)))</f>
        <v>-1</v>
      </c>
      <c r="S1468" s="35" t="n">
        <f aca="false">IF(OR($A1468="",$Q1468=0,$R1468=-1),0,$Q1468*1000+$R1468*100+$K1468)</f>
        <v>0</v>
      </c>
      <c r="T1468" s="37" t="str">
        <f aca="false">IF($A1468="","",IF($B1468="","NO ACCOUNT",IF($Q1468=0,"UNMAPPED",IF($R1468=-1,"OUTSIDE FY RANGE","OK"))))</f>
        <v/>
      </c>
      <c r="U1468" s="40" t="str">
        <f aca="false">IF($A1468="","",$B1468&amp;"|"&amp;TEXT($A1468,"yyyymmdd")&amp;"|"&amp;TEXT($I1468,"0.00"))</f>
        <v/>
      </c>
      <c r="V1468" s="35" t="str">
        <f aca="false">IF($A1468="","",COUNTIF($U$8:$U$5007,$U1468))</f>
        <v/>
      </c>
    </row>
    <row r="1469" customFormat="false" ht="15" hidden="false" customHeight="false" outlineLevel="0" collapsed="false">
      <c r="A1469" s="31"/>
      <c r="B1469" s="32"/>
      <c r="C1469" s="32"/>
      <c r="D1469" s="32"/>
      <c r="E1469" s="32"/>
      <c r="F1469" s="32"/>
      <c r="G1469" s="33"/>
      <c r="H1469" s="33"/>
      <c r="I1469" s="34" t="str">
        <f aca="false">IF($A1469="","",$G1469-$H1469)</f>
        <v/>
      </c>
      <c r="J1469" s="35" t="str">
        <f aca="false">IF($A1469="","",IF(Setup!$B$6=1,YEAR($A1469),YEAR($A1469)+IF(MONTH($A1469)&gt;=Setup!$B$6,1,0)))</f>
        <v/>
      </c>
      <c r="K1469" s="35" t="str">
        <f aca="false">IF($A1469="","",MOD(MONTH($A1469)-Setup!$B$6+12,12)+1)</f>
        <v/>
      </c>
      <c r="L1469" s="36" t="str">
        <f aca="false">IF($A1469="","",TEXT($A1469,"MMM-YY"))</f>
        <v/>
      </c>
      <c r="M1469" s="37" t="str">
        <f aca="false">IF($A1469="","",IF($Q1469=0,"UNMAPPED",INDEX(COA_Mapping!$C$7:$C$256,$Q1469)))</f>
        <v/>
      </c>
      <c r="N1469" s="38" t="str">
        <f aca="false">IF($A1469="","",IF($Q1469=0,"",INDEX(COA_Mapping!$E$7:$E$256,$Q1469)))</f>
        <v/>
      </c>
      <c r="O1469" s="38" t="n">
        <f aca="false">IF($A1469="",1,IF($Q1469=0,1,INDEX(COA_Mapping!$F$7:$F$256,$Q1469)))</f>
        <v>1</v>
      </c>
      <c r="P1469" s="34" t="str">
        <f aca="false">IF($A1469="","",$I1469*$O1469)</f>
        <v/>
      </c>
      <c r="Q1469" s="39" t="n">
        <f aca="false">IF($B1469="",0,IFERROR(MATCH($B1469,COA_Mapping!$A$7:$A$256,0),0))</f>
        <v>0</v>
      </c>
      <c r="R1469" s="39" t="n">
        <f aca="false">IF($A1469="",-1,IF($J1469=Setup!$B$7,1,IF($J1469=Setup!$B$9,0,-1)))</f>
        <v>-1</v>
      </c>
      <c r="S1469" s="35" t="n">
        <f aca="false">IF(OR($A1469="",$Q1469=0,$R1469=-1),0,$Q1469*1000+$R1469*100+$K1469)</f>
        <v>0</v>
      </c>
      <c r="T1469" s="37" t="str">
        <f aca="false">IF($A1469="","",IF($B1469="","NO ACCOUNT",IF($Q1469=0,"UNMAPPED",IF($R1469=-1,"OUTSIDE FY RANGE","OK"))))</f>
        <v/>
      </c>
      <c r="U1469" s="40" t="str">
        <f aca="false">IF($A1469="","",$B1469&amp;"|"&amp;TEXT($A1469,"yyyymmdd")&amp;"|"&amp;TEXT($I1469,"0.00"))</f>
        <v/>
      </c>
      <c r="V1469" s="35" t="str">
        <f aca="false">IF($A1469="","",COUNTIF($U$8:$U$5007,$U1469))</f>
        <v/>
      </c>
    </row>
    <row r="1470" customFormat="false" ht="15" hidden="false" customHeight="false" outlineLevel="0" collapsed="false">
      <c r="A1470" s="31"/>
      <c r="B1470" s="32"/>
      <c r="C1470" s="32"/>
      <c r="D1470" s="32"/>
      <c r="E1470" s="32"/>
      <c r="F1470" s="32"/>
      <c r="G1470" s="33"/>
      <c r="H1470" s="33"/>
      <c r="I1470" s="34" t="str">
        <f aca="false">IF($A1470="","",$G1470-$H1470)</f>
        <v/>
      </c>
      <c r="J1470" s="35" t="str">
        <f aca="false">IF($A1470="","",IF(Setup!$B$6=1,YEAR($A1470),YEAR($A1470)+IF(MONTH($A1470)&gt;=Setup!$B$6,1,0)))</f>
        <v/>
      </c>
      <c r="K1470" s="35" t="str">
        <f aca="false">IF($A1470="","",MOD(MONTH($A1470)-Setup!$B$6+12,12)+1)</f>
        <v/>
      </c>
      <c r="L1470" s="36" t="str">
        <f aca="false">IF($A1470="","",TEXT($A1470,"MMM-YY"))</f>
        <v/>
      </c>
      <c r="M1470" s="37" t="str">
        <f aca="false">IF($A1470="","",IF($Q1470=0,"UNMAPPED",INDEX(COA_Mapping!$C$7:$C$256,$Q1470)))</f>
        <v/>
      </c>
      <c r="N1470" s="38" t="str">
        <f aca="false">IF($A1470="","",IF($Q1470=0,"",INDEX(COA_Mapping!$E$7:$E$256,$Q1470)))</f>
        <v/>
      </c>
      <c r="O1470" s="38" t="n">
        <f aca="false">IF($A1470="",1,IF($Q1470=0,1,INDEX(COA_Mapping!$F$7:$F$256,$Q1470)))</f>
        <v>1</v>
      </c>
      <c r="P1470" s="34" t="str">
        <f aca="false">IF($A1470="","",$I1470*$O1470)</f>
        <v/>
      </c>
      <c r="Q1470" s="39" t="n">
        <f aca="false">IF($B1470="",0,IFERROR(MATCH($B1470,COA_Mapping!$A$7:$A$256,0),0))</f>
        <v>0</v>
      </c>
      <c r="R1470" s="39" t="n">
        <f aca="false">IF($A1470="",-1,IF($J1470=Setup!$B$7,1,IF($J1470=Setup!$B$9,0,-1)))</f>
        <v>-1</v>
      </c>
      <c r="S1470" s="35" t="n">
        <f aca="false">IF(OR($A1470="",$Q1470=0,$R1470=-1),0,$Q1470*1000+$R1470*100+$K1470)</f>
        <v>0</v>
      </c>
      <c r="T1470" s="37" t="str">
        <f aca="false">IF($A1470="","",IF($B1470="","NO ACCOUNT",IF($Q1470=0,"UNMAPPED",IF($R1470=-1,"OUTSIDE FY RANGE","OK"))))</f>
        <v/>
      </c>
      <c r="U1470" s="40" t="str">
        <f aca="false">IF($A1470="","",$B1470&amp;"|"&amp;TEXT($A1470,"yyyymmdd")&amp;"|"&amp;TEXT($I1470,"0.00"))</f>
        <v/>
      </c>
      <c r="V1470" s="35" t="str">
        <f aca="false">IF($A1470="","",COUNTIF($U$8:$U$5007,$U1470))</f>
        <v/>
      </c>
    </row>
    <row r="1471" customFormat="false" ht="15" hidden="false" customHeight="false" outlineLevel="0" collapsed="false">
      <c r="A1471" s="31"/>
      <c r="B1471" s="32"/>
      <c r="C1471" s="32"/>
      <c r="D1471" s="32"/>
      <c r="E1471" s="32"/>
      <c r="F1471" s="32"/>
      <c r="G1471" s="33"/>
      <c r="H1471" s="33"/>
      <c r="I1471" s="34" t="str">
        <f aca="false">IF($A1471="","",$G1471-$H1471)</f>
        <v/>
      </c>
      <c r="J1471" s="35" t="str">
        <f aca="false">IF($A1471="","",IF(Setup!$B$6=1,YEAR($A1471),YEAR($A1471)+IF(MONTH($A1471)&gt;=Setup!$B$6,1,0)))</f>
        <v/>
      </c>
      <c r="K1471" s="35" t="str">
        <f aca="false">IF($A1471="","",MOD(MONTH($A1471)-Setup!$B$6+12,12)+1)</f>
        <v/>
      </c>
      <c r="L1471" s="36" t="str">
        <f aca="false">IF($A1471="","",TEXT($A1471,"MMM-YY"))</f>
        <v/>
      </c>
      <c r="M1471" s="37" t="str">
        <f aca="false">IF($A1471="","",IF($Q1471=0,"UNMAPPED",INDEX(COA_Mapping!$C$7:$C$256,$Q1471)))</f>
        <v/>
      </c>
      <c r="N1471" s="38" t="str">
        <f aca="false">IF($A1471="","",IF($Q1471=0,"",INDEX(COA_Mapping!$E$7:$E$256,$Q1471)))</f>
        <v/>
      </c>
      <c r="O1471" s="38" t="n">
        <f aca="false">IF($A1471="",1,IF($Q1471=0,1,INDEX(COA_Mapping!$F$7:$F$256,$Q1471)))</f>
        <v>1</v>
      </c>
      <c r="P1471" s="34" t="str">
        <f aca="false">IF($A1471="","",$I1471*$O1471)</f>
        <v/>
      </c>
      <c r="Q1471" s="39" t="n">
        <f aca="false">IF($B1471="",0,IFERROR(MATCH($B1471,COA_Mapping!$A$7:$A$256,0),0))</f>
        <v>0</v>
      </c>
      <c r="R1471" s="39" t="n">
        <f aca="false">IF($A1471="",-1,IF($J1471=Setup!$B$7,1,IF($J1471=Setup!$B$9,0,-1)))</f>
        <v>-1</v>
      </c>
      <c r="S1471" s="35" t="n">
        <f aca="false">IF(OR($A1471="",$Q1471=0,$R1471=-1),0,$Q1471*1000+$R1471*100+$K1471)</f>
        <v>0</v>
      </c>
      <c r="T1471" s="37" t="str">
        <f aca="false">IF($A1471="","",IF($B1471="","NO ACCOUNT",IF($Q1471=0,"UNMAPPED",IF($R1471=-1,"OUTSIDE FY RANGE","OK"))))</f>
        <v/>
      </c>
      <c r="U1471" s="40" t="str">
        <f aca="false">IF($A1471="","",$B1471&amp;"|"&amp;TEXT($A1471,"yyyymmdd")&amp;"|"&amp;TEXT($I1471,"0.00"))</f>
        <v/>
      </c>
      <c r="V1471" s="35" t="str">
        <f aca="false">IF($A1471="","",COUNTIF($U$8:$U$5007,$U1471))</f>
        <v/>
      </c>
    </row>
    <row r="1472" customFormat="false" ht="15" hidden="false" customHeight="false" outlineLevel="0" collapsed="false">
      <c r="A1472" s="31"/>
      <c r="B1472" s="32"/>
      <c r="C1472" s="32"/>
      <c r="D1472" s="32"/>
      <c r="E1472" s="32"/>
      <c r="F1472" s="32"/>
      <c r="G1472" s="33"/>
      <c r="H1472" s="33"/>
      <c r="I1472" s="34" t="str">
        <f aca="false">IF($A1472="","",$G1472-$H1472)</f>
        <v/>
      </c>
      <c r="J1472" s="35" t="str">
        <f aca="false">IF($A1472="","",IF(Setup!$B$6=1,YEAR($A1472),YEAR($A1472)+IF(MONTH($A1472)&gt;=Setup!$B$6,1,0)))</f>
        <v/>
      </c>
      <c r="K1472" s="35" t="str">
        <f aca="false">IF($A1472="","",MOD(MONTH($A1472)-Setup!$B$6+12,12)+1)</f>
        <v/>
      </c>
      <c r="L1472" s="36" t="str">
        <f aca="false">IF($A1472="","",TEXT($A1472,"MMM-YY"))</f>
        <v/>
      </c>
      <c r="M1472" s="37" t="str">
        <f aca="false">IF($A1472="","",IF($Q1472=0,"UNMAPPED",INDEX(COA_Mapping!$C$7:$C$256,$Q1472)))</f>
        <v/>
      </c>
      <c r="N1472" s="38" t="str">
        <f aca="false">IF($A1472="","",IF($Q1472=0,"",INDEX(COA_Mapping!$E$7:$E$256,$Q1472)))</f>
        <v/>
      </c>
      <c r="O1472" s="38" t="n">
        <f aca="false">IF($A1472="",1,IF($Q1472=0,1,INDEX(COA_Mapping!$F$7:$F$256,$Q1472)))</f>
        <v>1</v>
      </c>
      <c r="P1472" s="34" t="str">
        <f aca="false">IF($A1472="","",$I1472*$O1472)</f>
        <v/>
      </c>
      <c r="Q1472" s="39" t="n">
        <f aca="false">IF($B1472="",0,IFERROR(MATCH($B1472,COA_Mapping!$A$7:$A$256,0),0))</f>
        <v>0</v>
      </c>
      <c r="R1472" s="39" t="n">
        <f aca="false">IF($A1472="",-1,IF($J1472=Setup!$B$7,1,IF($J1472=Setup!$B$9,0,-1)))</f>
        <v>-1</v>
      </c>
      <c r="S1472" s="35" t="n">
        <f aca="false">IF(OR($A1472="",$Q1472=0,$R1472=-1),0,$Q1472*1000+$R1472*100+$K1472)</f>
        <v>0</v>
      </c>
      <c r="T1472" s="37" t="str">
        <f aca="false">IF($A1472="","",IF($B1472="","NO ACCOUNT",IF($Q1472=0,"UNMAPPED",IF($R1472=-1,"OUTSIDE FY RANGE","OK"))))</f>
        <v/>
      </c>
      <c r="U1472" s="40" t="str">
        <f aca="false">IF($A1472="","",$B1472&amp;"|"&amp;TEXT($A1472,"yyyymmdd")&amp;"|"&amp;TEXT($I1472,"0.00"))</f>
        <v/>
      </c>
      <c r="V1472" s="35" t="str">
        <f aca="false">IF($A1472="","",COUNTIF($U$8:$U$5007,$U1472))</f>
        <v/>
      </c>
    </row>
    <row r="1473" customFormat="false" ht="15" hidden="false" customHeight="false" outlineLevel="0" collapsed="false">
      <c r="A1473" s="31"/>
      <c r="B1473" s="32"/>
      <c r="C1473" s="32"/>
      <c r="D1473" s="32"/>
      <c r="E1473" s="32"/>
      <c r="F1473" s="32"/>
      <c r="G1473" s="33"/>
      <c r="H1473" s="33"/>
      <c r="I1473" s="34" t="str">
        <f aca="false">IF($A1473="","",$G1473-$H1473)</f>
        <v/>
      </c>
      <c r="J1473" s="35" t="str">
        <f aca="false">IF($A1473="","",IF(Setup!$B$6=1,YEAR($A1473),YEAR($A1473)+IF(MONTH($A1473)&gt;=Setup!$B$6,1,0)))</f>
        <v/>
      </c>
      <c r="K1473" s="35" t="str">
        <f aca="false">IF($A1473="","",MOD(MONTH($A1473)-Setup!$B$6+12,12)+1)</f>
        <v/>
      </c>
      <c r="L1473" s="36" t="str">
        <f aca="false">IF($A1473="","",TEXT($A1473,"MMM-YY"))</f>
        <v/>
      </c>
      <c r="M1473" s="37" t="str">
        <f aca="false">IF($A1473="","",IF($Q1473=0,"UNMAPPED",INDEX(COA_Mapping!$C$7:$C$256,$Q1473)))</f>
        <v/>
      </c>
      <c r="N1473" s="38" t="str">
        <f aca="false">IF($A1473="","",IF($Q1473=0,"",INDEX(COA_Mapping!$E$7:$E$256,$Q1473)))</f>
        <v/>
      </c>
      <c r="O1473" s="38" t="n">
        <f aca="false">IF($A1473="",1,IF($Q1473=0,1,INDEX(COA_Mapping!$F$7:$F$256,$Q1473)))</f>
        <v>1</v>
      </c>
      <c r="P1473" s="34" t="str">
        <f aca="false">IF($A1473="","",$I1473*$O1473)</f>
        <v/>
      </c>
      <c r="Q1473" s="39" t="n">
        <f aca="false">IF($B1473="",0,IFERROR(MATCH($B1473,COA_Mapping!$A$7:$A$256,0),0))</f>
        <v>0</v>
      </c>
      <c r="R1473" s="39" t="n">
        <f aca="false">IF($A1473="",-1,IF($J1473=Setup!$B$7,1,IF($J1473=Setup!$B$9,0,-1)))</f>
        <v>-1</v>
      </c>
      <c r="S1473" s="35" t="n">
        <f aca="false">IF(OR($A1473="",$Q1473=0,$R1473=-1),0,$Q1473*1000+$R1473*100+$K1473)</f>
        <v>0</v>
      </c>
      <c r="T1473" s="37" t="str">
        <f aca="false">IF($A1473="","",IF($B1473="","NO ACCOUNT",IF($Q1473=0,"UNMAPPED",IF($R1473=-1,"OUTSIDE FY RANGE","OK"))))</f>
        <v/>
      </c>
      <c r="U1473" s="40" t="str">
        <f aca="false">IF($A1473="","",$B1473&amp;"|"&amp;TEXT($A1473,"yyyymmdd")&amp;"|"&amp;TEXT($I1473,"0.00"))</f>
        <v/>
      </c>
      <c r="V1473" s="35" t="str">
        <f aca="false">IF($A1473="","",COUNTIF($U$8:$U$5007,$U1473))</f>
        <v/>
      </c>
    </row>
    <row r="1474" customFormat="false" ht="15" hidden="false" customHeight="false" outlineLevel="0" collapsed="false">
      <c r="A1474" s="31"/>
      <c r="B1474" s="32"/>
      <c r="C1474" s="32"/>
      <c r="D1474" s="32"/>
      <c r="E1474" s="32"/>
      <c r="F1474" s="32"/>
      <c r="G1474" s="33"/>
      <c r="H1474" s="33"/>
      <c r="I1474" s="34" t="str">
        <f aca="false">IF($A1474="","",$G1474-$H1474)</f>
        <v/>
      </c>
      <c r="J1474" s="35" t="str">
        <f aca="false">IF($A1474="","",IF(Setup!$B$6=1,YEAR($A1474),YEAR($A1474)+IF(MONTH($A1474)&gt;=Setup!$B$6,1,0)))</f>
        <v/>
      </c>
      <c r="K1474" s="35" t="str">
        <f aca="false">IF($A1474="","",MOD(MONTH($A1474)-Setup!$B$6+12,12)+1)</f>
        <v/>
      </c>
      <c r="L1474" s="36" t="str">
        <f aca="false">IF($A1474="","",TEXT($A1474,"MMM-YY"))</f>
        <v/>
      </c>
      <c r="M1474" s="37" t="str">
        <f aca="false">IF($A1474="","",IF($Q1474=0,"UNMAPPED",INDEX(COA_Mapping!$C$7:$C$256,$Q1474)))</f>
        <v/>
      </c>
      <c r="N1474" s="38" t="str">
        <f aca="false">IF($A1474="","",IF($Q1474=0,"",INDEX(COA_Mapping!$E$7:$E$256,$Q1474)))</f>
        <v/>
      </c>
      <c r="O1474" s="38" t="n">
        <f aca="false">IF($A1474="",1,IF($Q1474=0,1,INDEX(COA_Mapping!$F$7:$F$256,$Q1474)))</f>
        <v>1</v>
      </c>
      <c r="P1474" s="34" t="str">
        <f aca="false">IF($A1474="","",$I1474*$O1474)</f>
        <v/>
      </c>
      <c r="Q1474" s="39" t="n">
        <f aca="false">IF($B1474="",0,IFERROR(MATCH($B1474,COA_Mapping!$A$7:$A$256,0),0))</f>
        <v>0</v>
      </c>
      <c r="R1474" s="39" t="n">
        <f aca="false">IF($A1474="",-1,IF($J1474=Setup!$B$7,1,IF($J1474=Setup!$B$9,0,-1)))</f>
        <v>-1</v>
      </c>
      <c r="S1474" s="35" t="n">
        <f aca="false">IF(OR($A1474="",$Q1474=0,$R1474=-1),0,$Q1474*1000+$R1474*100+$K1474)</f>
        <v>0</v>
      </c>
      <c r="T1474" s="37" t="str">
        <f aca="false">IF($A1474="","",IF($B1474="","NO ACCOUNT",IF($Q1474=0,"UNMAPPED",IF($R1474=-1,"OUTSIDE FY RANGE","OK"))))</f>
        <v/>
      </c>
      <c r="U1474" s="40" t="str">
        <f aca="false">IF($A1474="","",$B1474&amp;"|"&amp;TEXT($A1474,"yyyymmdd")&amp;"|"&amp;TEXT($I1474,"0.00"))</f>
        <v/>
      </c>
      <c r="V1474" s="35" t="str">
        <f aca="false">IF($A1474="","",COUNTIF($U$8:$U$5007,$U1474))</f>
        <v/>
      </c>
    </row>
    <row r="1475" customFormat="false" ht="15" hidden="false" customHeight="false" outlineLevel="0" collapsed="false">
      <c r="A1475" s="31"/>
      <c r="B1475" s="32"/>
      <c r="C1475" s="32"/>
      <c r="D1475" s="32"/>
      <c r="E1475" s="32"/>
      <c r="F1475" s="32"/>
      <c r="G1475" s="33"/>
      <c r="H1475" s="33"/>
      <c r="I1475" s="34" t="str">
        <f aca="false">IF($A1475="","",$G1475-$H1475)</f>
        <v/>
      </c>
      <c r="J1475" s="35" t="str">
        <f aca="false">IF($A1475="","",IF(Setup!$B$6=1,YEAR($A1475),YEAR($A1475)+IF(MONTH($A1475)&gt;=Setup!$B$6,1,0)))</f>
        <v/>
      </c>
      <c r="K1475" s="35" t="str">
        <f aca="false">IF($A1475="","",MOD(MONTH($A1475)-Setup!$B$6+12,12)+1)</f>
        <v/>
      </c>
      <c r="L1475" s="36" t="str">
        <f aca="false">IF($A1475="","",TEXT($A1475,"MMM-YY"))</f>
        <v/>
      </c>
      <c r="M1475" s="37" t="str">
        <f aca="false">IF($A1475="","",IF($Q1475=0,"UNMAPPED",INDEX(COA_Mapping!$C$7:$C$256,$Q1475)))</f>
        <v/>
      </c>
      <c r="N1475" s="38" t="str">
        <f aca="false">IF($A1475="","",IF($Q1475=0,"",INDEX(COA_Mapping!$E$7:$E$256,$Q1475)))</f>
        <v/>
      </c>
      <c r="O1475" s="38" t="n">
        <f aca="false">IF($A1475="",1,IF($Q1475=0,1,INDEX(COA_Mapping!$F$7:$F$256,$Q1475)))</f>
        <v>1</v>
      </c>
      <c r="P1475" s="34" t="str">
        <f aca="false">IF($A1475="","",$I1475*$O1475)</f>
        <v/>
      </c>
      <c r="Q1475" s="39" t="n">
        <f aca="false">IF($B1475="",0,IFERROR(MATCH($B1475,COA_Mapping!$A$7:$A$256,0),0))</f>
        <v>0</v>
      </c>
      <c r="R1475" s="39" t="n">
        <f aca="false">IF($A1475="",-1,IF($J1475=Setup!$B$7,1,IF($J1475=Setup!$B$9,0,-1)))</f>
        <v>-1</v>
      </c>
      <c r="S1475" s="35" t="n">
        <f aca="false">IF(OR($A1475="",$Q1475=0,$R1475=-1),0,$Q1475*1000+$R1475*100+$K1475)</f>
        <v>0</v>
      </c>
      <c r="T1475" s="37" t="str">
        <f aca="false">IF($A1475="","",IF($B1475="","NO ACCOUNT",IF($Q1475=0,"UNMAPPED",IF($R1475=-1,"OUTSIDE FY RANGE","OK"))))</f>
        <v/>
      </c>
      <c r="U1475" s="40" t="str">
        <f aca="false">IF($A1475="","",$B1475&amp;"|"&amp;TEXT($A1475,"yyyymmdd")&amp;"|"&amp;TEXT($I1475,"0.00"))</f>
        <v/>
      </c>
      <c r="V1475" s="35" t="str">
        <f aca="false">IF($A1475="","",COUNTIF($U$8:$U$5007,$U1475))</f>
        <v/>
      </c>
    </row>
    <row r="1476" customFormat="false" ht="15" hidden="false" customHeight="false" outlineLevel="0" collapsed="false">
      <c r="A1476" s="31"/>
      <c r="B1476" s="32"/>
      <c r="C1476" s="32"/>
      <c r="D1476" s="32"/>
      <c r="E1476" s="32"/>
      <c r="F1476" s="32"/>
      <c r="G1476" s="33"/>
      <c r="H1476" s="33"/>
      <c r="I1476" s="34" t="str">
        <f aca="false">IF($A1476="","",$G1476-$H1476)</f>
        <v/>
      </c>
      <c r="J1476" s="35" t="str">
        <f aca="false">IF($A1476="","",IF(Setup!$B$6=1,YEAR($A1476),YEAR($A1476)+IF(MONTH($A1476)&gt;=Setup!$B$6,1,0)))</f>
        <v/>
      </c>
      <c r="K1476" s="35" t="str">
        <f aca="false">IF($A1476="","",MOD(MONTH($A1476)-Setup!$B$6+12,12)+1)</f>
        <v/>
      </c>
      <c r="L1476" s="36" t="str">
        <f aca="false">IF($A1476="","",TEXT($A1476,"MMM-YY"))</f>
        <v/>
      </c>
      <c r="M1476" s="37" t="str">
        <f aca="false">IF($A1476="","",IF($Q1476=0,"UNMAPPED",INDEX(COA_Mapping!$C$7:$C$256,$Q1476)))</f>
        <v/>
      </c>
      <c r="N1476" s="38" t="str">
        <f aca="false">IF($A1476="","",IF($Q1476=0,"",INDEX(COA_Mapping!$E$7:$E$256,$Q1476)))</f>
        <v/>
      </c>
      <c r="O1476" s="38" t="n">
        <f aca="false">IF($A1476="",1,IF($Q1476=0,1,INDEX(COA_Mapping!$F$7:$F$256,$Q1476)))</f>
        <v>1</v>
      </c>
      <c r="P1476" s="34" t="str">
        <f aca="false">IF($A1476="","",$I1476*$O1476)</f>
        <v/>
      </c>
      <c r="Q1476" s="39" t="n">
        <f aca="false">IF($B1476="",0,IFERROR(MATCH($B1476,COA_Mapping!$A$7:$A$256,0),0))</f>
        <v>0</v>
      </c>
      <c r="R1476" s="39" t="n">
        <f aca="false">IF($A1476="",-1,IF($J1476=Setup!$B$7,1,IF($J1476=Setup!$B$9,0,-1)))</f>
        <v>-1</v>
      </c>
      <c r="S1476" s="35" t="n">
        <f aca="false">IF(OR($A1476="",$Q1476=0,$R1476=-1),0,$Q1476*1000+$R1476*100+$K1476)</f>
        <v>0</v>
      </c>
      <c r="T1476" s="37" t="str">
        <f aca="false">IF($A1476="","",IF($B1476="","NO ACCOUNT",IF($Q1476=0,"UNMAPPED",IF($R1476=-1,"OUTSIDE FY RANGE","OK"))))</f>
        <v/>
      </c>
      <c r="U1476" s="40" t="str">
        <f aca="false">IF($A1476="","",$B1476&amp;"|"&amp;TEXT($A1476,"yyyymmdd")&amp;"|"&amp;TEXT($I1476,"0.00"))</f>
        <v/>
      </c>
      <c r="V1476" s="35" t="str">
        <f aca="false">IF($A1476="","",COUNTIF($U$8:$U$5007,$U1476))</f>
        <v/>
      </c>
    </row>
    <row r="1477" customFormat="false" ht="15" hidden="false" customHeight="false" outlineLevel="0" collapsed="false">
      <c r="A1477" s="31"/>
      <c r="B1477" s="32"/>
      <c r="C1477" s="32"/>
      <c r="D1477" s="32"/>
      <c r="E1477" s="32"/>
      <c r="F1477" s="32"/>
      <c r="G1477" s="33"/>
      <c r="H1477" s="33"/>
      <c r="I1477" s="34" t="str">
        <f aca="false">IF($A1477="","",$G1477-$H1477)</f>
        <v/>
      </c>
      <c r="J1477" s="35" t="str">
        <f aca="false">IF($A1477="","",IF(Setup!$B$6=1,YEAR($A1477),YEAR($A1477)+IF(MONTH($A1477)&gt;=Setup!$B$6,1,0)))</f>
        <v/>
      </c>
      <c r="K1477" s="35" t="str">
        <f aca="false">IF($A1477="","",MOD(MONTH($A1477)-Setup!$B$6+12,12)+1)</f>
        <v/>
      </c>
      <c r="L1477" s="36" t="str">
        <f aca="false">IF($A1477="","",TEXT($A1477,"MMM-YY"))</f>
        <v/>
      </c>
      <c r="M1477" s="37" t="str">
        <f aca="false">IF($A1477="","",IF($Q1477=0,"UNMAPPED",INDEX(COA_Mapping!$C$7:$C$256,$Q1477)))</f>
        <v/>
      </c>
      <c r="N1477" s="38" t="str">
        <f aca="false">IF($A1477="","",IF($Q1477=0,"",INDEX(COA_Mapping!$E$7:$E$256,$Q1477)))</f>
        <v/>
      </c>
      <c r="O1477" s="38" t="n">
        <f aca="false">IF($A1477="",1,IF($Q1477=0,1,INDEX(COA_Mapping!$F$7:$F$256,$Q1477)))</f>
        <v>1</v>
      </c>
      <c r="P1477" s="34" t="str">
        <f aca="false">IF($A1477="","",$I1477*$O1477)</f>
        <v/>
      </c>
      <c r="Q1477" s="39" t="n">
        <f aca="false">IF($B1477="",0,IFERROR(MATCH($B1477,COA_Mapping!$A$7:$A$256,0),0))</f>
        <v>0</v>
      </c>
      <c r="R1477" s="39" t="n">
        <f aca="false">IF($A1477="",-1,IF($J1477=Setup!$B$7,1,IF($J1477=Setup!$B$9,0,-1)))</f>
        <v>-1</v>
      </c>
      <c r="S1477" s="35" t="n">
        <f aca="false">IF(OR($A1477="",$Q1477=0,$R1477=-1),0,$Q1477*1000+$R1477*100+$K1477)</f>
        <v>0</v>
      </c>
      <c r="T1477" s="37" t="str">
        <f aca="false">IF($A1477="","",IF($B1477="","NO ACCOUNT",IF($Q1477=0,"UNMAPPED",IF($R1477=-1,"OUTSIDE FY RANGE","OK"))))</f>
        <v/>
      </c>
      <c r="U1477" s="40" t="str">
        <f aca="false">IF($A1477="","",$B1477&amp;"|"&amp;TEXT($A1477,"yyyymmdd")&amp;"|"&amp;TEXT($I1477,"0.00"))</f>
        <v/>
      </c>
      <c r="V1477" s="35" t="str">
        <f aca="false">IF($A1477="","",COUNTIF($U$8:$U$5007,$U1477))</f>
        <v/>
      </c>
    </row>
    <row r="1478" customFormat="false" ht="15" hidden="false" customHeight="false" outlineLevel="0" collapsed="false">
      <c r="A1478" s="31"/>
      <c r="B1478" s="32"/>
      <c r="C1478" s="32"/>
      <c r="D1478" s="32"/>
      <c r="E1478" s="32"/>
      <c r="F1478" s="32"/>
      <c r="G1478" s="33"/>
      <c r="H1478" s="33"/>
      <c r="I1478" s="34" t="str">
        <f aca="false">IF($A1478="","",$G1478-$H1478)</f>
        <v/>
      </c>
      <c r="J1478" s="35" t="str">
        <f aca="false">IF($A1478="","",IF(Setup!$B$6=1,YEAR($A1478),YEAR($A1478)+IF(MONTH($A1478)&gt;=Setup!$B$6,1,0)))</f>
        <v/>
      </c>
      <c r="K1478" s="35" t="str">
        <f aca="false">IF($A1478="","",MOD(MONTH($A1478)-Setup!$B$6+12,12)+1)</f>
        <v/>
      </c>
      <c r="L1478" s="36" t="str">
        <f aca="false">IF($A1478="","",TEXT($A1478,"MMM-YY"))</f>
        <v/>
      </c>
      <c r="M1478" s="37" t="str">
        <f aca="false">IF($A1478="","",IF($Q1478=0,"UNMAPPED",INDEX(COA_Mapping!$C$7:$C$256,$Q1478)))</f>
        <v/>
      </c>
      <c r="N1478" s="38" t="str">
        <f aca="false">IF($A1478="","",IF($Q1478=0,"",INDEX(COA_Mapping!$E$7:$E$256,$Q1478)))</f>
        <v/>
      </c>
      <c r="O1478" s="38" t="n">
        <f aca="false">IF($A1478="",1,IF($Q1478=0,1,INDEX(COA_Mapping!$F$7:$F$256,$Q1478)))</f>
        <v>1</v>
      </c>
      <c r="P1478" s="34" t="str">
        <f aca="false">IF($A1478="","",$I1478*$O1478)</f>
        <v/>
      </c>
      <c r="Q1478" s="39" t="n">
        <f aca="false">IF($B1478="",0,IFERROR(MATCH($B1478,COA_Mapping!$A$7:$A$256,0),0))</f>
        <v>0</v>
      </c>
      <c r="R1478" s="39" t="n">
        <f aca="false">IF($A1478="",-1,IF($J1478=Setup!$B$7,1,IF($J1478=Setup!$B$9,0,-1)))</f>
        <v>-1</v>
      </c>
      <c r="S1478" s="35" t="n">
        <f aca="false">IF(OR($A1478="",$Q1478=0,$R1478=-1),0,$Q1478*1000+$R1478*100+$K1478)</f>
        <v>0</v>
      </c>
      <c r="T1478" s="37" t="str">
        <f aca="false">IF($A1478="","",IF($B1478="","NO ACCOUNT",IF($Q1478=0,"UNMAPPED",IF($R1478=-1,"OUTSIDE FY RANGE","OK"))))</f>
        <v/>
      </c>
      <c r="U1478" s="40" t="str">
        <f aca="false">IF($A1478="","",$B1478&amp;"|"&amp;TEXT($A1478,"yyyymmdd")&amp;"|"&amp;TEXT($I1478,"0.00"))</f>
        <v/>
      </c>
      <c r="V1478" s="35" t="str">
        <f aca="false">IF($A1478="","",COUNTIF($U$8:$U$5007,$U1478))</f>
        <v/>
      </c>
    </row>
    <row r="1479" customFormat="false" ht="15" hidden="false" customHeight="false" outlineLevel="0" collapsed="false">
      <c r="A1479" s="31"/>
      <c r="B1479" s="32"/>
      <c r="C1479" s="32"/>
      <c r="D1479" s="32"/>
      <c r="E1479" s="32"/>
      <c r="F1479" s="32"/>
      <c r="G1479" s="33"/>
      <c r="H1479" s="33"/>
      <c r="I1479" s="34" t="str">
        <f aca="false">IF($A1479="","",$G1479-$H1479)</f>
        <v/>
      </c>
      <c r="J1479" s="35" t="str">
        <f aca="false">IF($A1479="","",IF(Setup!$B$6=1,YEAR($A1479),YEAR($A1479)+IF(MONTH($A1479)&gt;=Setup!$B$6,1,0)))</f>
        <v/>
      </c>
      <c r="K1479" s="35" t="str">
        <f aca="false">IF($A1479="","",MOD(MONTH($A1479)-Setup!$B$6+12,12)+1)</f>
        <v/>
      </c>
      <c r="L1479" s="36" t="str">
        <f aca="false">IF($A1479="","",TEXT($A1479,"MMM-YY"))</f>
        <v/>
      </c>
      <c r="M1479" s="37" t="str">
        <f aca="false">IF($A1479="","",IF($Q1479=0,"UNMAPPED",INDEX(COA_Mapping!$C$7:$C$256,$Q1479)))</f>
        <v/>
      </c>
      <c r="N1479" s="38" t="str">
        <f aca="false">IF($A1479="","",IF($Q1479=0,"",INDEX(COA_Mapping!$E$7:$E$256,$Q1479)))</f>
        <v/>
      </c>
      <c r="O1479" s="38" t="n">
        <f aca="false">IF($A1479="",1,IF($Q1479=0,1,INDEX(COA_Mapping!$F$7:$F$256,$Q1479)))</f>
        <v>1</v>
      </c>
      <c r="P1479" s="34" t="str">
        <f aca="false">IF($A1479="","",$I1479*$O1479)</f>
        <v/>
      </c>
      <c r="Q1479" s="39" t="n">
        <f aca="false">IF($B1479="",0,IFERROR(MATCH($B1479,COA_Mapping!$A$7:$A$256,0),0))</f>
        <v>0</v>
      </c>
      <c r="R1479" s="39" t="n">
        <f aca="false">IF($A1479="",-1,IF($J1479=Setup!$B$7,1,IF($J1479=Setup!$B$9,0,-1)))</f>
        <v>-1</v>
      </c>
      <c r="S1479" s="35" t="n">
        <f aca="false">IF(OR($A1479="",$Q1479=0,$R1479=-1),0,$Q1479*1000+$R1479*100+$K1479)</f>
        <v>0</v>
      </c>
      <c r="T1479" s="37" t="str">
        <f aca="false">IF($A1479="","",IF($B1479="","NO ACCOUNT",IF($Q1479=0,"UNMAPPED",IF($R1479=-1,"OUTSIDE FY RANGE","OK"))))</f>
        <v/>
      </c>
      <c r="U1479" s="40" t="str">
        <f aca="false">IF($A1479="","",$B1479&amp;"|"&amp;TEXT($A1479,"yyyymmdd")&amp;"|"&amp;TEXT($I1479,"0.00"))</f>
        <v/>
      </c>
      <c r="V1479" s="35" t="str">
        <f aca="false">IF($A1479="","",COUNTIF($U$8:$U$5007,$U1479))</f>
        <v/>
      </c>
    </row>
    <row r="1480" customFormat="false" ht="15" hidden="false" customHeight="false" outlineLevel="0" collapsed="false">
      <c r="A1480" s="31"/>
      <c r="B1480" s="32"/>
      <c r="C1480" s="32"/>
      <c r="D1480" s="32"/>
      <c r="E1480" s="32"/>
      <c r="F1480" s="32"/>
      <c r="G1480" s="33"/>
      <c r="H1480" s="33"/>
      <c r="I1480" s="34" t="str">
        <f aca="false">IF($A1480="","",$G1480-$H1480)</f>
        <v/>
      </c>
      <c r="J1480" s="35" t="str">
        <f aca="false">IF($A1480="","",IF(Setup!$B$6=1,YEAR($A1480),YEAR($A1480)+IF(MONTH($A1480)&gt;=Setup!$B$6,1,0)))</f>
        <v/>
      </c>
      <c r="K1480" s="35" t="str">
        <f aca="false">IF($A1480="","",MOD(MONTH($A1480)-Setup!$B$6+12,12)+1)</f>
        <v/>
      </c>
      <c r="L1480" s="36" t="str">
        <f aca="false">IF($A1480="","",TEXT($A1480,"MMM-YY"))</f>
        <v/>
      </c>
      <c r="M1480" s="37" t="str">
        <f aca="false">IF($A1480="","",IF($Q1480=0,"UNMAPPED",INDEX(COA_Mapping!$C$7:$C$256,$Q1480)))</f>
        <v/>
      </c>
      <c r="N1480" s="38" t="str">
        <f aca="false">IF($A1480="","",IF($Q1480=0,"",INDEX(COA_Mapping!$E$7:$E$256,$Q1480)))</f>
        <v/>
      </c>
      <c r="O1480" s="38" t="n">
        <f aca="false">IF($A1480="",1,IF($Q1480=0,1,INDEX(COA_Mapping!$F$7:$F$256,$Q1480)))</f>
        <v>1</v>
      </c>
      <c r="P1480" s="34" t="str">
        <f aca="false">IF($A1480="","",$I1480*$O1480)</f>
        <v/>
      </c>
      <c r="Q1480" s="39" t="n">
        <f aca="false">IF($B1480="",0,IFERROR(MATCH($B1480,COA_Mapping!$A$7:$A$256,0),0))</f>
        <v>0</v>
      </c>
      <c r="R1480" s="39" t="n">
        <f aca="false">IF($A1480="",-1,IF($J1480=Setup!$B$7,1,IF($J1480=Setup!$B$9,0,-1)))</f>
        <v>-1</v>
      </c>
      <c r="S1480" s="35" t="n">
        <f aca="false">IF(OR($A1480="",$Q1480=0,$R1480=-1),0,$Q1480*1000+$R1480*100+$K1480)</f>
        <v>0</v>
      </c>
      <c r="T1480" s="37" t="str">
        <f aca="false">IF($A1480="","",IF($B1480="","NO ACCOUNT",IF($Q1480=0,"UNMAPPED",IF($R1480=-1,"OUTSIDE FY RANGE","OK"))))</f>
        <v/>
      </c>
      <c r="U1480" s="40" t="str">
        <f aca="false">IF($A1480="","",$B1480&amp;"|"&amp;TEXT($A1480,"yyyymmdd")&amp;"|"&amp;TEXT($I1480,"0.00"))</f>
        <v/>
      </c>
      <c r="V1480" s="35" t="str">
        <f aca="false">IF($A1480="","",COUNTIF($U$8:$U$5007,$U1480))</f>
        <v/>
      </c>
    </row>
    <row r="1481" customFormat="false" ht="15" hidden="false" customHeight="false" outlineLevel="0" collapsed="false">
      <c r="A1481" s="31"/>
      <c r="B1481" s="32"/>
      <c r="C1481" s="32"/>
      <c r="D1481" s="32"/>
      <c r="E1481" s="32"/>
      <c r="F1481" s="32"/>
      <c r="G1481" s="33"/>
      <c r="H1481" s="33"/>
      <c r="I1481" s="34" t="str">
        <f aca="false">IF($A1481="","",$G1481-$H1481)</f>
        <v/>
      </c>
      <c r="J1481" s="35" t="str">
        <f aca="false">IF($A1481="","",IF(Setup!$B$6=1,YEAR($A1481),YEAR($A1481)+IF(MONTH($A1481)&gt;=Setup!$B$6,1,0)))</f>
        <v/>
      </c>
      <c r="K1481" s="35" t="str">
        <f aca="false">IF($A1481="","",MOD(MONTH($A1481)-Setup!$B$6+12,12)+1)</f>
        <v/>
      </c>
      <c r="L1481" s="36" t="str">
        <f aca="false">IF($A1481="","",TEXT($A1481,"MMM-YY"))</f>
        <v/>
      </c>
      <c r="M1481" s="37" t="str">
        <f aca="false">IF($A1481="","",IF($Q1481=0,"UNMAPPED",INDEX(COA_Mapping!$C$7:$C$256,$Q1481)))</f>
        <v/>
      </c>
      <c r="N1481" s="38" t="str">
        <f aca="false">IF($A1481="","",IF($Q1481=0,"",INDEX(COA_Mapping!$E$7:$E$256,$Q1481)))</f>
        <v/>
      </c>
      <c r="O1481" s="38" t="n">
        <f aca="false">IF($A1481="",1,IF($Q1481=0,1,INDEX(COA_Mapping!$F$7:$F$256,$Q1481)))</f>
        <v>1</v>
      </c>
      <c r="P1481" s="34" t="str">
        <f aca="false">IF($A1481="","",$I1481*$O1481)</f>
        <v/>
      </c>
      <c r="Q1481" s="39" t="n">
        <f aca="false">IF($B1481="",0,IFERROR(MATCH($B1481,COA_Mapping!$A$7:$A$256,0),0))</f>
        <v>0</v>
      </c>
      <c r="R1481" s="39" t="n">
        <f aca="false">IF($A1481="",-1,IF($J1481=Setup!$B$7,1,IF($J1481=Setup!$B$9,0,-1)))</f>
        <v>-1</v>
      </c>
      <c r="S1481" s="35" t="n">
        <f aca="false">IF(OR($A1481="",$Q1481=0,$R1481=-1),0,$Q1481*1000+$R1481*100+$K1481)</f>
        <v>0</v>
      </c>
      <c r="T1481" s="37" t="str">
        <f aca="false">IF($A1481="","",IF($B1481="","NO ACCOUNT",IF($Q1481=0,"UNMAPPED",IF($R1481=-1,"OUTSIDE FY RANGE","OK"))))</f>
        <v/>
      </c>
      <c r="U1481" s="40" t="str">
        <f aca="false">IF($A1481="","",$B1481&amp;"|"&amp;TEXT($A1481,"yyyymmdd")&amp;"|"&amp;TEXT($I1481,"0.00"))</f>
        <v/>
      </c>
      <c r="V1481" s="35" t="str">
        <f aca="false">IF($A1481="","",COUNTIF($U$8:$U$5007,$U1481))</f>
        <v/>
      </c>
    </row>
    <row r="1482" customFormat="false" ht="15" hidden="false" customHeight="false" outlineLevel="0" collapsed="false">
      <c r="A1482" s="31"/>
      <c r="B1482" s="32"/>
      <c r="C1482" s="32"/>
      <c r="D1482" s="32"/>
      <c r="E1482" s="32"/>
      <c r="F1482" s="32"/>
      <c r="G1482" s="33"/>
      <c r="H1482" s="33"/>
      <c r="I1482" s="34" t="str">
        <f aca="false">IF($A1482="","",$G1482-$H1482)</f>
        <v/>
      </c>
      <c r="J1482" s="35" t="str">
        <f aca="false">IF($A1482="","",IF(Setup!$B$6=1,YEAR($A1482),YEAR($A1482)+IF(MONTH($A1482)&gt;=Setup!$B$6,1,0)))</f>
        <v/>
      </c>
      <c r="K1482" s="35" t="str">
        <f aca="false">IF($A1482="","",MOD(MONTH($A1482)-Setup!$B$6+12,12)+1)</f>
        <v/>
      </c>
      <c r="L1482" s="36" t="str">
        <f aca="false">IF($A1482="","",TEXT($A1482,"MMM-YY"))</f>
        <v/>
      </c>
      <c r="M1482" s="37" t="str">
        <f aca="false">IF($A1482="","",IF($Q1482=0,"UNMAPPED",INDEX(COA_Mapping!$C$7:$C$256,$Q1482)))</f>
        <v/>
      </c>
      <c r="N1482" s="38" t="str">
        <f aca="false">IF($A1482="","",IF($Q1482=0,"",INDEX(COA_Mapping!$E$7:$E$256,$Q1482)))</f>
        <v/>
      </c>
      <c r="O1482" s="38" t="n">
        <f aca="false">IF($A1482="",1,IF($Q1482=0,1,INDEX(COA_Mapping!$F$7:$F$256,$Q1482)))</f>
        <v>1</v>
      </c>
      <c r="P1482" s="34" t="str">
        <f aca="false">IF($A1482="","",$I1482*$O1482)</f>
        <v/>
      </c>
      <c r="Q1482" s="39" t="n">
        <f aca="false">IF($B1482="",0,IFERROR(MATCH($B1482,COA_Mapping!$A$7:$A$256,0),0))</f>
        <v>0</v>
      </c>
      <c r="R1482" s="39" t="n">
        <f aca="false">IF($A1482="",-1,IF($J1482=Setup!$B$7,1,IF($J1482=Setup!$B$9,0,-1)))</f>
        <v>-1</v>
      </c>
      <c r="S1482" s="35" t="n">
        <f aca="false">IF(OR($A1482="",$Q1482=0,$R1482=-1),0,$Q1482*1000+$R1482*100+$K1482)</f>
        <v>0</v>
      </c>
      <c r="T1482" s="37" t="str">
        <f aca="false">IF($A1482="","",IF($B1482="","NO ACCOUNT",IF($Q1482=0,"UNMAPPED",IF($R1482=-1,"OUTSIDE FY RANGE","OK"))))</f>
        <v/>
      </c>
      <c r="U1482" s="40" t="str">
        <f aca="false">IF($A1482="","",$B1482&amp;"|"&amp;TEXT($A1482,"yyyymmdd")&amp;"|"&amp;TEXT($I1482,"0.00"))</f>
        <v/>
      </c>
      <c r="V1482" s="35" t="str">
        <f aca="false">IF($A1482="","",COUNTIF($U$8:$U$5007,$U1482))</f>
        <v/>
      </c>
    </row>
    <row r="1483" customFormat="false" ht="15" hidden="false" customHeight="false" outlineLevel="0" collapsed="false">
      <c r="A1483" s="31"/>
      <c r="B1483" s="32"/>
      <c r="C1483" s="32"/>
      <c r="D1483" s="32"/>
      <c r="E1483" s="32"/>
      <c r="F1483" s="32"/>
      <c r="G1483" s="33"/>
      <c r="H1483" s="33"/>
      <c r="I1483" s="34" t="str">
        <f aca="false">IF($A1483="","",$G1483-$H1483)</f>
        <v/>
      </c>
      <c r="J1483" s="35" t="str">
        <f aca="false">IF($A1483="","",IF(Setup!$B$6=1,YEAR($A1483),YEAR($A1483)+IF(MONTH($A1483)&gt;=Setup!$B$6,1,0)))</f>
        <v/>
      </c>
      <c r="K1483" s="35" t="str">
        <f aca="false">IF($A1483="","",MOD(MONTH($A1483)-Setup!$B$6+12,12)+1)</f>
        <v/>
      </c>
      <c r="L1483" s="36" t="str">
        <f aca="false">IF($A1483="","",TEXT($A1483,"MMM-YY"))</f>
        <v/>
      </c>
      <c r="M1483" s="37" t="str">
        <f aca="false">IF($A1483="","",IF($Q1483=0,"UNMAPPED",INDEX(COA_Mapping!$C$7:$C$256,$Q1483)))</f>
        <v/>
      </c>
      <c r="N1483" s="38" t="str">
        <f aca="false">IF($A1483="","",IF($Q1483=0,"",INDEX(COA_Mapping!$E$7:$E$256,$Q1483)))</f>
        <v/>
      </c>
      <c r="O1483" s="38" t="n">
        <f aca="false">IF($A1483="",1,IF($Q1483=0,1,INDEX(COA_Mapping!$F$7:$F$256,$Q1483)))</f>
        <v>1</v>
      </c>
      <c r="P1483" s="34" t="str">
        <f aca="false">IF($A1483="","",$I1483*$O1483)</f>
        <v/>
      </c>
      <c r="Q1483" s="39" t="n">
        <f aca="false">IF($B1483="",0,IFERROR(MATCH($B1483,COA_Mapping!$A$7:$A$256,0),0))</f>
        <v>0</v>
      </c>
      <c r="R1483" s="39" t="n">
        <f aca="false">IF($A1483="",-1,IF($J1483=Setup!$B$7,1,IF($J1483=Setup!$B$9,0,-1)))</f>
        <v>-1</v>
      </c>
      <c r="S1483" s="35" t="n">
        <f aca="false">IF(OR($A1483="",$Q1483=0,$R1483=-1),0,$Q1483*1000+$R1483*100+$K1483)</f>
        <v>0</v>
      </c>
      <c r="T1483" s="37" t="str">
        <f aca="false">IF($A1483="","",IF($B1483="","NO ACCOUNT",IF($Q1483=0,"UNMAPPED",IF($R1483=-1,"OUTSIDE FY RANGE","OK"))))</f>
        <v/>
      </c>
      <c r="U1483" s="40" t="str">
        <f aca="false">IF($A1483="","",$B1483&amp;"|"&amp;TEXT($A1483,"yyyymmdd")&amp;"|"&amp;TEXT($I1483,"0.00"))</f>
        <v/>
      </c>
      <c r="V1483" s="35" t="str">
        <f aca="false">IF($A1483="","",COUNTIF($U$8:$U$5007,$U1483))</f>
        <v/>
      </c>
    </row>
    <row r="1484" customFormat="false" ht="15" hidden="false" customHeight="false" outlineLevel="0" collapsed="false">
      <c r="A1484" s="31"/>
      <c r="B1484" s="32"/>
      <c r="C1484" s="32"/>
      <c r="D1484" s="32"/>
      <c r="E1484" s="32"/>
      <c r="F1484" s="32"/>
      <c r="G1484" s="33"/>
      <c r="H1484" s="33"/>
      <c r="I1484" s="34" t="str">
        <f aca="false">IF($A1484="","",$G1484-$H1484)</f>
        <v/>
      </c>
      <c r="J1484" s="35" t="str">
        <f aca="false">IF($A1484="","",IF(Setup!$B$6=1,YEAR($A1484),YEAR($A1484)+IF(MONTH($A1484)&gt;=Setup!$B$6,1,0)))</f>
        <v/>
      </c>
      <c r="K1484" s="35" t="str">
        <f aca="false">IF($A1484="","",MOD(MONTH($A1484)-Setup!$B$6+12,12)+1)</f>
        <v/>
      </c>
      <c r="L1484" s="36" t="str">
        <f aca="false">IF($A1484="","",TEXT($A1484,"MMM-YY"))</f>
        <v/>
      </c>
      <c r="M1484" s="37" t="str">
        <f aca="false">IF($A1484="","",IF($Q1484=0,"UNMAPPED",INDEX(COA_Mapping!$C$7:$C$256,$Q1484)))</f>
        <v/>
      </c>
      <c r="N1484" s="38" t="str">
        <f aca="false">IF($A1484="","",IF($Q1484=0,"",INDEX(COA_Mapping!$E$7:$E$256,$Q1484)))</f>
        <v/>
      </c>
      <c r="O1484" s="38" t="n">
        <f aca="false">IF($A1484="",1,IF($Q1484=0,1,INDEX(COA_Mapping!$F$7:$F$256,$Q1484)))</f>
        <v>1</v>
      </c>
      <c r="P1484" s="34" t="str">
        <f aca="false">IF($A1484="","",$I1484*$O1484)</f>
        <v/>
      </c>
      <c r="Q1484" s="39" t="n">
        <f aca="false">IF($B1484="",0,IFERROR(MATCH($B1484,COA_Mapping!$A$7:$A$256,0),0))</f>
        <v>0</v>
      </c>
      <c r="R1484" s="39" t="n">
        <f aca="false">IF($A1484="",-1,IF($J1484=Setup!$B$7,1,IF($J1484=Setup!$B$9,0,-1)))</f>
        <v>-1</v>
      </c>
      <c r="S1484" s="35" t="n">
        <f aca="false">IF(OR($A1484="",$Q1484=0,$R1484=-1),0,$Q1484*1000+$R1484*100+$K1484)</f>
        <v>0</v>
      </c>
      <c r="T1484" s="37" t="str">
        <f aca="false">IF($A1484="","",IF($B1484="","NO ACCOUNT",IF($Q1484=0,"UNMAPPED",IF($R1484=-1,"OUTSIDE FY RANGE","OK"))))</f>
        <v/>
      </c>
      <c r="U1484" s="40" t="str">
        <f aca="false">IF($A1484="","",$B1484&amp;"|"&amp;TEXT($A1484,"yyyymmdd")&amp;"|"&amp;TEXT($I1484,"0.00"))</f>
        <v/>
      </c>
      <c r="V1484" s="35" t="str">
        <f aca="false">IF($A1484="","",COUNTIF($U$8:$U$5007,$U1484))</f>
        <v/>
      </c>
    </row>
    <row r="1485" customFormat="false" ht="15" hidden="false" customHeight="false" outlineLevel="0" collapsed="false">
      <c r="A1485" s="31"/>
      <c r="B1485" s="32"/>
      <c r="C1485" s="32"/>
      <c r="D1485" s="32"/>
      <c r="E1485" s="32"/>
      <c r="F1485" s="32"/>
      <c r="G1485" s="33"/>
      <c r="H1485" s="33"/>
      <c r="I1485" s="34" t="str">
        <f aca="false">IF($A1485="","",$G1485-$H1485)</f>
        <v/>
      </c>
      <c r="J1485" s="35" t="str">
        <f aca="false">IF($A1485="","",IF(Setup!$B$6=1,YEAR($A1485),YEAR($A1485)+IF(MONTH($A1485)&gt;=Setup!$B$6,1,0)))</f>
        <v/>
      </c>
      <c r="K1485" s="35" t="str">
        <f aca="false">IF($A1485="","",MOD(MONTH($A1485)-Setup!$B$6+12,12)+1)</f>
        <v/>
      </c>
      <c r="L1485" s="36" t="str">
        <f aca="false">IF($A1485="","",TEXT($A1485,"MMM-YY"))</f>
        <v/>
      </c>
      <c r="M1485" s="37" t="str">
        <f aca="false">IF($A1485="","",IF($Q1485=0,"UNMAPPED",INDEX(COA_Mapping!$C$7:$C$256,$Q1485)))</f>
        <v/>
      </c>
      <c r="N1485" s="38" t="str">
        <f aca="false">IF($A1485="","",IF($Q1485=0,"",INDEX(COA_Mapping!$E$7:$E$256,$Q1485)))</f>
        <v/>
      </c>
      <c r="O1485" s="38" t="n">
        <f aca="false">IF($A1485="",1,IF($Q1485=0,1,INDEX(COA_Mapping!$F$7:$F$256,$Q1485)))</f>
        <v>1</v>
      </c>
      <c r="P1485" s="34" t="str">
        <f aca="false">IF($A1485="","",$I1485*$O1485)</f>
        <v/>
      </c>
      <c r="Q1485" s="39" t="n">
        <f aca="false">IF($B1485="",0,IFERROR(MATCH($B1485,COA_Mapping!$A$7:$A$256,0),0))</f>
        <v>0</v>
      </c>
      <c r="R1485" s="39" t="n">
        <f aca="false">IF($A1485="",-1,IF($J1485=Setup!$B$7,1,IF($J1485=Setup!$B$9,0,-1)))</f>
        <v>-1</v>
      </c>
      <c r="S1485" s="35" t="n">
        <f aca="false">IF(OR($A1485="",$Q1485=0,$R1485=-1),0,$Q1485*1000+$R1485*100+$K1485)</f>
        <v>0</v>
      </c>
      <c r="T1485" s="37" t="str">
        <f aca="false">IF($A1485="","",IF($B1485="","NO ACCOUNT",IF($Q1485=0,"UNMAPPED",IF($R1485=-1,"OUTSIDE FY RANGE","OK"))))</f>
        <v/>
      </c>
      <c r="U1485" s="40" t="str">
        <f aca="false">IF($A1485="","",$B1485&amp;"|"&amp;TEXT($A1485,"yyyymmdd")&amp;"|"&amp;TEXT($I1485,"0.00"))</f>
        <v/>
      </c>
      <c r="V1485" s="35" t="str">
        <f aca="false">IF($A1485="","",COUNTIF($U$8:$U$5007,$U1485))</f>
        <v/>
      </c>
    </row>
    <row r="1486" customFormat="false" ht="15" hidden="false" customHeight="false" outlineLevel="0" collapsed="false">
      <c r="A1486" s="31"/>
      <c r="B1486" s="32"/>
      <c r="C1486" s="32"/>
      <c r="D1486" s="32"/>
      <c r="E1486" s="32"/>
      <c r="F1486" s="32"/>
      <c r="G1486" s="33"/>
      <c r="H1486" s="33"/>
      <c r="I1486" s="34" t="str">
        <f aca="false">IF($A1486="","",$G1486-$H1486)</f>
        <v/>
      </c>
      <c r="J1486" s="35" t="str">
        <f aca="false">IF($A1486="","",IF(Setup!$B$6=1,YEAR($A1486),YEAR($A1486)+IF(MONTH($A1486)&gt;=Setup!$B$6,1,0)))</f>
        <v/>
      </c>
      <c r="K1486" s="35" t="str">
        <f aca="false">IF($A1486="","",MOD(MONTH($A1486)-Setup!$B$6+12,12)+1)</f>
        <v/>
      </c>
      <c r="L1486" s="36" t="str">
        <f aca="false">IF($A1486="","",TEXT($A1486,"MMM-YY"))</f>
        <v/>
      </c>
      <c r="M1486" s="37" t="str">
        <f aca="false">IF($A1486="","",IF($Q1486=0,"UNMAPPED",INDEX(COA_Mapping!$C$7:$C$256,$Q1486)))</f>
        <v/>
      </c>
      <c r="N1486" s="38" t="str">
        <f aca="false">IF($A1486="","",IF($Q1486=0,"",INDEX(COA_Mapping!$E$7:$E$256,$Q1486)))</f>
        <v/>
      </c>
      <c r="O1486" s="38" t="n">
        <f aca="false">IF($A1486="",1,IF($Q1486=0,1,INDEX(COA_Mapping!$F$7:$F$256,$Q1486)))</f>
        <v>1</v>
      </c>
      <c r="P1486" s="34" t="str">
        <f aca="false">IF($A1486="","",$I1486*$O1486)</f>
        <v/>
      </c>
      <c r="Q1486" s="39" t="n">
        <f aca="false">IF($B1486="",0,IFERROR(MATCH($B1486,COA_Mapping!$A$7:$A$256,0),0))</f>
        <v>0</v>
      </c>
      <c r="R1486" s="39" t="n">
        <f aca="false">IF($A1486="",-1,IF($J1486=Setup!$B$7,1,IF($J1486=Setup!$B$9,0,-1)))</f>
        <v>-1</v>
      </c>
      <c r="S1486" s="35" t="n">
        <f aca="false">IF(OR($A1486="",$Q1486=0,$R1486=-1),0,$Q1486*1000+$R1486*100+$K1486)</f>
        <v>0</v>
      </c>
      <c r="T1486" s="37" t="str">
        <f aca="false">IF($A1486="","",IF($B1486="","NO ACCOUNT",IF($Q1486=0,"UNMAPPED",IF($R1486=-1,"OUTSIDE FY RANGE","OK"))))</f>
        <v/>
      </c>
      <c r="U1486" s="40" t="str">
        <f aca="false">IF($A1486="","",$B1486&amp;"|"&amp;TEXT($A1486,"yyyymmdd")&amp;"|"&amp;TEXT($I1486,"0.00"))</f>
        <v/>
      </c>
      <c r="V1486" s="35" t="str">
        <f aca="false">IF($A1486="","",COUNTIF($U$8:$U$5007,$U1486))</f>
        <v/>
      </c>
    </row>
    <row r="1487" customFormat="false" ht="15" hidden="false" customHeight="false" outlineLevel="0" collapsed="false">
      <c r="A1487" s="31"/>
      <c r="B1487" s="32"/>
      <c r="C1487" s="32"/>
      <c r="D1487" s="32"/>
      <c r="E1487" s="32"/>
      <c r="F1487" s="32"/>
      <c r="G1487" s="33"/>
      <c r="H1487" s="33"/>
      <c r="I1487" s="34" t="str">
        <f aca="false">IF($A1487="","",$G1487-$H1487)</f>
        <v/>
      </c>
      <c r="J1487" s="35" t="str">
        <f aca="false">IF($A1487="","",IF(Setup!$B$6=1,YEAR($A1487),YEAR($A1487)+IF(MONTH($A1487)&gt;=Setup!$B$6,1,0)))</f>
        <v/>
      </c>
      <c r="K1487" s="35" t="str">
        <f aca="false">IF($A1487="","",MOD(MONTH($A1487)-Setup!$B$6+12,12)+1)</f>
        <v/>
      </c>
      <c r="L1487" s="36" t="str">
        <f aca="false">IF($A1487="","",TEXT($A1487,"MMM-YY"))</f>
        <v/>
      </c>
      <c r="M1487" s="37" t="str">
        <f aca="false">IF($A1487="","",IF($Q1487=0,"UNMAPPED",INDEX(COA_Mapping!$C$7:$C$256,$Q1487)))</f>
        <v/>
      </c>
      <c r="N1487" s="38" t="str">
        <f aca="false">IF($A1487="","",IF($Q1487=0,"",INDEX(COA_Mapping!$E$7:$E$256,$Q1487)))</f>
        <v/>
      </c>
      <c r="O1487" s="38" t="n">
        <f aca="false">IF($A1487="",1,IF($Q1487=0,1,INDEX(COA_Mapping!$F$7:$F$256,$Q1487)))</f>
        <v>1</v>
      </c>
      <c r="P1487" s="34" t="str">
        <f aca="false">IF($A1487="","",$I1487*$O1487)</f>
        <v/>
      </c>
      <c r="Q1487" s="39" t="n">
        <f aca="false">IF($B1487="",0,IFERROR(MATCH($B1487,COA_Mapping!$A$7:$A$256,0),0))</f>
        <v>0</v>
      </c>
      <c r="R1487" s="39" t="n">
        <f aca="false">IF($A1487="",-1,IF($J1487=Setup!$B$7,1,IF($J1487=Setup!$B$9,0,-1)))</f>
        <v>-1</v>
      </c>
      <c r="S1487" s="35" t="n">
        <f aca="false">IF(OR($A1487="",$Q1487=0,$R1487=-1),0,$Q1487*1000+$R1487*100+$K1487)</f>
        <v>0</v>
      </c>
      <c r="T1487" s="37" t="str">
        <f aca="false">IF($A1487="","",IF($B1487="","NO ACCOUNT",IF($Q1487=0,"UNMAPPED",IF($R1487=-1,"OUTSIDE FY RANGE","OK"))))</f>
        <v/>
      </c>
      <c r="U1487" s="40" t="str">
        <f aca="false">IF($A1487="","",$B1487&amp;"|"&amp;TEXT($A1487,"yyyymmdd")&amp;"|"&amp;TEXT($I1487,"0.00"))</f>
        <v/>
      </c>
      <c r="V1487" s="35" t="str">
        <f aca="false">IF($A1487="","",COUNTIF($U$8:$U$5007,$U1487))</f>
        <v/>
      </c>
    </row>
    <row r="1488" customFormat="false" ht="15" hidden="false" customHeight="false" outlineLevel="0" collapsed="false">
      <c r="A1488" s="31"/>
      <c r="B1488" s="32"/>
      <c r="C1488" s="32"/>
      <c r="D1488" s="32"/>
      <c r="E1488" s="32"/>
      <c r="F1488" s="32"/>
      <c r="G1488" s="33"/>
      <c r="H1488" s="33"/>
      <c r="I1488" s="34" t="str">
        <f aca="false">IF($A1488="","",$G1488-$H1488)</f>
        <v/>
      </c>
      <c r="J1488" s="35" t="str">
        <f aca="false">IF($A1488="","",IF(Setup!$B$6=1,YEAR($A1488),YEAR($A1488)+IF(MONTH($A1488)&gt;=Setup!$B$6,1,0)))</f>
        <v/>
      </c>
      <c r="K1488" s="35" t="str">
        <f aca="false">IF($A1488="","",MOD(MONTH($A1488)-Setup!$B$6+12,12)+1)</f>
        <v/>
      </c>
      <c r="L1488" s="36" t="str">
        <f aca="false">IF($A1488="","",TEXT($A1488,"MMM-YY"))</f>
        <v/>
      </c>
      <c r="M1488" s="37" t="str">
        <f aca="false">IF($A1488="","",IF($Q1488=0,"UNMAPPED",INDEX(COA_Mapping!$C$7:$C$256,$Q1488)))</f>
        <v/>
      </c>
      <c r="N1488" s="38" t="str">
        <f aca="false">IF($A1488="","",IF($Q1488=0,"",INDEX(COA_Mapping!$E$7:$E$256,$Q1488)))</f>
        <v/>
      </c>
      <c r="O1488" s="38" t="n">
        <f aca="false">IF($A1488="",1,IF($Q1488=0,1,INDEX(COA_Mapping!$F$7:$F$256,$Q1488)))</f>
        <v>1</v>
      </c>
      <c r="P1488" s="34" t="str">
        <f aca="false">IF($A1488="","",$I1488*$O1488)</f>
        <v/>
      </c>
      <c r="Q1488" s="39" t="n">
        <f aca="false">IF($B1488="",0,IFERROR(MATCH($B1488,COA_Mapping!$A$7:$A$256,0),0))</f>
        <v>0</v>
      </c>
      <c r="R1488" s="39" t="n">
        <f aca="false">IF($A1488="",-1,IF($J1488=Setup!$B$7,1,IF($J1488=Setup!$B$9,0,-1)))</f>
        <v>-1</v>
      </c>
      <c r="S1488" s="35" t="n">
        <f aca="false">IF(OR($A1488="",$Q1488=0,$R1488=-1),0,$Q1488*1000+$R1488*100+$K1488)</f>
        <v>0</v>
      </c>
      <c r="T1488" s="37" t="str">
        <f aca="false">IF($A1488="","",IF($B1488="","NO ACCOUNT",IF($Q1488=0,"UNMAPPED",IF($R1488=-1,"OUTSIDE FY RANGE","OK"))))</f>
        <v/>
      </c>
      <c r="U1488" s="40" t="str">
        <f aca="false">IF($A1488="","",$B1488&amp;"|"&amp;TEXT($A1488,"yyyymmdd")&amp;"|"&amp;TEXT($I1488,"0.00"))</f>
        <v/>
      </c>
      <c r="V1488" s="35" t="str">
        <f aca="false">IF($A1488="","",COUNTIF($U$8:$U$5007,$U1488))</f>
        <v/>
      </c>
    </row>
    <row r="1489" customFormat="false" ht="15" hidden="false" customHeight="false" outlineLevel="0" collapsed="false">
      <c r="A1489" s="31"/>
      <c r="B1489" s="32"/>
      <c r="C1489" s="32"/>
      <c r="D1489" s="32"/>
      <c r="E1489" s="32"/>
      <c r="F1489" s="32"/>
      <c r="G1489" s="33"/>
      <c r="H1489" s="33"/>
      <c r="I1489" s="34" t="str">
        <f aca="false">IF($A1489="","",$G1489-$H1489)</f>
        <v/>
      </c>
      <c r="J1489" s="35" t="str">
        <f aca="false">IF($A1489="","",IF(Setup!$B$6=1,YEAR($A1489),YEAR($A1489)+IF(MONTH($A1489)&gt;=Setup!$B$6,1,0)))</f>
        <v/>
      </c>
      <c r="K1489" s="35" t="str">
        <f aca="false">IF($A1489="","",MOD(MONTH($A1489)-Setup!$B$6+12,12)+1)</f>
        <v/>
      </c>
      <c r="L1489" s="36" t="str">
        <f aca="false">IF($A1489="","",TEXT($A1489,"MMM-YY"))</f>
        <v/>
      </c>
      <c r="M1489" s="37" t="str">
        <f aca="false">IF($A1489="","",IF($Q1489=0,"UNMAPPED",INDEX(COA_Mapping!$C$7:$C$256,$Q1489)))</f>
        <v/>
      </c>
      <c r="N1489" s="38" t="str">
        <f aca="false">IF($A1489="","",IF($Q1489=0,"",INDEX(COA_Mapping!$E$7:$E$256,$Q1489)))</f>
        <v/>
      </c>
      <c r="O1489" s="38" t="n">
        <f aca="false">IF($A1489="",1,IF($Q1489=0,1,INDEX(COA_Mapping!$F$7:$F$256,$Q1489)))</f>
        <v>1</v>
      </c>
      <c r="P1489" s="34" t="str">
        <f aca="false">IF($A1489="","",$I1489*$O1489)</f>
        <v/>
      </c>
      <c r="Q1489" s="39" t="n">
        <f aca="false">IF($B1489="",0,IFERROR(MATCH($B1489,COA_Mapping!$A$7:$A$256,0),0))</f>
        <v>0</v>
      </c>
      <c r="R1489" s="39" t="n">
        <f aca="false">IF($A1489="",-1,IF($J1489=Setup!$B$7,1,IF($J1489=Setup!$B$9,0,-1)))</f>
        <v>-1</v>
      </c>
      <c r="S1489" s="35" t="n">
        <f aca="false">IF(OR($A1489="",$Q1489=0,$R1489=-1),0,$Q1489*1000+$R1489*100+$K1489)</f>
        <v>0</v>
      </c>
      <c r="T1489" s="37" t="str">
        <f aca="false">IF($A1489="","",IF($B1489="","NO ACCOUNT",IF($Q1489=0,"UNMAPPED",IF($R1489=-1,"OUTSIDE FY RANGE","OK"))))</f>
        <v/>
      </c>
      <c r="U1489" s="40" t="str">
        <f aca="false">IF($A1489="","",$B1489&amp;"|"&amp;TEXT($A1489,"yyyymmdd")&amp;"|"&amp;TEXT($I1489,"0.00"))</f>
        <v/>
      </c>
      <c r="V1489" s="35" t="str">
        <f aca="false">IF($A1489="","",COUNTIF($U$8:$U$5007,$U1489))</f>
        <v/>
      </c>
    </row>
    <row r="1490" customFormat="false" ht="15" hidden="false" customHeight="false" outlineLevel="0" collapsed="false">
      <c r="A1490" s="31"/>
      <c r="B1490" s="32"/>
      <c r="C1490" s="32"/>
      <c r="D1490" s="32"/>
      <c r="E1490" s="32"/>
      <c r="F1490" s="32"/>
      <c r="G1490" s="33"/>
      <c r="H1490" s="33"/>
      <c r="I1490" s="34" t="str">
        <f aca="false">IF($A1490="","",$G1490-$H1490)</f>
        <v/>
      </c>
      <c r="J1490" s="35" t="str">
        <f aca="false">IF($A1490="","",IF(Setup!$B$6=1,YEAR($A1490),YEAR($A1490)+IF(MONTH($A1490)&gt;=Setup!$B$6,1,0)))</f>
        <v/>
      </c>
      <c r="K1490" s="35" t="str">
        <f aca="false">IF($A1490="","",MOD(MONTH($A1490)-Setup!$B$6+12,12)+1)</f>
        <v/>
      </c>
      <c r="L1490" s="36" t="str">
        <f aca="false">IF($A1490="","",TEXT($A1490,"MMM-YY"))</f>
        <v/>
      </c>
      <c r="M1490" s="37" t="str">
        <f aca="false">IF($A1490="","",IF($Q1490=0,"UNMAPPED",INDEX(COA_Mapping!$C$7:$C$256,$Q1490)))</f>
        <v/>
      </c>
      <c r="N1490" s="38" t="str">
        <f aca="false">IF($A1490="","",IF($Q1490=0,"",INDEX(COA_Mapping!$E$7:$E$256,$Q1490)))</f>
        <v/>
      </c>
      <c r="O1490" s="38" t="n">
        <f aca="false">IF($A1490="",1,IF($Q1490=0,1,INDEX(COA_Mapping!$F$7:$F$256,$Q1490)))</f>
        <v>1</v>
      </c>
      <c r="P1490" s="34" t="str">
        <f aca="false">IF($A1490="","",$I1490*$O1490)</f>
        <v/>
      </c>
      <c r="Q1490" s="39" t="n">
        <f aca="false">IF($B1490="",0,IFERROR(MATCH($B1490,COA_Mapping!$A$7:$A$256,0),0))</f>
        <v>0</v>
      </c>
      <c r="R1490" s="39" t="n">
        <f aca="false">IF($A1490="",-1,IF($J1490=Setup!$B$7,1,IF($J1490=Setup!$B$9,0,-1)))</f>
        <v>-1</v>
      </c>
      <c r="S1490" s="35" t="n">
        <f aca="false">IF(OR($A1490="",$Q1490=0,$R1490=-1),0,$Q1490*1000+$R1490*100+$K1490)</f>
        <v>0</v>
      </c>
      <c r="T1490" s="37" t="str">
        <f aca="false">IF($A1490="","",IF($B1490="","NO ACCOUNT",IF($Q1490=0,"UNMAPPED",IF($R1490=-1,"OUTSIDE FY RANGE","OK"))))</f>
        <v/>
      </c>
      <c r="U1490" s="40" t="str">
        <f aca="false">IF($A1490="","",$B1490&amp;"|"&amp;TEXT($A1490,"yyyymmdd")&amp;"|"&amp;TEXT($I1490,"0.00"))</f>
        <v/>
      </c>
      <c r="V1490" s="35" t="str">
        <f aca="false">IF($A1490="","",COUNTIF($U$8:$U$5007,$U1490))</f>
        <v/>
      </c>
    </row>
    <row r="1491" customFormat="false" ht="15" hidden="false" customHeight="false" outlineLevel="0" collapsed="false">
      <c r="A1491" s="31"/>
      <c r="B1491" s="32"/>
      <c r="C1491" s="32"/>
      <c r="D1491" s="32"/>
      <c r="E1491" s="32"/>
      <c r="F1491" s="32"/>
      <c r="G1491" s="33"/>
      <c r="H1491" s="33"/>
      <c r="I1491" s="34" t="str">
        <f aca="false">IF($A1491="","",$G1491-$H1491)</f>
        <v/>
      </c>
      <c r="J1491" s="35" t="str">
        <f aca="false">IF($A1491="","",IF(Setup!$B$6=1,YEAR($A1491),YEAR($A1491)+IF(MONTH($A1491)&gt;=Setup!$B$6,1,0)))</f>
        <v/>
      </c>
      <c r="K1491" s="35" t="str">
        <f aca="false">IF($A1491="","",MOD(MONTH($A1491)-Setup!$B$6+12,12)+1)</f>
        <v/>
      </c>
      <c r="L1491" s="36" t="str">
        <f aca="false">IF($A1491="","",TEXT($A1491,"MMM-YY"))</f>
        <v/>
      </c>
      <c r="M1491" s="37" t="str">
        <f aca="false">IF($A1491="","",IF($Q1491=0,"UNMAPPED",INDEX(COA_Mapping!$C$7:$C$256,$Q1491)))</f>
        <v/>
      </c>
      <c r="N1491" s="38" t="str">
        <f aca="false">IF($A1491="","",IF($Q1491=0,"",INDEX(COA_Mapping!$E$7:$E$256,$Q1491)))</f>
        <v/>
      </c>
      <c r="O1491" s="38" t="n">
        <f aca="false">IF($A1491="",1,IF($Q1491=0,1,INDEX(COA_Mapping!$F$7:$F$256,$Q1491)))</f>
        <v>1</v>
      </c>
      <c r="P1491" s="34" t="str">
        <f aca="false">IF($A1491="","",$I1491*$O1491)</f>
        <v/>
      </c>
      <c r="Q1491" s="39" t="n">
        <f aca="false">IF($B1491="",0,IFERROR(MATCH($B1491,COA_Mapping!$A$7:$A$256,0),0))</f>
        <v>0</v>
      </c>
      <c r="R1491" s="39" t="n">
        <f aca="false">IF($A1491="",-1,IF($J1491=Setup!$B$7,1,IF($J1491=Setup!$B$9,0,-1)))</f>
        <v>-1</v>
      </c>
      <c r="S1491" s="35" t="n">
        <f aca="false">IF(OR($A1491="",$Q1491=0,$R1491=-1),0,$Q1491*1000+$R1491*100+$K1491)</f>
        <v>0</v>
      </c>
      <c r="T1491" s="37" t="str">
        <f aca="false">IF($A1491="","",IF($B1491="","NO ACCOUNT",IF($Q1491=0,"UNMAPPED",IF($R1491=-1,"OUTSIDE FY RANGE","OK"))))</f>
        <v/>
      </c>
      <c r="U1491" s="40" t="str">
        <f aca="false">IF($A1491="","",$B1491&amp;"|"&amp;TEXT($A1491,"yyyymmdd")&amp;"|"&amp;TEXT($I1491,"0.00"))</f>
        <v/>
      </c>
      <c r="V1491" s="35" t="str">
        <f aca="false">IF($A1491="","",COUNTIF($U$8:$U$5007,$U1491))</f>
        <v/>
      </c>
    </row>
    <row r="1492" customFormat="false" ht="15" hidden="false" customHeight="false" outlineLevel="0" collapsed="false">
      <c r="A1492" s="31"/>
      <c r="B1492" s="32"/>
      <c r="C1492" s="32"/>
      <c r="D1492" s="32"/>
      <c r="E1492" s="32"/>
      <c r="F1492" s="32"/>
      <c r="G1492" s="33"/>
      <c r="H1492" s="33"/>
      <c r="I1492" s="34" t="str">
        <f aca="false">IF($A1492="","",$G1492-$H1492)</f>
        <v/>
      </c>
      <c r="J1492" s="35" t="str">
        <f aca="false">IF($A1492="","",IF(Setup!$B$6=1,YEAR($A1492),YEAR($A1492)+IF(MONTH($A1492)&gt;=Setup!$B$6,1,0)))</f>
        <v/>
      </c>
      <c r="K1492" s="35" t="str">
        <f aca="false">IF($A1492="","",MOD(MONTH($A1492)-Setup!$B$6+12,12)+1)</f>
        <v/>
      </c>
      <c r="L1492" s="36" t="str">
        <f aca="false">IF($A1492="","",TEXT($A1492,"MMM-YY"))</f>
        <v/>
      </c>
      <c r="M1492" s="37" t="str">
        <f aca="false">IF($A1492="","",IF($Q1492=0,"UNMAPPED",INDEX(COA_Mapping!$C$7:$C$256,$Q1492)))</f>
        <v/>
      </c>
      <c r="N1492" s="38" t="str">
        <f aca="false">IF($A1492="","",IF($Q1492=0,"",INDEX(COA_Mapping!$E$7:$E$256,$Q1492)))</f>
        <v/>
      </c>
      <c r="O1492" s="38" t="n">
        <f aca="false">IF($A1492="",1,IF($Q1492=0,1,INDEX(COA_Mapping!$F$7:$F$256,$Q1492)))</f>
        <v>1</v>
      </c>
      <c r="P1492" s="34" t="str">
        <f aca="false">IF($A1492="","",$I1492*$O1492)</f>
        <v/>
      </c>
      <c r="Q1492" s="39" t="n">
        <f aca="false">IF($B1492="",0,IFERROR(MATCH($B1492,COA_Mapping!$A$7:$A$256,0),0))</f>
        <v>0</v>
      </c>
      <c r="R1492" s="39" t="n">
        <f aca="false">IF($A1492="",-1,IF($J1492=Setup!$B$7,1,IF($J1492=Setup!$B$9,0,-1)))</f>
        <v>-1</v>
      </c>
      <c r="S1492" s="35" t="n">
        <f aca="false">IF(OR($A1492="",$Q1492=0,$R1492=-1),0,$Q1492*1000+$R1492*100+$K1492)</f>
        <v>0</v>
      </c>
      <c r="T1492" s="37" t="str">
        <f aca="false">IF($A1492="","",IF($B1492="","NO ACCOUNT",IF($Q1492=0,"UNMAPPED",IF($R1492=-1,"OUTSIDE FY RANGE","OK"))))</f>
        <v/>
      </c>
      <c r="U1492" s="40" t="str">
        <f aca="false">IF($A1492="","",$B1492&amp;"|"&amp;TEXT($A1492,"yyyymmdd")&amp;"|"&amp;TEXT($I1492,"0.00"))</f>
        <v/>
      </c>
      <c r="V1492" s="35" t="str">
        <f aca="false">IF($A1492="","",COUNTIF($U$8:$U$5007,$U1492))</f>
        <v/>
      </c>
    </row>
    <row r="1493" customFormat="false" ht="15" hidden="false" customHeight="false" outlineLevel="0" collapsed="false">
      <c r="A1493" s="31"/>
      <c r="B1493" s="32"/>
      <c r="C1493" s="32"/>
      <c r="D1493" s="32"/>
      <c r="E1493" s="32"/>
      <c r="F1493" s="32"/>
      <c r="G1493" s="33"/>
      <c r="H1493" s="33"/>
      <c r="I1493" s="34" t="str">
        <f aca="false">IF($A1493="","",$G1493-$H1493)</f>
        <v/>
      </c>
      <c r="J1493" s="35" t="str">
        <f aca="false">IF($A1493="","",IF(Setup!$B$6=1,YEAR($A1493),YEAR($A1493)+IF(MONTH($A1493)&gt;=Setup!$B$6,1,0)))</f>
        <v/>
      </c>
      <c r="K1493" s="35" t="str">
        <f aca="false">IF($A1493="","",MOD(MONTH($A1493)-Setup!$B$6+12,12)+1)</f>
        <v/>
      </c>
      <c r="L1493" s="36" t="str">
        <f aca="false">IF($A1493="","",TEXT($A1493,"MMM-YY"))</f>
        <v/>
      </c>
      <c r="M1493" s="37" t="str">
        <f aca="false">IF($A1493="","",IF($Q1493=0,"UNMAPPED",INDEX(COA_Mapping!$C$7:$C$256,$Q1493)))</f>
        <v/>
      </c>
      <c r="N1493" s="38" t="str">
        <f aca="false">IF($A1493="","",IF($Q1493=0,"",INDEX(COA_Mapping!$E$7:$E$256,$Q1493)))</f>
        <v/>
      </c>
      <c r="O1493" s="38" t="n">
        <f aca="false">IF($A1493="",1,IF($Q1493=0,1,INDEX(COA_Mapping!$F$7:$F$256,$Q1493)))</f>
        <v>1</v>
      </c>
      <c r="P1493" s="34" t="str">
        <f aca="false">IF($A1493="","",$I1493*$O1493)</f>
        <v/>
      </c>
      <c r="Q1493" s="39" t="n">
        <f aca="false">IF($B1493="",0,IFERROR(MATCH($B1493,COA_Mapping!$A$7:$A$256,0),0))</f>
        <v>0</v>
      </c>
      <c r="R1493" s="39" t="n">
        <f aca="false">IF($A1493="",-1,IF($J1493=Setup!$B$7,1,IF($J1493=Setup!$B$9,0,-1)))</f>
        <v>-1</v>
      </c>
      <c r="S1493" s="35" t="n">
        <f aca="false">IF(OR($A1493="",$Q1493=0,$R1493=-1),0,$Q1493*1000+$R1493*100+$K1493)</f>
        <v>0</v>
      </c>
      <c r="T1493" s="37" t="str">
        <f aca="false">IF($A1493="","",IF($B1493="","NO ACCOUNT",IF($Q1493=0,"UNMAPPED",IF($R1493=-1,"OUTSIDE FY RANGE","OK"))))</f>
        <v/>
      </c>
      <c r="U1493" s="40" t="str">
        <f aca="false">IF($A1493="","",$B1493&amp;"|"&amp;TEXT($A1493,"yyyymmdd")&amp;"|"&amp;TEXT($I1493,"0.00"))</f>
        <v/>
      </c>
      <c r="V1493" s="35" t="str">
        <f aca="false">IF($A1493="","",COUNTIF($U$8:$U$5007,$U1493))</f>
        <v/>
      </c>
    </row>
    <row r="1494" customFormat="false" ht="15" hidden="false" customHeight="false" outlineLevel="0" collapsed="false">
      <c r="A1494" s="31"/>
      <c r="B1494" s="32"/>
      <c r="C1494" s="32"/>
      <c r="D1494" s="32"/>
      <c r="E1494" s="32"/>
      <c r="F1494" s="32"/>
      <c r="G1494" s="33"/>
      <c r="H1494" s="33"/>
      <c r="I1494" s="34" t="str">
        <f aca="false">IF($A1494="","",$G1494-$H1494)</f>
        <v/>
      </c>
      <c r="J1494" s="35" t="str">
        <f aca="false">IF($A1494="","",IF(Setup!$B$6=1,YEAR($A1494),YEAR($A1494)+IF(MONTH($A1494)&gt;=Setup!$B$6,1,0)))</f>
        <v/>
      </c>
      <c r="K1494" s="35" t="str">
        <f aca="false">IF($A1494="","",MOD(MONTH($A1494)-Setup!$B$6+12,12)+1)</f>
        <v/>
      </c>
      <c r="L1494" s="36" t="str">
        <f aca="false">IF($A1494="","",TEXT($A1494,"MMM-YY"))</f>
        <v/>
      </c>
      <c r="M1494" s="37" t="str">
        <f aca="false">IF($A1494="","",IF($Q1494=0,"UNMAPPED",INDEX(COA_Mapping!$C$7:$C$256,$Q1494)))</f>
        <v/>
      </c>
      <c r="N1494" s="38" t="str">
        <f aca="false">IF($A1494="","",IF($Q1494=0,"",INDEX(COA_Mapping!$E$7:$E$256,$Q1494)))</f>
        <v/>
      </c>
      <c r="O1494" s="38" t="n">
        <f aca="false">IF($A1494="",1,IF($Q1494=0,1,INDEX(COA_Mapping!$F$7:$F$256,$Q1494)))</f>
        <v>1</v>
      </c>
      <c r="P1494" s="34" t="str">
        <f aca="false">IF($A1494="","",$I1494*$O1494)</f>
        <v/>
      </c>
      <c r="Q1494" s="39" t="n">
        <f aca="false">IF($B1494="",0,IFERROR(MATCH($B1494,COA_Mapping!$A$7:$A$256,0),0))</f>
        <v>0</v>
      </c>
      <c r="R1494" s="39" t="n">
        <f aca="false">IF($A1494="",-1,IF($J1494=Setup!$B$7,1,IF($J1494=Setup!$B$9,0,-1)))</f>
        <v>-1</v>
      </c>
      <c r="S1494" s="35" t="n">
        <f aca="false">IF(OR($A1494="",$Q1494=0,$R1494=-1),0,$Q1494*1000+$R1494*100+$K1494)</f>
        <v>0</v>
      </c>
      <c r="T1494" s="37" t="str">
        <f aca="false">IF($A1494="","",IF($B1494="","NO ACCOUNT",IF($Q1494=0,"UNMAPPED",IF($R1494=-1,"OUTSIDE FY RANGE","OK"))))</f>
        <v/>
      </c>
      <c r="U1494" s="40" t="str">
        <f aca="false">IF($A1494="","",$B1494&amp;"|"&amp;TEXT($A1494,"yyyymmdd")&amp;"|"&amp;TEXT($I1494,"0.00"))</f>
        <v/>
      </c>
      <c r="V1494" s="35" t="str">
        <f aca="false">IF($A1494="","",COUNTIF($U$8:$U$5007,$U1494))</f>
        <v/>
      </c>
    </row>
    <row r="1495" customFormat="false" ht="15" hidden="false" customHeight="false" outlineLevel="0" collapsed="false">
      <c r="A1495" s="31"/>
      <c r="B1495" s="32"/>
      <c r="C1495" s="32"/>
      <c r="D1495" s="32"/>
      <c r="E1495" s="32"/>
      <c r="F1495" s="32"/>
      <c r="G1495" s="33"/>
      <c r="H1495" s="33"/>
      <c r="I1495" s="34" t="str">
        <f aca="false">IF($A1495="","",$G1495-$H1495)</f>
        <v/>
      </c>
      <c r="J1495" s="35" t="str">
        <f aca="false">IF($A1495="","",IF(Setup!$B$6=1,YEAR($A1495),YEAR($A1495)+IF(MONTH($A1495)&gt;=Setup!$B$6,1,0)))</f>
        <v/>
      </c>
      <c r="K1495" s="35" t="str">
        <f aca="false">IF($A1495="","",MOD(MONTH($A1495)-Setup!$B$6+12,12)+1)</f>
        <v/>
      </c>
      <c r="L1495" s="36" t="str">
        <f aca="false">IF($A1495="","",TEXT($A1495,"MMM-YY"))</f>
        <v/>
      </c>
      <c r="M1495" s="37" t="str">
        <f aca="false">IF($A1495="","",IF($Q1495=0,"UNMAPPED",INDEX(COA_Mapping!$C$7:$C$256,$Q1495)))</f>
        <v/>
      </c>
      <c r="N1495" s="38" t="str">
        <f aca="false">IF($A1495="","",IF($Q1495=0,"",INDEX(COA_Mapping!$E$7:$E$256,$Q1495)))</f>
        <v/>
      </c>
      <c r="O1495" s="38" t="n">
        <f aca="false">IF($A1495="",1,IF($Q1495=0,1,INDEX(COA_Mapping!$F$7:$F$256,$Q1495)))</f>
        <v>1</v>
      </c>
      <c r="P1495" s="34" t="str">
        <f aca="false">IF($A1495="","",$I1495*$O1495)</f>
        <v/>
      </c>
      <c r="Q1495" s="39" t="n">
        <f aca="false">IF($B1495="",0,IFERROR(MATCH($B1495,COA_Mapping!$A$7:$A$256,0),0))</f>
        <v>0</v>
      </c>
      <c r="R1495" s="39" t="n">
        <f aca="false">IF($A1495="",-1,IF($J1495=Setup!$B$7,1,IF($J1495=Setup!$B$9,0,-1)))</f>
        <v>-1</v>
      </c>
      <c r="S1495" s="35" t="n">
        <f aca="false">IF(OR($A1495="",$Q1495=0,$R1495=-1),0,$Q1495*1000+$R1495*100+$K1495)</f>
        <v>0</v>
      </c>
      <c r="T1495" s="37" t="str">
        <f aca="false">IF($A1495="","",IF($B1495="","NO ACCOUNT",IF($Q1495=0,"UNMAPPED",IF($R1495=-1,"OUTSIDE FY RANGE","OK"))))</f>
        <v/>
      </c>
      <c r="U1495" s="40" t="str">
        <f aca="false">IF($A1495="","",$B1495&amp;"|"&amp;TEXT($A1495,"yyyymmdd")&amp;"|"&amp;TEXT($I1495,"0.00"))</f>
        <v/>
      </c>
      <c r="V1495" s="35" t="str">
        <f aca="false">IF($A1495="","",COUNTIF($U$8:$U$5007,$U1495))</f>
        <v/>
      </c>
    </row>
    <row r="1496" customFormat="false" ht="15" hidden="false" customHeight="false" outlineLevel="0" collapsed="false">
      <c r="A1496" s="31"/>
      <c r="B1496" s="32"/>
      <c r="C1496" s="32"/>
      <c r="D1496" s="32"/>
      <c r="E1496" s="32"/>
      <c r="F1496" s="32"/>
      <c r="G1496" s="33"/>
      <c r="H1496" s="33"/>
      <c r="I1496" s="34" t="str">
        <f aca="false">IF($A1496="","",$G1496-$H1496)</f>
        <v/>
      </c>
      <c r="J1496" s="35" t="str">
        <f aca="false">IF($A1496="","",IF(Setup!$B$6=1,YEAR($A1496),YEAR($A1496)+IF(MONTH($A1496)&gt;=Setup!$B$6,1,0)))</f>
        <v/>
      </c>
      <c r="K1496" s="35" t="str">
        <f aca="false">IF($A1496="","",MOD(MONTH($A1496)-Setup!$B$6+12,12)+1)</f>
        <v/>
      </c>
      <c r="L1496" s="36" t="str">
        <f aca="false">IF($A1496="","",TEXT($A1496,"MMM-YY"))</f>
        <v/>
      </c>
      <c r="M1496" s="37" t="str">
        <f aca="false">IF($A1496="","",IF($Q1496=0,"UNMAPPED",INDEX(COA_Mapping!$C$7:$C$256,$Q1496)))</f>
        <v/>
      </c>
      <c r="N1496" s="38" t="str">
        <f aca="false">IF($A1496="","",IF($Q1496=0,"",INDEX(COA_Mapping!$E$7:$E$256,$Q1496)))</f>
        <v/>
      </c>
      <c r="O1496" s="38" t="n">
        <f aca="false">IF($A1496="",1,IF($Q1496=0,1,INDEX(COA_Mapping!$F$7:$F$256,$Q1496)))</f>
        <v>1</v>
      </c>
      <c r="P1496" s="34" t="str">
        <f aca="false">IF($A1496="","",$I1496*$O1496)</f>
        <v/>
      </c>
      <c r="Q1496" s="39" t="n">
        <f aca="false">IF($B1496="",0,IFERROR(MATCH($B1496,COA_Mapping!$A$7:$A$256,0),0))</f>
        <v>0</v>
      </c>
      <c r="R1496" s="39" t="n">
        <f aca="false">IF($A1496="",-1,IF($J1496=Setup!$B$7,1,IF($J1496=Setup!$B$9,0,-1)))</f>
        <v>-1</v>
      </c>
      <c r="S1496" s="35" t="n">
        <f aca="false">IF(OR($A1496="",$Q1496=0,$R1496=-1),0,$Q1496*1000+$R1496*100+$K1496)</f>
        <v>0</v>
      </c>
      <c r="T1496" s="37" t="str">
        <f aca="false">IF($A1496="","",IF($B1496="","NO ACCOUNT",IF($Q1496=0,"UNMAPPED",IF($R1496=-1,"OUTSIDE FY RANGE","OK"))))</f>
        <v/>
      </c>
      <c r="U1496" s="40" t="str">
        <f aca="false">IF($A1496="","",$B1496&amp;"|"&amp;TEXT($A1496,"yyyymmdd")&amp;"|"&amp;TEXT($I1496,"0.00"))</f>
        <v/>
      </c>
      <c r="V1496" s="35" t="str">
        <f aca="false">IF($A1496="","",COUNTIF($U$8:$U$5007,$U1496))</f>
        <v/>
      </c>
    </row>
    <row r="1497" customFormat="false" ht="15" hidden="false" customHeight="false" outlineLevel="0" collapsed="false">
      <c r="A1497" s="31"/>
      <c r="B1497" s="32"/>
      <c r="C1497" s="32"/>
      <c r="D1497" s="32"/>
      <c r="E1497" s="32"/>
      <c r="F1497" s="32"/>
      <c r="G1497" s="33"/>
      <c r="H1497" s="33"/>
      <c r="I1497" s="34" t="str">
        <f aca="false">IF($A1497="","",$G1497-$H1497)</f>
        <v/>
      </c>
      <c r="J1497" s="35" t="str">
        <f aca="false">IF($A1497="","",IF(Setup!$B$6=1,YEAR($A1497),YEAR($A1497)+IF(MONTH($A1497)&gt;=Setup!$B$6,1,0)))</f>
        <v/>
      </c>
      <c r="K1497" s="35" t="str">
        <f aca="false">IF($A1497="","",MOD(MONTH($A1497)-Setup!$B$6+12,12)+1)</f>
        <v/>
      </c>
      <c r="L1497" s="36" t="str">
        <f aca="false">IF($A1497="","",TEXT($A1497,"MMM-YY"))</f>
        <v/>
      </c>
      <c r="M1497" s="37" t="str">
        <f aca="false">IF($A1497="","",IF($Q1497=0,"UNMAPPED",INDEX(COA_Mapping!$C$7:$C$256,$Q1497)))</f>
        <v/>
      </c>
      <c r="N1497" s="38" t="str">
        <f aca="false">IF($A1497="","",IF($Q1497=0,"",INDEX(COA_Mapping!$E$7:$E$256,$Q1497)))</f>
        <v/>
      </c>
      <c r="O1497" s="38" t="n">
        <f aca="false">IF($A1497="",1,IF($Q1497=0,1,INDEX(COA_Mapping!$F$7:$F$256,$Q1497)))</f>
        <v>1</v>
      </c>
      <c r="P1497" s="34" t="str">
        <f aca="false">IF($A1497="","",$I1497*$O1497)</f>
        <v/>
      </c>
      <c r="Q1497" s="39" t="n">
        <f aca="false">IF($B1497="",0,IFERROR(MATCH($B1497,COA_Mapping!$A$7:$A$256,0),0))</f>
        <v>0</v>
      </c>
      <c r="R1497" s="39" t="n">
        <f aca="false">IF($A1497="",-1,IF($J1497=Setup!$B$7,1,IF($J1497=Setup!$B$9,0,-1)))</f>
        <v>-1</v>
      </c>
      <c r="S1497" s="35" t="n">
        <f aca="false">IF(OR($A1497="",$Q1497=0,$R1497=-1),0,$Q1497*1000+$R1497*100+$K1497)</f>
        <v>0</v>
      </c>
      <c r="T1497" s="37" t="str">
        <f aca="false">IF($A1497="","",IF($B1497="","NO ACCOUNT",IF($Q1497=0,"UNMAPPED",IF($R1497=-1,"OUTSIDE FY RANGE","OK"))))</f>
        <v/>
      </c>
      <c r="U1497" s="40" t="str">
        <f aca="false">IF($A1497="","",$B1497&amp;"|"&amp;TEXT($A1497,"yyyymmdd")&amp;"|"&amp;TEXT($I1497,"0.00"))</f>
        <v/>
      </c>
      <c r="V1497" s="35" t="str">
        <f aca="false">IF($A1497="","",COUNTIF($U$8:$U$5007,$U1497))</f>
        <v/>
      </c>
    </row>
    <row r="1498" customFormat="false" ht="15" hidden="false" customHeight="false" outlineLevel="0" collapsed="false">
      <c r="A1498" s="31"/>
      <c r="B1498" s="32"/>
      <c r="C1498" s="32"/>
      <c r="D1498" s="32"/>
      <c r="E1498" s="32"/>
      <c r="F1498" s="32"/>
      <c r="G1498" s="33"/>
      <c r="H1498" s="33"/>
      <c r="I1498" s="34" t="str">
        <f aca="false">IF($A1498="","",$G1498-$H1498)</f>
        <v/>
      </c>
      <c r="J1498" s="35" t="str">
        <f aca="false">IF($A1498="","",IF(Setup!$B$6=1,YEAR($A1498),YEAR($A1498)+IF(MONTH($A1498)&gt;=Setup!$B$6,1,0)))</f>
        <v/>
      </c>
      <c r="K1498" s="35" t="str">
        <f aca="false">IF($A1498="","",MOD(MONTH($A1498)-Setup!$B$6+12,12)+1)</f>
        <v/>
      </c>
      <c r="L1498" s="36" t="str">
        <f aca="false">IF($A1498="","",TEXT($A1498,"MMM-YY"))</f>
        <v/>
      </c>
      <c r="M1498" s="37" t="str">
        <f aca="false">IF($A1498="","",IF($Q1498=0,"UNMAPPED",INDEX(COA_Mapping!$C$7:$C$256,$Q1498)))</f>
        <v/>
      </c>
      <c r="N1498" s="38" t="str">
        <f aca="false">IF($A1498="","",IF($Q1498=0,"",INDEX(COA_Mapping!$E$7:$E$256,$Q1498)))</f>
        <v/>
      </c>
      <c r="O1498" s="38" t="n">
        <f aca="false">IF($A1498="",1,IF($Q1498=0,1,INDEX(COA_Mapping!$F$7:$F$256,$Q1498)))</f>
        <v>1</v>
      </c>
      <c r="P1498" s="34" t="str">
        <f aca="false">IF($A1498="","",$I1498*$O1498)</f>
        <v/>
      </c>
      <c r="Q1498" s="39" t="n">
        <f aca="false">IF($B1498="",0,IFERROR(MATCH($B1498,COA_Mapping!$A$7:$A$256,0),0))</f>
        <v>0</v>
      </c>
      <c r="R1498" s="39" t="n">
        <f aca="false">IF($A1498="",-1,IF($J1498=Setup!$B$7,1,IF($J1498=Setup!$B$9,0,-1)))</f>
        <v>-1</v>
      </c>
      <c r="S1498" s="35" t="n">
        <f aca="false">IF(OR($A1498="",$Q1498=0,$R1498=-1),0,$Q1498*1000+$R1498*100+$K1498)</f>
        <v>0</v>
      </c>
      <c r="T1498" s="37" t="str">
        <f aca="false">IF($A1498="","",IF($B1498="","NO ACCOUNT",IF($Q1498=0,"UNMAPPED",IF($R1498=-1,"OUTSIDE FY RANGE","OK"))))</f>
        <v/>
      </c>
      <c r="U1498" s="40" t="str">
        <f aca="false">IF($A1498="","",$B1498&amp;"|"&amp;TEXT($A1498,"yyyymmdd")&amp;"|"&amp;TEXT($I1498,"0.00"))</f>
        <v/>
      </c>
      <c r="V1498" s="35" t="str">
        <f aca="false">IF($A1498="","",COUNTIF($U$8:$U$5007,$U1498))</f>
        <v/>
      </c>
    </row>
    <row r="1499" customFormat="false" ht="15" hidden="false" customHeight="false" outlineLevel="0" collapsed="false">
      <c r="A1499" s="31"/>
      <c r="B1499" s="32"/>
      <c r="C1499" s="32"/>
      <c r="D1499" s="32"/>
      <c r="E1499" s="32"/>
      <c r="F1499" s="32"/>
      <c r="G1499" s="33"/>
      <c r="H1499" s="33"/>
      <c r="I1499" s="34" t="str">
        <f aca="false">IF($A1499="","",$G1499-$H1499)</f>
        <v/>
      </c>
      <c r="J1499" s="35" t="str">
        <f aca="false">IF($A1499="","",IF(Setup!$B$6=1,YEAR($A1499),YEAR($A1499)+IF(MONTH($A1499)&gt;=Setup!$B$6,1,0)))</f>
        <v/>
      </c>
      <c r="K1499" s="35" t="str">
        <f aca="false">IF($A1499="","",MOD(MONTH($A1499)-Setup!$B$6+12,12)+1)</f>
        <v/>
      </c>
      <c r="L1499" s="36" t="str">
        <f aca="false">IF($A1499="","",TEXT($A1499,"MMM-YY"))</f>
        <v/>
      </c>
      <c r="M1499" s="37" t="str">
        <f aca="false">IF($A1499="","",IF($Q1499=0,"UNMAPPED",INDEX(COA_Mapping!$C$7:$C$256,$Q1499)))</f>
        <v/>
      </c>
      <c r="N1499" s="38" t="str">
        <f aca="false">IF($A1499="","",IF($Q1499=0,"",INDEX(COA_Mapping!$E$7:$E$256,$Q1499)))</f>
        <v/>
      </c>
      <c r="O1499" s="38" t="n">
        <f aca="false">IF($A1499="",1,IF($Q1499=0,1,INDEX(COA_Mapping!$F$7:$F$256,$Q1499)))</f>
        <v>1</v>
      </c>
      <c r="P1499" s="34" t="str">
        <f aca="false">IF($A1499="","",$I1499*$O1499)</f>
        <v/>
      </c>
      <c r="Q1499" s="39" t="n">
        <f aca="false">IF($B1499="",0,IFERROR(MATCH($B1499,COA_Mapping!$A$7:$A$256,0),0))</f>
        <v>0</v>
      </c>
      <c r="R1499" s="39" t="n">
        <f aca="false">IF($A1499="",-1,IF($J1499=Setup!$B$7,1,IF($J1499=Setup!$B$9,0,-1)))</f>
        <v>-1</v>
      </c>
      <c r="S1499" s="35" t="n">
        <f aca="false">IF(OR($A1499="",$Q1499=0,$R1499=-1),0,$Q1499*1000+$R1499*100+$K1499)</f>
        <v>0</v>
      </c>
      <c r="T1499" s="37" t="str">
        <f aca="false">IF($A1499="","",IF($B1499="","NO ACCOUNT",IF($Q1499=0,"UNMAPPED",IF($R1499=-1,"OUTSIDE FY RANGE","OK"))))</f>
        <v/>
      </c>
      <c r="U1499" s="40" t="str">
        <f aca="false">IF($A1499="","",$B1499&amp;"|"&amp;TEXT($A1499,"yyyymmdd")&amp;"|"&amp;TEXT($I1499,"0.00"))</f>
        <v/>
      </c>
      <c r="V1499" s="35" t="str">
        <f aca="false">IF($A1499="","",COUNTIF($U$8:$U$5007,$U1499))</f>
        <v/>
      </c>
    </row>
    <row r="1500" customFormat="false" ht="15" hidden="false" customHeight="false" outlineLevel="0" collapsed="false">
      <c r="A1500" s="31"/>
      <c r="B1500" s="32"/>
      <c r="C1500" s="32"/>
      <c r="D1500" s="32"/>
      <c r="E1500" s="32"/>
      <c r="F1500" s="32"/>
      <c r="G1500" s="33"/>
      <c r="H1500" s="33"/>
      <c r="I1500" s="34" t="str">
        <f aca="false">IF($A1500="","",$G1500-$H1500)</f>
        <v/>
      </c>
      <c r="J1500" s="35" t="str">
        <f aca="false">IF($A1500="","",IF(Setup!$B$6=1,YEAR($A1500),YEAR($A1500)+IF(MONTH($A1500)&gt;=Setup!$B$6,1,0)))</f>
        <v/>
      </c>
      <c r="K1500" s="35" t="str">
        <f aca="false">IF($A1500="","",MOD(MONTH($A1500)-Setup!$B$6+12,12)+1)</f>
        <v/>
      </c>
      <c r="L1500" s="36" t="str">
        <f aca="false">IF($A1500="","",TEXT($A1500,"MMM-YY"))</f>
        <v/>
      </c>
      <c r="M1500" s="37" t="str">
        <f aca="false">IF($A1500="","",IF($Q1500=0,"UNMAPPED",INDEX(COA_Mapping!$C$7:$C$256,$Q1500)))</f>
        <v/>
      </c>
      <c r="N1500" s="38" t="str">
        <f aca="false">IF($A1500="","",IF($Q1500=0,"",INDEX(COA_Mapping!$E$7:$E$256,$Q1500)))</f>
        <v/>
      </c>
      <c r="O1500" s="38" t="n">
        <f aca="false">IF($A1500="",1,IF($Q1500=0,1,INDEX(COA_Mapping!$F$7:$F$256,$Q1500)))</f>
        <v>1</v>
      </c>
      <c r="P1500" s="34" t="str">
        <f aca="false">IF($A1500="","",$I1500*$O1500)</f>
        <v/>
      </c>
      <c r="Q1500" s="39" t="n">
        <f aca="false">IF($B1500="",0,IFERROR(MATCH($B1500,COA_Mapping!$A$7:$A$256,0),0))</f>
        <v>0</v>
      </c>
      <c r="R1500" s="39" t="n">
        <f aca="false">IF($A1500="",-1,IF($J1500=Setup!$B$7,1,IF($J1500=Setup!$B$9,0,-1)))</f>
        <v>-1</v>
      </c>
      <c r="S1500" s="35" t="n">
        <f aca="false">IF(OR($A1500="",$Q1500=0,$R1500=-1),0,$Q1500*1000+$R1500*100+$K1500)</f>
        <v>0</v>
      </c>
      <c r="T1500" s="37" t="str">
        <f aca="false">IF($A1500="","",IF($B1500="","NO ACCOUNT",IF($Q1500=0,"UNMAPPED",IF($R1500=-1,"OUTSIDE FY RANGE","OK"))))</f>
        <v/>
      </c>
      <c r="U1500" s="40" t="str">
        <f aca="false">IF($A1500="","",$B1500&amp;"|"&amp;TEXT($A1500,"yyyymmdd")&amp;"|"&amp;TEXT($I1500,"0.00"))</f>
        <v/>
      </c>
      <c r="V1500" s="35" t="str">
        <f aca="false">IF($A1500="","",COUNTIF($U$8:$U$5007,$U1500))</f>
        <v/>
      </c>
    </row>
    <row r="1501" customFormat="false" ht="15" hidden="false" customHeight="false" outlineLevel="0" collapsed="false">
      <c r="A1501" s="31"/>
      <c r="B1501" s="32"/>
      <c r="C1501" s="32"/>
      <c r="D1501" s="32"/>
      <c r="E1501" s="32"/>
      <c r="F1501" s="32"/>
      <c r="G1501" s="33"/>
      <c r="H1501" s="33"/>
      <c r="I1501" s="34" t="str">
        <f aca="false">IF($A1501="","",$G1501-$H1501)</f>
        <v/>
      </c>
      <c r="J1501" s="35" t="str">
        <f aca="false">IF($A1501="","",IF(Setup!$B$6=1,YEAR($A1501),YEAR($A1501)+IF(MONTH($A1501)&gt;=Setup!$B$6,1,0)))</f>
        <v/>
      </c>
      <c r="K1501" s="35" t="str">
        <f aca="false">IF($A1501="","",MOD(MONTH($A1501)-Setup!$B$6+12,12)+1)</f>
        <v/>
      </c>
      <c r="L1501" s="36" t="str">
        <f aca="false">IF($A1501="","",TEXT($A1501,"MMM-YY"))</f>
        <v/>
      </c>
      <c r="M1501" s="37" t="str">
        <f aca="false">IF($A1501="","",IF($Q1501=0,"UNMAPPED",INDEX(COA_Mapping!$C$7:$C$256,$Q1501)))</f>
        <v/>
      </c>
      <c r="N1501" s="38" t="str">
        <f aca="false">IF($A1501="","",IF($Q1501=0,"",INDEX(COA_Mapping!$E$7:$E$256,$Q1501)))</f>
        <v/>
      </c>
      <c r="O1501" s="38" t="n">
        <f aca="false">IF($A1501="",1,IF($Q1501=0,1,INDEX(COA_Mapping!$F$7:$F$256,$Q1501)))</f>
        <v>1</v>
      </c>
      <c r="P1501" s="34" t="str">
        <f aca="false">IF($A1501="","",$I1501*$O1501)</f>
        <v/>
      </c>
      <c r="Q1501" s="39" t="n">
        <f aca="false">IF($B1501="",0,IFERROR(MATCH($B1501,COA_Mapping!$A$7:$A$256,0),0))</f>
        <v>0</v>
      </c>
      <c r="R1501" s="39" t="n">
        <f aca="false">IF($A1501="",-1,IF($J1501=Setup!$B$7,1,IF($J1501=Setup!$B$9,0,-1)))</f>
        <v>-1</v>
      </c>
      <c r="S1501" s="35" t="n">
        <f aca="false">IF(OR($A1501="",$Q1501=0,$R1501=-1),0,$Q1501*1000+$R1501*100+$K1501)</f>
        <v>0</v>
      </c>
      <c r="T1501" s="37" t="str">
        <f aca="false">IF($A1501="","",IF($B1501="","NO ACCOUNT",IF($Q1501=0,"UNMAPPED",IF($R1501=-1,"OUTSIDE FY RANGE","OK"))))</f>
        <v/>
      </c>
      <c r="U1501" s="40" t="str">
        <f aca="false">IF($A1501="","",$B1501&amp;"|"&amp;TEXT($A1501,"yyyymmdd")&amp;"|"&amp;TEXT($I1501,"0.00"))</f>
        <v/>
      </c>
      <c r="V1501" s="35" t="str">
        <f aca="false">IF($A1501="","",COUNTIF($U$8:$U$5007,$U1501))</f>
        <v/>
      </c>
    </row>
    <row r="1502" customFormat="false" ht="15" hidden="false" customHeight="false" outlineLevel="0" collapsed="false">
      <c r="A1502" s="31"/>
      <c r="B1502" s="32"/>
      <c r="C1502" s="32"/>
      <c r="D1502" s="32"/>
      <c r="E1502" s="32"/>
      <c r="F1502" s="32"/>
      <c r="G1502" s="33"/>
      <c r="H1502" s="33"/>
      <c r="I1502" s="34" t="str">
        <f aca="false">IF($A1502="","",$G1502-$H1502)</f>
        <v/>
      </c>
      <c r="J1502" s="35" t="str">
        <f aca="false">IF($A1502="","",IF(Setup!$B$6=1,YEAR($A1502),YEAR($A1502)+IF(MONTH($A1502)&gt;=Setup!$B$6,1,0)))</f>
        <v/>
      </c>
      <c r="K1502" s="35" t="str">
        <f aca="false">IF($A1502="","",MOD(MONTH($A1502)-Setup!$B$6+12,12)+1)</f>
        <v/>
      </c>
      <c r="L1502" s="36" t="str">
        <f aca="false">IF($A1502="","",TEXT($A1502,"MMM-YY"))</f>
        <v/>
      </c>
      <c r="M1502" s="37" t="str">
        <f aca="false">IF($A1502="","",IF($Q1502=0,"UNMAPPED",INDEX(COA_Mapping!$C$7:$C$256,$Q1502)))</f>
        <v/>
      </c>
      <c r="N1502" s="38" t="str">
        <f aca="false">IF($A1502="","",IF($Q1502=0,"",INDEX(COA_Mapping!$E$7:$E$256,$Q1502)))</f>
        <v/>
      </c>
      <c r="O1502" s="38" t="n">
        <f aca="false">IF($A1502="",1,IF($Q1502=0,1,INDEX(COA_Mapping!$F$7:$F$256,$Q1502)))</f>
        <v>1</v>
      </c>
      <c r="P1502" s="34" t="str">
        <f aca="false">IF($A1502="","",$I1502*$O1502)</f>
        <v/>
      </c>
      <c r="Q1502" s="39" t="n">
        <f aca="false">IF($B1502="",0,IFERROR(MATCH($B1502,COA_Mapping!$A$7:$A$256,0),0))</f>
        <v>0</v>
      </c>
      <c r="R1502" s="39" t="n">
        <f aca="false">IF($A1502="",-1,IF($J1502=Setup!$B$7,1,IF($J1502=Setup!$B$9,0,-1)))</f>
        <v>-1</v>
      </c>
      <c r="S1502" s="35" t="n">
        <f aca="false">IF(OR($A1502="",$Q1502=0,$R1502=-1),0,$Q1502*1000+$R1502*100+$K1502)</f>
        <v>0</v>
      </c>
      <c r="T1502" s="37" t="str">
        <f aca="false">IF($A1502="","",IF($B1502="","NO ACCOUNT",IF($Q1502=0,"UNMAPPED",IF($R1502=-1,"OUTSIDE FY RANGE","OK"))))</f>
        <v/>
      </c>
      <c r="U1502" s="40" t="str">
        <f aca="false">IF($A1502="","",$B1502&amp;"|"&amp;TEXT($A1502,"yyyymmdd")&amp;"|"&amp;TEXT($I1502,"0.00"))</f>
        <v/>
      </c>
      <c r="V1502" s="35" t="str">
        <f aca="false">IF($A1502="","",COUNTIF($U$8:$U$5007,$U1502))</f>
        <v/>
      </c>
    </row>
    <row r="1503" customFormat="false" ht="15" hidden="false" customHeight="false" outlineLevel="0" collapsed="false">
      <c r="A1503" s="31"/>
      <c r="B1503" s="32"/>
      <c r="C1503" s="32"/>
      <c r="D1503" s="32"/>
      <c r="E1503" s="32"/>
      <c r="F1503" s="32"/>
      <c r="G1503" s="33"/>
      <c r="H1503" s="33"/>
      <c r="I1503" s="34" t="str">
        <f aca="false">IF($A1503="","",$G1503-$H1503)</f>
        <v/>
      </c>
      <c r="J1503" s="35" t="str">
        <f aca="false">IF($A1503="","",IF(Setup!$B$6=1,YEAR($A1503),YEAR($A1503)+IF(MONTH($A1503)&gt;=Setup!$B$6,1,0)))</f>
        <v/>
      </c>
      <c r="K1503" s="35" t="str">
        <f aca="false">IF($A1503="","",MOD(MONTH($A1503)-Setup!$B$6+12,12)+1)</f>
        <v/>
      </c>
      <c r="L1503" s="36" t="str">
        <f aca="false">IF($A1503="","",TEXT($A1503,"MMM-YY"))</f>
        <v/>
      </c>
      <c r="M1503" s="37" t="str">
        <f aca="false">IF($A1503="","",IF($Q1503=0,"UNMAPPED",INDEX(COA_Mapping!$C$7:$C$256,$Q1503)))</f>
        <v/>
      </c>
      <c r="N1503" s="38" t="str">
        <f aca="false">IF($A1503="","",IF($Q1503=0,"",INDEX(COA_Mapping!$E$7:$E$256,$Q1503)))</f>
        <v/>
      </c>
      <c r="O1503" s="38" t="n">
        <f aca="false">IF($A1503="",1,IF($Q1503=0,1,INDEX(COA_Mapping!$F$7:$F$256,$Q1503)))</f>
        <v>1</v>
      </c>
      <c r="P1503" s="34" t="str">
        <f aca="false">IF($A1503="","",$I1503*$O1503)</f>
        <v/>
      </c>
      <c r="Q1503" s="39" t="n">
        <f aca="false">IF($B1503="",0,IFERROR(MATCH($B1503,COA_Mapping!$A$7:$A$256,0),0))</f>
        <v>0</v>
      </c>
      <c r="R1503" s="39" t="n">
        <f aca="false">IF($A1503="",-1,IF($J1503=Setup!$B$7,1,IF($J1503=Setup!$B$9,0,-1)))</f>
        <v>-1</v>
      </c>
      <c r="S1503" s="35" t="n">
        <f aca="false">IF(OR($A1503="",$Q1503=0,$R1503=-1),0,$Q1503*1000+$R1503*100+$K1503)</f>
        <v>0</v>
      </c>
      <c r="T1503" s="37" t="str">
        <f aca="false">IF($A1503="","",IF($B1503="","NO ACCOUNT",IF($Q1503=0,"UNMAPPED",IF($R1503=-1,"OUTSIDE FY RANGE","OK"))))</f>
        <v/>
      </c>
      <c r="U1503" s="40" t="str">
        <f aca="false">IF($A1503="","",$B1503&amp;"|"&amp;TEXT($A1503,"yyyymmdd")&amp;"|"&amp;TEXT($I1503,"0.00"))</f>
        <v/>
      </c>
      <c r="V1503" s="35" t="str">
        <f aca="false">IF($A1503="","",COUNTIF($U$8:$U$5007,$U1503))</f>
        <v/>
      </c>
    </row>
    <row r="1504" customFormat="false" ht="15" hidden="false" customHeight="false" outlineLevel="0" collapsed="false">
      <c r="A1504" s="31"/>
      <c r="B1504" s="32"/>
      <c r="C1504" s="32"/>
      <c r="D1504" s="32"/>
      <c r="E1504" s="32"/>
      <c r="F1504" s="32"/>
      <c r="G1504" s="33"/>
      <c r="H1504" s="33"/>
      <c r="I1504" s="34" t="str">
        <f aca="false">IF($A1504="","",$G1504-$H1504)</f>
        <v/>
      </c>
      <c r="J1504" s="35" t="str">
        <f aca="false">IF($A1504="","",IF(Setup!$B$6=1,YEAR($A1504),YEAR($A1504)+IF(MONTH($A1504)&gt;=Setup!$B$6,1,0)))</f>
        <v/>
      </c>
      <c r="K1504" s="35" t="str">
        <f aca="false">IF($A1504="","",MOD(MONTH($A1504)-Setup!$B$6+12,12)+1)</f>
        <v/>
      </c>
      <c r="L1504" s="36" t="str">
        <f aca="false">IF($A1504="","",TEXT($A1504,"MMM-YY"))</f>
        <v/>
      </c>
      <c r="M1504" s="37" t="str">
        <f aca="false">IF($A1504="","",IF($Q1504=0,"UNMAPPED",INDEX(COA_Mapping!$C$7:$C$256,$Q1504)))</f>
        <v/>
      </c>
      <c r="N1504" s="38" t="str">
        <f aca="false">IF($A1504="","",IF($Q1504=0,"",INDEX(COA_Mapping!$E$7:$E$256,$Q1504)))</f>
        <v/>
      </c>
      <c r="O1504" s="38" t="n">
        <f aca="false">IF($A1504="",1,IF($Q1504=0,1,INDEX(COA_Mapping!$F$7:$F$256,$Q1504)))</f>
        <v>1</v>
      </c>
      <c r="P1504" s="34" t="str">
        <f aca="false">IF($A1504="","",$I1504*$O1504)</f>
        <v/>
      </c>
      <c r="Q1504" s="39" t="n">
        <f aca="false">IF($B1504="",0,IFERROR(MATCH($B1504,COA_Mapping!$A$7:$A$256,0),0))</f>
        <v>0</v>
      </c>
      <c r="R1504" s="39" t="n">
        <f aca="false">IF($A1504="",-1,IF($J1504=Setup!$B$7,1,IF($J1504=Setup!$B$9,0,-1)))</f>
        <v>-1</v>
      </c>
      <c r="S1504" s="35" t="n">
        <f aca="false">IF(OR($A1504="",$Q1504=0,$R1504=-1),0,$Q1504*1000+$R1504*100+$K1504)</f>
        <v>0</v>
      </c>
      <c r="T1504" s="37" t="str">
        <f aca="false">IF($A1504="","",IF($B1504="","NO ACCOUNT",IF($Q1504=0,"UNMAPPED",IF($R1504=-1,"OUTSIDE FY RANGE","OK"))))</f>
        <v/>
      </c>
      <c r="U1504" s="40" t="str">
        <f aca="false">IF($A1504="","",$B1504&amp;"|"&amp;TEXT($A1504,"yyyymmdd")&amp;"|"&amp;TEXT($I1504,"0.00"))</f>
        <v/>
      </c>
      <c r="V1504" s="35" t="str">
        <f aca="false">IF($A1504="","",COUNTIF($U$8:$U$5007,$U1504))</f>
        <v/>
      </c>
    </row>
    <row r="1505" customFormat="false" ht="15" hidden="false" customHeight="false" outlineLevel="0" collapsed="false">
      <c r="A1505" s="31"/>
      <c r="B1505" s="32"/>
      <c r="C1505" s="32"/>
      <c r="D1505" s="32"/>
      <c r="E1505" s="32"/>
      <c r="F1505" s="32"/>
      <c r="G1505" s="33"/>
      <c r="H1505" s="33"/>
      <c r="I1505" s="34" t="str">
        <f aca="false">IF($A1505="","",$G1505-$H1505)</f>
        <v/>
      </c>
      <c r="J1505" s="35" t="str">
        <f aca="false">IF($A1505="","",IF(Setup!$B$6=1,YEAR($A1505),YEAR($A1505)+IF(MONTH($A1505)&gt;=Setup!$B$6,1,0)))</f>
        <v/>
      </c>
      <c r="K1505" s="35" t="str">
        <f aca="false">IF($A1505="","",MOD(MONTH($A1505)-Setup!$B$6+12,12)+1)</f>
        <v/>
      </c>
      <c r="L1505" s="36" t="str">
        <f aca="false">IF($A1505="","",TEXT($A1505,"MMM-YY"))</f>
        <v/>
      </c>
      <c r="M1505" s="37" t="str">
        <f aca="false">IF($A1505="","",IF($Q1505=0,"UNMAPPED",INDEX(COA_Mapping!$C$7:$C$256,$Q1505)))</f>
        <v/>
      </c>
      <c r="N1505" s="38" t="str">
        <f aca="false">IF($A1505="","",IF($Q1505=0,"",INDEX(COA_Mapping!$E$7:$E$256,$Q1505)))</f>
        <v/>
      </c>
      <c r="O1505" s="38" t="n">
        <f aca="false">IF($A1505="",1,IF($Q1505=0,1,INDEX(COA_Mapping!$F$7:$F$256,$Q1505)))</f>
        <v>1</v>
      </c>
      <c r="P1505" s="34" t="str">
        <f aca="false">IF($A1505="","",$I1505*$O1505)</f>
        <v/>
      </c>
      <c r="Q1505" s="39" t="n">
        <f aca="false">IF($B1505="",0,IFERROR(MATCH($B1505,COA_Mapping!$A$7:$A$256,0),0))</f>
        <v>0</v>
      </c>
      <c r="R1505" s="39" t="n">
        <f aca="false">IF($A1505="",-1,IF($J1505=Setup!$B$7,1,IF($J1505=Setup!$B$9,0,-1)))</f>
        <v>-1</v>
      </c>
      <c r="S1505" s="35" t="n">
        <f aca="false">IF(OR($A1505="",$Q1505=0,$R1505=-1),0,$Q1505*1000+$R1505*100+$K1505)</f>
        <v>0</v>
      </c>
      <c r="T1505" s="37" t="str">
        <f aca="false">IF($A1505="","",IF($B1505="","NO ACCOUNT",IF($Q1505=0,"UNMAPPED",IF($R1505=-1,"OUTSIDE FY RANGE","OK"))))</f>
        <v/>
      </c>
      <c r="U1505" s="40" t="str">
        <f aca="false">IF($A1505="","",$B1505&amp;"|"&amp;TEXT($A1505,"yyyymmdd")&amp;"|"&amp;TEXT($I1505,"0.00"))</f>
        <v/>
      </c>
      <c r="V1505" s="35" t="str">
        <f aca="false">IF($A1505="","",COUNTIF($U$8:$U$5007,$U1505))</f>
        <v/>
      </c>
    </row>
    <row r="1506" customFormat="false" ht="15" hidden="false" customHeight="false" outlineLevel="0" collapsed="false">
      <c r="A1506" s="31"/>
      <c r="B1506" s="32"/>
      <c r="C1506" s="32"/>
      <c r="D1506" s="32"/>
      <c r="E1506" s="32"/>
      <c r="F1506" s="32"/>
      <c r="G1506" s="33"/>
      <c r="H1506" s="33"/>
      <c r="I1506" s="34" t="str">
        <f aca="false">IF($A1506="","",$G1506-$H1506)</f>
        <v/>
      </c>
      <c r="J1506" s="35" t="str">
        <f aca="false">IF($A1506="","",IF(Setup!$B$6=1,YEAR($A1506),YEAR($A1506)+IF(MONTH($A1506)&gt;=Setup!$B$6,1,0)))</f>
        <v/>
      </c>
      <c r="K1506" s="35" t="str">
        <f aca="false">IF($A1506="","",MOD(MONTH($A1506)-Setup!$B$6+12,12)+1)</f>
        <v/>
      </c>
      <c r="L1506" s="36" t="str">
        <f aca="false">IF($A1506="","",TEXT($A1506,"MMM-YY"))</f>
        <v/>
      </c>
      <c r="M1506" s="37" t="str">
        <f aca="false">IF($A1506="","",IF($Q1506=0,"UNMAPPED",INDEX(COA_Mapping!$C$7:$C$256,$Q1506)))</f>
        <v/>
      </c>
      <c r="N1506" s="38" t="str">
        <f aca="false">IF($A1506="","",IF($Q1506=0,"",INDEX(COA_Mapping!$E$7:$E$256,$Q1506)))</f>
        <v/>
      </c>
      <c r="O1506" s="38" t="n">
        <f aca="false">IF($A1506="",1,IF($Q1506=0,1,INDEX(COA_Mapping!$F$7:$F$256,$Q1506)))</f>
        <v>1</v>
      </c>
      <c r="P1506" s="34" t="str">
        <f aca="false">IF($A1506="","",$I1506*$O1506)</f>
        <v/>
      </c>
      <c r="Q1506" s="39" t="n">
        <f aca="false">IF($B1506="",0,IFERROR(MATCH($B1506,COA_Mapping!$A$7:$A$256,0),0))</f>
        <v>0</v>
      </c>
      <c r="R1506" s="39" t="n">
        <f aca="false">IF($A1506="",-1,IF($J1506=Setup!$B$7,1,IF($J1506=Setup!$B$9,0,-1)))</f>
        <v>-1</v>
      </c>
      <c r="S1506" s="35" t="n">
        <f aca="false">IF(OR($A1506="",$Q1506=0,$R1506=-1),0,$Q1506*1000+$R1506*100+$K1506)</f>
        <v>0</v>
      </c>
      <c r="T1506" s="37" t="str">
        <f aca="false">IF($A1506="","",IF($B1506="","NO ACCOUNT",IF($Q1506=0,"UNMAPPED",IF($R1506=-1,"OUTSIDE FY RANGE","OK"))))</f>
        <v/>
      </c>
      <c r="U1506" s="40" t="str">
        <f aca="false">IF($A1506="","",$B1506&amp;"|"&amp;TEXT($A1506,"yyyymmdd")&amp;"|"&amp;TEXT($I1506,"0.00"))</f>
        <v/>
      </c>
      <c r="V1506" s="35" t="str">
        <f aca="false">IF($A1506="","",COUNTIF($U$8:$U$5007,$U1506))</f>
        <v/>
      </c>
    </row>
    <row r="1507" customFormat="false" ht="15" hidden="false" customHeight="false" outlineLevel="0" collapsed="false">
      <c r="A1507" s="31"/>
      <c r="B1507" s="32"/>
      <c r="C1507" s="32"/>
      <c r="D1507" s="32"/>
      <c r="E1507" s="32"/>
      <c r="F1507" s="32"/>
      <c r="G1507" s="33"/>
      <c r="H1507" s="33"/>
      <c r="I1507" s="34" t="str">
        <f aca="false">IF($A1507="","",$G1507-$H1507)</f>
        <v/>
      </c>
      <c r="J1507" s="35" t="str">
        <f aca="false">IF($A1507="","",IF(Setup!$B$6=1,YEAR($A1507),YEAR($A1507)+IF(MONTH($A1507)&gt;=Setup!$B$6,1,0)))</f>
        <v/>
      </c>
      <c r="K1507" s="35" t="str">
        <f aca="false">IF($A1507="","",MOD(MONTH($A1507)-Setup!$B$6+12,12)+1)</f>
        <v/>
      </c>
      <c r="L1507" s="36" t="str">
        <f aca="false">IF($A1507="","",TEXT($A1507,"MMM-YY"))</f>
        <v/>
      </c>
      <c r="M1507" s="37" t="str">
        <f aca="false">IF($A1507="","",IF($Q1507=0,"UNMAPPED",INDEX(COA_Mapping!$C$7:$C$256,$Q1507)))</f>
        <v/>
      </c>
      <c r="N1507" s="38" t="str">
        <f aca="false">IF($A1507="","",IF($Q1507=0,"",INDEX(COA_Mapping!$E$7:$E$256,$Q1507)))</f>
        <v/>
      </c>
      <c r="O1507" s="38" t="n">
        <f aca="false">IF($A1507="",1,IF($Q1507=0,1,INDEX(COA_Mapping!$F$7:$F$256,$Q1507)))</f>
        <v>1</v>
      </c>
      <c r="P1507" s="34" t="str">
        <f aca="false">IF($A1507="","",$I1507*$O1507)</f>
        <v/>
      </c>
      <c r="Q1507" s="39" t="n">
        <f aca="false">IF($B1507="",0,IFERROR(MATCH($B1507,COA_Mapping!$A$7:$A$256,0),0))</f>
        <v>0</v>
      </c>
      <c r="R1507" s="39" t="n">
        <f aca="false">IF($A1507="",-1,IF($J1507=Setup!$B$7,1,IF($J1507=Setup!$B$9,0,-1)))</f>
        <v>-1</v>
      </c>
      <c r="S1507" s="35" t="n">
        <f aca="false">IF(OR($A1507="",$Q1507=0,$R1507=-1),0,$Q1507*1000+$R1507*100+$K1507)</f>
        <v>0</v>
      </c>
      <c r="T1507" s="37" t="str">
        <f aca="false">IF($A1507="","",IF($B1507="","NO ACCOUNT",IF($Q1507=0,"UNMAPPED",IF($R1507=-1,"OUTSIDE FY RANGE","OK"))))</f>
        <v/>
      </c>
      <c r="U1507" s="40" t="str">
        <f aca="false">IF($A1507="","",$B1507&amp;"|"&amp;TEXT($A1507,"yyyymmdd")&amp;"|"&amp;TEXT($I1507,"0.00"))</f>
        <v/>
      </c>
      <c r="V1507" s="35" t="str">
        <f aca="false">IF($A1507="","",COUNTIF($U$8:$U$5007,$U1507))</f>
        <v/>
      </c>
    </row>
    <row r="1508" customFormat="false" ht="15" hidden="false" customHeight="false" outlineLevel="0" collapsed="false">
      <c r="A1508" s="31"/>
      <c r="B1508" s="32"/>
      <c r="C1508" s="32"/>
      <c r="D1508" s="32"/>
      <c r="E1508" s="32"/>
      <c r="F1508" s="32"/>
      <c r="G1508" s="33"/>
      <c r="H1508" s="33"/>
      <c r="I1508" s="34" t="str">
        <f aca="false">IF($A1508="","",$G1508-$H1508)</f>
        <v/>
      </c>
      <c r="J1508" s="35" t="str">
        <f aca="false">IF($A1508="","",IF(Setup!$B$6=1,YEAR($A1508),YEAR($A1508)+IF(MONTH($A1508)&gt;=Setup!$B$6,1,0)))</f>
        <v/>
      </c>
      <c r="K1508" s="35" t="str">
        <f aca="false">IF($A1508="","",MOD(MONTH($A1508)-Setup!$B$6+12,12)+1)</f>
        <v/>
      </c>
      <c r="L1508" s="36" t="str">
        <f aca="false">IF($A1508="","",TEXT($A1508,"MMM-YY"))</f>
        <v/>
      </c>
      <c r="M1508" s="37" t="str">
        <f aca="false">IF($A1508="","",IF($Q1508=0,"UNMAPPED",INDEX(COA_Mapping!$C$7:$C$256,$Q1508)))</f>
        <v/>
      </c>
      <c r="N1508" s="38" t="str">
        <f aca="false">IF($A1508="","",IF($Q1508=0,"",INDEX(COA_Mapping!$E$7:$E$256,$Q1508)))</f>
        <v/>
      </c>
      <c r="O1508" s="38" t="n">
        <f aca="false">IF($A1508="",1,IF($Q1508=0,1,INDEX(COA_Mapping!$F$7:$F$256,$Q1508)))</f>
        <v>1</v>
      </c>
      <c r="P1508" s="34" t="str">
        <f aca="false">IF($A1508="","",$I1508*$O1508)</f>
        <v/>
      </c>
      <c r="Q1508" s="39" t="n">
        <f aca="false">IF($B1508="",0,IFERROR(MATCH($B1508,COA_Mapping!$A$7:$A$256,0),0))</f>
        <v>0</v>
      </c>
      <c r="R1508" s="39" t="n">
        <f aca="false">IF($A1508="",-1,IF($J1508=Setup!$B$7,1,IF($J1508=Setup!$B$9,0,-1)))</f>
        <v>-1</v>
      </c>
      <c r="S1508" s="35" t="n">
        <f aca="false">IF(OR($A1508="",$Q1508=0,$R1508=-1),0,$Q1508*1000+$R1508*100+$K1508)</f>
        <v>0</v>
      </c>
      <c r="T1508" s="37" t="str">
        <f aca="false">IF($A1508="","",IF($B1508="","NO ACCOUNT",IF($Q1508=0,"UNMAPPED",IF($R1508=-1,"OUTSIDE FY RANGE","OK"))))</f>
        <v/>
      </c>
      <c r="U1508" s="40" t="str">
        <f aca="false">IF($A1508="","",$B1508&amp;"|"&amp;TEXT($A1508,"yyyymmdd")&amp;"|"&amp;TEXT($I1508,"0.00"))</f>
        <v/>
      </c>
      <c r="V1508" s="35" t="str">
        <f aca="false">IF($A1508="","",COUNTIF($U$8:$U$5007,$U1508))</f>
        <v/>
      </c>
    </row>
    <row r="1509" customFormat="false" ht="15" hidden="false" customHeight="false" outlineLevel="0" collapsed="false">
      <c r="A1509" s="31"/>
      <c r="B1509" s="32"/>
      <c r="C1509" s="32"/>
      <c r="D1509" s="32"/>
      <c r="E1509" s="32"/>
      <c r="F1509" s="32"/>
      <c r="G1509" s="33"/>
      <c r="H1509" s="33"/>
      <c r="I1509" s="34" t="str">
        <f aca="false">IF($A1509="","",$G1509-$H1509)</f>
        <v/>
      </c>
      <c r="J1509" s="35" t="str">
        <f aca="false">IF($A1509="","",IF(Setup!$B$6=1,YEAR($A1509),YEAR($A1509)+IF(MONTH($A1509)&gt;=Setup!$B$6,1,0)))</f>
        <v/>
      </c>
      <c r="K1509" s="35" t="str">
        <f aca="false">IF($A1509="","",MOD(MONTH($A1509)-Setup!$B$6+12,12)+1)</f>
        <v/>
      </c>
      <c r="L1509" s="36" t="str">
        <f aca="false">IF($A1509="","",TEXT($A1509,"MMM-YY"))</f>
        <v/>
      </c>
      <c r="M1509" s="37" t="str">
        <f aca="false">IF($A1509="","",IF($Q1509=0,"UNMAPPED",INDEX(COA_Mapping!$C$7:$C$256,$Q1509)))</f>
        <v/>
      </c>
      <c r="N1509" s="38" t="str">
        <f aca="false">IF($A1509="","",IF($Q1509=0,"",INDEX(COA_Mapping!$E$7:$E$256,$Q1509)))</f>
        <v/>
      </c>
      <c r="O1509" s="38" t="n">
        <f aca="false">IF($A1509="",1,IF($Q1509=0,1,INDEX(COA_Mapping!$F$7:$F$256,$Q1509)))</f>
        <v>1</v>
      </c>
      <c r="P1509" s="34" t="str">
        <f aca="false">IF($A1509="","",$I1509*$O1509)</f>
        <v/>
      </c>
      <c r="Q1509" s="39" t="n">
        <f aca="false">IF($B1509="",0,IFERROR(MATCH($B1509,COA_Mapping!$A$7:$A$256,0),0))</f>
        <v>0</v>
      </c>
      <c r="R1509" s="39" t="n">
        <f aca="false">IF($A1509="",-1,IF($J1509=Setup!$B$7,1,IF($J1509=Setup!$B$9,0,-1)))</f>
        <v>-1</v>
      </c>
      <c r="S1509" s="35" t="n">
        <f aca="false">IF(OR($A1509="",$Q1509=0,$R1509=-1),0,$Q1509*1000+$R1509*100+$K1509)</f>
        <v>0</v>
      </c>
      <c r="T1509" s="37" t="str">
        <f aca="false">IF($A1509="","",IF($B1509="","NO ACCOUNT",IF($Q1509=0,"UNMAPPED",IF($R1509=-1,"OUTSIDE FY RANGE","OK"))))</f>
        <v/>
      </c>
      <c r="U1509" s="40" t="str">
        <f aca="false">IF($A1509="","",$B1509&amp;"|"&amp;TEXT($A1509,"yyyymmdd")&amp;"|"&amp;TEXT($I1509,"0.00"))</f>
        <v/>
      </c>
      <c r="V1509" s="35" t="str">
        <f aca="false">IF($A1509="","",COUNTIF($U$8:$U$5007,$U1509))</f>
        <v/>
      </c>
    </row>
    <row r="1510" customFormat="false" ht="15" hidden="false" customHeight="false" outlineLevel="0" collapsed="false">
      <c r="A1510" s="31"/>
      <c r="B1510" s="32"/>
      <c r="C1510" s="32"/>
      <c r="D1510" s="32"/>
      <c r="E1510" s="32"/>
      <c r="F1510" s="32"/>
      <c r="G1510" s="33"/>
      <c r="H1510" s="33"/>
      <c r="I1510" s="34" t="str">
        <f aca="false">IF($A1510="","",$G1510-$H1510)</f>
        <v/>
      </c>
      <c r="J1510" s="35" t="str">
        <f aca="false">IF($A1510="","",IF(Setup!$B$6=1,YEAR($A1510),YEAR($A1510)+IF(MONTH($A1510)&gt;=Setup!$B$6,1,0)))</f>
        <v/>
      </c>
      <c r="K1510" s="35" t="str">
        <f aca="false">IF($A1510="","",MOD(MONTH($A1510)-Setup!$B$6+12,12)+1)</f>
        <v/>
      </c>
      <c r="L1510" s="36" t="str">
        <f aca="false">IF($A1510="","",TEXT($A1510,"MMM-YY"))</f>
        <v/>
      </c>
      <c r="M1510" s="37" t="str">
        <f aca="false">IF($A1510="","",IF($Q1510=0,"UNMAPPED",INDEX(COA_Mapping!$C$7:$C$256,$Q1510)))</f>
        <v/>
      </c>
      <c r="N1510" s="38" t="str">
        <f aca="false">IF($A1510="","",IF($Q1510=0,"",INDEX(COA_Mapping!$E$7:$E$256,$Q1510)))</f>
        <v/>
      </c>
      <c r="O1510" s="38" t="n">
        <f aca="false">IF($A1510="",1,IF($Q1510=0,1,INDEX(COA_Mapping!$F$7:$F$256,$Q1510)))</f>
        <v>1</v>
      </c>
      <c r="P1510" s="34" t="str">
        <f aca="false">IF($A1510="","",$I1510*$O1510)</f>
        <v/>
      </c>
      <c r="Q1510" s="39" t="n">
        <f aca="false">IF($B1510="",0,IFERROR(MATCH($B1510,COA_Mapping!$A$7:$A$256,0),0))</f>
        <v>0</v>
      </c>
      <c r="R1510" s="39" t="n">
        <f aca="false">IF($A1510="",-1,IF($J1510=Setup!$B$7,1,IF($J1510=Setup!$B$9,0,-1)))</f>
        <v>-1</v>
      </c>
      <c r="S1510" s="35" t="n">
        <f aca="false">IF(OR($A1510="",$Q1510=0,$R1510=-1),0,$Q1510*1000+$R1510*100+$K1510)</f>
        <v>0</v>
      </c>
      <c r="T1510" s="37" t="str">
        <f aca="false">IF($A1510="","",IF($B1510="","NO ACCOUNT",IF($Q1510=0,"UNMAPPED",IF($R1510=-1,"OUTSIDE FY RANGE","OK"))))</f>
        <v/>
      </c>
      <c r="U1510" s="40" t="str">
        <f aca="false">IF($A1510="","",$B1510&amp;"|"&amp;TEXT($A1510,"yyyymmdd")&amp;"|"&amp;TEXT($I1510,"0.00"))</f>
        <v/>
      </c>
      <c r="V1510" s="35" t="str">
        <f aca="false">IF($A1510="","",COUNTIF($U$8:$U$5007,$U1510))</f>
        <v/>
      </c>
    </row>
    <row r="1511" customFormat="false" ht="15" hidden="false" customHeight="false" outlineLevel="0" collapsed="false">
      <c r="A1511" s="31"/>
      <c r="B1511" s="32"/>
      <c r="C1511" s="32"/>
      <c r="D1511" s="32"/>
      <c r="E1511" s="32"/>
      <c r="F1511" s="32"/>
      <c r="G1511" s="33"/>
      <c r="H1511" s="33"/>
      <c r="I1511" s="34" t="str">
        <f aca="false">IF($A1511="","",$G1511-$H1511)</f>
        <v/>
      </c>
      <c r="J1511" s="35" t="str">
        <f aca="false">IF($A1511="","",IF(Setup!$B$6=1,YEAR($A1511),YEAR($A1511)+IF(MONTH($A1511)&gt;=Setup!$B$6,1,0)))</f>
        <v/>
      </c>
      <c r="K1511" s="35" t="str">
        <f aca="false">IF($A1511="","",MOD(MONTH($A1511)-Setup!$B$6+12,12)+1)</f>
        <v/>
      </c>
      <c r="L1511" s="36" t="str">
        <f aca="false">IF($A1511="","",TEXT($A1511,"MMM-YY"))</f>
        <v/>
      </c>
      <c r="M1511" s="37" t="str">
        <f aca="false">IF($A1511="","",IF($Q1511=0,"UNMAPPED",INDEX(COA_Mapping!$C$7:$C$256,$Q1511)))</f>
        <v/>
      </c>
      <c r="N1511" s="38" t="str">
        <f aca="false">IF($A1511="","",IF($Q1511=0,"",INDEX(COA_Mapping!$E$7:$E$256,$Q1511)))</f>
        <v/>
      </c>
      <c r="O1511" s="38" t="n">
        <f aca="false">IF($A1511="",1,IF($Q1511=0,1,INDEX(COA_Mapping!$F$7:$F$256,$Q1511)))</f>
        <v>1</v>
      </c>
      <c r="P1511" s="34" t="str">
        <f aca="false">IF($A1511="","",$I1511*$O1511)</f>
        <v/>
      </c>
      <c r="Q1511" s="39" t="n">
        <f aca="false">IF($B1511="",0,IFERROR(MATCH($B1511,COA_Mapping!$A$7:$A$256,0),0))</f>
        <v>0</v>
      </c>
      <c r="R1511" s="39" t="n">
        <f aca="false">IF($A1511="",-1,IF($J1511=Setup!$B$7,1,IF($J1511=Setup!$B$9,0,-1)))</f>
        <v>-1</v>
      </c>
      <c r="S1511" s="35" t="n">
        <f aca="false">IF(OR($A1511="",$Q1511=0,$R1511=-1),0,$Q1511*1000+$R1511*100+$K1511)</f>
        <v>0</v>
      </c>
      <c r="T1511" s="37" t="str">
        <f aca="false">IF($A1511="","",IF($B1511="","NO ACCOUNT",IF($Q1511=0,"UNMAPPED",IF($R1511=-1,"OUTSIDE FY RANGE","OK"))))</f>
        <v/>
      </c>
      <c r="U1511" s="40" t="str">
        <f aca="false">IF($A1511="","",$B1511&amp;"|"&amp;TEXT($A1511,"yyyymmdd")&amp;"|"&amp;TEXT($I1511,"0.00"))</f>
        <v/>
      </c>
      <c r="V1511" s="35" t="str">
        <f aca="false">IF($A1511="","",COUNTIF($U$8:$U$5007,$U1511))</f>
        <v/>
      </c>
    </row>
    <row r="1512" customFormat="false" ht="15" hidden="false" customHeight="false" outlineLevel="0" collapsed="false">
      <c r="A1512" s="31"/>
      <c r="B1512" s="32"/>
      <c r="C1512" s="32"/>
      <c r="D1512" s="32"/>
      <c r="E1512" s="32"/>
      <c r="F1512" s="32"/>
      <c r="G1512" s="33"/>
      <c r="H1512" s="33"/>
      <c r="I1512" s="34" t="str">
        <f aca="false">IF($A1512="","",$G1512-$H1512)</f>
        <v/>
      </c>
      <c r="J1512" s="35" t="str">
        <f aca="false">IF($A1512="","",IF(Setup!$B$6=1,YEAR($A1512),YEAR($A1512)+IF(MONTH($A1512)&gt;=Setup!$B$6,1,0)))</f>
        <v/>
      </c>
      <c r="K1512" s="35" t="str">
        <f aca="false">IF($A1512="","",MOD(MONTH($A1512)-Setup!$B$6+12,12)+1)</f>
        <v/>
      </c>
      <c r="L1512" s="36" t="str">
        <f aca="false">IF($A1512="","",TEXT($A1512,"MMM-YY"))</f>
        <v/>
      </c>
      <c r="M1512" s="37" t="str">
        <f aca="false">IF($A1512="","",IF($Q1512=0,"UNMAPPED",INDEX(COA_Mapping!$C$7:$C$256,$Q1512)))</f>
        <v/>
      </c>
      <c r="N1512" s="38" t="str">
        <f aca="false">IF($A1512="","",IF($Q1512=0,"",INDEX(COA_Mapping!$E$7:$E$256,$Q1512)))</f>
        <v/>
      </c>
      <c r="O1512" s="38" t="n">
        <f aca="false">IF($A1512="",1,IF($Q1512=0,1,INDEX(COA_Mapping!$F$7:$F$256,$Q1512)))</f>
        <v>1</v>
      </c>
      <c r="P1512" s="34" t="str">
        <f aca="false">IF($A1512="","",$I1512*$O1512)</f>
        <v/>
      </c>
      <c r="Q1512" s="39" t="n">
        <f aca="false">IF($B1512="",0,IFERROR(MATCH($B1512,COA_Mapping!$A$7:$A$256,0),0))</f>
        <v>0</v>
      </c>
      <c r="R1512" s="39" t="n">
        <f aca="false">IF($A1512="",-1,IF($J1512=Setup!$B$7,1,IF($J1512=Setup!$B$9,0,-1)))</f>
        <v>-1</v>
      </c>
      <c r="S1512" s="35" t="n">
        <f aca="false">IF(OR($A1512="",$Q1512=0,$R1512=-1),0,$Q1512*1000+$R1512*100+$K1512)</f>
        <v>0</v>
      </c>
      <c r="T1512" s="37" t="str">
        <f aca="false">IF($A1512="","",IF($B1512="","NO ACCOUNT",IF($Q1512=0,"UNMAPPED",IF($R1512=-1,"OUTSIDE FY RANGE","OK"))))</f>
        <v/>
      </c>
      <c r="U1512" s="40" t="str">
        <f aca="false">IF($A1512="","",$B1512&amp;"|"&amp;TEXT($A1512,"yyyymmdd")&amp;"|"&amp;TEXT($I1512,"0.00"))</f>
        <v/>
      </c>
      <c r="V1512" s="35" t="str">
        <f aca="false">IF($A1512="","",COUNTIF($U$8:$U$5007,$U1512))</f>
        <v/>
      </c>
    </row>
    <row r="1513" customFormat="false" ht="15" hidden="false" customHeight="false" outlineLevel="0" collapsed="false">
      <c r="A1513" s="31"/>
      <c r="B1513" s="32"/>
      <c r="C1513" s="32"/>
      <c r="D1513" s="32"/>
      <c r="E1513" s="32"/>
      <c r="F1513" s="32"/>
      <c r="G1513" s="33"/>
      <c r="H1513" s="33"/>
      <c r="I1513" s="34" t="str">
        <f aca="false">IF($A1513="","",$G1513-$H1513)</f>
        <v/>
      </c>
      <c r="J1513" s="35" t="str">
        <f aca="false">IF($A1513="","",IF(Setup!$B$6=1,YEAR($A1513),YEAR($A1513)+IF(MONTH($A1513)&gt;=Setup!$B$6,1,0)))</f>
        <v/>
      </c>
      <c r="K1513" s="35" t="str">
        <f aca="false">IF($A1513="","",MOD(MONTH($A1513)-Setup!$B$6+12,12)+1)</f>
        <v/>
      </c>
      <c r="L1513" s="36" t="str">
        <f aca="false">IF($A1513="","",TEXT($A1513,"MMM-YY"))</f>
        <v/>
      </c>
      <c r="M1513" s="37" t="str">
        <f aca="false">IF($A1513="","",IF($Q1513=0,"UNMAPPED",INDEX(COA_Mapping!$C$7:$C$256,$Q1513)))</f>
        <v/>
      </c>
      <c r="N1513" s="38" t="str">
        <f aca="false">IF($A1513="","",IF($Q1513=0,"",INDEX(COA_Mapping!$E$7:$E$256,$Q1513)))</f>
        <v/>
      </c>
      <c r="O1513" s="38" t="n">
        <f aca="false">IF($A1513="",1,IF($Q1513=0,1,INDEX(COA_Mapping!$F$7:$F$256,$Q1513)))</f>
        <v>1</v>
      </c>
      <c r="P1513" s="34" t="str">
        <f aca="false">IF($A1513="","",$I1513*$O1513)</f>
        <v/>
      </c>
      <c r="Q1513" s="39" t="n">
        <f aca="false">IF($B1513="",0,IFERROR(MATCH($B1513,COA_Mapping!$A$7:$A$256,0),0))</f>
        <v>0</v>
      </c>
      <c r="R1513" s="39" t="n">
        <f aca="false">IF($A1513="",-1,IF($J1513=Setup!$B$7,1,IF($J1513=Setup!$B$9,0,-1)))</f>
        <v>-1</v>
      </c>
      <c r="S1513" s="35" t="n">
        <f aca="false">IF(OR($A1513="",$Q1513=0,$R1513=-1),0,$Q1513*1000+$R1513*100+$K1513)</f>
        <v>0</v>
      </c>
      <c r="T1513" s="37" t="str">
        <f aca="false">IF($A1513="","",IF($B1513="","NO ACCOUNT",IF($Q1513=0,"UNMAPPED",IF($R1513=-1,"OUTSIDE FY RANGE","OK"))))</f>
        <v/>
      </c>
      <c r="U1513" s="40" t="str">
        <f aca="false">IF($A1513="","",$B1513&amp;"|"&amp;TEXT($A1513,"yyyymmdd")&amp;"|"&amp;TEXT($I1513,"0.00"))</f>
        <v/>
      </c>
      <c r="V1513" s="35" t="str">
        <f aca="false">IF($A1513="","",COUNTIF($U$8:$U$5007,$U1513))</f>
        <v/>
      </c>
    </row>
    <row r="1514" customFormat="false" ht="15" hidden="false" customHeight="false" outlineLevel="0" collapsed="false">
      <c r="A1514" s="31"/>
      <c r="B1514" s="32"/>
      <c r="C1514" s="32"/>
      <c r="D1514" s="32"/>
      <c r="E1514" s="32"/>
      <c r="F1514" s="32"/>
      <c r="G1514" s="33"/>
      <c r="H1514" s="33"/>
      <c r="I1514" s="34" t="str">
        <f aca="false">IF($A1514="","",$G1514-$H1514)</f>
        <v/>
      </c>
      <c r="J1514" s="35" t="str">
        <f aca="false">IF($A1514="","",IF(Setup!$B$6=1,YEAR($A1514),YEAR($A1514)+IF(MONTH($A1514)&gt;=Setup!$B$6,1,0)))</f>
        <v/>
      </c>
      <c r="K1514" s="35" t="str">
        <f aca="false">IF($A1514="","",MOD(MONTH($A1514)-Setup!$B$6+12,12)+1)</f>
        <v/>
      </c>
      <c r="L1514" s="36" t="str">
        <f aca="false">IF($A1514="","",TEXT($A1514,"MMM-YY"))</f>
        <v/>
      </c>
      <c r="M1514" s="37" t="str">
        <f aca="false">IF($A1514="","",IF($Q1514=0,"UNMAPPED",INDEX(COA_Mapping!$C$7:$C$256,$Q1514)))</f>
        <v/>
      </c>
      <c r="N1514" s="38" t="str">
        <f aca="false">IF($A1514="","",IF($Q1514=0,"",INDEX(COA_Mapping!$E$7:$E$256,$Q1514)))</f>
        <v/>
      </c>
      <c r="O1514" s="38" t="n">
        <f aca="false">IF($A1514="",1,IF($Q1514=0,1,INDEX(COA_Mapping!$F$7:$F$256,$Q1514)))</f>
        <v>1</v>
      </c>
      <c r="P1514" s="34" t="str">
        <f aca="false">IF($A1514="","",$I1514*$O1514)</f>
        <v/>
      </c>
      <c r="Q1514" s="39" t="n">
        <f aca="false">IF($B1514="",0,IFERROR(MATCH($B1514,COA_Mapping!$A$7:$A$256,0),0))</f>
        <v>0</v>
      </c>
      <c r="R1514" s="39" t="n">
        <f aca="false">IF($A1514="",-1,IF($J1514=Setup!$B$7,1,IF($J1514=Setup!$B$9,0,-1)))</f>
        <v>-1</v>
      </c>
      <c r="S1514" s="35" t="n">
        <f aca="false">IF(OR($A1514="",$Q1514=0,$R1514=-1),0,$Q1514*1000+$R1514*100+$K1514)</f>
        <v>0</v>
      </c>
      <c r="T1514" s="37" t="str">
        <f aca="false">IF($A1514="","",IF($B1514="","NO ACCOUNT",IF($Q1514=0,"UNMAPPED",IF($R1514=-1,"OUTSIDE FY RANGE","OK"))))</f>
        <v/>
      </c>
      <c r="U1514" s="40" t="str">
        <f aca="false">IF($A1514="","",$B1514&amp;"|"&amp;TEXT($A1514,"yyyymmdd")&amp;"|"&amp;TEXT($I1514,"0.00"))</f>
        <v/>
      </c>
      <c r="V1514" s="35" t="str">
        <f aca="false">IF($A1514="","",COUNTIF($U$8:$U$5007,$U1514))</f>
        <v/>
      </c>
    </row>
    <row r="1515" customFormat="false" ht="15" hidden="false" customHeight="false" outlineLevel="0" collapsed="false">
      <c r="A1515" s="31"/>
      <c r="B1515" s="32"/>
      <c r="C1515" s="32"/>
      <c r="D1515" s="32"/>
      <c r="E1515" s="32"/>
      <c r="F1515" s="32"/>
      <c r="G1515" s="33"/>
      <c r="H1515" s="33"/>
      <c r="I1515" s="34" t="str">
        <f aca="false">IF($A1515="","",$G1515-$H1515)</f>
        <v/>
      </c>
      <c r="J1515" s="35" t="str">
        <f aca="false">IF($A1515="","",IF(Setup!$B$6=1,YEAR($A1515),YEAR($A1515)+IF(MONTH($A1515)&gt;=Setup!$B$6,1,0)))</f>
        <v/>
      </c>
      <c r="K1515" s="35" t="str">
        <f aca="false">IF($A1515="","",MOD(MONTH($A1515)-Setup!$B$6+12,12)+1)</f>
        <v/>
      </c>
      <c r="L1515" s="36" t="str">
        <f aca="false">IF($A1515="","",TEXT($A1515,"MMM-YY"))</f>
        <v/>
      </c>
      <c r="M1515" s="37" t="str">
        <f aca="false">IF($A1515="","",IF($Q1515=0,"UNMAPPED",INDEX(COA_Mapping!$C$7:$C$256,$Q1515)))</f>
        <v/>
      </c>
      <c r="N1515" s="38" t="str">
        <f aca="false">IF($A1515="","",IF($Q1515=0,"",INDEX(COA_Mapping!$E$7:$E$256,$Q1515)))</f>
        <v/>
      </c>
      <c r="O1515" s="38" t="n">
        <f aca="false">IF($A1515="",1,IF($Q1515=0,1,INDEX(COA_Mapping!$F$7:$F$256,$Q1515)))</f>
        <v>1</v>
      </c>
      <c r="P1515" s="34" t="str">
        <f aca="false">IF($A1515="","",$I1515*$O1515)</f>
        <v/>
      </c>
      <c r="Q1515" s="39" t="n">
        <f aca="false">IF($B1515="",0,IFERROR(MATCH($B1515,COA_Mapping!$A$7:$A$256,0),0))</f>
        <v>0</v>
      </c>
      <c r="R1515" s="39" t="n">
        <f aca="false">IF($A1515="",-1,IF($J1515=Setup!$B$7,1,IF($J1515=Setup!$B$9,0,-1)))</f>
        <v>-1</v>
      </c>
      <c r="S1515" s="35" t="n">
        <f aca="false">IF(OR($A1515="",$Q1515=0,$R1515=-1),0,$Q1515*1000+$R1515*100+$K1515)</f>
        <v>0</v>
      </c>
      <c r="T1515" s="37" t="str">
        <f aca="false">IF($A1515="","",IF($B1515="","NO ACCOUNT",IF($Q1515=0,"UNMAPPED",IF($R1515=-1,"OUTSIDE FY RANGE","OK"))))</f>
        <v/>
      </c>
      <c r="U1515" s="40" t="str">
        <f aca="false">IF($A1515="","",$B1515&amp;"|"&amp;TEXT($A1515,"yyyymmdd")&amp;"|"&amp;TEXT($I1515,"0.00"))</f>
        <v/>
      </c>
      <c r="V1515" s="35" t="str">
        <f aca="false">IF($A1515="","",COUNTIF($U$8:$U$5007,$U1515))</f>
        <v/>
      </c>
    </row>
    <row r="1516" customFormat="false" ht="15" hidden="false" customHeight="false" outlineLevel="0" collapsed="false">
      <c r="A1516" s="31"/>
      <c r="B1516" s="32"/>
      <c r="C1516" s="32"/>
      <c r="D1516" s="32"/>
      <c r="E1516" s="32"/>
      <c r="F1516" s="32"/>
      <c r="G1516" s="33"/>
      <c r="H1516" s="33"/>
      <c r="I1516" s="34" t="str">
        <f aca="false">IF($A1516="","",$G1516-$H1516)</f>
        <v/>
      </c>
      <c r="J1516" s="35" t="str">
        <f aca="false">IF($A1516="","",IF(Setup!$B$6=1,YEAR($A1516),YEAR($A1516)+IF(MONTH($A1516)&gt;=Setup!$B$6,1,0)))</f>
        <v/>
      </c>
      <c r="K1516" s="35" t="str">
        <f aca="false">IF($A1516="","",MOD(MONTH($A1516)-Setup!$B$6+12,12)+1)</f>
        <v/>
      </c>
      <c r="L1516" s="36" t="str">
        <f aca="false">IF($A1516="","",TEXT($A1516,"MMM-YY"))</f>
        <v/>
      </c>
      <c r="M1516" s="37" t="str">
        <f aca="false">IF($A1516="","",IF($Q1516=0,"UNMAPPED",INDEX(COA_Mapping!$C$7:$C$256,$Q1516)))</f>
        <v/>
      </c>
      <c r="N1516" s="38" t="str">
        <f aca="false">IF($A1516="","",IF($Q1516=0,"",INDEX(COA_Mapping!$E$7:$E$256,$Q1516)))</f>
        <v/>
      </c>
      <c r="O1516" s="38" t="n">
        <f aca="false">IF($A1516="",1,IF($Q1516=0,1,INDEX(COA_Mapping!$F$7:$F$256,$Q1516)))</f>
        <v>1</v>
      </c>
      <c r="P1516" s="34" t="str">
        <f aca="false">IF($A1516="","",$I1516*$O1516)</f>
        <v/>
      </c>
      <c r="Q1516" s="39" t="n">
        <f aca="false">IF($B1516="",0,IFERROR(MATCH($B1516,COA_Mapping!$A$7:$A$256,0),0))</f>
        <v>0</v>
      </c>
      <c r="R1516" s="39" t="n">
        <f aca="false">IF($A1516="",-1,IF($J1516=Setup!$B$7,1,IF($J1516=Setup!$B$9,0,-1)))</f>
        <v>-1</v>
      </c>
      <c r="S1516" s="35" t="n">
        <f aca="false">IF(OR($A1516="",$Q1516=0,$R1516=-1),0,$Q1516*1000+$R1516*100+$K1516)</f>
        <v>0</v>
      </c>
      <c r="T1516" s="37" t="str">
        <f aca="false">IF($A1516="","",IF($B1516="","NO ACCOUNT",IF($Q1516=0,"UNMAPPED",IF($R1516=-1,"OUTSIDE FY RANGE","OK"))))</f>
        <v/>
      </c>
      <c r="U1516" s="40" t="str">
        <f aca="false">IF($A1516="","",$B1516&amp;"|"&amp;TEXT($A1516,"yyyymmdd")&amp;"|"&amp;TEXT($I1516,"0.00"))</f>
        <v/>
      </c>
      <c r="V1516" s="35" t="str">
        <f aca="false">IF($A1516="","",COUNTIF($U$8:$U$5007,$U1516))</f>
        <v/>
      </c>
    </row>
    <row r="1517" customFormat="false" ht="15" hidden="false" customHeight="false" outlineLevel="0" collapsed="false">
      <c r="A1517" s="31"/>
      <c r="B1517" s="32"/>
      <c r="C1517" s="32"/>
      <c r="D1517" s="32"/>
      <c r="E1517" s="32"/>
      <c r="F1517" s="32"/>
      <c r="G1517" s="33"/>
      <c r="H1517" s="33"/>
      <c r="I1517" s="34" t="str">
        <f aca="false">IF($A1517="","",$G1517-$H1517)</f>
        <v/>
      </c>
      <c r="J1517" s="35" t="str">
        <f aca="false">IF($A1517="","",IF(Setup!$B$6=1,YEAR($A1517),YEAR($A1517)+IF(MONTH($A1517)&gt;=Setup!$B$6,1,0)))</f>
        <v/>
      </c>
      <c r="K1517" s="35" t="str">
        <f aca="false">IF($A1517="","",MOD(MONTH($A1517)-Setup!$B$6+12,12)+1)</f>
        <v/>
      </c>
      <c r="L1517" s="36" t="str">
        <f aca="false">IF($A1517="","",TEXT($A1517,"MMM-YY"))</f>
        <v/>
      </c>
      <c r="M1517" s="37" t="str">
        <f aca="false">IF($A1517="","",IF($Q1517=0,"UNMAPPED",INDEX(COA_Mapping!$C$7:$C$256,$Q1517)))</f>
        <v/>
      </c>
      <c r="N1517" s="38" t="str">
        <f aca="false">IF($A1517="","",IF($Q1517=0,"",INDEX(COA_Mapping!$E$7:$E$256,$Q1517)))</f>
        <v/>
      </c>
      <c r="O1517" s="38" t="n">
        <f aca="false">IF($A1517="",1,IF($Q1517=0,1,INDEX(COA_Mapping!$F$7:$F$256,$Q1517)))</f>
        <v>1</v>
      </c>
      <c r="P1517" s="34" t="str">
        <f aca="false">IF($A1517="","",$I1517*$O1517)</f>
        <v/>
      </c>
      <c r="Q1517" s="39" t="n">
        <f aca="false">IF($B1517="",0,IFERROR(MATCH($B1517,COA_Mapping!$A$7:$A$256,0),0))</f>
        <v>0</v>
      </c>
      <c r="R1517" s="39" t="n">
        <f aca="false">IF($A1517="",-1,IF($J1517=Setup!$B$7,1,IF($J1517=Setup!$B$9,0,-1)))</f>
        <v>-1</v>
      </c>
      <c r="S1517" s="35" t="n">
        <f aca="false">IF(OR($A1517="",$Q1517=0,$R1517=-1),0,$Q1517*1000+$R1517*100+$K1517)</f>
        <v>0</v>
      </c>
      <c r="T1517" s="37" t="str">
        <f aca="false">IF($A1517="","",IF($B1517="","NO ACCOUNT",IF($Q1517=0,"UNMAPPED",IF($R1517=-1,"OUTSIDE FY RANGE","OK"))))</f>
        <v/>
      </c>
      <c r="U1517" s="40" t="str">
        <f aca="false">IF($A1517="","",$B1517&amp;"|"&amp;TEXT($A1517,"yyyymmdd")&amp;"|"&amp;TEXT($I1517,"0.00"))</f>
        <v/>
      </c>
      <c r="V1517" s="35" t="str">
        <f aca="false">IF($A1517="","",COUNTIF($U$8:$U$5007,$U1517))</f>
        <v/>
      </c>
    </row>
    <row r="1518" customFormat="false" ht="15" hidden="false" customHeight="false" outlineLevel="0" collapsed="false">
      <c r="A1518" s="31"/>
      <c r="B1518" s="32"/>
      <c r="C1518" s="32"/>
      <c r="D1518" s="32"/>
      <c r="E1518" s="32"/>
      <c r="F1518" s="32"/>
      <c r="G1518" s="33"/>
      <c r="H1518" s="33"/>
      <c r="I1518" s="34" t="str">
        <f aca="false">IF($A1518="","",$G1518-$H1518)</f>
        <v/>
      </c>
      <c r="J1518" s="35" t="str">
        <f aca="false">IF($A1518="","",IF(Setup!$B$6=1,YEAR($A1518),YEAR($A1518)+IF(MONTH($A1518)&gt;=Setup!$B$6,1,0)))</f>
        <v/>
      </c>
      <c r="K1518" s="35" t="str">
        <f aca="false">IF($A1518="","",MOD(MONTH($A1518)-Setup!$B$6+12,12)+1)</f>
        <v/>
      </c>
      <c r="L1518" s="36" t="str">
        <f aca="false">IF($A1518="","",TEXT($A1518,"MMM-YY"))</f>
        <v/>
      </c>
      <c r="M1518" s="37" t="str">
        <f aca="false">IF($A1518="","",IF($Q1518=0,"UNMAPPED",INDEX(COA_Mapping!$C$7:$C$256,$Q1518)))</f>
        <v/>
      </c>
      <c r="N1518" s="38" t="str">
        <f aca="false">IF($A1518="","",IF($Q1518=0,"",INDEX(COA_Mapping!$E$7:$E$256,$Q1518)))</f>
        <v/>
      </c>
      <c r="O1518" s="38" t="n">
        <f aca="false">IF($A1518="",1,IF($Q1518=0,1,INDEX(COA_Mapping!$F$7:$F$256,$Q1518)))</f>
        <v>1</v>
      </c>
      <c r="P1518" s="34" t="str">
        <f aca="false">IF($A1518="","",$I1518*$O1518)</f>
        <v/>
      </c>
      <c r="Q1518" s="39" t="n">
        <f aca="false">IF($B1518="",0,IFERROR(MATCH($B1518,COA_Mapping!$A$7:$A$256,0),0))</f>
        <v>0</v>
      </c>
      <c r="R1518" s="39" t="n">
        <f aca="false">IF($A1518="",-1,IF($J1518=Setup!$B$7,1,IF($J1518=Setup!$B$9,0,-1)))</f>
        <v>-1</v>
      </c>
      <c r="S1518" s="35" t="n">
        <f aca="false">IF(OR($A1518="",$Q1518=0,$R1518=-1),0,$Q1518*1000+$R1518*100+$K1518)</f>
        <v>0</v>
      </c>
      <c r="T1518" s="37" t="str">
        <f aca="false">IF($A1518="","",IF($B1518="","NO ACCOUNT",IF($Q1518=0,"UNMAPPED",IF($R1518=-1,"OUTSIDE FY RANGE","OK"))))</f>
        <v/>
      </c>
      <c r="U1518" s="40" t="str">
        <f aca="false">IF($A1518="","",$B1518&amp;"|"&amp;TEXT($A1518,"yyyymmdd")&amp;"|"&amp;TEXT($I1518,"0.00"))</f>
        <v/>
      </c>
      <c r="V1518" s="35" t="str">
        <f aca="false">IF($A1518="","",COUNTIF($U$8:$U$5007,$U1518))</f>
        <v/>
      </c>
    </row>
    <row r="1519" customFormat="false" ht="15" hidden="false" customHeight="false" outlineLevel="0" collapsed="false">
      <c r="A1519" s="31"/>
      <c r="B1519" s="32"/>
      <c r="C1519" s="32"/>
      <c r="D1519" s="32"/>
      <c r="E1519" s="32"/>
      <c r="F1519" s="32"/>
      <c r="G1519" s="33"/>
      <c r="H1519" s="33"/>
      <c r="I1519" s="34" t="str">
        <f aca="false">IF($A1519="","",$G1519-$H1519)</f>
        <v/>
      </c>
      <c r="J1519" s="35" t="str">
        <f aca="false">IF($A1519="","",IF(Setup!$B$6=1,YEAR($A1519),YEAR($A1519)+IF(MONTH($A1519)&gt;=Setup!$B$6,1,0)))</f>
        <v/>
      </c>
      <c r="K1519" s="35" t="str">
        <f aca="false">IF($A1519="","",MOD(MONTH($A1519)-Setup!$B$6+12,12)+1)</f>
        <v/>
      </c>
      <c r="L1519" s="36" t="str">
        <f aca="false">IF($A1519="","",TEXT($A1519,"MMM-YY"))</f>
        <v/>
      </c>
      <c r="M1519" s="37" t="str">
        <f aca="false">IF($A1519="","",IF($Q1519=0,"UNMAPPED",INDEX(COA_Mapping!$C$7:$C$256,$Q1519)))</f>
        <v/>
      </c>
      <c r="N1519" s="38" t="str">
        <f aca="false">IF($A1519="","",IF($Q1519=0,"",INDEX(COA_Mapping!$E$7:$E$256,$Q1519)))</f>
        <v/>
      </c>
      <c r="O1519" s="38" t="n">
        <f aca="false">IF($A1519="",1,IF($Q1519=0,1,INDEX(COA_Mapping!$F$7:$F$256,$Q1519)))</f>
        <v>1</v>
      </c>
      <c r="P1519" s="34" t="str">
        <f aca="false">IF($A1519="","",$I1519*$O1519)</f>
        <v/>
      </c>
      <c r="Q1519" s="39" t="n">
        <f aca="false">IF($B1519="",0,IFERROR(MATCH($B1519,COA_Mapping!$A$7:$A$256,0),0))</f>
        <v>0</v>
      </c>
      <c r="R1519" s="39" t="n">
        <f aca="false">IF($A1519="",-1,IF($J1519=Setup!$B$7,1,IF($J1519=Setup!$B$9,0,-1)))</f>
        <v>-1</v>
      </c>
      <c r="S1519" s="35" t="n">
        <f aca="false">IF(OR($A1519="",$Q1519=0,$R1519=-1),0,$Q1519*1000+$R1519*100+$K1519)</f>
        <v>0</v>
      </c>
      <c r="T1519" s="37" t="str">
        <f aca="false">IF($A1519="","",IF($B1519="","NO ACCOUNT",IF($Q1519=0,"UNMAPPED",IF($R1519=-1,"OUTSIDE FY RANGE","OK"))))</f>
        <v/>
      </c>
      <c r="U1519" s="40" t="str">
        <f aca="false">IF($A1519="","",$B1519&amp;"|"&amp;TEXT($A1519,"yyyymmdd")&amp;"|"&amp;TEXT($I1519,"0.00"))</f>
        <v/>
      </c>
      <c r="V1519" s="35" t="str">
        <f aca="false">IF($A1519="","",COUNTIF($U$8:$U$5007,$U1519))</f>
        <v/>
      </c>
    </row>
    <row r="1520" customFormat="false" ht="15" hidden="false" customHeight="false" outlineLevel="0" collapsed="false">
      <c r="A1520" s="31"/>
      <c r="B1520" s="32"/>
      <c r="C1520" s="32"/>
      <c r="D1520" s="32"/>
      <c r="E1520" s="32"/>
      <c r="F1520" s="32"/>
      <c r="G1520" s="33"/>
      <c r="H1520" s="33"/>
      <c r="I1520" s="34" t="str">
        <f aca="false">IF($A1520="","",$G1520-$H1520)</f>
        <v/>
      </c>
      <c r="J1520" s="35" t="str">
        <f aca="false">IF($A1520="","",IF(Setup!$B$6=1,YEAR($A1520),YEAR($A1520)+IF(MONTH($A1520)&gt;=Setup!$B$6,1,0)))</f>
        <v/>
      </c>
      <c r="K1520" s="35" t="str">
        <f aca="false">IF($A1520="","",MOD(MONTH($A1520)-Setup!$B$6+12,12)+1)</f>
        <v/>
      </c>
      <c r="L1520" s="36" t="str">
        <f aca="false">IF($A1520="","",TEXT($A1520,"MMM-YY"))</f>
        <v/>
      </c>
      <c r="M1520" s="37" t="str">
        <f aca="false">IF($A1520="","",IF($Q1520=0,"UNMAPPED",INDEX(COA_Mapping!$C$7:$C$256,$Q1520)))</f>
        <v/>
      </c>
      <c r="N1520" s="38" t="str">
        <f aca="false">IF($A1520="","",IF($Q1520=0,"",INDEX(COA_Mapping!$E$7:$E$256,$Q1520)))</f>
        <v/>
      </c>
      <c r="O1520" s="38" t="n">
        <f aca="false">IF($A1520="",1,IF($Q1520=0,1,INDEX(COA_Mapping!$F$7:$F$256,$Q1520)))</f>
        <v>1</v>
      </c>
      <c r="P1520" s="34" t="str">
        <f aca="false">IF($A1520="","",$I1520*$O1520)</f>
        <v/>
      </c>
      <c r="Q1520" s="39" t="n">
        <f aca="false">IF($B1520="",0,IFERROR(MATCH($B1520,COA_Mapping!$A$7:$A$256,0),0))</f>
        <v>0</v>
      </c>
      <c r="R1520" s="39" t="n">
        <f aca="false">IF($A1520="",-1,IF($J1520=Setup!$B$7,1,IF($J1520=Setup!$B$9,0,-1)))</f>
        <v>-1</v>
      </c>
      <c r="S1520" s="35" t="n">
        <f aca="false">IF(OR($A1520="",$Q1520=0,$R1520=-1),0,$Q1520*1000+$R1520*100+$K1520)</f>
        <v>0</v>
      </c>
      <c r="T1520" s="37" t="str">
        <f aca="false">IF($A1520="","",IF($B1520="","NO ACCOUNT",IF($Q1520=0,"UNMAPPED",IF($R1520=-1,"OUTSIDE FY RANGE","OK"))))</f>
        <v/>
      </c>
      <c r="U1520" s="40" t="str">
        <f aca="false">IF($A1520="","",$B1520&amp;"|"&amp;TEXT($A1520,"yyyymmdd")&amp;"|"&amp;TEXT($I1520,"0.00"))</f>
        <v/>
      </c>
      <c r="V1520" s="35" t="str">
        <f aca="false">IF($A1520="","",COUNTIF($U$8:$U$5007,$U1520))</f>
        <v/>
      </c>
    </row>
    <row r="1521" customFormat="false" ht="15" hidden="false" customHeight="false" outlineLevel="0" collapsed="false">
      <c r="A1521" s="31"/>
      <c r="B1521" s="32"/>
      <c r="C1521" s="32"/>
      <c r="D1521" s="32"/>
      <c r="E1521" s="32"/>
      <c r="F1521" s="32"/>
      <c r="G1521" s="33"/>
      <c r="H1521" s="33"/>
      <c r="I1521" s="34" t="str">
        <f aca="false">IF($A1521="","",$G1521-$H1521)</f>
        <v/>
      </c>
      <c r="J1521" s="35" t="str">
        <f aca="false">IF($A1521="","",IF(Setup!$B$6=1,YEAR($A1521),YEAR($A1521)+IF(MONTH($A1521)&gt;=Setup!$B$6,1,0)))</f>
        <v/>
      </c>
      <c r="K1521" s="35" t="str">
        <f aca="false">IF($A1521="","",MOD(MONTH($A1521)-Setup!$B$6+12,12)+1)</f>
        <v/>
      </c>
      <c r="L1521" s="36" t="str">
        <f aca="false">IF($A1521="","",TEXT($A1521,"MMM-YY"))</f>
        <v/>
      </c>
      <c r="M1521" s="37" t="str">
        <f aca="false">IF($A1521="","",IF($Q1521=0,"UNMAPPED",INDEX(COA_Mapping!$C$7:$C$256,$Q1521)))</f>
        <v/>
      </c>
      <c r="N1521" s="38" t="str">
        <f aca="false">IF($A1521="","",IF($Q1521=0,"",INDEX(COA_Mapping!$E$7:$E$256,$Q1521)))</f>
        <v/>
      </c>
      <c r="O1521" s="38" t="n">
        <f aca="false">IF($A1521="",1,IF($Q1521=0,1,INDEX(COA_Mapping!$F$7:$F$256,$Q1521)))</f>
        <v>1</v>
      </c>
      <c r="P1521" s="34" t="str">
        <f aca="false">IF($A1521="","",$I1521*$O1521)</f>
        <v/>
      </c>
      <c r="Q1521" s="39" t="n">
        <f aca="false">IF($B1521="",0,IFERROR(MATCH($B1521,COA_Mapping!$A$7:$A$256,0),0))</f>
        <v>0</v>
      </c>
      <c r="R1521" s="39" t="n">
        <f aca="false">IF($A1521="",-1,IF($J1521=Setup!$B$7,1,IF($J1521=Setup!$B$9,0,-1)))</f>
        <v>-1</v>
      </c>
      <c r="S1521" s="35" t="n">
        <f aca="false">IF(OR($A1521="",$Q1521=0,$R1521=-1),0,$Q1521*1000+$R1521*100+$K1521)</f>
        <v>0</v>
      </c>
      <c r="T1521" s="37" t="str">
        <f aca="false">IF($A1521="","",IF($B1521="","NO ACCOUNT",IF($Q1521=0,"UNMAPPED",IF($R1521=-1,"OUTSIDE FY RANGE","OK"))))</f>
        <v/>
      </c>
      <c r="U1521" s="40" t="str">
        <f aca="false">IF($A1521="","",$B1521&amp;"|"&amp;TEXT($A1521,"yyyymmdd")&amp;"|"&amp;TEXT($I1521,"0.00"))</f>
        <v/>
      </c>
      <c r="V1521" s="35" t="str">
        <f aca="false">IF($A1521="","",COUNTIF($U$8:$U$5007,$U1521))</f>
        <v/>
      </c>
    </row>
    <row r="1522" customFormat="false" ht="15" hidden="false" customHeight="false" outlineLevel="0" collapsed="false">
      <c r="A1522" s="31"/>
      <c r="B1522" s="32"/>
      <c r="C1522" s="32"/>
      <c r="D1522" s="32"/>
      <c r="E1522" s="32"/>
      <c r="F1522" s="32"/>
      <c r="G1522" s="33"/>
      <c r="H1522" s="33"/>
      <c r="I1522" s="34" t="str">
        <f aca="false">IF($A1522="","",$G1522-$H1522)</f>
        <v/>
      </c>
      <c r="J1522" s="35" t="str">
        <f aca="false">IF($A1522="","",IF(Setup!$B$6=1,YEAR($A1522),YEAR($A1522)+IF(MONTH($A1522)&gt;=Setup!$B$6,1,0)))</f>
        <v/>
      </c>
      <c r="K1522" s="35" t="str">
        <f aca="false">IF($A1522="","",MOD(MONTH($A1522)-Setup!$B$6+12,12)+1)</f>
        <v/>
      </c>
      <c r="L1522" s="36" t="str">
        <f aca="false">IF($A1522="","",TEXT($A1522,"MMM-YY"))</f>
        <v/>
      </c>
      <c r="M1522" s="37" t="str">
        <f aca="false">IF($A1522="","",IF($Q1522=0,"UNMAPPED",INDEX(COA_Mapping!$C$7:$C$256,$Q1522)))</f>
        <v/>
      </c>
      <c r="N1522" s="38" t="str">
        <f aca="false">IF($A1522="","",IF($Q1522=0,"",INDEX(COA_Mapping!$E$7:$E$256,$Q1522)))</f>
        <v/>
      </c>
      <c r="O1522" s="38" t="n">
        <f aca="false">IF($A1522="",1,IF($Q1522=0,1,INDEX(COA_Mapping!$F$7:$F$256,$Q1522)))</f>
        <v>1</v>
      </c>
      <c r="P1522" s="34" t="str">
        <f aca="false">IF($A1522="","",$I1522*$O1522)</f>
        <v/>
      </c>
      <c r="Q1522" s="39" t="n">
        <f aca="false">IF($B1522="",0,IFERROR(MATCH($B1522,COA_Mapping!$A$7:$A$256,0),0))</f>
        <v>0</v>
      </c>
      <c r="R1522" s="39" t="n">
        <f aca="false">IF($A1522="",-1,IF($J1522=Setup!$B$7,1,IF($J1522=Setup!$B$9,0,-1)))</f>
        <v>-1</v>
      </c>
      <c r="S1522" s="35" t="n">
        <f aca="false">IF(OR($A1522="",$Q1522=0,$R1522=-1),0,$Q1522*1000+$R1522*100+$K1522)</f>
        <v>0</v>
      </c>
      <c r="T1522" s="37" t="str">
        <f aca="false">IF($A1522="","",IF($B1522="","NO ACCOUNT",IF($Q1522=0,"UNMAPPED",IF($R1522=-1,"OUTSIDE FY RANGE","OK"))))</f>
        <v/>
      </c>
      <c r="U1522" s="40" t="str">
        <f aca="false">IF($A1522="","",$B1522&amp;"|"&amp;TEXT($A1522,"yyyymmdd")&amp;"|"&amp;TEXT($I1522,"0.00"))</f>
        <v/>
      </c>
      <c r="V1522" s="35" t="str">
        <f aca="false">IF($A1522="","",COUNTIF($U$8:$U$5007,$U1522))</f>
        <v/>
      </c>
    </row>
    <row r="1523" customFormat="false" ht="15" hidden="false" customHeight="false" outlineLevel="0" collapsed="false">
      <c r="A1523" s="31"/>
      <c r="B1523" s="32"/>
      <c r="C1523" s="32"/>
      <c r="D1523" s="32"/>
      <c r="E1523" s="32"/>
      <c r="F1523" s="32"/>
      <c r="G1523" s="33"/>
      <c r="H1523" s="33"/>
      <c r="I1523" s="34" t="str">
        <f aca="false">IF($A1523="","",$G1523-$H1523)</f>
        <v/>
      </c>
      <c r="J1523" s="35" t="str">
        <f aca="false">IF($A1523="","",IF(Setup!$B$6=1,YEAR($A1523),YEAR($A1523)+IF(MONTH($A1523)&gt;=Setup!$B$6,1,0)))</f>
        <v/>
      </c>
      <c r="K1523" s="35" t="str">
        <f aca="false">IF($A1523="","",MOD(MONTH($A1523)-Setup!$B$6+12,12)+1)</f>
        <v/>
      </c>
      <c r="L1523" s="36" t="str">
        <f aca="false">IF($A1523="","",TEXT($A1523,"MMM-YY"))</f>
        <v/>
      </c>
      <c r="M1523" s="37" t="str">
        <f aca="false">IF($A1523="","",IF($Q1523=0,"UNMAPPED",INDEX(COA_Mapping!$C$7:$C$256,$Q1523)))</f>
        <v/>
      </c>
      <c r="N1523" s="38" t="str">
        <f aca="false">IF($A1523="","",IF($Q1523=0,"",INDEX(COA_Mapping!$E$7:$E$256,$Q1523)))</f>
        <v/>
      </c>
      <c r="O1523" s="38" t="n">
        <f aca="false">IF($A1523="",1,IF($Q1523=0,1,INDEX(COA_Mapping!$F$7:$F$256,$Q1523)))</f>
        <v>1</v>
      </c>
      <c r="P1523" s="34" t="str">
        <f aca="false">IF($A1523="","",$I1523*$O1523)</f>
        <v/>
      </c>
      <c r="Q1523" s="39" t="n">
        <f aca="false">IF($B1523="",0,IFERROR(MATCH($B1523,COA_Mapping!$A$7:$A$256,0),0))</f>
        <v>0</v>
      </c>
      <c r="R1523" s="39" t="n">
        <f aca="false">IF($A1523="",-1,IF($J1523=Setup!$B$7,1,IF($J1523=Setup!$B$9,0,-1)))</f>
        <v>-1</v>
      </c>
      <c r="S1523" s="35" t="n">
        <f aca="false">IF(OR($A1523="",$Q1523=0,$R1523=-1),0,$Q1523*1000+$R1523*100+$K1523)</f>
        <v>0</v>
      </c>
      <c r="T1523" s="37" t="str">
        <f aca="false">IF($A1523="","",IF($B1523="","NO ACCOUNT",IF($Q1523=0,"UNMAPPED",IF($R1523=-1,"OUTSIDE FY RANGE","OK"))))</f>
        <v/>
      </c>
      <c r="U1523" s="40" t="str">
        <f aca="false">IF($A1523="","",$B1523&amp;"|"&amp;TEXT($A1523,"yyyymmdd")&amp;"|"&amp;TEXT($I1523,"0.00"))</f>
        <v/>
      </c>
      <c r="V1523" s="35" t="str">
        <f aca="false">IF($A1523="","",COUNTIF($U$8:$U$5007,$U1523))</f>
        <v/>
      </c>
    </row>
    <row r="1524" customFormat="false" ht="15" hidden="false" customHeight="false" outlineLevel="0" collapsed="false">
      <c r="A1524" s="31"/>
      <c r="B1524" s="32"/>
      <c r="C1524" s="32"/>
      <c r="D1524" s="32"/>
      <c r="E1524" s="32"/>
      <c r="F1524" s="32"/>
      <c r="G1524" s="33"/>
      <c r="H1524" s="33"/>
      <c r="I1524" s="34" t="str">
        <f aca="false">IF($A1524="","",$G1524-$H1524)</f>
        <v/>
      </c>
      <c r="J1524" s="35" t="str">
        <f aca="false">IF($A1524="","",IF(Setup!$B$6=1,YEAR($A1524),YEAR($A1524)+IF(MONTH($A1524)&gt;=Setup!$B$6,1,0)))</f>
        <v/>
      </c>
      <c r="K1524" s="35" t="str">
        <f aca="false">IF($A1524="","",MOD(MONTH($A1524)-Setup!$B$6+12,12)+1)</f>
        <v/>
      </c>
      <c r="L1524" s="36" t="str">
        <f aca="false">IF($A1524="","",TEXT($A1524,"MMM-YY"))</f>
        <v/>
      </c>
      <c r="M1524" s="37" t="str">
        <f aca="false">IF($A1524="","",IF($Q1524=0,"UNMAPPED",INDEX(COA_Mapping!$C$7:$C$256,$Q1524)))</f>
        <v/>
      </c>
      <c r="N1524" s="38" t="str">
        <f aca="false">IF($A1524="","",IF($Q1524=0,"",INDEX(COA_Mapping!$E$7:$E$256,$Q1524)))</f>
        <v/>
      </c>
      <c r="O1524" s="38" t="n">
        <f aca="false">IF($A1524="",1,IF($Q1524=0,1,INDEX(COA_Mapping!$F$7:$F$256,$Q1524)))</f>
        <v>1</v>
      </c>
      <c r="P1524" s="34" t="str">
        <f aca="false">IF($A1524="","",$I1524*$O1524)</f>
        <v/>
      </c>
      <c r="Q1524" s="39" t="n">
        <f aca="false">IF($B1524="",0,IFERROR(MATCH($B1524,COA_Mapping!$A$7:$A$256,0),0))</f>
        <v>0</v>
      </c>
      <c r="R1524" s="39" t="n">
        <f aca="false">IF($A1524="",-1,IF($J1524=Setup!$B$7,1,IF($J1524=Setup!$B$9,0,-1)))</f>
        <v>-1</v>
      </c>
      <c r="S1524" s="35" t="n">
        <f aca="false">IF(OR($A1524="",$Q1524=0,$R1524=-1),0,$Q1524*1000+$R1524*100+$K1524)</f>
        <v>0</v>
      </c>
      <c r="T1524" s="37" t="str">
        <f aca="false">IF($A1524="","",IF($B1524="","NO ACCOUNT",IF($Q1524=0,"UNMAPPED",IF($R1524=-1,"OUTSIDE FY RANGE","OK"))))</f>
        <v/>
      </c>
      <c r="U1524" s="40" t="str">
        <f aca="false">IF($A1524="","",$B1524&amp;"|"&amp;TEXT($A1524,"yyyymmdd")&amp;"|"&amp;TEXT($I1524,"0.00"))</f>
        <v/>
      </c>
      <c r="V1524" s="35" t="str">
        <f aca="false">IF($A1524="","",COUNTIF($U$8:$U$5007,$U1524))</f>
        <v/>
      </c>
    </row>
    <row r="1525" customFormat="false" ht="15" hidden="false" customHeight="false" outlineLevel="0" collapsed="false">
      <c r="A1525" s="31"/>
      <c r="B1525" s="32"/>
      <c r="C1525" s="32"/>
      <c r="D1525" s="32"/>
      <c r="E1525" s="32"/>
      <c r="F1525" s="32"/>
      <c r="G1525" s="33"/>
      <c r="H1525" s="33"/>
      <c r="I1525" s="34" t="str">
        <f aca="false">IF($A1525="","",$G1525-$H1525)</f>
        <v/>
      </c>
      <c r="J1525" s="35" t="str">
        <f aca="false">IF($A1525="","",IF(Setup!$B$6=1,YEAR($A1525),YEAR($A1525)+IF(MONTH($A1525)&gt;=Setup!$B$6,1,0)))</f>
        <v/>
      </c>
      <c r="K1525" s="35" t="str">
        <f aca="false">IF($A1525="","",MOD(MONTH($A1525)-Setup!$B$6+12,12)+1)</f>
        <v/>
      </c>
      <c r="L1525" s="36" t="str">
        <f aca="false">IF($A1525="","",TEXT($A1525,"MMM-YY"))</f>
        <v/>
      </c>
      <c r="M1525" s="37" t="str">
        <f aca="false">IF($A1525="","",IF($Q1525=0,"UNMAPPED",INDEX(COA_Mapping!$C$7:$C$256,$Q1525)))</f>
        <v/>
      </c>
      <c r="N1525" s="38" t="str">
        <f aca="false">IF($A1525="","",IF($Q1525=0,"",INDEX(COA_Mapping!$E$7:$E$256,$Q1525)))</f>
        <v/>
      </c>
      <c r="O1525" s="38" t="n">
        <f aca="false">IF($A1525="",1,IF($Q1525=0,1,INDEX(COA_Mapping!$F$7:$F$256,$Q1525)))</f>
        <v>1</v>
      </c>
      <c r="P1525" s="34" t="str">
        <f aca="false">IF($A1525="","",$I1525*$O1525)</f>
        <v/>
      </c>
      <c r="Q1525" s="39" t="n">
        <f aca="false">IF($B1525="",0,IFERROR(MATCH($B1525,COA_Mapping!$A$7:$A$256,0),0))</f>
        <v>0</v>
      </c>
      <c r="R1525" s="39" t="n">
        <f aca="false">IF($A1525="",-1,IF($J1525=Setup!$B$7,1,IF($J1525=Setup!$B$9,0,-1)))</f>
        <v>-1</v>
      </c>
      <c r="S1525" s="35" t="n">
        <f aca="false">IF(OR($A1525="",$Q1525=0,$R1525=-1),0,$Q1525*1000+$R1525*100+$K1525)</f>
        <v>0</v>
      </c>
      <c r="T1525" s="37" t="str">
        <f aca="false">IF($A1525="","",IF($B1525="","NO ACCOUNT",IF($Q1525=0,"UNMAPPED",IF($R1525=-1,"OUTSIDE FY RANGE","OK"))))</f>
        <v/>
      </c>
      <c r="U1525" s="40" t="str">
        <f aca="false">IF($A1525="","",$B1525&amp;"|"&amp;TEXT($A1525,"yyyymmdd")&amp;"|"&amp;TEXT($I1525,"0.00"))</f>
        <v/>
      </c>
      <c r="V1525" s="35" t="str">
        <f aca="false">IF($A1525="","",COUNTIF($U$8:$U$5007,$U1525))</f>
        <v/>
      </c>
    </row>
    <row r="1526" customFormat="false" ht="15" hidden="false" customHeight="false" outlineLevel="0" collapsed="false">
      <c r="A1526" s="31"/>
      <c r="B1526" s="32"/>
      <c r="C1526" s="32"/>
      <c r="D1526" s="32"/>
      <c r="E1526" s="32"/>
      <c r="F1526" s="32"/>
      <c r="G1526" s="33"/>
      <c r="H1526" s="33"/>
      <c r="I1526" s="34" t="str">
        <f aca="false">IF($A1526="","",$G1526-$H1526)</f>
        <v/>
      </c>
      <c r="J1526" s="35" t="str">
        <f aca="false">IF($A1526="","",IF(Setup!$B$6=1,YEAR($A1526),YEAR($A1526)+IF(MONTH($A1526)&gt;=Setup!$B$6,1,0)))</f>
        <v/>
      </c>
      <c r="K1526" s="35" t="str">
        <f aca="false">IF($A1526="","",MOD(MONTH($A1526)-Setup!$B$6+12,12)+1)</f>
        <v/>
      </c>
      <c r="L1526" s="36" t="str">
        <f aca="false">IF($A1526="","",TEXT($A1526,"MMM-YY"))</f>
        <v/>
      </c>
      <c r="M1526" s="37" t="str">
        <f aca="false">IF($A1526="","",IF($Q1526=0,"UNMAPPED",INDEX(COA_Mapping!$C$7:$C$256,$Q1526)))</f>
        <v/>
      </c>
      <c r="N1526" s="38" t="str">
        <f aca="false">IF($A1526="","",IF($Q1526=0,"",INDEX(COA_Mapping!$E$7:$E$256,$Q1526)))</f>
        <v/>
      </c>
      <c r="O1526" s="38" t="n">
        <f aca="false">IF($A1526="",1,IF($Q1526=0,1,INDEX(COA_Mapping!$F$7:$F$256,$Q1526)))</f>
        <v>1</v>
      </c>
      <c r="P1526" s="34" t="str">
        <f aca="false">IF($A1526="","",$I1526*$O1526)</f>
        <v/>
      </c>
      <c r="Q1526" s="39" t="n">
        <f aca="false">IF($B1526="",0,IFERROR(MATCH($B1526,COA_Mapping!$A$7:$A$256,0),0))</f>
        <v>0</v>
      </c>
      <c r="R1526" s="39" t="n">
        <f aca="false">IF($A1526="",-1,IF($J1526=Setup!$B$7,1,IF($J1526=Setup!$B$9,0,-1)))</f>
        <v>-1</v>
      </c>
      <c r="S1526" s="35" t="n">
        <f aca="false">IF(OR($A1526="",$Q1526=0,$R1526=-1),0,$Q1526*1000+$R1526*100+$K1526)</f>
        <v>0</v>
      </c>
      <c r="T1526" s="37" t="str">
        <f aca="false">IF($A1526="","",IF($B1526="","NO ACCOUNT",IF($Q1526=0,"UNMAPPED",IF($R1526=-1,"OUTSIDE FY RANGE","OK"))))</f>
        <v/>
      </c>
      <c r="U1526" s="40" t="str">
        <f aca="false">IF($A1526="","",$B1526&amp;"|"&amp;TEXT($A1526,"yyyymmdd")&amp;"|"&amp;TEXT($I1526,"0.00"))</f>
        <v/>
      </c>
      <c r="V1526" s="35" t="str">
        <f aca="false">IF($A1526="","",COUNTIF($U$8:$U$5007,$U1526))</f>
        <v/>
      </c>
    </row>
    <row r="1527" customFormat="false" ht="15" hidden="false" customHeight="false" outlineLevel="0" collapsed="false">
      <c r="A1527" s="31"/>
      <c r="B1527" s="32"/>
      <c r="C1527" s="32"/>
      <c r="D1527" s="32"/>
      <c r="E1527" s="32"/>
      <c r="F1527" s="32"/>
      <c r="G1527" s="33"/>
      <c r="H1527" s="33"/>
      <c r="I1527" s="34" t="str">
        <f aca="false">IF($A1527="","",$G1527-$H1527)</f>
        <v/>
      </c>
      <c r="J1527" s="35" t="str">
        <f aca="false">IF($A1527="","",IF(Setup!$B$6=1,YEAR($A1527),YEAR($A1527)+IF(MONTH($A1527)&gt;=Setup!$B$6,1,0)))</f>
        <v/>
      </c>
      <c r="K1527" s="35" t="str">
        <f aca="false">IF($A1527="","",MOD(MONTH($A1527)-Setup!$B$6+12,12)+1)</f>
        <v/>
      </c>
      <c r="L1527" s="36" t="str">
        <f aca="false">IF($A1527="","",TEXT($A1527,"MMM-YY"))</f>
        <v/>
      </c>
      <c r="M1527" s="37" t="str">
        <f aca="false">IF($A1527="","",IF($Q1527=0,"UNMAPPED",INDEX(COA_Mapping!$C$7:$C$256,$Q1527)))</f>
        <v/>
      </c>
      <c r="N1527" s="38" t="str">
        <f aca="false">IF($A1527="","",IF($Q1527=0,"",INDEX(COA_Mapping!$E$7:$E$256,$Q1527)))</f>
        <v/>
      </c>
      <c r="O1527" s="38" t="n">
        <f aca="false">IF($A1527="",1,IF($Q1527=0,1,INDEX(COA_Mapping!$F$7:$F$256,$Q1527)))</f>
        <v>1</v>
      </c>
      <c r="P1527" s="34" t="str">
        <f aca="false">IF($A1527="","",$I1527*$O1527)</f>
        <v/>
      </c>
      <c r="Q1527" s="39" t="n">
        <f aca="false">IF($B1527="",0,IFERROR(MATCH($B1527,COA_Mapping!$A$7:$A$256,0),0))</f>
        <v>0</v>
      </c>
      <c r="R1527" s="39" t="n">
        <f aca="false">IF($A1527="",-1,IF($J1527=Setup!$B$7,1,IF($J1527=Setup!$B$9,0,-1)))</f>
        <v>-1</v>
      </c>
      <c r="S1527" s="35" t="n">
        <f aca="false">IF(OR($A1527="",$Q1527=0,$R1527=-1),0,$Q1527*1000+$R1527*100+$K1527)</f>
        <v>0</v>
      </c>
      <c r="T1527" s="37" t="str">
        <f aca="false">IF($A1527="","",IF($B1527="","NO ACCOUNT",IF($Q1527=0,"UNMAPPED",IF($R1527=-1,"OUTSIDE FY RANGE","OK"))))</f>
        <v/>
      </c>
      <c r="U1527" s="40" t="str">
        <f aca="false">IF($A1527="","",$B1527&amp;"|"&amp;TEXT($A1527,"yyyymmdd")&amp;"|"&amp;TEXT($I1527,"0.00"))</f>
        <v/>
      </c>
      <c r="V1527" s="35" t="str">
        <f aca="false">IF($A1527="","",COUNTIF($U$8:$U$5007,$U1527))</f>
        <v/>
      </c>
    </row>
    <row r="1528" customFormat="false" ht="15" hidden="false" customHeight="false" outlineLevel="0" collapsed="false">
      <c r="A1528" s="31"/>
      <c r="B1528" s="32"/>
      <c r="C1528" s="32"/>
      <c r="D1528" s="32"/>
      <c r="E1528" s="32"/>
      <c r="F1528" s="32"/>
      <c r="G1528" s="33"/>
      <c r="H1528" s="33"/>
      <c r="I1528" s="34" t="str">
        <f aca="false">IF($A1528="","",$G1528-$H1528)</f>
        <v/>
      </c>
      <c r="J1528" s="35" t="str">
        <f aca="false">IF($A1528="","",IF(Setup!$B$6=1,YEAR($A1528),YEAR($A1528)+IF(MONTH($A1528)&gt;=Setup!$B$6,1,0)))</f>
        <v/>
      </c>
      <c r="K1528" s="35" t="str">
        <f aca="false">IF($A1528="","",MOD(MONTH($A1528)-Setup!$B$6+12,12)+1)</f>
        <v/>
      </c>
      <c r="L1528" s="36" t="str">
        <f aca="false">IF($A1528="","",TEXT($A1528,"MMM-YY"))</f>
        <v/>
      </c>
      <c r="M1528" s="37" t="str">
        <f aca="false">IF($A1528="","",IF($Q1528=0,"UNMAPPED",INDEX(COA_Mapping!$C$7:$C$256,$Q1528)))</f>
        <v/>
      </c>
      <c r="N1528" s="38" t="str">
        <f aca="false">IF($A1528="","",IF($Q1528=0,"",INDEX(COA_Mapping!$E$7:$E$256,$Q1528)))</f>
        <v/>
      </c>
      <c r="O1528" s="38" t="n">
        <f aca="false">IF($A1528="",1,IF($Q1528=0,1,INDEX(COA_Mapping!$F$7:$F$256,$Q1528)))</f>
        <v>1</v>
      </c>
      <c r="P1528" s="34" t="str">
        <f aca="false">IF($A1528="","",$I1528*$O1528)</f>
        <v/>
      </c>
      <c r="Q1528" s="39" t="n">
        <f aca="false">IF($B1528="",0,IFERROR(MATCH($B1528,COA_Mapping!$A$7:$A$256,0),0))</f>
        <v>0</v>
      </c>
      <c r="R1528" s="39" t="n">
        <f aca="false">IF($A1528="",-1,IF($J1528=Setup!$B$7,1,IF($J1528=Setup!$B$9,0,-1)))</f>
        <v>-1</v>
      </c>
      <c r="S1528" s="35" t="n">
        <f aca="false">IF(OR($A1528="",$Q1528=0,$R1528=-1),0,$Q1528*1000+$R1528*100+$K1528)</f>
        <v>0</v>
      </c>
      <c r="T1528" s="37" t="str">
        <f aca="false">IF($A1528="","",IF($B1528="","NO ACCOUNT",IF($Q1528=0,"UNMAPPED",IF($R1528=-1,"OUTSIDE FY RANGE","OK"))))</f>
        <v/>
      </c>
      <c r="U1528" s="40" t="str">
        <f aca="false">IF($A1528="","",$B1528&amp;"|"&amp;TEXT($A1528,"yyyymmdd")&amp;"|"&amp;TEXT($I1528,"0.00"))</f>
        <v/>
      </c>
      <c r="V1528" s="35" t="str">
        <f aca="false">IF($A1528="","",COUNTIF($U$8:$U$5007,$U1528))</f>
        <v/>
      </c>
    </row>
    <row r="1529" customFormat="false" ht="15" hidden="false" customHeight="false" outlineLevel="0" collapsed="false">
      <c r="A1529" s="31"/>
      <c r="B1529" s="32"/>
      <c r="C1529" s="32"/>
      <c r="D1529" s="32"/>
      <c r="E1529" s="32"/>
      <c r="F1529" s="32"/>
      <c r="G1529" s="33"/>
      <c r="H1529" s="33"/>
      <c r="I1529" s="34" t="str">
        <f aca="false">IF($A1529="","",$G1529-$H1529)</f>
        <v/>
      </c>
      <c r="J1529" s="35" t="str">
        <f aca="false">IF($A1529="","",IF(Setup!$B$6=1,YEAR($A1529),YEAR($A1529)+IF(MONTH($A1529)&gt;=Setup!$B$6,1,0)))</f>
        <v/>
      </c>
      <c r="K1529" s="35" t="str">
        <f aca="false">IF($A1529="","",MOD(MONTH($A1529)-Setup!$B$6+12,12)+1)</f>
        <v/>
      </c>
      <c r="L1529" s="36" t="str">
        <f aca="false">IF($A1529="","",TEXT($A1529,"MMM-YY"))</f>
        <v/>
      </c>
      <c r="M1529" s="37" t="str">
        <f aca="false">IF($A1529="","",IF($Q1529=0,"UNMAPPED",INDEX(COA_Mapping!$C$7:$C$256,$Q1529)))</f>
        <v/>
      </c>
      <c r="N1529" s="38" t="str">
        <f aca="false">IF($A1529="","",IF($Q1529=0,"",INDEX(COA_Mapping!$E$7:$E$256,$Q1529)))</f>
        <v/>
      </c>
      <c r="O1529" s="38" t="n">
        <f aca="false">IF($A1529="",1,IF($Q1529=0,1,INDEX(COA_Mapping!$F$7:$F$256,$Q1529)))</f>
        <v>1</v>
      </c>
      <c r="P1529" s="34" t="str">
        <f aca="false">IF($A1529="","",$I1529*$O1529)</f>
        <v/>
      </c>
      <c r="Q1529" s="39" t="n">
        <f aca="false">IF($B1529="",0,IFERROR(MATCH($B1529,COA_Mapping!$A$7:$A$256,0),0))</f>
        <v>0</v>
      </c>
      <c r="R1529" s="39" t="n">
        <f aca="false">IF($A1529="",-1,IF($J1529=Setup!$B$7,1,IF($J1529=Setup!$B$9,0,-1)))</f>
        <v>-1</v>
      </c>
      <c r="S1529" s="35" t="n">
        <f aca="false">IF(OR($A1529="",$Q1529=0,$R1529=-1),0,$Q1529*1000+$R1529*100+$K1529)</f>
        <v>0</v>
      </c>
      <c r="T1529" s="37" t="str">
        <f aca="false">IF($A1529="","",IF($B1529="","NO ACCOUNT",IF($Q1529=0,"UNMAPPED",IF($R1529=-1,"OUTSIDE FY RANGE","OK"))))</f>
        <v/>
      </c>
      <c r="U1529" s="40" t="str">
        <f aca="false">IF($A1529="","",$B1529&amp;"|"&amp;TEXT($A1529,"yyyymmdd")&amp;"|"&amp;TEXT($I1529,"0.00"))</f>
        <v/>
      </c>
      <c r="V1529" s="35" t="str">
        <f aca="false">IF($A1529="","",COUNTIF($U$8:$U$5007,$U1529))</f>
        <v/>
      </c>
    </row>
    <row r="1530" customFormat="false" ht="15" hidden="false" customHeight="false" outlineLevel="0" collapsed="false">
      <c r="A1530" s="31"/>
      <c r="B1530" s="32"/>
      <c r="C1530" s="32"/>
      <c r="D1530" s="32"/>
      <c r="E1530" s="32"/>
      <c r="F1530" s="32"/>
      <c r="G1530" s="33"/>
      <c r="H1530" s="33"/>
      <c r="I1530" s="34" t="str">
        <f aca="false">IF($A1530="","",$G1530-$H1530)</f>
        <v/>
      </c>
      <c r="J1530" s="35" t="str">
        <f aca="false">IF($A1530="","",IF(Setup!$B$6=1,YEAR($A1530),YEAR($A1530)+IF(MONTH($A1530)&gt;=Setup!$B$6,1,0)))</f>
        <v/>
      </c>
      <c r="K1530" s="35" t="str">
        <f aca="false">IF($A1530="","",MOD(MONTH($A1530)-Setup!$B$6+12,12)+1)</f>
        <v/>
      </c>
      <c r="L1530" s="36" t="str">
        <f aca="false">IF($A1530="","",TEXT($A1530,"MMM-YY"))</f>
        <v/>
      </c>
      <c r="M1530" s="37" t="str">
        <f aca="false">IF($A1530="","",IF($Q1530=0,"UNMAPPED",INDEX(COA_Mapping!$C$7:$C$256,$Q1530)))</f>
        <v/>
      </c>
      <c r="N1530" s="38" t="str">
        <f aca="false">IF($A1530="","",IF($Q1530=0,"",INDEX(COA_Mapping!$E$7:$E$256,$Q1530)))</f>
        <v/>
      </c>
      <c r="O1530" s="38" t="n">
        <f aca="false">IF($A1530="",1,IF($Q1530=0,1,INDEX(COA_Mapping!$F$7:$F$256,$Q1530)))</f>
        <v>1</v>
      </c>
      <c r="P1530" s="34" t="str">
        <f aca="false">IF($A1530="","",$I1530*$O1530)</f>
        <v/>
      </c>
      <c r="Q1530" s="39" t="n">
        <f aca="false">IF($B1530="",0,IFERROR(MATCH($B1530,COA_Mapping!$A$7:$A$256,0),0))</f>
        <v>0</v>
      </c>
      <c r="R1530" s="39" t="n">
        <f aca="false">IF($A1530="",-1,IF($J1530=Setup!$B$7,1,IF($J1530=Setup!$B$9,0,-1)))</f>
        <v>-1</v>
      </c>
      <c r="S1530" s="35" t="n">
        <f aca="false">IF(OR($A1530="",$Q1530=0,$R1530=-1),0,$Q1530*1000+$R1530*100+$K1530)</f>
        <v>0</v>
      </c>
      <c r="T1530" s="37" t="str">
        <f aca="false">IF($A1530="","",IF($B1530="","NO ACCOUNT",IF($Q1530=0,"UNMAPPED",IF($R1530=-1,"OUTSIDE FY RANGE","OK"))))</f>
        <v/>
      </c>
      <c r="U1530" s="40" t="str">
        <f aca="false">IF($A1530="","",$B1530&amp;"|"&amp;TEXT($A1530,"yyyymmdd")&amp;"|"&amp;TEXT($I1530,"0.00"))</f>
        <v/>
      </c>
      <c r="V1530" s="35" t="str">
        <f aca="false">IF($A1530="","",COUNTIF($U$8:$U$5007,$U1530))</f>
        <v/>
      </c>
    </row>
    <row r="1531" customFormat="false" ht="15" hidden="false" customHeight="false" outlineLevel="0" collapsed="false">
      <c r="A1531" s="31"/>
      <c r="B1531" s="32"/>
      <c r="C1531" s="32"/>
      <c r="D1531" s="32"/>
      <c r="E1531" s="32"/>
      <c r="F1531" s="32"/>
      <c r="G1531" s="33"/>
      <c r="H1531" s="33"/>
      <c r="I1531" s="34" t="str">
        <f aca="false">IF($A1531="","",$G1531-$H1531)</f>
        <v/>
      </c>
      <c r="J1531" s="35" t="str">
        <f aca="false">IF($A1531="","",IF(Setup!$B$6=1,YEAR($A1531),YEAR($A1531)+IF(MONTH($A1531)&gt;=Setup!$B$6,1,0)))</f>
        <v/>
      </c>
      <c r="K1531" s="35" t="str">
        <f aca="false">IF($A1531="","",MOD(MONTH($A1531)-Setup!$B$6+12,12)+1)</f>
        <v/>
      </c>
      <c r="L1531" s="36" t="str">
        <f aca="false">IF($A1531="","",TEXT($A1531,"MMM-YY"))</f>
        <v/>
      </c>
      <c r="M1531" s="37" t="str">
        <f aca="false">IF($A1531="","",IF($Q1531=0,"UNMAPPED",INDEX(COA_Mapping!$C$7:$C$256,$Q1531)))</f>
        <v/>
      </c>
      <c r="N1531" s="38" t="str">
        <f aca="false">IF($A1531="","",IF($Q1531=0,"",INDEX(COA_Mapping!$E$7:$E$256,$Q1531)))</f>
        <v/>
      </c>
      <c r="O1531" s="38" t="n">
        <f aca="false">IF($A1531="",1,IF($Q1531=0,1,INDEX(COA_Mapping!$F$7:$F$256,$Q1531)))</f>
        <v>1</v>
      </c>
      <c r="P1531" s="34" t="str">
        <f aca="false">IF($A1531="","",$I1531*$O1531)</f>
        <v/>
      </c>
      <c r="Q1531" s="39" t="n">
        <f aca="false">IF($B1531="",0,IFERROR(MATCH($B1531,COA_Mapping!$A$7:$A$256,0),0))</f>
        <v>0</v>
      </c>
      <c r="R1531" s="39" t="n">
        <f aca="false">IF($A1531="",-1,IF($J1531=Setup!$B$7,1,IF($J1531=Setup!$B$9,0,-1)))</f>
        <v>-1</v>
      </c>
      <c r="S1531" s="35" t="n">
        <f aca="false">IF(OR($A1531="",$Q1531=0,$R1531=-1),0,$Q1531*1000+$R1531*100+$K1531)</f>
        <v>0</v>
      </c>
      <c r="T1531" s="37" t="str">
        <f aca="false">IF($A1531="","",IF($B1531="","NO ACCOUNT",IF($Q1531=0,"UNMAPPED",IF($R1531=-1,"OUTSIDE FY RANGE","OK"))))</f>
        <v/>
      </c>
      <c r="U1531" s="40" t="str">
        <f aca="false">IF($A1531="","",$B1531&amp;"|"&amp;TEXT($A1531,"yyyymmdd")&amp;"|"&amp;TEXT($I1531,"0.00"))</f>
        <v/>
      </c>
      <c r="V1531" s="35" t="str">
        <f aca="false">IF($A1531="","",COUNTIF($U$8:$U$5007,$U1531))</f>
        <v/>
      </c>
    </row>
    <row r="1532" customFormat="false" ht="15" hidden="false" customHeight="false" outlineLevel="0" collapsed="false">
      <c r="A1532" s="31"/>
      <c r="B1532" s="32"/>
      <c r="C1532" s="32"/>
      <c r="D1532" s="32"/>
      <c r="E1532" s="32"/>
      <c r="F1532" s="32"/>
      <c r="G1532" s="33"/>
      <c r="H1532" s="33"/>
      <c r="I1532" s="34" t="str">
        <f aca="false">IF($A1532="","",$G1532-$H1532)</f>
        <v/>
      </c>
      <c r="J1532" s="35" t="str">
        <f aca="false">IF($A1532="","",IF(Setup!$B$6=1,YEAR($A1532),YEAR($A1532)+IF(MONTH($A1532)&gt;=Setup!$B$6,1,0)))</f>
        <v/>
      </c>
      <c r="K1532" s="35" t="str">
        <f aca="false">IF($A1532="","",MOD(MONTH($A1532)-Setup!$B$6+12,12)+1)</f>
        <v/>
      </c>
      <c r="L1532" s="36" t="str">
        <f aca="false">IF($A1532="","",TEXT($A1532,"MMM-YY"))</f>
        <v/>
      </c>
      <c r="M1532" s="37" t="str">
        <f aca="false">IF($A1532="","",IF($Q1532=0,"UNMAPPED",INDEX(COA_Mapping!$C$7:$C$256,$Q1532)))</f>
        <v/>
      </c>
      <c r="N1532" s="38" t="str">
        <f aca="false">IF($A1532="","",IF($Q1532=0,"",INDEX(COA_Mapping!$E$7:$E$256,$Q1532)))</f>
        <v/>
      </c>
      <c r="O1532" s="38" t="n">
        <f aca="false">IF($A1532="",1,IF($Q1532=0,1,INDEX(COA_Mapping!$F$7:$F$256,$Q1532)))</f>
        <v>1</v>
      </c>
      <c r="P1532" s="34" t="str">
        <f aca="false">IF($A1532="","",$I1532*$O1532)</f>
        <v/>
      </c>
      <c r="Q1532" s="39" t="n">
        <f aca="false">IF($B1532="",0,IFERROR(MATCH($B1532,COA_Mapping!$A$7:$A$256,0),0))</f>
        <v>0</v>
      </c>
      <c r="R1532" s="39" t="n">
        <f aca="false">IF($A1532="",-1,IF($J1532=Setup!$B$7,1,IF($J1532=Setup!$B$9,0,-1)))</f>
        <v>-1</v>
      </c>
      <c r="S1532" s="35" t="n">
        <f aca="false">IF(OR($A1532="",$Q1532=0,$R1532=-1),0,$Q1532*1000+$R1532*100+$K1532)</f>
        <v>0</v>
      </c>
      <c r="T1532" s="37" t="str">
        <f aca="false">IF($A1532="","",IF($B1532="","NO ACCOUNT",IF($Q1532=0,"UNMAPPED",IF($R1532=-1,"OUTSIDE FY RANGE","OK"))))</f>
        <v/>
      </c>
      <c r="U1532" s="40" t="str">
        <f aca="false">IF($A1532="","",$B1532&amp;"|"&amp;TEXT($A1532,"yyyymmdd")&amp;"|"&amp;TEXT($I1532,"0.00"))</f>
        <v/>
      </c>
      <c r="V1532" s="35" t="str">
        <f aca="false">IF($A1532="","",COUNTIF($U$8:$U$5007,$U1532))</f>
        <v/>
      </c>
    </row>
    <row r="1533" customFormat="false" ht="15" hidden="false" customHeight="false" outlineLevel="0" collapsed="false">
      <c r="A1533" s="31"/>
      <c r="B1533" s="32"/>
      <c r="C1533" s="32"/>
      <c r="D1533" s="32"/>
      <c r="E1533" s="32"/>
      <c r="F1533" s="32"/>
      <c r="G1533" s="33"/>
      <c r="H1533" s="33"/>
      <c r="I1533" s="34" t="str">
        <f aca="false">IF($A1533="","",$G1533-$H1533)</f>
        <v/>
      </c>
      <c r="J1533" s="35" t="str">
        <f aca="false">IF($A1533="","",IF(Setup!$B$6=1,YEAR($A1533),YEAR($A1533)+IF(MONTH($A1533)&gt;=Setup!$B$6,1,0)))</f>
        <v/>
      </c>
      <c r="K1533" s="35" t="str">
        <f aca="false">IF($A1533="","",MOD(MONTH($A1533)-Setup!$B$6+12,12)+1)</f>
        <v/>
      </c>
      <c r="L1533" s="36" t="str">
        <f aca="false">IF($A1533="","",TEXT($A1533,"MMM-YY"))</f>
        <v/>
      </c>
      <c r="M1533" s="37" t="str">
        <f aca="false">IF($A1533="","",IF($Q1533=0,"UNMAPPED",INDEX(COA_Mapping!$C$7:$C$256,$Q1533)))</f>
        <v/>
      </c>
      <c r="N1533" s="38" t="str">
        <f aca="false">IF($A1533="","",IF($Q1533=0,"",INDEX(COA_Mapping!$E$7:$E$256,$Q1533)))</f>
        <v/>
      </c>
      <c r="O1533" s="38" t="n">
        <f aca="false">IF($A1533="",1,IF($Q1533=0,1,INDEX(COA_Mapping!$F$7:$F$256,$Q1533)))</f>
        <v>1</v>
      </c>
      <c r="P1533" s="34" t="str">
        <f aca="false">IF($A1533="","",$I1533*$O1533)</f>
        <v/>
      </c>
      <c r="Q1533" s="39" t="n">
        <f aca="false">IF($B1533="",0,IFERROR(MATCH($B1533,COA_Mapping!$A$7:$A$256,0),0))</f>
        <v>0</v>
      </c>
      <c r="R1533" s="39" t="n">
        <f aca="false">IF($A1533="",-1,IF($J1533=Setup!$B$7,1,IF($J1533=Setup!$B$9,0,-1)))</f>
        <v>-1</v>
      </c>
      <c r="S1533" s="35" t="n">
        <f aca="false">IF(OR($A1533="",$Q1533=0,$R1533=-1),0,$Q1533*1000+$R1533*100+$K1533)</f>
        <v>0</v>
      </c>
      <c r="T1533" s="37" t="str">
        <f aca="false">IF($A1533="","",IF($B1533="","NO ACCOUNT",IF($Q1533=0,"UNMAPPED",IF($R1533=-1,"OUTSIDE FY RANGE","OK"))))</f>
        <v/>
      </c>
      <c r="U1533" s="40" t="str">
        <f aca="false">IF($A1533="","",$B1533&amp;"|"&amp;TEXT($A1533,"yyyymmdd")&amp;"|"&amp;TEXT($I1533,"0.00"))</f>
        <v/>
      </c>
      <c r="V1533" s="35" t="str">
        <f aca="false">IF($A1533="","",COUNTIF($U$8:$U$5007,$U1533))</f>
        <v/>
      </c>
    </row>
    <row r="1534" customFormat="false" ht="15" hidden="false" customHeight="false" outlineLevel="0" collapsed="false">
      <c r="A1534" s="31"/>
      <c r="B1534" s="32"/>
      <c r="C1534" s="32"/>
      <c r="D1534" s="32"/>
      <c r="E1534" s="32"/>
      <c r="F1534" s="32"/>
      <c r="G1534" s="33"/>
      <c r="H1534" s="33"/>
      <c r="I1534" s="34" t="str">
        <f aca="false">IF($A1534="","",$G1534-$H1534)</f>
        <v/>
      </c>
      <c r="J1534" s="35" t="str">
        <f aca="false">IF($A1534="","",IF(Setup!$B$6=1,YEAR($A1534),YEAR($A1534)+IF(MONTH($A1534)&gt;=Setup!$B$6,1,0)))</f>
        <v/>
      </c>
      <c r="K1534" s="35" t="str">
        <f aca="false">IF($A1534="","",MOD(MONTH($A1534)-Setup!$B$6+12,12)+1)</f>
        <v/>
      </c>
      <c r="L1534" s="36" t="str">
        <f aca="false">IF($A1534="","",TEXT($A1534,"MMM-YY"))</f>
        <v/>
      </c>
      <c r="M1534" s="37" t="str">
        <f aca="false">IF($A1534="","",IF($Q1534=0,"UNMAPPED",INDEX(COA_Mapping!$C$7:$C$256,$Q1534)))</f>
        <v/>
      </c>
      <c r="N1534" s="38" t="str">
        <f aca="false">IF($A1534="","",IF($Q1534=0,"",INDEX(COA_Mapping!$E$7:$E$256,$Q1534)))</f>
        <v/>
      </c>
      <c r="O1534" s="38" t="n">
        <f aca="false">IF($A1534="",1,IF($Q1534=0,1,INDEX(COA_Mapping!$F$7:$F$256,$Q1534)))</f>
        <v>1</v>
      </c>
      <c r="P1534" s="34" t="str">
        <f aca="false">IF($A1534="","",$I1534*$O1534)</f>
        <v/>
      </c>
      <c r="Q1534" s="39" t="n">
        <f aca="false">IF($B1534="",0,IFERROR(MATCH($B1534,COA_Mapping!$A$7:$A$256,0),0))</f>
        <v>0</v>
      </c>
      <c r="R1534" s="39" t="n">
        <f aca="false">IF($A1534="",-1,IF($J1534=Setup!$B$7,1,IF($J1534=Setup!$B$9,0,-1)))</f>
        <v>-1</v>
      </c>
      <c r="S1534" s="35" t="n">
        <f aca="false">IF(OR($A1534="",$Q1534=0,$R1534=-1),0,$Q1534*1000+$R1534*100+$K1534)</f>
        <v>0</v>
      </c>
      <c r="T1534" s="37" t="str">
        <f aca="false">IF($A1534="","",IF($B1534="","NO ACCOUNT",IF($Q1534=0,"UNMAPPED",IF($R1534=-1,"OUTSIDE FY RANGE","OK"))))</f>
        <v/>
      </c>
      <c r="U1534" s="40" t="str">
        <f aca="false">IF($A1534="","",$B1534&amp;"|"&amp;TEXT($A1534,"yyyymmdd")&amp;"|"&amp;TEXT($I1534,"0.00"))</f>
        <v/>
      </c>
      <c r="V1534" s="35" t="str">
        <f aca="false">IF($A1534="","",COUNTIF($U$8:$U$5007,$U1534))</f>
        <v/>
      </c>
    </row>
    <row r="1535" customFormat="false" ht="15" hidden="false" customHeight="false" outlineLevel="0" collapsed="false">
      <c r="A1535" s="31"/>
      <c r="B1535" s="32"/>
      <c r="C1535" s="32"/>
      <c r="D1535" s="32"/>
      <c r="E1535" s="32"/>
      <c r="F1535" s="32"/>
      <c r="G1535" s="33"/>
      <c r="H1535" s="33"/>
      <c r="I1535" s="34" t="str">
        <f aca="false">IF($A1535="","",$G1535-$H1535)</f>
        <v/>
      </c>
      <c r="J1535" s="35" t="str">
        <f aca="false">IF($A1535="","",IF(Setup!$B$6=1,YEAR($A1535),YEAR($A1535)+IF(MONTH($A1535)&gt;=Setup!$B$6,1,0)))</f>
        <v/>
      </c>
      <c r="K1535" s="35" t="str">
        <f aca="false">IF($A1535="","",MOD(MONTH($A1535)-Setup!$B$6+12,12)+1)</f>
        <v/>
      </c>
      <c r="L1535" s="36" t="str">
        <f aca="false">IF($A1535="","",TEXT($A1535,"MMM-YY"))</f>
        <v/>
      </c>
      <c r="M1535" s="37" t="str">
        <f aca="false">IF($A1535="","",IF($Q1535=0,"UNMAPPED",INDEX(COA_Mapping!$C$7:$C$256,$Q1535)))</f>
        <v/>
      </c>
      <c r="N1535" s="38" t="str">
        <f aca="false">IF($A1535="","",IF($Q1535=0,"",INDEX(COA_Mapping!$E$7:$E$256,$Q1535)))</f>
        <v/>
      </c>
      <c r="O1535" s="38" t="n">
        <f aca="false">IF($A1535="",1,IF($Q1535=0,1,INDEX(COA_Mapping!$F$7:$F$256,$Q1535)))</f>
        <v>1</v>
      </c>
      <c r="P1535" s="34" t="str">
        <f aca="false">IF($A1535="","",$I1535*$O1535)</f>
        <v/>
      </c>
      <c r="Q1535" s="39" t="n">
        <f aca="false">IF($B1535="",0,IFERROR(MATCH($B1535,COA_Mapping!$A$7:$A$256,0),0))</f>
        <v>0</v>
      </c>
      <c r="R1535" s="39" t="n">
        <f aca="false">IF($A1535="",-1,IF($J1535=Setup!$B$7,1,IF($J1535=Setup!$B$9,0,-1)))</f>
        <v>-1</v>
      </c>
      <c r="S1535" s="35" t="n">
        <f aca="false">IF(OR($A1535="",$Q1535=0,$R1535=-1),0,$Q1535*1000+$R1535*100+$K1535)</f>
        <v>0</v>
      </c>
      <c r="T1535" s="37" t="str">
        <f aca="false">IF($A1535="","",IF($B1535="","NO ACCOUNT",IF($Q1535=0,"UNMAPPED",IF($R1535=-1,"OUTSIDE FY RANGE","OK"))))</f>
        <v/>
      </c>
      <c r="U1535" s="40" t="str">
        <f aca="false">IF($A1535="","",$B1535&amp;"|"&amp;TEXT($A1535,"yyyymmdd")&amp;"|"&amp;TEXT($I1535,"0.00"))</f>
        <v/>
      </c>
      <c r="V1535" s="35" t="str">
        <f aca="false">IF($A1535="","",COUNTIF($U$8:$U$5007,$U1535))</f>
        <v/>
      </c>
    </row>
    <row r="1536" customFormat="false" ht="15" hidden="false" customHeight="false" outlineLevel="0" collapsed="false">
      <c r="A1536" s="31"/>
      <c r="B1536" s="32"/>
      <c r="C1536" s="32"/>
      <c r="D1536" s="32"/>
      <c r="E1536" s="32"/>
      <c r="F1536" s="32"/>
      <c r="G1536" s="33"/>
      <c r="H1536" s="33"/>
      <c r="I1536" s="34" t="str">
        <f aca="false">IF($A1536="","",$G1536-$H1536)</f>
        <v/>
      </c>
      <c r="J1536" s="35" t="str">
        <f aca="false">IF($A1536="","",IF(Setup!$B$6=1,YEAR($A1536),YEAR($A1536)+IF(MONTH($A1536)&gt;=Setup!$B$6,1,0)))</f>
        <v/>
      </c>
      <c r="K1536" s="35" t="str">
        <f aca="false">IF($A1536="","",MOD(MONTH($A1536)-Setup!$B$6+12,12)+1)</f>
        <v/>
      </c>
      <c r="L1536" s="36" t="str">
        <f aca="false">IF($A1536="","",TEXT($A1536,"MMM-YY"))</f>
        <v/>
      </c>
      <c r="M1536" s="37" t="str">
        <f aca="false">IF($A1536="","",IF($Q1536=0,"UNMAPPED",INDEX(COA_Mapping!$C$7:$C$256,$Q1536)))</f>
        <v/>
      </c>
      <c r="N1536" s="38" t="str">
        <f aca="false">IF($A1536="","",IF($Q1536=0,"",INDEX(COA_Mapping!$E$7:$E$256,$Q1536)))</f>
        <v/>
      </c>
      <c r="O1536" s="38" t="n">
        <f aca="false">IF($A1536="",1,IF($Q1536=0,1,INDEX(COA_Mapping!$F$7:$F$256,$Q1536)))</f>
        <v>1</v>
      </c>
      <c r="P1536" s="34" t="str">
        <f aca="false">IF($A1536="","",$I1536*$O1536)</f>
        <v/>
      </c>
      <c r="Q1536" s="39" t="n">
        <f aca="false">IF($B1536="",0,IFERROR(MATCH($B1536,COA_Mapping!$A$7:$A$256,0),0))</f>
        <v>0</v>
      </c>
      <c r="R1536" s="39" t="n">
        <f aca="false">IF($A1536="",-1,IF($J1536=Setup!$B$7,1,IF($J1536=Setup!$B$9,0,-1)))</f>
        <v>-1</v>
      </c>
      <c r="S1536" s="35" t="n">
        <f aca="false">IF(OR($A1536="",$Q1536=0,$R1536=-1),0,$Q1536*1000+$R1536*100+$K1536)</f>
        <v>0</v>
      </c>
      <c r="T1536" s="37" t="str">
        <f aca="false">IF($A1536="","",IF($B1536="","NO ACCOUNT",IF($Q1536=0,"UNMAPPED",IF($R1536=-1,"OUTSIDE FY RANGE","OK"))))</f>
        <v/>
      </c>
      <c r="U1536" s="40" t="str">
        <f aca="false">IF($A1536="","",$B1536&amp;"|"&amp;TEXT($A1536,"yyyymmdd")&amp;"|"&amp;TEXT($I1536,"0.00"))</f>
        <v/>
      </c>
      <c r="V1536" s="35" t="str">
        <f aca="false">IF($A1536="","",COUNTIF($U$8:$U$5007,$U1536))</f>
        <v/>
      </c>
    </row>
    <row r="1537" customFormat="false" ht="15" hidden="false" customHeight="false" outlineLevel="0" collapsed="false">
      <c r="A1537" s="31"/>
      <c r="B1537" s="32"/>
      <c r="C1537" s="32"/>
      <c r="D1537" s="32"/>
      <c r="E1537" s="32"/>
      <c r="F1537" s="32"/>
      <c r="G1537" s="33"/>
      <c r="H1537" s="33"/>
      <c r="I1537" s="34" t="str">
        <f aca="false">IF($A1537="","",$G1537-$H1537)</f>
        <v/>
      </c>
      <c r="J1537" s="35" t="str">
        <f aca="false">IF($A1537="","",IF(Setup!$B$6=1,YEAR($A1537),YEAR($A1537)+IF(MONTH($A1537)&gt;=Setup!$B$6,1,0)))</f>
        <v/>
      </c>
      <c r="K1537" s="35" t="str">
        <f aca="false">IF($A1537="","",MOD(MONTH($A1537)-Setup!$B$6+12,12)+1)</f>
        <v/>
      </c>
      <c r="L1537" s="36" t="str">
        <f aca="false">IF($A1537="","",TEXT($A1537,"MMM-YY"))</f>
        <v/>
      </c>
      <c r="M1537" s="37" t="str">
        <f aca="false">IF($A1537="","",IF($Q1537=0,"UNMAPPED",INDEX(COA_Mapping!$C$7:$C$256,$Q1537)))</f>
        <v/>
      </c>
      <c r="N1537" s="38" t="str">
        <f aca="false">IF($A1537="","",IF($Q1537=0,"",INDEX(COA_Mapping!$E$7:$E$256,$Q1537)))</f>
        <v/>
      </c>
      <c r="O1537" s="38" t="n">
        <f aca="false">IF($A1537="",1,IF($Q1537=0,1,INDEX(COA_Mapping!$F$7:$F$256,$Q1537)))</f>
        <v>1</v>
      </c>
      <c r="P1537" s="34" t="str">
        <f aca="false">IF($A1537="","",$I1537*$O1537)</f>
        <v/>
      </c>
      <c r="Q1537" s="39" t="n">
        <f aca="false">IF($B1537="",0,IFERROR(MATCH($B1537,COA_Mapping!$A$7:$A$256,0),0))</f>
        <v>0</v>
      </c>
      <c r="R1537" s="39" t="n">
        <f aca="false">IF($A1537="",-1,IF($J1537=Setup!$B$7,1,IF($J1537=Setup!$B$9,0,-1)))</f>
        <v>-1</v>
      </c>
      <c r="S1537" s="35" t="n">
        <f aca="false">IF(OR($A1537="",$Q1537=0,$R1537=-1),0,$Q1537*1000+$R1537*100+$K1537)</f>
        <v>0</v>
      </c>
      <c r="T1537" s="37" t="str">
        <f aca="false">IF($A1537="","",IF($B1537="","NO ACCOUNT",IF($Q1537=0,"UNMAPPED",IF($R1537=-1,"OUTSIDE FY RANGE","OK"))))</f>
        <v/>
      </c>
      <c r="U1537" s="40" t="str">
        <f aca="false">IF($A1537="","",$B1537&amp;"|"&amp;TEXT($A1537,"yyyymmdd")&amp;"|"&amp;TEXT($I1537,"0.00"))</f>
        <v/>
      </c>
      <c r="V1537" s="35" t="str">
        <f aca="false">IF($A1537="","",COUNTIF($U$8:$U$5007,$U1537))</f>
        <v/>
      </c>
    </row>
    <row r="1538" customFormat="false" ht="15" hidden="false" customHeight="false" outlineLevel="0" collapsed="false">
      <c r="A1538" s="31"/>
      <c r="B1538" s="32"/>
      <c r="C1538" s="32"/>
      <c r="D1538" s="32"/>
      <c r="E1538" s="32"/>
      <c r="F1538" s="32"/>
      <c r="G1538" s="33"/>
      <c r="H1538" s="33"/>
      <c r="I1538" s="34" t="str">
        <f aca="false">IF($A1538="","",$G1538-$H1538)</f>
        <v/>
      </c>
      <c r="J1538" s="35" t="str">
        <f aca="false">IF($A1538="","",IF(Setup!$B$6=1,YEAR($A1538),YEAR($A1538)+IF(MONTH($A1538)&gt;=Setup!$B$6,1,0)))</f>
        <v/>
      </c>
      <c r="K1538" s="35" t="str">
        <f aca="false">IF($A1538="","",MOD(MONTH($A1538)-Setup!$B$6+12,12)+1)</f>
        <v/>
      </c>
      <c r="L1538" s="36" t="str">
        <f aca="false">IF($A1538="","",TEXT($A1538,"MMM-YY"))</f>
        <v/>
      </c>
      <c r="M1538" s="37" t="str">
        <f aca="false">IF($A1538="","",IF($Q1538=0,"UNMAPPED",INDEX(COA_Mapping!$C$7:$C$256,$Q1538)))</f>
        <v/>
      </c>
      <c r="N1538" s="38" t="str">
        <f aca="false">IF($A1538="","",IF($Q1538=0,"",INDEX(COA_Mapping!$E$7:$E$256,$Q1538)))</f>
        <v/>
      </c>
      <c r="O1538" s="38" t="n">
        <f aca="false">IF($A1538="",1,IF($Q1538=0,1,INDEX(COA_Mapping!$F$7:$F$256,$Q1538)))</f>
        <v>1</v>
      </c>
      <c r="P1538" s="34" t="str">
        <f aca="false">IF($A1538="","",$I1538*$O1538)</f>
        <v/>
      </c>
      <c r="Q1538" s="39" t="n">
        <f aca="false">IF($B1538="",0,IFERROR(MATCH($B1538,COA_Mapping!$A$7:$A$256,0),0))</f>
        <v>0</v>
      </c>
      <c r="R1538" s="39" t="n">
        <f aca="false">IF($A1538="",-1,IF($J1538=Setup!$B$7,1,IF($J1538=Setup!$B$9,0,-1)))</f>
        <v>-1</v>
      </c>
      <c r="S1538" s="35" t="n">
        <f aca="false">IF(OR($A1538="",$Q1538=0,$R1538=-1),0,$Q1538*1000+$R1538*100+$K1538)</f>
        <v>0</v>
      </c>
      <c r="T1538" s="37" t="str">
        <f aca="false">IF($A1538="","",IF($B1538="","NO ACCOUNT",IF($Q1538=0,"UNMAPPED",IF($R1538=-1,"OUTSIDE FY RANGE","OK"))))</f>
        <v/>
      </c>
      <c r="U1538" s="40" t="str">
        <f aca="false">IF($A1538="","",$B1538&amp;"|"&amp;TEXT($A1538,"yyyymmdd")&amp;"|"&amp;TEXT($I1538,"0.00"))</f>
        <v/>
      </c>
      <c r="V1538" s="35" t="str">
        <f aca="false">IF($A1538="","",COUNTIF($U$8:$U$5007,$U1538))</f>
        <v/>
      </c>
    </row>
    <row r="1539" customFormat="false" ht="15" hidden="false" customHeight="false" outlineLevel="0" collapsed="false">
      <c r="A1539" s="31"/>
      <c r="B1539" s="32"/>
      <c r="C1539" s="32"/>
      <c r="D1539" s="32"/>
      <c r="E1539" s="32"/>
      <c r="F1539" s="32"/>
      <c r="G1539" s="33"/>
      <c r="H1539" s="33"/>
      <c r="I1539" s="34" t="str">
        <f aca="false">IF($A1539="","",$G1539-$H1539)</f>
        <v/>
      </c>
      <c r="J1539" s="35" t="str">
        <f aca="false">IF($A1539="","",IF(Setup!$B$6=1,YEAR($A1539),YEAR($A1539)+IF(MONTH($A1539)&gt;=Setup!$B$6,1,0)))</f>
        <v/>
      </c>
      <c r="K1539" s="35" t="str">
        <f aca="false">IF($A1539="","",MOD(MONTH($A1539)-Setup!$B$6+12,12)+1)</f>
        <v/>
      </c>
      <c r="L1539" s="36" t="str">
        <f aca="false">IF($A1539="","",TEXT($A1539,"MMM-YY"))</f>
        <v/>
      </c>
      <c r="M1539" s="37" t="str">
        <f aca="false">IF($A1539="","",IF($Q1539=0,"UNMAPPED",INDEX(COA_Mapping!$C$7:$C$256,$Q1539)))</f>
        <v/>
      </c>
      <c r="N1539" s="38" t="str">
        <f aca="false">IF($A1539="","",IF($Q1539=0,"",INDEX(COA_Mapping!$E$7:$E$256,$Q1539)))</f>
        <v/>
      </c>
      <c r="O1539" s="38" t="n">
        <f aca="false">IF($A1539="",1,IF($Q1539=0,1,INDEX(COA_Mapping!$F$7:$F$256,$Q1539)))</f>
        <v>1</v>
      </c>
      <c r="P1539" s="34" t="str">
        <f aca="false">IF($A1539="","",$I1539*$O1539)</f>
        <v/>
      </c>
      <c r="Q1539" s="39" t="n">
        <f aca="false">IF($B1539="",0,IFERROR(MATCH($B1539,COA_Mapping!$A$7:$A$256,0),0))</f>
        <v>0</v>
      </c>
      <c r="R1539" s="39" t="n">
        <f aca="false">IF($A1539="",-1,IF($J1539=Setup!$B$7,1,IF($J1539=Setup!$B$9,0,-1)))</f>
        <v>-1</v>
      </c>
      <c r="S1539" s="35" t="n">
        <f aca="false">IF(OR($A1539="",$Q1539=0,$R1539=-1),0,$Q1539*1000+$R1539*100+$K1539)</f>
        <v>0</v>
      </c>
      <c r="T1539" s="37" t="str">
        <f aca="false">IF($A1539="","",IF($B1539="","NO ACCOUNT",IF($Q1539=0,"UNMAPPED",IF($R1539=-1,"OUTSIDE FY RANGE","OK"))))</f>
        <v/>
      </c>
      <c r="U1539" s="40" t="str">
        <f aca="false">IF($A1539="","",$B1539&amp;"|"&amp;TEXT($A1539,"yyyymmdd")&amp;"|"&amp;TEXT($I1539,"0.00"))</f>
        <v/>
      </c>
      <c r="V1539" s="35" t="str">
        <f aca="false">IF($A1539="","",COUNTIF($U$8:$U$5007,$U1539))</f>
        <v/>
      </c>
    </row>
    <row r="1540" customFormat="false" ht="15" hidden="false" customHeight="false" outlineLevel="0" collapsed="false">
      <c r="A1540" s="31"/>
      <c r="B1540" s="32"/>
      <c r="C1540" s="32"/>
      <c r="D1540" s="32"/>
      <c r="E1540" s="32"/>
      <c r="F1540" s="32"/>
      <c r="G1540" s="33"/>
      <c r="H1540" s="33"/>
      <c r="I1540" s="34" t="str">
        <f aca="false">IF($A1540="","",$G1540-$H1540)</f>
        <v/>
      </c>
      <c r="J1540" s="35" t="str">
        <f aca="false">IF($A1540="","",IF(Setup!$B$6=1,YEAR($A1540),YEAR($A1540)+IF(MONTH($A1540)&gt;=Setup!$B$6,1,0)))</f>
        <v/>
      </c>
      <c r="K1540" s="35" t="str">
        <f aca="false">IF($A1540="","",MOD(MONTH($A1540)-Setup!$B$6+12,12)+1)</f>
        <v/>
      </c>
      <c r="L1540" s="36" t="str">
        <f aca="false">IF($A1540="","",TEXT($A1540,"MMM-YY"))</f>
        <v/>
      </c>
      <c r="M1540" s="37" t="str">
        <f aca="false">IF($A1540="","",IF($Q1540=0,"UNMAPPED",INDEX(COA_Mapping!$C$7:$C$256,$Q1540)))</f>
        <v/>
      </c>
      <c r="N1540" s="38" t="str">
        <f aca="false">IF($A1540="","",IF($Q1540=0,"",INDEX(COA_Mapping!$E$7:$E$256,$Q1540)))</f>
        <v/>
      </c>
      <c r="O1540" s="38" t="n">
        <f aca="false">IF($A1540="",1,IF($Q1540=0,1,INDEX(COA_Mapping!$F$7:$F$256,$Q1540)))</f>
        <v>1</v>
      </c>
      <c r="P1540" s="34" t="str">
        <f aca="false">IF($A1540="","",$I1540*$O1540)</f>
        <v/>
      </c>
      <c r="Q1540" s="39" t="n">
        <f aca="false">IF($B1540="",0,IFERROR(MATCH($B1540,COA_Mapping!$A$7:$A$256,0),0))</f>
        <v>0</v>
      </c>
      <c r="R1540" s="39" t="n">
        <f aca="false">IF($A1540="",-1,IF($J1540=Setup!$B$7,1,IF($J1540=Setup!$B$9,0,-1)))</f>
        <v>-1</v>
      </c>
      <c r="S1540" s="35" t="n">
        <f aca="false">IF(OR($A1540="",$Q1540=0,$R1540=-1),0,$Q1540*1000+$R1540*100+$K1540)</f>
        <v>0</v>
      </c>
      <c r="T1540" s="37" t="str">
        <f aca="false">IF($A1540="","",IF($B1540="","NO ACCOUNT",IF($Q1540=0,"UNMAPPED",IF($R1540=-1,"OUTSIDE FY RANGE","OK"))))</f>
        <v/>
      </c>
      <c r="U1540" s="40" t="str">
        <f aca="false">IF($A1540="","",$B1540&amp;"|"&amp;TEXT($A1540,"yyyymmdd")&amp;"|"&amp;TEXT($I1540,"0.00"))</f>
        <v/>
      </c>
      <c r="V1540" s="35" t="str">
        <f aca="false">IF($A1540="","",COUNTIF($U$8:$U$5007,$U1540))</f>
        <v/>
      </c>
    </row>
    <row r="1541" customFormat="false" ht="15" hidden="false" customHeight="false" outlineLevel="0" collapsed="false">
      <c r="A1541" s="31"/>
      <c r="B1541" s="32"/>
      <c r="C1541" s="32"/>
      <c r="D1541" s="32"/>
      <c r="E1541" s="32"/>
      <c r="F1541" s="32"/>
      <c r="G1541" s="33"/>
      <c r="H1541" s="33"/>
      <c r="I1541" s="34" t="str">
        <f aca="false">IF($A1541="","",$G1541-$H1541)</f>
        <v/>
      </c>
      <c r="J1541" s="35" t="str">
        <f aca="false">IF($A1541="","",IF(Setup!$B$6=1,YEAR($A1541),YEAR($A1541)+IF(MONTH($A1541)&gt;=Setup!$B$6,1,0)))</f>
        <v/>
      </c>
      <c r="K1541" s="35" t="str">
        <f aca="false">IF($A1541="","",MOD(MONTH($A1541)-Setup!$B$6+12,12)+1)</f>
        <v/>
      </c>
      <c r="L1541" s="36" t="str">
        <f aca="false">IF($A1541="","",TEXT($A1541,"MMM-YY"))</f>
        <v/>
      </c>
      <c r="M1541" s="37" t="str">
        <f aca="false">IF($A1541="","",IF($Q1541=0,"UNMAPPED",INDEX(COA_Mapping!$C$7:$C$256,$Q1541)))</f>
        <v/>
      </c>
      <c r="N1541" s="38" t="str">
        <f aca="false">IF($A1541="","",IF($Q1541=0,"",INDEX(COA_Mapping!$E$7:$E$256,$Q1541)))</f>
        <v/>
      </c>
      <c r="O1541" s="38" t="n">
        <f aca="false">IF($A1541="",1,IF($Q1541=0,1,INDEX(COA_Mapping!$F$7:$F$256,$Q1541)))</f>
        <v>1</v>
      </c>
      <c r="P1541" s="34" t="str">
        <f aca="false">IF($A1541="","",$I1541*$O1541)</f>
        <v/>
      </c>
      <c r="Q1541" s="39" t="n">
        <f aca="false">IF($B1541="",0,IFERROR(MATCH($B1541,COA_Mapping!$A$7:$A$256,0),0))</f>
        <v>0</v>
      </c>
      <c r="R1541" s="39" t="n">
        <f aca="false">IF($A1541="",-1,IF($J1541=Setup!$B$7,1,IF($J1541=Setup!$B$9,0,-1)))</f>
        <v>-1</v>
      </c>
      <c r="S1541" s="35" t="n">
        <f aca="false">IF(OR($A1541="",$Q1541=0,$R1541=-1),0,$Q1541*1000+$R1541*100+$K1541)</f>
        <v>0</v>
      </c>
      <c r="T1541" s="37" t="str">
        <f aca="false">IF($A1541="","",IF($B1541="","NO ACCOUNT",IF($Q1541=0,"UNMAPPED",IF($R1541=-1,"OUTSIDE FY RANGE","OK"))))</f>
        <v/>
      </c>
      <c r="U1541" s="40" t="str">
        <f aca="false">IF($A1541="","",$B1541&amp;"|"&amp;TEXT($A1541,"yyyymmdd")&amp;"|"&amp;TEXT($I1541,"0.00"))</f>
        <v/>
      </c>
      <c r="V1541" s="35" t="str">
        <f aca="false">IF($A1541="","",COUNTIF($U$8:$U$5007,$U1541))</f>
        <v/>
      </c>
    </row>
    <row r="1542" customFormat="false" ht="15" hidden="false" customHeight="false" outlineLevel="0" collapsed="false">
      <c r="A1542" s="31"/>
      <c r="B1542" s="32"/>
      <c r="C1542" s="32"/>
      <c r="D1542" s="32"/>
      <c r="E1542" s="32"/>
      <c r="F1542" s="32"/>
      <c r="G1542" s="33"/>
      <c r="H1542" s="33"/>
      <c r="I1542" s="34" t="str">
        <f aca="false">IF($A1542="","",$G1542-$H1542)</f>
        <v/>
      </c>
      <c r="J1542" s="35" t="str">
        <f aca="false">IF($A1542="","",IF(Setup!$B$6=1,YEAR($A1542),YEAR($A1542)+IF(MONTH($A1542)&gt;=Setup!$B$6,1,0)))</f>
        <v/>
      </c>
      <c r="K1542" s="35" t="str">
        <f aca="false">IF($A1542="","",MOD(MONTH($A1542)-Setup!$B$6+12,12)+1)</f>
        <v/>
      </c>
      <c r="L1542" s="36" t="str">
        <f aca="false">IF($A1542="","",TEXT($A1542,"MMM-YY"))</f>
        <v/>
      </c>
      <c r="M1542" s="37" t="str">
        <f aca="false">IF($A1542="","",IF($Q1542=0,"UNMAPPED",INDEX(COA_Mapping!$C$7:$C$256,$Q1542)))</f>
        <v/>
      </c>
      <c r="N1542" s="38" t="str">
        <f aca="false">IF($A1542="","",IF($Q1542=0,"",INDEX(COA_Mapping!$E$7:$E$256,$Q1542)))</f>
        <v/>
      </c>
      <c r="O1542" s="38" t="n">
        <f aca="false">IF($A1542="",1,IF($Q1542=0,1,INDEX(COA_Mapping!$F$7:$F$256,$Q1542)))</f>
        <v>1</v>
      </c>
      <c r="P1542" s="34" t="str">
        <f aca="false">IF($A1542="","",$I1542*$O1542)</f>
        <v/>
      </c>
      <c r="Q1542" s="39" t="n">
        <f aca="false">IF($B1542="",0,IFERROR(MATCH($B1542,COA_Mapping!$A$7:$A$256,0),0))</f>
        <v>0</v>
      </c>
      <c r="R1542" s="39" t="n">
        <f aca="false">IF($A1542="",-1,IF($J1542=Setup!$B$7,1,IF($J1542=Setup!$B$9,0,-1)))</f>
        <v>-1</v>
      </c>
      <c r="S1542" s="35" t="n">
        <f aca="false">IF(OR($A1542="",$Q1542=0,$R1542=-1),0,$Q1542*1000+$R1542*100+$K1542)</f>
        <v>0</v>
      </c>
      <c r="T1542" s="37" t="str">
        <f aca="false">IF($A1542="","",IF($B1542="","NO ACCOUNT",IF($Q1542=0,"UNMAPPED",IF($R1542=-1,"OUTSIDE FY RANGE","OK"))))</f>
        <v/>
      </c>
      <c r="U1542" s="40" t="str">
        <f aca="false">IF($A1542="","",$B1542&amp;"|"&amp;TEXT($A1542,"yyyymmdd")&amp;"|"&amp;TEXT($I1542,"0.00"))</f>
        <v/>
      </c>
      <c r="V1542" s="35" t="str">
        <f aca="false">IF($A1542="","",COUNTIF($U$8:$U$5007,$U1542))</f>
        <v/>
      </c>
    </row>
    <row r="1543" customFormat="false" ht="15" hidden="false" customHeight="false" outlineLevel="0" collapsed="false">
      <c r="A1543" s="31"/>
      <c r="B1543" s="32"/>
      <c r="C1543" s="32"/>
      <c r="D1543" s="32"/>
      <c r="E1543" s="32"/>
      <c r="F1543" s="32"/>
      <c r="G1543" s="33"/>
      <c r="H1543" s="33"/>
      <c r="I1543" s="34" t="str">
        <f aca="false">IF($A1543="","",$G1543-$H1543)</f>
        <v/>
      </c>
      <c r="J1543" s="35" t="str">
        <f aca="false">IF($A1543="","",IF(Setup!$B$6=1,YEAR($A1543),YEAR($A1543)+IF(MONTH($A1543)&gt;=Setup!$B$6,1,0)))</f>
        <v/>
      </c>
      <c r="K1543" s="35" t="str">
        <f aca="false">IF($A1543="","",MOD(MONTH($A1543)-Setup!$B$6+12,12)+1)</f>
        <v/>
      </c>
      <c r="L1543" s="36" t="str">
        <f aca="false">IF($A1543="","",TEXT($A1543,"MMM-YY"))</f>
        <v/>
      </c>
      <c r="M1543" s="37" t="str">
        <f aca="false">IF($A1543="","",IF($Q1543=0,"UNMAPPED",INDEX(COA_Mapping!$C$7:$C$256,$Q1543)))</f>
        <v/>
      </c>
      <c r="N1543" s="38" t="str">
        <f aca="false">IF($A1543="","",IF($Q1543=0,"",INDEX(COA_Mapping!$E$7:$E$256,$Q1543)))</f>
        <v/>
      </c>
      <c r="O1543" s="38" t="n">
        <f aca="false">IF($A1543="",1,IF($Q1543=0,1,INDEX(COA_Mapping!$F$7:$F$256,$Q1543)))</f>
        <v>1</v>
      </c>
      <c r="P1543" s="34" t="str">
        <f aca="false">IF($A1543="","",$I1543*$O1543)</f>
        <v/>
      </c>
      <c r="Q1543" s="39" t="n">
        <f aca="false">IF($B1543="",0,IFERROR(MATCH($B1543,COA_Mapping!$A$7:$A$256,0),0))</f>
        <v>0</v>
      </c>
      <c r="R1543" s="39" t="n">
        <f aca="false">IF($A1543="",-1,IF($J1543=Setup!$B$7,1,IF($J1543=Setup!$B$9,0,-1)))</f>
        <v>-1</v>
      </c>
      <c r="S1543" s="35" t="n">
        <f aca="false">IF(OR($A1543="",$Q1543=0,$R1543=-1),0,$Q1543*1000+$R1543*100+$K1543)</f>
        <v>0</v>
      </c>
      <c r="T1543" s="37" t="str">
        <f aca="false">IF($A1543="","",IF($B1543="","NO ACCOUNT",IF($Q1543=0,"UNMAPPED",IF($R1543=-1,"OUTSIDE FY RANGE","OK"))))</f>
        <v/>
      </c>
      <c r="U1543" s="40" t="str">
        <f aca="false">IF($A1543="","",$B1543&amp;"|"&amp;TEXT($A1543,"yyyymmdd")&amp;"|"&amp;TEXT($I1543,"0.00"))</f>
        <v/>
      </c>
      <c r="V1543" s="35" t="str">
        <f aca="false">IF($A1543="","",COUNTIF($U$8:$U$5007,$U1543))</f>
        <v/>
      </c>
    </row>
    <row r="1544" customFormat="false" ht="15" hidden="false" customHeight="false" outlineLevel="0" collapsed="false">
      <c r="A1544" s="31"/>
      <c r="B1544" s="32"/>
      <c r="C1544" s="32"/>
      <c r="D1544" s="32"/>
      <c r="E1544" s="32"/>
      <c r="F1544" s="32"/>
      <c r="G1544" s="33"/>
      <c r="H1544" s="33"/>
      <c r="I1544" s="34" t="str">
        <f aca="false">IF($A1544="","",$G1544-$H1544)</f>
        <v/>
      </c>
      <c r="J1544" s="35" t="str">
        <f aca="false">IF($A1544="","",IF(Setup!$B$6=1,YEAR($A1544),YEAR($A1544)+IF(MONTH($A1544)&gt;=Setup!$B$6,1,0)))</f>
        <v/>
      </c>
      <c r="K1544" s="35" t="str">
        <f aca="false">IF($A1544="","",MOD(MONTH($A1544)-Setup!$B$6+12,12)+1)</f>
        <v/>
      </c>
      <c r="L1544" s="36" t="str">
        <f aca="false">IF($A1544="","",TEXT($A1544,"MMM-YY"))</f>
        <v/>
      </c>
      <c r="M1544" s="37" t="str">
        <f aca="false">IF($A1544="","",IF($Q1544=0,"UNMAPPED",INDEX(COA_Mapping!$C$7:$C$256,$Q1544)))</f>
        <v/>
      </c>
      <c r="N1544" s="38" t="str">
        <f aca="false">IF($A1544="","",IF($Q1544=0,"",INDEX(COA_Mapping!$E$7:$E$256,$Q1544)))</f>
        <v/>
      </c>
      <c r="O1544" s="38" t="n">
        <f aca="false">IF($A1544="",1,IF($Q1544=0,1,INDEX(COA_Mapping!$F$7:$F$256,$Q1544)))</f>
        <v>1</v>
      </c>
      <c r="P1544" s="34" t="str">
        <f aca="false">IF($A1544="","",$I1544*$O1544)</f>
        <v/>
      </c>
      <c r="Q1544" s="39" t="n">
        <f aca="false">IF($B1544="",0,IFERROR(MATCH($B1544,COA_Mapping!$A$7:$A$256,0),0))</f>
        <v>0</v>
      </c>
      <c r="R1544" s="39" t="n">
        <f aca="false">IF($A1544="",-1,IF($J1544=Setup!$B$7,1,IF($J1544=Setup!$B$9,0,-1)))</f>
        <v>-1</v>
      </c>
      <c r="S1544" s="35" t="n">
        <f aca="false">IF(OR($A1544="",$Q1544=0,$R1544=-1),0,$Q1544*1000+$R1544*100+$K1544)</f>
        <v>0</v>
      </c>
      <c r="T1544" s="37" t="str">
        <f aca="false">IF($A1544="","",IF($B1544="","NO ACCOUNT",IF($Q1544=0,"UNMAPPED",IF($R1544=-1,"OUTSIDE FY RANGE","OK"))))</f>
        <v/>
      </c>
      <c r="U1544" s="40" t="str">
        <f aca="false">IF($A1544="","",$B1544&amp;"|"&amp;TEXT($A1544,"yyyymmdd")&amp;"|"&amp;TEXT($I1544,"0.00"))</f>
        <v/>
      </c>
      <c r="V1544" s="35" t="str">
        <f aca="false">IF($A1544="","",COUNTIF($U$8:$U$5007,$U1544))</f>
        <v/>
      </c>
    </row>
    <row r="1545" customFormat="false" ht="15" hidden="false" customHeight="false" outlineLevel="0" collapsed="false">
      <c r="A1545" s="31"/>
      <c r="B1545" s="32"/>
      <c r="C1545" s="32"/>
      <c r="D1545" s="32"/>
      <c r="E1545" s="32"/>
      <c r="F1545" s="32"/>
      <c r="G1545" s="33"/>
      <c r="H1545" s="33"/>
      <c r="I1545" s="34" t="str">
        <f aca="false">IF($A1545="","",$G1545-$H1545)</f>
        <v/>
      </c>
      <c r="J1545" s="35" t="str">
        <f aca="false">IF($A1545="","",IF(Setup!$B$6=1,YEAR($A1545),YEAR($A1545)+IF(MONTH($A1545)&gt;=Setup!$B$6,1,0)))</f>
        <v/>
      </c>
      <c r="K1545" s="35" t="str">
        <f aca="false">IF($A1545="","",MOD(MONTH($A1545)-Setup!$B$6+12,12)+1)</f>
        <v/>
      </c>
      <c r="L1545" s="36" t="str">
        <f aca="false">IF($A1545="","",TEXT($A1545,"MMM-YY"))</f>
        <v/>
      </c>
      <c r="M1545" s="37" t="str">
        <f aca="false">IF($A1545="","",IF($Q1545=0,"UNMAPPED",INDEX(COA_Mapping!$C$7:$C$256,$Q1545)))</f>
        <v/>
      </c>
      <c r="N1545" s="38" t="str">
        <f aca="false">IF($A1545="","",IF($Q1545=0,"",INDEX(COA_Mapping!$E$7:$E$256,$Q1545)))</f>
        <v/>
      </c>
      <c r="O1545" s="38" t="n">
        <f aca="false">IF($A1545="",1,IF($Q1545=0,1,INDEX(COA_Mapping!$F$7:$F$256,$Q1545)))</f>
        <v>1</v>
      </c>
      <c r="P1545" s="34" t="str">
        <f aca="false">IF($A1545="","",$I1545*$O1545)</f>
        <v/>
      </c>
      <c r="Q1545" s="39" t="n">
        <f aca="false">IF($B1545="",0,IFERROR(MATCH($B1545,COA_Mapping!$A$7:$A$256,0),0))</f>
        <v>0</v>
      </c>
      <c r="R1545" s="39" t="n">
        <f aca="false">IF($A1545="",-1,IF($J1545=Setup!$B$7,1,IF($J1545=Setup!$B$9,0,-1)))</f>
        <v>-1</v>
      </c>
      <c r="S1545" s="35" t="n">
        <f aca="false">IF(OR($A1545="",$Q1545=0,$R1545=-1),0,$Q1545*1000+$R1545*100+$K1545)</f>
        <v>0</v>
      </c>
      <c r="T1545" s="37" t="str">
        <f aca="false">IF($A1545="","",IF($B1545="","NO ACCOUNT",IF($Q1545=0,"UNMAPPED",IF($R1545=-1,"OUTSIDE FY RANGE","OK"))))</f>
        <v/>
      </c>
      <c r="U1545" s="40" t="str">
        <f aca="false">IF($A1545="","",$B1545&amp;"|"&amp;TEXT($A1545,"yyyymmdd")&amp;"|"&amp;TEXT($I1545,"0.00"))</f>
        <v/>
      </c>
      <c r="V1545" s="35" t="str">
        <f aca="false">IF($A1545="","",COUNTIF($U$8:$U$5007,$U1545))</f>
        <v/>
      </c>
    </row>
    <row r="1546" customFormat="false" ht="15" hidden="false" customHeight="false" outlineLevel="0" collapsed="false">
      <c r="A1546" s="31"/>
      <c r="B1546" s="32"/>
      <c r="C1546" s="32"/>
      <c r="D1546" s="32"/>
      <c r="E1546" s="32"/>
      <c r="F1546" s="32"/>
      <c r="G1546" s="33"/>
      <c r="H1546" s="33"/>
      <c r="I1546" s="34" t="str">
        <f aca="false">IF($A1546="","",$G1546-$H1546)</f>
        <v/>
      </c>
      <c r="J1546" s="35" t="str">
        <f aca="false">IF($A1546="","",IF(Setup!$B$6=1,YEAR($A1546),YEAR($A1546)+IF(MONTH($A1546)&gt;=Setup!$B$6,1,0)))</f>
        <v/>
      </c>
      <c r="K1546" s="35" t="str">
        <f aca="false">IF($A1546="","",MOD(MONTH($A1546)-Setup!$B$6+12,12)+1)</f>
        <v/>
      </c>
      <c r="L1546" s="36" t="str">
        <f aca="false">IF($A1546="","",TEXT($A1546,"MMM-YY"))</f>
        <v/>
      </c>
      <c r="M1546" s="37" t="str">
        <f aca="false">IF($A1546="","",IF($Q1546=0,"UNMAPPED",INDEX(COA_Mapping!$C$7:$C$256,$Q1546)))</f>
        <v/>
      </c>
      <c r="N1546" s="38" t="str">
        <f aca="false">IF($A1546="","",IF($Q1546=0,"",INDEX(COA_Mapping!$E$7:$E$256,$Q1546)))</f>
        <v/>
      </c>
      <c r="O1546" s="38" t="n">
        <f aca="false">IF($A1546="",1,IF($Q1546=0,1,INDEX(COA_Mapping!$F$7:$F$256,$Q1546)))</f>
        <v>1</v>
      </c>
      <c r="P1546" s="34" t="str">
        <f aca="false">IF($A1546="","",$I1546*$O1546)</f>
        <v/>
      </c>
      <c r="Q1546" s="39" t="n">
        <f aca="false">IF($B1546="",0,IFERROR(MATCH($B1546,COA_Mapping!$A$7:$A$256,0),0))</f>
        <v>0</v>
      </c>
      <c r="R1546" s="39" t="n">
        <f aca="false">IF($A1546="",-1,IF($J1546=Setup!$B$7,1,IF($J1546=Setup!$B$9,0,-1)))</f>
        <v>-1</v>
      </c>
      <c r="S1546" s="35" t="n">
        <f aca="false">IF(OR($A1546="",$Q1546=0,$R1546=-1),0,$Q1546*1000+$R1546*100+$K1546)</f>
        <v>0</v>
      </c>
      <c r="T1546" s="37" t="str">
        <f aca="false">IF($A1546="","",IF($B1546="","NO ACCOUNT",IF($Q1546=0,"UNMAPPED",IF($R1546=-1,"OUTSIDE FY RANGE","OK"))))</f>
        <v/>
      </c>
      <c r="U1546" s="40" t="str">
        <f aca="false">IF($A1546="","",$B1546&amp;"|"&amp;TEXT($A1546,"yyyymmdd")&amp;"|"&amp;TEXT($I1546,"0.00"))</f>
        <v/>
      </c>
      <c r="V1546" s="35" t="str">
        <f aca="false">IF($A1546="","",COUNTIF($U$8:$U$5007,$U1546))</f>
        <v/>
      </c>
    </row>
    <row r="1547" customFormat="false" ht="15" hidden="false" customHeight="false" outlineLevel="0" collapsed="false">
      <c r="A1547" s="31"/>
      <c r="B1547" s="32"/>
      <c r="C1547" s="32"/>
      <c r="D1547" s="32"/>
      <c r="E1547" s="32"/>
      <c r="F1547" s="32"/>
      <c r="G1547" s="33"/>
      <c r="H1547" s="33"/>
      <c r="I1547" s="34" t="str">
        <f aca="false">IF($A1547="","",$G1547-$H1547)</f>
        <v/>
      </c>
      <c r="J1547" s="35" t="str">
        <f aca="false">IF($A1547="","",IF(Setup!$B$6=1,YEAR($A1547),YEAR($A1547)+IF(MONTH($A1547)&gt;=Setup!$B$6,1,0)))</f>
        <v/>
      </c>
      <c r="K1547" s="35" t="str">
        <f aca="false">IF($A1547="","",MOD(MONTH($A1547)-Setup!$B$6+12,12)+1)</f>
        <v/>
      </c>
      <c r="L1547" s="36" t="str">
        <f aca="false">IF($A1547="","",TEXT($A1547,"MMM-YY"))</f>
        <v/>
      </c>
      <c r="M1547" s="37" t="str">
        <f aca="false">IF($A1547="","",IF($Q1547=0,"UNMAPPED",INDEX(COA_Mapping!$C$7:$C$256,$Q1547)))</f>
        <v/>
      </c>
      <c r="N1547" s="38" t="str">
        <f aca="false">IF($A1547="","",IF($Q1547=0,"",INDEX(COA_Mapping!$E$7:$E$256,$Q1547)))</f>
        <v/>
      </c>
      <c r="O1547" s="38" t="n">
        <f aca="false">IF($A1547="",1,IF($Q1547=0,1,INDEX(COA_Mapping!$F$7:$F$256,$Q1547)))</f>
        <v>1</v>
      </c>
      <c r="P1547" s="34" t="str">
        <f aca="false">IF($A1547="","",$I1547*$O1547)</f>
        <v/>
      </c>
      <c r="Q1547" s="39" t="n">
        <f aca="false">IF($B1547="",0,IFERROR(MATCH($B1547,COA_Mapping!$A$7:$A$256,0),0))</f>
        <v>0</v>
      </c>
      <c r="R1547" s="39" t="n">
        <f aca="false">IF($A1547="",-1,IF($J1547=Setup!$B$7,1,IF($J1547=Setup!$B$9,0,-1)))</f>
        <v>-1</v>
      </c>
      <c r="S1547" s="35" t="n">
        <f aca="false">IF(OR($A1547="",$Q1547=0,$R1547=-1),0,$Q1547*1000+$R1547*100+$K1547)</f>
        <v>0</v>
      </c>
      <c r="T1547" s="37" t="str">
        <f aca="false">IF($A1547="","",IF($B1547="","NO ACCOUNT",IF($Q1547=0,"UNMAPPED",IF($R1547=-1,"OUTSIDE FY RANGE","OK"))))</f>
        <v/>
      </c>
      <c r="U1547" s="40" t="str">
        <f aca="false">IF($A1547="","",$B1547&amp;"|"&amp;TEXT($A1547,"yyyymmdd")&amp;"|"&amp;TEXT($I1547,"0.00"))</f>
        <v/>
      </c>
      <c r="V1547" s="35" t="str">
        <f aca="false">IF($A1547="","",COUNTIF($U$8:$U$5007,$U1547))</f>
        <v/>
      </c>
    </row>
    <row r="1548" customFormat="false" ht="15" hidden="false" customHeight="false" outlineLevel="0" collapsed="false">
      <c r="A1548" s="31"/>
      <c r="B1548" s="32"/>
      <c r="C1548" s="32"/>
      <c r="D1548" s="32"/>
      <c r="E1548" s="32"/>
      <c r="F1548" s="32"/>
      <c r="G1548" s="33"/>
      <c r="H1548" s="33"/>
      <c r="I1548" s="34" t="str">
        <f aca="false">IF($A1548="","",$G1548-$H1548)</f>
        <v/>
      </c>
      <c r="J1548" s="35" t="str">
        <f aca="false">IF($A1548="","",IF(Setup!$B$6=1,YEAR($A1548),YEAR($A1548)+IF(MONTH($A1548)&gt;=Setup!$B$6,1,0)))</f>
        <v/>
      </c>
      <c r="K1548" s="35" t="str">
        <f aca="false">IF($A1548="","",MOD(MONTH($A1548)-Setup!$B$6+12,12)+1)</f>
        <v/>
      </c>
      <c r="L1548" s="36" t="str">
        <f aca="false">IF($A1548="","",TEXT($A1548,"MMM-YY"))</f>
        <v/>
      </c>
      <c r="M1548" s="37" t="str">
        <f aca="false">IF($A1548="","",IF($Q1548=0,"UNMAPPED",INDEX(COA_Mapping!$C$7:$C$256,$Q1548)))</f>
        <v/>
      </c>
      <c r="N1548" s="38" t="str">
        <f aca="false">IF($A1548="","",IF($Q1548=0,"",INDEX(COA_Mapping!$E$7:$E$256,$Q1548)))</f>
        <v/>
      </c>
      <c r="O1548" s="38" t="n">
        <f aca="false">IF($A1548="",1,IF($Q1548=0,1,INDEX(COA_Mapping!$F$7:$F$256,$Q1548)))</f>
        <v>1</v>
      </c>
      <c r="P1548" s="34" t="str">
        <f aca="false">IF($A1548="","",$I1548*$O1548)</f>
        <v/>
      </c>
      <c r="Q1548" s="39" t="n">
        <f aca="false">IF($B1548="",0,IFERROR(MATCH($B1548,COA_Mapping!$A$7:$A$256,0),0))</f>
        <v>0</v>
      </c>
      <c r="R1548" s="39" t="n">
        <f aca="false">IF($A1548="",-1,IF($J1548=Setup!$B$7,1,IF($J1548=Setup!$B$9,0,-1)))</f>
        <v>-1</v>
      </c>
      <c r="S1548" s="35" t="n">
        <f aca="false">IF(OR($A1548="",$Q1548=0,$R1548=-1),0,$Q1548*1000+$R1548*100+$K1548)</f>
        <v>0</v>
      </c>
      <c r="T1548" s="37" t="str">
        <f aca="false">IF($A1548="","",IF($B1548="","NO ACCOUNT",IF($Q1548=0,"UNMAPPED",IF($R1548=-1,"OUTSIDE FY RANGE","OK"))))</f>
        <v/>
      </c>
      <c r="U1548" s="40" t="str">
        <f aca="false">IF($A1548="","",$B1548&amp;"|"&amp;TEXT($A1548,"yyyymmdd")&amp;"|"&amp;TEXT($I1548,"0.00"))</f>
        <v/>
      </c>
      <c r="V1548" s="35" t="str">
        <f aca="false">IF($A1548="","",COUNTIF($U$8:$U$5007,$U1548))</f>
        <v/>
      </c>
    </row>
    <row r="1549" customFormat="false" ht="15" hidden="false" customHeight="false" outlineLevel="0" collapsed="false">
      <c r="A1549" s="31"/>
      <c r="B1549" s="32"/>
      <c r="C1549" s="32"/>
      <c r="D1549" s="32"/>
      <c r="E1549" s="32"/>
      <c r="F1549" s="32"/>
      <c r="G1549" s="33"/>
      <c r="H1549" s="33"/>
      <c r="I1549" s="34" t="str">
        <f aca="false">IF($A1549="","",$G1549-$H1549)</f>
        <v/>
      </c>
      <c r="J1549" s="35" t="str">
        <f aca="false">IF($A1549="","",IF(Setup!$B$6=1,YEAR($A1549),YEAR($A1549)+IF(MONTH($A1549)&gt;=Setup!$B$6,1,0)))</f>
        <v/>
      </c>
      <c r="K1549" s="35" t="str">
        <f aca="false">IF($A1549="","",MOD(MONTH($A1549)-Setup!$B$6+12,12)+1)</f>
        <v/>
      </c>
      <c r="L1549" s="36" t="str">
        <f aca="false">IF($A1549="","",TEXT($A1549,"MMM-YY"))</f>
        <v/>
      </c>
      <c r="M1549" s="37" t="str">
        <f aca="false">IF($A1549="","",IF($Q1549=0,"UNMAPPED",INDEX(COA_Mapping!$C$7:$C$256,$Q1549)))</f>
        <v/>
      </c>
      <c r="N1549" s="38" t="str">
        <f aca="false">IF($A1549="","",IF($Q1549=0,"",INDEX(COA_Mapping!$E$7:$E$256,$Q1549)))</f>
        <v/>
      </c>
      <c r="O1549" s="38" t="n">
        <f aca="false">IF($A1549="",1,IF($Q1549=0,1,INDEX(COA_Mapping!$F$7:$F$256,$Q1549)))</f>
        <v>1</v>
      </c>
      <c r="P1549" s="34" t="str">
        <f aca="false">IF($A1549="","",$I1549*$O1549)</f>
        <v/>
      </c>
      <c r="Q1549" s="39" t="n">
        <f aca="false">IF($B1549="",0,IFERROR(MATCH($B1549,COA_Mapping!$A$7:$A$256,0),0))</f>
        <v>0</v>
      </c>
      <c r="R1549" s="39" t="n">
        <f aca="false">IF($A1549="",-1,IF($J1549=Setup!$B$7,1,IF($J1549=Setup!$B$9,0,-1)))</f>
        <v>-1</v>
      </c>
      <c r="S1549" s="35" t="n">
        <f aca="false">IF(OR($A1549="",$Q1549=0,$R1549=-1),0,$Q1549*1000+$R1549*100+$K1549)</f>
        <v>0</v>
      </c>
      <c r="T1549" s="37" t="str">
        <f aca="false">IF($A1549="","",IF($B1549="","NO ACCOUNT",IF($Q1549=0,"UNMAPPED",IF($R1549=-1,"OUTSIDE FY RANGE","OK"))))</f>
        <v/>
      </c>
      <c r="U1549" s="40" t="str">
        <f aca="false">IF($A1549="","",$B1549&amp;"|"&amp;TEXT($A1549,"yyyymmdd")&amp;"|"&amp;TEXT($I1549,"0.00"))</f>
        <v/>
      </c>
      <c r="V1549" s="35" t="str">
        <f aca="false">IF($A1549="","",COUNTIF($U$8:$U$5007,$U1549))</f>
        <v/>
      </c>
    </row>
    <row r="1550" customFormat="false" ht="15" hidden="false" customHeight="false" outlineLevel="0" collapsed="false">
      <c r="A1550" s="31"/>
      <c r="B1550" s="32"/>
      <c r="C1550" s="32"/>
      <c r="D1550" s="32"/>
      <c r="E1550" s="32"/>
      <c r="F1550" s="32"/>
      <c r="G1550" s="33"/>
      <c r="H1550" s="33"/>
      <c r="I1550" s="34" t="str">
        <f aca="false">IF($A1550="","",$G1550-$H1550)</f>
        <v/>
      </c>
      <c r="J1550" s="35" t="str">
        <f aca="false">IF($A1550="","",IF(Setup!$B$6=1,YEAR($A1550),YEAR($A1550)+IF(MONTH($A1550)&gt;=Setup!$B$6,1,0)))</f>
        <v/>
      </c>
      <c r="K1550" s="35" t="str">
        <f aca="false">IF($A1550="","",MOD(MONTH($A1550)-Setup!$B$6+12,12)+1)</f>
        <v/>
      </c>
      <c r="L1550" s="36" t="str">
        <f aca="false">IF($A1550="","",TEXT($A1550,"MMM-YY"))</f>
        <v/>
      </c>
      <c r="M1550" s="37" t="str">
        <f aca="false">IF($A1550="","",IF($Q1550=0,"UNMAPPED",INDEX(COA_Mapping!$C$7:$C$256,$Q1550)))</f>
        <v/>
      </c>
      <c r="N1550" s="38" t="str">
        <f aca="false">IF($A1550="","",IF($Q1550=0,"",INDEX(COA_Mapping!$E$7:$E$256,$Q1550)))</f>
        <v/>
      </c>
      <c r="O1550" s="38" t="n">
        <f aca="false">IF($A1550="",1,IF($Q1550=0,1,INDEX(COA_Mapping!$F$7:$F$256,$Q1550)))</f>
        <v>1</v>
      </c>
      <c r="P1550" s="34" t="str">
        <f aca="false">IF($A1550="","",$I1550*$O1550)</f>
        <v/>
      </c>
      <c r="Q1550" s="39" t="n">
        <f aca="false">IF($B1550="",0,IFERROR(MATCH($B1550,COA_Mapping!$A$7:$A$256,0),0))</f>
        <v>0</v>
      </c>
      <c r="R1550" s="39" t="n">
        <f aca="false">IF($A1550="",-1,IF($J1550=Setup!$B$7,1,IF($J1550=Setup!$B$9,0,-1)))</f>
        <v>-1</v>
      </c>
      <c r="S1550" s="35" t="n">
        <f aca="false">IF(OR($A1550="",$Q1550=0,$R1550=-1),0,$Q1550*1000+$R1550*100+$K1550)</f>
        <v>0</v>
      </c>
      <c r="T1550" s="37" t="str">
        <f aca="false">IF($A1550="","",IF($B1550="","NO ACCOUNT",IF($Q1550=0,"UNMAPPED",IF($R1550=-1,"OUTSIDE FY RANGE","OK"))))</f>
        <v/>
      </c>
      <c r="U1550" s="40" t="str">
        <f aca="false">IF($A1550="","",$B1550&amp;"|"&amp;TEXT($A1550,"yyyymmdd")&amp;"|"&amp;TEXT($I1550,"0.00"))</f>
        <v/>
      </c>
      <c r="V1550" s="35" t="str">
        <f aca="false">IF($A1550="","",COUNTIF($U$8:$U$5007,$U1550))</f>
        <v/>
      </c>
    </row>
    <row r="1551" customFormat="false" ht="15" hidden="false" customHeight="false" outlineLevel="0" collapsed="false">
      <c r="A1551" s="31"/>
      <c r="B1551" s="32"/>
      <c r="C1551" s="32"/>
      <c r="D1551" s="32"/>
      <c r="E1551" s="32"/>
      <c r="F1551" s="32"/>
      <c r="G1551" s="33"/>
      <c r="H1551" s="33"/>
      <c r="I1551" s="34" t="str">
        <f aca="false">IF($A1551="","",$G1551-$H1551)</f>
        <v/>
      </c>
      <c r="J1551" s="35" t="str">
        <f aca="false">IF($A1551="","",IF(Setup!$B$6=1,YEAR($A1551),YEAR($A1551)+IF(MONTH($A1551)&gt;=Setup!$B$6,1,0)))</f>
        <v/>
      </c>
      <c r="K1551" s="35" t="str">
        <f aca="false">IF($A1551="","",MOD(MONTH($A1551)-Setup!$B$6+12,12)+1)</f>
        <v/>
      </c>
      <c r="L1551" s="36" t="str">
        <f aca="false">IF($A1551="","",TEXT($A1551,"MMM-YY"))</f>
        <v/>
      </c>
      <c r="M1551" s="37" t="str">
        <f aca="false">IF($A1551="","",IF($Q1551=0,"UNMAPPED",INDEX(COA_Mapping!$C$7:$C$256,$Q1551)))</f>
        <v/>
      </c>
      <c r="N1551" s="38" t="str">
        <f aca="false">IF($A1551="","",IF($Q1551=0,"",INDEX(COA_Mapping!$E$7:$E$256,$Q1551)))</f>
        <v/>
      </c>
      <c r="O1551" s="38" t="n">
        <f aca="false">IF($A1551="",1,IF($Q1551=0,1,INDEX(COA_Mapping!$F$7:$F$256,$Q1551)))</f>
        <v>1</v>
      </c>
      <c r="P1551" s="34" t="str">
        <f aca="false">IF($A1551="","",$I1551*$O1551)</f>
        <v/>
      </c>
      <c r="Q1551" s="39" t="n">
        <f aca="false">IF($B1551="",0,IFERROR(MATCH($B1551,COA_Mapping!$A$7:$A$256,0),0))</f>
        <v>0</v>
      </c>
      <c r="R1551" s="39" t="n">
        <f aca="false">IF($A1551="",-1,IF($J1551=Setup!$B$7,1,IF($J1551=Setup!$B$9,0,-1)))</f>
        <v>-1</v>
      </c>
      <c r="S1551" s="35" t="n">
        <f aca="false">IF(OR($A1551="",$Q1551=0,$R1551=-1),0,$Q1551*1000+$R1551*100+$K1551)</f>
        <v>0</v>
      </c>
      <c r="T1551" s="37" t="str">
        <f aca="false">IF($A1551="","",IF($B1551="","NO ACCOUNT",IF($Q1551=0,"UNMAPPED",IF($R1551=-1,"OUTSIDE FY RANGE","OK"))))</f>
        <v/>
      </c>
      <c r="U1551" s="40" t="str">
        <f aca="false">IF($A1551="","",$B1551&amp;"|"&amp;TEXT($A1551,"yyyymmdd")&amp;"|"&amp;TEXT($I1551,"0.00"))</f>
        <v/>
      </c>
      <c r="V1551" s="35" t="str">
        <f aca="false">IF($A1551="","",COUNTIF($U$8:$U$5007,$U1551))</f>
        <v/>
      </c>
    </row>
    <row r="1552" customFormat="false" ht="15" hidden="false" customHeight="false" outlineLevel="0" collapsed="false">
      <c r="A1552" s="31"/>
      <c r="B1552" s="32"/>
      <c r="C1552" s="32"/>
      <c r="D1552" s="32"/>
      <c r="E1552" s="32"/>
      <c r="F1552" s="32"/>
      <c r="G1552" s="33"/>
      <c r="H1552" s="33"/>
      <c r="I1552" s="34" t="str">
        <f aca="false">IF($A1552="","",$G1552-$H1552)</f>
        <v/>
      </c>
      <c r="J1552" s="35" t="str">
        <f aca="false">IF($A1552="","",IF(Setup!$B$6=1,YEAR($A1552),YEAR($A1552)+IF(MONTH($A1552)&gt;=Setup!$B$6,1,0)))</f>
        <v/>
      </c>
      <c r="K1552" s="35" t="str">
        <f aca="false">IF($A1552="","",MOD(MONTH($A1552)-Setup!$B$6+12,12)+1)</f>
        <v/>
      </c>
      <c r="L1552" s="36" t="str">
        <f aca="false">IF($A1552="","",TEXT($A1552,"MMM-YY"))</f>
        <v/>
      </c>
      <c r="M1552" s="37" t="str">
        <f aca="false">IF($A1552="","",IF($Q1552=0,"UNMAPPED",INDEX(COA_Mapping!$C$7:$C$256,$Q1552)))</f>
        <v/>
      </c>
      <c r="N1552" s="38" t="str">
        <f aca="false">IF($A1552="","",IF($Q1552=0,"",INDEX(COA_Mapping!$E$7:$E$256,$Q1552)))</f>
        <v/>
      </c>
      <c r="O1552" s="38" t="n">
        <f aca="false">IF($A1552="",1,IF($Q1552=0,1,INDEX(COA_Mapping!$F$7:$F$256,$Q1552)))</f>
        <v>1</v>
      </c>
      <c r="P1552" s="34" t="str">
        <f aca="false">IF($A1552="","",$I1552*$O1552)</f>
        <v/>
      </c>
      <c r="Q1552" s="39" t="n">
        <f aca="false">IF($B1552="",0,IFERROR(MATCH($B1552,COA_Mapping!$A$7:$A$256,0),0))</f>
        <v>0</v>
      </c>
      <c r="R1552" s="39" t="n">
        <f aca="false">IF($A1552="",-1,IF($J1552=Setup!$B$7,1,IF($J1552=Setup!$B$9,0,-1)))</f>
        <v>-1</v>
      </c>
      <c r="S1552" s="35" t="n">
        <f aca="false">IF(OR($A1552="",$Q1552=0,$R1552=-1),0,$Q1552*1000+$R1552*100+$K1552)</f>
        <v>0</v>
      </c>
      <c r="T1552" s="37" t="str">
        <f aca="false">IF($A1552="","",IF($B1552="","NO ACCOUNT",IF($Q1552=0,"UNMAPPED",IF($R1552=-1,"OUTSIDE FY RANGE","OK"))))</f>
        <v/>
      </c>
      <c r="U1552" s="40" t="str">
        <f aca="false">IF($A1552="","",$B1552&amp;"|"&amp;TEXT($A1552,"yyyymmdd")&amp;"|"&amp;TEXT($I1552,"0.00"))</f>
        <v/>
      </c>
      <c r="V1552" s="35" t="str">
        <f aca="false">IF($A1552="","",COUNTIF($U$8:$U$5007,$U1552))</f>
        <v/>
      </c>
    </row>
    <row r="1553" customFormat="false" ht="15" hidden="false" customHeight="false" outlineLevel="0" collapsed="false">
      <c r="A1553" s="31"/>
      <c r="B1553" s="32"/>
      <c r="C1553" s="32"/>
      <c r="D1553" s="32"/>
      <c r="E1553" s="32"/>
      <c r="F1553" s="32"/>
      <c r="G1553" s="33"/>
      <c r="H1553" s="33"/>
      <c r="I1553" s="34" t="str">
        <f aca="false">IF($A1553="","",$G1553-$H1553)</f>
        <v/>
      </c>
      <c r="J1553" s="35" t="str">
        <f aca="false">IF($A1553="","",IF(Setup!$B$6=1,YEAR($A1553),YEAR($A1553)+IF(MONTH($A1553)&gt;=Setup!$B$6,1,0)))</f>
        <v/>
      </c>
      <c r="K1553" s="35" t="str">
        <f aca="false">IF($A1553="","",MOD(MONTH($A1553)-Setup!$B$6+12,12)+1)</f>
        <v/>
      </c>
      <c r="L1553" s="36" t="str">
        <f aca="false">IF($A1553="","",TEXT($A1553,"MMM-YY"))</f>
        <v/>
      </c>
      <c r="M1553" s="37" t="str">
        <f aca="false">IF($A1553="","",IF($Q1553=0,"UNMAPPED",INDEX(COA_Mapping!$C$7:$C$256,$Q1553)))</f>
        <v/>
      </c>
      <c r="N1553" s="38" t="str">
        <f aca="false">IF($A1553="","",IF($Q1553=0,"",INDEX(COA_Mapping!$E$7:$E$256,$Q1553)))</f>
        <v/>
      </c>
      <c r="O1553" s="38" t="n">
        <f aca="false">IF($A1553="",1,IF($Q1553=0,1,INDEX(COA_Mapping!$F$7:$F$256,$Q1553)))</f>
        <v>1</v>
      </c>
      <c r="P1553" s="34" t="str">
        <f aca="false">IF($A1553="","",$I1553*$O1553)</f>
        <v/>
      </c>
      <c r="Q1553" s="39" t="n">
        <f aca="false">IF($B1553="",0,IFERROR(MATCH($B1553,COA_Mapping!$A$7:$A$256,0),0))</f>
        <v>0</v>
      </c>
      <c r="R1553" s="39" t="n">
        <f aca="false">IF($A1553="",-1,IF($J1553=Setup!$B$7,1,IF($J1553=Setup!$B$9,0,-1)))</f>
        <v>-1</v>
      </c>
      <c r="S1553" s="35" t="n">
        <f aca="false">IF(OR($A1553="",$Q1553=0,$R1553=-1),0,$Q1553*1000+$R1553*100+$K1553)</f>
        <v>0</v>
      </c>
      <c r="T1553" s="37" t="str">
        <f aca="false">IF($A1553="","",IF($B1553="","NO ACCOUNT",IF($Q1553=0,"UNMAPPED",IF($R1553=-1,"OUTSIDE FY RANGE","OK"))))</f>
        <v/>
      </c>
      <c r="U1553" s="40" t="str">
        <f aca="false">IF($A1553="","",$B1553&amp;"|"&amp;TEXT($A1553,"yyyymmdd")&amp;"|"&amp;TEXT($I1553,"0.00"))</f>
        <v/>
      </c>
      <c r="V1553" s="35" t="str">
        <f aca="false">IF($A1553="","",COUNTIF($U$8:$U$5007,$U1553))</f>
        <v/>
      </c>
    </row>
    <row r="1554" customFormat="false" ht="15" hidden="false" customHeight="false" outlineLevel="0" collapsed="false">
      <c r="A1554" s="31"/>
      <c r="B1554" s="32"/>
      <c r="C1554" s="32"/>
      <c r="D1554" s="32"/>
      <c r="E1554" s="32"/>
      <c r="F1554" s="32"/>
      <c r="G1554" s="33"/>
      <c r="H1554" s="33"/>
      <c r="I1554" s="34" t="str">
        <f aca="false">IF($A1554="","",$G1554-$H1554)</f>
        <v/>
      </c>
      <c r="J1554" s="35" t="str">
        <f aca="false">IF($A1554="","",IF(Setup!$B$6=1,YEAR($A1554),YEAR($A1554)+IF(MONTH($A1554)&gt;=Setup!$B$6,1,0)))</f>
        <v/>
      </c>
      <c r="K1554" s="35" t="str">
        <f aca="false">IF($A1554="","",MOD(MONTH($A1554)-Setup!$B$6+12,12)+1)</f>
        <v/>
      </c>
      <c r="L1554" s="36" t="str">
        <f aca="false">IF($A1554="","",TEXT($A1554,"MMM-YY"))</f>
        <v/>
      </c>
      <c r="M1554" s="37" t="str">
        <f aca="false">IF($A1554="","",IF($Q1554=0,"UNMAPPED",INDEX(COA_Mapping!$C$7:$C$256,$Q1554)))</f>
        <v/>
      </c>
      <c r="N1554" s="38" t="str">
        <f aca="false">IF($A1554="","",IF($Q1554=0,"",INDEX(COA_Mapping!$E$7:$E$256,$Q1554)))</f>
        <v/>
      </c>
      <c r="O1554" s="38" t="n">
        <f aca="false">IF($A1554="",1,IF($Q1554=0,1,INDEX(COA_Mapping!$F$7:$F$256,$Q1554)))</f>
        <v>1</v>
      </c>
      <c r="P1554" s="34" t="str">
        <f aca="false">IF($A1554="","",$I1554*$O1554)</f>
        <v/>
      </c>
      <c r="Q1554" s="39" t="n">
        <f aca="false">IF($B1554="",0,IFERROR(MATCH($B1554,COA_Mapping!$A$7:$A$256,0),0))</f>
        <v>0</v>
      </c>
      <c r="R1554" s="39" t="n">
        <f aca="false">IF($A1554="",-1,IF($J1554=Setup!$B$7,1,IF($J1554=Setup!$B$9,0,-1)))</f>
        <v>-1</v>
      </c>
      <c r="S1554" s="35" t="n">
        <f aca="false">IF(OR($A1554="",$Q1554=0,$R1554=-1),0,$Q1554*1000+$R1554*100+$K1554)</f>
        <v>0</v>
      </c>
      <c r="T1554" s="37" t="str">
        <f aca="false">IF($A1554="","",IF($B1554="","NO ACCOUNT",IF($Q1554=0,"UNMAPPED",IF($R1554=-1,"OUTSIDE FY RANGE","OK"))))</f>
        <v/>
      </c>
      <c r="U1554" s="40" t="str">
        <f aca="false">IF($A1554="","",$B1554&amp;"|"&amp;TEXT($A1554,"yyyymmdd")&amp;"|"&amp;TEXT($I1554,"0.00"))</f>
        <v/>
      </c>
      <c r="V1554" s="35" t="str">
        <f aca="false">IF($A1554="","",COUNTIF($U$8:$U$5007,$U1554))</f>
        <v/>
      </c>
    </row>
    <row r="1555" customFormat="false" ht="15" hidden="false" customHeight="false" outlineLevel="0" collapsed="false">
      <c r="A1555" s="31"/>
      <c r="B1555" s="32"/>
      <c r="C1555" s="32"/>
      <c r="D1555" s="32"/>
      <c r="E1555" s="32"/>
      <c r="F1555" s="32"/>
      <c r="G1555" s="33"/>
      <c r="H1555" s="33"/>
      <c r="I1555" s="34" t="str">
        <f aca="false">IF($A1555="","",$G1555-$H1555)</f>
        <v/>
      </c>
      <c r="J1555" s="35" t="str">
        <f aca="false">IF($A1555="","",IF(Setup!$B$6=1,YEAR($A1555),YEAR($A1555)+IF(MONTH($A1555)&gt;=Setup!$B$6,1,0)))</f>
        <v/>
      </c>
      <c r="K1555" s="35" t="str">
        <f aca="false">IF($A1555="","",MOD(MONTH($A1555)-Setup!$B$6+12,12)+1)</f>
        <v/>
      </c>
      <c r="L1555" s="36" t="str">
        <f aca="false">IF($A1555="","",TEXT($A1555,"MMM-YY"))</f>
        <v/>
      </c>
      <c r="M1555" s="37" t="str">
        <f aca="false">IF($A1555="","",IF($Q1555=0,"UNMAPPED",INDEX(COA_Mapping!$C$7:$C$256,$Q1555)))</f>
        <v/>
      </c>
      <c r="N1555" s="38" t="str">
        <f aca="false">IF($A1555="","",IF($Q1555=0,"",INDEX(COA_Mapping!$E$7:$E$256,$Q1555)))</f>
        <v/>
      </c>
      <c r="O1555" s="38" t="n">
        <f aca="false">IF($A1555="",1,IF($Q1555=0,1,INDEX(COA_Mapping!$F$7:$F$256,$Q1555)))</f>
        <v>1</v>
      </c>
      <c r="P1555" s="34" t="str">
        <f aca="false">IF($A1555="","",$I1555*$O1555)</f>
        <v/>
      </c>
      <c r="Q1555" s="39" t="n">
        <f aca="false">IF($B1555="",0,IFERROR(MATCH($B1555,COA_Mapping!$A$7:$A$256,0),0))</f>
        <v>0</v>
      </c>
      <c r="R1555" s="39" t="n">
        <f aca="false">IF($A1555="",-1,IF($J1555=Setup!$B$7,1,IF($J1555=Setup!$B$9,0,-1)))</f>
        <v>-1</v>
      </c>
      <c r="S1555" s="35" t="n">
        <f aca="false">IF(OR($A1555="",$Q1555=0,$R1555=-1),0,$Q1555*1000+$R1555*100+$K1555)</f>
        <v>0</v>
      </c>
      <c r="T1555" s="37" t="str">
        <f aca="false">IF($A1555="","",IF($B1555="","NO ACCOUNT",IF($Q1555=0,"UNMAPPED",IF($R1555=-1,"OUTSIDE FY RANGE","OK"))))</f>
        <v/>
      </c>
      <c r="U1555" s="40" t="str">
        <f aca="false">IF($A1555="","",$B1555&amp;"|"&amp;TEXT($A1555,"yyyymmdd")&amp;"|"&amp;TEXT($I1555,"0.00"))</f>
        <v/>
      </c>
      <c r="V1555" s="35" t="str">
        <f aca="false">IF($A1555="","",COUNTIF($U$8:$U$5007,$U1555))</f>
        <v/>
      </c>
    </row>
    <row r="1556" customFormat="false" ht="15" hidden="false" customHeight="false" outlineLevel="0" collapsed="false">
      <c r="A1556" s="31"/>
      <c r="B1556" s="32"/>
      <c r="C1556" s="32"/>
      <c r="D1556" s="32"/>
      <c r="E1556" s="32"/>
      <c r="F1556" s="32"/>
      <c r="G1556" s="33"/>
      <c r="H1556" s="33"/>
      <c r="I1556" s="34" t="str">
        <f aca="false">IF($A1556="","",$G1556-$H1556)</f>
        <v/>
      </c>
      <c r="J1556" s="35" t="str">
        <f aca="false">IF($A1556="","",IF(Setup!$B$6=1,YEAR($A1556),YEAR($A1556)+IF(MONTH($A1556)&gt;=Setup!$B$6,1,0)))</f>
        <v/>
      </c>
      <c r="K1556" s="35" t="str">
        <f aca="false">IF($A1556="","",MOD(MONTH($A1556)-Setup!$B$6+12,12)+1)</f>
        <v/>
      </c>
      <c r="L1556" s="36" t="str">
        <f aca="false">IF($A1556="","",TEXT($A1556,"MMM-YY"))</f>
        <v/>
      </c>
      <c r="M1556" s="37" t="str">
        <f aca="false">IF($A1556="","",IF($Q1556=0,"UNMAPPED",INDEX(COA_Mapping!$C$7:$C$256,$Q1556)))</f>
        <v/>
      </c>
      <c r="N1556" s="38" t="str">
        <f aca="false">IF($A1556="","",IF($Q1556=0,"",INDEX(COA_Mapping!$E$7:$E$256,$Q1556)))</f>
        <v/>
      </c>
      <c r="O1556" s="38" t="n">
        <f aca="false">IF($A1556="",1,IF($Q1556=0,1,INDEX(COA_Mapping!$F$7:$F$256,$Q1556)))</f>
        <v>1</v>
      </c>
      <c r="P1556" s="34" t="str">
        <f aca="false">IF($A1556="","",$I1556*$O1556)</f>
        <v/>
      </c>
      <c r="Q1556" s="39" t="n">
        <f aca="false">IF($B1556="",0,IFERROR(MATCH($B1556,COA_Mapping!$A$7:$A$256,0),0))</f>
        <v>0</v>
      </c>
      <c r="R1556" s="39" t="n">
        <f aca="false">IF($A1556="",-1,IF($J1556=Setup!$B$7,1,IF($J1556=Setup!$B$9,0,-1)))</f>
        <v>-1</v>
      </c>
      <c r="S1556" s="35" t="n">
        <f aca="false">IF(OR($A1556="",$Q1556=0,$R1556=-1),0,$Q1556*1000+$R1556*100+$K1556)</f>
        <v>0</v>
      </c>
      <c r="T1556" s="37" t="str">
        <f aca="false">IF($A1556="","",IF($B1556="","NO ACCOUNT",IF($Q1556=0,"UNMAPPED",IF($R1556=-1,"OUTSIDE FY RANGE","OK"))))</f>
        <v/>
      </c>
      <c r="U1556" s="40" t="str">
        <f aca="false">IF($A1556="","",$B1556&amp;"|"&amp;TEXT($A1556,"yyyymmdd")&amp;"|"&amp;TEXT($I1556,"0.00"))</f>
        <v/>
      </c>
      <c r="V1556" s="35" t="str">
        <f aca="false">IF($A1556="","",COUNTIF($U$8:$U$5007,$U1556))</f>
        <v/>
      </c>
    </row>
    <row r="1557" customFormat="false" ht="15" hidden="false" customHeight="false" outlineLevel="0" collapsed="false">
      <c r="A1557" s="31"/>
      <c r="B1557" s="32"/>
      <c r="C1557" s="32"/>
      <c r="D1557" s="32"/>
      <c r="E1557" s="32"/>
      <c r="F1557" s="32"/>
      <c r="G1557" s="33"/>
      <c r="H1557" s="33"/>
      <c r="I1557" s="34" t="str">
        <f aca="false">IF($A1557="","",$G1557-$H1557)</f>
        <v/>
      </c>
      <c r="J1557" s="35" t="str">
        <f aca="false">IF($A1557="","",IF(Setup!$B$6=1,YEAR($A1557),YEAR($A1557)+IF(MONTH($A1557)&gt;=Setup!$B$6,1,0)))</f>
        <v/>
      </c>
      <c r="K1557" s="35" t="str">
        <f aca="false">IF($A1557="","",MOD(MONTH($A1557)-Setup!$B$6+12,12)+1)</f>
        <v/>
      </c>
      <c r="L1557" s="36" t="str">
        <f aca="false">IF($A1557="","",TEXT($A1557,"MMM-YY"))</f>
        <v/>
      </c>
      <c r="M1557" s="37" t="str">
        <f aca="false">IF($A1557="","",IF($Q1557=0,"UNMAPPED",INDEX(COA_Mapping!$C$7:$C$256,$Q1557)))</f>
        <v/>
      </c>
      <c r="N1557" s="38" t="str">
        <f aca="false">IF($A1557="","",IF($Q1557=0,"",INDEX(COA_Mapping!$E$7:$E$256,$Q1557)))</f>
        <v/>
      </c>
      <c r="O1557" s="38" t="n">
        <f aca="false">IF($A1557="",1,IF($Q1557=0,1,INDEX(COA_Mapping!$F$7:$F$256,$Q1557)))</f>
        <v>1</v>
      </c>
      <c r="P1557" s="34" t="str">
        <f aca="false">IF($A1557="","",$I1557*$O1557)</f>
        <v/>
      </c>
      <c r="Q1557" s="39" t="n">
        <f aca="false">IF($B1557="",0,IFERROR(MATCH($B1557,COA_Mapping!$A$7:$A$256,0),0))</f>
        <v>0</v>
      </c>
      <c r="R1557" s="39" t="n">
        <f aca="false">IF($A1557="",-1,IF($J1557=Setup!$B$7,1,IF($J1557=Setup!$B$9,0,-1)))</f>
        <v>-1</v>
      </c>
      <c r="S1557" s="35" t="n">
        <f aca="false">IF(OR($A1557="",$Q1557=0,$R1557=-1),0,$Q1557*1000+$R1557*100+$K1557)</f>
        <v>0</v>
      </c>
      <c r="T1557" s="37" t="str">
        <f aca="false">IF($A1557="","",IF($B1557="","NO ACCOUNT",IF($Q1557=0,"UNMAPPED",IF($R1557=-1,"OUTSIDE FY RANGE","OK"))))</f>
        <v/>
      </c>
      <c r="U1557" s="40" t="str">
        <f aca="false">IF($A1557="","",$B1557&amp;"|"&amp;TEXT($A1557,"yyyymmdd")&amp;"|"&amp;TEXT($I1557,"0.00"))</f>
        <v/>
      </c>
      <c r="V1557" s="35" t="str">
        <f aca="false">IF($A1557="","",COUNTIF($U$8:$U$5007,$U1557))</f>
        <v/>
      </c>
    </row>
    <row r="1558" customFormat="false" ht="15" hidden="false" customHeight="false" outlineLevel="0" collapsed="false">
      <c r="A1558" s="31"/>
      <c r="B1558" s="32"/>
      <c r="C1558" s="32"/>
      <c r="D1558" s="32"/>
      <c r="E1558" s="32"/>
      <c r="F1558" s="32"/>
      <c r="G1558" s="33"/>
      <c r="H1558" s="33"/>
      <c r="I1558" s="34" t="str">
        <f aca="false">IF($A1558="","",$G1558-$H1558)</f>
        <v/>
      </c>
      <c r="J1558" s="35" t="str">
        <f aca="false">IF($A1558="","",IF(Setup!$B$6=1,YEAR($A1558),YEAR($A1558)+IF(MONTH($A1558)&gt;=Setup!$B$6,1,0)))</f>
        <v/>
      </c>
      <c r="K1558" s="35" t="str">
        <f aca="false">IF($A1558="","",MOD(MONTH($A1558)-Setup!$B$6+12,12)+1)</f>
        <v/>
      </c>
      <c r="L1558" s="36" t="str">
        <f aca="false">IF($A1558="","",TEXT($A1558,"MMM-YY"))</f>
        <v/>
      </c>
      <c r="M1558" s="37" t="str">
        <f aca="false">IF($A1558="","",IF($Q1558=0,"UNMAPPED",INDEX(COA_Mapping!$C$7:$C$256,$Q1558)))</f>
        <v/>
      </c>
      <c r="N1558" s="38" t="str">
        <f aca="false">IF($A1558="","",IF($Q1558=0,"",INDEX(COA_Mapping!$E$7:$E$256,$Q1558)))</f>
        <v/>
      </c>
      <c r="O1558" s="38" t="n">
        <f aca="false">IF($A1558="",1,IF($Q1558=0,1,INDEX(COA_Mapping!$F$7:$F$256,$Q1558)))</f>
        <v>1</v>
      </c>
      <c r="P1558" s="34" t="str">
        <f aca="false">IF($A1558="","",$I1558*$O1558)</f>
        <v/>
      </c>
      <c r="Q1558" s="39" t="n">
        <f aca="false">IF($B1558="",0,IFERROR(MATCH($B1558,COA_Mapping!$A$7:$A$256,0),0))</f>
        <v>0</v>
      </c>
      <c r="R1558" s="39" t="n">
        <f aca="false">IF($A1558="",-1,IF($J1558=Setup!$B$7,1,IF($J1558=Setup!$B$9,0,-1)))</f>
        <v>-1</v>
      </c>
      <c r="S1558" s="35" t="n">
        <f aca="false">IF(OR($A1558="",$Q1558=0,$R1558=-1),0,$Q1558*1000+$R1558*100+$K1558)</f>
        <v>0</v>
      </c>
      <c r="T1558" s="37" t="str">
        <f aca="false">IF($A1558="","",IF($B1558="","NO ACCOUNT",IF($Q1558=0,"UNMAPPED",IF($R1558=-1,"OUTSIDE FY RANGE","OK"))))</f>
        <v/>
      </c>
      <c r="U1558" s="40" t="str">
        <f aca="false">IF($A1558="","",$B1558&amp;"|"&amp;TEXT($A1558,"yyyymmdd")&amp;"|"&amp;TEXT($I1558,"0.00"))</f>
        <v/>
      </c>
      <c r="V1558" s="35" t="str">
        <f aca="false">IF($A1558="","",COUNTIF($U$8:$U$5007,$U1558))</f>
        <v/>
      </c>
    </row>
    <row r="1559" customFormat="false" ht="15" hidden="false" customHeight="false" outlineLevel="0" collapsed="false">
      <c r="A1559" s="31"/>
      <c r="B1559" s="32"/>
      <c r="C1559" s="32"/>
      <c r="D1559" s="32"/>
      <c r="E1559" s="32"/>
      <c r="F1559" s="32"/>
      <c r="G1559" s="33"/>
      <c r="H1559" s="33"/>
      <c r="I1559" s="34" t="str">
        <f aca="false">IF($A1559="","",$G1559-$H1559)</f>
        <v/>
      </c>
      <c r="J1559" s="35" t="str">
        <f aca="false">IF($A1559="","",IF(Setup!$B$6=1,YEAR($A1559),YEAR($A1559)+IF(MONTH($A1559)&gt;=Setup!$B$6,1,0)))</f>
        <v/>
      </c>
      <c r="K1559" s="35" t="str">
        <f aca="false">IF($A1559="","",MOD(MONTH($A1559)-Setup!$B$6+12,12)+1)</f>
        <v/>
      </c>
      <c r="L1559" s="36" t="str">
        <f aca="false">IF($A1559="","",TEXT($A1559,"MMM-YY"))</f>
        <v/>
      </c>
      <c r="M1559" s="37" t="str">
        <f aca="false">IF($A1559="","",IF($Q1559=0,"UNMAPPED",INDEX(COA_Mapping!$C$7:$C$256,$Q1559)))</f>
        <v/>
      </c>
      <c r="N1559" s="38" t="str">
        <f aca="false">IF($A1559="","",IF($Q1559=0,"",INDEX(COA_Mapping!$E$7:$E$256,$Q1559)))</f>
        <v/>
      </c>
      <c r="O1559" s="38" t="n">
        <f aca="false">IF($A1559="",1,IF($Q1559=0,1,INDEX(COA_Mapping!$F$7:$F$256,$Q1559)))</f>
        <v>1</v>
      </c>
      <c r="P1559" s="34" t="str">
        <f aca="false">IF($A1559="","",$I1559*$O1559)</f>
        <v/>
      </c>
      <c r="Q1559" s="39" t="n">
        <f aca="false">IF($B1559="",0,IFERROR(MATCH($B1559,COA_Mapping!$A$7:$A$256,0),0))</f>
        <v>0</v>
      </c>
      <c r="R1559" s="39" t="n">
        <f aca="false">IF($A1559="",-1,IF($J1559=Setup!$B$7,1,IF($J1559=Setup!$B$9,0,-1)))</f>
        <v>-1</v>
      </c>
      <c r="S1559" s="35" t="n">
        <f aca="false">IF(OR($A1559="",$Q1559=0,$R1559=-1),0,$Q1559*1000+$R1559*100+$K1559)</f>
        <v>0</v>
      </c>
      <c r="T1559" s="37" t="str">
        <f aca="false">IF($A1559="","",IF($B1559="","NO ACCOUNT",IF($Q1559=0,"UNMAPPED",IF($R1559=-1,"OUTSIDE FY RANGE","OK"))))</f>
        <v/>
      </c>
      <c r="U1559" s="40" t="str">
        <f aca="false">IF($A1559="","",$B1559&amp;"|"&amp;TEXT($A1559,"yyyymmdd")&amp;"|"&amp;TEXT($I1559,"0.00"))</f>
        <v/>
      </c>
      <c r="V1559" s="35" t="str">
        <f aca="false">IF($A1559="","",COUNTIF($U$8:$U$5007,$U1559))</f>
        <v/>
      </c>
    </row>
    <row r="1560" customFormat="false" ht="15" hidden="false" customHeight="false" outlineLevel="0" collapsed="false">
      <c r="A1560" s="31"/>
      <c r="B1560" s="32"/>
      <c r="C1560" s="32"/>
      <c r="D1560" s="32"/>
      <c r="E1560" s="32"/>
      <c r="F1560" s="32"/>
      <c r="G1560" s="33"/>
      <c r="H1560" s="33"/>
      <c r="I1560" s="34" t="str">
        <f aca="false">IF($A1560="","",$G1560-$H1560)</f>
        <v/>
      </c>
      <c r="J1560" s="35" t="str">
        <f aca="false">IF($A1560="","",IF(Setup!$B$6=1,YEAR($A1560),YEAR($A1560)+IF(MONTH($A1560)&gt;=Setup!$B$6,1,0)))</f>
        <v/>
      </c>
      <c r="K1560" s="35" t="str">
        <f aca="false">IF($A1560="","",MOD(MONTH($A1560)-Setup!$B$6+12,12)+1)</f>
        <v/>
      </c>
      <c r="L1560" s="36" t="str">
        <f aca="false">IF($A1560="","",TEXT($A1560,"MMM-YY"))</f>
        <v/>
      </c>
      <c r="M1560" s="37" t="str">
        <f aca="false">IF($A1560="","",IF($Q1560=0,"UNMAPPED",INDEX(COA_Mapping!$C$7:$C$256,$Q1560)))</f>
        <v/>
      </c>
      <c r="N1560" s="38" t="str">
        <f aca="false">IF($A1560="","",IF($Q1560=0,"",INDEX(COA_Mapping!$E$7:$E$256,$Q1560)))</f>
        <v/>
      </c>
      <c r="O1560" s="38" t="n">
        <f aca="false">IF($A1560="",1,IF($Q1560=0,1,INDEX(COA_Mapping!$F$7:$F$256,$Q1560)))</f>
        <v>1</v>
      </c>
      <c r="P1560" s="34" t="str">
        <f aca="false">IF($A1560="","",$I1560*$O1560)</f>
        <v/>
      </c>
      <c r="Q1560" s="39" t="n">
        <f aca="false">IF($B1560="",0,IFERROR(MATCH($B1560,COA_Mapping!$A$7:$A$256,0),0))</f>
        <v>0</v>
      </c>
      <c r="R1560" s="39" t="n">
        <f aca="false">IF($A1560="",-1,IF($J1560=Setup!$B$7,1,IF($J1560=Setup!$B$9,0,-1)))</f>
        <v>-1</v>
      </c>
      <c r="S1560" s="35" t="n">
        <f aca="false">IF(OR($A1560="",$Q1560=0,$R1560=-1),0,$Q1560*1000+$R1560*100+$K1560)</f>
        <v>0</v>
      </c>
      <c r="T1560" s="37" t="str">
        <f aca="false">IF($A1560="","",IF($B1560="","NO ACCOUNT",IF($Q1560=0,"UNMAPPED",IF($R1560=-1,"OUTSIDE FY RANGE","OK"))))</f>
        <v/>
      </c>
      <c r="U1560" s="40" t="str">
        <f aca="false">IF($A1560="","",$B1560&amp;"|"&amp;TEXT($A1560,"yyyymmdd")&amp;"|"&amp;TEXT($I1560,"0.00"))</f>
        <v/>
      </c>
      <c r="V1560" s="35" t="str">
        <f aca="false">IF($A1560="","",COUNTIF($U$8:$U$5007,$U1560))</f>
        <v/>
      </c>
    </row>
    <row r="1561" customFormat="false" ht="15" hidden="false" customHeight="false" outlineLevel="0" collapsed="false">
      <c r="A1561" s="31"/>
      <c r="B1561" s="32"/>
      <c r="C1561" s="32"/>
      <c r="D1561" s="32"/>
      <c r="E1561" s="32"/>
      <c r="F1561" s="32"/>
      <c r="G1561" s="33"/>
      <c r="H1561" s="33"/>
      <c r="I1561" s="34" t="str">
        <f aca="false">IF($A1561="","",$G1561-$H1561)</f>
        <v/>
      </c>
      <c r="J1561" s="35" t="str">
        <f aca="false">IF($A1561="","",IF(Setup!$B$6=1,YEAR($A1561),YEAR($A1561)+IF(MONTH($A1561)&gt;=Setup!$B$6,1,0)))</f>
        <v/>
      </c>
      <c r="K1561" s="35" t="str">
        <f aca="false">IF($A1561="","",MOD(MONTH($A1561)-Setup!$B$6+12,12)+1)</f>
        <v/>
      </c>
      <c r="L1561" s="36" t="str">
        <f aca="false">IF($A1561="","",TEXT($A1561,"MMM-YY"))</f>
        <v/>
      </c>
      <c r="M1561" s="37" t="str">
        <f aca="false">IF($A1561="","",IF($Q1561=0,"UNMAPPED",INDEX(COA_Mapping!$C$7:$C$256,$Q1561)))</f>
        <v/>
      </c>
      <c r="N1561" s="38" t="str">
        <f aca="false">IF($A1561="","",IF($Q1561=0,"",INDEX(COA_Mapping!$E$7:$E$256,$Q1561)))</f>
        <v/>
      </c>
      <c r="O1561" s="38" t="n">
        <f aca="false">IF($A1561="",1,IF($Q1561=0,1,INDEX(COA_Mapping!$F$7:$F$256,$Q1561)))</f>
        <v>1</v>
      </c>
      <c r="P1561" s="34" t="str">
        <f aca="false">IF($A1561="","",$I1561*$O1561)</f>
        <v/>
      </c>
      <c r="Q1561" s="39" t="n">
        <f aca="false">IF($B1561="",0,IFERROR(MATCH($B1561,COA_Mapping!$A$7:$A$256,0),0))</f>
        <v>0</v>
      </c>
      <c r="R1561" s="39" t="n">
        <f aca="false">IF($A1561="",-1,IF($J1561=Setup!$B$7,1,IF($J1561=Setup!$B$9,0,-1)))</f>
        <v>-1</v>
      </c>
      <c r="S1561" s="35" t="n">
        <f aca="false">IF(OR($A1561="",$Q1561=0,$R1561=-1),0,$Q1561*1000+$R1561*100+$K1561)</f>
        <v>0</v>
      </c>
      <c r="T1561" s="37" t="str">
        <f aca="false">IF($A1561="","",IF($B1561="","NO ACCOUNT",IF($Q1561=0,"UNMAPPED",IF($R1561=-1,"OUTSIDE FY RANGE","OK"))))</f>
        <v/>
      </c>
      <c r="U1561" s="40" t="str">
        <f aca="false">IF($A1561="","",$B1561&amp;"|"&amp;TEXT($A1561,"yyyymmdd")&amp;"|"&amp;TEXT($I1561,"0.00"))</f>
        <v/>
      </c>
      <c r="V1561" s="35" t="str">
        <f aca="false">IF($A1561="","",COUNTIF($U$8:$U$5007,$U1561))</f>
        <v/>
      </c>
    </row>
    <row r="1562" customFormat="false" ht="15" hidden="false" customHeight="false" outlineLevel="0" collapsed="false">
      <c r="A1562" s="31"/>
      <c r="B1562" s="32"/>
      <c r="C1562" s="32"/>
      <c r="D1562" s="32"/>
      <c r="E1562" s="32"/>
      <c r="F1562" s="32"/>
      <c r="G1562" s="33"/>
      <c r="H1562" s="33"/>
      <c r="I1562" s="34" t="str">
        <f aca="false">IF($A1562="","",$G1562-$H1562)</f>
        <v/>
      </c>
      <c r="J1562" s="35" t="str">
        <f aca="false">IF($A1562="","",IF(Setup!$B$6=1,YEAR($A1562),YEAR($A1562)+IF(MONTH($A1562)&gt;=Setup!$B$6,1,0)))</f>
        <v/>
      </c>
      <c r="K1562" s="35" t="str">
        <f aca="false">IF($A1562="","",MOD(MONTH($A1562)-Setup!$B$6+12,12)+1)</f>
        <v/>
      </c>
      <c r="L1562" s="36" t="str">
        <f aca="false">IF($A1562="","",TEXT($A1562,"MMM-YY"))</f>
        <v/>
      </c>
      <c r="M1562" s="37" t="str">
        <f aca="false">IF($A1562="","",IF($Q1562=0,"UNMAPPED",INDEX(COA_Mapping!$C$7:$C$256,$Q1562)))</f>
        <v/>
      </c>
      <c r="N1562" s="38" t="str">
        <f aca="false">IF($A1562="","",IF($Q1562=0,"",INDEX(COA_Mapping!$E$7:$E$256,$Q1562)))</f>
        <v/>
      </c>
      <c r="O1562" s="38" t="n">
        <f aca="false">IF($A1562="",1,IF($Q1562=0,1,INDEX(COA_Mapping!$F$7:$F$256,$Q1562)))</f>
        <v>1</v>
      </c>
      <c r="P1562" s="34" t="str">
        <f aca="false">IF($A1562="","",$I1562*$O1562)</f>
        <v/>
      </c>
      <c r="Q1562" s="39" t="n">
        <f aca="false">IF($B1562="",0,IFERROR(MATCH($B1562,COA_Mapping!$A$7:$A$256,0),0))</f>
        <v>0</v>
      </c>
      <c r="R1562" s="39" t="n">
        <f aca="false">IF($A1562="",-1,IF($J1562=Setup!$B$7,1,IF($J1562=Setup!$B$9,0,-1)))</f>
        <v>-1</v>
      </c>
      <c r="S1562" s="35" t="n">
        <f aca="false">IF(OR($A1562="",$Q1562=0,$R1562=-1),0,$Q1562*1000+$R1562*100+$K1562)</f>
        <v>0</v>
      </c>
      <c r="T1562" s="37" t="str">
        <f aca="false">IF($A1562="","",IF($B1562="","NO ACCOUNT",IF($Q1562=0,"UNMAPPED",IF($R1562=-1,"OUTSIDE FY RANGE","OK"))))</f>
        <v/>
      </c>
      <c r="U1562" s="40" t="str">
        <f aca="false">IF($A1562="","",$B1562&amp;"|"&amp;TEXT($A1562,"yyyymmdd")&amp;"|"&amp;TEXT($I1562,"0.00"))</f>
        <v/>
      </c>
      <c r="V1562" s="35" t="str">
        <f aca="false">IF($A1562="","",COUNTIF($U$8:$U$5007,$U1562))</f>
        <v/>
      </c>
    </row>
    <row r="1563" customFormat="false" ht="15" hidden="false" customHeight="false" outlineLevel="0" collapsed="false">
      <c r="A1563" s="31"/>
      <c r="B1563" s="32"/>
      <c r="C1563" s="32"/>
      <c r="D1563" s="32"/>
      <c r="E1563" s="32"/>
      <c r="F1563" s="32"/>
      <c r="G1563" s="33"/>
      <c r="H1563" s="33"/>
      <c r="I1563" s="34" t="str">
        <f aca="false">IF($A1563="","",$G1563-$H1563)</f>
        <v/>
      </c>
      <c r="J1563" s="35" t="str">
        <f aca="false">IF($A1563="","",IF(Setup!$B$6=1,YEAR($A1563),YEAR($A1563)+IF(MONTH($A1563)&gt;=Setup!$B$6,1,0)))</f>
        <v/>
      </c>
      <c r="K1563" s="35" t="str">
        <f aca="false">IF($A1563="","",MOD(MONTH($A1563)-Setup!$B$6+12,12)+1)</f>
        <v/>
      </c>
      <c r="L1563" s="36" t="str">
        <f aca="false">IF($A1563="","",TEXT($A1563,"MMM-YY"))</f>
        <v/>
      </c>
      <c r="M1563" s="37" t="str">
        <f aca="false">IF($A1563="","",IF($Q1563=0,"UNMAPPED",INDEX(COA_Mapping!$C$7:$C$256,$Q1563)))</f>
        <v/>
      </c>
      <c r="N1563" s="38" t="str">
        <f aca="false">IF($A1563="","",IF($Q1563=0,"",INDEX(COA_Mapping!$E$7:$E$256,$Q1563)))</f>
        <v/>
      </c>
      <c r="O1563" s="38" t="n">
        <f aca="false">IF($A1563="",1,IF($Q1563=0,1,INDEX(COA_Mapping!$F$7:$F$256,$Q1563)))</f>
        <v>1</v>
      </c>
      <c r="P1563" s="34" t="str">
        <f aca="false">IF($A1563="","",$I1563*$O1563)</f>
        <v/>
      </c>
      <c r="Q1563" s="39" t="n">
        <f aca="false">IF($B1563="",0,IFERROR(MATCH($B1563,COA_Mapping!$A$7:$A$256,0),0))</f>
        <v>0</v>
      </c>
      <c r="R1563" s="39" t="n">
        <f aca="false">IF($A1563="",-1,IF($J1563=Setup!$B$7,1,IF($J1563=Setup!$B$9,0,-1)))</f>
        <v>-1</v>
      </c>
      <c r="S1563" s="35" t="n">
        <f aca="false">IF(OR($A1563="",$Q1563=0,$R1563=-1),0,$Q1563*1000+$R1563*100+$K1563)</f>
        <v>0</v>
      </c>
      <c r="T1563" s="37" t="str">
        <f aca="false">IF($A1563="","",IF($B1563="","NO ACCOUNT",IF($Q1563=0,"UNMAPPED",IF($R1563=-1,"OUTSIDE FY RANGE","OK"))))</f>
        <v/>
      </c>
      <c r="U1563" s="40" t="str">
        <f aca="false">IF($A1563="","",$B1563&amp;"|"&amp;TEXT($A1563,"yyyymmdd")&amp;"|"&amp;TEXT($I1563,"0.00"))</f>
        <v/>
      </c>
      <c r="V1563" s="35" t="str">
        <f aca="false">IF($A1563="","",COUNTIF($U$8:$U$5007,$U1563))</f>
        <v/>
      </c>
    </row>
    <row r="1564" customFormat="false" ht="15" hidden="false" customHeight="false" outlineLevel="0" collapsed="false">
      <c r="A1564" s="31"/>
      <c r="B1564" s="32"/>
      <c r="C1564" s="32"/>
      <c r="D1564" s="32"/>
      <c r="E1564" s="32"/>
      <c r="F1564" s="32"/>
      <c r="G1564" s="33"/>
      <c r="H1564" s="33"/>
      <c r="I1564" s="34" t="str">
        <f aca="false">IF($A1564="","",$G1564-$H1564)</f>
        <v/>
      </c>
      <c r="J1564" s="35" t="str">
        <f aca="false">IF($A1564="","",IF(Setup!$B$6=1,YEAR($A1564),YEAR($A1564)+IF(MONTH($A1564)&gt;=Setup!$B$6,1,0)))</f>
        <v/>
      </c>
      <c r="K1564" s="35" t="str">
        <f aca="false">IF($A1564="","",MOD(MONTH($A1564)-Setup!$B$6+12,12)+1)</f>
        <v/>
      </c>
      <c r="L1564" s="36" t="str">
        <f aca="false">IF($A1564="","",TEXT($A1564,"MMM-YY"))</f>
        <v/>
      </c>
      <c r="M1564" s="37" t="str">
        <f aca="false">IF($A1564="","",IF($Q1564=0,"UNMAPPED",INDEX(COA_Mapping!$C$7:$C$256,$Q1564)))</f>
        <v/>
      </c>
      <c r="N1564" s="38" t="str">
        <f aca="false">IF($A1564="","",IF($Q1564=0,"",INDEX(COA_Mapping!$E$7:$E$256,$Q1564)))</f>
        <v/>
      </c>
      <c r="O1564" s="38" t="n">
        <f aca="false">IF($A1564="",1,IF($Q1564=0,1,INDEX(COA_Mapping!$F$7:$F$256,$Q1564)))</f>
        <v>1</v>
      </c>
      <c r="P1564" s="34" t="str">
        <f aca="false">IF($A1564="","",$I1564*$O1564)</f>
        <v/>
      </c>
      <c r="Q1564" s="39" t="n">
        <f aca="false">IF($B1564="",0,IFERROR(MATCH($B1564,COA_Mapping!$A$7:$A$256,0),0))</f>
        <v>0</v>
      </c>
      <c r="R1564" s="39" t="n">
        <f aca="false">IF($A1564="",-1,IF($J1564=Setup!$B$7,1,IF($J1564=Setup!$B$9,0,-1)))</f>
        <v>-1</v>
      </c>
      <c r="S1564" s="35" t="n">
        <f aca="false">IF(OR($A1564="",$Q1564=0,$R1564=-1),0,$Q1564*1000+$R1564*100+$K1564)</f>
        <v>0</v>
      </c>
      <c r="T1564" s="37" t="str">
        <f aca="false">IF($A1564="","",IF($B1564="","NO ACCOUNT",IF($Q1564=0,"UNMAPPED",IF($R1564=-1,"OUTSIDE FY RANGE","OK"))))</f>
        <v/>
      </c>
      <c r="U1564" s="40" t="str">
        <f aca="false">IF($A1564="","",$B1564&amp;"|"&amp;TEXT($A1564,"yyyymmdd")&amp;"|"&amp;TEXT($I1564,"0.00"))</f>
        <v/>
      </c>
      <c r="V1564" s="35" t="str">
        <f aca="false">IF($A1564="","",COUNTIF($U$8:$U$5007,$U1564))</f>
        <v/>
      </c>
    </row>
    <row r="1565" customFormat="false" ht="15" hidden="false" customHeight="false" outlineLevel="0" collapsed="false">
      <c r="A1565" s="31"/>
      <c r="B1565" s="32"/>
      <c r="C1565" s="32"/>
      <c r="D1565" s="32"/>
      <c r="E1565" s="32"/>
      <c r="F1565" s="32"/>
      <c r="G1565" s="33"/>
      <c r="H1565" s="33"/>
      <c r="I1565" s="34" t="str">
        <f aca="false">IF($A1565="","",$G1565-$H1565)</f>
        <v/>
      </c>
      <c r="J1565" s="35" t="str">
        <f aca="false">IF($A1565="","",IF(Setup!$B$6=1,YEAR($A1565),YEAR($A1565)+IF(MONTH($A1565)&gt;=Setup!$B$6,1,0)))</f>
        <v/>
      </c>
      <c r="K1565" s="35" t="str">
        <f aca="false">IF($A1565="","",MOD(MONTH($A1565)-Setup!$B$6+12,12)+1)</f>
        <v/>
      </c>
      <c r="L1565" s="36" t="str">
        <f aca="false">IF($A1565="","",TEXT($A1565,"MMM-YY"))</f>
        <v/>
      </c>
      <c r="M1565" s="37" t="str">
        <f aca="false">IF($A1565="","",IF($Q1565=0,"UNMAPPED",INDEX(COA_Mapping!$C$7:$C$256,$Q1565)))</f>
        <v/>
      </c>
      <c r="N1565" s="38" t="str">
        <f aca="false">IF($A1565="","",IF($Q1565=0,"",INDEX(COA_Mapping!$E$7:$E$256,$Q1565)))</f>
        <v/>
      </c>
      <c r="O1565" s="38" t="n">
        <f aca="false">IF($A1565="",1,IF($Q1565=0,1,INDEX(COA_Mapping!$F$7:$F$256,$Q1565)))</f>
        <v>1</v>
      </c>
      <c r="P1565" s="34" t="str">
        <f aca="false">IF($A1565="","",$I1565*$O1565)</f>
        <v/>
      </c>
      <c r="Q1565" s="39" t="n">
        <f aca="false">IF($B1565="",0,IFERROR(MATCH($B1565,COA_Mapping!$A$7:$A$256,0),0))</f>
        <v>0</v>
      </c>
      <c r="R1565" s="39" t="n">
        <f aca="false">IF($A1565="",-1,IF($J1565=Setup!$B$7,1,IF($J1565=Setup!$B$9,0,-1)))</f>
        <v>-1</v>
      </c>
      <c r="S1565" s="35" t="n">
        <f aca="false">IF(OR($A1565="",$Q1565=0,$R1565=-1),0,$Q1565*1000+$R1565*100+$K1565)</f>
        <v>0</v>
      </c>
      <c r="T1565" s="37" t="str">
        <f aca="false">IF($A1565="","",IF($B1565="","NO ACCOUNT",IF($Q1565=0,"UNMAPPED",IF($R1565=-1,"OUTSIDE FY RANGE","OK"))))</f>
        <v/>
      </c>
      <c r="U1565" s="40" t="str">
        <f aca="false">IF($A1565="","",$B1565&amp;"|"&amp;TEXT($A1565,"yyyymmdd")&amp;"|"&amp;TEXT($I1565,"0.00"))</f>
        <v/>
      </c>
      <c r="V1565" s="35" t="str">
        <f aca="false">IF($A1565="","",COUNTIF($U$8:$U$5007,$U1565))</f>
        <v/>
      </c>
    </row>
    <row r="1566" customFormat="false" ht="15" hidden="false" customHeight="false" outlineLevel="0" collapsed="false">
      <c r="A1566" s="31"/>
      <c r="B1566" s="32"/>
      <c r="C1566" s="32"/>
      <c r="D1566" s="32"/>
      <c r="E1566" s="32"/>
      <c r="F1566" s="32"/>
      <c r="G1566" s="33"/>
      <c r="H1566" s="33"/>
      <c r="I1566" s="34" t="str">
        <f aca="false">IF($A1566="","",$G1566-$H1566)</f>
        <v/>
      </c>
      <c r="J1566" s="35" t="str">
        <f aca="false">IF($A1566="","",IF(Setup!$B$6=1,YEAR($A1566),YEAR($A1566)+IF(MONTH($A1566)&gt;=Setup!$B$6,1,0)))</f>
        <v/>
      </c>
      <c r="K1566" s="35" t="str">
        <f aca="false">IF($A1566="","",MOD(MONTH($A1566)-Setup!$B$6+12,12)+1)</f>
        <v/>
      </c>
      <c r="L1566" s="36" t="str">
        <f aca="false">IF($A1566="","",TEXT($A1566,"MMM-YY"))</f>
        <v/>
      </c>
      <c r="M1566" s="37" t="str">
        <f aca="false">IF($A1566="","",IF($Q1566=0,"UNMAPPED",INDEX(COA_Mapping!$C$7:$C$256,$Q1566)))</f>
        <v/>
      </c>
      <c r="N1566" s="38" t="str">
        <f aca="false">IF($A1566="","",IF($Q1566=0,"",INDEX(COA_Mapping!$E$7:$E$256,$Q1566)))</f>
        <v/>
      </c>
      <c r="O1566" s="38" t="n">
        <f aca="false">IF($A1566="",1,IF($Q1566=0,1,INDEX(COA_Mapping!$F$7:$F$256,$Q1566)))</f>
        <v>1</v>
      </c>
      <c r="P1566" s="34" t="str">
        <f aca="false">IF($A1566="","",$I1566*$O1566)</f>
        <v/>
      </c>
      <c r="Q1566" s="39" t="n">
        <f aca="false">IF($B1566="",0,IFERROR(MATCH($B1566,COA_Mapping!$A$7:$A$256,0),0))</f>
        <v>0</v>
      </c>
      <c r="R1566" s="39" t="n">
        <f aca="false">IF($A1566="",-1,IF($J1566=Setup!$B$7,1,IF($J1566=Setup!$B$9,0,-1)))</f>
        <v>-1</v>
      </c>
      <c r="S1566" s="35" t="n">
        <f aca="false">IF(OR($A1566="",$Q1566=0,$R1566=-1),0,$Q1566*1000+$R1566*100+$K1566)</f>
        <v>0</v>
      </c>
      <c r="T1566" s="37" t="str">
        <f aca="false">IF($A1566="","",IF($B1566="","NO ACCOUNT",IF($Q1566=0,"UNMAPPED",IF($R1566=-1,"OUTSIDE FY RANGE","OK"))))</f>
        <v/>
      </c>
      <c r="U1566" s="40" t="str">
        <f aca="false">IF($A1566="","",$B1566&amp;"|"&amp;TEXT($A1566,"yyyymmdd")&amp;"|"&amp;TEXT($I1566,"0.00"))</f>
        <v/>
      </c>
      <c r="V1566" s="35" t="str">
        <f aca="false">IF($A1566="","",COUNTIF($U$8:$U$5007,$U1566))</f>
        <v/>
      </c>
    </row>
    <row r="1567" customFormat="false" ht="15" hidden="false" customHeight="false" outlineLevel="0" collapsed="false">
      <c r="A1567" s="31"/>
      <c r="B1567" s="32"/>
      <c r="C1567" s="32"/>
      <c r="D1567" s="32"/>
      <c r="E1567" s="32"/>
      <c r="F1567" s="32"/>
      <c r="G1567" s="33"/>
      <c r="H1567" s="33"/>
      <c r="I1567" s="34" t="str">
        <f aca="false">IF($A1567="","",$G1567-$H1567)</f>
        <v/>
      </c>
      <c r="J1567" s="35" t="str">
        <f aca="false">IF($A1567="","",IF(Setup!$B$6=1,YEAR($A1567),YEAR($A1567)+IF(MONTH($A1567)&gt;=Setup!$B$6,1,0)))</f>
        <v/>
      </c>
      <c r="K1567" s="35" t="str">
        <f aca="false">IF($A1567="","",MOD(MONTH($A1567)-Setup!$B$6+12,12)+1)</f>
        <v/>
      </c>
      <c r="L1567" s="36" t="str">
        <f aca="false">IF($A1567="","",TEXT($A1567,"MMM-YY"))</f>
        <v/>
      </c>
      <c r="M1567" s="37" t="str">
        <f aca="false">IF($A1567="","",IF($Q1567=0,"UNMAPPED",INDEX(COA_Mapping!$C$7:$C$256,$Q1567)))</f>
        <v/>
      </c>
      <c r="N1567" s="38" t="str">
        <f aca="false">IF($A1567="","",IF($Q1567=0,"",INDEX(COA_Mapping!$E$7:$E$256,$Q1567)))</f>
        <v/>
      </c>
      <c r="O1567" s="38" t="n">
        <f aca="false">IF($A1567="",1,IF($Q1567=0,1,INDEX(COA_Mapping!$F$7:$F$256,$Q1567)))</f>
        <v>1</v>
      </c>
      <c r="P1567" s="34" t="str">
        <f aca="false">IF($A1567="","",$I1567*$O1567)</f>
        <v/>
      </c>
      <c r="Q1567" s="39" t="n">
        <f aca="false">IF($B1567="",0,IFERROR(MATCH($B1567,COA_Mapping!$A$7:$A$256,0),0))</f>
        <v>0</v>
      </c>
      <c r="R1567" s="39" t="n">
        <f aca="false">IF($A1567="",-1,IF($J1567=Setup!$B$7,1,IF($J1567=Setup!$B$9,0,-1)))</f>
        <v>-1</v>
      </c>
      <c r="S1567" s="35" t="n">
        <f aca="false">IF(OR($A1567="",$Q1567=0,$R1567=-1),0,$Q1567*1000+$R1567*100+$K1567)</f>
        <v>0</v>
      </c>
      <c r="T1567" s="37" t="str">
        <f aca="false">IF($A1567="","",IF($B1567="","NO ACCOUNT",IF($Q1567=0,"UNMAPPED",IF($R1567=-1,"OUTSIDE FY RANGE","OK"))))</f>
        <v/>
      </c>
      <c r="U1567" s="40" t="str">
        <f aca="false">IF($A1567="","",$B1567&amp;"|"&amp;TEXT($A1567,"yyyymmdd")&amp;"|"&amp;TEXT($I1567,"0.00"))</f>
        <v/>
      </c>
      <c r="V1567" s="35" t="str">
        <f aca="false">IF($A1567="","",COUNTIF($U$8:$U$5007,$U1567))</f>
        <v/>
      </c>
    </row>
    <row r="1568" customFormat="false" ht="15" hidden="false" customHeight="false" outlineLevel="0" collapsed="false">
      <c r="A1568" s="31"/>
      <c r="B1568" s="32"/>
      <c r="C1568" s="32"/>
      <c r="D1568" s="32"/>
      <c r="E1568" s="32"/>
      <c r="F1568" s="32"/>
      <c r="G1568" s="33"/>
      <c r="H1568" s="33"/>
      <c r="I1568" s="34" t="str">
        <f aca="false">IF($A1568="","",$G1568-$H1568)</f>
        <v/>
      </c>
      <c r="J1568" s="35" t="str">
        <f aca="false">IF($A1568="","",IF(Setup!$B$6=1,YEAR($A1568),YEAR($A1568)+IF(MONTH($A1568)&gt;=Setup!$B$6,1,0)))</f>
        <v/>
      </c>
      <c r="K1568" s="35" t="str">
        <f aca="false">IF($A1568="","",MOD(MONTH($A1568)-Setup!$B$6+12,12)+1)</f>
        <v/>
      </c>
      <c r="L1568" s="36" t="str">
        <f aca="false">IF($A1568="","",TEXT($A1568,"MMM-YY"))</f>
        <v/>
      </c>
      <c r="M1568" s="37" t="str">
        <f aca="false">IF($A1568="","",IF($Q1568=0,"UNMAPPED",INDEX(COA_Mapping!$C$7:$C$256,$Q1568)))</f>
        <v/>
      </c>
      <c r="N1568" s="38" t="str">
        <f aca="false">IF($A1568="","",IF($Q1568=0,"",INDEX(COA_Mapping!$E$7:$E$256,$Q1568)))</f>
        <v/>
      </c>
      <c r="O1568" s="38" t="n">
        <f aca="false">IF($A1568="",1,IF($Q1568=0,1,INDEX(COA_Mapping!$F$7:$F$256,$Q1568)))</f>
        <v>1</v>
      </c>
      <c r="P1568" s="34" t="str">
        <f aca="false">IF($A1568="","",$I1568*$O1568)</f>
        <v/>
      </c>
      <c r="Q1568" s="39" t="n">
        <f aca="false">IF($B1568="",0,IFERROR(MATCH($B1568,COA_Mapping!$A$7:$A$256,0),0))</f>
        <v>0</v>
      </c>
      <c r="R1568" s="39" t="n">
        <f aca="false">IF($A1568="",-1,IF($J1568=Setup!$B$7,1,IF($J1568=Setup!$B$9,0,-1)))</f>
        <v>-1</v>
      </c>
      <c r="S1568" s="35" t="n">
        <f aca="false">IF(OR($A1568="",$Q1568=0,$R1568=-1),0,$Q1568*1000+$R1568*100+$K1568)</f>
        <v>0</v>
      </c>
      <c r="T1568" s="37" t="str">
        <f aca="false">IF($A1568="","",IF($B1568="","NO ACCOUNT",IF($Q1568=0,"UNMAPPED",IF($R1568=-1,"OUTSIDE FY RANGE","OK"))))</f>
        <v/>
      </c>
      <c r="U1568" s="40" t="str">
        <f aca="false">IF($A1568="","",$B1568&amp;"|"&amp;TEXT($A1568,"yyyymmdd")&amp;"|"&amp;TEXT($I1568,"0.00"))</f>
        <v/>
      </c>
      <c r="V1568" s="35" t="str">
        <f aca="false">IF($A1568="","",COUNTIF($U$8:$U$5007,$U1568))</f>
        <v/>
      </c>
    </row>
    <row r="1569" customFormat="false" ht="15" hidden="false" customHeight="false" outlineLevel="0" collapsed="false">
      <c r="A1569" s="31"/>
      <c r="B1569" s="32"/>
      <c r="C1569" s="32"/>
      <c r="D1569" s="32"/>
      <c r="E1569" s="32"/>
      <c r="F1569" s="32"/>
      <c r="G1569" s="33"/>
      <c r="H1569" s="33"/>
      <c r="I1569" s="34" t="str">
        <f aca="false">IF($A1569="","",$G1569-$H1569)</f>
        <v/>
      </c>
      <c r="J1569" s="35" t="str">
        <f aca="false">IF($A1569="","",IF(Setup!$B$6=1,YEAR($A1569),YEAR($A1569)+IF(MONTH($A1569)&gt;=Setup!$B$6,1,0)))</f>
        <v/>
      </c>
      <c r="K1569" s="35" t="str">
        <f aca="false">IF($A1569="","",MOD(MONTH($A1569)-Setup!$B$6+12,12)+1)</f>
        <v/>
      </c>
      <c r="L1569" s="36" t="str">
        <f aca="false">IF($A1569="","",TEXT($A1569,"MMM-YY"))</f>
        <v/>
      </c>
      <c r="M1569" s="37" t="str">
        <f aca="false">IF($A1569="","",IF($Q1569=0,"UNMAPPED",INDEX(COA_Mapping!$C$7:$C$256,$Q1569)))</f>
        <v/>
      </c>
      <c r="N1569" s="38" t="str">
        <f aca="false">IF($A1569="","",IF($Q1569=0,"",INDEX(COA_Mapping!$E$7:$E$256,$Q1569)))</f>
        <v/>
      </c>
      <c r="O1569" s="38" t="n">
        <f aca="false">IF($A1569="",1,IF($Q1569=0,1,INDEX(COA_Mapping!$F$7:$F$256,$Q1569)))</f>
        <v>1</v>
      </c>
      <c r="P1569" s="34" t="str">
        <f aca="false">IF($A1569="","",$I1569*$O1569)</f>
        <v/>
      </c>
      <c r="Q1569" s="39" t="n">
        <f aca="false">IF($B1569="",0,IFERROR(MATCH($B1569,COA_Mapping!$A$7:$A$256,0),0))</f>
        <v>0</v>
      </c>
      <c r="R1569" s="39" t="n">
        <f aca="false">IF($A1569="",-1,IF($J1569=Setup!$B$7,1,IF($J1569=Setup!$B$9,0,-1)))</f>
        <v>-1</v>
      </c>
      <c r="S1569" s="35" t="n">
        <f aca="false">IF(OR($A1569="",$Q1569=0,$R1569=-1),0,$Q1569*1000+$R1569*100+$K1569)</f>
        <v>0</v>
      </c>
      <c r="T1569" s="37" t="str">
        <f aca="false">IF($A1569="","",IF($B1569="","NO ACCOUNT",IF($Q1569=0,"UNMAPPED",IF($R1569=-1,"OUTSIDE FY RANGE","OK"))))</f>
        <v/>
      </c>
      <c r="U1569" s="40" t="str">
        <f aca="false">IF($A1569="","",$B1569&amp;"|"&amp;TEXT($A1569,"yyyymmdd")&amp;"|"&amp;TEXT($I1569,"0.00"))</f>
        <v/>
      </c>
      <c r="V1569" s="35" t="str">
        <f aca="false">IF($A1569="","",COUNTIF($U$8:$U$5007,$U1569))</f>
        <v/>
      </c>
    </row>
    <row r="1570" customFormat="false" ht="15" hidden="false" customHeight="false" outlineLevel="0" collapsed="false">
      <c r="A1570" s="31"/>
      <c r="B1570" s="32"/>
      <c r="C1570" s="32"/>
      <c r="D1570" s="32"/>
      <c r="E1570" s="32"/>
      <c r="F1570" s="32"/>
      <c r="G1570" s="33"/>
      <c r="H1570" s="33"/>
      <c r="I1570" s="34" t="str">
        <f aca="false">IF($A1570="","",$G1570-$H1570)</f>
        <v/>
      </c>
      <c r="J1570" s="35" t="str">
        <f aca="false">IF($A1570="","",IF(Setup!$B$6=1,YEAR($A1570),YEAR($A1570)+IF(MONTH($A1570)&gt;=Setup!$B$6,1,0)))</f>
        <v/>
      </c>
      <c r="K1570" s="35" t="str">
        <f aca="false">IF($A1570="","",MOD(MONTH($A1570)-Setup!$B$6+12,12)+1)</f>
        <v/>
      </c>
      <c r="L1570" s="36" t="str">
        <f aca="false">IF($A1570="","",TEXT($A1570,"MMM-YY"))</f>
        <v/>
      </c>
      <c r="M1570" s="37" t="str">
        <f aca="false">IF($A1570="","",IF($Q1570=0,"UNMAPPED",INDEX(COA_Mapping!$C$7:$C$256,$Q1570)))</f>
        <v/>
      </c>
      <c r="N1570" s="38" t="str">
        <f aca="false">IF($A1570="","",IF($Q1570=0,"",INDEX(COA_Mapping!$E$7:$E$256,$Q1570)))</f>
        <v/>
      </c>
      <c r="O1570" s="38" t="n">
        <f aca="false">IF($A1570="",1,IF($Q1570=0,1,INDEX(COA_Mapping!$F$7:$F$256,$Q1570)))</f>
        <v>1</v>
      </c>
      <c r="P1570" s="34" t="str">
        <f aca="false">IF($A1570="","",$I1570*$O1570)</f>
        <v/>
      </c>
      <c r="Q1570" s="39" t="n">
        <f aca="false">IF($B1570="",0,IFERROR(MATCH($B1570,COA_Mapping!$A$7:$A$256,0),0))</f>
        <v>0</v>
      </c>
      <c r="R1570" s="39" t="n">
        <f aca="false">IF($A1570="",-1,IF($J1570=Setup!$B$7,1,IF($J1570=Setup!$B$9,0,-1)))</f>
        <v>-1</v>
      </c>
      <c r="S1570" s="35" t="n">
        <f aca="false">IF(OR($A1570="",$Q1570=0,$R1570=-1),0,$Q1570*1000+$R1570*100+$K1570)</f>
        <v>0</v>
      </c>
      <c r="T1570" s="37" t="str">
        <f aca="false">IF($A1570="","",IF($B1570="","NO ACCOUNT",IF($Q1570=0,"UNMAPPED",IF($R1570=-1,"OUTSIDE FY RANGE","OK"))))</f>
        <v/>
      </c>
      <c r="U1570" s="40" t="str">
        <f aca="false">IF($A1570="","",$B1570&amp;"|"&amp;TEXT($A1570,"yyyymmdd")&amp;"|"&amp;TEXT($I1570,"0.00"))</f>
        <v/>
      </c>
      <c r="V1570" s="35" t="str">
        <f aca="false">IF($A1570="","",COUNTIF($U$8:$U$5007,$U1570))</f>
        <v/>
      </c>
    </row>
    <row r="1571" customFormat="false" ht="15" hidden="false" customHeight="false" outlineLevel="0" collapsed="false">
      <c r="A1571" s="31"/>
      <c r="B1571" s="32"/>
      <c r="C1571" s="32"/>
      <c r="D1571" s="32"/>
      <c r="E1571" s="32"/>
      <c r="F1571" s="32"/>
      <c r="G1571" s="33"/>
      <c r="H1571" s="33"/>
      <c r="I1571" s="34" t="str">
        <f aca="false">IF($A1571="","",$G1571-$H1571)</f>
        <v/>
      </c>
      <c r="J1571" s="35" t="str">
        <f aca="false">IF($A1571="","",IF(Setup!$B$6=1,YEAR($A1571),YEAR($A1571)+IF(MONTH($A1571)&gt;=Setup!$B$6,1,0)))</f>
        <v/>
      </c>
      <c r="K1571" s="35" t="str">
        <f aca="false">IF($A1571="","",MOD(MONTH($A1571)-Setup!$B$6+12,12)+1)</f>
        <v/>
      </c>
      <c r="L1571" s="36" t="str">
        <f aca="false">IF($A1571="","",TEXT($A1571,"MMM-YY"))</f>
        <v/>
      </c>
      <c r="M1571" s="37" t="str">
        <f aca="false">IF($A1571="","",IF($Q1571=0,"UNMAPPED",INDEX(COA_Mapping!$C$7:$C$256,$Q1571)))</f>
        <v/>
      </c>
      <c r="N1571" s="38" t="str">
        <f aca="false">IF($A1571="","",IF($Q1571=0,"",INDEX(COA_Mapping!$E$7:$E$256,$Q1571)))</f>
        <v/>
      </c>
      <c r="O1571" s="38" t="n">
        <f aca="false">IF($A1571="",1,IF($Q1571=0,1,INDEX(COA_Mapping!$F$7:$F$256,$Q1571)))</f>
        <v>1</v>
      </c>
      <c r="P1571" s="34" t="str">
        <f aca="false">IF($A1571="","",$I1571*$O1571)</f>
        <v/>
      </c>
      <c r="Q1571" s="39" t="n">
        <f aca="false">IF($B1571="",0,IFERROR(MATCH($B1571,COA_Mapping!$A$7:$A$256,0),0))</f>
        <v>0</v>
      </c>
      <c r="R1571" s="39" t="n">
        <f aca="false">IF($A1571="",-1,IF($J1571=Setup!$B$7,1,IF($J1571=Setup!$B$9,0,-1)))</f>
        <v>-1</v>
      </c>
      <c r="S1571" s="35" t="n">
        <f aca="false">IF(OR($A1571="",$Q1571=0,$R1571=-1),0,$Q1571*1000+$R1571*100+$K1571)</f>
        <v>0</v>
      </c>
      <c r="T1571" s="37" t="str">
        <f aca="false">IF($A1571="","",IF($B1571="","NO ACCOUNT",IF($Q1571=0,"UNMAPPED",IF($R1571=-1,"OUTSIDE FY RANGE","OK"))))</f>
        <v/>
      </c>
      <c r="U1571" s="40" t="str">
        <f aca="false">IF($A1571="","",$B1571&amp;"|"&amp;TEXT($A1571,"yyyymmdd")&amp;"|"&amp;TEXT($I1571,"0.00"))</f>
        <v/>
      </c>
      <c r="V1571" s="35" t="str">
        <f aca="false">IF($A1571="","",COUNTIF($U$8:$U$5007,$U1571))</f>
        <v/>
      </c>
    </row>
    <row r="1572" customFormat="false" ht="15" hidden="false" customHeight="false" outlineLevel="0" collapsed="false">
      <c r="A1572" s="31"/>
      <c r="B1572" s="32"/>
      <c r="C1572" s="32"/>
      <c r="D1572" s="32"/>
      <c r="E1572" s="32"/>
      <c r="F1572" s="32"/>
      <c r="G1572" s="33"/>
      <c r="H1572" s="33"/>
      <c r="I1572" s="34" t="str">
        <f aca="false">IF($A1572="","",$G1572-$H1572)</f>
        <v/>
      </c>
      <c r="J1572" s="35" t="str">
        <f aca="false">IF($A1572="","",IF(Setup!$B$6=1,YEAR($A1572),YEAR($A1572)+IF(MONTH($A1572)&gt;=Setup!$B$6,1,0)))</f>
        <v/>
      </c>
      <c r="K1572" s="35" t="str">
        <f aca="false">IF($A1572="","",MOD(MONTH($A1572)-Setup!$B$6+12,12)+1)</f>
        <v/>
      </c>
      <c r="L1572" s="36" t="str">
        <f aca="false">IF($A1572="","",TEXT($A1572,"MMM-YY"))</f>
        <v/>
      </c>
      <c r="M1572" s="37" t="str">
        <f aca="false">IF($A1572="","",IF($Q1572=0,"UNMAPPED",INDEX(COA_Mapping!$C$7:$C$256,$Q1572)))</f>
        <v/>
      </c>
      <c r="N1572" s="38" t="str">
        <f aca="false">IF($A1572="","",IF($Q1572=0,"",INDEX(COA_Mapping!$E$7:$E$256,$Q1572)))</f>
        <v/>
      </c>
      <c r="O1572" s="38" t="n">
        <f aca="false">IF($A1572="",1,IF($Q1572=0,1,INDEX(COA_Mapping!$F$7:$F$256,$Q1572)))</f>
        <v>1</v>
      </c>
      <c r="P1572" s="34" t="str">
        <f aca="false">IF($A1572="","",$I1572*$O1572)</f>
        <v/>
      </c>
      <c r="Q1572" s="39" t="n">
        <f aca="false">IF($B1572="",0,IFERROR(MATCH($B1572,COA_Mapping!$A$7:$A$256,0),0))</f>
        <v>0</v>
      </c>
      <c r="R1572" s="39" t="n">
        <f aca="false">IF($A1572="",-1,IF($J1572=Setup!$B$7,1,IF($J1572=Setup!$B$9,0,-1)))</f>
        <v>-1</v>
      </c>
      <c r="S1572" s="35" t="n">
        <f aca="false">IF(OR($A1572="",$Q1572=0,$R1572=-1),0,$Q1572*1000+$R1572*100+$K1572)</f>
        <v>0</v>
      </c>
      <c r="T1572" s="37" t="str">
        <f aca="false">IF($A1572="","",IF($B1572="","NO ACCOUNT",IF($Q1572=0,"UNMAPPED",IF($R1572=-1,"OUTSIDE FY RANGE","OK"))))</f>
        <v/>
      </c>
      <c r="U1572" s="40" t="str">
        <f aca="false">IF($A1572="","",$B1572&amp;"|"&amp;TEXT($A1572,"yyyymmdd")&amp;"|"&amp;TEXT($I1572,"0.00"))</f>
        <v/>
      </c>
      <c r="V1572" s="35" t="str">
        <f aca="false">IF($A1572="","",COUNTIF($U$8:$U$5007,$U1572))</f>
        <v/>
      </c>
    </row>
    <row r="1573" customFormat="false" ht="15" hidden="false" customHeight="false" outlineLevel="0" collapsed="false">
      <c r="A1573" s="31"/>
      <c r="B1573" s="32"/>
      <c r="C1573" s="32"/>
      <c r="D1573" s="32"/>
      <c r="E1573" s="32"/>
      <c r="F1573" s="32"/>
      <c r="G1573" s="33"/>
      <c r="H1573" s="33"/>
      <c r="I1573" s="34" t="str">
        <f aca="false">IF($A1573="","",$G1573-$H1573)</f>
        <v/>
      </c>
      <c r="J1573" s="35" t="str">
        <f aca="false">IF($A1573="","",IF(Setup!$B$6=1,YEAR($A1573),YEAR($A1573)+IF(MONTH($A1573)&gt;=Setup!$B$6,1,0)))</f>
        <v/>
      </c>
      <c r="K1573" s="35" t="str">
        <f aca="false">IF($A1573="","",MOD(MONTH($A1573)-Setup!$B$6+12,12)+1)</f>
        <v/>
      </c>
      <c r="L1573" s="36" t="str">
        <f aca="false">IF($A1573="","",TEXT($A1573,"MMM-YY"))</f>
        <v/>
      </c>
      <c r="M1573" s="37" t="str">
        <f aca="false">IF($A1573="","",IF($Q1573=0,"UNMAPPED",INDEX(COA_Mapping!$C$7:$C$256,$Q1573)))</f>
        <v/>
      </c>
      <c r="N1573" s="38" t="str">
        <f aca="false">IF($A1573="","",IF($Q1573=0,"",INDEX(COA_Mapping!$E$7:$E$256,$Q1573)))</f>
        <v/>
      </c>
      <c r="O1573" s="38" t="n">
        <f aca="false">IF($A1573="",1,IF($Q1573=0,1,INDEX(COA_Mapping!$F$7:$F$256,$Q1573)))</f>
        <v>1</v>
      </c>
      <c r="P1573" s="34" t="str">
        <f aca="false">IF($A1573="","",$I1573*$O1573)</f>
        <v/>
      </c>
      <c r="Q1573" s="39" t="n">
        <f aca="false">IF($B1573="",0,IFERROR(MATCH($B1573,COA_Mapping!$A$7:$A$256,0),0))</f>
        <v>0</v>
      </c>
      <c r="R1573" s="39" t="n">
        <f aca="false">IF($A1573="",-1,IF($J1573=Setup!$B$7,1,IF($J1573=Setup!$B$9,0,-1)))</f>
        <v>-1</v>
      </c>
      <c r="S1573" s="35" t="n">
        <f aca="false">IF(OR($A1573="",$Q1573=0,$R1573=-1),0,$Q1573*1000+$R1573*100+$K1573)</f>
        <v>0</v>
      </c>
      <c r="T1573" s="37" t="str">
        <f aca="false">IF($A1573="","",IF($B1573="","NO ACCOUNT",IF($Q1573=0,"UNMAPPED",IF($R1573=-1,"OUTSIDE FY RANGE","OK"))))</f>
        <v/>
      </c>
      <c r="U1573" s="40" t="str">
        <f aca="false">IF($A1573="","",$B1573&amp;"|"&amp;TEXT($A1573,"yyyymmdd")&amp;"|"&amp;TEXT($I1573,"0.00"))</f>
        <v/>
      </c>
      <c r="V1573" s="35" t="str">
        <f aca="false">IF($A1573="","",COUNTIF($U$8:$U$5007,$U1573))</f>
        <v/>
      </c>
    </row>
    <row r="1574" customFormat="false" ht="15" hidden="false" customHeight="false" outlineLevel="0" collapsed="false">
      <c r="A1574" s="31"/>
      <c r="B1574" s="32"/>
      <c r="C1574" s="32"/>
      <c r="D1574" s="32"/>
      <c r="E1574" s="32"/>
      <c r="F1574" s="32"/>
      <c r="G1574" s="33"/>
      <c r="H1574" s="33"/>
      <c r="I1574" s="34" t="str">
        <f aca="false">IF($A1574="","",$G1574-$H1574)</f>
        <v/>
      </c>
      <c r="J1574" s="35" t="str">
        <f aca="false">IF($A1574="","",IF(Setup!$B$6=1,YEAR($A1574),YEAR($A1574)+IF(MONTH($A1574)&gt;=Setup!$B$6,1,0)))</f>
        <v/>
      </c>
      <c r="K1574" s="35" t="str">
        <f aca="false">IF($A1574="","",MOD(MONTH($A1574)-Setup!$B$6+12,12)+1)</f>
        <v/>
      </c>
      <c r="L1574" s="36" t="str">
        <f aca="false">IF($A1574="","",TEXT($A1574,"MMM-YY"))</f>
        <v/>
      </c>
      <c r="M1574" s="37" t="str">
        <f aca="false">IF($A1574="","",IF($Q1574=0,"UNMAPPED",INDEX(COA_Mapping!$C$7:$C$256,$Q1574)))</f>
        <v/>
      </c>
      <c r="N1574" s="38" t="str">
        <f aca="false">IF($A1574="","",IF($Q1574=0,"",INDEX(COA_Mapping!$E$7:$E$256,$Q1574)))</f>
        <v/>
      </c>
      <c r="O1574" s="38" t="n">
        <f aca="false">IF($A1574="",1,IF($Q1574=0,1,INDEX(COA_Mapping!$F$7:$F$256,$Q1574)))</f>
        <v>1</v>
      </c>
      <c r="P1574" s="34" t="str">
        <f aca="false">IF($A1574="","",$I1574*$O1574)</f>
        <v/>
      </c>
      <c r="Q1574" s="39" t="n">
        <f aca="false">IF($B1574="",0,IFERROR(MATCH($B1574,COA_Mapping!$A$7:$A$256,0),0))</f>
        <v>0</v>
      </c>
      <c r="R1574" s="39" t="n">
        <f aca="false">IF($A1574="",-1,IF($J1574=Setup!$B$7,1,IF($J1574=Setup!$B$9,0,-1)))</f>
        <v>-1</v>
      </c>
      <c r="S1574" s="35" t="n">
        <f aca="false">IF(OR($A1574="",$Q1574=0,$R1574=-1),0,$Q1574*1000+$R1574*100+$K1574)</f>
        <v>0</v>
      </c>
      <c r="T1574" s="37" t="str">
        <f aca="false">IF($A1574="","",IF($B1574="","NO ACCOUNT",IF($Q1574=0,"UNMAPPED",IF($R1574=-1,"OUTSIDE FY RANGE","OK"))))</f>
        <v/>
      </c>
      <c r="U1574" s="40" t="str">
        <f aca="false">IF($A1574="","",$B1574&amp;"|"&amp;TEXT($A1574,"yyyymmdd")&amp;"|"&amp;TEXT($I1574,"0.00"))</f>
        <v/>
      </c>
      <c r="V1574" s="35" t="str">
        <f aca="false">IF($A1574="","",COUNTIF($U$8:$U$5007,$U1574))</f>
        <v/>
      </c>
    </row>
    <row r="1575" customFormat="false" ht="15" hidden="false" customHeight="false" outlineLevel="0" collapsed="false">
      <c r="A1575" s="31"/>
      <c r="B1575" s="32"/>
      <c r="C1575" s="32"/>
      <c r="D1575" s="32"/>
      <c r="E1575" s="32"/>
      <c r="F1575" s="32"/>
      <c r="G1575" s="33"/>
      <c r="H1575" s="33"/>
      <c r="I1575" s="34" t="str">
        <f aca="false">IF($A1575="","",$G1575-$H1575)</f>
        <v/>
      </c>
      <c r="J1575" s="35" t="str">
        <f aca="false">IF($A1575="","",IF(Setup!$B$6=1,YEAR($A1575),YEAR($A1575)+IF(MONTH($A1575)&gt;=Setup!$B$6,1,0)))</f>
        <v/>
      </c>
      <c r="K1575" s="35" t="str">
        <f aca="false">IF($A1575="","",MOD(MONTH($A1575)-Setup!$B$6+12,12)+1)</f>
        <v/>
      </c>
      <c r="L1575" s="36" t="str">
        <f aca="false">IF($A1575="","",TEXT($A1575,"MMM-YY"))</f>
        <v/>
      </c>
      <c r="M1575" s="37" t="str">
        <f aca="false">IF($A1575="","",IF($Q1575=0,"UNMAPPED",INDEX(COA_Mapping!$C$7:$C$256,$Q1575)))</f>
        <v/>
      </c>
      <c r="N1575" s="38" t="str">
        <f aca="false">IF($A1575="","",IF($Q1575=0,"",INDEX(COA_Mapping!$E$7:$E$256,$Q1575)))</f>
        <v/>
      </c>
      <c r="O1575" s="38" t="n">
        <f aca="false">IF($A1575="",1,IF($Q1575=0,1,INDEX(COA_Mapping!$F$7:$F$256,$Q1575)))</f>
        <v>1</v>
      </c>
      <c r="P1575" s="34" t="str">
        <f aca="false">IF($A1575="","",$I1575*$O1575)</f>
        <v/>
      </c>
      <c r="Q1575" s="39" t="n">
        <f aca="false">IF($B1575="",0,IFERROR(MATCH($B1575,COA_Mapping!$A$7:$A$256,0),0))</f>
        <v>0</v>
      </c>
      <c r="R1575" s="39" t="n">
        <f aca="false">IF($A1575="",-1,IF($J1575=Setup!$B$7,1,IF($J1575=Setup!$B$9,0,-1)))</f>
        <v>-1</v>
      </c>
      <c r="S1575" s="35" t="n">
        <f aca="false">IF(OR($A1575="",$Q1575=0,$R1575=-1),0,$Q1575*1000+$R1575*100+$K1575)</f>
        <v>0</v>
      </c>
      <c r="T1575" s="37" t="str">
        <f aca="false">IF($A1575="","",IF($B1575="","NO ACCOUNT",IF($Q1575=0,"UNMAPPED",IF($R1575=-1,"OUTSIDE FY RANGE","OK"))))</f>
        <v/>
      </c>
      <c r="U1575" s="40" t="str">
        <f aca="false">IF($A1575="","",$B1575&amp;"|"&amp;TEXT($A1575,"yyyymmdd")&amp;"|"&amp;TEXT($I1575,"0.00"))</f>
        <v/>
      </c>
      <c r="V1575" s="35" t="str">
        <f aca="false">IF($A1575="","",COUNTIF($U$8:$U$5007,$U1575))</f>
        <v/>
      </c>
    </row>
    <row r="1576" customFormat="false" ht="15" hidden="false" customHeight="false" outlineLevel="0" collapsed="false">
      <c r="A1576" s="31"/>
      <c r="B1576" s="32"/>
      <c r="C1576" s="32"/>
      <c r="D1576" s="32"/>
      <c r="E1576" s="32"/>
      <c r="F1576" s="32"/>
      <c r="G1576" s="33"/>
      <c r="H1576" s="33"/>
      <c r="I1576" s="34" t="str">
        <f aca="false">IF($A1576="","",$G1576-$H1576)</f>
        <v/>
      </c>
      <c r="J1576" s="35" t="str">
        <f aca="false">IF($A1576="","",IF(Setup!$B$6=1,YEAR($A1576),YEAR($A1576)+IF(MONTH($A1576)&gt;=Setup!$B$6,1,0)))</f>
        <v/>
      </c>
      <c r="K1576" s="35" t="str">
        <f aca="false">IF($A1576="","",MOD(MONTH($A1576)-Setup!$B$6+12,12)+1)</f>
        <v/>
      </c>
      <c r="L1576" s="36" t="str">
        <f aca="false">IF($A1576="","",TEXT($A1576,"MMM-YY"))</f>
        <v/>
      </c>
      <c r="M1576" s="37" t="str">
        <f aca="false">IF($A1576="","",IF($Q1576=0,"UNMAPPED",INDEX(COA_Mapping!$C$7:$C$256,$Q1576)))</f>
        <v/>
      </c>
      <c r="N1576" s="38" t="str">
        <f aca="false">IF($A1576="","",IF($Q1576=0,"",INDEX(COA_Mapping!$E$7:$E$256,$Q1576)))</f>
        <v/>
      </c>
      <c r="O1576" s="38" t="n">
        <f aca="false">IF($A1576="",1,IF($Q1576=0,1,INDEX(COA_Mapping!$F$7:$F$256,$Q1576)))</f>
        <v>1</v>
      </c>
      <c r="P1576" s="34" t="str">
        <f aca="false">IF($A1576="","",$I1576*$O1576)</f>
        <v/>
      </c>
      <c r="Q1576" s="39" t="n">
        <f aca="false">IF($B1576="",0,IFERROR(MATCH($B1576,COA_Mapping!$A$7:$A$256,0),0))</f>
        <v>0</v>
      </c>
      <c r="R1576" s="39" t="n">
        <f aca="false">IF($A1576="",-1,IF($J1576=Setup!$B$7,1,IF($J1576=Setup!$B$9,0,-1)))</f>
        <v>-1</v>
      </c>
      <c r="S1576" s="35" t="n">
        <f aca="false">IF(OR($A1576="",$Q1576=0,$R1576=-1),0,$Q1576*1000+$R1576*100+$K1576)</f>
        <v>0</v>
      </c>
      <c r="T1576" s="37" t="str">
        <f aca="false">IF($A1576="","",IF($B1576="","NO ACCOUNT",IF($Q1576=0,"UNMAPPED",IF($R1576=-1,"OUTSIDE FY RANGE","OK"))))</f>
        <v/>
      </c>
      <c r="U1576" s="40" t="str">
        <f aca="false">IF($A1576="","",$B1576&amp;"|"&amp;TEXT($A1576,"yyyymmdd")&amp;"|"&amp;TEXT($I1576,"0.00"))</f>
        <v/>
      </c>
      <c r="V1576" s="35" t="str">
        <f aca="false">IF($A1576="","",COUNTIF($U$8:$U$5007,$U1576))</f>
        <v/>
      </c>
    </row>
    <row r="1577" customFormat="false" ht="15" hidden="false" customHeight="false" outlineLevel="0" collapsed="false">
      <c r="A1577" s="31"/>
      <c r="B1577" s="32"/>
      <c r="C1577" s="32"/>
      <c r="D1577" s="32"/>
      <c r="E1577" s="32"/>
      <c r="F1577" s="32"/>
      <c r="G1577" s="33"/>
      <c r="H1577" s="33"/>
      <c r="I1577" s="34" t="str">
        <f aca="false">IF($A1577="","",$G1577-$H1577)</f>
        <v/>
      </c>
      <c r="J1577" s="35" t="str">
        <f aca="false">IF($A1577="","",IF(Setup!$B$6=1,YEAR($A1577),YEAR($A1577)+IF(MONTH($A1577)&gt;=Setup!$B$6,1,0)))</f>
        <v/>
      </c>
      <c r="K1577" s="35" t="str">
        <f aca="false">IF($A1577="","",MOD(MONTH($A1577)-Setup!$B$6+12,12)+1)</f>
        <v/>
      </c>
      <c r="L1577" s="36" t="str">
        <f aca="false">IF($A1577="","",TEXT($A1577,"MMM-YY"))</f>
        <v/>
      </c>
      <c r="M1577" s="37" t="str">
        <f aca="false">IF($A1577="","",IF($Q1577=0,"UNMAPPED",INDEX(COA_Mapping!$C$7:$C$256,$Q1577)))</f>
        <v/>
      </c>
      <c r="N1577" s="38" t="str">
        <f aca="false">IF($A1577="","",IF($Q1577=0,"",INDEX(COA_Mapping!$E$7:$E$256,$Q1577)))</f>
        <v/>
      </c>
      <c r="O1577" s="38" t="n">
        <f aca="false">IF($A1577="",1,IF($Q1577=0,1,INDEX(COA_Mapping!$F$7:$F$256,$Q1577)))</f>
        <v>1</v>
      </c>
      <c r="P1577" s="34" t="str">
        <f aca="false">IF($A1577="","",$I1577*$O1577)</f>
        <v/>
      </c>
      <c r="Q1577" s="39" t="n">
        <f aca="false">IF($B1577="",0,IFERROR(MATCH($B1577,COA_Mapping!$A$7:$A$256,0),0))</f>
        <v>0</v>
      </c>
      <c r="R1577" s="39" t="n">
        <f aca="false">IF($A1577="",-1,IF($J1577=Setup!$B$7,1,IF($J1577=Setup!$B$9,0,-1)))</f>
        <v>-1</v>
      </c>
      <c r="S1577" s="35" t="n">
        <f aca="false">IF(OR($A1577="",$Q1577=0,$R1577=-1),0,$Q1577*1000+$R1577*100+$K1577)</f>
        <v>0</v>
      </c>
      <c r="T1577" s="37" t="str">
        <f aca="false">IF($A1577="","",IF($B1577="","NO ACCOUNT",IF($Q1577=0,"UNMAPPED",IF($R1577=-1,"OUTSIDE FY RANGE","OK"))))</f>
        <v/>
      </c>
      <c r="U1577" s="40" t="str">
        <f aca="false">IF($A1577="","",$B1577&amp;"|"&amp;TEXT($A1577,"yyyymmdd")&amp;"|"&amp;TEXT($I1577,"0.00"))</f>
        <v/>
      </c>
      <c r="V1577" s="35" t="str">
        <f aca="false">IF($A1577="","",COUNTIF($U$8:$U$5007,$U1577))</f>
        <v/>
      </c>
    </row>
    <row r="1578" customFormat="false" ht="15" hidden="false" customHeight="false" outlineLevel="0" collapsed="false">
      <c r="A1578" s="31"/>
      <c r="B1578" s="32"/>
      <c r="C1578" s="32"/>
      <c r="D1578" s="32"/>
      <c r="E1578" s="32"/>
      <c r="F1578" s="32"/>
      <c r="G1578" s="33"/>
      <c r="H1578" s="33"/>
      <c r="I1578" s="34" t="str">
        <f aca="false">IF($A1578="","",$G1578-$H1578)</f>
        <v/>
      </c>
      <c r="J1578" s="35" t="str">
        <f aca="false">IF($A1578="","",IF(Setup!$B$6=1,YEAR($A1578),YEAR($A1578)+IF(MONTH($A1578)&gt;=Setup!$B$6,1,0)))</f>
        <v/>
      </c>
      <c r="K1578" s="35" t="str">
        <f aca="false">IF($A1578="","",MOD(MONTH($A1578)-Setup!$B$6+12,12)+1)</f>
        <v/>
      </c>
      <c r="L1578" s="36" t="str">
        <f aca="false">IF($A1578="","",TEXT($A1578,"MMM-YY"))</f>
        <v/>
      </c>
      <c r="M1578" s="37" t="str">
        <f aca="false">IF($A1578="","",IF($Q1578=0,"UNMAPPED",INDEX(COA_Mapping!$C$7:$C$256,$Q1578)))</f>
        <v/>
      </c>
      <c r="N1578" s="38" t="str">
        <f aca="false">IF($A1578="","",IF($Q1578=0,"",INDEX(COA_Mapping!$E$7:$E$256,$Q1578)))</f>
        <v/>
      </c>
      <c r="O1578" s="38" t="n">
        <f aca="false">IF($A1578="",1,IF($Q1578=0,1,INDEX(COA_Mapping!$F$7:$F$256,$Q1578)))</f>
        <v>1</v>
      </c>
      <c r="P1578" s="34" t="str">
        <f aca="false">IF($A1578="","",$I1578*$O1578)</f>
        <v/>
      </c>
      <c r="Q1578" s="39" t="n">
        <f aca="false">IF($B1578="",0,IFERROR(MATCH($B1578,COA_Mapping!$A$7:$A$256,0),0))</f>
        <v>0</v>
      </c>
      <c r="R1578" s="39" t="n">
        <f aca="false">IF($A1578="",-1,IF($J1578=Setup!$B$7,1,IF($J1578=Setup!$B$9,0,-1)))</f>
        <v>-1</v>
      </c>
      <c r="S1578" s="35" t="n">
        <f aca="false">IF(OR($A1578="",$Q1578=0,$R1578=-1),0,$Q1578*1000+$R1578*100+$K1578)</f>
        <v>0</v>
      </c>
      <c r="T1578" s="37" t="str">
        <f aca="false">IF($A1578="","",IF($B1578="","NO ACCOUNT",IF($Q1578=0,"UNMAPPED",IF($R1578=-1,"OUTSIDE FY RANGE","OK"))))</f>
        <v/>
      </c>
      <c r="U1578" s="40" t="str">
        <f aca="false">IF($A1578="","",$B1578&amp;"|"&amp;TEXT($A1578,"yyyymmdd")&amp;"|"&amp;TEXT($I1578,"0.00"))</f>
        <v/>
      </c>
      <c r="V1578" s="35" t="str">
        <f aca="false">IF($A1578="","",COUNTIF($U$8:$U$5007,$U1578))</f>
        <v/>
      </c>
    </row>
    <row r="1579" customFormat="false" ht="15" hidden="false" customHeight="false" outlineLevel="0" collapsed="false">
      <c r="A1579" s="31"/>
      <c r="B1579" s="32"/>
      <c r="C1579" s="32"/>
      <c r="D1579" s="32"/>
      <c r="E1579" s="32"/>
      <c r="F1579" s="32"/>
      <c r="G1579" s="33"/>
      <c r="H1579" s="33"/>
      <c r="I1579" s="34" t="str">
        <f aca="false">IF($A1579="","",$G1579-$H1579)</f>
        <v/>
      </c>
      <c r="J1579" s="35" t="str">
        <f aca="false">IF($A1579="","",IF(Setup!$B$6=1,YEAR($A1579),YEAR($A1579)+IF(MONTH($A1579)&gt;=Setup!$B$6,1,0)))</f>
        <v/>
      </c>
      <c r="K1579" s="35" t="str">
        <f aca="false">IF($A1579="","",MOD(MONTH($A1579)-Setup!$B$6+12,12)+1)</f>
        <v/>
      </c>
      <c r="L1579" s="36" t="str">
        <f aca="false">IF($A1579="","",TEXT($A1579,"MMM-YY"))</f>
        <v/>
      </c>
      <c r="M1579" s="37" t="str">
        <f aca="false">IF($A1579="","",IF($Q1579=0,"UNMAPPED",INDEX(COA_Mapping!$C$7:$C$256,$Q1579)))</f>
        <v/>
      </c>
      <c r="N1579" s="38" t="str">
        <f aca="false">IF($A1579="","",IF($Q1579=0,"",INDEX(COA_Mapping!$E$7:$E$256,$Q1579)))</f>
        <v/>
      </c>
      <c r="O1579" s="38" t="n">
        <f aca="false">IF($A1579="",1,IF($Q1579=0,1,INDEX(COA_Mapping!$F$7:$F$256,$Q1579)))</f>
        <v>1</v>
      </c>
      <c r="P1579" s="34" t="str">
        <f aca="false">IF($A1579="","",$I1579*$O1579)</f>
        <v/>
      </c>
      <c r="Q1579" s="39" t="n">
        <f aca="false">IF($B1579="",0,IFERROR(MATCH($B1579,COA_Mapping!$A$7:$A$256,0),0))</f>
        <v>0</v>
      </c>
      <c r="R1579" s="39" t="n">
        <f aca="false">IF($A1579="",-1,IF($J1579=Setup!$B$7,1,IF($J1579=Setup!$B$9,0,-1)))</f>
        <v>-1</v>
      </c>
      <c r="S1579" s="35" t="n">
        <f aca="false">IF(OR($A1579="",$Q1579=0,$R1579=-1),0,$Q1579*1000+$R1579*100+$K1579)</f>
        <v>0</v>
      </c>
      <c r="T1579" s="37" t="str">
        <f aca="false">IF($A1579="","",IF($B1579="","NO ACCOUNT",IF($Q1579=0,"UNMAPPED",IF($R1579=-1,"OUTSIDE FY RANGE","OK"))))</f>
        <v/>
      </c>
      <c r="U1579" s="40" t="str">
        <f aca="false">IF($A1579="","",$B1579&amp;"|"&amp;TEXT($A1579,"yyyymmdd")&amp;"|"&amp;TEXT($I1579,"0.00"))</f>
        <v/>
      </c>
      <c r="V1579" s="35" t="str">
        <f aca="false">IF($A1579="","",COUNTIF($U$8:$U$5007,$U1579))</f>
        <v/>
      </c>
    </row>
    <row r="1580" customFormat="false" ht="15" hidden="false" customHeight="false" outlineLevel="0" collapsed="false">
      <c r="A1580" s="31"/>
      <c r="B1580" s="32"/>
      <c r="C1580" s="32"/>
      <c r="D1580" s="32"/>
      <c r="E1580" s="32"/>
      <c r="F1580" s="32"/>
      <c r="G1580" s="33"/>
      <c r="H1580" s="33"/>
      <c r="I1580" s="34" t="str">
        <f aca="false">IF($A1580="","",$G1580-$H1580)</f>
        <v/>
      </c>
      <c r="J1580" s="35" t="str">
        <f aca="false">IF($A1580="","",IF(Setup!$B$6=1,YEAR($A1580),YEAR($A1580)+IF(MONTH($A1580)&gt;=Setup!$B$6,1,0)))</f>
        <v/>
      </c>
      <c r="K1580" s="35" t="str">
        <f aca="false">IF($A1580="","",MOD(MONTH($A1580)-Setup!$B$6+12,12)+1)</f>
        <v/>
      </c>
      <c r="L1580" s="36" t="str">
        <f aca="false">IF($A1580="","",TEXT($A1580,"MMM-YY"))</f>
        <v/>
      </c>
      <c r="M1580" s="37" t="str">
        <f aca="false">IF($A1580="","",IF($Q1580=0,"UNMAPPED",INDEX(COA_Mapping!$C$7:$C$256,$Q1580)))</f>
        <v/>
      </c>
      <c r="N1580" s="38" t="str">
        <f aca="false">IF($A1580="","",IF($Q1580=0,"",INDEX(COA_Mapping!$E$7:$E$256,$Q1580)))</f>
        <v/>
      </c>
      <c r="O1580" s="38" t="n">
        <f aca="false">IF($A1580="",1,IF($Q1580=0,1,INDEX(COA_Mapping!$F$7:$F$256,$Q1580)))</f>
        <v>1</v>
      </c>
      <c r="P1580" s="34" t="str">
        <f aca="false">IF($A1580="","",$I1580*$O1580)</f>
        <v/>
      </c>
      <c r="Q1580" s="39" t="n">
        <f aca="false">IF($B1580="",0,IFERROR(MATCH($B1580,COA_Mapping!$A$7:$A$256,0),0))</f>
        <v>0</v>
      </c>
      <c r="R1580" s="39" t="n">
        <f aca="false">IF($A1580="",-1,IF($J1580=Setup!$B$7,1,IF($J1580=Setup!$B$9,0,-1)))</f>
        <v>-1</v>
      </c>
      <c r="S1580" s="35" t="n">
        <f aca="false">IF(OR($A1580="",$Q1580=0,$R1580=-1),0,$Q1580*1000+$R1580*100+$K1580)</f>
        <v>0</v>
      </c>
      <c r="T1580" s="37" t="str">
        <f aca="false">IF($A1580="","",IF($B1580="","NO ACCOUNT",IF($Q1580=0,"UNMAPPED",IF($R1580=-1,"OUTSIDE FY RANGE","OK"))))</f>
        <v/>
      </c>
      <c r="U1580" s="40" t="str">
        <f aca="false">IF($A1580="","",$B1580&amp;"|"&amp;TEXT($A1580,"yyyymmdd")&amp;"|"&amp;TEXT($I1580,"0.00"))</f>
        <v/>
      </c>
      <c r="V1580" s="35" t="str">
        <f aca="false">IF($A1580="","",COUNTIF($U$8:$U$5007,$U1580))</f>
        <v/>
      </c>
    </row>
    <row r="1581" customFormat="false" ht="15" hidden="false" customHeight="false" outlineLevel="0" collapsed="false">
      <c r="A1581" s="31"/>
      <c r="B1581" s="32"/>
      <c r="C1581" s="32"/>
      <c r="D1581" s="32"/>
      <c r="E1581" s="32"/>
      <c r="F1581" s="32"/>
      <c r="G1581" s="33"/>
      <c r="H1581" s="33"/>
      <c r="I1581" s="34" t="str">
        <f aca="false">IF($A1581="","",$G1581-$H1581)</f>
        <v/>
      </c>
      <c r="J1581" s="35" t="str">
        <f aca="false">IF($A1581="","",IF(Setup!$B$6=1,YEAR($A1581),YEAR($A1581)+IF(MONTH($A1581)&gt;=Setup!$B$6,1,0)))</f>
        <v/>
      </c>
      <c r="K1581" s="35" t="str">
        <f aca="false">IF($A1581="","",MOD(MONTH($A1581)-Setup!$B$6+12,12)+1)</f>
        <v/>
      </c>
      <c r="L1581" s="36" t="str">
        <f aca="false">IF($A1581="","",TEXT($A1581,"MMM-YY"))</f>
        <v/>
      </c>
      <c r="M1581" s="37" t="str">
        <f aca="false">IF($A1581="","",IF($Q1581=0,"UNMAPPED",INDEX(COA_Mapping!$C$7:$C$256,$Q1581)))</f>
        <v/>
      </c>
      <c r="N1581" s="38" t="str">
        <f aca="false">IF($A1581="","",IF($Q1581=0,"",INDEX(COA_Mapping!$E$7:$E$256,$Q1581)))</f>
        <v/>
      </c>
      <c r="O1581" s="38" t="n">
        <f aca="false">IF($A1581="",1,IF($Q1581=0,1,INDEX(COA_Mapping!$F$7:$F$256,$Q1581)))</f>
        <v>1</v>
      </c>
      <c r="P1581" s="34" t="str">
        <f aca="false">IF($A1581="","",$I1581*$O1581)</f>
        <v/>
      </c>
      <c r="Q1581" s="39" t="n">
        <f aca="false">IF($B1581="",0,IFERROR(MATCH($B1581,COA_Mapping!$A$7:$A$256,0),0))</f>
        <v>0</v>
      </c>
      <c r="R1581" s="39" t="n">
        <f aca="false">IF($A1581="",-1,IF($J1581=Setup!$B$7,1,IF($J1581=Setup!$B$9,0,-1)))</f>
        <v>-1</v>
      </c>
      <c r="S1581" s="35" t="n">
        <f aca="false">IF(OR($A1581="",$Q1581=0,$R1581=-1),0,$Q1581*1000+$R1581*100+$K1581)</f>
        <v>0</v>
      </c>
      <c r="T1581" s="37" t="str">
        <f aca="false">IF($A1581="","",IF($B1581="","NO ACCOUNT",IF($Q1581=0,"UNMAPPED",IF($R1581=-1,"OUTSIDE FY RANGE","OK"))))</f>
        <v/>
      </c>
      <c r="U1581" s="40" t="str">
        <f aca="false">IF($A1581="","",$B1581&amp;"|"&amp;TEXT($A1581,"yyyymmdd")&amp;"|"&amp;TEXT($I1581,"0.00"))</f>
        <v/>
      </c>
      <c r="V1581" s="35" t="str">
        <f aca="false">IF($A1581="","",COUNTIF($U$8:$U$5007,$U1581))</f>
        <v/>
      </c>
    </row>
    <row r="1582" customFormat="false" ht="15" hidden="false" customHeight="false" outlineLevel="0" collapsed="false">
      <c r="A1582" s="31"/>
      <c r="B1582" s="32"/>
      <c r="C1582" s="32"/>
      <c r="D1582" s="32"/>
      <c r="E1582" s="32"/>
      <c r="F1582" s="32"/>
      <c r="G1582" s="33"/>
      <c r="H1582" s="33"/>
      <c r="I1582" s="34" t="str">
        <f aca="false">IF($A1582="","",$G1582-$H1582)</f>
        <v/>
      </c>
      <c r="J1582" s="35" t="str">
        <f aca="false">IF($A1582="","",IF(Setup!$B$6=1,YEAR($A1582),YEAR($A1582)+IF(MONTH($A1582)&gt;=Setup!$B$6,1,0)))</f>
        <v/>
      </c>
      <c r="K1582" s="35" t="str">
        <f aca="false">IF($A1582="","",MOD(MONTH($A1582)-Setup!$B$6+12,12)+1)</f>
        <v/>
      </c>
      <c r="L1582" s="36" t="str">
        <f aca="false">IF($A1582="","",TEXT($A1582,"MMM-YY"))</f>
        <v/>
      </c>
      <c r="M1582" s="37" t="str">
        <f aca="false">IF($A1582="","",IF($Q1582=0,"UNMAPPED",INDEX(COA_Mapping!$C$7:$C$256,$Q1582)))</f>
        <v/>
      </c>
      <c r="N1582" s="38" t="str">
        <f aca="false">IF($A1582="","",IF($Q1582=0,"",INDEX(COA_Mapping!$E$7:$E$256,$Q1582)))</f>
        <v/>
      </c>
      <c r="O1582" s="38" t="n">
        <f aca="false">IF($A1582="",1,IF($Q1582=0,1,INDEX(COA_Mapping!$F$7:$F$256,$Q1582)))</f>
        <v>1</v>
      </c>
      <c r="P1582" s="34" t="str">
        <f aca="false">IF($A1582="","",$I1582*$O1582)</f>
        <v/>
      </c>
      <c r="Q1582" s="39" t="n">
        <f aca="false">IF($B1582="",0,IFERROR(MATCH($B1582,COA_Mapping!$A$7:$A$256,0),0))</f>
        <v>0</v>
      </c>
      <c r="R1582" s="39" t="n">
        <f aca="false">IF($A1582="",-1,IF($J1582=Setup!$B$7,1,IF($J1582=Setup!$B$9,0,-1)))</f>
        <v>-1</v>
      </c>
      <c r="S1582" s="35" t="n">
        <f aca="false">IF(OR($A1582="",$Q1582=0,$R1582=-1),0,$Q1582*1000+$R1582*100+$K1582)</f>
        <v>0</v>
      </c>
      <c r="T1582" s="37" t="str">
        <f aca="false">IF($A1582="","",IF($B1582="","NO ACCOUNT",IF($Q1582=0,"UNMAPPED",IF($R1582=-1,"OUTSIDE FY RANGE","OK"))))</f>
        <v/>
      </c>
      <c r="U1582" s="40" t="str">
        <f aca="false">IF($A1582="","",$B1582&amp;"|"&amp;TEXT($A1582,"yyyymmdd")&amp;"|"&amp;TEXT($I1582,"0.00"))</f>
        <v/>
      </c>
      <c r="V1582" s="35" t="str">
        <f aca="false">IF($A1582="","",COUNTIF($U$8:$U$5007,$U1582))</f>
        <v/>
      </c>
    </row>
    <row r="1583" customFormat="false" ht="15" hidden="false" customHeight="false" outlineLevel="0" collapsed="false">
      <c r="A1583" s="31"/>
      <c r="B1583" s="32"/>
      <c r="C1583" s="32"/>
      <c r="D1583" s="32"/>
      <c r="E1583" s="32"/>
      <c r="F1583" s="32"/>
      <c r="G1583" s="33"/>
      <c r="H1583" s="33"/>
      <c r="I1583" s="34" t="str">
        <f aca="false">IF($A1583="","",$G1583-$H1583)</f>
        <v/>
      </c>
      <c r="J1583" s="35" t="str">
        <f aca="false">IF($A1583="","",IF(Setup!$B$6=1,YEAR($A1583),YEAR($A1583)+IF(MONTH($A1583)&gt;=Setup!$B$6,1,0)))</f>
        <v/>
      </c>
      <c r="K1583" s="35" t="str">
        <f aca="false">IF($A1583="","",MOD(MONTH($A1583)-Setup!$B$6+12,12)+1)</f>
        <v/>
      </c>
      <c r="L1583" s="36" t="str">
        <f aca="false">IF($A1583="","",TEXT($A1583,"MMM-YY"))</f>
        <v/>
      </c>
      <c r="M1583" s="37" t="str">
        <f aca="false">IF($A1583="","",IF($Q1583=0,"UNMAPPED",INDEX(COA_Mapping!$C$7:$C$256,$Q1583)))</f>
        <v/>
      </c>
      <c r="N1583" s="38" t="str">
        <f aca="false">IF($A1583="","",IF($Q1583=0,"",INDEX(COA_Mapping!$E$7:$E$256,$Q1583)))</f>
        <v/>
      </c>
      <c r="O1583" s="38" t="n">
        <f aca="false">IF($A1583="",1,IF($Q1583=0,1,INDEX(COA_Mapping!$F$7:$F$256,$Q1583)))</f>
        <v>1</v>
      </c>
      <c r="P1583" s="34" t="str">
        <f aca="false">IF($A1583="","",$I1583*$O1583)</f>
        <v/>
      </c>
      <c r="Q1583" s="39" t="n">
        <f aca="false">IF($B1583="",0,IFERROR(MATCH($B1583,COA_Mapping!$A$7:$A$256,0),0))</f>
        <v>0</v>
      </c>
      <c r="R1583" s="39" t="n">
        <f aca="false">IF($A1583="",-1,IF($J1583=Setup!$B$7,1,IF($J1583=Setup!$B$9,0,-1)))</f>
        <v>-1</v>
      </c>
      <c r="S1583" s="35" t="n">
        <f aca="false">IF(OR($A1583="",$Q1583=0,$R1583=-1),0,$Q1583*1000+$R1583*100+$K1583)</f>
        <v>0</v>
      </c>
      <c r="T1583" s="37" t="str">
        <f aca="false">IF($A1583="","",IF($B1583="","NO ACCOUNT",IF($Q1583=0,"UNMAPPED",IF($R1583=-1,"OUTSIDE FY RANGE","OK"))))</f>
        <v/>
      </c>
      <c r="U1583" s="40" t="str">
        <f aca="false">IF($A1583="","",$B1583&amp;"|"&amp;TEXT($A1583,"yyyymmdd")&amp;"|"&amp;TEXT($I1583,"0.00"))</f>
        <v/>
      </c>
      <c r="V1583" s="35" t="str">
        <f aca="false">IF($A1583="","",COUNTIF($U$8:$U$5007,$U1583))</f>
        <v/>
      </c>
    </row>
    <row r="1584" customFormat="false" ht="15" hidden="false" customHeight="false" outlineLevel="0" collapsed="false">
      <c r="A1584" s="31"/>
      <c r="B1584" s="32"/>
      <c r="C1584" s="32"/>
      <c r="D1584" s="32"/>
      <c r="E1584" s="32"/>
      <c r="F1584" s="32"/>
      <c r="G1584" s="33"/>
      <c r="H1584" s="33"/>
      <c r="I1584" s="34" t="str">
        <f aca="false">IF($A1584="","",$G1584-$H1584)</f>
        <v/>
      </c>
      <c r="J1584" s="35" t="str">
        <f aca="false">IF($A1584="","",IF(Setup!$B$6=1,YEAR($A1584),YEAR($A1584)+IF(MONTH($A1584)&gt;=Setup!$B$6,1,0)))</f>
        <v/>
      </c>
      <c r="K1584" s="35" t="str">
        <f aca="false">IF($A1584="","",MOD(MONTH($A1584)-Setup!$B$6+12,12)+1)</f>
        <v/>
      </c>
      <c r="L1584" s="36" t="str">
        <f aca="false">IF($A1584="","",TEXT($A1584,"MMM-YY"))</f>
        <v/>
      </c>
      <c r="M1584" s="37" t="str">
        <f aca="false">IF($A1584="","",IF($Q1584=0,"UNMAPPED",INDEX(COA_Mapping!$C$7:$C$256,$Q1584)))</f>
        <v/>
      </c>
      <c r="N1584" s="38" t="str">
        <f aca="false">IF($A1584="","",IF($Q1584=0,"",INDEX(COA_Mapping!$E$7:$E$256,$Q1584)))</f>
        <v/>
      </c>
      <c r="O1584" s="38" t="n">
        <f aca="false">IF($A1584="",1,IF($Q1584=0,1,INDEX(COA_Mapping!$F$7:$F$256,$Q1584)))</f>
        <v>1</v>
      </c>
      <c r="P1584" s="34" t="str">
        <f aca="false">IF($A1584="","",$I1584*$O1584)</f>
        <v/>
      </c>
      <c r="Q1584" s="39" t="n">
        <f aca="false">IF($B1584="",0,IFERROR(MATCH($B1584,COA_Mapping!$A$7:$A$256,0),0))</f>
        <v>0</v>
      </c>
      <c r="R1584" s="39" t="n">
        <f aca="false">IF($A1584="",-1,IF($J1584=Setup!$B$7,1,IF($J1584=Setup!$B$9,0,-1)))</f>
        <v>-1</v>
      </c>
      <c r="S1584" s="35" t="n">
        <f aca="false">IF(OR($A1584="",$Q1584=0,$R1584=-1),0,$Q1584*1000+$R1584*100+$K1584)</f>
        <v>0</v>
      </c>
      <c r="T1584" s="37" t="str">
        <f aca="false">IF($A1584="","",IF($B1584="","NO ACCOUNT",IF($Q1584=0,"UNMAPPED",IF($R1584=-1,"OUTSIDE FY RANGE","OK"))))</f>
        <v/>
      </c>
      <c r="U1584" s="40" t="str">
        <f aca="false">IF($A1584="","",$B1584&amp;"|"&amp;TEXT($A1584,"yyyymmdd")&amp;"|"&amp;TEXT($I1584,"0.00"))</f>
        <v/>
      </c>
      <c r="V1584" s="35" t="str">
        <f aca="false">IF($A1584="","",COUNTIF($U$8:$U$5007,$U1584))</f>
        <v/>
      </c>
    </row>
    <row r="1585" customFormat="false" ht="15" hidden="false" customHeight="false" outlineLevel="0" collapsed="false">
      <c r="A1585" s="31"/>
      <c r="B1585" s="32"/>
      <c r="C1585" s="32"/>
      <c r="D1585" s="32"/>
      <c r="E1585" s="32"/>
      <c r="F1585" s="32"/>
      <c r="G1585" s="33"/>
      <c r="H1585" s="33"/>
      <c r="I1585" s="34" t="str">
        <f aca="false">IF($A1585="","",$G1585-$H1585)</f>
        <v/>
      </c>
      <c r="J1585" s="35" t="str">
        <f aca="false">IF($A1585="","",IF(Setup!$B$6=1,YEAR($A1585),YEAR($A1585)+IF(MONTH($A1585)&gt;=Setup!$B$6,1,0)))</f>
        <v/>
      </c>
      <c r="K1585" s="35" t="str">
        <f aca="false">IF($A1585="","",MOD(MONTH($A1585)-Setup!$B$6+12,12)+1)</f>
        <v/>
      </c>
      <c r="L1585" s="36" t="str">
        <f aca="false">IF($A1585="","",TEXT($A1585,"MMM-YY"))</f>
        <v/>
      </c>
      <c r="M1585" s="37" t="str">
        <f aca="false">IF($A1585="","",IF($Q1585=0,"UNMAPPED",INDEX(COA_Mapping!$C$7:$C$256,$Q1585)))</f>
        <v/>
      </c>
      <c r="N1585" s="38" t="str">
        <f aca="false">IF($A1585="","",IF($Q1585=0,"",INDEX(COA_Mapping!$E$7:$E$256,$Q1585)))</f>
        <v/>
      </c>
      <c r="O1585" s="38" t="n">
        <f aca="false">IF($A1585="",1,IF($Q1585=0,1,INDEX(COA_Mapping!$F$7:$F$256,$Q1585)))</f>
        <v>1</v>
      </c>
      <c r="P1585" s="34" t="str">
        <f aca="false">IF($A1585="","",$I1585*$O1585)</f>
        <v/>
      </c>
      <c r="Q1585" s="39" t="n">
        <f aca="false">IF($B1585="",0,IFERROR(MATCH($B1585,COA_Mapping!$A$7:$A$256,0),0))</f>
        <v>0</v>
      </c>
      <c r="R1585" s="39" t="n">
        <f aca="false">IF($A1585="",-1,IF($J1585=Setup!$B$7,1,IF($J1585=Setup!$B$9,0,-1)))</f>
        <v>-1</v>
      </c>
      <c r="S1585" s="35" t="n">
        <f aca="false">IF(OR($A1585="",$Q1585=0,$R1585=-1),0,$Q1585*1000+$R1585*100+$K1585)</f>
        <v>0</v>
      </c>
      <c r="T1585" s="37" t="str">
        <f aca="false">IF($A1585="","",IF($B1585="","NO ACCOUNT",IF($Q1585=0,"UNMAPPED",IF($R1585=-1,"OUTSIDE FY RANGE","OK"))))</f>
        <v/>
      </c>
      <c r="U1585" s="40" t="str">
        <f aca="false">IF($A1585="","",$B1585&amp;"|"&amp;TEXT($A1585,"yyyymmdd")&amp;"|"&amp;TEXT($I1585,"0.00"))</f>
        <v/>
      </c>
      <c r="V1585" s="35" t="str">
        <f aca="false">IF($A1585="","",COUNTIF($U$8:$U$5007,$U1585))</f>
        <v/>
      </c>
    </row>
    <row r="1586" customFormat="false" ht="15" hidden="false" customHeight="false" outlineLevel="0" collapsed="false">
      <c r="A1586" s="31"/>
      <c r="B1586" s="32"/>
      <c r="C1586" s="32"/>
      <c r="D1586" s="32"/>
      <c r="E1586" s="32"/>
      <c r="F1586" s="32"/>
      <c r="G1586" s="33"/>
      <c r="H1586" s="33"/>
      <c r="I1586" s="34" t="str">
        <f aca="false">IF($A1586="","",$G1586-$H1586)</f>
        <v/>
      </c>
      <c r="J1586" s="35" t="str">
        <f aca="false">IF($A1586="","",IF(Setup!$B$6=1,YEAR($A1586),YEAR($A1586)+IF(MONTH($A1586)&gt;=Setup!$B$6,1,0)))</f>
        <v/>
      </c>
      <c r="K1586" s="35" t="str">
        <f aca="false">IF($A1586="","",MOD(MONTH($A1586)-Setup!$B$6+12,12)+1)</f>
        <v/>
      </c>
      <c r="L1586" s="36" t="str">
        <f aca="false">IF($A1586="","",TEXT($A1586,"MMM-YY"))</f>
        <v/>
      </c>
      <c r="M1586" s="37" t="str">
        <f aca="false">IF($A1586="","",IF($Q1586=0,"UNMAPPED",INDEX(COA_Mapping!$C$7:$C$256,$Q1586)))</f>
        <v/>
      </c>
      <c r="N1586" s="38" t="str">
        <f aca="false">IF($A1586="","",IF($Q1586=0,"",INDEX(COA_Mapping!$E$7:$E$256,$Q1586)))</f>
        <v/>
      </c>
      <c r="O1586" s="38" t="n">
        <f aca="false">IF($A1586="",1,IF($Q1586=0,1,INDEX(COA_Mapping!$F$7:$F$256,$Q1586)))</f>
        <v>1</v>
      </c>
      <c r="P1586" s="34" t="str">
        <f aca="false">IF($A1586="","",$I1586*$O1586)</f>
        <v/>
      </c>
      <c r="Q1586" s="39" t="n">
        <f aca="false">IF($B1586="",0,IFERROR(MATCH($B1586,COA_Mapping!$A$7:$A$256,0),0))</f>
        <v>0</v>
      </c>
      <c r="R1586" s="39" t="n">
        <f aca="false">IF($A1586="",-1,IF($J1586=Setup!$B$7,1,IF($J1586=Setup!$B$9,0,-1)))</f>
        <v>-1</v>
      </c>
      <c r="S1586" s="35" t="n">
        <f aca="false">IF(OR($A1586="",$Q1586=0,$R1586=-1),0,$Q1586*1000+$R1586*100+$K1586)</f>
        <v>0</v>
      </c>
      <c r="T1586" s="37" t="str">
        <f aca="false">IF($A1586="","",IF($B1586="","NO ACCOUNT",IF($Q1586=0,"UNMAPPED",IF($R1586=-1,"OUTSIDE FY RANGE","OK"))))</f>
        <v/>
      </c>
      <c r="U1586" s="40" t="str">
        <f aca="false">IF($A1586="","",$B1586&amp;"|"&amp;TEXT($A1586,"yyyymmdd")&amp;"|"&amp;TEXT($I1586,"0.00"))</f>
        <v/>
      </c>
      <c r="V1586" s="35" t="str">
        <f aca="false">IF($A1586="","",COUNTIF($U$8:$U$5007,$U1586))</f>
        <v/>
      </c>
    </row>
    <row r="1587" customFormat="false" ht="15" hidden="false" customHeight="false" outlineLevel="0" collapsed="false">
      <c r="A1587" s="31"/>
      <c r="B1587" s="32"/>
      <c r="C1587" s="32"/>
      <c r="D1587" s="32"/>
      <c r="E1587" s="32"/>
      <c r="F1587" s="32"/>
      <c r="G1587" s="33"/>
      <c r="H1587" s="33"/>
      <c r="I1587" s="34" t="str">
        <f aca="false">IF($A1587="","",$G1587-$H1587)</f>
        <v/>
      </c>
      <c r="J1587" s="35" t="str">
        <f aca="false">IF($A1587="","",IF(Setup!$B$6=1,YEAR($A1587),YEAR($A1587)+IF(MONTH($A1587)&gt;=Setup!$B$6,1,0)))</f>
        <v/>
      </c>
      <c r="K1587" s="35" t="str">
        <f aca="false">IF($A1587="","",MOD(MONTH($A1587)-Setup!$B$6+12,12)+1)</f>
        <v/>
      </c>
      <c r="L1587" s="36" t="str">
        <f aca="false">IF($A1587="","",TEXT($A1587,"MMM-YY"))</f>
        <v/>
      </c>
      <c r="M1587" s="37" t="str">
        <f aca="false">IF($A1587="","",IF($Q1587=0,"UNMAPPED",INDEX(COA_Mapping!$C$7:$C$256,$Q1587)))</f>
        <v/>
      </c>
      <c r="N1587" s="38" t="str">
        <f aca="false">IF($A1587="","",IF($Q1587=0,"",INDEX(COA_Mapping!$E$7:$E$256,$Q1587)))</f>
        <v/>
      </c>
      <c r="O1587" s="38" t="n">
        <f aca="false">IF($A1587="",1,IF($Q1587=0,1,INDEX(COA_Mapping!$F$7:$F$256,$Q1587)))</f>
        <v>1</v>
      </c>
      <c r="P1587" s="34" t="str">
        <f aca="false">IF($A1587="","",$I1587*$O1587)</f>
        <v/>
      </c>
      <c r="Q1587" s="39" t="n">
        <f aca="false">IF($B1587="",0,IFERROR(MATCH($B1587,COA_Mapping!$A$7:$A$256,0),0))</f>
        <v>0</v>
      </c>
      <c r="R1587" s="39" t="n">
        <f aca="false">IF($A1587="",-1,IF($J1587=Setup!$B$7,1,IF($J1587=Setup!$B$9,0,-1)))</f>
        <v>-1</v>
      </c>
      <c r="S1587" s="35" t="n">
        <f aca="false">IF(OR($A1587="",$Q1587=0,$R1587=-1),0,$Q1587*1000+$R1587*100+$K1587)</f>
        <v>0</v>
      </c>
      <c r="T1587" s="37" t="str">
        <f aca="false">IF($A1587="","",IF($B1587="","NO ACCOUNT",IF($Q1587=0,"UNMAPPED",IF($R1587=-1,"OUTSIDE FY RANGE","OK"))))</f>
        <v/>
      </c>
      <c r="U1587" s="40" t="str">
        <f aca="false">IF($A1587="","",$B1587&amp;"|"&amp;TEXT($A1587,"yyyymmdd")&amp;"|"&amp;TEXT($I1587,"0.00"))</f>
        <v/>
      </c>
      <c r="V1587" s="35" t="str">
        <f aca="false">IF($A1587="","",COUNTIF($U$8:$U$5007,$U1587))</f>
        <v/>
      </c>
    </row>
    <row r="1588" customFormat="false" ht="15" hidden="false" customHeight="false" outlineLevel="0" collapsed="false">
      <c r="A1588" s="31"/>
      <c r="B1588" s="32"/>
      <c r="C1588" s="32"/>
      <c r="D1588" s="32"/>
      <c r="E1588" s="32"/>
      <c r="F1588" s="32"/>
      <c r="G1588" s="33"/>
      <c r="H1588" s="33"/>
      <c r="I1588" s="34" t="str">
        <f aca="false">IF($A1588="","",$G1588-$H1588)</f>
        <v/>
      </c>
      <c r="J1588" s="35" t="str">
        <f aca="false">IF($A1588="","",IF(Setup!$B$6=1,YEAR($A1588),YEAR($A1588)+IF(MONTH($A1588)&gt;=Setup!$B$6,1,0)))</f>
        <v/>
      </c>
      <c r="K1588" s="35" t="str">
        <f aca="false">IF($A1588="","",MOD(MONTH($A1588)-Setup!$B$6+12,12)+1)</f>
        <v/>
      </c>
      <c r="L1588" s="36" t="str">
        <f aca="false">IF($A1588="","",TEXT($A1588,"MMM-YY"))</f>
        <v/>
      </c>
      <c r="M1588" s="37" t="str">
        <f aca="false">IF($A1588="","",IF($Q1588=0,"UNMAPPED",INDEX(COA_Mapping!$C$7:$C$256,$Q1588)))</f>
        <v/>
      </c>
      <c r="N1588" s="38" t="str">
        <f aca="false">IF($A1588="","",IF($Q1588=0,"",INDEX(COA_Mapping!$E$7:$E$256,$Q1588)))</f>
        <v/>
      </c>
      <c r="O1588" s="38" t="n">
        <f aca="false">IF($A1588="",1,IF($Q1588=0,1,INDEX(COA_Mapping!$F$7:$F$256,$Q1588)))</f>
        <v>1</v>
      </c>
      <c r="P1588" s="34" t="str">
        <f aca="false">IF($A1588="","",$I1588*$O1588)</f>
        <v/>
      </c>
      <c r="Q1588" s="39" t="n">
        <f aca="false">IF($B1588="",0,IFERROR(MATCH($B1588,COA_Mapping!$A$7:$A$256,0),0))</f>
        <v>0</v>
      </c>
      <c r="R1588" s="39" t="n">
        <f aca="false">IF($A1588="",-1,IF($J1588=Setup!$B$7,1,IF($J1588=Setup!$B$9,0,-1)))</f>
        <v>-1</v>
      </c>
      <c r="S1588" s="35" t="n">
        <f aca="false">IF(OR($A1588="",$Q1588=0,$R1588=-1),0,$Q1588*1000+$R1588*100+$K1588)</f>
        <v>0</v>
      </c>
      <c r="T1588" s="37" t="str">
        <f aca="false">IF($A1588="","",IF($B1588="","NO ACCOUNT",IF($Q1588=0,"UNMAPPED",IF($R1588=-1,"OUTSIDE FY RANGE","OK"))))</f>
        <v/>
      </c>
      <c r="U1588" s="40" t="str">
        <f aca="false">IF($A1588="","",$B1588&amp;"|"&amp;TEXT($A1588,"yyyymmdd")&amp;"|"&amp;TEXT($I1588,"0.00"))</f>
        <v/>
      </c>
      <c r="V1588" s="35" t="str">
        <f aca="false">IF($A1588="","",COUNTIF($U$8:$U$5007,$U1588))</f>
        <v/>
      </c>
    </row>
    <row r="1589" customFormat="false" ht="15" hidden="false" customHeight="false" outlineLevel="0" collapsed="false">
      <c r="A1589" s="31"/>
      <c r="B1589" s="32"/>
      <c r="C1589" s="32"/>
      <c r="D1589" s="32"/>
      <c r="E1589" s="32"/>
      <c r="F1589" s="32"/>
      <c r="G1589" s="33"/>
      <c r="H1589" s="33"/>
      <c r="I1589" s="34" t="str">
        <f aca="false">IF($A1589="","",$G1589-$H1589)</f>
        <v/>
      </c>
      <c r="J1589" s="35" t="str">
        <f aca="false">IF($A1589="","",IF(Setup!$B$6=1,YEAR($A1589),YEAR($A1589)+IF(MONTH($A1589)&gt;=Setup!$B$6,1,0)))</f>
        <v/>
      </c>
      <c r="K1589" s="35" t="str">
        <f aca="false">IF($A1589="","",MOD(MONTH($A1589)-Setup!$B$6+12,12)+1)</f>
        <v/>
      </c>
      <c r="L1589" s="36" t="str">
        <f aca="false">IF($A1589="","",TEXT($A1589,"MMM-YY"))</f>
        <v/>
      </c>
      <c r="M1589" s="37" t="str">
        <f aca="false">IF($A1589="","",IF($Q1589=0,"UNMAPPED",INDEX(COA_Mapping!$C$7:$C$256,$Q1589)))</f>
        <v/>
      </c>
      <c r="N1589" s="38" t="str">
        <f aca="false">IF($A1589="","",IF($Q1589=0,"",INDEX(COA_Mapping!$E$7:$E$256,$Q1589)))</f>
        <v/>
      </c>
      <c r="O1589" s="38" t="n">
        <f aca="false">IF($A1589="",1,IF($Q1589=0,1,INDEX(COA_Mapping!$F$7:$F$256,$Q1589)))</f>
        <v>1</v>
      </c>
      <c r="P1589" s="34" t="str">
        <f aca="false">IF($A1589="","",$I1589*$O1589)</f>
        <v/>
      </c>
      <c r="Q1589" s="39" t="n">
        <f aca="false">IF($B1589="",0,IFERROR(MATCH($B1589,COA_Mapping!$A$7:$A$256,0),0))</f>
        <v>0</v>
      </c>
      <c r="R1589" s="39" t="n">
        <f aca="false">IF($A1589="",-1,IF($J1589=Setup!$B$7,1,IF($J1589=Setup!$B$9,0,-1)))</f>
        <v>-1</v>
      </c>
      <c r="S1589" s="35" t="n">
        <f aca="false">IF(OR($A1589="",$Q1589=0,$R1589=-1),0,$Q1589*1000+$R1589*100+$K1589)</f>
        <v>0</v>
      </c>
      <c r="T1589" s="37" t="str">
        <f aca="false">IF($A1589="","",IF($B1589="","NO ACCOUNT",IF($Q1589=0,"UNMAPPED",IF($R1589=-1,"OUTSIDE FY RANGE","OK"))))</f>
        <v/>
      </c>
      <c r="U1589" s="40" t="str">
        <f aca="false">IF($A1589="","",$B1589&amp;"|"&amp;TEXT($A1589,"yyyymmdd")&amp;"|"&amp;TEXT($I1589,"0.00"))</f>
        <v/>
      </c>
      <c r="V1589" s="35" t="str">
        <f aca="false">IF($A1589="","",COUNTIF($U$8:$U$5007,$U1589))</f>
        <v/>
      </c>
    </row>
    <row r="1590" customFormat="false" ht="15" hidden="false" customHeight="false" outlineLevel="0" collapsed="false">
      <c r="A1590" s="31"/>
      <c r="B1590" s="32"/>
      <c r="C1590" s="32"/>
      <c r="D1590" s="32"/>
      <c r="E1590" s="32"/>
      <c r="F1590" s="32"/>
      <c r="G1590" s="33"/>
      <c r="H1590" s="33"/>
      <c r="I1590" s="34" t="str">
        <f aca="false">IF($A1590="","",$G1590-$H1590)</f>
        <v/>
      </c>
      <c r="J1590" s="35" t="str">
        <f aca="false">IF($A1590="","",IF(Setup!$B$6=1,YEAR($A1590),YEAR($A1590)+IF(MONTH($A1590)&gt;=Setup!$B$6,1,0)))</f>
        <v/>
      </c>
      <c r="K1590" s="35" t="str">
        <f aca="false">IF($A1590="","",MOD(MONTH($A1590)-Setup!$B$6+12,12)+1)</f>
        <v/>
      </c>
      <c r="L1590" s="36" t="str">
        <f aca="false">IF($A1590="","",TEXT($A1590,"MMM-YY"))</f>
        <v/>
      </c>
      <c r="M1590" s="37" t="str">
        <f aca="false">IF($A1590="","",IF($Q1590=0,"UNMAPPED",INDEX(COA_Mapping!$C$7:$C$256,$Q1590)))</f>
        <v/>
      </c>
      <c r="N1590" s="38" t="str">
        <f aca="false">IF($A1590="","",IF($Q1590=0,"",INDEX(COA_Mapping!$E$7:$E$256,$Q1590)))</f>
        <v/>
      </c>
      <c r="O1590" s="38" t="n">
        <f aca="false">IF($A1590="",1,IF($Q1590=0,1,INDEX(COA_Mapping!$F$7:$F$256,$Q1590)))</f>
        <v>1</v>
      </c>
      <c r="P1590" s="34" t="str">
        <f aca="false">IF($A1590="","",$I1590*$O1590)</f>
        <v/>
      </c>
      <c r="Q1590" s="39" t="n">
        <f aca="false">IF($B1590="",0,IFERROR(MATCH($B1590,COA_Mapping!$A$7:$A$256,0),0))</f>
        <v>0</v>
      </c>
      <c r="R1590" s="39" t="n">
        <f aca="false">IF($A1590="",-1,IF($J1590=Setup!$B$7,1,IF($J1590=Setup!$B$9,0,-1)))</f>
        <v>-1</v>
      </c>
      <c r="S1590" s="35" t="n">
        <f aca="false">IF(OR($A1590="",$Q1590=0,$R1590=-1),0,$Q1590*1000+$R1590*100+$K1590)</f>
        <v>0</v>
      </c>
      <c r="T1590" s="37" t="str">
        <f aca="false">IF($A1590="","",IF($B1590="","NO ACCOUNT",IF($Q1590=0,"UNMAPPED",IF($R1590=-1,"OUTSIDE FY RANGE","OK"))))</f>
        <v/>
      </c>
      <c r="U1590" s="40" t="str">
        <f aca="false">IF($A1590="","",$B1590&amp;"|"&amp;TEXT($A1590,"yyyymmdd")&amp;"|"&amp;TEXT($I1590,"0.00"))</f>
        <v/>
      </c>
      <c r="V1590" s="35" t="str">
        <f aca="false">IF($A1590="","",COUNTIF($U$8:$U$5007,$U1590))</f>
        <v/>
      </c>
    </row>
    <row r="1591" customFormat="false" ht="15" hidden="false" customHeight="false" outlineLevel="0" collapsed="false">
      <c r="A1591" s="31"/>
      <c r="B1591" s="32"/>
      <c r="C1591" s="32"/>
      <c r="D1591" s="32"/>
      <c r="E1591" s="32"/>
      <c r="F1591" s="32"/>
      <c r="G1591" s="33"/>
      <c r="H1591" s="33"/>
      <c r="I1591" s="34" t="str">
        <f aca="false">IF($A1591="","",$G1591-$H1591)</f>
        <v/>
      </c>
      <c r="J1591" s="35" t="str">
        <f aca="false">IF($A1591="","",IF(Setup!$B$6=1,YEAR($A1591),YEAR($A1591)+IF(MONTH($A1591)&gt;=Setup!$B$6,1,0)))</f>
        <v/>
      </c>
      <c r="K1591" s="35" t="str">
        <f aca="false">IF($A1591="","",MOD(MONTH($A1591)-Setup!$B$6+12,12)+1)</f>
        <v/>
      </c>
      <c r="L1591" s="36" t="str">
        <f aca="false">IF($A1591="","",TEXT($A1591,"MMM-YY"))</f>
        <v/>
      </c>
      <c r="M1591" s="37" t="str">
        <f aca="false">IF($A1591="","",IF($Q1591=0,"UNMAPPED",INDEX(COA_Mapping!$C$7:$C$256,$Q1591)))</f>
        <v/>
      </c>
      <c r="N1591" s="38" t="str">
        <f aca="false">IF($A1591="","",IF($Q1591=0,"",INDEX(COA_Mapping!$E$7:$E$256,$Q1591)))</f>
        <v/>
      </c>
      <c r="O1591" s="38" t="n">
        <f aca="false">IF($A1591="",1,IF($Q1591=0,1,INDEX(COA_Mapping!$F$7:$F$256,$Q1591)))</f>
        <v>1</v>
      </c>
      <c r="P1591" s="34" t="str">
        <f aca="false">IF($A1591="","",$I1591*$O1591)</f>
        <v/>
      </c>
      <c r="Q1591" s="39" t="n">
        <f aca="false">IF($B1591="",0,IFERROR(MATCH($B1591,COA_Mapping!$A$7:$A$256,0),0))</f>
        <v>0</v>
      </c>
      <c r="R1591" s="39" t="n">
        <f aca="false">IF($A1591="",-1,IF($J1591=Setup!$B$7,1,IF($J1591=Setup!$B$9,0,-1)))</f>
        <v>-1</v>
      </c>
      <c r="S1591" s="35" t="n">
        <f aca="false">IF(OR($A1591="",$Q1591=0,$R1591=-1),0,$Q1591*1000+$R1591*100+$K1591)</f>
        <v>0</v>
      </c>
      <c r="T1591" s="37" t="str">
        <f aca="false">IF($A1591="","",IF($B1591="","NO ACCOUNT",IF($Q1591=0,"UNMAPPED",IF($R1591=-1,"OUTSIDE FY RANGE","OK"))))</f>
        <v/>
      </c>
      <c r="U1591" s="40" t="str">
        <f aca="false">IF($A1591="","",$B1591&amp;"|"&amp;TEXT($A1591,"yyyymmdd")&amp;"|"&amp;TEXT($I1591,"0.00"))</f>
        <v/>
      </c>
      <c r="V1591" s="35" t="str">
        <f aca="false">IF($A1591="","",COUNTIF($U$8:$U$5007,$U1591))</f>
        <v/>
      </c>
    </row>
    <row r="1592" customFormat="false" ht="15" hidden="false" customHeight="false" outlineLevel="0" collapsed="false">
      <c r="A1592" s="31"/>
      <c r="B1592" s="32"/>
      <c r="C1592" s="32"/>
      <c r="D1592" s="32"/>
      <c r="E1592" s="32"/>
      <c r="F1592" s="32"/>
      <c r="G1592" s="33"/>
      <c r="H1592" s="33"/>
      <c r="I1592" s="34" t="str">
        <f aca="false">IF($A1592="","",$G1592-$H1592)</f>
        <v/>
      </c>
      <c r="J1592" s="35" t="str">
        <f aca="false">IF($A1592="","",IF(Setup!$B$6=1,YEAR($A1592),YEAR($A1592)+IF(MONTH($A1592)&gt;=Setup!$B$6,1,0)))</f>
        <v/>
      </c>
      <c r="K1592" s="35" t="str">
        <f aca="false">IF($A1592="","",MOD(MONTH($A1592)-Setup!$B$6+12,12)+1)</f>
        <v/>
      </c>
      <c r="L1592" s="36" t="str">
        <f aca="false">IF($A1592="","",TEXT($A1592,"MMM-YY"))</f>
        <v/>
      </c>
      <c r="M1592" s="37" t="str">
        <f aca="false">IF($A1592="","",IF($Q1592=0,"UNMAPPED",INDEX(COA_Mapping!$C$7:$C$256,$Q1592)))</f>
        <v/>
      </c>
      <c r="N1592" s="38" t="str">
        <f aca="false">IF($A1592="","",IF($Q1592=0,"",INDEX(COA_Mapping!$E$7:$E$256,$Q1592)))</f>
        <v/>
      </c>
      <c r="O1592" s="38" t="n">
        <f aca="false">IF($A1592="",1,IF($Q1592=0,1,INDEX(COA_Mapping!$F$7:$F$256,$Q1592)))</f>
        <v>1</v>
      </c>
      <c r="P1592" s="34" t="str">
        <f aca="false">IF($A1592="","",$I1592*$O1592)</f>
        <v/>
      </c>
      <c r="Q1592" s="39" t="n">
        <f aca="false">IF($B1592="",0,IFERROR(MATCH($B1592,COA_Mapping!$A$7:$A$256,0),0))</f>
        <v>0</v>
      </c>
      <c r="R1592" s="39" t="n">
        <f aca="false">IF($A1592="",-1,IF($J1592=Setup!$B$7,1,IF($J1592=Setup!$B$9,0,-1)))</f>
        <v>-1</v>
      </c>
      <c r="S1592" s="35" t="n">
        <f aca="false">IF(OR($A1592="",$Q1592=0,$R1592=-1),0,$Q1592*1000+$R1592*100+$K1592)</f>
        <v>0</v>
      </c>
      <c r="T1592" s="37" t="str">
        <f aca="false">IF($A1592="","",IF($B1592="","NO ACCOUNT",IF($Q1592=0,"UNMAPPED",IF($R1592=-1,"OUTSIDE FY RANGE","OK"))))</f>
        <v/>
      </c>
      <c r="U1592" s="40" t="str">
        <f aca="false">IF($A1592="","",$B1592&amp;"|"&amp;TEXT($A1592,"yyyymmdd")&amp;"|"&amp;TEXT($I1592,"0.00"))</f>
        <v/>
      </c>
      <c r="V1592" s="35" t="str">
        <f aca="false">IF($A1592="","",COUNTIF($U$8:$U$5007,$U1592))</f>
        <v/>
      </c>
    </row>
    <row r="1593" customFormat="false" ht="15" hidden="false" customHeight="false" outlineLevel="0" collapsed="false">
      <c r="A1593" s="31"/>
      <c r="B1593" s="32"/>
      <c r="C1593" s="32"/>
      <c r="D1593" s="32"/>
      <c r="E1593" s="32"/>
      <c r="F1593" s="32"/>
      <c r="G1593" s="33"/>
      <c r="H1593" s="33"/>
      <c r="I1593" s="34" t="str">
        <f aca="false">IF($A1593="","",$G1593-$H1593)</f>
        <v/>
      </c>
      <c r="J1593" s="35" t="str">
        <f aca="false">IF($A1593="","",IF(Setup!$B$6=1,YEAR($A1593),YEAR($A1593)+IF(MONTH($A1593)&gt;=Setup!$B$6,1,0)))</f>
        <v/>
      </c>
      <c r="K1593" s="35" t="str">
        <f aca="false">IF($A1593="","",MOD(MONTH($A1593)-Setup!$B$6+12,12)+1)</f>
        <v/>
      </c>
      <c r="L1593" s="36" t="str">
        <f aca="false">IF($A1593="","",TEXT($A1593,"MMM-YY"))</f>
        <v/>
      </c>
      <c r="M1593" s="37" t="str">
        <f aca="false">IF($A1593="","",IF($Q1593=0,"UNMAPPED",INDEX(COA_Mapping!$C$7:$C$256,$Q1593)))</f>
        <v/>
      </c>
      <c r="N1593" s="38" t="str">
        <f aca="false">IF($A1593="","",IF($Q1593=0,"",INDEX(COA_Mapping!$E$7:$E$256,$Q1593)))</f>
        <v/>
      </c>
      <c r="O1593" s="38" t="n">
        <f aca="false">IF($A1593="",1,IF($Q1593=0,1,INDEX(COA_Mapping!$F$7:$F$256,$Q1593)))</f>
        <v>1</v>
      </c>
      <c r="P1593" s="34" t="str">
        <f aca="false">IF($A1593="","",$I1593*$O1593)</f>
        <v/>
      </c>
      <c r="Q1593" s="39" t="n">
        <f aca="false">IF($B1593="",0,IFERROR(MATCH($B1593,COA_Mapping!$A$7:$A$256,0),0))</f>
        <v>0</v>
      </c>
      <c r="R1593" s="39" t="n">
        <f aca="false">IF($A1593="",-1,IF($J1593=Setup!$B$7,1,IF($J1593=Setup!$B$9,0,-1)))</f>
        <v>-1</v>
      </c>
      <c r="S1593" s="35" t="n">
        <f aca="false">IF(OR($A1593="",$Q1593=0,$R1593=-1),0,$Q1593*1000+$R1593*100+$K1593)</f>
        <v>0</v>
      </c>
      <c r="T1593" s="37" t="str">
        <f aca="false">IF($A1593="","",IF($B1593="","NO ACCOUNT",IF($Q1593=0,"UNMAPPED",IF($R1593=-1,"OUTSIDE FY RANGE","OK"))))</f>
        <v/>
      </c>
      <c r="U1593" s="40" t="str">
        <f aca="false">IF($A1593="","",$B1593&amp;"|"&amp;TEXT($A1593,"yyyymmdd")&amp;"|"&amp;TEXT($I1593,"0.00"))</f>
        <v/>
      </c>
      <c r="V1593" s="35" t="str">
        <f aca="false">IF($A1593="","",COUNTIF($U$8:$U$5007,$U1593))</f>
        <v/>
      </c>
    </row>
    <row r="1594" customFormat="false" ht="15" hidden="false" customHeight="false" outlineLevel="0" collapsed="false">
      <c r="A1594" s="31"/>
      <c r="B1594" s="32"/>
      <c r="C1594" s="32"/>
      <c r="D1594" s="32"/>
      <c r="E1594" s="32"/>
      <c r="F1594" s="32"/>
      <c r="G1594" s="33"/>
      <c r="H1594" s="33"/>
      <c r="I1594" s="34" t="str">
        <f aca="false">IF($A1594="","",$G1594-$H1594)</f>
        <v/>
      </c>
      <c r="J1594" s="35" t="str">
        <f aca="false">IF($A1594="","",IF(Setup!$B$6=1,YEAR($A1594),YEAR($A1594)+IF(MONTH($A1594)&gt;=Setup!$B$6,1,0)))</f>
        <v/>
      </c>
      <c r="K1594" s="35" t="str">
        <f aca="false">IF($A1594="","",MOD(MONTH($A1594)-Setup!$B$6+12,12)+1)</f>
        <v/>
      </c>
      <c r="L1594" s="36" t="str">
        <f aca="false">IF($A1594="","",TEXT($A1594,"MMM-YY"))</f>
        <v/>
      </c>
      <c r="M1594" s="37" t="str">
        <f aca="false">IF($A1594="","",IF($Q1594=0,"UNMAPPED",INDEX(COA_Mapping!$C$7:$C$256,$Q1594)))</f>
        <v/>
      </c>
      <c r="N1594" s="38" t="str">
        <f aca="false">IF($A1594="","",IF($Q1594=0,"",INDEX(COA_Mapping!$E$7:$E$256,$Q1594)))</f>
        <v/>
      </c>
      <c r="O1594" s="38" t="n">
        <f aca="false">IF($A1594="",1,IF($Q1594=0,1,INDEX(COA_Mapping!$F$7:$F$256,$Q1594)))</f>
        <v>1</v>
      </c>
      <c r="P1594" s="34" t="str">
        <f aca="false">IF($A1594="","",$I1594*$O1594)</f>
        <v/>
      </c>
      <c r="Q1594" s="39" t="n">
        <f aca="false">IF($B1594="",0,IFERROR(MATCH($B1594,COA_Mapping!$A$7:$A$256,0),0))</f>
        <v>0</v>
      </c>
      <c r="R1594" s="39" t="n">
        <f aca="false">IF($A1594="",-1,IF($J1594=Setup!$B$7,1,IF($J1594=Setup!$B$9,0,-1)))</f>
        <v>-1</v>
      </c>
      <c r="S1594" s="35" t="n">
        <f aca="false">IF(OR($A1594="",$Q1594=0,$R1594=-1),0,$Q1594*1000+$R1594*100+$K1594)</f>
        <v>0</v>
      </c>
      <c r="T1594" s="37" t="str">
        <f aca="false">IF($A1594="","",IF($B1594="","NO ACCOUNT",IF($Q1594=0,"UNMAPPED",IF($R1594=-1,"OUTSIDE FY RANGE","OK"))))</f>
        <v/>
      </c>
      <c r="U1594" s="40" t="str">
        <f aca="false">IF($A1594="","",$B1594&amp;"|"&amp;TEXT($A1594,"yyyymmdd")&amp;"|"&amp;TEXT($I1594,"0.00"))</f>
        <v/>
      </c>
      <c r="V1594" s="35" t="str">
        <f aca="false">IF($A1594="","",COUNTIF($U$8:$U$5007,$U1594))</f>
        <v/>
      </c>
    </row>
    <row r="1595" customFormat="false" ht="15" hidden="false" customHeight="false" outlineLevel="0" collapsed="false">
      <c r="A1595" s="31"/>
      <c r="B1595" s="32"/>
      <c r="C1595" s="32"/>
      <c r="D1595" s="32"/>
      <c r="E1595" s="32"/>
      <c r="F1595" s="32"/>
      <c r="G1595" s="33"/>
      <c r="H1595" s="33"/>
      <c r="I1595" s="34" t="str">
        <f aca="false">IF($A1595="","",$G1595-$H1595)</f>
        <v/>
      </c>
      <c r="J1595" s="35" t="str">
        <f aca="false">IF($A1595="","",IF(Setup!$B$6=1,YEAR($A1595),YEAR($A1595)+IF(MONTH($A1595)&gt;=Setup!$B$6,1,0)))</f>
        <v/>
      </c>
      <c r="K1595" s="35" t="str">
        <f aca="false">IF($A1595="","",MOD(MONTH($A1595)-Setup!$B$6+12,12)+1)</f>
        <v/>
      </c>
      <c r="L1595" s="36" t="str">
        <f aca="false">IF($A1595="","",TEXT($A1595,"MMM-YY"))</f>
        <v/>
      </c>
      <c r="M1595" s="37" t="str">
        <f aca="false">IF($A1595="","",IF($Q1595=0,"UNMAPPED",INDEX(COA_Mapping!$C$7:$C$256,$Q1595)))</f>
        <v/>
      </c>
      <c r="N1595" s="38" t="str">
        <f aca="false">IF($A1595="","",IF($Q1595=0,"",INDEX(COA_Mapping!$E$7:$E$256,$Q1595)))</f>
        <v/>
      </c>
      <c r="O1595" s="38" t="n">
        <f aca="false">IF($A1595="",1,IF($Q1595=0,1,INDEX(COA_Mapping!$F$7:$F$256,$Q1595)))</f>
        <v>1</v>
      </c>
      <c r="P1595" s="34" t="str">
        <f aca="false">IF($A1595="","",$I1595*$O1595)</f>
        <v/>
      </c>
      <c r="Q1595" s="39" t="n">
        <f aca="false">IF($B1595="",0,IFERROR(MATCH($B1595,COA_Mapping!$A$7:$A$256,0),0))</f>
        <v>0</v>
      </c>
      <c r="R1595" s="39" t="n">
        <f aca="false">IF($A1595="",-1,IF($J1595=Setup!$B$7,1,IF($J1595=Setup!$B$9,0,-1)))</f>
        <v>-1</v>
      </c>
      <c r="S1595" s="35" t="n">
        <f aca="false">IF(OR($A1595="",$Q1595=0,$R1595=-1),0,$Q1595*1000+$R1595*100+$K1595)</f>
        <v>0</v>
      </c>
      <c r="T1595" s="37" t="str">
        <f aca="false">IF($A1595="","",IF($B1595="","NO ACCOUNT",IF($Q1595=0,"UNMAPPED",IF($R1595=-1,"OUTSIDE FY RANGE","OK"))))</f>
        <v/>
      </c>
      <c r="U1595" s="40" t="str">
        <f aca="false">IF($A1595="","",$B1595&amp;"|"&amp;TEXT($A1595,"yyyymmdd")&amp;"|"&amp;TEXT($I1595,"0.00"))</f>
        <v/>
      </c>
      <c r="V1595" s="35" t="str">
        <f aca="false">IF($A1595="","",COUNTIF($U$8:$U$5007,$U1595))</f>
        <v/>
      </c>
    </row>
    <row r="1596" customFormat="false" ht="15" hidden="false" customHeight="false" outlineLevel="0" collapsed="false">
      <c r="A1596" s="31"/>
      <c r="B1596" s="32"/>
      <c r="C1596" s="32"/>
      <c r="D1596" s="32"/>
      <c r="E1596" s="32"/>
      <c r="F1596" s="32"/>
      <c r="G1596" s="33"/>
      <c r="H1596" s="33"/>
      <c r="I1596" s="34" t="str">
        <f aca="false">IF($A1596="","",$G1596-$H1596)</f>
        <v/>
      </c>
      <c r="J1596" s="35" t="str">
        <f aca="false">IF($A1596="","",IF(Setup!$B$6=1,YEAR($A1596),YEAR($A1596)+IF(MONTH($A1596)&gt;=Setup!$B$6,1,0)))</f>
        <v/>
      </c>
      <c r="K1596" s="35" t="str">
        <f aca="false">IF($A1596="","",MOD(MONTH($A1596)-Setup!$B$6+12,12)+1)</f>
        <v/>
      </c>
      <c r="L1596" s="36" t="str">
        <f aca="false">IF($A1596="","",TEXT($A1596,"MMM-YY"))</f>
        <v/>
      </c>
      <c r="M1596" s="37" t="str">
        <f aca="false">IF($A1596="","",IF($Q1596=0,"UNMAPPED",INDEX(COA_Mapping!$C$7:$C$256,$Q1596)))</f>
        <v/>
      </c>
      <c r="N1596" s="38" t="str">
        <f aca="false">IF($A1596="","",IF($Q1596=0,"",INDEX(COA_Mapping!$E$7:$E$256,$Q1596)))</f>
        <v/>
      </c>
      <c r="O1596" s="38" t="n">
        <f aca="false">IF($A1596="",1,IF($Q1596=0,1,INDEX(COA_Mapping!$F$7:$F$256,$Q1596)))</f>
        <v>1</v>
      </c>
      <c r="P1596" s="34" t="str">
        <f aca="false">IF($A1596="","",$I1596*$O1596)</f>
        <v/>
      </c>
      <c r="Q1596" s="39" t="n">
        <f aca="false">IF($B1596="",0,IFERROR(MATCH($B1596,COA_Mapping!$A$7:$A$256,0),0))</f>
        <v>0</v>
      </c>
      <c r="R1596" s="39" t="n">
        <f aca="false">IF($A1596="",-1,IF($J1596=Setup!$B$7,1,IF($J1596=Setup!$B$9,0,-1)))</f>
        <v>-1</v>
      </c>
      <c r="S1596" s="35" t="n">
        <f aca="false">IF(OR($A1596="",$Q1596=0,$R1596=-1),0,$Q1596*1000+$R1596*100+$K1596)</f>
        <v>0</v>
      </c>
      <c r="T1596" s="37" t="str">
        <f aca="false">IF($A1596="","",IF($B1596="","NO ACCOUNT",IF($Q1596=0,"UNMAPPED",IF($R1596=-1,"OUTSIDE FY RANGE","OK"))))</f>
        <v/>
      </c>
      <c r="U1596" s="40" t="str">
        <f aca="false">IF($A1596="","",$B1596&amp;"|"&amp;TEXT($A1596,"yyyymmdd")&amp;"|"&amp;TEXT($I1596,"0.00"))</f>
        <v/>
      </c>
      <c r="V1596" s="35" t="str">
        <f aca="false">IF($A1596="","",COUNTIF($U$8:$U$5007,$U1596))</f>
        <v/>
      </c>
    </row>
    <row r="1597" customFormat="false" ht="15" hidden="false" customHeight="false" outlineLevel="0" collapsed="false">
      <c r="A1597" s="31"/>
      <c r="B1597" s="32"/>
      <c r="C1597" s="32"/>
      <c r="D1597" s="32"/>
      <c r="E1597" s="32"/>
      <c r="F1597" s="32"/>
      <c r="G1597" s="33"/>
      <c r="H1597" s="33"/>
      <c r="I1597" s="34" t="str">
        <f aca="false">IF($A1597="","",$G1597-$H1597)</f>
        <v/>
      </c>
      <c r="J1597" s="35" t="str">
        <f aca="false">IF($A1597="","",IF(Setup!$B$6=1,YEAR($A1597),YEAR($A1597)+IF(MONTH($A1597)&gt;=Setup!$B$6,1,0)))</f>
        <v/>
      </c>
      <c r="K1597" s="35" t="str">
        <f aca="false">IF($A1597="","",MOD(MONTH($A1597)-Setup!$B$6+12,12)+1)</f>
        <v/>
      </c>
      <c r="L1597" s="36" t="str">
        <f aca="false">IF($A1597="","",TEXT($A1597,"MMM-YY"))</f>
        <v/>
      </c>
      <c r="M1597" s="37" t="str">
        <f aca="false">IF($A1597="","",IF($Q1597=0,"UNMAPPED",INDEX(COA_Mapping!$C$7:$C$256,$Q1597)))</f>
        <v/>
      </c>
      <c r="N1597" s="38" t="str">
        <f aca="false">IF($A1597="","",IF($Q1597=0,"",INDEX(COA_Mapping!$E$7:$E$256,$Q1597)))</f>
        <v/>
      </c>
      <c r="O1597" s="38" t="n">
        <f aca="false">IF($A1597="",1,IF($Q1597=0,1,INDEX(COA_Mapping!$F$7:$F$256,$Q1597)))</f>
        <v>1</v>
      </c>
      <c r="P1597" s="34" t="str">
        <f aca="false">IF($A1597="","",$I1597*$O1597)</f>
        <v/>
      </c>
      <c r="Q1597" s="39" t="n">
        <f aca="false">IF($B1597="",0,IFERROR(MATCH($B1597,COA_Mapping!$A$7:$A$256,0),0))</f>
        <v>0</v>
      </c>
      <c r="R1597" s="39" t="n">
        <f aca="false">IF($A1597="",-1,IF($J1597=Setup!$B$7,1,IF($J1597=Setup!$B$9,0,-1)))</f>
        <v>-1</v>
      </c>
      <c r="S1597" s="35" t="n">
        <f aca="false">IF(OR($A1597="",$Q1597=0,$R1597=-1),0,$Q1597*1000+$R1597*100+$K1597)</f>
        <v>0</v>
      </c>
      <c r="T1597" s="37" t="str">
        <f aca="false">IF($A1597="","",IF($B1597="","NO ACCOUNT",IF($Q1597=0,"UNMAPPED",IF($R1597=-1,"OUTSIDE FY RANGE","OK"))))</f>
        <v/>
      </c>
      <c r="U1597" s="40" t="str">
        <f aca="false">IF($A1597="","",$B1597&amp;"|"&amp;TEXT($A1597,"yyyymmdd")&amp;"|"&amp;TEXT($I1597,"0.00"))</f>
        <v/>
      </c>
      <c r="V1597" s="35" t="str">
        <f aca="false">IF($A1597="","",COUNTIF($U$8:$U$5007,$U1597))</f>
        <v/>
      </c>
    </row>
    <row r="1598" customFormat="false" ht="15" hidden="false" customHeight="false" outlineLevel="0" collapsed="false">
      <c r="A1598" s="31"/>
      <c r="B1598" s="32"/>
      <c r="C1598" s="32"/>
      <c r="D1598" s="32"/>
      <c r="E1598" s="32"/>
      <c r="F1598" s="32"/>
      <c r="G1598" s="33"/>
      <c r="H1598" s="33"/>
      <c r="I1598" s="34" t="str">
        <f aca="false">IF($A1598="","",$G1598-$H1598)</f>
        <v/>
      </c>
      <c r="J1598" s="35" t="str">
        <f aca="false">IF($A1598="","",IF(Setup!$B$6=1,YEAR($A1598),YEAR($A1598)+IF(MONTH($A1598)&gt;=Setup!$B$6,1,0)))</f>
        <v/>
      </c>
      <c r="K1598" s="35" t="str">
        <f aca="false">IF($A1598="","",MOD(MONTH($A1598)-Setup!$B$6+12,12)+1)</f>
        <v/>
      </c>
      <c r="L1598" s="36" t="str">
        <f aca="false">IF($A1598="","",TEXT($A1598,"MMM-YY"))</f>
        <v/>
      </c>
      <c r="M1598" s="37" t="str">
        <f aca="false">IF($A1598="","",IF($Q1598=0,"UNMAPPED",INDEX(COA_Mapping!$C$7:$C$256,$Q1598)))</f>
        <v/>
      </c>
      <c r="N1598" s="38" t="str">
        <f aca="false">IF($A1598="","",IF($Q1598=0,"",INDEX(COA_Mapping!$E$7:$E$256,$Q1598)))</f>
        <v/>
      </c>
      <c r="O1598" s="38" t="n">
        <f aca="false">IF($A1598="",1,IF($Q1598=0,1,INDEX(COA_Mapping!$F$7:$F$256,$Q1598)))</f>
        <v>1</v>
      </c>
      <c r="P1598" s="34" t="str">
        <f aca="false">IF($A1598="","",$I1598*$O1598)</f>
        <v/>
      </c>
      <c r="Q1598" s="39" t="n">
        <f aca="false">IF($B1598="",0,IFERROR(MATCH($B1598,COA_Mapping!$A$7:$A$256,0),0))</f>
        <v>0</v>
      </c>
      <c r="R1598" s="39" t="n">
        <f aca="false">IF($A1598="",-1,IF($J1598=Setup!$B$7,1,IF($J1598=Setup!$B$9,0,-1)))</f>
        <v>-1</v>
      </c>
      <c r="S1598" s="35" t="n">
        <f aca="false">IF(OR($A1598="",$Q1598=0,$R1598=-1),0,$Q1598*1000+$R1598*100+$K1598)</f>
        <v>0</v>
      </c>
      <c r="T1598" s="37" t="str">
        <f aca="false">IF($A1598="","",IF($B1598="","NO ACCOUNT",IF($Q1598=0,"UNMAPPED",IF($R1598=-1,"OUTSIDE FY RANGE","OK"))))</f>
        <v/>
      </c>
      <c r="U1598" s="40" t="str">
        <f aca="false">IF($A1598="","",$B1598&amp;"|"&amp;TEXT($A1598,"yyyymmdd")&amp;"|"&amp;TEXT($I1598,"0.00"))</f>
        <v/>
      </c>
      <c r="V1598" s="35" t="str">
        <f aca="false">IF($A1598="","",COUNTIF($U$8:$U$5007,$U1598))</f>
        <v/>
      </c>
    </row>
    <row r="1599" customFormat="false" ht="15" hidden="false" customHeight="false" outlineLevel="0" collapsed="false">
      <c r="A1599" s="31"/>
      <c r="B1599" s="32"/>
      <c r="C1599" s="32"/>
      <c r="D1599" s="32"/>
      <c r="E1599" s="32"/>
      <c r="F1599" s="32"/>
      <c r="G1599" s="33"/>
      <c r="H1599" s="33"/>
      <c r="I1599" s="34" t="str">
        <f aca="false">IF($A1599="","",$G1599-$H1599)</f>
        <v/>
      </c>
      <c r="J1599" s="35" t="str">
        <f aca="false">IF($A1599="","",IF(Setup!$B$6=1,YEAR($A1599),YEAR($A1599)+IF(MONTH($A1599)&gt;=Setup!$B$6,1,0)))</f>
        <v/>
      </c>
      <c r="K1599" s="35" t="str">
        <f aca="false">IF($A1599="","",MOD(MONTH($A1599)-Setup!$B$6+12,12)+1)</f>
        <v/>
      </c>
      <c r="L1599" s="36" t="str">
        <f aca="false">IF($A1599="","",TEXT($A1599,"MMM-YY"))</f>
        <v/>
      </c>
      <c r="M1599" s="37" t="str">
        <f aca="false">IF($A1599="","",IF($Q1599=0,"UNMAPPED",INDEX(COA_Mapping!$C$7:$C$256,$Q1599)))</f>
        <v/>
      </c>
      <c r="N1599" s="38" t="str">
        <f aca="false">IF($A1599="","",IF($Q1599=0,"",INDEX(COA_Mapping!$E$7:$E$256,$Q1599)))</f>
        <v/>
      </c>
      <c r="O1599" s="38" t="n">
        <f aca="false">IF($A1599="",1,IF($Q1599=0,1,INDEX(COA_Mapping!$F$7:$F$256,$Q1599)))</f>
        <v>1</v>
      </c>
      <c r="P1599" s="34" t="str">
        <f aca="false">IF($A1599="","",$I1599*$O1599)</f>
        <v/>
      </c>
      <c r="Q1599" s="39" t="n">
        <f aca="false">IF($B1599="",0,IFERROR(MATCH($B1599,COA_Mapping!$A$7:$A$256,0),0))</f>
        <v>0</v>
      </c>
      <c r="R1599" s="39" t="n">
        <f aca="false">IF($A1599="",-1,IF($J1599=Setup!$B$7,1,IF($J1599=Setup!$B$9,0,-1)))</f>
        <v>-1</v>
      </c>
      <c r="S1599" s="35" t="n">
        <f aca="false">IF(OR($A1599="",$Q1599=0,$R1599=-1),0,$Q1599*1000+$R1599*100+$K1599)</f>
        <v>0</v>
      </c>
      <c r="T1599" s="37" t="str">
        <f aca="false">IF($A1599="","",IF($B1599="","NO ACCOUNT",IF($Q1599=0,"UNMAPPED",IF($R1599=-1,"OUTSIDE FY RANGE","OK"))))</f>
        <v/>
      </c>
      <c r="U1599" s="40" t="str">
        <f aca="false">IF($A1599="","",$B1599&amp;"|"&amp;TEXT($A1599,"yyyymmdd")&amp;"|"&amp;TEXT($I1599,"0.00"))</f>
        <v/>
      </c>
      <c r="V1599" s="35" t="str">
        <f aca="false">IF($A1599="","",COUNTIF($U$8:$U$5007,$U1599))</f>
        <v/>
      </c>
    </row>
    <row r="1600" customFormat="false" ht="15" hidden="false" customHeight="false" outlineLevel="0" collapsed="false">
      <c r="A1600" s="31"/>
      <c r="B1600" s="32"/>
      <c r="C1600" s="32"/>
      <c r="D1600" s="32"/>
      <c r="E1600" s="32"/>
      <c r="F1600" s="32"/>
      <c r="G1600" s="33"/>
      <c r="H1600" s="33"/>
      <c r="I1600" s="34" t="str">
        <f aca="false">IF($A1600="","",$G1600-$H1600)</f>
        <v/>
      </c>
      <c r="J1600" s="35" t="str">
        <f aca="false">IF($A1600="","",IF(Setup!$B$6=1,YEAR($A1600),YEAR($A1600)+IF(MONTH($A1600)&gt;=Setup!$B$6,1,0)))</f>
        <v/>
      </c>
      <c r="K1600" s="35" t="str">
        <f aca="false">IF($A1600="","",MOD(MONTH($A1600)-Setup!$B$6+12,12)+1)</f>
        <v/>
      </c>
      <c r="L1600" s="36" t="str">
        <f aca="false">IF($A1600="","",TEXT($A1600,"MMM-YY"))</f>
        <v/>
      </c>
      <c r="M1600" s="37" t="str">
        <f aca="false">IF($A1600="","",IF($Q1600=0,"UNMAPPED",INDEX(COA_Mapping!$C$7:$C$256,$Q1600)))</f>
        <v/>
      </c>
      <c r="N1600" s="38" t="str">
        <f aca="false">IF($A1600="","",IF($Q1600=0,"",INDEX(COA_Mapping!$E$7:$E$256,$Q1600)))</f>
        <v/>
      </c>
      <c r="O1600" s="38" t="n">
        <f aca="false">IF($A1600="",1,IF($Q1600=0,1,INDEX(COA_Mapping!$F$7:$F$256,$Q1600)))</f>
        <v>1</v>
      </c>
      <c r="P1600" s="34" t="str">
        <f aca="false">IF($A1600="","",$I1600*$O1600)</f>
        <v/>
      </c>
      <c r="Q1600" s="39" t="n">
        <f aca="false">IF($B1600="",0,IFERROR(MATCH($B1600,COA_Mapping!$A$7:$A$256,0),0))</f>
        <v>0</v>
      </c>
      <c r="R1600" s="39" t="n">
        <f aca="false">IF($A1600="",-1,IF($J1600=Setup!$B$7,1,IF($J1600=Setup!$B$9,0,-1)))</f>
        <v>-1</v>
      </c>
      <c r="S1600" s="35" t="n">
        <f aca="false">IF(OR($A1600="",$Q1600=0,$R1600=-1),0,$Q1600*1000+$R1600*100+$K1600)</f>
        <v>0</v>
      </c>
      <c r="T1600" s="37" t="str">
        <f aca="false">IF($A1600="","",IF($B1600="","NO ACCOUNT",IF($Q1600=0,"UNMAPPED",IF($R1600=-1,"OUTSIDE FY RANGE","OK"))))</f>
        <v/>
      </c>
      <c r="U1600" s="40" t="str">
        <f aca="false">IF($A1600="","",$B1600&amp;"|"&amp;TEXT($A1600,"yyyymmdd")&amp;"|"&amp;TEXT($I1600,"0.00"))</f>
        <v/>
      </c>
      <c r="V1600" s="35" t="str">
        <f aca="false">IF($A1600="","",COUNTIF($U$8:$U$5007,$U1600))</f>
        <v/>
      </c>
    </row>
    <row r="1601" customFormat="false" ht="15" hidden="false" customHeight="false" outlineLevel="0" collapsed="false">
      <c r="A1601" s="31"/>
      <c r="B1601" s="32"/>
      <c r="C1601" s="32"/>
      <c r="D1601" s="32"/>
      <c r="E1601" s="32"/>
      <c r="F1601" s="32"/>
      <c r="G1601" s="33"/>
      <c r="H1601" s="33"/>
      <c r="I1601" s="34" t="str">
        <f aca="false">IF($A1601="","",$G1601-$H1601)</f>
        <v/>
      </c>
      <c r="J1601" s="35" t="str">
        <f aca="false">IF($A1601="","",IF(Setup!$B$6=1,YEAR($A1601),YEAR($A1601)+IF(MONTH($A1601)&gt;=Setup!$B$6,1,0)))</f>
        <v/>
      </c>
      <c r="K1601" s="35" t="str">
        <f aca="false">IF($A1601="","",MOD(MONTH($A1601)-Setup!$B$6+12,12)+1)</f>
        <v/>
      </c>
      <c r="L1601" s="36" t="str">
        <f aca="false">IF($A1601="","",TEXT($A1601,"MMM-YY"))</f>
        <v/>
      </c>
      <c r="M1601" s="37" t="str">
        <f aca="false">IF($A1601="","",IF($Q1601=0,"UNMAPPED",INDEX(COA_Mapping!$C$7:$C$256,$Q1601)))</f>
        <v/>
      </c>
      <c r="N1601" s="38" t="str">
        <f aca="false">IF($A1601="","",IF($Q1601=0,"",INDEX(COA_Mapping!$E$7:$E$256,$Q1601)))</f>
        <v/>
      </c>
      <c r="O1601" s="38" t="n">
        <f aca="false">IF($A1601="",1,IF($Q1601=0,1,INDEX(COA_Mapping!$F$7:$F$256,$Q1601)))</f>
        <v>1</v>
      </c>
      <c r="P1601" s="34" t="str">
        <f aca="false">IF($A1601="","",$I1601*$O1601)</f>
        <v/>
      </c>
      <c r="Q1601" s="39" t="n">
        <f aca="false">IF($B1601="",0,IFERROR(MATCH($B1601,COA_Mapping!$A$7:$A$256,0),0))</f>
        <v>0</v>
      </c>
      <c r="R1601" s="39" t="n">
        <f aca="false">IF($A1601="",-1,IF($J1601=Setup!$B$7,1,IF($J1601=Setup!$B$9,0,-1)))</f>
        <v>-1</v>
      </c>
      <c r="S1601" s="35" t="n">
        <f aca="false">IF(OR($A1601="",$Q1601=0,$R1601=-1),0,$Q1601*1000+$R1601*100+$K1601)</f>
        <v>0</v>
      </c>
      <c r="T1601" s="37" t="str">
        <f aca="false">IF($A1601="","",IF($B1601="","NO ACCOUNT",IF($Q1601=0,"UNMAPPED",IF($R1601=-1,"OUTSIDE FY RANGE","OK"))))</f>
        <v/>
      </c>
      <c r="U1601" s="40" t="str">
        <f aca="false">IF($A1601="","",$B1601&amp;"|"&amp;TEXT($A1601,"yyyymmdd")&amp;"|"&amp;TEXT($I1601,"0.00"))</f>
        <v/>
      </c>
      <c r="V1601" s="35" t="str">
        <f aca="false">IF($A1601="","",COUNTIF($U$8:$U$5007,$U1601))</f>
        <v/>
      </c>
    </row>
    <row r="1602" customFormat="false" ht="15" hidden="false" customHeight="false" outlineLevel="0" collapsed="false">
      <c r="A1602" s="31"/>
      <c r="B1602" s="32"/>
      <c r="C1602" s="32"/>
      <c r="D1602" s="32"/>
      <c r="E1602" s="32"/>
      <c r="F1602" s="32"/>
      <c r="G1602" s="33"/>
      <c r="H1602" s="33"/>
      <c r="I1602" s="34" t="str">
        <f aca="false">IF($A1602="","",$G1602-$H1602)</f>
        <v/>
      </c>
      <c r="J1602" s="35" t="str">
        <f aca="false">IF($A1602="","",IF(Setup!$B$6=1,YEAR($A1602),YEAR($A1602)+IF(MONTH($A1602)&gt;=Setup!$B$6,1,0)))</f>
        <v/>
      </c>
      <c r="K1602" s="35" t="str">
        <f aca="false">IF($A1602="","",MOD(MONTH($A1602)-Setup!$B$6+12,12)+1)</f>
        <v/>
      </c>
      <c r="L1602" s="36" t="str">
        <f aca="false">IF($A1602="","",TEXT($A1602,"MMM-YY"))</f>
        <v/>
      </c>
      <c r="M1602" s="37" t="str">
        <f aca="false">IF($A1602="","",IF($Q1602=0,"UNMAPPED",INDEX(COA_Mapping!$C$7:$C$256,$Q1602)))</f>
        <v/>
      </c>
      <c r="N1602" s="38" t="str">
        <f aca="false">IF($A1602="","",IF($Q1602=0,"",INDEX(COA_Mapping!$E$7:$E$256,$Q1602)))</f>
        <v/>
      </c>
      <c r="O1602" s="38" t="n">
        <f aca="false">IF($A1602="",1,IF($Q1602=0,1,INDEX(COA_Mapping!$F$7:$F$256,$Q1602)))</f>
        <v>1</v>
      </c>
      <c r="P1602" s="34" t="str">
        <f aca="false">IF($A1602="","",$I1602*$O1602)</f>
        <v/>
      </c>
      <c r="Q1602" s="39" t="n">
        <f aca="false">IF($B1602="",0,IFERROR(MATCH($B1602,COA_Mapping!$A$7:$A$256,0),0))</f>
        <v>0</v>
      </c>
      <c r="R1602" s="39" t="n">
        <f aca="false">IF($A1602="",-1,IF($J1602=Setup!$B$7,1,IF($J1602=Setup!$B$9,0,-1)))</f>
        <v>-1</v>
      </c>
      <c r="S1602" s="35" t="n">
        <f aca="false">IF(OR($A1602="",$Q1602=0,$R1602=-1),0,$Q1602*1000+$R1602*100+$K1602)</f>
        <v>0</v>
      </c>
      <c r="T1602" s="37" t="str">
        <f aca="false">IF($A1602="","",IF($B1602="","NO ACCOUNT",IF($Q1602=0,"UNMAPPED",IF($R1602=-1,"OUTSIDE FY RANGE","OK"))))</f>
        <v/>
      </c>
      <c r="U1602" s="40" t="str">
        <f aca="false">IF($A1602="","",$B1602&amp;"|"&amp;TEXT($A1602,"yyyymmdd")&amp;"|"&amp;TEXT($I1602,"0.00"))</f>
        <v/>
      </c>
      <c r="V1602" s="35" t="str">
        <f aca="false">IF($A1602="","",COUNTIF($U$8:$U$5007,$U1602))</f>
        <v/>
      </c>
    </row>
    <row r="1603" customFormat="false" ht="15" hidden="false" customHeight="false" outlineLevel="0" collapsed="false">
      <c r="A1603" s="31"/>
      <c r="B1603" s="32"/>
      <c r="C1603" s="32"/>
      <c r="D1603" s="32"/>
      <c r="E1603" s="32"/>
      <c r="F1603" s="32"/>
      <c r="G1603" s="33"/>
      <c r="H1603" s="33"/>
      <c r="I1603" s="34" t="str">
        <f aca="false">IF($A1603="","",$G1603-$H1603)</f>
        <v/>
      </c>
      <c r="J1603" s="35" t="str">
        <f aca="false">IF($A1603="","",IF(Setup!$B$6=1,YEAR($A1603),YEAR($A1603)+IF(MONTH($A1603)&gt;=Setup!$B$6,1,0)))</f>
        <v/>
      </c>
      <c r="K1603" s="35" t="str">
        <f aca="false">IF($A1603="","",MOD(MONTH($A1603)-Setup!$B$6+12,12)+1)</f>
        <v/>
      </c>
      <c r="L1603" s="36" t="str">
        <f aca="false">IF($A1603="","",TEXT($A1603,"MMM-YY"))</f>
        <v/>
      </c>
      <c r="M1603" s="37" t="str">
        <f aca="false">IF($A1603="","",IF($Q1603=0,"UNMAPPED",INDEX(COA_Mapping!$C$7:$C$256,$Q1603)))</f>
        <v/>
      </c>
      <c r="N1603" s="38" t="str">
        <f aca="false">IF($A1603="","",IF($Q1603=0,"",INDEX(COA_Mapping!$E$7:$E$256,$Q1603)))</f>
        <v/>
      </c>
      <c r="O1603" s="38" t="n">
        <f aca="false">IF($A1603="",1,IF($Q1603=0,1,INDEX(COA_Mapping!$F$7:$F$256,$Q1603)))</f>
        <v>1</v>
      </c>
      <c r="P1603" s="34" t="str">
        <f aca="false">IF($A1603="","",$I1603*$O1603)</f>
        <v/>
      </c>
      <c r="Q1603" s="39" t="n">
        <f aca="false">IF($B1603="",0,IFERROR(MATCH($B1603,COA_Mapping!$A$7:$A$256,0),0))</f>
        <v>0</v>
      </c>
      <c r="R1603" s="39" t="n">
        <f aca="false">IF($A1603="",-1,IF($J1603=Setup!$B$7,1,IF($J1603=Setup!$B$9,0,-1)))</f>
        <v>-1</v>
      </c>
      <c r="S1603" s="35" t="n">
        <f aca="false">IF(OR($A1603="",$Q1603=0,$R1603=-1),0,$Q1603*1000+$R1603*100+$K1603)</f>
        <v>0</v>
      </c>
      <c r="T1603" s="37" t="str">
        <f aca="false">IF($A1603="","",IF($B1603="","NO ACCOUNT",IF($Q1603=0,"UNMAPPED",IF($R1603=-1,"OUTSIDE FY RANGE","OK"))))</f>
        <v/>
      </c>
      <c r="U1603" s="40" t="str">
        <f aca="false">IF($A1603="","",$B1603&amp;"|"&amp;TEXT($A1603,"yyyymmdd")&amp;"|"&amp;TEXT($I1603,"0.00"))</f>
        <v/>
      </c>
      <c r="V1603" s="35" t="str">
        <f aca="false">IF($A1603="","",COUNTIF($U$8:$U$5007,$U1603))</f>
        <v/>
      </c>
    </row>
    <row r="1604" customFormat="false" ht="15" hidden="false" customHeight="false" outlineLevel="0" collapsed="false">
      <c r="A1604" s="31"/>
      <c r="B1604" s="32"/>
      <c r="C1604" s="32"/>
      <c r="D1604" s="32"/>
      <c r="E1604" s="32"/>
      <c r="F1604" s="32"/>
      <c r="G1604" s="33"/>
      <c r="H1604" s="33"/>
      <c r="I1604" s="34" t="str">
        <f aca="false">IF($A1604="","",$G1604-$H1604)</f>
        <v/>
      </c>
      <c r="J1604" s="35" t="str">
        <f aca="false">IF($A1604="","",IF(Setup!$B$6=1,YEAR($A1604),YEAR($A1604)+IF(MONTH($A1604)&gt;=Setup!$B$6,1,0)))</f>
        <v/>
      </c>
      <c r="K1604" s="35" t="str">
        <f aca="false">IF($A1604="","",MOD(MONTH($A1604)-Setup!$B$6+12,12)+1)</f>
        <v/>
      </c>
      <c r="L1604" s="36" t="str">
        <f aca="false">IF($A1604="","",TEXT($A1604,"MMM-YY"))</f>
        <v/>
      </c>
      <c r="M1604" s="37" t="str">
        <f aca="false">IF($A1604="","",IF($Q1604=0,"UNMAPPED",INDEX(COA_Mapping!$C$7:$C$256,$Q1604)))</f>
        <v/>
      </c>
      <c r="N1604" s="38" t="str">
        <f aca="false">IF($A1604="","",IF($Q1604=0,"",INDEX(COA_Mapping!$E$7:$E$256,$Q1604)))</f>
        <v/>
      </c>
      <c r="O1604" s="38" t="n">
        <f aca="false">IF($A1604="",1,IF($Q1604=0,1,INDEX(COA_Mapping!$F$7:$F$256,$Q1604)))</f>
        <v>1</v>
      </c>
      <c r="P1604" s="34" t="str">
        <f aca="false">IF($A1604="","",$I1604*$O1604)</f>
        <v/>
      </c>
      <c r="Q1604" s="39" t="n">
        <f aca="false">IF($B1604="",0,IFERROR(MATCH($B1604,COA_Mapping!$A$7:$A$256,0),0))</f>
        <v>0</v>
      </c>
      <c r="R1604" s="39" t="n">
        <f aca="false">IF($A1604="",-1,IF($J1604=Setup!$B$7,1,IF($J1604=Setup!$B$9,0,-1)))</f>
        <v>-1</v>
      </c>
      <c r="S1604" s="35" t="n">
        <f aca="false">IF(OR($A1604="",$Q1604=0,$R1604=-1),0,$Q1604*1000+$R1604*100+$K1604)</f>
        <v>0</v>
      </c>
      <c r="T1604" s="37" t="str">
        <f aca="false">IF($A1604="","",IF($B1604="","NO ACCOUNT",IF($Q1604=0,"UNMAPPED",IF($R1604=-1,"OUTSIDE FY RANGE","OK"))))</f>
        <v/>
      </c>
      <c r="U1604" s="40" t="str">
        <f aca="false">IF($A1604="","",$B1604&amp;"|"&amp;TEXT($A1604,"yyyymmdd")&amp;"|"&amp;TEXT($I1604,"0.00"))</f>
        <v/>
      </c>
      <c r="V1604" s="35" t="str">
        <f aca="false">IF($A1604="","",COUNTIF($U$8:$U$5007,$U1604))</f>
        <v/>
      </c>
    </row>
    <row r="1605" customFormat="false" ht="15" hidden="false" customHeight="false" outlineLevel="0" collapsed="false">
      <c r="A1605" s="31"/>
      <c r="B1605" s="32"/>
      <c r="C1605" s="32"/>
      <c r="D1605" s="32"/>
      <c r="E1605" s="32"/>
      <c r="F1605" s="32"/>
      <c r="G1605" s="33"/>
      <c r="H1605" s="33"/>
      <c r="I1605" s="34" t="str">
        <f aca="false">IF($A1605="","",$G1605-$H1605)</f>
        <v/>
      </c>
      <c r="J1605" s="35" t="str">
        <f aca="false">IF($A1605="","",IF(Setup!$B$6=1,YEAR($A1605),YEAR($A1605)+IF(MONTH($A1605)&gt;=Setup!$B$6,1,0)))</f>
        <v/>
      </c>
      <c r="K1605" s="35" t="str">
        <f aca="false">IF($A1605="","",MOD(MONTH($A1605)-Setup!$B$6+12,12)+1)</f>
        <v/>
      </c>
      <c r="L1605" s="36" t="str">
        <f aca="false">IF($A1605="","",TEXT($A1605,"MMM-YY"))</f>
        <v/>
      </c>
      <c r="M1605" s="37" t="str">
        <f aca="false">IF($A1605="","",IF($Q1605=0,"UNMAPPED",INDEX(COA_Mapping!$C$7:$C$256,$Q1605)))</f>
        <v/>
      </c>
      <c r="N1605" s="38" t="str">
        <f aca="false">IF($A1605="","",IF($Q1605=0,"",INDEX(COA_Mapping!$E$7:$E$256,$Q1605)))</f>
        <v/>
      </c>
      <c r="O1605" s="38" t="n">
        <f aca="false">IF($A1605="",1,IF($Q1605=0,1,INDEX(COA_Mapping!$F$7:$F$256,$Q1605)))</f>
        <v>1</v>
      </c>
      <c r="P1605" s="34" t="str">
        <f aca="false">IF($A1605="","",$I1605*$O1605)</f>
        <v/>
      </c>
      <c r="Q1605" s="39" t="n">
        <f aca="false">IF($B1605="",0,IFERROR(MATCH($B1605,COA_Mapping!$A$7:$A$256,0),0))</f>
        <v>0</v>
      </c>
      <c r="R1605" s="39" t="n">
        <f aca="false">IF($A1605="",-1,IF($J1605=Setup!$B$7,1,IF($J1605=Setup!$B$9,0,-1)))</f>
        <v>-1</v>
      </c>
      <c r="S1605" s="35" t="n">
        <f aca="false">IF(OR($A1605="",$Q1605=0,$R1605=-1),0,$Q1605*1000+$R1605*100+$K1605)</f>
        <v>0</v>
      </c>
      <c r="T1605" s="37" t="str">
        <f aca="false">IF($A1605="","",IF($B1605="","NO ACCOUNT",IF($Q1605=0,"UNMAPPED",IF($R1605=-1,"OUTSIDE FY RANGE","OK"))))</f>
        <v/>
      </c>
      <c r="U1605" s="40" t="str">
        <f aca="false">IF($A1605="","",$B1605&amp;"|"&amp;TEXT($A1605,"yyyymmdd")&amp;"|"&amp;TEXT($I1605,"0.00"))</f>
        <v/>
      </c>
      <c r="V1605" s="35" t="str">
        <f aca="false">IF($A1605="","",COUNTIF($U$8:$U$5007,$U1605))</f>
        <v/>
      </c>
    </row>
    <row r="1606" customFormat="false" ht="15" hidden="false" customHeight="false" outlineLevel="0" collapsed="false">
      <c r="A1606" s="31"/>
      <c r="B1606" s="32"/>
      <c r="C1606" s="32"/>
      <c r="D1606" s="32"/>
      <c r="E1606" s="32"/>
      <c r="F1606" s="32"/>
      <c r="G1606" s="33"/>
      <c r="H1606" s="33"/>
      <c r="I1606" s="34" t="str">
        <f aca="false">IF($A1606="","",$G1606-$H1606)</f>
        <v/>
      </c>
      <c r="J1606" s="35" t="str">
        <f aca="false">IF($A1606="","",IF(Setup!$B$6=1,YEAR($A1606),YEAR($A1606)+IF(MONTH($A1606)&gt;=Setup!$B$6,1,0)))</f>
        <v/>
      </c>
      <c r="K1606" s="35" t="str">
        <f aca="false">IF($A1606="","",MOD(MONTH($A1606)-Setup!$B$6+12,12)+1)</f>
        <v/>
      </c>
      <c r="L1606" s="36" t="str">
        <f aca="false">IF($A1606="","",TEXT($A1606,"MMM-YY"))</f>
        <v/>
      </c>
      <c r="M1606" s="37" t="str">
        <f aca="false">IF($A1606="","",IF($Q1606=0,"UNMAPPED",INDEX(COA_Mapping!$C$7:$C$256,$Q1606)))</f>
        <v/>
      </c>
      <c r="N1606" s="38" t="str">
        <f aca="false">IF($A1606="","",IF($Q1606=0,"",INDEX(COA_Mapping!$E$7:$E$256,$Q1606)))</f>
        <v/>
      </c>
      <c r="O1606" s="38" t="n">
        <f aca="false">IF($A1606="",1,IF($Q1606=0,1,INDEX(COA_Mapping!$F$7:$F$256,$Q1606)))</f>
        <v>1</v>
      </c>
      <c r="P1606" s="34" t="str">
        <f aca="false">IF($A1606="","",$I1606*$O1606)</f>
        <v/>
      </c>
      <c r="Q1606" s="39" t="n">
        <f aca="false">IF($B1606="",0,IFERROR(MATCH($B1606,COA_Mapping!$A$7:$A$256,0),0))</f>
        <v>0</v>
      </c>
      <c r="R1606" s="39" t="n">
        <f aca="false">IF($A1606="",-1,IF($J1606=Setup!$B$7,1,IF($J1606=Setup!$B$9,0,-1)))</f>
        <v>-1</v>
      </c>
      <c r="S1606" s="35" t="n">
        <f aca="false">IF(OR($A1606="",$Q1606=0,$R1606=-1),0,$Q1606*1000+$R1606*100+$K1606)</f>
        <v>0</v>
      </c>
      <c r="T1606" s="37" t="str">
        <f aca="false">IF($A1606="","",IF($B1606="","NO ACCOUNT",IF($Q1606=0,"UNMAPPED",IF($R1606=-1,"OUTSIDE FY RANGE","OK"))))</f>
        <v/>
      </c>
      <c r="U1606" s="40" t="str">
        <f aca="false">IF($A1606="","",$B1606&amp;"|"&amp;TEXT($A1606,"yyyymmdd")&amp;"|"&amp;TEXT($I1606,"0.00"))</f>
        <v/>
      </c>
      <c r="V1606" s="35" t="str">
        <f aca="false">IF($A1606="","",COUNTIF($U$8:$U$5007,$U1606))</f>
        <v/>
      </c>
    </row>
    <row r="1607" customFormat="false" ht="15" hidden="false" customHeight="false" outlineLevel="0" collapsed="false">
      <c r="A1607" s="31"/>
      <c r="B1607" s="32"/>
      <c r="C1607" s="32"/>
      <c r="D1607" s="32"/>
      <c r="E1607" s="32"/>
      <c r="F1607" s="32"/>
      <c r="G1607" s="33"/>
      <c r="H1607" s="33"/>
      <c r="I1607" s="34" t="str">
        <f aca="false">IF($A1607="","",$G1607-$H1607)</f>
        <v/>
      </c>
      <c r="J1607" s="35" t="str">
        <f aca="false">IF($A1607="","",IF(Setup!$B$6=1,YEAR($A1607),YEAR($A1607)+IF(MONTH($A1607)&gt;=Setup!$B$6,1,0)))</f>
        <v/>
      </c>
      <c r="K1607" s="35" t="str">
        <f aca="false">IF($A1607="","",MOD(MONTH($A1607)-Setup!$B$6+12,12)+1)</f>
        <v/>
      </c>
      <c r="L1607" s="36" t="str">
        <f aca="false">IF($A1607="","",TEXT($A1607,"MMM-YY"))</f>
        <v/>
      </c>
      <c r="M1607" s="37" t="str">
        <f aca="false">IF($A1607="","",IF($Q1607=0,"UNMAPPED",INDEX(COA_Mapping!$C$7:$C$256,$Q1607)))</f>
        <v/>
      </c>
      <c r="N1607" s="38" t="str">
        <f aca="false">IF($A1607="","",IF($Q1607=0,"",INDEX(COA_Mapping!$E$7:$E$256,$Q1607)))</f>
        <v/>
      </c>
      <c r="O1607" s="38" t="n">
        <f aca="false">IF($A1607="",1,IF($Q1607=0,1,INDEX(COA_Mapping!$F$7:$F$256,$Q1607)))</f>
        <v>1</v>
      </c>
      <c r="P1607" s="34" t="str">
        <f aca="false">IF($A1607="","",$I1607*$O1607)</f>
        <v/>
      </c>
      <c r="Q1607" s="39" t="n">
        <f aca="false">IF($B1607="",0,IFERROR(MATCH($B1607,COA_Mapping!$A$7:$A$256,0),0))</f>
        <v>0</v>
      </c>
      <c r="R1607" s="39" t="n">
        <f aca="false">IF($A1607="",-1,IF($J1607=Setup!$B$7,1,IF($J1607=Setup!$B$9,0,-1)))</f>
        <v>-1</v>
      </c>
      <c r="S1607" s="35" t="n">
        <f aca="false">IF(OR($A1607="",$Q1607=0,$R1607=-1),0,$Q1607*1000+$R1607*100+$K1607)</f>
        <v>0</v>
      </c>
      <c r="T1607" s="37" t="str">
        <f aca="false">IF($A1607="","",IF($B1607="","NO ACCOUNT",IF($Q1607=0,"UNMAPPED",IF($R1607=-1,"OUTSIDE FY RANGE","OK"))))</f>
        <v/>
      </c>
      <c r="U1607" s="40" t="str">
        <f aca="false">IF($A1607="","",$B1607&amp;"|"&amp;TEXT($A1607,"yyyymmdd")&amp;"|"&amp;TEXT($I1607,"0.00"))</f>
        <v/>
      </c>
      <c r="V1607" s="35" t="str">
        <f aca="false">IF($A1607="","",COUNTIF($U$8:$U$5007,$U1607))</f>
        <v/>
      </c>
    </row>
    <row r="1608" customFormat="false" ht="15" hidden="false" customHeight="false" outlineLevel="0" collapsed="false">
      <c r="A1608" s="31"/>
      <c r="B1608" s="32"/>
      <c r="C1608" s="32"/>
      <c r="D1608" s="32"/>
      <c r="E1608" s="32"/>
      <c r="F1608" s="32"/>
      <c r="G1608" s="33"/>
      <c r="H1608" s="33"/>
      <c r="I1608" s="34" t="str">
        <f aca="false">IF($A1608="","",$G1608-$H1608)</f>
        <v/>
      </c>
      <c r="J1608" s="35" t="str">
        <f aca="false">IF($A1608="","",IF(Setup!$B$6=1,YEAR($A1608),YEAR($A1608)+IF(MONTH($A1608)&gt;=Setup!$B$6,1,0)))</f>
        <v/>
      </c>
      <c r="K1608" s="35" t="str">
        <f aca="false">IF($A1608="","",MOD(MONTH($A1608)-Setup!$B$6+12,12)+1)</f>
        <v/>
      </c>
      <c r="L1608" s="36" t="str">
        <f aca="false">IF($A1608="","",TEXT($A1608,"MMM-YY"))</f>
        <v/>
      </c>
      <c r="M1608" s="37" t="str">
        <f aca="false">IF($A1608="","",IF($Q1608=0,"UNMAPPED",INDEX(COA_Mapping!$C$7:$C$256,$Q1608)))</f>
        <v/>
      </c>
      <c r="N1608" s="38" t="str">
        <f aca="false">IF($A1608="","",IF($Q1608=0,"",INDEX(COA_Mapping!$E$7:$E$256,$Q1608)))</f>
        <v/>
      </c>
      <c r="O1608" s="38" t="n">
        <f aca="false">IF($A1608="",1,IF($Q1608=0,1,INDEX(COA_Mapping!$F$7:$F$256,$Q1608)))</f>
        <v>1</v>
      </c>
      <c r="P1608" s="34" t="str">
        <f aca="false">IF($A1608="","",$I1608*$O1608)</f>
        <v/>
      </c>
      <c r="Q1608" s="39" t="n">
        <f aca="false">IF($B1608="",0,IFERROR(MATCH($B1608,COA_Mapping!$A$7:$A$256,0),0))</f>
        <v>0</v>
      </c>
      <c r="R1608" s="39" t="n">
        <f aca="false">IF($A1608="",-1,IF($J1608=Setup!$B$7,1,IF($J1608=Setup!$B$9,0,-1)))</f>
        <v>-1</v>
      </c>
      <c r="S1608" s="35" t="n">
        <f aca="false">IF(OR($A1608="",$Q1608=0,$R1608=-1),0,$Q1608*1000+$R1608*100+$K1608)</f>
        <v>0</v>
      </c>
      <c r="T1608" s="37" t="str">
        <f aca="false">IF($A1608="","",IF($B1608="","NO ACCOUNT",IF($Q1608=0,"UNMAPPED",IF($R1608=-1,"OUTSIDE FY RANGE","OK"))))</f>
        <v/>
      </c>
      <c r="U1608" s="40" t="str">
        <f aca="false">IF($A1608="","",$B1608&amp;"|"&amp;TEXT($A1608,"yyyymmdd")&amp;"|"&amp;TEXT($I1608,"0.00"))</f>
        <v/>
      </c>
      <c r="V1608" s="35" t="str">
        <f aca="false">IF($A1608="","",COUNTIF($U$8:$U$5007,$U1608))</f>
        <v/>
      </c>
    </row>
    <row r="1609" customFormat="false" ht="15" hidden="false" customHeight="false" outlineLevel="0" collapsed="false">
      <c r="A1609" s="31"/>
      <c r="B1609" s="32"/>
      <c r="C1609" s="32"/>
      <c r="D1609" s="32"/>
      <c r="E1609" s="32"/>
      <c r="F1609" s="32"/>
      <c r="G1609" s="33"/>
      <c r="H1609" s="33"/>
      <c r="I1609" s="34" t="str">
        <f aca="false">IF($A1609="","",$G1609-$H1609)</f>
        <v/>
      </c>
      <c r="J1609" s="35" t="str">
        <f aca="false">IF($A1609="","",IF(Setup!$B$6=1,YEAR($A1609),YEAR($A1609)+IF(MONTH($A1609)&gt;=Setup!$B$6,1,0)))</f>
        <v/>
      </c>
      <c r="K1609" s="35" t="str">
        <f aca="false">IF($A1609="","",MOD(MONTH($A1609)-Setup!$B$6+12,12)+1)</f>
        <v/>
      </c>
      <c r="L1609" s="36" t="str">
        <f aca="false">IF($A1609="","",TEXT($A1609,"MMM-YY"))</f>
        <v/>
      </c>
      <c r="M1609" s="37" t="str">
        <f aca="false">IF($A1609="","",IF($Q1609=0,"UNMAPPED",INDEX(COA_Mapping!$C$7:$C$256,$Q1609)))</f>
        <v/>
      </c>
      <c r="N1609" s="38" t="str">
        <f aca="false">IF($A1609="","",IF($Q1609=0,"",INDEX(COA_Mapping!$E$7:$E$256,$Q1609)))</f>
        <v/>
      </c>
      <c r="O1609" s="38" t="n">
        <f aca="false">IF($A1609="",1,IF($Q1609=0,1,INDEX(COA_Mapping!$F$7:$F$256,$Q1609)))</f>
        <v>1</v>
      </c>
      <c r="P1609" s="34" t="str">
        <f aca="false">IF($A1609="","",$I1609*$O1609)</f>
        <v/>
      </c>
      <c r="Q1609" s="39" t="n">
        <f aca="false">IF($B1609="",0,IFERROR(MATCH($B1609,COA_Mapping!$A$7:$A$256,0),0))</f>
        <v>0</v>
      </c>
      <c r="R1609" s="39" t="n">
        <f aca="false">IF($A1609="",-1,IF($J1609=Setup!$B$7,1,IF($J1609=Setup!$B$9,0,-1)))</f>
        <v>-1</v>
      </c>
      <c r="S1609" s="35" t="n">
        <f aca="false">IF(OR($A1609="",$Q1609=0,$R1609=-1),0,$Q1609*1000+$R1609*100+$K1609)</f>
        <v>0</v>
      </c>
      <c r="T1609" s="37" t="str">
        <f aca="false">IF($A1609="","",IF($B1609="","NO ACCOUNT",IF($Q1609=0,"UNMAPPED",IF($R1609=-1,"OUTSIDE FY RANGE","OK"))))</f>
        <v/>
      </c>
      <c r="U1609" s="40" t="str">
        <f aca="false">IF($A1609="","",$B1609&amp;"|"&amp;TEXT($A1609,"yyyymmdd")&amp;"|"&amp;TEXT($I1609,"0.00"))</f>
        <v/>
      </c>
      <c r="V1609" s="35" t="str">
        <f aca="false">IF($A1609="","",COUNTIF($U$8:$U$5007,$U1609))</f>
        <v/>
      </c>
    </row>
    <row r="1610" customFormat="false" ht="15" hidden="false" customHeight="false" outlineLevel="0" collapsed="false">
      <c r="A1610" s="31"/>
      <c r="B1610" s="32"/>
      <c r="C1610" s="32"/>
      <c r="D1610" s="32"/>
      <c r="E1610" s="32"/>
      <c r="F1610" s="32"/>
      <c r="G1610" s="33"/>
      <c r="H1610" s="33"/>
      <c r="I1610" s="34" t="str">
        <f aca="false">IF($A1610="","",$G1610-$H1610)</f>
        <v/>
      </c>
      <c r="J1610" s="35" t="str">
        <f aca="false">IF($A1610="","",IF(Setup!$B$6=1,YEAR($A1610),YEAR($A1610)+IF(MONTH($A1610)&gt;=Setup!$B$6,1,0)))</f>
        <v/>
      </c>
      <c r="K1610" s="35" t="str">
        <f aca="false">IF($A1610="","",MOD(MONTH($A1610)-Setup!$B$6+12,12)+1)</f>
        <v/>
      </c>
      <c r="L1610" s="36" t="str">
        <f aca="false">IF($A1610="","",TEXT($A1610,"MMM-YY"))</f>
        <v/>
      </c>
      <c r="M1610" s="37" t="str">
        <f aca="false">IF($A1610="","",IF($Q1610=0,"UNMAPPED",INDEX(COA_Mapping!$C$7:$C$256,$Q1610)))</f>
        <v/>
      </c>
      <c r="N1610" s="38" t="str">
        <f aca="false">IF($A1610="","",IF($Q1610=0,"",INDEX(COA_Mapping!$E$7:$E$256,$Q1610)))</f>
        <v/>
      </c>
      <c r="O1610" s="38" t="n">
        <f aca="false">IF($A1610="",1,IF($Q1610=0,1,INDEX(COA_Mapping!$F$7:$F$256,$Q1610)))</f>
        <v>1</v>
      </c>
      <c r="P1610" s="34" t="str">
        <f aca="false">IF($A1610="","",$I1610*$O1610)</f>
        <v/>
      </c>
      <c r="Q1610" s="39" t="n">
        <f aca="false">IF($B1610="",0,IFERROR(MATCH($B1610,COA_Mapping!$A$7:$A$256,0),0))</f>
        <v>0</v>
      </c>
      <c r="R1610" s="39" t="n">
        <f aca="false">IF($A1610="",-1,IF($J1610=Setup!$B$7,1,IF($J1610=Setup!$B$9,0,-1)))</f>
        <v>-1</v>
      </c>
      <c r="S1610" s="35" t="n">
        <f aca="false">IF(OR($A1610="",$Q1610=0,$R1610=-1),0,$Q1610*1000+$R1610*100+$K1610)</f>
        <v>0</v>
      </c>
      <c r="T1610" s="37" t="str">
        <f aca="false">IF($A1610="","",IF($B1610="","NO ACCOUNT",IF($Q1610=0,"UNMAPPED",IF($R1610=-1,"OUTSIDE FY RANGE","OK"))))</f>
        <v/>
      </c>
      <c r="U1610" s="40" t="str">
        <f aca="false">IF($A1610="","",$B1610&amp;"|"&amp;TEXT($A1610,"yyyymmdd")&amp;"|"&amp;TEXT($I1610,"0.00"))</f>
        <v/>
      </c>
      <c r="V1610" s="35" t="str">
        <f aca="false">IF($A1610="","",COUNTIF($U$8:$U$5007,$U1610))</f>
        <v/>
      </c>
    </row>
    <row r="1611" customFormat="false" ht="15" hidden="false" customHeight="false" outlineLevel="0" collapsed="false">
      <c r="A1611" s="31"/>
      <c r="B1611" s="32"/>
      <c r="C1611" s="32"/>
      <c r="D1611" s="32"/>
      <c r="E1611" s="32"/>
      <c r="F1611" s="32"/>
      <c r="G1611" s="33"/>
      <c r="H1611" s="33"/>
      <c r="I1611" s="34" t="str">
        <f aca="false">IF($A1611="","",$G1611-$H1611)</f>
        <v/>
      </c>
      <c r="J1611" s="35" t="str">
        <f aca="false">IF($A1611="","",IF(Setup!$B$6=1,YEAR($A1611),YEAR($A1611)+IF(MONTH($A1611)&gt;=Setup!$B$6,1,0)))</f>
        <v/>
      </c>
      <c r="K1611" s="35" t="str">
        <f aca="false">IF($A1611="","",MOD(MONTH($A1611)-Setup!$B$6+12,12)+1)</f>
        <v/>
      </c>
      <c r="L1611" s="36" t="str">
        <f aca="false">IF($A1611="","",TEXT($A1611,"MMM-YY"))</f>
        <v/>
      </c>
      <c r="M1611" s="37" t="str">
        <f aca="false">IF($A1611="","",IF($Q1611=0,"UNMAPPED",INDEX(COA_Mapping!$C$7:$C$256,$Q1611)))</f>
        <v/>
      </c>
      <c r="N1611" s="38" t="str">
        <f aca="false">IF($A1611="","",IF($Q1611=0,"",INDEX(COA_Mapping!$E$7:$E$256,$Q1611)))</f>
        <v/>
      </c>
      <c r="O1611" s="38" t="n">
        <f aca="false">IF($A1611="",1,IF($Q1611=0,1,INDEX(COA_Mapping!$F$7:$F$256,$Q1611)))</f>
        <v>1</v>
      </c>
      <c r="P1611" s="34" t="str">
        <f aca="false">IF($A1611="","",$I1611*$O1611)</f>
        <v/>
      </c>
      <c r="Q1611" s="39" t="n">
        <f aca="false">IF($B1611="",0,IFERROR(MATCH($B1611,COA_Mapping!$A$7:$A$256,0),0))</f>
        <v>0</v>
      </c>
      <c r="R1611" s="39" t="n">
        <f aca="false">IF($A1611="",-1,IF($J1611=Setup!$B$7,1,IF($J1611=Setup!$B$9,0,-1)))</f>
        <v>-1</v>
      </c>
      <c r="S1611" s="35" t="n">
        <f aca="false">IF(OR($A1611="",$Q1611=0,$R1611=-1),0,$Q1611*1000+$R1611*100+$K1611)</f>
        <v>0</v>
      </c>
      <c r="T1611" s="37" t="str">
        <f aca="false">IF($A1611="","",IF($B1611="","NO ACCOUNT",IF($Q1611=0,"UNMAPPED",IF($R1611=-1,"OUTSIDE FY RANGE","OK"))))</f>
        <v/>
      </c>
      <c r="U1611" s="40" t="str">
        <f aca="false">IF($A1611="","",$B1611&amp;"|"&amp;TEXT($A1611,"yyyymmdd")&amp;"|"&amp;TEXT($I1611,"0.00"))</f>
        <v/>
      </c>
      <c r="V1611" s="35" t="str">
        <f aca="false">IF($A1611="","",COUNTIF($U$8:$U$5007,$U1611))</f>
        <v/>
      </c>
    </row>
    <row r="1612" customFormat="false" ht="15" hidden="false" customHeight="false" outlineLevel="0" collapsed="false">
      <c r="A1612" s="31"/>
      <c r="B1612" s="32"/>
      <c r="C1612" s="32"/>
      <c r="D1612" s="32"/>
      <c r="E1612" s="32"/>
      <c r="F1612" s="32"/>
      <c r="G1612" s="33"/>
      <c r="H1612" s="33"/>
      <c r="I1612" s="34" t="str">
        <f aca="false">IF($A1612="","",$G1612-$H1612)</f>
        <v/>
      </c>
      <c r="J1612" s="35" t="str">
        <f aca="false">IF($A1612="","",IF(Setup!$B$6=1,YEAR($A1612),YEAR($A1612)+IF(MONTH($A1612)&gt;=Setup!$B$6,1,0)))</f>
        <v/>
      </c>
      <c r="K1612" s="35" t="str">
        <f aca="false">IF($A1612="","",MOD(MONTH($A1612)-Setup!$B$6+12,12)+1)</f>
        <v/>
      </c>
      <c r="L1612" s="36" t="str">
        <f aca="false">IF($A1612="","",TEXT($A1612,"MMM-YY"))</f>
        <v/>
      </c>
      <c r="M1612" s="37" t="str">
        <f aca="false">IF($A1612="","",IF($Q1612=0,"UNMAPPED",INDEX(COA_Mapping!$C$7:$C$256,$Q1612)))</f>
        <v/>
      </c>
      <c r="N1612" s="38" t="str">
        <f aca="false">IF($A1612="","",IF($Q1612=0,"",INDEX(COA_Mapping!$E$7:$E$256,$Q1612)))</f>
        <v/>
      </c>
      <c r="O1612" s="38" t="n">
        <f aca="false">IF($A1612="",1,IF($Q1612=0,1,INDEX(COA_Mapping!$F$7:$F$256,$Q1612)))</f>
        <v>1</v>
      </c>
      <c r="P1612" s="34" t="str">
        <f aca="false">IF($A1612="","",$I1612*$O1612)</f>
        <v/>
      </c>
      <c r="Q1612" s="39" t="n">
        <f aca="false">IF($B1612="",0,IFERROR(MATCH($B1612,COA_Mapping!$A$7:$A$256,0),0))</f>
        <v>0</v>
      </c>
      <c r="R1612" s="39" t="n">
        <f aca="false">IF($A1612="",-1,IF($J1612=Setup!$B$7,1,IF($J1612=Setup!$B$9,0,-1)))</f>
        <v>-1</v>
      </c>
      <c r="S1612" s="35" t="n">
        <f aca="false">IF(OR($A1612="",$Q1612=0,$R1612=-1),0,$Q1612*1000+$R1612*100+$K1612)</f>
        <v>0</v>
      </c>
      <c r="T1612" s="37" t="str">
        <f aca="false">IF($A1612="","",IF($B1612="","NO ACCOUNT",IF($Q1612=0,"UNMAPPED",IF($R1612=-1,"OUTSIDE FY RANGE","OK"))))</f>
        <v/>
      </c>
      <c r="U1612" s="40" t="str">
        <f aca="false">IF($A1612="","",$B1612&amp;"|"&amp;TEXT($A1612,"yyyymmdd")&amp;"|"&amp;TEXT($I1612,"0.00"))</f>
        <v/>
      </c>
      <c r="V1612" s="35" t="str">
        <f aca="false">IF($A1612="","",COUNTIF($U$8:$U$5007,$U1612))</f>
        <v/>
      </c>
    </row>
    <row r="1613" customFormat="false" ht="15" hidden="false" customHeight="false" outlineLevel="0" collapsed="false">
      <c r="A1613" s="31"/>
      <c r="B1613" s="32"/>
      <c r="C1613" s="32"/>
      <c r="D1613" s="32"/>
      <c r="E1613" s="32"/>
      <c r="F1613" s="32"/>
      <c r="G1613" s="33"/>
      <c r="H1613" s="33"/>
      <c r="I1613" s="34" t="str">
        <f aca="false">IF($A1613="","",$G1613-$H1613)</f>
        <v/>
      </c>
      <c r="J1613" s="35" t="str">
        <f aca="false">IF($A1613="","",IF(Setup!$B$6=1,YEAR($A1613),YEAR($A1613)+IF(MONTH($A1613)&gt;=Setup!$B$6,1,0)))</f>
        <v/>
      </c>
      <c r="K1613" s="35" t="str">
        <f aca="false">IF($A1613="","",MOD(MONTH($A1613)-Setup!$B$6+12,12)+1)</f>
        <v/>
      </c>
      <c r="L1613" s="36" t="str">
        <f aca="false">IF($A1613="","",TEXT($A1613,"MMM-YY"))</f>
        <v/>
      </c>
      <c r="M1613" s="37" t="str">
        <f aca="false">IF($A1613="","",IF($Q1613=0,"UNMAPPED",INDEX(COA_Mapping!$C$7:$C$256,$Q1613)))</f>
        <v/>
      </c>
      <c r="N1613" s="38" t="str">
        <f aca="false">IF($A1613="","",IF($Q1613=0,"",INDEX(COA_Mapping!$E$7:$E$256,$Q1613)))</f>
        <v/>
      </c>
      <c r="O1613" s="38" t="n">
        <f aca="false">IF($A1613="",1,IF($Q1613=0,1,INDEX(COA_Mapping!$F$7:$F$256,$Q1613)))</f>
        <v>1</v>
      </c>
      <c r="P1613" s="34" t="str">
        <f aca="false">IF($A1613="","",$I1613*$O1613)</f>
        <v/>
      </c>
      <c r="Q1613" s="39" t="n">
        <f aca="false">IF($B1613="",0,IFERROR(MATCH($B1613,COA_Mapping!$A$7:$A$256,0),0))</f>
        <v>0</v>
      </c>
      <c r="R1613" s="39" t="n">
        <f aca="false">IF($A1613="",-1,IF($J1613=Setup!$B$7,1,IF($J1613=Setup!$B$9,0,-1)))</f>
        <v>-1</v>
      </c>
      <c r="S1613" s="35" t="n">
        <f aca="false">IF(OR($A1613="",$Q1613=0,$R1613=-1),0,$Q1613*1000+$R1613*100+$K1613)</f>
        <v>0</v>
      </c>
      <c r="T1613" s="37" t="str">
        <f aca="false">IF($A1613="","",IF($B1613="","NO ACCOUNT",IF($Q1613=0,"UNMAPPED",IF($R1613=-1,"OUTSIDE FY RANGE","OK"))))</f>
        <v/>
      </c>
      <c r="U1613" s="40" t="str">
        <f aca="false">IF($A1613="","",$B1613&amp;"|"&amp;TEXT($A1613,"yyyymmdd")&amp;"|"&amp;TEXT($I1613,"0.00"))</f>
        <v/>
      </c>
      <c r="V1613" s="35" t="str">
        <f aca="false">IF($A1613="","",COUNTIF($U$8:$U$5007,$U1613))</f>
        <v/>
      </c>
    </row>
    <row r="1614" customFormat="false" ht="15" hidden="false" customHeight="false" outlineLevel="0" collapsed="false">
      <c r="A1614" s="31"/>
      <c r="B1614" s="32"/>
      <c r="C1614" s="32"/>
      <c r="D1614" s="32"/>
      <c r="E1614" s="32"/>
      <c r="F1614" s="32"/>
      <c r="G1614" s="33"/>
      <c r="H1614" s="33"/>
      <c r="I1614" s="34" t="str">
        <f aca="false">IF($A1614="","",$G1614-$H1614)</f>
        <v/>
      </c>
      <c r="J1614" s="35" t="str">
        <f aca="false">IF($A1614="","",IF(Setup!$B$6=1,YEAR($A1614),YEAR($A1614)+IF(MONTH($A1614)&gt;=Setup!$B$6,1,0)))</f>
        <v/>
      </c>
      <c r="K1614" s="35" t="str">
        <f aca="false">IF($A1614="","",MOD(MONTH($A1614)-Setup!$B$6+12,12)+1)</f>
        <v/>
      </c>
      <c r="L1614" s="36" t="str">
        <f aca="false">IF($A1614="","",TEXT($A1614,"MMM-YY"))</f>
        <v/>
      </c>
      <c r="M1614" s="37" t="str">
        <f aca="false">IF($A1614="","",IF($Q1614=0,"UNMAPPED",INDEX(COA_Mapping!$C$7:$C$256,$Q1614)))</f>
        <v/>
      </c>
      <c r="N1614" s="38" t="str">
        <f aca="false">IF($A1614="","",IF($Q1614=0,"",INDEX(COA_Mapping!$E$7:$E$256,$Q1614)))</f>
        <v/>
      </c>
      <c r="O1614" s="38" t="n">
        <f aca="false">IF($A1614="",1,IF($Q1614=0,1,INDEX(COA_Mapping!$F$7:$F$256,$Q1614)))</f>
        <v>1</v>
      </c>
      <c r="P1614" s="34" t="str">
        <f aca="false">IF($A1614="","",$I1614*$O1614)</f>
        <v/>
      </c>
      <c r="Q1614" s="39" t="n">
        <f aca="false">IF($B1614="",0,IFERROR(MATCH($B1614,COA_Mapping!$A$7:$A$256,0),0))</f>
        <v>0</v>
      </c>
      <c r="R1614" s="39" t="n">
        <f aca="false">IF($A1614="",-1,IF($J1614=Setup!$B$7,1,IF($J1614=Setup!$B$9,0,-1)))</f>
        <v>-1</v>
      </c>
      <c r="S1614" s="35" t="n">
        <f aca="false">IF(OR($A1614="",$Q1614=0,$R1614=-1),0,$Q1614*1000+$R1614*100+$K1614)</f>
        <v>0</v>
      </c>
      <c r="T1614" s="37" t="str">
        <f aca="false">IF($A1614="","",IF($B1614="","NO ACCOUNT",IF($Q1614=0,"UNMAPPED",IF($R1614=-1,"OUTSIDE FY RANGE","OK"))))</f>
        <v/>
      </c>
      <c r="U1614" s="40" t="str">
        <f aca="false">IF($A1614="","",$B1614&amp;"|"&amp;TEXT($A1614,"yyyymmdd")&amp;"|"&amp;TEXT($I1614,"0.00"))</f>
        <v/>
      </c>
      <c r="V1614" s="35" t="str">
        <f aca="false">IF($A1614="","",COUNTIF($U$8:$U$5007,$U1614))</f>
        <v/>
      </c>
    </row>
    <row r="1615" customFormat="false" ht="15" hidden="false" customHeight="false" outlineLevel="0" collapsed="false">
      <c r="A1615" s="31"/>
      <c r="B1615" s="32"/>
      <c r="C1615" s="32"/>
      <c r="D1615" s="32"/>
      <c r="E1615" s="32"/>
      <c r="F1615" s="32"/>
      <c r="G1615" s="33"/>
      <c r="H1615" s="33"/>
      <c r="I1615" s="34" t="str">
        <f aca="false">IF($A1615="","",$G1615-$H1615)</f>
        <v/>
      </c>
      <c r="J1615" s="35" t="str">
        <f aca="false">IF($A1615="","",IF(Setup!$B$6=1,YEAR($A1615),YEAR($A1615)+IF(MONTH($A1615)&gt;=Setup!$B$6,1,0)))</f>
        <v/>
      </c>
      <c r="K1615" s="35" t="str">
        <f aca="false">IF($A1615="","",MOD(MONTH($A1615)-Setup!$B$6+12,12)+1)</f>
        <v/>
      </c>
      <c r="L1615" s="36" t="str">
        <f aca="false">IF($A1615="","",TEXT($A1615,"MMM-YY"))</f>
        <v/>
      </c>
      <c r="M1615" s="37" t="str">
        <f aca="false">IF($A1615="","",IF($Q1615=0,"UNMAPPED",INDEX(COA_Mapping!$C$7:$C$256,$Q1615)))</f>
        <v/>
      </c>
      <c r="N1615" s="38" t="str">
        <f aca="false">IF($A1615="","",IF($Q1615=0,"",INDEX(COA_Mapping!$E$7:$E$256,$Q1615)))</f>
        <v/>
      </c>
      <c r="O1615" s="38" t="n">
        <f aca="false">IF($A1615="",1,IF($Q1615=0,1,INDEX(COA_Mapping!$F$7:$F$256,$Q1615)))</f>
        <v>1</v>
      </c>
      <c r="P1615" s="34" t="str">
        <f aca="false">IF($A1615="","",$I1615*$O1615)</f>
        <v/>
      </c>
      <c r="Q1615" s="39" t="n">
        <f aca="false">IF($B1615="",0,IFERROR(MATCH($B1615,COA_Mapping!$A$7:$A$256,0),0))</f>
        <v>0</v>
      </c>
      <c r="R1615" s="39" t="n">
        <f aca="false">IF($A1615="",-1,IF($J1615=Setup!$B$7,1,IF($J1615=Setup!$B$9,0,-1)))</f>
        <v>-1</v>
      </c>
      <c r="S1615" s="35" t="n">
        <f aca="false">IF(OR($A1615="",$Q1615=0,$R1615=-1),0,$Q1615*1000+$R1615*100+$K1615)</f>
        <v>0</v>
      </c>
      <c r="T1615" s="37" t="str">
        <f aca="false">IF($A1615="","",IF($B1615="","NO ACCOUNT",IF($Q1615=0,"UNMAPPED",IF($R1615=-1,"OUTSIDE FY RANGE","OK"))))</f>
        <v/>
      </c>
      <c r="U1615" s="40" t="str">
        <f aca="false">IF($A1615="","",$B1615&amp;"|"&amp;TEXT($A1615,"yyyymmdd")&amp;"|"&amp;TEXT($I1615,"0.00"))</f>
        <v/>
      </c>
      <c r="V1615" s="35" t="str">
        <f aca="false">IF($A1615="","",COUNTIF($U$8:$U$5007,$U1615))</f>
        <v/>
      </c>
    </row>
    <row r="1616" customFormat="false" ht="15" hidden="false" customHeight="false" outlineLevel="0" collapsed="false">
      <c r="A1616" s="31"/>
      <c r="B1616" s="32"/>
      <c r="C1616" s="32"/>
      <c r="D1616" s="32"/>
      <c r="E1616" s="32"/>
      <c r="F1616" s="32"/>
      <c r="G1616" s="33"/>
      <c r="H1616" s="33"/>
      <c r="I1616" s="34" t="str">
        <f aca="false">IF($A1616="","",$G1616-$H1616)</f>
        <v/>
      </c>
      <c r="J1616" s="35" t="str">
        <f aca="false">IF($A1616="","",IF(Setup!$B$6=1,YEAR($A1616),YEAR($A1616)+IF(MONTH($A1616)&gt;=Setup!$B$6,1,0)))</f>
        <v/>
      </c>
      <c r="K1616" s="35" t="str">
        <f aca="false">IF($A1616="","",MOD(MONTH($A1616)-Setup!$B$6+12,12)+1)</f>
        <v/>
      </c>
      <c r="L1616" s="36" t="str">
        <f aca="false">IF($A1616="","",TEXT($A1616,"MMM-YY"))</f>
        <v/>
      </c>
      <c r="M1616" s="37" t="str">
        <f aca="false">IF($A1616="","",IF($Q1616=0,"UNMAPPED",INDEX(COA_Mapping!$C$7:$C$256,$Q1616)))</f>
        <v/>
      </c>
      <c r="N1616" s="38" t="str">
        <f aca="false">IF($A1616="","",IF($Q1616=0,"",INDEX(COA_Mapping!$E$7:$E$256,$Q1616)))</f>
        <v/>
      </c>
      <c r="O1616" s="38" t="n">
        <f aca="false">IF($A1616="",1,IF($Q1616=0,1,INDEX(COA_Mapping!$F$7:$F$256,$Q1616)))</f>
        <v>1</v>
      </c>
      <c r="P1616" s="34" t="str">
        <f aca="false">IF($A1616="","",$I1616*$O1616)</f>
        <v/>
      </c>
      <c r="Q1616" s="39" t="n">
        <f aca="false">IF($B1616="",0,IFERROR(MATCH($B1616,COA_Mapping!$A$7:$A$256,0),0))</f>
        <v>0</v>
      </c>
      <c r="R1616" s="39" t="n">
        <f aca="false">IF($A1616="",-1,IF($J1616=Setup!$B$7,1,IF($J1616=Setup!$B$9,0,-1)))</f>
        <v>-1</v>
      </c>
      <c r="S1616" s="35" t="n">
        <f aca="false">IF(OR($A1616="",$Q1616=0,$R1616=-1),0,$Q1616*1000+$R1616*100+$K1616)</f>
        <v>0</v>
      </c>
      <c r="T1616" s="37" t="str">
        <f aca="false">IF($A1616="","",IF($B1616="","NO ACCOUNT",IF($Q1616=0,"UNMAPPED",IF($R1616=-1,"OUTSIDE FY RANGE","OK"))))</f>
        <v/>
      </c>
      <c r="U1616" s="40" t="str">
        <f aca="false">IF($A1616="","",$B1616&amp;"|"&amp;TEXT($A1616,"yyyymmdd")&amp;"|"&amp;TEXT($I1616,"0.00"))</f>
        <v/>
      </c>
      <c r="V1616" s="35" t="str">
        <f aca="false">IF($A1616="","",COUNTIF($U$8:$U$5007,$U1616))</f>
        <v/>
      </c>
    </row>
    <row r="1617" customFormat="false" ht="15" hidden="false" customHeight="false" outlineLevel="0" collapsed="false">
      <c r="A1617" s="31"/>
      <c r="B1617" s="32"/>
      <c r="C1617" s="32"/>
      <c r="D1617" s="32"/>
      <c r="E1617" s="32"/>
      <c r="F1617" s="32"/>
      <c r="G1617" s="33"/>
      <c r="H1617" s="33"/>
      <c r="I1617" s="34" t="str">
        <f aca="false">IF($A1617="","",$G1617-$H1617)</f>
        <v/>
      </c>
      <c r="J1617" s="35" t="str">
        <f aca="false">IF($A1617="","",IF(Setup!$B$6=1,YEAR($A1617),YEAR($A1617)+IF(MONTH($A1617)&gt;=Setup!$B$6,1,0)))</f>
        <v/>
      </c>
      <c r="K1617" s="35" t="str">
        <f aca="false">IF($A1617="","",MOD(MONTH($A1617)-Setup!$B$6+12,12)+1)</f>
        <v/>
      </c>
      <c r="L1617" s="36" t="str">
        <f aca="false">IF($A1617="","",TEXT($A1617,"MMM-YY"))</f>
        <v/>
      </c>
      <c r="M1617" s="37" t="str">
        <f aca="false">IF($A1617="","",IF($Q1617=0,"UNMAPPED",INDEX(COA_Mapping!$C$7:$C$256,$Q1617)))</f>
        <v/>
      </c>
      <c r="N1617" s="38" t="str">
        <f aca="false">IF($A1617="","",IF($Q1617=0,"",INDEX(COA_Mapping!$E$7:$E$256,$Q1617)))</f>
        <v/>
      </c>
      <c r="O1617" s="38" t="n">
        <f aca="false">IF($A1617="",1,IF($Q1617=0,1,INDEX(COA_Mapping!$F$7:$F$256,$Q1617)))</f>
        <v>1</v>
      </c>
      <c r="P1617" s="34" t="str">
        <f aca="false">IF($A1617="","",$I1617*$O1617)</f>
        <v/>
      </c>
      <c r="Q1617" s="39" t="n">
        <f aca="false">IF($B1617="",0,IFERROR(MATCH($B1617,COA_Mapping!$A$7:$A$256,0),0))</f>
        <v>0</v>
      </c>
      <c r="R1617" s="39" t="n">
        <f aca="false">IF($A1617="",-1,IF($J1617=Setup!$B$7,1,IF($J1617=Setup!$B$9,0,-1)))</f>
        <v>-1</v>
      </c>
      <c r="S1617" s="35" t="n">
        <f aca="false">IF(OR($A1617="",$Q1617=0,$R1617=-1),0,$Q1617*1000+$R1617*100+$K1617)</f>
        <v>0</v>
      </c>
      <c r="T1617" s="37" t="str">
        <f aca="false">IF($A1617="","",IF($B1617="","NO ACCOUNT",IF($Q1617=0,"UNMAPPED",IF($R1617=-1,"OUTSIDE FY RANGE","OK"))))</f>
        <v/>
      </c>
      <c r="U1617" s="40" t="str">
        <f aca="false">IF($A1617="","",$B1617&amp;"|"&amp;TEXT($A1617,"yyyymmdd")&amp;"|"&amp;TEXT($I1617,"0.00"))</f>
        <v/>
      </c>
      <c r="V1617" s="35" t="str">
        <f aca="false">IF($A1617="","",COUNTIF($U$8:$U$5007,$U1617))</f>
        <v/>
      </c>
    </row>
    <row r="1618" customFormat="false" ht="15" hidden="false" customHeight="false" outlineLevel="0" collapsed="false">
      <c r="A1618" s="31"/>
      <c r="B1618" s="32"/>
      <c r="C1618" s="32"/>
      <c r="D1618" s="32"/>
      <c r="E1618" s="32"/>
      <c r="F1618" s="32"/>
      <c r="G1618" s="33"/>
      <c r="H1618" s="33"/>
      <c r="I1618" s="34" t="str">
        <f aca="false">IF($A1618="","",$G1618-$H1618)</f>
        <v/>
      </c>
      <c r="J1618" s="35" t="str">
        <f aca="false">IF($A1618="","",IF(Setup!$B$6=1,YEAR($A1618),YEAR($A1618)+IF(MONTH($A1618)&gt;=Setup!$B$6,1,0)))</f>
        <v/>
      </c>
      <c r="K1618" s="35" t="str">
        <f aca="false">IF($A1618="","",MOD(MONTH($A1618)-Setup!$B$6+12,12)+1)</f>
        <v/>
      </c>
      <c r="L1618" s="36" t="str">
        <f aca="false">IF($A1618="","",TEXT($A1618,"MMM-YY"))</f>
        <v/>
      </c>
      <c r="M1618" s="37" t="str">
        <f aca="false">IF($A1618="","",IF($Q1618=0,"UNMAPPED",INDEX(COA_Mapping!$C$7:$C$256,$Q1618)))</f>
        <v/>
      </c>
      <c r="N1618" s="38" t="str">
        <f aca="false">IF($A1618="","",IF($Q1618=0,"",INDEX(COA_Mapping!$E$7:$E$256,$Q1618)))</f>
        <v/>
      </c>
      <c r="O1618" s="38" t="n">
        <f aca="false">IF($A1618="",1,IF($Q1618=0,1,INDEX(COA_Mapping!$F$7:$F$256,$Q1618)))</f>
        <v>1</v>
      </c>
      <c r="P1618" s="34" t="str">
        <f aca="false">IF($A1618="","",$I1618*$O1618)</f>
        <v/>
      </c>
      <c r="Q1618" s="39" t="n">
        <f aca="false">IF($B1618="",0,IFERROR(MATCH($B1618,COA_Mapping!$A$7:$A$256,0),0))</f>
        <v>0</v>
      </c>
      <c r="R1618" s="39" t="n">
        <f aca="false">IF($A1618="",-1,IF($J1618=Setup!$B$7,1,IF($J1618=Setup!$B$9,0,-1)))</f>
        <v>-1</v>
      </c>
      <c r="S1618" s="35" t="n">
        <f aca="false">IF(OR($A1618="",$Q1618=0,$R1618=-1),0,$Q1618*1000+$R1618*100+$K1618)</f>
        <v>0</v>
      </c>
      <c r="T1618" s="37" t="str">
        <f aca="false">IF($A1618="","",IF($B1618="","NO ACCOUNT",IF($Q1618=0,"UNMAPPED",IF($R1618=-1,"OUTSIDE FY RANGE","OK"))))</f>
        <v/>
      </c>
      <c r="U1618" s="40" t="str">
        <f aca="false">IF($A1618="","",$B1618&amp;"|"&amp;TEXT($A1618,"yyyymmdd")&amp;"|"&amp;TEXT($I1618,"0.00"))</f>
        <v/>
      </c>
      <c r="V1618" s="35" t="str">
        <f aca="false">IF($A1618="","",COUNTIF($U$8:$U$5007,$U1618))</f>
        <v/>
      </c>
    </row>
    <row r="1619" customFormat="false" ht="15" hidden="false" customHeight="false" outlineLevel="0" collapsed="false">
      <c r="A1619" s="31"/>
      <c r="B1619" s="32"/>
      <c r="C1619" s="32"/>
      <c r="D1619" s="32"/>
      <c r="E1619" s="32"/>
      <c r="F1619" s="32"/>
      <c r="G1619" s="33"/>
      <c r="H1619" s="33"/>
      <c r="I1619" s="34" t="str">
        <f aca="false">IF($A1619="","",$G1619-$H1619)</f>
        <v/>
      </c>
      <c r="J1619" s="35" t="str">
        <f aca="false">IF($A1619="","",IF(Setup!$B$6=1,YEAR($A1619),YEAR($A1619)+IF(MONTH($A1619)&gt;=Setup!$B$6,1,0)))</f>
        <v/>
      </c>
      <c r="K1619" s="35" t="str">
        <f aca="false">IF($A1619="","",MOD(MONTH($A1619)-Setup!$B$6+12,12)+1)</f>
        <v/>
      </c>
      <c r="L1619" s="36" t="str">
        <f aca="false">IF($A1619="","",TEXT($A1619,"MMM-YY"))</f>
        <v/>
      </c>
      <c r="M1619" s="37" t="str">
        <f aca="false">IF($A1619="","",IF($Q1619=0,"UNMAPPED",INDEX(COA_Mapping!$C$7:$C$256,$Q1619)))</f>
        <v/>
      </c>
      <c r="N1619" s="38" t="str">
        <f aca="false">IF($A1619="","",IF($Q1619=0,"",INDEX(COA_Mapping!$E$7:$E$256,$Q1619)))</f>
        <v/>
      </c>
      <c r="O1619" s="38" t="n">
        <f aca="false">IF($A1619="",1,IF($Q1619=0,1,INDEX(COA_Mapping!$F$7:$F$256,$Q1619)))</f>
        <v>1</v>
      </c>
      <c r="P1619" s="34" t="str">
        <f aca="false">IF($A1619="","",$I1619*$O1619)</f>
        <v/>
      </c>
      <c r="Q1619" s="39" t="n">
        <f aca="false">IF($B1619="",0,IFERROR(MATCH($B1619,COA_Mapping!$A$7:$A$256,0),0))</f>
        <v>0</v>
      </c>
      <c r="R1619" s="39" t="n">
        <f aca="false">IF($A1619="",-1,IF($J1619=Setup!$B$7,1,IF($J1619=Setup!$B$9,0,-1)))</f>
        <v>-1</v>
      </c>
      <c r="S1619" s="35" t="n">
        <f aca="false">IF(OR($A1619="",$Q1619=0,$R1619=-1),0,$Q1619*1000+$R1619*100+$K1619)</f>
        <v>0</v>
      </c>
      <c r="T1619" s="37" t="str">
        <f aca="false">IF($A1619="","",IF($B1619="","NO ACCOUNT",IF($Q1619=0,"UNMAPPED",IF($R1619=-1,"OUTSIDE FY RANGE","OK"))))</f>
        <v/>
      </c>
      <c r="U1619" s="40" t="str">
        <f aca="false">IF($A1619="","",$B1619&amp;"|"&amp;TEXT($A1619,"yyyymmdd")&amp;"|"&amp;TEXT($I1619,"0.00"))</f>
        <v/>
      </c>
      <c r="V1619" s="35" t="str">
        <f aca="false">IF($A1619="","",COUNTIF($U$8:$U$5007,$U1619))</f>
        <v/>
      </c>
    </row>
    <row r="1620" customFormat="false" ht="15" hidden="false" customHeight="false" outlineLevel="0" collapsed="false">
      <c r="A1620" s="31"/>
      <c r="B1620" s="32"/>
      <c r="C1620" s="32"/>
      <c r="D1620" s="32"/>
      <c r="E1620" s="32"/>
      <c r="F1620" s="32"/>
      <c r="G1620" s="33"/>
      <c r="H1620" s="33"/>
      <c r="I1620" s="34" t="str">
        <f aca="false">IF($A1620="","",$G1620-$H1620)</f>
        <v/>
      </c>
      <c r="J1620" s="35" t="str">
        <f aca="false">IF($A1620="","",IF(Setup!$B$6=1,YEAR($A1620),YEAR($A1620)+IF(MONTH($A1620)&gt;=Setup!$B$6,1,0)))</f>
        <v/>
      </c>
      <c r="K1620" s="35" t="str">
        <f aca="false">IF($A1620="","",MOD(MONTH($A1620)-Setup!$B$6+12,12)+1)</f>
        <v/>
      </c>
      <c r="L1620" s="36" t="str">
        <f aca="false">IF($A1620="","",TEXT($A1620,"MMM-YY"))</f>
        <v/>
      </c>
      <c r="M1620" s="37" t="str">
        <f aca="false">IF($A1620="","",IF($Q1620=0,"UNMAPPED",INDEX(COA_Mapping!$C$7:$C$256,$Q1620)))</f>
        <v/>
      </c>
      <c r="N1620" s="38" t="str">
        <f aca="false">IF($A1620="","",IF($Q1620=0,"",INDEX(COA_Mapping!$E$7:$E$256,$Q1620)))</f>
        <v/>
      </c>
      <c r="O1620" s="38" t="n">
        <f aca="false">IF($A1620="",1,IF($Q1620=0,1,INDEX(COA_Mapping!$F$7:$F$256,$Q1620)))</f>
        <v>1</v>
      </c>
      <c r="P1620" s="34" t="str">
        <f aca="false">IF($A1620="","",$I1620*$O1620)</f>
        <v/>
      </c>
      <c r="Q1620" s="39" t="n">
        <f aca="false">IF($B1620="",0,IFERROR(MATCH($B1620,COA_Mapping!$A$7:$A$256,0),0))</f>
        <v>0</v>
      </c>
      <c r="R1620" s="39" t="n">
        <f aca="false">IF($A1620="",-1,IF($J1620=Setup!$B$7,1,IF($J1620=Setup!$B$9,0,-1)))</f>
        <v>-1</v>
      </c>
      <c r="S1620" s="35" t="n">
        <f aca="false">IF(OR($A1620="",$Q1620=0,$R1620=-1),0,$Q1620*1000+$R1620*100+$K1620)</f>
        <v>0</v>
      </c>
      <c r="T1620" s="37" t="str">
        <f aca="false">IF($A1620="","",IF($B1620="","NO ACCOUNT",IF($Q1620=0,"UNMAPPED",IF($R1620=-1,"OUTSIDE FY RANGE","OK"))))</f>
        <v/>
      </c>
      <c r="U1620" s="40" t="str">
        <f aca="false">IF($A1620="","",$B1620&amp;"|"&amp;TEXT($A1620,"yyyymmdd")&amp;"|"&amp;TEXT($I1620,"0.00"))</f>
        <v/>
      </c>
      <c r="V1620" s="35" t="str">
        <f aca="false">IF($A1620="","",COUNTIF($U$8:$U$5007,$U1620))</f>
        <v/>
      </c>
    </row>
    <row r="1621" customFormat="false" ht="15" hidden="false" customHeight="false" outlineLevel="0" collapsed="false">
      <c r="A1621" s="31"/>
      <c r="B1621" s="32"/>
      <c r="C1621" s="32"/>
      <c r="D1621" s="32"/>
      <c r="E1621" s="32"/>
      <c r="F1621" s="32"/>
      <c r="G1621" s="33"/>
      <c r="H1621" s="33"/>
      <c r="I1621" s="34" t="str">
        <f aca="false">IF($A1621="","",$G1621-$H1621)</f>
        <v/>
      </c>
      <c r="J1621" s="35" t="str">
        <f aca="false">IF($A1621="","",IF(Setup!$B$6=1,YEAR($A1621),YEAR($A1621)+IF(MONTH($A1621)&gt;=Setup!$B$6,1,0)))</f>
        <v/>
      </c>
      <c r="K1621" s="35" t="str">
        <f aca="false">IF($A1621="","",MOD(MONTH($A1621)-Setup!$B$6+12,12)+1)</f>
        <v/>
      </c>
      <c r="L1621" s="36" t="str">
        <f aca="false">IF($A1621="","",TEXT($A1621,"MMM-YY"))</f>
        <v/>
      </c>
      <c r="M1621" s="37" t="str">
        <f aca="false">IF($A1621="","",IF($Q1621=0,"UNMAPPED",INDEX(COA_Mapping!$C$7:$C$256,$Q1621)))</f>
        <v/>
      </c>
      <c r="N1621" s="38" t="str">
        <f aca="false">IF($A1621="","",IF($Q1621=0,"",INDEX(COA_Mapping!$E$7:$E$256,$Q1621)))</f>
        <v/>
      </c>
      <c r="O1621" s="38" t="n">
        <f aca="false">IF($A1621="",1,IF($Q1621=0,1,INDEX(COA_Mapping!$F$7:$F$256,$Q1621)))</f>
        <v>1</v>
      </c>
      <c r="P1621" s="34" t="str">
        <f aca="false">IF($A1621="","",$I1621*$O1621)</f>
        <v/>
      </c>
      <c r="Q1621" s="39" t="n">
        <f aca="false">IF($B1621="",0,IFERROR(MATCH($B1621,COA_Mapping!$A$7:$A$256,0),0))</f>
        <v>0</v>
      </c>
      <c r="R1621" s="39" t="n">
        <f aca="false">IF($A1621="",-1,IF($J1621=Setup!$B$7,1,IF($J1621=Setup!$B$9,0,-1)))</f>
        <v>-1</v>
      </c>
      <c r="S1621" s="35" t="n">
        <f aca="false">IF(OR($A1621="",$Q1621=0,$R1621=-1),0,$Q1621*1000+$R1621*100+$K1621)</f>
        <v>0</v>
      </c>
      <c r="T1621" s="37" t="str">
        <f aca="false">IF($A1621="","",IF($B1621="","NO ACCOUNT",IF($Q1621=0,"UNMAPPED",IF($R1621=-1,"OUTSIDE FY RANGE","OK"))))</f>
        <v/>
      </c>
      <c r="U1621" s="40" t="str">
        <f aca="false">IF($A1621="","",$B1621&amp;"|"&amp;TEXT($A1621,"yyyymmdd")&amp;"|"&amp;TEXT($I1621,"0.00"))</f>
        <v/>
      </c>
      <c r="V1621" s="35" t="str">
        <f aca="false">IF($A1621="","",COUNTIF($U$8:$U$5007,$U1621))</f>
        <v/>
      </c>
    </row>
    <row r="1622" customFormat="false" ht="15" hidden="false" customHeight="false" outlineLevel="0" collapsed="false">
      <c r="A1622" s="31"/>
      <c r="B1622" s="32"/>
      <c r="C1622" s="32"/>
      <c r="D1622" s="32"/>
      <c r="E1622" s="32"/>
      <c r="F1622" s="32"/>
      <c r="G1622" s="33"/>
      <c r="H1622" s="33"/>
      <c r="I1622" s="34" t="str">
        <f aca="false">IF($A1622="","",$G1622-$H1622)</f>
        <v/>
      </c>
      <c r="J1622" s="35" t="str">
        <f aca="false">IF($A1622="","",IF(Setup!$B$6=1,YEAR($A1622),YEAR($A1622)+IF(MONTH($A1622)&gt;=Setup!$B$6,1,0)))</f>
        <v/>
      </c>
      <c r="K1622" s="35" t="str">
        <f aca="false">IF($A1622="","",MOD(MONTH($A1622)-Setup!$B$6+12,12)+1)</f>
        <v/>
      </c>
      <c r="L1622" s="36" t="str">
        <f aca="false">IF($A1622="","",TEXT($A1622,"MMM-YY"))</f>
        <v/>
      </c>
      <c r="M1622" s="37" t="str">
        <f aca="false">IF($A1622="","",IF($Q1622=0,"UNMAPPED",INDEX(COA_Mapping!$C$7:$C$256,$Q1622)))</f>
        <v/>
      </c>
      <c r="N1622" s="38" t="str">
        <f aca="false">IF($A1622="","",IF($Q1622=0,"",INDEX(COA_Mapping!$E$7:$E$256,$Q1622)))</f>
        <v/>
      </c>
      <c r="O1622" s="38" t="n">
        <f aca="false">IF($A1622="",1,IF($Q1622=0,1,INDEX(COA_Mapping!$F$7:$F$256,$Q1622)))</f>
        <v>1</v>
      </c>
      <c r="P1622" s="34" t="str">
        <f aca="false">IF($A1622="","",$I1622*$O1622)</f>
        <v/>
      </c>
      <c r="Q1622" s="39" t="n">
        <f aca="false">IF($B1622="",0,IFERROR(MATCH($B1622,COA_Mapping!$A$7:$A$256,0),0))</f>
        <v>0</v>
      </c>
      <c r="R1622" s="39" t="n">
        <f aca="false">IF($A1622="",-1,IF($J1622=Setup!$B$7,1,IF($J1622=Setup!$B$9,0,-1)))</f>
        <v>-1</v>
      </c>
      <c r="S1622" s="35" t="n">
        <f aca="false">IF(OR($A1622="",$Q1622=0,$R1622=-1),0,$Q1622*1000+$R1622*100+$K1622)</f>
        <v>0</v>
      </c>
      <c r="T1622" s="37" t="str">
        <f aca="false">IF($A1622="","",IF($B1622="","NO ACCOUNT",IF($Q1622=0,"UNMAPPED",IF($R1622=-1,"OUTSIDE FY RANGE","OK"))))</f>
        <v/>
      </c>
      <c r="U1622" s="40" t="str">
        <f aca="false">IF($A1622="","",$B1622&amp;"|"&amp;TEXT($A1622,"yyyymmdd")&amp;"|"&amp;TEXT($I1622,"0.00"))</f>
        <v/>
      </c>
      <c r="V1622" s="35" t="str">
        <f aca="false">IF($A1622="","",COUNTIF($U$8:$U$5007,$U1622))</f>
        <v/>
      </c>
    </row>
    <row r="1623" customFormat="false" ht="15" hidden="false" customHeight="false" outlineLevel="0" collapsed="false">
      <c r="A1623" s="31"/>
      <c r="B1623" s="32"/>
      <c r="C1623" s="32"/>
      <c r="D1623" s="32"/>
      <c r="E1623" s="32"/>
      <c r="F1623" s="32"/>
      <c r="G1623" s="33"/>
      <c r="H1623" s="33"/>
      <c r="I1623" s="34" t="str">
        <f aca="false">IF($A1623="","",$G1623-$H1623)</f>
        <v/>
      </c>
      <c r="J1623" s="35" t="str">
        <f aca="false">IF($A1623="","",IF(Setup!$B$6=1,YEAR($A1623),YEAR($A1623)+IF(MONTH($A1623)&gt;=Setup!$B$6,1,0)))</f>
        <v/>
      </c>
      <c r="K1623" s="35" t="str">
        <f aca="false">IF($A1623="","",MOD(MONTH($A1623)-Setup!$B$6+12,12)+1)</f>
        <v/>
      </c>
      <c r="L1623" s="36" t="str">
        <f aca="false">IF($A1623="","",TEXT($A1623,"MMM-YY"))</f>
        <v/>
      </c>
      <c r="M1623" s="37" t="str">
        <f aca="false">IF($A1623="","",IF($Q1623=0,"UNMAPPED",INDEX(COA_Mapping!$C$7:$C$256,$Q1623)))</f>
        <v/>
      </c>
      <c r="N1623" s="38" t="str">
        <f aca="false">IF($A1623="","",IF($Q1623=0,"",INDEX(COA_Mapping!$E$7:$E$256,$Q1623)))</f>
        <v/>
      </c>
      <c r="O1623" s="38" t="n">
        <f aca="false">IF($A1623="",1,IF($Q1623=0,1,INDEX(COA_Mapping!$F$7:$F$256,$Q1623)))</f>
        <v>1</v>
      </c>
      <c r="P1623" s="34" t="str">
        <f aca="false">IF($A1623="","",$I1623*$O1623)</f>
        <v/>
      </c>
      <c r="Q1623" s="39" t="n">
        <f aca="false">IF($B1623="",0,IFERROR(MATCH($B1623,COA_Mapping!$A$7:$A$256,0),0))</f>
        <v>0</v>
      </c>
      <c r="R1623" s="39" t="n">
        <f aca="false">IF($A1623="",-1,IF($J1623=Setup!$B$7,1,IF($J1623=Setup!$B$9,0,-1)))</f>
        <v>-1</v>
      </c>
      <c r="S1623" s="35" t="n">
        <f aca="false">IF(OR($A1623="",$Q1623=0,$R1623=-1),0,$Q1623*1000+$R1623*100+$K1623)</f>
        <v>0</v>
      </c>
      <c r="T1623" s="37" t="str">
        <f aca="false">IF($A1623="","",IF($B1623="","NO ACCOUNT",IF($Q1623=0,"UNMAPPED",IF($R1623=-1,"OUTSIDE FY RANGE","OK"))))</f>
        <v/>
      </c>
      <c r="U1623" s="40" t="str">
        <f aca="false">IF($A1623="","",$B1623&amp;"|"&amp;TEXT($A1623,"yyyymmdd")&amp;"|"&amp;TEXT($I1623,"0.00"))</f>
        <v/>
      </c>
      <c r="V1623" s="35" t="str">
        <f aca="false">IF($A1623="","",COUNTIF($U$8:$U$5007,$U1623))</f>
        <v/>
      </c>
    </row>
    <row r="1624" customFormat="false" ht="15" hidden="false" customHeight="false" outlineLevel="0" collapsed="false">
      <c r="A1624" s="31"/>
      <c r="B1624" s="32"/>
      <c r="C1624" s="32"/>
      <c r="D1624" s="32"/>
      <c r="E1624" s="32"/>
      <c r="F1624" s="32"/>
      <c r="G1624" s="33"/>
      <c r="H1624" s="33"/>
      <c r="I1624" s="34" t="str">
        <f aca="false">IF($A1624="","",$G1624-$H1624)</f>
        <v/>
      </c>
      <c r="J1624" s="35" t="str">
        <f aca="false">IF($A1624="","",IF(Setup!$B$6=1,YEAR($A1624),YEAR($A1624)+IF(MONTH($A1624)&gt;=Setup!$B$6,1,0)))</f>
        <v/>
      </c>
      <c r="K1624" s="35" t="str">
        <f aca="false">IF($A1624="","",MOD(MONTH($A1624)-Setup!$B$6+12,12)+1)</f>
        <v/>
      </c>
      <c r="L1624" s="36" t="str">
        <f aca="false">IF($A1624="","",TEXT($A1624,"MMM-YY"))</f>
        <v/>
      </c>
      <c r="M1624" s="37" t="str">
        <f aca="false">IF($A1624="","",IF($Q1624=0,"UNMAPPED",INDEX(COA_Mapping!$C$7:$C$256,$Q1624)))</f>
        <v/>
      </c>
      <c r="N1624" s="38" t="str">
        <f aca="false">IF($A1624="","",IF($Q1624=0,"",INDEX(COA_Mapping!$E$7:$E$256,$Q1624)))</f>
        <v/>
      </c>
      <c r="O1624" s="38" t="n">
        <f aca="false">IF($A1624="",1,IF($Q1624=0,1,INDEX(COA_Mapping!$F$7:$F$256,$Q1624)))</f>
        <v>1</v>
      </c>
      <c r="P1624" s="34" t="str">
        <f aca="false">IF($A1624="","",$I1624*$O1624)</f>
        <v/>
      </c>
      <c r="Q1624" s="39" t="n">
        <f aca="false">IF($B1624="",0,IFERROR(MATCH($B1624,COA_Mapping!$A$7:$A$256,0),0))</f>
        <v>0</v>
      </c>
      <c r="R1624" s="39" t="n">
        <f aca="false">IF($A1624="",-1,IF($J1624=Setup!$B$7,1,IF($J1624=Setup!$B$9,0,-1)))</f>
        <v>-1</v>
      </c>
      <c r="S1624" s="35" t="n">
        <f aca="false">IF(OR($A1624="",$Q1624=0,$R1624=-1),0,$Q1624*1000+$R1624*100+$K1624)</f>
        <v>0</v>
      </c>
      <c r="T1624" s="37" t="str">
        <f aca="false">IF($A1624="","",IF($B1624="","NO ACCOUNT",IF($Q1624=0,"UNMAPPED",IF($R1624=-1,"OUTSIDE FY RANGE","OK"))))</f>
        <v/>
      </c>
      <c r="U1624" s="40" t="str">
        <f aca="false">IF($A1624="","",$B1624&amp;"|"&amp;TEXT($A1624,"yyyymmdd")&amp;"|"&amp;TEXT($I1624,"0.00"))</f>
        <v/>
      </c>
      <c r="V1624" s="35" t="str">
        <f aca="false">IF($A1624="","",COUNTIF($U$8:$U$5007,$U1624))</f>
        <v/>
      </c>
    </row>
    <row r="1625" customFormat="false" ht="15" hidden="false" customHeight="false" outlineLevel="0" collapsed="false">
      <c r="A1625" s="31"/>
      <c r="B1625" s="32"/>
      <c r="C1625" s="32"/>
      <c r="D1625" s="32"/>
      <c r="E1625" s="32"/>
      <c r="F1625" s="32"/>
      <c r="G1625" s="33"/>
      <c r="H1625" s="33"/>
      <c r="I1625" s="34" t="str">
        <f aca="false">IF($A1625="","",$G1625-$H1625)</f>
        <v/>
      </c>
      <c r="J1625" s="35" t="str">
        <f aca="false">IF($A1625="","",IF(Setup!$B$6=1,YEAR($A1625),YEAR($A1625)+IF(MONTH($A1625)&gt;=Setup!$B$6,1,0)))</f>
        <v/>
      </c>
      <c r="K1625" s="35" t="str">
        <f aca="false">IF($A1625="","",MOD(MONTH($A1625)-Setup!$B$6+12,12)+1)</f>
        <v/>
      </c>
      <c r="L1625" s="36" t="str">
        <f aca="false">IF($A1625="","",TEXT($A1625,"MMM-YY"))</f>
        <v/>
      </c>
      <c r="M1625" s="37" t="str">
        <f aca="false">IF($A1625="","",IF($Q1625=0,"UNMAPPED",INDEX(COA_Mapping!$C$7:$C$256,$Q1625)))</f>
        <v/>
      </c>
      <c r="N1625" s="38" t="str">
        <f aca="false">IF($A1625="","",IF($Q1625=0,"",INDEX(COA_Mapping!$E$7:$E$256,$Q1625)))</f>
        <v/>
      </c>
      <c r="O1625" s="38" t="n">
        <f aca="false">IF($A1625="",1,IF($Q1625=0,1,INDEX(COA_Mapping!$F$7:$F$256,$Q1625)))</f>
        <v>1</v>
      </c>
      <c r="P1625" s="34" t="str">
        <f aca="false">IF($A1625="","",$I1625*$O1625)</f>
        <v/>
      </c>
      <c r="Q1625" s="39" t="n">
        <f aca="false">IF($B1625="",0,IFERROR(MATCH($B1625,COA_Mapping!$A$7:$A$256,0),0))</f>
        <v>0</v>
      </c>
      <c r="R1625" s="39" t="n">
        <f aca="false">IF($A1625="",-1,IF($J1625=Setup!$B$7,1,IF($J1625=Setup!$B$9,0,-1)))</f>
        <v>-1</v>
      </c>
      <c r="S1625" s="35" t="n">
        <f aca="false">IF(OR($A1625="",$Q1625=0,$R1625=-1),0,$Q1625*1000+$R1625*100+$K1625)</f>
        <v>0</v>
      </c>
      <c r="T1625" s="37" t="str">
        <f aca="false">IF($A1625="","",IF($B1625="","NO ACCOUNT",IF($Q1625=0,"UNMAPPED",IF($R1625=-1,"OUTSIDE FY RANGE","OK"))))</f>
        <v/>
      </c>
      <c r="U1625" s="40" t="str">
        <f aca="false">IF($A1625="","",$B1625&amp;"|"&amp;TEXT($A1625,"yyyymmdd")&amp;"|"&amp;TEXT($I1625,"0.00"))</f>
        <v/>
      </c>
      <c r="V1625" s="35" t="str">
        <f aca="false">IF($A1625="","",COUNTIF($U$8:$U$5007,$U1625))</f>
        <v/>
      </c>
    </row>
    <row r="1626" customFormat="false" ht="15" hidden="false" customHeight="false" outlineLevel="0" collapsed="false">
      <c r="A1626" s="31"/>
      <c r="B1626" s="32"/>
      <c r="C1626" s="32"/>
      <c r="D1626" s="32"/>
      <c r="E1626" s="32"/>
      <c r="F1626" s="32"/>
      <c r="G1626" s="33"/>
      <c r="H1626" s="33"/>
      <c r="I1626" s="34" t="str">
        <f aca="false">IF($A1626="","",$G1626-$H1626)</f>
        <v/>
      </c>
      <c r="J1626" s="35" t="str">
        <f aca="false">IF($A1626="","",IF(Setup!$B$6=1,YEAR($A1626),YEAR($A1626)+IF(MONTH($A1626)&gt;=Setup!$B$6,1,0)))</f>
        <v/>
      </c>
      <c r="K1626" s="35" t="str">
        <f aca="false">IF($A1626="","",MOD(MONTH($A1626)-Setup!$B$6+12,12)+1)</f>
        <v/>
      </c>
      <c r="L1626" s="36" t="str">
        <f aca="false">IF($A1626="","",TEXT($A1626,"MMM-YY"))</f>
        <v/>
      </c>
      <c r="M1626" s="37" t="str">
        <f aca="false">IF($A1626="","",IF($Q1626=0,"UNMAPPED",INDEX(COA_Mapping!$C$7:$C$256,$Q1626)))</f>
        <v/>
      </c>
      <c r="N1626" s="38" t="str">
        <f aca="false">IF($A1626="","",IF($Q1626=0,"",INDEX(COA_Mapping!$E$7:$E$256,$Q1626)))</f>
        <v/>
      </c>
      <c r="O1626" s="38" t="n">
        <f aca="false">IF($A1626="",1,IF($Q1626=0,1,INDEX(COA_Mapping!$F$7:$F$256,$Q1626)))</f>
        <v>1</v>
      </c>
      <c r="P1626" s="34" t="str">
        <f aca="false">IF($A1626="","",$I1626*$O1626)</f>
        <v/>
      </c>
      <c r="Q1626" s="39" t="n">
        <f aca="false">IF($B1626="",0,IFERROR(MATCH($B1626,COA_Mapping!$A$7:$A$256,0),0))</f>
        <v>0</v>
      </c>
      <c r="R1626" s="39" t="n">
        <f aca="false">IF($A1626="",-1,IF($J1626=Setup!$B$7,1,IF($J1626=Setup!$B$9,0,-1)))</f>
        <v>-1</v>
      </c>
      <c r="S1626" s="35" t="n">
        <f aca="false">IF(OR($A1626="",$Q1626=0,$R1626=-1),0,$Q1626*1000+$R1626*100+$K1626)</f>
        <v>0</v>
      </c>
      <c r="T1626" s="37" t="str">
        <f aca="false">IF($A1626="","",IF($B1626="","NO ACCOUNT",IF($Q1626=0,"UNMAPPED",IF($R1626=-1,"OUTSIDE FY RANGE","OK"))))</f>
        <v/>
      </c>
      <c r="U1626" s="40" t="str">
        <f aca="false">IF($A1626="","",$B1626&amp;"|"&amp;TEXT($A1626,"yyyymmdd")&amp;"|"&amp;TEXT($I1626,"0.00"))</f>
        <v/>
      </c>
      <c r="V1626" s="35" t="str">
        <f aca="false">IF($A1626="","",COUNTIF($U$8:$U$5007,$U1626))</f>
        <v/>
      </c>
    </row>
    <row r="1627" customFormat="false" ht="15" hidden="false" customHeight="false" outlineLevel="0" collapsed="false">
      <c r="A1627" s="31"/>
      <c r="B1627" s="32"/>
      <c r="C1627" s="32"/>
      <c r="D1627" s="32"/>
      <c r="E1627" s="32"/>
      <c r="F1627" s="32"/>
      <c r="G1627" s="33"/>
      <c r="H1627" s="33"/>
      <c r="I1627" s="34" t="str">
        <f aca="false">IF($A1627="","",$G1627-$H1627)</f>
        <v/>
      </c>
      <c r="J1627" s="35" t="str">
        <f aca="false">IF($A1627="","",IF(Setup!$B$6=1,YEAR($A1627),YEAR($A1627)+IF(MONTH($A1627)&gt;=Setup!$B$6,1,0)))</f>
        <v/>
      </c>
      <c r="K1627" s="35" t="str">
        <f aca="false">IF($A1627="","",MOD(MONTH($A1627)-Setup!$B$6+12,12)+1)</f>
        <v/>
      </c>
      <c r="L1627" s="36" t="str">
        <f aca="false">IF($A1627="","",TEXT($A1627,"MMM-YY"))</f>
        <v/>
      </c>
      <c r="M1627" s="37" t="str">
        <f aca="false">IF($A1627="","",IF($Q1627=0,"UNMAPPED",INDEX(COA_Mapping!$C$7:$C$256,$Q1627)))</f>
        <v/>
      </c>
      <c r="N1627" s="38" t="str">
        <f aca="false">IF($A1627="","",IF($Q1627=0,"",INDEX(COA_Mapping!$E$7:$E$256,$Q1627)))</f>
        <v/>
      </c>
      <c r="O1627" s="38" t="n">
        <f aca="false">IF($A1627="",1,IF($Q1627=0,1,INDEX(COA_Mapping!$F$7:$F$256,$Q1627)))</f>
        <v>1</v>
      </c>
      <c r="P1627" s="34" t="str">
        <f aca="false">IF($A1627="","",$I1627*$O1627)</f>
        <v/>
      </c>
      <c r="Q1627" s="39" t="n">
        <f aca="false">IF($B1627="",0,IFERROR(MATCH($B1627,COA_Mapping!$A$7:$A$256,0),0))</f>
        <v>0</v>
      </c>
      <c r="R1627" s="39" t="n">
        <f aca="false">IF($A1627="",-1,IF($J1627=Setup!$B$7,1,IF($J1627=Setup!$B$9,0,-1)))</f>
        <v>-1</v>
      </c>
      <c r="S1627" s="35" t="n">
        <f aca="false">IF(OR($A1627="",$Q1627=0,$R1627=-1),0,$Q1627*1000+$R1627*100+$K1627)</f>
        <v>0</v>
      </c>
      <c r="T1627" s="37" t="str">
        <f aca="false">IF($A1627="","",IF($B1627="","NO ACCOUNT",IF($Q1627=0,"UNMAPPED",IF($R1627=-1,"OUTSIDE FY RANGE","OK"))))</f>
        <v/>
      </c>
      <c r="U1627" s="40" t="str">
        <f aca="false">IF($A1627="","",$B1627&amp;"|"&amp;TEXT($A1627,"yyyymmdd")&amp;"|"&amp;TEXT($I1627,"0.00"))</f>
        <v/>
      </c>
      <c r="V1627" s="35" t="str">
        <f aca="false">IF($A1627="","",COUNTIF($U$8:$U$5007,$U1627))</f>
        <v/>
      </c>
    </row>
    <row r="1628" customFormat="false" ht="15" hidden="false" customHeight="false" outlineLevel="0" collapsed="false">
      <c r="A1628" s="31"/>
      <c r="B1628" s="32"/>
      <c r="C1628" s="32"/>
      <c r="D1628" s="32"/>
      <c r="E1628" s="32"/>
      <c r="F1628" s="32"/>
      <c r="G1628" s="33"/>
      <c r="H1628" s="33"/>
      <c r="I1628" s="34" t="str">
        <f aca="false">IF($A1628="","",$G1628-$H1628)</f>
        <v/>
      </c>
      <c r="J1628" s="35" t="str">
        <f aca="false">IF($A1628="","",IF(Setup!$B$6=1,YEAR($A1628),YEAR($A1628)+IF(MONTH($A1628)&gt;=Setup!$B$6,1,0)))</f>
        <v/>
      </c>
      <c r="K1628" s="35" t="str">
        <f aca="false">IF($A1628="","",MOD(MONTH($A1628)-Setup!$B$6+12,12)+1)</f>
        <v/>
      </c>
      <c r="L1628" s="36" t="str">
        <f aca="false">IF($A1628="","",TEXT($A1628,"MMM-YY"))</f>
        <v/>
      </c>
      <c r="M1628" s="37" t="str">
        <f aca="false">IF($A1628="","",IF($Q1628=0,"UNMAPPED",INDEX(COA_Mapping!$C$7:$C$256,$Q1628)))</f>
        <v/>
      </c>
      <c r="N1628" s="38" t="str">
        <f aca="false">IF($A1628="","",IF($Q1628=0,"",INDEX(COA_Mapping!$E$7:$E$256,$Q1628)))</f>
        <v/>
      </c>
      <c r="O1628" s="38" t="n">
        <f aca="false">IF($A1628="",1,IF($Q1628=0,1,INDEX(COA_Mapping!$F$7:$F$256,$Q1628)))</f>
        <v>1</v>
      </c>
      <c r="P1628" s="34" t="str">
        <f aca="false">IF($A1628="","",$I1628*$O1628)</f>
        <v/>
      </c>
      <c r="Q1628" s="39" t="n">
        <f aca="false">IF($B1628="",0,IFERROR(MATCH($B1628,COA_Mapping!$A$7:$A$256,0),0))</f>
        <v>0</v>
      </c>
      <c r="R1628" s="39" t="n">
        <f aca="false">IF($A1628="",-1,IF($J1628=Setup!$B$7,1,IF($J1628=Setup!$B$9,0,-1)))</f>
        <v>-1</v>
      </c>
      <c r="S1628" s="35" t="n">
        <f aca="false">IF(OR($A1628="",$Q1628=0,$R1628=-1),0,$Q1628*1000+$R1628*100+$K1628)</f>
        <v>0</v>
      </c>
      <c r="T1628" s="37" t="str">
        <f aca="false">IF($A1628="","",IF($B1628="","NO ACCOUNT",IF($Q1628=0,"UNMAPPED",IF($R1628=-1,"OUTSIDE FY RANGE","OK"))))</f>
        <v/>
      </c>
      <c r="U1628" s="40" t="str">
        <f aca="false">IF($A1628="","",$B1628&amp;"|"&amp;TEXT($A1628,"yyyymmdd")&amp;"|"&amp;TEXT($I1628,"0.00"))</f>
        <v/>
      </c>
      <c r="V1628" s="35" t="str">
        <f aca="false">IF($A1628="","",COUNTIF($U$8:$U$5007,$U1628))</f>
        <v/>
      </c>
    </row>
    <row r="1629" customFormat="false" ht="15" hidden="false" customHeight="false" outlineLevel="0" collapsed="false">
      <c r="A1629" s="31"/>
      <c r="B1629" s="32"/>
      <c r="C1629" s="32"/>
      <c r="D1629" s="32"/>
      <c r="E1629" s="32"/>
      <c r="F1629" s="32"/>
      <c r="G1629" s="33"/>
      <c r="H1629" s="33"/>
      <c r="I1629" s="34" t="str">
        <f aca="false">IF($A1629="","",$G1629-$H1629)</f>
        <v/>
      </c>
      <c r="J1629" s="35" t="str">
        <f aca="false">IF($A1629="","",IF(Setup!$B$6=1,YEAR($A1629),YEAR($A1629)+IF(MONTH($A1629)&gt;=Setup!$B$6,1,0)))</f>
        <v/>
      </c>
      <c r="K1629" s="35" t="str">
        <f aca="false">IF($A1629="","",MOD(MONTH($A1629)-Setup!$B$6+12,12)+1)</f>
        <v/>
      </c>
      <c r="L1629" s="36" t="str">
        <f aca="false">IF($A1629="","",TEXT($A1629,"MMM-YY"))</f>
        <v/>
      </c>
      <c r="M1629" s="37" t="str">
        <f aca="false">IF($A1629="","",IF($Q1629=0,"UNMAPPED",INDEX(COA_Mapping!$C$7:$C$256,$Q1629)))</f>
        <v/>
      </c>
      <c r="N1629" s="38" t="str">
        <f aca="false">IF($A1629="","",IF($Q1629=0,"",INDEX(COA_Mapping!$E$7:$E$256,$Q1629)))</f>
        <v/>
      </c>
      <c r="O1629" s="38" t="n">
        <f aca="false">IF($A1629="",1,IF($Q1629=0,1,INDEX(COA_Mapping!$F$7:$F$256,$Q1629)))</f>
        <v>1</v>
      </c>
      <c r="P1629" s="34" t="str">
        <f aca="false">IF($A1629="","",$I1629*$O1629)</f>
        <v/>
      </c>
      <c r="Q1629" s="39" t="n">
        <f aca="false">IF($B1629="",0,IFERROR(MATCH($B1629,COA_Mapping!$A$7:$A$256,0),0))</f>
        <v>0</v>
      </c>
      <c r="R1629" s="39" t="n">
        <f aca="false">IF($A1629="",-1,IF($J1629=Setup!$B$7,1,IF($J1629=Setup!$B$9,0,-1)))</f>
        <v>-1</v>
      </c>
      <c r="S1629" s="35" t="n">
        <f aca="false">IF(OR($A1629="",$Q1629=0,$R1629=-1),0,$Q1629*1000+$R1629*100+$K1629)</f>
        <v>0</v>
      </c>
      <c r="T1629" s="37" t="str">
        <f aca="false">IF($A1629="","",IF($B1629="","NO ACCOUNT",IF($Q1629=0,"UNMAPPED",IF($R1629=-1,"OUTSIDE FY RANGE","OK"))))</f>
        <v/>
      </c>
      <c r="U1629" s="40" t="str">
        <f aca="false">IF($A1629="","",$B1629&amp;"|"&amp;TEXT($A1629,"yyyymmdd")&amp;"|"&amp;TEXT($I1629,"0.00"))</f>
        <v/>
      </c>
      <c r="V1629" s="35" t="str">
        <f aca="false">IF($A1629="","",COUNTIF($U$8:$U$5007,$U1629))</f>
        <v/>
      </c>
    </row>
    <row r="1630" customFormat="false" ht="15" hidden="false" customHeight="false" outlineLevel="0" collapsed="false">
      <c r="A1630" s="31"/>
      <c r="B1630" s="32"/>
      <c r="C1630" s="32"/>
      <c r="D1630" s="32"/>
      <c r="E1630" s="32"/>
      <c r="F1630" s="32"/>
      <c r="G1630" s="33"/>
      <c r="H1630" s="33"/>
      <c r="I1630" s="34" t="str">
        <f aca="false">IF($A1630="","",$G1630-$H1630)</f>
        <v/>
      </c>
      <c r="J1630" s="35" t="str">
        <f aca="false">IF($A1630="","",IF(Setup!$B$6=1,YEAR($A1630),YEAR($A1630)+IF(MONTH($A1630)&gt;=Setup!$B$6,1,0)))</f>
        <v/>
      </c>
      <c r="K1630" s="35" t="str">
        <f aca="false">IF($A1630="","",MOD(MONTH($A1630)-Setup!$B$6+12,12)+1)</f>
        <v/>
      </c>
      <c r="L1630" s="36" t="str">
        <f aca="false">IF($A1630="","",TEXT($A1630,"MMM-YY"))</f>
        <v/>
      </c>
      <c r="M1630" s="37" t="str">
        <f aca="false">IF($A1630="","",IF($Q1630=0,"UNMAPPED",INDEX(COA_Mapping!$C$7:$C$256,$Q1630)))</f>
        <v/>
      </c>
      <c r="N1630" s="38" t="str">
        <f aca="false">IF($A1630="","",IF($Q1630=0,"",INDEX(COA_Mapping!$E$7:$E$256,$Q1630)))</f>
        <v/>
      </c>
      <c r="O1630" s="38" t="n">
        <f aca="false">IF($A1630="",1,IF($Q1630=0,1,INDEX(COA_Mapping!$F$7:$F$256,$Q1630)))</f>
        <v>1</v>
      </c>
      <c r="P1630" s="34" t="str">
        <f aca="false">IF($A1630="","",$I1630*$O1630)</f>
        <v/>
      </c>
      <c r="Q1630" s="39" t="n">
        <f aca="false">IF($B1630="",0,IFERROR(MATCH($B1630,COA_Mapping!$A$7:$A$256,0),0))</f>
        <v>0</v>
      </c>
      <c r="R1630" s="39" t="n">
        <f aca="false">IF($A1630="",-1,IF($J1630=Setup!$B$7,1,IF($J1630=Setup!$B$9,0,-1)))</f>
        <v>-1</v>
      </c>
      <c r="S1630" s="35" t="n">
        <f aca="false">IF(OR($A1630="",$Q1630=0,$R1630=-1),0,$Q1630*1000+$R1630*100+$K1630)</f>
        <v>0</v>
      </c>
      <c r="T1630" s="37" t="str">
        <f aca="false">IF($A1630="","",IF($B1630="","NO ACCOUNT",IF($Q1630=0,"UNMAPPED",IF($R1630=-1,"OUTSIDE FY RANGE","OK"))))</f>
        <v/>
      </c>
      <c r="U1630" s="40" t="str">
        <f aca="false">IF($A1630="","",$B1630&amp;"|"&amp;TEXT($A1630,"yyyymmdd")&amp;"|"&amp;TEXT($I1630,"0.00"))</f>
        <v/>
      </c>
      <c r="V1630" s="35" t="str">
        <f aca="false">IF($A1630="","",COUNTIF($U$8:$U$5007,$U1630))</f>
        <v/>
      </c>
    </row>
    <row r="1631" customFormat="false" ht="15" hidden="false" customHeight="false" outlineLevel="0" collapsed="false">
      <c r="A1631" s="31"/>
      <c r="B1631" s="32"/>
      <c r="C1631" s="32"/>
      <c r="D1631" s="32"/>
      <c r="E1631" s="32"/>
      <c r="F1631" s="32"/>
      <c r="G1631" s="33"/>
      <c r="H1631" s="33"/>
      <c r="I1631" s="34" t="str">
        <f aca="false">IF($A1631="","",$G1631-$H1631)</f>
        <v/>
      </c>
      <c r="J1631" s="35" t="str">
        <f aca="false">IF($A1631="","",IF(Setup!$B$6=1,YEAR($A1631),YEAR($A1631)+IF(MONTH($A1631)&gt;=Setup!$B$6,1,0)))</f>
        <v/>
      </c>
      <c r="K1631" s="35" t="str">
        <f aca="false">IF($A1631="","",MOD(MONTH($A1631)-Setup!$B$6+12,12)+1)</f>
        <v/>
      </c>
      <c r="L1631" s="36" t="str">
        <f aca="false">IF($A1631="","",TEXT($A1631,"MMM-YY"))</f>
        <v/>
      </c>
      <c r="M1631" s="37" t="str">
        <f aca="false">IF($A1631="","",IF($Q1631=0,"UNMAPPED",INDEX(COA_Mapping!$C$7:$C$256,$Q1631)))</f>
        <v/>
      </c>
      <c r="N1631" s="38" t="str">
        <f aca="false">IF($A1631="","",IF($Q1631=0,"",INDEX(COA_Mapping!$E$7:$E$256,$Q1631)))</f>
        <v/>
      </c>
      <c r="O1631" s="38" t="n">
        <f aca="false">IF($A1631="",1,IF($Q1631=0,1,INDEX(COA_Mapping!$F$7:$F$256,$Q1631)))</f>
        <v>1</v>
      </c>
      <c r="P1631" s="34" t="str">
        <f aca="false">IF($A1631="","",$I1631*$O1631)</f>
        <v/>
      </c>
      <c r="Q1631" s="39" t="n">
        <f aca="false">IF($B1631="",0,IFERROR(MATCH($B1631,COA_Mapping!$A$7:$A$256,0),0))</f>
        <v>0</v>
      </c>
      <c r="R1631" s="39" t="n">
        <f aca="false">IF($A1631="",-1,IF($J1631=Setup!$B$7,1,IF($J1631=Setup!$B$9,0,-1)))</f>
        <v>-1</v>
      </c>
      <c r="S1631" s="35" t="n">
        <f aca="false">IF(OR($A1631="",$Q1631=0,$R1631=-1),0,$Q1631*1000+$R1631*100+$K1631)</f>
        <v>0</v>
      </c>
      <c r="T1631" s="37" t="str">
        <f aca="false">IF($A1631="","",IF($B1631="","NO ACCOUNT",IF($Q1631=0,"UNMAPPED",IF($R1631=-1,"OUTSIDE FY RANGE","OK"))))</f>
        <v/>
      </c>
      <c r="U1631" s="40" t="str">
        <f aca="false">IF($A1631="","",$B1631&amp;"|"&amp;TEXT($A1631,"yyyymmdd")&amp;"|"&amp;TEXT($I1631,"0.00"))</f>
        <v/>
      </c>
      <c r="V1631" s="35" t="str">
        <f aca="false">IF($A1631="","",COUNTIF($U$8:$U$5007,$U1631))</f>
        <v/>
      </c>
    </row>
    <row r="1632" customFormat="false" ht="15" hidden="false" customHeight="false" outlineLevel="0" collapsed="false">
      <c r="A1632" s="31"/>
      <c r="B1632" s="32"/>
      <c r="C1632" s="32"/>
      <c r="D1632" s="32"/>
      <c r="E1632" s="32"/>
      <c r="F1632" s="32"/>
      <c r="G1632" s="33"/>
      <c r="H1632" s="33"/>
      <c r="I1632" s="34" t="str">
        <f aca="false">IF($A1632="","",$G1632-$H1632)</f>
        <v/>
      </c>
      <c r="J1632" s="35" t="str">
        <f aca="false">IF($A1632="","",IF(Setup!$B$6=1,YEAR($A1632),YEAR($A1632)+IF(MONTH($A1632)&gt;=Setup!$B$6,1,0)))</f>
        <v/>
      </c>
      <c r="K1632" s="35" t="str">
        <f aca="false">IF($A1632="","",MOD(MONTH($A1632)-Setup!$B$6+12,12)+1)</f>
        <v/>
      </c>
      <c r="L1632" s="36" t="str">
        <f aca="false">IF($A1632="","",TEXT($A1632,"MMM-YY"))</f>
        <v/>
      </c>
      <c r="M1632" s="37" t="str">
        <f aca="false">IF($A1632="","",IF($Q1632=0,"UNMAPPED",INDEX(COA_Mapping!$C$7:$C$256,$Q1632)))</f>
        <v/>
      </c>
      <c r="N1632" s="38" t="str">
        <f aca="false">IF($A1632="","",IF($Q1632=0,"",INDEX(COA_Mapping!$E$7:$E$256,$Q1632)))</f>
        <v/>
      </c>
      <c r="O1632" s="38" t="n">
        <f aca="false">IF($A1632="",1,IF($Q1632=0,1,INDEX(COA_Mapping!$F$7:$F$256,$Q1632)))</f>
        <v>1</v>
      </c>
      <c r="P1632" s="34" t="str">
        <f aca="false">IF($A1632="","",$I1632*$O1632)</f>
        <v/>
      </c>
      <c r="Q1632" s="39" t="n">
        <f aca="false">IF($B1632="",0,IFERROR(MATCH($B1632,COA_Mapping!$A$7:$A$256,0),0))</f>
        <v>0</v>
      </c>
      <c r="R1632" s="39" t="n">
        <f aca="false">IF($A1632="",-1,IF($J1632=Setup!$B$7,1,IF($J1632=Setup!$B$9,0,-1)))</f>
        <v>-1</v>
      </c>
      <c r="S1632" s="35" t="n">
        <f aca="false">IF(OR($A1632="",$Q1632=0,$R1632=-1),0,$Q1632*1000+$R1632*100+$K1632)</f>
        <v>0</v>
      </c>
      <c r="T1632" s="37" t="str">
        <f aca="false">IF($A1632="","",IF($B1632="","NO ACCOUNT",IF($Q1632=0,"UNMAPPED",IF($R1632=-1,"OUTSIDE FY RANGE","OK"))))</f>
        <v/>
      </c>
      <c r="U1632" s="40" t="str">
        <f aca="false">IF($A1632="","",$B1632&amp;"|"&amp;TEXT($A1632,"yyyymmdd")&amp;"|"&amp;TEXT($I1632,"0.00"))</f>
        <v/>
      </c>
      <c r="V1632" s="35" t="str">
        <f aca="false">IF($A1632="","",COUNTIF($U$8:$U$5007,$U1632))</f>
        <v/>
      </c>
    </row>
    <row r="1633" customFormat="false" ht="15" hidden="false" customHeight="false" outlineLevel="0" collapsed="false">
      <c r="A1633" s="31"/>
      <c r="B1633" s="32"/>
      <c r="C1633" s="32"/>
      <c r="D1633" s="32"/>
      <c r="E1633" s="32"/>
      <c r="F1633" s="32"/>
      <c r="G1633" s="33"/>
      <c r="H1633" s="33"/>
      <c r="I1633" s="34" t="str">
        <f aca="false">IF($A1633="","",$G1633-$H1633)</f>
        <v/>
      </c>
      <c r="J1633" s="35" t="str">
        <f aca="false">IF($A1633="","",IF(Setup!$B$6=1,YEAR($A1633),YEAR($A1633)+IF(MONTH($A1633)&gt;=Setup!$B$6,1,0)))</f>
        <v/>
      </c>
      <c r="K1633" s="35" t="str">
        <f aca="false">IF($A1633="","",MOD(MONTH($A1633)-Setup!$B$6+12,12)+1)</f>
        <v/>
      </c>
      <c r="L1633" s="36" t="str">
        <f aca="false">IF($A1633="","",TEXT($A1633,"MMM-YY"))</f>
        <v/>
      </c>
      <c r="M1633" s="37" t="str">
        <f aca="false">IF($A1633="","",IF($Q1633=0,"UNMAPPED",INDEX(COA_Mapping!$C$7:$C$256,$Q1633)))</f>
        <v/>
      </c>
      <c r="N1633" s="38" t="str">
        <f aca="false">IF($A1633="","",IF($Q1633=0,"",INDEX(COA_Mapping!$E$7:$E$256,$Q1633)))</f>
        <v/>
      </c>
      <c r="O1633" s="38" t="n">
        <f aca="false">IF($A1633="",1,IF($Q1633=0,1,INDEX(COA_Mapping!$F$7:$F$256,$Q1633)))</f>
        <v>1</v>
      </c>
      <c r="P1633" s="34" t="str">
        <f aca="false">IF($A1633="","",$I1633*$O1633)</f>
        <v/>
      </c>
      <c r="Q1633" s="39" t="n">
        <f aca="false">IF($B1633="",0,IFERROR(MATCH($B1633,COA_Mapping!$A$7:$A$256,0),0))</f>
        <v>0</v>
      </c>
      <c r="R1633" s="39" t="n">
        <f aca="false">IF($A1633="",-1,IF($J1633=Setup!$B$7,1,IF($J1633=Setup!$B$9,0,-1)))</f>
        <v>-1</v>
      </c>
      <c r="S1633" s="35" t="n">
        <f aca="false">IF(OR($A1633="",$Q1633=0,$R1633=-1),0,$Q1633*1000+$R1633*100+$K1633)</f>
        <v>0</v>
      </c>
      <c r="T1633" s="37" t="str">
        <f aca="false">IF($A1633="","",IF($B1633="","NO ACCOUNT",IF($Q1633=0,"UNMAPPED",IF($R1633=-1,"OUTSIDE FY RANGE","OK"))))</f>
        <v/>
      </c>
      <c r="U1633" s="40" t="str">
        <f aca="false">IF($A1633="","",$B1633&amp;"|"&amp;TEXT($A1633,"yyyymmdd")&amp;"|"&amp;TEXT($I1633,"0.00"))</f>
        <v/>
      </c>
      <c r="V1633" s="35" t="str">
        <f aca="false">IF($A1633="","",COUNTIF($U$8:$U$5007,$U1633))</f>
        <v/>
      </c>
    </row>
    <row r="1634" customFormat="false" ht="15" hidden="false" customHeight="false" outlineLevel="0" collapsed="false">
      <c r="A1634" s="31"/>
      <c r="B1634" s="32"/>
      <c r="C1634" s="32"/>
      <c r="D1634" s="32"/>
      <c r="E1634" s="32"/>
      <c r="F1634" s="32"/>
      <c r="G1634" s="33"/>
      <c r="H1634" s="33"/>
      <c r="I1634" s="34" t="str">
        <f aca="false">IF($A1634="","",$G1634-$H1634)</f>
        <v/>
      </c>
      <c r="J1634" s="35" t="str">
        <f aca="false">IF($A1634="","",IF(Setup!$B$6=1,YEAR($A1634),YEAR($A1634)+IF(MONTH($A1634)&gt;=Setup!$B$6,1,0)))</f>
        <v/>
      </c>
      <c r="K1634" s="35" t="str">
        <f aca="false">IF($A1634="","",MOD(MONTH($A1634)-Setup!$B$6+12,12)+1)</f>
        <v/>
      </c>
      <c r="L1634" s="36" t="str">
        <f aca="false">IF($A1634="","",TEXT($A1634,"MMM-YY"))</f>
        <v/>
      </c>
      <c r="M1634" s="37" t="str">
        <f aca="false">IF($A1634="","",IF($Q1634=0,"UNMAPPED",INDEX(COA_Mapping!$C$7:$C$256,$Q1634)))</f>
        <v/>
      </c>
      <c r="N1634" s="38" t="str">
        <f aca="false">IF($A1634="","",IF($Q1634=0,"",INDEX(COA_Mapping!$E$7:$E$256,$Q1634)))</f>
        <v/>
      </c>
      <c r="O1634" s="38" t="n">
        <f aca="false">IF($A1634="",1,IF($Q1634=0,1,INDEX(COA_Mapping!$F$7:$F$256,$Q1634)))</f>
        <v>1</v>
      </c>
      <c r="P1634" s="34" t="str">
        <f aca="false">IF($A1634="","",$I1634*$O1634)</f>
        <v/>
      </c>
      <c r="Q1634" s="39" t="n">
        <f aca="false">IF($B1634="",0,IFERROR(MATCH($B1634,COA_Mapping!$A$7:$A$256,0),0))</f>
        <v>0</v>
      </c>
      <c r="R1634" s="39" t="n">
        <f aca="false">IF($A1634="",-1,IF($J1634=Setup!$B$7,1,IF($J1634=Setup!$B$9,0,-1)))</f>
        <v>-1</v>
      </c>
      <c r="S1634" s="35" t="n">
        <f aca="false">IF(OR($A1634="",$Q1634=0,$R1634=-1),0,$Q1634*1000+$R1634*100+$K1634)</f>
        <v>0</v>
      </c>
      <c r="T1634" s="37" t="str">
        <f aca="false">IF($A1634="","",IF($B1634="","NO ACCOUNT",IF($Q1634=0,"UNMAPPED",IF($R1634=-1,"OUTSIDE FY RANGE","OK"))))</f>
        <v/>
      </c>
      <c r="U1634" s="40" t="str">
        <f aca="false">IF($A1634="","",$B1634&amp;"|"&amp;TEXT($A1634,"yyyymmdd")&amp;"|"&amp;TEXT($I1634,"0.00"))</f>
        <v/>
      </c>
      <c r="V1634" s="35" t="str">
        <f aca="false">IF($A1634="","",COUNTIF($U$8:$U$5007,$U1634))</f>
        <v/>
      </c>
    </row>
    <row r="1635" customFormat="false" ht="15" hidden="false" customHeight="false" outlineLevel="0" collapsed="false">
      <c r="A1635" s="31"/>
      <c r="B1635" s="32"/>
      <c r="C1635" s="32"/>
      <c r="D1635" s="32"/>
      <c r="E1635" s="32"/>
      <c r="F1635" s="32"/>
      <c r="G1635" s="33"/>
      <c r="H1635" s="33"/>
      <c r="I1635" s="34" t="str">
        <f aca="false">IF($A1635="","",$G1635-$H1635)</f>
        <v/>
      </c>
      <c r="J1635" s="35" t="str">
        <f aca="false">IF($A1635="","",IF(Setup!$B$6=1,YEAR($A1635),YEAR($A1635)+IF(MONTH($A1635)&gt;=Setup!$B$6,1,0)))</f>
        <v/>
      </c>
      <c r="K1635" s="35" t="str">
        <f aca="false">IF($A1635="","",MOD(MONTH($A1635)-Setup!$B$6+12,12)+1)</f>
        <v/>
      </c>
      <c r="L1635" s="36" t="str">
        <f aca="false">IF($A1635="","",TEXT($A1635,"MMM-YY"))</f>
        <v/>
      </c>
      <c r="M1635" s="37" t="str">
        <f aca="false">IF($A1635="","",IF($Q1635=0,"UNMAPPED",INDEX(COA_Mapping!$C$7:$C$256,$Q1635)))</f>
        <v/>
      </c>
      <c r="N1635" s="38" t="str">
        <f aca="false">IF($A1635="","",IF($Q1635=0,"",INDEX(COA_Mapping!$E$7:$E$256,$Q1635)))</f>
        <v/>
      </c>
      <c r="O1635" s="38" t="n">
        <f aca="false">IF($A1635="",1,IF($Q1635=0,1,INDEX(COA_Mapping!$F$7:$F$256,$Q1635)))</f>
        <v>1</v>
      </c>
      <c r="P1635" s="34" t="str">
        <f aca="false">IF($A1635="","",$I1635*$O1635)</f>
        <v/>
      </c>
      <c r="Q1635" s="39" t="n">
        <f aca="false">IF($B1635="",0,IFERROR(MATCH($B1635,COA_Mapping!$A$7:$A$256,0),0))</f>
        <v>0</v>
      </c>
      <c r="R1635" s="39" t="n">
        <f aca="false">IF($A1635="",-1,IF($J1635=Setup!$B$7,1,IF($J1635=Setup!$B$9,0,-1)))</f>
        <v>-1</v>
      </c>
      <c r="S1635" s="35" t="n">
        <f aca="false">IF(OR($A1635="",$Q1635=0,$R1635=-1),0,$Q1635*1000+$R1635*100+$K1635)</f>
        <v>0</v>
      </c>
      <c r="T1635" s="37" t="str">
        <f aca="false">IF($A1635="","",IF($B1635="","NO ACCOUNT",IF($Q1635=0,"UNMAPPED",IF($R1635=-1,"OUTSIDE FY RANGE","OK"))))</f>
        <v/>
      </c>
      <c r="U1635" s="40" t="str">
        <f aca="false">IF($A1635="","",$B1635&amp;"|"&amp;TEXT($A1635,"yyyymmdd")&amp;"|"&amp;TEXT($I1635,"0.00"))</f>
        <v/>
      </c>
      <c r="V1635" s="35" t="str">
        <f aca="false">IF($A1635="","",COUNTIF($U$8:$U$5007,$U1635))</f>
        <v/>
      </c>
    </row>
    <row r="1636" customFormat="false" ht="15" hidden="false" customHeight="false" outlineLevel="0" collapsed="false">
      <c r="A1636" s="31"/>
      <c r="B1636" s="32"/>
      <c r="C1636" s="32"/>
      <c r="D1636" s="32"/>
      <c r="E1636" s="32"/>
      <c r="F1636" s="32"/>
      <c r="G1636" s="33"/>
      <c r="H1636" s="33"/>
      <c r="I1636" s="34" t="str">
        <f aca="false">IF($A1636="","",$G1636-$H1636)</f>
        <v/>
      </c>
      <c r="J1636" s="35" t="str">
        <f aca="false">IF($A1636="","",IF(Setup!$B$6=1,YEAR($A1636),YEAR($A1636)+IF(MONTH($A1636)&gt;=Setup!$B$6,1,0)))</f>
        <v/>
      </c>
      <c r="K1636" s="35" t="str">
        <f aca="false">IF($A1636="","",MOD(MONTH($A1636)-Setup!$B$6+12,12)+1)</f>
        <v/>
      </c>
      <c r="L1636" s="36" t="str">
        <f aca="false">IF($A1636="","",TEXT($A1636,"MMM-YY"))</f>
        <v/>
      </c>
      <c r="M1636" s="37" t="str">
        <f aca="false">IF($A1636="","",IF($Q1636=0,"UNMAPPED",INDEX(COA_Mapping!$C$7:$C$256,$Q1636)))</f>
        <v/>
      </c>
      <c r="N1636" s="38" t="str">
        <f aca="false">IF($A1636="","",IF($Q1636=0,"",INDEX(COA_Mapping!$E$7:$E$256,$Q1636)))</f>
        <v/>
      </c>
      <c r="O1636" s="38" t="n">
        <f aca="false">IF($A1636="",1,IF($Q1636=0,1,INDEX(COA_Mapping!$F$7:$F$256,$Q1636)))</f>
        <v>1</v>
      </c>
      <c r="P1636" s="34" t="str">
        <f aca="false">IF($A1636="","",$I1636*$O1636)</f>
        <v/>
      </c>
      <c r="Q1636" s="39" t="n">
        <f aca="false">IF($B1636="",0,IFERROR(MATCH($B1636,COA_Mapping!$A$7:$A$256,0),0))</f>
        <v>0</v>
      </c>
      <c r="R1636" s="39" t="n">
        <f aca="false">IF($A1636="",-1,IF($J1636=Setup!$B$7,1,IF($J1636=Setup!$B$9,0,-1)))</f>
        <v>-1</v>
      </c>
      <c r="S1636" s="35" t="n">
        <f aca="false">IF(OR($A1636="",$Q1636=0,$R1636=-1),0,$Q1636*1000+$R1636*100+$K1636)</f>
        <v>0</v>
      </c>
      <c r="T1636" s="37" t="str">
        <f aca="false">IF($A1636="","",IF($B1636="","NO ACCOUNT",IF($Q1636=0,"UNMAPPED",IF($R1636=-1,"OUTSIDE FY RANGE","OK"))))</f>
        <v/>
      </c>
      <c r="U1636" s="40" t="str">
        <f aca="false">IF($A1636="","",$B1636&amp;"|"&amp;TEXT($A1636,"yyyymmdd")&amp;"|"&amp;TEXT($I1636,"0.00"))</f>
        <v/>
      </c>
      <c r="V1636" s="35" t="str">
        <f aca="false">IF($A1636="","",COUNTIF($U$8:$U$5007,$U1636))</f>
        <v/>
      </c>
    </row>
    <row r="1637" customFormat="false" ht="15" hidden="false" customHeight="false" outlineLevel="0" collapsed="false">
      <c r="A1637" s="31"/>
      <c r="B1637" s="32"/>
      <c r="C1637" s="32"/>
      <c r="D1637" s="32"/>
      <c r="E1637" s="32"/>
      <c r="F1637" s="32"/>
      <c r="G1637" s="33"/>
      <c r="H1637" s="33"/>
      <c r="I1637" s="34" t="str">
        <f aca="false">IF($A1637="","",$G1637-$H1637)</f>
        <v/>
      </c>
      <c r="J1637" s="35" t="str">
        <f aca="false">IF($A1637="","",IF(Setup!$B$6=1,YEAR($A1637),YEAR($A1637)+IF(MONTH($A1637)&gt;=Setup!$B$6,1,0)))</f>
        <v/>
      </c>
      <c r="K1637" s="35" t="str">
        <f aca="false">IF($A1637="","",MOD(MONTH($A1637)-Setup!$B$6+12,12)+1)</f>
        <v/>
      </c>
      <c r="L1637" s="36" t="str">
        <f aca="false">IF($A1637="","",TEXT($A1637,"MMM-YY"))</f>
        <v/>
      </c>
      <c r="M1637" s="37" t="str">
        <f aca="false">IF($A1637="","",IF($Q1637=0,"UNMAPPED",INDEX(COA_Mapping!$C$7:$C$256,$Q1637)))</f>
        <v/>
      </c>
      <c r="N1637" s="38" t="str">
        <f aca="false">IF($A1637="","",IF($Q1637=0,"",INDEX(COA_Mapping!$E$7:$E$256,$Q1637)))</f>
        <v/>
      </c>
      <c r="O1637" s="38" t="n">
        <f aca="false">IF($A1637="",1,IF($Q1637=0,1,INDEX(COA_Mapping!$F$7:$F$256,$Q1637)))</f>
        <v>1</v>
      </c>
      <c r="P1637" s="34" t="str">
        <f aca="false">IF($A1637="","",$I1637*$O1637)</f>
        <v/>
      </c>
      <c r="Q1637" s="39" t="n">
        <f aca="false">IF($B1637="",0,IFERROR(MATCH($B1637,COA_Mapping!$A$7:$A$256,0),0))</f>
        <v>0</v>
      </c>
      <c r="R1637" s="39" t="n">
        <f aca="false">IF($A1637="",-1,IF($J1637=Setup!$B$7,1,IF($J1637=Setup!$B$9,0,-1)))</f>
        <v>-1</v>
      </c>
      <c r="S1637" s="35" t="n">
        <f aca="false">IF(OR($A1637="",$Q1637=0,$R1637=-1),0,$Q1637*1000+$R1637*100+$K1637)</f>
        <v>0</v>
      </c>
      <c r="T1637" s="37" t="str">
        <f aca="false">IF($A1637="","",IF($B1637="","NO ACCOUNT",IF($Q1637=0,"UNMAPPED",IF($R1637=-1,"OUTSIDE FY RANGE","OK"))))</f>
        <v/>
      </c>
      <c r="U1637" s="40" t="str">
        <f aca="false">IF($A1637="","",$B1637&amp;"|"&amp;TEXT($A1637,"yyyymmdd")&amp;"|"&amp;TEXT($I1637,"0.00"))</f>
        <v/>
      </c>
      <c r="V1637" s="35" t="str">
        <f aca="false">IF($A1637="","",COUNTIF($U$8:$U$5007,$U1637))</f>
        <v/>
      </c>
    </row>
    <row r="1638" customFormat="false" ht="15" hidden="false" customHeight="false" outlineLevel="0" collapsed="false">
      <c r="A1638" s="31"/>
      <c r="B1638" s="32"/>
      <c r="C1638" s="32"/>
      <c r="D1638" s="32"/>
      <c r="E1638" s="32"/>
      <c r="F1638" s="32"/>
      <c r="G1638" s="33"/>
      <c r="H1638" s="33"/>
      <c r="I1638" s="34" t="str">
        <f aca="false">IF($A1638="","",$G1638-$H1638)</f>
        <v/>
      </c>
      <c r="J1638" s="35" t="str">
        <f aca="false">IF($A1638="","",IF(Setup!$B$6=1,YEAR($A1638),YEAR($A1638)+IF(MONTH($A1638)&gt;=Setup!$B$6,1,0)))</f>
        <v/>
      </c>
      <c r="K1638" s="35" t="str">
        <f aca="false">IF($A1638="","",MOD(MONTH($A1638)-Setup!$B$6+12,12)+1)</f>
        <v/>
      </c>
      <c r="L1638" s="36" t="str">
        <f aca="false">IF($A1638="","",TEXT($A1638,"MMM-YY"))</f>
        <v/>
      </c>
      <c r="M1638" s="37" t="str">
        <f aca="false">IF($A1638="","",IF($Q1638=0,"UNMAPPED",INDEX(COA_Mapping!$C$7:$C$256,$Q1638)))</f>
        <v/>
      </c>
      <c r="N1638" s="38" t="str">
        <f aca="false">IF($A1638="","",IF($Q1638=0,"",INDEX(COA_Mapping!$E$7:$E$256,$Q1638)))</f>
        <v/>
      </c>
      <c r="O1638" s="38" t="n">
        <f aca="false">IF($A1638="",1,IF($Q1638=0,1,INDEX(COA_Mapping!$F$7:$F$256,$Q1638)))</f>
        <v>1</v>
      </c>
      <c r="P1638" s="34" t="str">
        <f aca="false">IF($A1638="","",$I1638*$O1638)</f>
        <v/>
      </c>
      <c r="Q1638" s="39" t="n">
        <f aca="false">IF($B1638="",0,IFERROR(MATCH($B1638,COA_Mapping!$A$7:$A$256,0),0))</f>
        <v>0</v>
      </c>
      <c r="R1638" s="39" t="n">
        <f aca="false">IF($A1638="",-1,IF($J1638=Setup!$B$7,1,IF($J1638=Setup!$B$9,0,-1)))</f>
        <v>-1</v>
      </c>
      <c r="S1638" s="35" t="n">
        <f aca="false">IF(OR($A1638="",$Q1638=0,$R1638=-1),0,$Q1638*1000+$R1638*100+$K1638)</f>
        <v>0</v>
      </c>
      <c r="T1638" s="37" t="str">
        <f aca="false">IF($A1638="","",IF($B1638="","NO ACCOUNT",IF($Q1638=0,"UNMAPPED",IF($R1638=-1,"OUTSIDE FY RANGE","OK"))))</f>
        <v/>
      </c>
      <c r="U1638" s="40" t="str">
        <f aca="false">IF($A1638="","",$B1638&amp;"|"&amp;TEXT($A1638,"yyyymmdd")&amp;"|"&amp;TEXT($I1638,"0.00"))</f>
        <v/>
      </c>
      <c r="V1638" s="35" t="str">
        <f aca="false">IF($A1638="","",COUNTIF($U$8:$U$5007,$U1638))</f>
        <v/>
      </c>
    </row>
    <row r="1639" customFormat="false" ht="15" hidden="false" customHeight="false" outlineLevel="0" collapsed="false">
      <c r="A1639" s="31"/>
      <c r="B1639" s="32"/>
      <c r="C1639" s="32"/>
      <c r="D1639" s="32"/>
      <c r="E1639" s="32"/>
      <c r="F1639" s="32"/>
      <c r="G1639" s="33"/>
      <c r="H1639" s="33"/>
      <c r="I1639" s="34" t="str">
        <f aca="false">IF($A1639="","",$G1639-$H1639)</f>
        <v/>
      </c>
      <c r="J1639" s="35" t="str">
        <f aca="false">IF($A1639="","",IF(Setup!$B$6=1,YEAR($A1639),YEAR($A1639)+IF(MONTH($A1639)&gt;=Setup!$B$6,1,0)))</f>
        <v/>
      </c>
      <c r="K1639" s="35" t="str">
        <f aca="false">IF($A1639="","",MOD(MONTH($A1639)-Setup!$B$6+12,12)+1)</f>
        <v/>
      </c>
      <c r="L1639" s="36" t="str">
        <f aca="false">IF($A1639="","",TEXT($A1639,"MMM-YY"))</f>
        <v/>
      </c>
      <c r="M1639" s="37" t="str">
        <f aca="false">IF($A1639="","",IF($Q1639=0,"UNMAPPED",INDEX(COA_Mapping!$C$7:$C$256,$Q1639)))</f>
        <v/>
      </c>
      <c r="N1639" s="38" t="str">
        <f aca="false">IF($A1639="","",IF($Q1639=0,"",INDEX(COA_Mapping!$E$7:$E$256,$Q1639)))</f>
        <v/>
      </c>
      <c r="O1639" s="38" t="n">
        <f aca="false">IF($A1639="",1,IF($Q1639=0,1,INDEX(COA_Mapping!$F$7:$F$256,$Q1639)))</f>
        <v>1</v>
      </c>
      <c r="P1639" s="34" t="str">
        <f aca="false">IF($A1639="","",$I1639*$O1639)</f>
        <v/>
      </c>
      <c r="Q1639" s="39" t="n">
        <f aca="false">IF($B1639="",0,IFERROR(MATCH($B1639,COA_Mapping!$A$7:$A$256,0),0))</f>
        <v>0</v>
      </c>
      <c r="R1639" s="39" t="n">
        <f aca="false">IF($A1639="",-1,IF($J1639=Setup!$B$7,1,IF($J1639=Setup!$B$9,0,-1)))</f>
        <v>-1</v>
      </c>
      <c r="S1639" s="35" t="n">
        <f aca="false">IF(OR($A1639="",$Q1639=0,$R1639=-1),0,$Q1639*1000+$R1639*100+$K1639)</f>
        <v>0</v>
      </c>
      <c r="T1639" s="37" t="str">
        <f aca="false">IF($A1639="","",IF($B1639="","NO ACCOUNT",IF($Q1639=0,"UNMAPPED",IF($R1639=-1,"OUTSIDE FY RANGE","OK"))))</f>
        <v/>
      </c>
      <c r="U1639" s="40" t="str">
        <f aca="false">IF($A1639="","",$B1639&amp;"|"&amp;TEXT($A1639,"yyyymmdd")&amp;"|"&amp;TEXT($I1639,"0.00"))</f>
        <v/>
      </c>
      <c r="V1639" s="35" t="str">
        <f aca="false">IF($A1639="","",COUNTIF($U$8:$U$5007,$U1639))</f>
        <v/>
      </c>
    </row>
    <row r="1640" customFormat="false" ht="15" hidden="false" customHeight="false" outlineLevel="0" collapsed="false">
      <c r="A1640" s="31"/>
      <c r="B1640" s="32"/>
      <c r="C1640" s="32"/>
      <c r="D1640" s="32"/>
      <c r="E1640" s="32"/>
      <c r="F1640" s="32"/>
      <c r="G1640" s="33"/>
      <c r="H1640" s="33"/>
      <c r="I1640" s="34" t="str">
        <f aca="false">IF($A1640="","",$G1640-$H1640)</f>
        <v/>
      </c>
      <c r="J1640" s="35" t="str">
        <f aca="false">IF($A1640="","",IF(Setup!$B$6=1,YEAR($A1640),YEAR($A1640)+IF(MONTH($A1640)&gt;=Setup!$B$6,1,0)))</f>
        <v/>
      </c>
      <c r="K1640" s="35" t="str">
        <f aca="false">IF($A1640="","",MOD(MONTH($A1640)-Setup!$B$6+12,12)+1)</f>
        <v/>
      </c>
      <c r="L1640" s="36" t="str">
        <f aca="false">IF($A1640="","",TEXT($A1640,"MMM-YY"))</f>
        <v/>
      </c>
      <c r="M1640" s="37" t="str">
        <f aca="false">IF($A1640="","",IF($Q1640=0,"UNMAPPED",INDEX(COA_Mapping!$C$7:$C$256,$Q1640)))</f>
        <v/>
      </c>
      <c r="N1640" s="38" t="str">
        <f aca="false">IF($A1640="","",IF($Q1640=0,"",INDEX(COA_Mapping!$E$7:$E$256,$Q1640)))</f>
        <v/>
      </c>
      <c r="O1640" s="38" t="n">
        <f aca="false">IF($A1640="",1,IF($Q1640=0,1,INDEX(COA_Mapping!$F$7:$F$256,$Q1640)))</f>
        <v>1</v>
      </c>
      <c r="P1640" s="34" t="str">
        <f aca="false">IF($A1640="","",$I1640*$O1640)</f>
        <v/>
      </c>
      <c r="Q1640" s="39" t="n">
        <f aca="false">IF($B1640="",0,IFERROR(MATCH($B1640,COA_Mapping!$A$7:$A$256,0),0))</f>
        <v>0</v>
      </c>
      <c r="R1640" s="39" t="n">
        <f aca="false">IF($A1640="",-1,IF($J1640=Setup!$B$7,1,IF($J1640=Setup!$B$9,0,-1)))</f>
        <v>-1</v>
      </c>
      <c r="S1640" s="35" t="n">
        <f aca="false">IF(OR($A1640="",$Q1640=0,$R1640=-1),0,$Q1640*1000+$R1640*100+$K1640)</f>
        <v>0</v>
      </c>
      <c r="T1640" s="37" t="str">
        <f aca="false">IF($A1640="","",IF($B1640="","NO ACCOUNT",IF($Q1640=0,"UNMAPPED",IF($R1640=-1,"OUTSIDE FY RANGE","OK"))))</f>
        <v/>
      </c>
      <c r="U1640" s="40" t="str">
        <f aca="false">IF($A1640="","",$B1640&amp;"|"&amp;TEXT($A1640,"yyyymmdd")&amp;"|"&amp;TEXT($I1640,"0.00"))</f>
        <v/>
      </c>
      <c r="V1640" s="35" t="str">
        <f aca="false">IF($A1640="","",COUNTIF($U$8:$U$5007,$U1640))</f>
        <v/>
      </c>
    </row>
    <row r="1641" customFormat="false" ht="15" hidden="false" customHeight="false" outlineLevel="0" collapsed="false">
      <c r="A1641" s="31"/>
      <c r="B1641" s="32"/>
      <c r="C1641" s="32"/>
      <c r="D1641" s="32"/>
      <c r="E1641" s="32"/>
      <c r="F1641" s="32"/>
      <c r="G1641" s="33"/>
      <c r="H1641" s="33"/>
      <c r="I1641" s="34" t="str">
        <f aca="false">IF($A1641="","",$G1641-$H1641)</f>
        <v/>
      </c>
      <c r="J1641" s="35" t="str">
        <f aca="false">IF($A1641="","",IF(Setup!$B$6=1,YEAR($A1641),YEAR($A1641)+IF(MONTH($A1641)&gt;=Setup!$B$6,1,0)))</f>
        <v/>
      </c>
      <c r="K1641" s="35" t="str">
        <f aca="false">IF($A1641="","",MOD(MONTH($A1641)-Setup!$B$6+12,12)+1)</f>
        <v/>
      </c>
      <c r="L1641" s="36" t="str">
        <f aca="false">IF($A1641="","",TEXT($A1641,"MMM-YY"))</f>
        <v/>
      </c>
      <c r="M1641" s="37" t="str">
        <f aca="false">IF($A1641="","",IF($Q1641=0,"UNMAPPED",INDEX(COA_Mapping!$C$7:$C$256,$Q1641)))</f>
        <v/>
      </c>
      <c r="N1641" s="38" t="str">
        <f aca="false">IF($A1641="","",IF($Q1641=0,"",INDEX(COA_Mapping!$E$7:$E$256,$Q1641)))</f>
        <v/>
      </c>
      <c r="O1641" s="38" t="n">
        <f aca="false">IF($A1641="",1,IF($Q1641=0,1,INDEX(COA_Mapping!$F$7:$F$256,$Q1641)))</f>
        <v>1</v>
      </c>
      <c r="P1641" s="34" t="str">
        <f aca="false">IF($A1641="","",$I1641*$O1641)</f>
        <v/>
      </c>
      <c r="Q1641" s="39" t="n">
        <f aca="false">IF($B1641="",0,IFERROR(MATCH($B1641,COA_Mapping!$A$7:$A$256,0),0))</f>
        <v>0</v>
      </c>
      <c r="R1641" s="39" t="n">
        <f aca="false">IF($A1641="",-1,IF($J1641=Setup!$B$7,1,IF($J1641=Setup!$B$9,0,-1)))</f>
        <v>-1</v>
      </c>
      <c r="S1641" s="35" t="n">
        <f aca="false">IF(OR($A1641="",$Q1641=0,$R1641=-1),0,$Q1641*1000+$R1641*100+$K1641)</f>
        <v>0</v>
      </c>
      <c r="T1641" s="37" t="str">
        <f aca="false">IF($A1641="","",IF($B1641="","NO ACCOUNT",IF($Q1641=0,"UNMAPPED",IF($R1641=-1,"OUTSIDE FY RANGE","OK"))))</f>
        <v/>
      </c>
      <c r="U1641" s="40" t="str">
        <f aca="false">IF($A1641="","",$B1641&amp;"|"&amp;TEXT($A1641,"yyyymmdd")&amp;"|"&amp;TEXT($I1641,"0.00"))</f>
        <v/>
      </c>
      <c r="V1641" s="35" t="str">
        <f aca="false">IF($A1641="","",COUNTIF($U$8:$U$5007,$U1641))</f>
        <v/>
      </c>
    </row>
    <row r="1642" customFormat="false" ht="15" hidden="false" customHeight="false" outlineLevel="0" collapsed="false">
      <c r="A1642" s="31"/>
      <c r="B1642" s="32"/>
      <c r="C1642" s="32"/>
      <c r="D1642" s="32"/>
      <c r="E1642" s="32"/>
      <c r="F1642" s="32"/>
      <c r="G1642" s="33"/>
      <c r="H1642" s="33"/>
      <c r="I1642" s="34" t="str">
        <f aca="false">IF($A1642="","",$G1642-$H1642)</f>
        <v/>
      </c>
      <c r="J1642" s="35" t="str">
        <f aca="false">IF($A1642="","",IF(Setup!$B$6=1,YEAR($A1642),YEAR($A1642)+IF(MONTH($A1642)&gt;=Setup!$B$6,1,0)))</f>
        <v/>
      </c>
      <c r="K1642" s="35" t="str">
        <f aca="false">IF($A1642="","",MOD(MONTH($A1642)-Setup!$B$6+12,12)+1)</f>
        <v/>
      </c>
      <c r="L1642" s="36" t="str">
        <f aca="false">IF($A1642="","",TEXT($A1642,"MMM-YY"))</f>
        <v/>
      </c>
      <c r="M1642" s="37" t="str">
        <f aca="false">IF($A1642="","",IF($Q1642=0,"UNMAPPED",INDEX(COA_Mapping!$C$7:$C$256,$Q1642)))</f>
        <v/>
      </c>
      <c r="N1642" s="38" t="str">
        <f aca="false">IF($A1642="","",IF($Q1642=0,"",INDEX(COA_Mapping!$E$7:$E$256,$Q1642)))</f>
        <v/>
      </c>
      <c r="O1642" s="38" t="n">
        <f aca="false">IF($A1642="",1,IF($Q1642=0,1,INDEX(COA_Mapping!$F$7:$F$256,$Q1642)))</f>
        <v>1</v>
      </c>
      <c r="P1642" s="34" t="str">
        <f aca="false">IF($A1642="","",$I1642*$O1642)</f>
        <v/>
      </c>
      <c r="Q1642" s="39" t="n">
        <f aca="false">IF($B1642="",0,IFERROR(MATCH($B1642,COA_Mapping!$A$7:$A$256,0),0))</f>
        <v>0</v>
      </c>
      <c r="R1642" s="39" t="n">
        <f aca="false">IF($A1642="",-1,IF($J1642=Setup!$B$7,1,IF($J1642=Setup!$B$9,0,-1)))</f>
        <v>-1</v>
      </c>
      <c r="S1642" s="35" t="n">
        <f aca="false">IF(OR($A1642="",$Q1642=0,$R1642=-1),0,$Q1642*1000+$R1642*100+$K1642)</f>
        <v>0</v>
      </c>
      <c r="T1642" s="37" t="str">
        <f aca="false">IF($A1642="","",IF($B1642="","NO ACCOUNT",IF($Q1642=0,"UNMAPPED",IF($R1642=-1,"OUTSIDE FY RANGE","OK"))))</f>
        <v/>
      </c>
      <c r="U1642" s="40" t="str">
        <f aca="false">IF($A1642="","",$B1642&amp;"|"&amp;TEXT($A1642,"yyyymmdd")&amp;"|"&amp;TEXT($I1642,"0.00"))</f>
        <v/>
      </c>
      <c r="V1642" s="35" t="str">
        <f aca="false">IF($A1642="","",COUNTIF($U$8:$U$5007,$U1642))</f>
        <v/>
      </c>
    </row>
    <row r="1643" customFormat="false" ht="15" hidden="false" customHeight="false" outlineLevel="0" collapsed="false">
      <c r="A1643" s="31"/>
      <c r="B1643" s="32"/>
      <c r="C1643" s="32"/>
      <c r="D1643" s="32"/>
      <c r="E1643" s="32"/>
      <c r="F1643" s="32"/>
      <c r="G1643" s="33"/>
      <c r="H1643" s="33"/>
      <c r="I1643" s="34" t="str">
        <f aca="false">IF($A1643="","",$G1643-$H1643)</f>
        <v/>
      </c>
      <c r="J1643" s="35" t="str">
        <f aca="false">IF($A1643="","",IF(Setup!$B$6=1,YEAR($A1643),YEAR($A1643)+IF(MONTH($A1643)&gt;=Setup!$B$6,1,0)))</f>
        <v/>
      </c>
      <c r="K1643" s="35" t="str">
        <f aca="false">IF($A1643="","",MOD(MONTH($A1643)-Setup!$B$6+12,12)+1)</f>
        <v/>
      </c>
      <c r="L1643" s="36" t="str">
        <f aca="false">IF($A1643="","",TEXT($A1643,"MMM-YY"))</f>
        <v/>
      </c>
      <c r="M1643" s="37" t="str">
        <f aca="false">IF($A1643="","",IF($Q1643=0,"UNMAPPED",INDEX(COA_Mapping!$C$7:$C$256,$Q1643)))</f>
        <v/>
      </c>
      <c r="N1643" s="38" t="str">
        <f aca="false">IF($A1643="","",IF($Q1643=0,"",INDEX(COA_Mapping!$E$7:$E$256,$Q1643)))</f>
        <v/>
      </c>
      <c r="O1643" s="38" t="n">
        <f aca="false">IF($A1643="",1,IF($Q1643=0,1,INDEX(COA_Mapping!$F$7:$F$256,$Q1643)))</f>
        <v>1</v>
      </c>
      <c r="P1643" s="34" t="str">
        <f aca="false">IF($A1643="","",$I1643*$O1643)</f>
        <v/>
      </c>
      <c r="Q1643" s="39" t="n">
        <f aca="false">IF($B1643="",0,IFERROR(MATCH($B1643,COA_Mapping!$A$7:$A$256,0),0))</f>
        <v>0</v>
      </c>
      <c r="R1643" s="39" t="n">
        <f aca="false">IF($A1643="",-1,IF($J1643=Setup!$B$7,1,IF($J1643=Setup!$B$9,0,-1)))</f>
        <v>-1</v>
      </c>
      <c r="S1643" s="35" t="n">
        <f aca="false">IF(OR($A1643="",$Q1643=0,$R1643=-1),0,$Q1643*1000+$R1643*100+$K1643)</f>
        <v>0</v>
      </c>
      <c r="T1643" s="37" t="str">
        <f aca="false">IF($A1643="","",IF($B1643="","NO ACCOUNT",IF($Q1643=0,"UNMAPPED",IF($R1643=-1,"OUTSIDE FY RANGE","OK"))))</f>
        <v/>
      </c>
      <c r="U1643" s="40" t="str">
        <f aca="false">IF($A1643="","",$B1643&amp;"|"&amp;TEXT($A1643,"yyyymmdd")&amp;"|"&amp;TEXT($I1643,"0.00"))</f>
        <v/>
      </c>
      <c r="V1643" s="35" t="str">
        <f aca="false">IF($A1643="","",COUNTIF($U$8:$U$5007,$U1643))</f>
        <v/>
      </c>
    </row>
    <row r="1644" customFormat="false" ht="15" hidden="false" customHeight="false" outlineLevel="0" collapsed="false">
      <c r="A1644" s="31"/>
      <c r="B1644" s="32"/>
      <c r="C1644" s="32"/>
      <c r="D1644" s="32"/>
      <c r="E1644" s="32"/>
      <c r="F1644" s="32"/>
      <c r="G1644" s="33"/>
      <c r="H1644" s="33"/>
      <c r="I1644" s="34" t="str">
        <f aca="false">IF($A1644="","",$G1644-$H1644)</f>
        <v/>
      </c>
      <c r="J1644" s="35" t="str">
        <f aca="false">IF($A1644="","",IF(Setup!$B$6=1,YEAR($A1644),YEAR($A1644)+IF(MONTH($A1644)&gt;=Setup!$B$6,1,0)))</f>
        <v/>
      </c>
      <c r="K1644" s="35" t="str">
        <f aca="false">IF($A1644="","",MOD(MONTH($A1644)-Setup!$B$6+12,12)+1)</f>
        <v/>
      </c>
      <c r="L1644" s="36" t="str">
        <f aca="false">IF($A1644="","",TEXT($A1644,"MMM-YY"))</f>
        <v/>
      </c>
      <c r="M1644" s="37" t="str">
        <f aca="false">IF($A1644="","",IF($Q1644=0,"UNMAPPED",INDEX(COA_Mapping!$C$7:$C$256,$Q1644)))</f>
        <v/>
      </c>
      <c r="N1644" s="38" t="str">
        <f aca="false">IF($A1644="","",IF($Q1644=0,"",INDEX(COA_Mapping!$E$7:$E$256,$Q1644)))</f>
        <v/>
      </c>
      <c r="O1644" s="38" t="n">
        <f aca="false">IF($A1644="",1,IF($Q1644=0,1,INDEX(COA_Mapping!$F$7:$F$256,$Q1644)))</f>
        <v>1</v>
      </c>
      <c r="P1644" s="34" t="str">
        <f aca="false">IF($A1644="","",$I1644*$O1644)</f>
        <v/>
      </c>
      <c r="Q1644" s="39" t="n">
        <f aca="false">IF($B1644="",0,IFERROR(MATCH($B1644,COA_Mapping!$A$7:$A$256,0),0))</f>
        <v>0</v>
      </c>
      <c r="R1644" s="39" t="n">
        <f aca="false">IF($A1644="",-1,IF($J1644=Setup!$B$7,1,IF($J1644=Setup!$B$9,0,-1)))</f>
        <v>-1</v>
      </c>
      <c r="S1644" s="35" t="n">
        <f aca="false">IF(OR($A1644="",$Q1644=0,$R1644=-1),0,$Q1644*1000+$R1644*100+$K1644)</f>
        <v>0</v>
      </c>
      <c r="T1644" s="37" t="str">
        <f aca="false">IF($A1644="","",IF($B1644="","NO ACCOUNT",IF($Q1644=0,"UNMAPPED",IF($R1644=-1,"OUTSIDE FY RANGE","OK"))))</f>
        <v/>
      </c>
      <c r="U1644" s="40" t="str">
        <f aca="false">IF($A1644="","",$B1644&amp;"|"&amp;TEXT($A1644,"yyyymmdd")&amp;"|"&amp;TEXT($I1644,"0.00"))</f>
        <v/>
      </c>
      <c r="V1644" s="35" t="str">
        <f aca="false">IF($A1644="","",COUNTIF($U$8:$U$5007,$U1644))</f>
        <v/>
      </c>
    </row>
    <row r="1645" customFormat="false" ht="15" hidden="false" customHeight="false" outlineLevel="0" collapsed="false">
      <c r="A1645" s="31"/>
      <c r="B1645" s="32"/>
      <c r="C1645" s="32"/>
      <c r="D1645" s="32"/>
      <c r="E1645" s="32"/>
      <c r="F1645" s="32"/>
      <c r="G1645" s="33"/>
      <c r="H1645" s="33"/>
      <c r="I1645" s="34" t="str">
        <f aca="false">IF($A1645="","",$G1645-$H1645)</f>
        <v/>
      </c>
      <c r="J1645" s="35" t="str">
        <f aca="false">IF($A1645="","",IF(Setup!$B$6=1,YEAR($A1645),YEAR($A1645)+IF(MONTH($A1645)&gt;=Setup!$B$6,1,0)))</f>
        <v/>
      </c>
      <c r="K1645" s="35" t="str">
        <f aca="false">IF($A1645="","",MOD(MONTH($A1645)-Setup!$B$6+12,12)+1)</f>
        <v/>
      </c>
      <c r="L1645" s="36" t="str">
        <f aca="false">IF($A1645="","",TEXT($A1645,"MMM-YY"))</f>
        <v/>
      </c>
      <c r="M1645" s="37" t="str">
        <f aca="false">IF($A1645="","",IF($Q1645=0,"UNMAPPED",INDEX(COA_Mapping!$C$7:$C$256,$Q1645)))</f>
        <v/>
      </c>
      <c r="N1645" s="38" t="str">
        <f aca="false">IF($A1645="","",IF($Q1645=0,"",INDEX(COA_Mapping!$E$7:$E$256,$Q1645)))</f>
        <v/>
      </c>
      <c r="O1645" s="38" t="n">
        <f aca="false">IF($A1645="",1,IF($Q1645=0,1,INDEX(COA_Mapping!$F$7:$F$256,$Q1645)))</f>
        <v>1</v>
      </c>
      <c r="P1645" s="34" t="str">
        <f aca="false">IF($A1645="","",$I1645*$O1645)</f>
        <v/>
      </c>
      <c r="Q1645" s="39" t="n">
        <f aca="false">IF($B1645="",0,IFERROR(MATCH($B1645,COA_Mapping!$A$7:$A$256,0),0))</f>
        <v>0</v>
      </c>
      <c r="R1645" s="39" t="n">
        <f aca="false">IF($A1645="",-1,IF($J1645=Setup!$B$7,1,IF($J1645=Setup!$B$9,0,-1)))</f>
        <v>-1</v>
      </c>
      <c r="S1645" s="35" t="n">
        <f aca="false">IF(OR($A1645="",$Q1645=0,$R1645=-1),0,$Q1645*1000+$R1645*100+$K1645)</f>
        <v>0</v>
      </c>
      <c r="T1645" s="37" t="str">
        <f aca="false">IF($A1645="","",IF($B1645="","NO ACCOUNT",IF($Q1645=0,"UNMAPPED",IF($R1645=-1,"OUTSIDE FY RANGE","OK"))))</f>
        <v/>
      </c>
      <c r="U1645" s="40" t="str">
        <f aca="false">IF($A1645="","",$B1645&amp;"|"&amp;TEXT($A1645,"yyyymmdd")&amp;"|"&amp;TEXT($I1645,"0.00"))</f>
        <v/>
      </c>
      <c r="V1645" s="35" t="str">
        <f aca="false">IF($A1645="","",COUNTIF($U$8:$U$5007,$U1645))</f>
        <v/>
      </c>
    </row>
    <row r="1646" customFormat="false" ht="15" hidden="false" customHeight="false" outlineLevel="0" collapsed="false">
      <c r="A1646" s="31"/>
      <c r="B1646" s="32"/>
      <c r="C1646" s="32"/>
      <c r="D1646" s="32"/>
      <c r="E1646" s="32"/>
      <c r="F1646" s="32"/>
      <c r="G1646" s="33"/>
      <c r="H1646" s="33"/>
      <c r="I1646" s="34" t="str">
        <f aca="false">IF($A1646="","",$G1646-$H1646)</f>
        <v/>
      </c>
      <c r="J1646" s="35" t="str">
        <f aca="false">IF($A1646="","",IF(Setup!$B$6=1,YEAR($A1646),YEAR($A1646)+IF(MONTH($A1646)&gt;=Setup!$B$6,1,0)))</f>
        <v/>
      </c>
      <c r="K1646" s="35" t="str">
        <f aca="false">IF($A1646="","",MOD(MONTH($A1646)-Setup!$B$6+12,12)+1)</f>
        <v/>
      </c>
      <c r="L1646" s="36" t="str">
        <f aca="false">IF($A1646="","",TEXT($A1646,"MMM-YY"))</f>
        <v/>
      </c>
      <c r="M1646" s="37" t="str">
        <f aca="false">IF($A1646="","",IF($Q1646=0,"UNMAPPED",INDEX(COA_Mapping!$C$7:$C$256,$Q1646)))</f>
        <v/>
      </c>
      <c r="N1646" s="38" t="str">
        <f aca="false">IF($A1646="","",IF($Q1646=0,"",INDEX(COA_Mapping!$E$7:$E$256,$Q1646)))</f>
        <v/>
      </c>
      <c r="O1646" s="38" t="n">
        <f aca="false">IF($A1646="",1,IF($Q1646=0,1,INDEX(COA_Mapping!$F$7:$F$256,$Q1646)))</f>
        <v>1</v>
      </c>
      <c r="P1646" s="34" t="str">
        <f aca="false">IF($A1646="","",$I1646*$O1646)</f>
        <v/>
      </c>
      <c r="Q1646" s="39" t="n">
        <f aca="false">IF($B1646="",0,IFERROR(MATCH($B1646,COA_Mapping!$A$7:$A$256,0),0))</f>
        <v>0</v>
      </c>
      <c r="R1646" s="39" t="n">
        <f aca="false">IF($A1646="",-1,IF($J1646=Setup!$B$7,1,IF($J1646=Setup!$B$9,0,-1)))</f>
        <v>-1</v>
      </c>
      <c r="S1646" s="35" t="n">
        <f aca="false">IF(OR($A1646="",$Q1646=0,$R1646=-1),0,$Q1646*1000+$R1646*100+$K1646)</f>
        <v>0</v>
      </c>
      <c r="T1646" s="37" t="str">
        <f aca="false">IF($A1646="","",IF($B1646="","NO ACCOUNT",IF($Q1646=0,"UNMAPPED",IF($R1646=-1,"OUTSIDE FY RANGE","OK"))))</f>
        <v/>
      </c>
      <c r="U1646" s="40" t="str">
        <f aca="false">IF($A1646="","",$B1646&amp;"|"&amp;TEXT($A1646,"yyyymmdd")&amp;"|"&amp;TEXT($I1646,"0.00"))</f>
        <v/>
      </c>
      <c r="V1646" s="35" t="str">
        <f aca="false">IF($A1646="","",COUNTIF($U$8:$U$5007,$U1646))</f>
        <v/>
      </c>
    </row>
    <row r="1647" customFormat="false" ht="15" hidden="false" customHeight="false" outlineLevel="0" collapsed="false">
      <c r="A1647" s="31"/>
      <c r="B1647" s="32"/>
      <c r="C1647" s="32"/>
      <c r="D1647" s="32"/>
      <c r="E1647" s="32"/>
      <c r="F1647" s="32"/>
      <c r="G1647" s="33"/>
      <c r="H1647" s="33"/>
      <c r="I1647" s="34" t="str">
        <f aca="false">IF($A1647="","",$G1647-$H1647)</f>
        <v/>
      </c>
      <c r="J1647" s="35" t="str">
        <f aca="false">IF($A1647="","",IF(Setup!$B$6=1,YEAR($A1647),YEAR($A1647)+IF(MONTH($A1647)&gt;=Setup!$B$6,1,0)))</f>
        <v/>
      </c>
      <c r="K1647" s="35" t="str">
        <f aca="false">IF($A1647="","",MOD(MONTH($A1647)-Setup!$B$6+12,12)+1)</f>
        <v/>
      </c>
      <c r="L1647" s="36" t="str">
        <f aca="false">IF($A1647="","",TEXT($A1647,"MMM-YY"))</f>
        <v/>
      </c>
      <c r="M1647" s="37" t="str">
        <f aca="false">IF($A1647="","",IF($Q1647=0,"UNMAPPED",INDEX(COA_Mapping!$C$7:$C$256,$Q1647)))</f>
        <v/>
      </c>
      <c r="N1647" s="38" t="str">
        <f aca="false">IF($A1647="","",IF($Q1647=0,"",INDEX(COA_Mapping!$E$7:$E$256,$Q1647)))</f>
        <v/>
      </c>
      <c r="O1647" s="38" t="n">
        <f aca="false">IF($A1647="",1,IF($Q1647=0,1,INDEX(COA_Mapping!$F$7:$F$256,$Q1647)))</f>
        <v>1</v>
      </c>
      <c r="P1647" s="34" t="str">
        <f aca="false">IF($A1647="","",$I1647*$O1647)</f>
        <v/>
      </c>
      <c r="Q1647" s="39" t="n">
        <f aca="false">IF($B1647="",0,IFERROR(MATCH($B1647,COA_Mapping!$A$7:$A$256,0),0))</f>
        <v>0</v>
      </c>
      <c r="R1647" s="39" t="n">
        <f aca="false">IF($A1647="",-1,IF($J1647=Setup!$B$7,1,IF($J1647=Setup!$B$9,0,-1)))</f>
        <v>-1</v>
      </c>
      <c r="S1647" s="35" t="n">
        <f aca="false">IF(OR($A1647="",$Q1647=0,$R1647=-1),0,$Q1647*1000+$R1647*100+$K1647)</f>
        <v>0</v>
      </c>
      <c r="T1647" s="37" t="str">
        <f aca="false">IF($A1647="","",IF($B1647="","NO ACCOUNT",IF($Q1647=0,"UNMAPPED",IF($R1647=-1,"OUTSIDE FY RANGE","OK"))))</f>
        <v/>
      </c>
      <c r="U1647" s="40" t="str">
        <f aca="false">IF($A1647="","",$B1647&amp;"|"&amp;TEXT($A1647,"yyyymmdd")&amp;"|"&amp;TEXT($I1647,"0.00"))</f>
        <v/>
      </c>
      <c r="V1647" s="35" t="str">
        <f aca="false">IF($A1647="","",COUNTIF($U$8:$U$5007,$U1647))</f>
        <v/>
      </c>
    </row>
    <row r="1648" customFormat="false" ht="15" hidden="false" customHeight="false" outlineLevel="0" collapsed="false">
      <c r="A1648" s="31"/>
      <c r="B1648" s="32"/>
      <c r="C1648" s="32"/>
      <c r="D1648" s="32"/>
      <c r="E1648" s="32"/>
      <c r="F1648" s="32"/>
      <c r="G1648" s="33"/>
      <c r="H1648" s="33"/>
      <c r="I1648" s="34" t="str">
        <f aca="false">IF($A1648="","",$G1648-$H1648)</f>
        <v/>
      </c>
      <c r="J1648" s="35" t="str">
        <f aca="false">IF($A1648="","",IF(Setup!$B$6=1,YEAR($A1648),YEAR($A1648)+IF(MONTH($A1648)&gt;=Setup!$B$6,1,0)))</f>
        <v/>
      </c>
      <c r="K1648" s="35" t="str">
        <f aca="false">IF($A1648="","",MOD(MONTH($A1648)-Setup!$B$6+12,12)+1)</f>
        <v/>
      </c>
      <c r="L1648" s="36" t="str">
        <f aca="false">IF($A1648="","",TEXT($A1648,"MMM-YY"))</f>
        <v/>
      </c>
      <c r="M1648" s="37" t="str">
        <f aca="false">IF($A1648="","",IF($Q1648=0,"UNMAPPED",INDEX(COA_Mapping!$C$7:$C$256,$Q1648)))</f>
        <v/>
      </c>
      <c r="N1648" s="38" t="str">
        <f aca="false">IF($A1648="","",IF($Q1648=0,"",INDEX(COA_Mapping!$E$7:$E$256,$Q1648)))</f>
        <v/>
      </c>
      <c r="O1648" s="38" t="n">
        <f aca="false">IF($A1648="",1,IF($Q1648=0,1,INDEX(COA_Mapping!$F$7:$F$256,$Q1648)))</f>
        <v>1</v>
      </c>
      <c r="P1648" s="34" t="str">
        <f aca="false">IF($A1648="","",$I1648*$O1648)</f>
        <v/>
      </c>
      <c r="Q1648" s="39" t="n">
        <f aca="false">IF($B1648="",0,IFERROR(MATCH($B1648,COA_Mapping!$A$7:$A$256,0),0))</f>
        <v>0</v>
      </c>
      <c r="R1648" s="39" t="n">
        <f aca="false">IF($A1648="",-1,IF($J1648=Setup!$B$7,1,IF($J1648=Setup!$B$9,0,-1)))</f>
        <v>-1</v>
      </c>
      <c r="S1648" s="35" t="n">
        <f aca="false">IF(OR($A1648="",$Q1648=0,$R1648=-1),0,$Q1648*1000+$R1648*100+$K1648)</f>
        <v>0</v>
      </c>
      <c r="T1648" s="37" t="str">
        <f aca="false">IF($A1648="","",IF($B1648="","NO ACCOUNT",IF($Q1648=0,"UNMAPPED",IF($R1648=-1,"OUTSIDE FY RANGE","OK"))))</f>
        <v/>
      </c>
      <c r="U1648" s="40" t="str">
        <f aca="false">IF($A1648="","",$B1648&amp;"|"&amp;TEXT($A1648,"yyyymmdd")&amp;"|"&amp;TEXT($I1648,"0.00"))</f>
        <v/>
      </c>
      <c r="V1648" s="35" t="str">
        <f aca="false">IF($A1648="","",COUNTIF($U$8:$U$5007,$U1648))</f>
        <v/>
      </c>
    </row>
    <row r="1649" customFormat="false" ht="15" hidden="false" customHeight="false" outlineLevel="0" collapsed="false">
      <c r="A1649" s="31"/>
      <c r="B1649" s="32"/>
      <c r="C1649" s="32"/>
      <c r="D1649" s="32"/>
      <c r="E1649" s="32"/>
      <c r="F1649" s="32"/>
      <c r="G1649" s="33"/>
      <c r="H1649" s="33"/>
      <c r="I1649" s="34" t="str">
        <f aca="false">IF($A1649="","",$G1649-$H1649)</f>
        <v/>
      </c>
      <c r="J1649" s="35" t="str">
        <f aca="false">IF($A1649="","",IF(Setup!$B$6=1,YEAR($A1649),YEAR($A1649)+IF(MONTH($A1649)&gt;=Setup!$B$6,1,0)))</f>
        <v/>
      </c>
      <c r="K1649" s="35" t="str">
        <f aca="false">IF($A1649="","",MOD(MONTH($A1649)-Setup!$B$6+12,12)+1)</f>
        <v/>
      </c>
      <c r="L1649" s="36" t="str">
        <f aca="false">IF($A1649="","",TEXT($A1649,"MMM-YY"))</f>
        <v/>
      </c>
      <c r="M1649" s="37" t="str">
        <f aca="false">IF($A1649="","",IF($Q1649=0,"UNMAPPED",INDEX(COA_Mapping!$C$7:$C$256,$Q1649)))</f>
        <v/>
      </c>
      <c r="N1649" s="38" t="str">
        <f aca="false">IF($A1649="","",IF($Q1649=0,"",INDEX(COA_Mapping!$E$7:$E$256,$Q1649)))</f>
        <v/>
      </c>
      <c r="O1649" s="38" t="n">
        <f aca="false">IF($A1649="",1,IF($Q1649=0,1,INDEX(COA_Mapping!$F$7:$F$256,$Q1649)))</f>
        <v>1</v>
      </c>
      <c r="P1649" s="34" t="str">
        <f aca="false">IF($A1649="","",$I1649*$O1649)</f>
        <v/>
      </c>
      <c r="Q1649" s="39" t="n">
        <f aca="false">IF($B1649="",0,IFERROR(MATCH($B1649,COA_Mapping!$A$7:$A$256,0),0))</f>
        <v>0</v>
      </c>
      <c r="R1649" s="39" t="n">
        <f aca="false">IF($A1649="",-1,IF($J1649=Setup!$B$7,1,IF($J1649=Setup!$B$9,0,-1)))</f>
        <v>-1</v>
      </c>
      <c r="S1649" s="35" t="n">
        <f aca="false">IF(OR($A1649="",$Q1649=0,$R1649=-1),0,$Q1649*1000+$R1649*100+$K1649)</f>
        <v>0</v>
      </c>
      <c r="T1649" s="37" t="str">
        <f aca="false">IF($A1649="","",IF($B1649="","NO ACCOUNT",IF($Q1649=0,"UNMAPPED",IF($R1649=-1,"OUTSIDE FY RANGE","OK"))))</f>
        <v/>
      </c>
      <c r="U1649" s="40" t="str">
        <f aca="false">IF($A1649="","",$B1649&amp;"|"&amp;TEXT($A1649,"yyyymmdd")&amp;"|"&amp;TEXT($I1649,"0.00"))</f>
        <v/>
      </c>
      <c r="V1649" s="35" t="str">
        <f aca="false">IF($A1649="","",COUNTIF($U$8:$U$5007,$U1649))</f>
        <v/>
      </c>
    </row>
    <row r="1650" customFormat="false" ht="15" hidden="false" customHeight="false" outlineLevel="0" collapsed="false">
      <c r="A1650" s="31"/>
      <c r="B1650" s="32"/>
      <c r="C1650" s="32"/>
      <c r="D1650" s="32"/>
      <c r="E1650" s="32"/>
      <c r="F1650" s="32"/>
      <c r="G1650" s="33"/>
      <c r="H1650" s="33"/>
      <c r="I1650" s="34" t="str">
        <f aca="false">IF($A1650="","",$G1650-$H1650)</f>
        <v/>
      </c>
      <c r="J1650" s="35" t="str">
        <f aca="false">IF($A1650="","",IF(Setup!$B$6=1,YEAR($A1650),YEAR($A1650)+IF(MONTH($A1650)&gt;=Setup!$B$6,1,0)))</f>
        <v/>
      </c>
      <c r="K1650" s="35" t="str">
        <f aca="false">IF($A1650="","",MOD(MONTH($A1650)-Setup!$B$6+12,12)+1)</f>
        <v/>
      </c>
      <c r="L1650" s="36" t="str">
        <f aca="false">IF($A1650="","",TEXT($A1650,"MMM-YY"))</f>
        <v/>
      </c>
      <c r="M1650" s="37" t="str">
        <f aca="false">IF($A1650="","",IF($Q1650=0,"UNMAPPED",INDEX(COA_Mapping!$C$7:$C$256,$Q1650)))</f>
        <v/>
      </c>
      <c r="N1650" s="38" t="str">
        <f aca="false">IF($A1650="","",IF($Q1650=0,"",INDEX(COA_Mapping!$E$7:$E$256,$Q1650)))</f>
        <v/>
      </c>
      <c r="O1650" s="38" t="n">
        <f aca="false">IF($A1650="",1,IF($Q1650=0,1,INDEX(COA_Mapping!$F$7:$F$256,$Q1650)))</f>
        <v>1</v>
      </c>
      <c r="P1650" s="34" t="str">
        <f aca="false">IF($A1650="","",$I1650*$O1650)</f>
        <v/>
      </c>
      <c r="Q1650" s="39" t="n">
        <f aca="false">IF($B1650="",0,IFERROR(MATCH($B1650,COA_Mapping!$A$7:$A$256,0),0))</f>
        <v>0</v>
      </c>
      <c r="R1650" s="39" t="n">
        <f aca="false">IF($A1650="",-1,IF($J1650=Setup!$B$7,1,IF($J1650=Setup!$B$9,0,-1)))</f>
        <v>-1</v>
      </c>
      <c r="S1650" s="35" t="n">
        <f aca="false">IF(OR($A1650="",$Q1650=0,$R1650=-1),0,$Q1650*1000+$R1650*100+$K1650)</f>
        <v>0</v>
      </c>
      <c r="T1650" s="37" t="str">
        <f aca="false">IF($A1650="","",IF($B1650="","NO ACCOUNT",IF($Q1650=0,"UNMAPPED",IF($R1650=-1,"OUTSIDE FY RANGE","OK"))))</f>
        <v/>
      </c>
      <c r="U1650" s="40" t="str">
        <f aca="false">IF($A1650="","",$B1650&amp;"|"&amp;TEXT($A1650,"yyyymmdd")&amp;"|"&amp;TEXT($I1650,"0.00"))</f>
        <v/>
      </c>
      <c r="V1650" s="35" t="str">
        <f aca="false">IF($A1650="","",COUNTIF($U$8:$U$5007,$U1650))</f>
        <v/>
      </c>
    </row>
    <row r="1651" customFormat="false" ht="15" hidden="false" customHeight="false" outlineLevel="0" collapsed="false">
      <c r="A1651" s="31"/>
      <c r="B1651" s="32"/>
      <c r="C1651" s="32"/>
      <c r="D1651" s="32"/>
      <c r="E1651" s="32"/>
      <c r="F1651" s="32"/>
      <c r="G1651" s="33"/>
      <c r="H1651" s="33"/>
      <c r="I1651" s="34" t="str">
        <f aca="false">IF($A1651="","",$G1651-$H1651)</f>
        <v/>
      </c>
      <c r="J1651" s="35" t="str">
        <f aca="false">IF($A1651="","",IF(Setup!$B$6=1,YEAR($A1651),YEAR($A1651)+IF(MONTH($A1651)&gt;=Setup!$B$6,1,0)))</f>
        <v/>
      </c>
      <c r="K1651" s="35" t="str">
        <f aca="false">IF($A1651="","",MOD(MONTH($A1651)-Setup!$B$6+12,12)+1)</f>
        <v/>
      </c>
      <c r="L1651" s="36" t="str">
        <f aca="false">IF($A1651="","",TEXT($A1651,"MMM-YY"))</f>
        <v/>
      </c>
      <c r="M1651" s="37" t="str">
        <f aca="false">IF($A1651="","",IF($Q1651=0,"UNMAPPED",INDEX(COA_Mapping!$C$7:$C$256,$Q1651)))</f>
        <v/>
      </c>
      <c r="N1651" s="38" t="str">
        <f aca="false">IF($A1651="","",IF($Q1651=0,"",INDEX(COA_Mapping!$E$7:$E$256,$Q1651)))</f>
        <v/>
      </c>
      <c r="O1651" s="38" t="n">
        <f aca="false">IF($A1651="",1,IF($Q1651=0,1,INDEX(COA_Mapping!$F$7:$F$256,$Q1651)))</f>
        <v>1</v>
      </c>
      <c r="P1651" s="34" t="str">
        <f aca="false">IF($A1651="","",$I1651*$O1651)</f>
        <v/>
      </c>
      <c r="Q1651" s="39" t="n">
        <f aca="false">IF($B1651="",0,IFERROR(MATCH($B1651,COA_Mapping!$A$7:$A$256,0),0))</f>
        <v>0</v>
      </c>
      <c r="R1651" s="39" t="n">
        <f aca="false">IF($A1651="",-1,IF($J1651=Setup!$B$7,1,IF($J1651=Setup!$B$9,0,-1)))</f>
        <v>-1</v>
      </c>
      <c r="S1651" s="35" t="n">
        <f aca="false">IF(OR($A1651="",$Q1651=0,$R1651=-1),0,$Q1651*1000+$R1651*100+$K1651)</f>
        <v>0</v>
      </c>
      <c r="T1651" s="37" t="str">
        <f aca="false">IF($A1651="","",IF($B1651="","NO ACCOUNT",IF($Q1651=0,"UNMAPPED",IF($R1651=-1,"OUTSIDE FY RANGE","OK"))))</f>
        <v/>
      </c>
      <c r="U1651" s="40" t="str">
        <f aca="false">IF($A1651="","",$B1651&amp;"|"&amp;TEXT($A1651,"yyyymmdd")&amp;"|"&amp;TEXT($I1651,"0.00"))</f>
        <v/>
      </c>
      <c r="V1651" s="35" t="str">
        <f aca="false">IF($A1651="","",COUNTIF($U$8:$U$5007,$U1651))</f>
        <v/>
      </c>
    </row>
    <row r="1652" customFormat="false" ht="15" hidden="false" customHeight="false" outlineLevel="0" collapsed="false">
      <c r="A1652" s="31"/>
      <c r="B1652" s="32"/>
      <c r="C1652" s="32"/>
      <c r="D1652" s="32"/>
      <c r="E1652" s="32"/>
      <c r="F1652" s="32"/>
      <c r="G1652" s="33"/>
      <c r="H1652" s="33"/>
      <c r="I1652" s="34" t="str">
        <f aca="false">IF($A1652="","",$G1652-$H1652)</f>
        <v/>
      </c>
      <c r="J1652" s="35" t="str">
        <f aca="false">IF($A1652="","",IF(Setup!$B$6=1,YEAR($A1652),YEAR($A1652)+IF(MONTH($A1652)&gt;=Setup!$B$6,1,0)))</f>
        <v/>
      </c>
      <c r="K1652" s="35" t="str">
        <f aca="false">IF($A1652="","",MOD(MONTH($A1652)-Setup!$B$6+12,12)+1)</f>
        <v/>
      </c>
      <c r="L1652" s="36" t="str">
        <f aca="false">IF($A1652="","",TEXT($A1652,"MMM-YY"))</f>
        <v/>
      </c>
      <c r="M1652" s="37" t="str">
        <f aca="false">IF($A1652="","",IF($Q1652=0,"UNMAPPED",INDEX(COA_Mapping!$C$7:$C$256,$Q1652)))</f>
        <v/>
      </c>
      <c r="N1652" s="38" t="str">
        <f aca="false">IF($A1652="","",IF($Q1652=0,"",INDEX(COA_Mapping!$E$7:$E$256,$Q1652)))</f>
        <v/>
      </c>
      <c r="O1652" s="38" t="n">
        <f aca="false">IF($A1652="",1,IF($Q1652=0,1,INDEX(COA_Mapping!$F$7:$F$256,$Q1652)))</f>
        <v>1</v>
      </c>
      <c r="P1652" s="34" t="str">
        <f aca="false">IF($A1652="","",$I1652*$O1652)</f>
        <v/>
      </c>
      <c r="Q1652" s="39" t="n">
        <f aca="false">IF($B1652="",0,IFERROR(MATCH($B1652,COA_Mapping!$A$7:$A$256,0),0))</f>
        <v>0</v>
      </c>
      <c r="R1652" s="39" t="n">
        <f aca="false">IF($A1652="",-1,IF($J1652=Setup!$B$7,1,IF($J1652=Setup!$B$9,0,-1)))</f>
        <v>-1</v>
      </c>
      <c r="S1652" s="35" t="n">
        <f aca="false">IF(OR($A1652="",$Q1652=0,$R1652=-1),0,$Q1652*1000+$R1652*100+$K1652)</f>
        <v>0</v>
      </c>
      <c r="T1652" s="37" t="str">
        <f aca="false">IF($A1652="","",IF($B1652="","NO ACCOUNT",IF($Q1652=0,"UNMAPPED",IF($R1652=-1,"OUTSIDE FY RANGE","OK"))))</f>
        <v/>
      </c>
      <c r="U1652" s="40" t="str">
        <f aca="false">IF($A1652="","",$B1652&amp;"|"&amp;TEXT($A1652,"yyyymmdd")&amp;"|"&amp;TEXT($I1652,"0.00"))</f>
        <v/>
      </c>
      <c r="V1652" s="35" t="str">
        <f aca="false">IF($A1652="","",COUNTIF($U$8:$U$5007,$U1652))</f>
        <v/>
      </c>
    </row>
    <row r="1653" customFormat="false" ht="15" hidden="false" customHeight="false" outlineLevel="0" collapsed="false">
      <c r="A1653" s="31"/>
      <c r="B1653" s="32"/>
      <c r="C1653" s="32"/>
      <c r="D1653" s="32"/>
      <c r="E1653" s="32"/>
      <c r="F1653" s="32"/>
      <c r="G1653" s="33"/>
      <c r="H1653" s="33"/>
      <c r="I1653" s="34" t="str">
        <f aca="false">IF($A1653="","",$G1653-$H1653)</f>
        <v/>
      </c>
      <c r="J1653" s="35" t="str">
        <f aca="false">IF($A1653="","",IF(Setup!$B$6=1,YEAR($A1653),YEAR($A1653)+IF(MONTH($A1653)&gt;=Setup!$B$6,1,0)))</f>
        <v/>
      </c>
      <c r="K1653" s="35" t="str">
        <f aca="false">IF($A1653="","",MOD(MONTH($A1653)-Setup!$B$6+12,12)+1)</f>
        <v/>
      </c>
      <c r="L1653" s="36" t="str">
        <f aca="false">IF($A1653="","",TEXT($A1653,"MMM-YY"))</f>
        <v/>
      </c>
      <c r="M1653" s="37" t="str">
        <f aca="false">IF($A1653="","",IF($Q1653=0,"UNMAPPED",INDEX(COA_Mapping!$C$7:$C$256,$Q1653)))</f>
        <v/>
      </c>
      <c r="N1653" s="38" t="str">
        <f aca="false">IF($A1653="","",IF($Q1653=0,"",INDEX(COA_Mapping!$E$7:$E$256,$Q1653)))</f>
        <v/>
      </c>
      <c r="O1653" s="38" t="n">
        <f aca="false">IF($A1653="",1,IF($Q1653=0,1,INDEX(COA_Mapping!$F$7:$F$256,$Q1653)))</f>
        <v>1</v>
      </c>
      <c r="P1653" s="34" t="str">
        <f aca="false">IF($A1653="","",$I1653*$O1653)</f>
        <v/>
      </c>
      <c r="Q1653" s="39" t="n">
        <f aca="false">IF($B1653="",0,IFERROR(MATCH($B1653,COA_Mapping!$A$7:$A$256,0),0))</f>
        <v>0</v>
      </c>
      <c r="R1653" s="39" t="n">
        <f aca="false">IF($A1653="",-1,IF($J1653=Setup!$B$7,1,IF($J1653=Setup!$B$9,0,-1)))</f>
        <v>-1</v>
      </c>
      <c r="S1653" s="35" t="n">
        <f aca="false">IF(OR($A1653="",$Q1653=0,$R1653=-1),0,$Q1653*1000+$R1653*100+$K1653)</f>
        <v>0</v>
      </c>
      <c r="T1653" s="37" t="str">
        <f aca="false">IF($A1653="","",IF($B1653="","NO ACCOUNT",IF($Q1653=0,"UNMAPPED",IF($R1653=-1,"OUTSIDE FY RANGE","OK"))))</f>
        <v/>
      </c>
      <c r="U1653" s="40" t="str">
        <f aca="false">IF($A1653="","",$B1653&amp;"|"&amp;TEXT($A1653,"yyyymmdd")&amp;"|"&amp;TEXT($I1653,"0.00"))</f>
        <v/>
      </c>
      <c r="V1653" s="35" t="str">
        <f aca="false">IF($A1653="","",COUNTIF($U$8:$U$5007,$U1653))</f>
        <v/>
      </c>
    </row>
    <row r="1654" customFormat="false" ht="15" hidden="false" customHeight="false" outlineLevel="0" collapsed="false">
      <c r="A1654" s="31"/>
      <c r="B1654" s="32"/>
      <c r="C1654" s="32"/>
      <c r="D1654" s="32"/>
      <c r="E1654" s="32"/>
      <c r="F1654" s="32"/>
      <c r="G1654" s="33"/>
      <c r="H1654" s="33"/>
      <c r="I1654" s="34" t="str">
        <f aca="false">IF($A1654="","",$G1654-$H1654)</f>
        <v/>
      </c>
      <c r="J1654" s="35" t="str">
        <f aca="false">IF($A1654="","",IF(Setup!$B$6=1,YEAR($A1654),YEAR($A1654)+IF(MONTH($A1654)&gt;=Setup!$B$6,1,0)))</f>
        <v/>
      </c>
      <c r="K1654" s="35" t="str">
        <f aca="false">IF($A1654="","",MOD(MONTH($A1654)-Setup!$B$6+12,12)+1)</f>
        <v/>
      </c>
      <c r="L1654" s="36" t="str">
        <f aca="false">IF($A1654="","",TEXT($A1654,"MMM-YY"))</f>
        <v/>
      </c>
      <c r="M1654" s="37" t="str">
        <f aca="false">IF($A1654="","",IF($Q1654=0,"UNMAPPED",INDEX(COA_Mapping!$C$7:$C$256,$Q1654)))</f>
        <v/>
      </c>
      <c r="N1654" s="38" t="str">
        <f aca="false">IF($A1654="","",IF($Q1654=0,"",INDEX(COA_Mapping!$E$7:$E$256,$Q1654)))</f>
        <v/>
      </c>
      <c r="O1654" s="38" t="n">
        <f aca="false">IF($A1654="",1,IF($Q1654=0,1,INDEX(COA_Mapping!$F$7:$F$256,$Q1654)))</f>
        <v>1</v>
      </c>
      <c r="P1654" s="34" t="str">
        <f aca="false">IF($A1654="","",$I1654*$O1654)</f>
        <v/>
      </c>
      <c r="Q1654" s="39" t="n">
        <f aca="false">IF($B1654="",0,IFERROR(MATCH($B1654,COA_Mapping!$A$7:$A$256,0),0))</f>
        <v>0</v>
      </c>
      <c r="R1654" s="39" t="n">
        <f aca="false">IF($A1654="",-1,IF($J1654=Setup!$B$7,1,IF($J1654=Setup!$B$9,0,-1)))</f>
        <v>-1</v>
      </c>
      <c r="S1654" s="35" t="n">
        <f aca="false">IF(OR($A1654="",$Q1654=0,$R1654=-1),0,$Q1654*1000+$R1654*100+$K1654)</f>
        <v>0</v>
      </c>
      <c r="T1654" s="37" t="str">
        <f aca="false">IF($A1654="","",IF($B1654="","NO ACCOUNT",IF($Q1654=0,"UNMAPPED",IF($R1654=-1,"OUTSIDE FY RANGE","OK"))))</f>
        <v/>
      </c>
      <c r="U1654" s="40" t="str">
        <f aca="false">IF($A1654="","",$B1654&amp;"|"&amp;TEXT($A1654,"yyyymmdd")&amp;"|"&amp;TEXT($I1654,"0.00"))</f>
        <v/>
      </c>
      <c r="V1654" s="35" t="str">
        <f aca="false">IF($A1654="","",COUNTIF($U$8:$U$5007,$U1654))</f>
        <v/>
      </c>
    </row>
    <row r="1655" customFormat="false" ht="15" hidden="false" customHeight="false" outlineLevel="0" collapsed="false">
      <c r="A1655" s="31"/>
      <c r="B1655" s="32"/>
      <c r="C1655" s="32"/>
      <c r="D1655" s="32"/>
      <c r="E1655" s="32"/>
      <c r="F1655" s="32"/>
      <c r="G1655" s="33"/>
      <c r="H1655" s="33"/>
      <c r="I1655" s="34" t="str">
        <f aca="false">IF($A1655="","",$G1655-$H1655)</f>
        <v/>
      </c>
      <c r="J1655" s="35" t="str">
        <f aca="false">IF($A1655="","",IF(Setup!$B$6=1,YEAR($A1655),YEAR($A1655)+IF(MONTH($A1655)&gt;=Setup!$B$6,1,0)))</f>
        <v/>
      </c>
      <c r="K1655" s="35" t="str">
        <f aca="false">IF($A1655="","",MOD(MONTH($A1655)-Setup!$B$6+12,12)+1)</f>
        <v/>
      </c>
      <c r="L1655" s="36" t="str">
        <f aca="false">IF($A1655="","",TEXT($A1655,"MMM-YY"))</f>
        <v/>
      </c>
      <c r="M1655" s="37" t="str">
        <f aca="false">IF($A1655="","",IF($Q1655=0,"UNMAPPED",INDEX(COA_Mapping!$C$7:$C$256,$Q1655)))</f>
        <v/>
      </c>
      <c r="N1655" s="38" t="str">
        <f aca="false">IF($A1655="","",IF($Q1655=0,"",INDEX(COA_Mapping!$E$7:$E$256,$Q1655)))</f>
        <v/>
      </c>
      <c r="O1655" s="38" t="n">
        <f aca="false">IF($A1655="",1,IF($Q1655=0,1,INDEX(COA_Mapping!$F$7:$F$256,$Q1655)))</f>
        <v>1</v>
      </c>
      <c r="P1655" s="34" t="str">
        <f aca="false">IF($A1655="","",$I1655*$O1655)</f>
        <v/>
      </c>
      <c r="Q1655" s="39" t="n">
        <f aca="false">IF($B1655="",0,IFERROR(MATCH($B1655,COA_Mapping!$A$7:$A$256,0),0))</f>
        <v>0</v>
      </c>
      <c r="R1655" s="39" t="n">
        <f aca="false">IF($A1655="",-1,IF($J1655=Setup!$B$7,1,IF($J1655=Setup!$B$9,0,-1)))</f>
        <v>-1</v>
      </c>
      <c r="S1655" s="35" t="n">
        <f aca="false">IF(OR($A1655="",$Q1655=0,$R1655=-1),0,$Q1655*1000+$R1655*100+$K1655)</f>
        <v>0</v>
      </c>
      <c r="T1655" s="37" t="str">
        <f aca="false">IF($A1655="","",IF($B1655="","NO ACCOUNT",IF($Q1655=0,"UNMAPPED",IF($R1655=-1,"OUTSIDE FY RANGE","OK"))))</f>
        <v/>
      </c>
      <c r="U1655" s="40" t="str">
        <f aca="false">IF($A1655="","",$B1655&amp;"|"&amp;TEXT($A1655,"yyyymmdd")&amp;"|"&amp;TEXT($I1655,"0.00"))</f>
        <v/>
      </c>
      <c r="V1655" s="35" t="str">
        <f aca="false">IF($A1655="","",COUNTIF($U$8:$U$5007,$U1655))</f>
        <v/>
      </c>
    </row>
    <row r="1656" customFormat="false" ht="15" hidden="false" customHeight="false" outlineLevel="0" collapsed="false">
      <c r="A1656" s="31"/>
      <c r="B1656" s="32"/>
      <c r="C1656" s="32"/>
      <c r="D1656" s="32"/>
      <c r="E1656" s="32"/>
      <c r="F1656" s="32"/>
      <c r="G1656" s="33"/>
      <c r="H1656" s="33"/>
      <c r="I1656" s="34" t="str">
        <f aca="false">IF($A1656="","",$G1656-$H1656)</f>
        <v/>
      </c>
      <c r="J1656" s="35" t="str">
        <f aca="false">IF($A1656="","",IF(Setup!$B$6=1,YEAR($A1656),YEAR($A1656)+IF(MONTH($A1656)&gt;=Setup!$B$6,1,0)))</f>
        <v/>
      </c>
      <c r="K1656" s="35" t="str">
        <f aca="false">IF($A1656="","",MOD(MONTH($A1656)-Setup!$B$6+12,12)+1)</f>
        <v/>
      </c>
      <c r="L1656" s="36" t="str">
        <f aca="false">IF($A1656="","",TEXT($A1656,"MMM-YY"))</f>
        <v/>
      </c>
      <c r="M1656" s="37" t="str">
        <f aca="false">IF($A1656="","",IF($Q1656=0,"UNMAPPED",INDEX(COA_Mapping!$C$7:$C$256,$Q1656)))</f>
        <v/>
      </c>
      <c r="N1656" s="38" t="str">
        <f aca="false">IF($A1656="","",IF($Q1656=0,"",INDEX(COA_Mapping!$E$7:$E$256,$Q1656)))</f>
        <v/>
      </c>
      <c r="O1656" s="38" t="n">
        <f aca="false">IF($A1656="",1,IF($Q1656=0,1,INDEX(COA_Mapping!$F$7:$F$256,$Q1656)))</f>
        <v>1</v>
      </c>
      <c r="P1656" s="34" t="str">
        <f aca="false">IF($A1656="","",$I1656*$O1656)</f>
        <v/>
      </c>
      <c r="Q1656" s="39" t="n">
        <f aca="false">IF($B1656="",0,IFERROR(MATCH($B1656,COA_Mapping!$A$7:$A$256,0),0))</f>
        <v>0</v>
      </c>
      <c r="R1656" s="39" t="n">
        <f aca="false">IF($A1656="",-1,IF($J1656=Setup!$B$7,1,IF($J1656=Setup!$B$9,0,-1)))</f>
        <v>-1</v>
      </c>
      <c r="S1656" s="35" t="n">
        <f aca="false">IF(OR($A1656="",$Q1656=0,$R1656=-1),0,$Q1656*1000+$R1656*100+$K1656)</f>
        <v>0</v>
      </c>
      <c r="T1656" s="37" t="str">
        <f aca="false">IF($A1656="","",IF($B1656="","NO ACCOUNT",IF($Q1656=0,"UNMAPPED",IF($R1656=-1,"OUTSIDE FY RANGE","OK"))))</f>
        <v/>
      </c>
      <c r="U1656" s="40" t="str">
        <f aca="false">IF($A1656="","",$B1656&amp;"|"&amp;TEXT($A1656,"yyyymmdd")&amp;"|"&amp;TEXT($I1656,"0.00"))</f>
        <v/>
      </c>
      <c r="V1656" s="35" t="str">
        <f aca="false">IF($A1656="","",COUNTIF($U$8:$U$5007,$U1656))</f>
        <v/>
      </c>
    </row>
    <row r="1657" customFormat="false" ht="15" hidden="false" customHeight="false" outlineLevel="0" collapsed="false">
      <c r="A1657" s="31"/>
      <c r="B1657" s="32"/>
      <c r="C1657" s="32"/>
      <c r="D1657" s="32"/>
      <c r="E1657" s="32"/>
      <c r="F1657" s="32"/>
      <c r="G1657" s="33"/>
      <c r="H1657" s="33"/>
      <c r="I1657" s="34" t="str">
        <f aca="false">IF($A1657="","",$G1657-$H1657)</f>
        <v/>
      </c>
      <c r="J1657" s="35" t="str">
        <f aca="false">IF($A1657="","",IF(Setup!$B$6=1,YEAR($A1657),YEAR($A1657)+IF(MONTH($A1657)&gt;=Setup!$B$6,1,0)))</f>
        <v/>
      </c>
      <c r="K1657" s="35" t="str">
        <f aca="false">IF($A1657="","",MOD(MONTH($A1657)-Setup!$B$6+12,12)+1)</f>
        <v/>
      </c>
      <c r="L1657" s="36" t="str">
        <f aca="false">IF($A1657="","",TEXT($A1657,"MMM-YY"))</f>
        <v/>
      </c>
      <c r="M1657" s="37" t="str">
        <f aca="false">IF($A1657="","",IF($Q1657=0,"UNMAPPED",INDEX(COA_Mapping!$C$7:$C$256,$Q1657)))</f>
        <v/>
      </c>
      <c r="N1657" s="38" t="str">
        <f aca="false">IF($A1657="","",IF($Q1657=0,"",INDEX(COA_Mapping!$E$7:$E$256,$Q1657)))</f>
        <v/>
      </c>
      <c r="O1657" s="38" t="n">
        <f aca="false">IF($A1657="",1,IF($Q1657=0,1,INDEX(COA_Mapping!$F$7:$F$256,$Q1657)))</f>
        <v>1</v>
      </c>
      <c r="P1657" s="34" t="str">
        <f aca="false">IF($A1657="","",$I1657*$O1657)</f>
        <v/>
      </c>
      <c r="Q1657" s="39" t="n">
        <f aca="false">IF($B1657="",0,IFERROR(MATCH($B1657,COA_Mapping!$A$7:$A$256,0),0))</f>
        <v>0</v>
      </c>
      <c r="R1657" s="39" t="n">
        <f aca="false">IF($A1657="",-1,IF($J1657=Setup!$B$7,1,IF($J1657=Setup!$B$9,0,-1)))</f>
        <v>-1</v>
      </c>
      <c r="S1657" s="35" t="n">
        <f aca="false">IF(OR($A1657="",$Q1657=0,$R1657=-1),0,$Q1657*1000+$R1657*100+$K1657)</f>
        <v>0</v>
      </c>
      <c r="T1657" s="37" t="str">
        <f aca="false">IF($A1657="","",IF($B1657="","NO ACCOUNT",IF($Q1657=0,"UNMAPPED",IF($R1657=-1,"OUTSIDE FY RANGE","OK"))))</f>
        <v/>
      </c>
      <c r="U1657" s="40" t="str">
        <f aca="false">IF($A1657="","",$B1657&amp;"|"&amp;TEXT($A1657,"yyyymmdd")&amp;"|"&amp;TEXT($I1657,"0.00"))</f>
        <v/>
      </c>
      <c r="V1657" s="35" t="str">
        <f aca="false">IF($A1657="","",COUNTIF($U$8:$U$5007,$U1657))</f>
        <v/>
      </c>
    </row>
    <row r="1658" customFormat="false" ht="15" hidden="false" customHeight="false" outlineLevel="0" collapsed="false">
      <c r="A1658" s="31"/>
      <c r="B1658" s="32"/>
      <c r="C1658" s="32"/>
      <c r="D1658" s="32"/>
      <c r="E1658" s="32"/>
      <c r="F1658" s="32"/>
      <c r="G1658" s="33"/>
      <c r="H1658" s="33"/>
      <c r="I1658" s="34" t="str">
        <f aca="false">IF($A1658="","",$G1658-$H1658)</f>
        <v/>
      </c>
      <c r="J1658" s="35" t="str">
        <f aca="false">IF($A1658="","",IF(Setup!$B$6=1,YEAR($A1658),YEAR($A1658)+IF(MONTH($A1658)&gt;=Setup!$B$6,1,0)))</f>
        <v/>
      </c>
      <c r="K1658" s="35" t="str">
        <f aca="false">IF($A1658="","",MOD(MONTH($A1658)-Setup!$B$6+12,12)+1)</f>
        <v/>
      </c>
      <c r="L1658" s="36" t="str">
        <f aca="false">IF($A1658="","",TEXT($A1658,"MMM-YY"))</f>
        <v/>
      </c>
      <c r="M1658" s="37" t="str">
        <f aca="false">IF($A1658="","",IF($Q1658=0,"UNMAPPED",INDEX(COA_Mapping!$C$7:$C$256,$Q1658)))</f>
        <v/>
      </c>
      <c r="N1658" s="38" t="str">
        <f aca="false">IF($A1658="","",IF($Q1658=0,"",INDEX(COA_Mapping!$E$7:$E$256,$Q1658)))</f>
        <v/>
      </c>
      <c r="O1658" s="38" t="n">
        <f aca="false">IF($A1658="",1,IF($Q1658=0,1,INDEX(COA_Mapping!$F$7:$F$256,$Q1658)))</f>
        <v>1</v>
      </c>
      <c r="P1658" s="34" t="str">
        <f aca="false">IF($A1658="","",$I1658*$O1658)</f>
        <v/>
      </c>
      <c r="Q1658" s="39" t="n">
        <f aca="false">IF($B1658="",0,IFERROR(MATCH($B1658,COA_Mapping!$A$7:$A$256,0),0))</f>
        <v>0</v>
      </c>
      <c r="R1658" s="39" t="n">
        <f aca="false">IF($A1658="",-1,IF($J1658=Setup!$B$7,1,IF($J1658=Setup!$B$9,0,-1)))</f>
        <v>-1</v>
      </c>
      <c r="S1658" s="35" t="n">
        <f aca="false">IF(OR($A1658="",$Q1658=0,$R1658=-1),0,$Q1658*1000+$R1658*100+$K1658)</f>
        <v>0</v>
      </c>
      <c r="T1658" s="37" t="str">
        <f aca="false">IF($A1658="","",IF($B1658="","NO ACCOUNT",IF($Q1658=0,"UNMAPPED",IF($R1658=-1,"OUTSIDE FY RANGE","OK"))))</f>
        <v/>
      </c>
      <c r="U1658" s="40" t="str">
        <f aca="false">IF($A1658="","",$B1658&amp;"|"&amp;TEXT($A1658,"yyyymmdd")&amp;"|"&amp;TEXT($I1658,"0.00"))</f>
        <v/>
      </c>
      <c r="V1658" s="35" t="str">
        <f aca="false">IF($A1658="","",COUNTIF($U$8:$U$5007,$U1658))</f>
        <v/>
      </c>
    </row>
    <row r="1659" customFormat="false" ht="15" hidden="false" customHeight="false" outlineLevel="0" collapsed="false">
      <c r="A1659" s="31"/>
      <c r="B1659" s="32"/>
      <c r="C1659" s="32"/>
      <c r="D1659" s="32"/>
      <c r="E1659" s="32"/>
      <c r="F1659" s="32"/>
      <c r="G1659" s="33"/>
      <c r="H1659" s="33"/>
      <c r="I1659" s="34" t="str">
        <f aca="false">IF($A1659="","",$G1659-$H1659)</f>
        <v/>
      </c>
      <c r="J1659" s="35" t="str">
        <f aca="false">IF($A1659="","",IF(Setup!$B$6=1,YEAR($A1659),YEAR($A1659)+IF(MONTH($A1659)&gt;=Setup!$B$6,1,0)))</f>
        <v/>
      </c>
      <c r="K1659" s="35" t="str">
        <f aca="false">IF($A1659="","",MOD(MONTH($A1659)-Setup!$B$6+12,12)+1)</f>
        <v/>
      </c>
      <c r="L1659" s="36" t="str">
        <f aca="false">IF($A1659="","",TEXT($A1659,"MMM-YY"))</f>
        <v/>
      </c>
      <c r="M1659" s="37" t="str">
        <f aca="false">IF($A1659="","",IF($Q1659=0,"UNMAPPED",INDEX(COA_Mapping!$C$7:$C$256,$Q1659)))</f>
        <v/>
      </c>
      <c r="N1659" s="38" t="str">
        <f aca="false">IF($A1659="","",IF($Q1659=0,"",INDEX(COA_Mapping!$E$7:$E$256,$Q1659)))</f>
        <v/>
      </c>
      <c r="O1659" s="38" t="n">
        <f aca="false">IF($A1659="",1,IF($Q1659=0,1,INDEX(COA_Mapping!$F$7:$F$256,$Q1659)))</f>
        <v>1</v>
      </c>
      <c r="P1659" s="34" t="str">
        <f aca="false">IF($A1659="","",$I1659*$O1659)</f>
        <v/>
      </c>
      <c r="Q1659" s="39" t="n">
        <f aca="false">IF($B1659="",0,IFERROR(MATCH($B1659,COA_Mapping!$A$7:$A$256,0),0))</f>
        <v>0</v>
      </c>
      <c r="R1659" s="39" t="n">
        <f aca="false">IF($A1659="",-1,IF($J1659=Setup!$B$7,1,IF($J1659=Setup!$B$9,0,-1)))</f>
        <v>-1</v>
      </c>
      <c r="S1659" s="35" t="n">
        <f aca="false">IF(OR($A1659="",$Q1659=0,$R1659=-1),0,$Q1659*1000+$R1659*100+$K1659)</f>
        <v>0</v>
      </c>
      <c r="T1659" s="37" t="str">
        <f aca="false">IF($A1659="","",IF($B1659="","NO ACCOUNT",IF($Q1659=0,"UNMAPPED",IF($R1659=-1,"OUTSIDE FY RANGE","OK"))))</f>
        <v/>
      </c>
      <c r="U1659" s="40" t="str">
        <f aca="false">IF($A1659="","",$B1659&amp;"|"&amp;TEXT($A1659,"yyyymmdd")&amp;"|"&amp;TEXT($I1659,"0.00"))</f>
        <v/>
      </c>
      <c r="V1659" s="35" t="str">
        <f aca="false">IF($A1659="","",COUNTIF($U$8:$U$5007,$U1659))</f>
        <v/>
      </c>
    </row>
    <row r="1660" customFormat="false" ht="15" hidden="false" customHeight="false" outlineLevel="0" collapsed="false">
      <c r="A1660" s="31"/>
      <c r="B1660" s="32"/>
      <c r="C1660" s="32"/>
      <c r="D1660" s="32"/>
      <c r="E1660" s="32"/>
      <c r="F1660" s="32"/>
      <c r="G1660" s="33"/>
      <c r="H1660" s="33"/>
      <c r="I1660" s="34" t="str">
        <f aca="false">IF($A1660="","",$G1660-$H1660)</f>
        <v/>
      </c>
      <c r="J1660" s="35" t="str">
        <f aca="false">IF($A1660="","",IF(Setup!$B$6=1,YEAR($A1660),YEAR($A1660)+IF(MONTH($A1660)&gt;=Setup!$B$6,1,0)))</f>
        <v/>
      </c>
      <c r="K1660" s="35" t="str">
        <f aca="false">IF($A1660="","",MOD(MONTH($A1660)-Setup!$B$6+12,12)+1)</f>
        <v/>
      </c>
      <c r="L1660" s="36" t="str">
        <f aca="false">IF($A1660="","",TEXT($A1660,"MMM-YY"))</f>
        <v/>
      </c>
      <c r="M1660" s="37" t="str">
        <f aca="false">IF($A1660="","",IF($Q1660=0,"UNMAPPED",INDEX(COA_Mapping!$C$7:$C$256,$Q1660)))</f>
        <v/>
      </c>
      <c r="N1660" s="38" t="str">
        <f aca="false">IF($A1660="","",IF($Q1660=0,"",INDEX(COA_Mapping!$E$7:$E$256,$Q1660)))</f>
        <v/>
      </c>
      <c r="O1660" s="38" t="n">
        <f aca="false">IF($A1660="",1,IF($Q1660=0,1,INDEX(COA_Mapping!$F$7:$F$256,$Q1660)))</f>
        <v>1</v>
      </c>
      <c r="P1660" s="34" t="str">
        <f aca="false">IF($A1660="","",$I1660*$O1660)</f>
        <v/>
      </c>
      <c r="Q1660" s="39" t="n">
        <f aca="false">IF($B1660="",0,IFERROR(MATCH($B1660,COA_Mapping!$A$7:$A$256,0),0))</f>
        <v>0</v>
      </c>
      <c r="R1660" s="39" t="n">
        <f aca="false">IF($A1660="",-1,IF($J1660=Setup!$B$7,1,IF($J1660=Setup!$B$9,0,-1)))</f>
        <v>-1</v>
      </c>
      <c r="S1660" s="35" t="n">
        <f aca="false">IF(OR($A1660="",$Q1660=0,$R1660=-1),0,$Q1660*1000+$R1660*100+$K1660)</f>
        <v>0</v>
      </c>
      <c r="T1660" s="37" t="str">
        <f aca="false">IF($A1660="","",IF($B1660="","NO ACCOUNT",IF($Q1660=0,"UNMAPPED",IF($R1660=-1,"OUTSIDE FY RANGE","OK"))))</f>
        <v/>
      </c>
      <c r="U1660" s="40" t="str">
        <f aca="false">IF($A1660="","",$B1660&amp;"|"&amp;TEXT($A1660,"yyyymmdd")&amp;"|"&amp;TEXT($I1660,"0.00"))</f>
        <v/>
      </c>
      <c r="V1660" s="35" t="str">
        <f aca="false">IF($A1660="","",COUNTIF($U$8:$U$5007,$U1660))</f>
        <v/>
      </c>
    </row>
    <row r="1661" customFormat="false" ht="15" hidden="false" customHeight="false" outlineLevel="0" collapsed="false">
      <c r="A1661" s="31"/>
      <c r="B1661" s="32"/>
      <c r="C1661" s="32"/>
      <c r="D1661" s="32"/>
      <c r="E1661" s="32"/>
      <c r="F1661" s="32"/>
      <c r="G1661" s="33"/>
      <c r="H1661" s="33"/>
      <c r="I1661" s="34" t="str">
        <f aca="false">IF($A1661="","",$G1661-$H1661)</f>
        <v/>
      </c>
      <c r="J1661" s="35" t="str">
        <f aca="false">IF($A1661="","",IF(Setup!$B$6=1,YEAR($A1661),YEAR($A1661)+IF(MONTH($A1661)&gt;=Setup!$B$6,1,0)))</f>
        <v/>
      </c>
      <c r="K1661" s="35" t="str">
        <f aca="false">IF($A1661="","",MOD(MONTH($A1661)-Setup!$B$6+12,12)+1)</f>
        <v/>
      </c>
      <c r="L1661" s="36" t="str">
        <f aca="false">IF($A1661="","",TEXT($A1661,"MMM-YY"))</f>
        <v/>
      </c>
      <c r="M1661" s="37" t="str">
        <f aca="false">IF($A1661="","",IF($Q1661=0,"UNMAPPED",INDEX(COA_Mapping!$C$7:$C$256,$Q1661)))</f>
        <v/>
      </c>
      <c r="N1661" s="38" t="str">
        <f aca="false">IF($A1661="","",IF($Q1661=0,"",INDEX(COA_Mapping!$E$7:$E$256,$Q1661)))</f>
        <v/>
      </c>
      <c r="O1661" s="38" t="n">
        <f aca="false">IF($A1661="",1,IF($Q1661=0,1,INDEX(COA_Mapping!$F$7:$F$256,$Q1661)))</f>
        <v>1</v>
      </c>
      <c r="P1661" s="34" t="str">
        <f aca="false">IF($A1661="","",$I1661*$O1661)</f>
        <v/>
      </c>
      <c r="Q1661" s="39" t="n">
        <f aca="false">IF($B1661="",0,IFERROR(MATCH($B1661,COA_Mapping!$A$7:$A$256,0),0))</f>
        <v>0</v>
      </c>
      <c r="R1661" s="39" t="n">
        <f aca="false">IF($A1661="",-1,IF($J1661=Setup!$B$7,1,IF($J1661=Setup!$B$9,0,-1)))</f>
        <v>-1</v>
      </c>
      <c r="S1661" s="35" t="n">
        <f aca="false">IF(OR($A1661="",$Q1661=0,$R1661=-1),0,$Q1661*1000+$R1661*100+$K1661)</f>
        <v>0</v>
      </c>
      <c r="T1661" s="37" t="str">
        <f aca="false">IF($A1661="","",IF($B1661="","NO ACCOUNT",IF($Q1661=0,"UNMAPPED",IF($R1661=-1,"OUTSIDE FY RANGE","OK"))))</f>
        <v/>
      </c>
      <c r="U1661" s="40" t="str">
        <f aca="false">IF($A1661="","",$B1661&amp;"|"&amp;TEXT($A1661,"yyyymmdd")&amp;"|"&amp;TEXT($I1661,"0.00"))</f>
        <v/>
      </c>
      <c r="V1661" s="35" t="str">
        <f aca="false">IF($A1661="","",COUNTIF($U$8:$U$5007,$U1661))</f>
        <v/>
      </c>
    </row>
    <row r="1662" customFormat="false" ht="15" hidden="false" customHeight="false" outlineLevel="0" collapsed="false">
      <c r="A1662" s="31"/>
      <c r="B1662" s="32"/>
      <c r="C1662" s="32"/>
      <c r="D1662" s="32"/>
      <c r="E1662" s="32"/>
      <c r="F1662" s="32"/>
      <c r="G1662" s="33"/>
      <c r="H1662" s="33"/>
      <c r="I1662" s="34" t="str">
        <f aca="false">IF($A1662="","",$G1662-$H1662)</f>
        <v/>
      </c>
      <c r="J1662" s="35" t="str">
        <f aca="false">IF($A1662="","",IF(Setup!$B$6=1,YEAR($A1662),YEAR($A1662)+IF(MONTH($A1662)&gt;=Setup!$B$6,1,0)))</f>
        <v/>
      </c>
      <c r="K1662" s="35" t="str">
        <f aca="false">IF($A1662="","",MOD(MONTH($A1662)-Setup!$B$6+12,12)+1)</f>
        <v/>
      </c>
      <c r="L1662" s="36" t="str">
        <f aca="false">IF($A1662="","",TEXT($A1662,"MMM-YY"))</f>
        <v/>
      </c>
      <c r="M1662" s="37" t="str">
        <f aca="false">IF($A1662="","",IF($Q1662=0,"UNMAPPED",INDEX(COA_Mapping!$C$7:$C$256,$Q1662)))</f>
        <v/>
      </c>
      <c r="N1662" s="38" t="str">
        <f aca="false">IF($A1662="","",IF($Q1662=0,"",INDEX(COA_Mapping!$E$7:$E$256,$Q1662)))</f>
        <v/>
      </c>
      <c r="O1662" s="38" t="n">
        <f aca="false">IF($A1662="",1,IF($Q1662=0,1,INDEX(COA_Mapping!$F$7:$F$256,$Q1662)))</f>
        <v>1</v>
      </c>
      <c r="P1662" s="34" t="str">
        <f aca="false">IF($A1662="","",$I1662*$O1662)</f>
        <v/>
      </c>
      <c r="Q1662" s="39" t="n">
        <f aca="false">IF($B1662="",0,IFERROR(MATCH($B1662,COA_Mapping!$A$7:$A$256,0),0))</f>
        <v>0</v>
      </c>
      <c r="R1662" s="39" t="n">
        <f aca="false">IF($A1662="",-1,IF($J1662=Setup!$B$7,1,IF($J1662=Setup!$B$9,0,-1)))</f>
        <v>-1</v>
      </c>
      <c r="S1662" s="35" t="n">
        <f aca="false">IF(OR($A1662="",$Q1662=0,$R1662=-1),0,$Q1662*1000+$R1662*100+$K1662)</f>
        <v>0</v>
      </c>
      <c r="T1662" s="37" t="str">
        <f aca="false">IF($A1662="","",IF($B1662="","NO ACCOUNT",IF($Q1662=0,"UNMAPPED",IF($R1662=-1,"OUTSIDE FY RANGE","OK"))))</f>
        <v/>
      </c>
      <c r="U1662" s="40" t="str">
        <f aca="false">IF($A1662="","",$B1662&amp;"|"&amp;TEXT($A1662,"yyyymmdd")&amp;"|"&amp;TEXT($I1662,"0.00"))</f>
        <v/>
      </c>
      <c r="V1662" s="35" t="str">
        <f aca="false">IF($A1662="","",COUNTIF($U$8:$U$5007,$U1662))</f>
        <v/>
      </c>
    </row>
    <row r="1663" customFormat="false" ht="15" hidden="false" customHeight="false" outlineLevel="0" collapsed="false">
      <c r="A1663" s="31"/>
      <c r="B1663" s="32"/>
      <c r="C1663" s="32"/>
      <c r="D1663" s="32"/>
      <c r="E1663" s="32"/>
      <c r="F1663" s="32"/>
      <c r="G1663" s="33"/>
      <c r="H1663" s="33"/>
      <c r="I1663" s="34" t="str">
        <f aca="false">IF($A1663="","",$G1663-$H1663)</f>
        <v/>
      </c>
      <c r="J1663" s="35" t="str">
        <f aca="false">IF($A1663="","",IF(Setup!$B$6=1,YEAR($A1663),YEAR($A1663)+IF(MONTH($A1663)&gt;=Setup!$B$6,1,0)))</f>
        <v/>
      </c>
      <c r="K1663" s="35" t="str">
        <f aca="false">IF($A1663="","",MOD(MONTH($A1663)-Setup!$B$6+12,12)+1)</f>
        <v/>
      </c>
      <c r="L1663" s="36" t="str">
        <f aca="false">IF($A1663="","",TEXT($A1663,"MMM-YY"))</f>
        <v/>
      </c>
      <c r="M1663" s="37" t="str">
        <f aca="false">IF($A1663="","",IF($Q1663=0,"UNMAPPED",INDEX(COA_Mapping!$C$7:$C$256,$Q1663)))</f>
        <v/>
      </c>
      <c r="N1663" s="38" t="str">
        <f aca="false">IF($A1663="","",IF($Q1663=0,"",INDEX(COA_Mapping!$E$7:$E$256,$Q1663)))</f>
        <v/>
      </c>
      <c r="O1663" s="38" t="n">
        <f aca="false">IF($A1663="",1,IF($Q1663=0,1,INDEX(COA_Mapping!$F$7:$F$256,$Q1663)))</f>
        <v>1</v>
      </c>
      <c r="P1663" s="34" t="str">
        <f aca="false">IF($A1663="","",$I1663*$O1663)</f>
        <v/>
      </c>
      <c r="Q1663" s="39" t="n">
        <f aca="false">IF($B1663="",0,IFERROR(MATCH($B1663,COA_Mapping!$A$7:$A$256,0),0))</f>
        <v>0</v>
      </c>
      <c r="R1663" s="39" t="n">
        <f aca="false">IF($A1663="",-1,IF($J1663=Setup!$B$7,1,IF($J1663=Setup!$B$9,0,-1)))</f>
        <v>-1</v>
      </c>
      <c r="S1663" s="35" t="n">
        <f aca="false">IF(OR($A1663="",$Q1663=0,$R1663=-1),0,$Q1663*1000+$R1663*100+$K1663)</f>
        <v>0</v>
      </c>
      <c r="T1663" s="37" t="str">
        <f aca="false">IF($A1663="","",IF($B1663="","NO ACCOUNT",IF($Q1663=0,"UNMAPPED",IF($R1663=-1,"OUTSIDE FY RANGE","OK"))))</f>
        <v/>
      </c>
      <c r="U1663" s="40" t="str">
        <f aca="false">IF($A1663="","",$B1663&amp;"|"&amp;TEXT($A1663,"yyyymmdd")&amp;"|"&amp;TEXT($I1663,"0.00"))</f>
        <v/>
      </c>
      <c r="V1663" s="35" t="str">
        <f aca="false">IF($A1663="","",COUNTIF($U$8:$U$5007,$U1663))</f>
        <v/>
      </c>
    </row>
    <row r="1664" customFormat="false" ht="15" hidden="false" customHeight="false" outlineLevel="0" collapsed="false">
      <c r="A1664" s="31"/>
      <c r="B1664" s="32"/>
      <c r="C1664" s="32"/>
      <c r="D1664" s="32"/>
      <c r="E1664" s="32"/>
      <c r="F1664" s="32"/>
      <c r="G1664" s="33"/>
      <c r="H1664" s="33"/>
      <c r="I1664" s="34" t="str">
        <f aca="false">IF($A1664="","",$G1664-$H1664)</f>
        <v/>
      </c>
      <c r="J1664" s="35" t="str">
        <f aca="false">IF($A1664="","",IF(Setup!$B$6=1,YEAR($A1664),YEAR($A1664)+IF(MONTH($A1664)&gt;=Setup!$B$6,1,0)))</f>
        <v/>
      </c>
      <c r="K1664" s="35" t="str">
        <f aca="false">IF($A1664="","",MOD(MONTH($A1664)-Setup!$B$6+12,12)+1)</f>
        <v/>
      </c>
      <c r="L1664" s="36" t="str">
        <f aca="false">IF($A1664="","",TEXT($A1664,"MMM-YY"))</f>
        <v/>
      </c>
      <c r="M1664" s="37" t="str">
        <f aca="false">IF($A1664="","",IF($Q1664=0,"UNMAPPED",INDEX(COA_Mapping!$C$7:$C$256,$Q1664)))</f>
        <v/>
      </c>
      <c r="N1664" s="38" t="str">
        <f aca="false">IF($A1664="","",IF($Q1664=0,"",INDEX(COA_Mapping!$E$7:$E$256,$Q1664)))</f>
        <v/>
      </c>
      <c r="O1664" s="38" t="n">
        <f aca="false">IF($A1664="",1,IF($Q1664=0,1,INDEX(COA_Mapping!$F$7:$F$256,$Q1664)))</f>
        <v>1</v>
      </c>
      <c r="P1664" s="34" t="str">
        <f aca="false">IF($A1664="","",$I1664*$O1664)</f>
        <v/>
      </c>
      <c r="Q1664" s="39" t="n">
        <f aca="false">IF($B1664="",0,IFERROR(MATCH($B1664,COA_Mapping!$A$7:$A$256,0),0))</f>
        <v>0</v>
      </c>
      <c r="R1664" s="39" t="n">
        <f aca="false">IF($A1664="",-1,IF($J1664=Setup!$B$7,1,IF($J1664=Setup!$B$9,0,-1)))</f>
        <v>-1</v>
      </c>
      <c r="S1664" s="35" t="n">
        <f aca="false">IF(OR($A1664="",$Q1664=0,$R1664=-1),0,$Q1664*1000+$R1664*100+$K1664)</f>
        <v>0</v>
      </c>
      <c r="T1664" s="37" t="str">
        <f aca="false">IF($A1664="","",IF($B1664="","NO ACCOUNT",IF($Q1664=0,"UNMAPPED",IF($R1664=-1,"OUTSIDE FY RANGE","OK"))))</f>
        <v/>
      </c>
      <c r="U1664" s="40" t="str">
        <f aca="false">IF($A1664="","",$B1664&amp;"|"&amp;TEXT($A1664,"yyyymmdd")&amp;"|"&amp;TEXT($I1664,"0.00"))</f>
        <v/>
      </c>
      <c r="V1664" s="35" t="str">
        <f aca="false">IF($A1664="","",COUNTIF($U$8:$U$5007,$U1664))</f>
        <v/>
      </c>
    </row>
    <row r="1665" customFormat="false" ht="15" hidden="false" customHeight="false" outlineLevel="0" collapsed="false">
      <c r="A1665" s="31"/>
      <c r="B1665" s="32"/>
      <c r="C1665" s="32"/>
      <c r="D1665" s="32"/>
      <c r="E1665" s="32"/>
      <c r="F1665" s="32"/>
      <c r="G1665" s="33"/>
      <c r="H1665" s="33"/>
      <c r="I1665" s="34" t="str">
        <f aca="false">IF($A1665="","",$G1665-$H1665)</f>
        <v/>
      </c>
      <c r="J1665" s="35" t="str">
        <f aca="false">IF($A1665="","",IF(Setup!$B$6=1,YEAR($A1665),YEAR($A1665)+IF(MONTH($A1665)&gt;=Setup!$B$6,1,0)))</f>
        <v/>
      </c>
      <c r="K1665" s="35" t="str">
        <f aca="false">IF($A1665="","",MOD(MONTH($A1665)-Setup!$B$6+12,12)+1)</f>
        <v/>
      </c>
      <c r="L1665" s="36" t="str">
        <f aca="false">IF($A1665="","",TEXT($A1665,"MMM-YY"))</f>
        <v/>
      </c>
      <c r="M1665" s="37" t="str">
        <f aca="false">IF($A1665="","",IF($Q1665=0,"UNMAPPED",INDEX(COA_Mapping!$C$7:$C$256,$Q1665)))</f>
        <v/>
      </c>
      <c r="N1665" s="38" t="str">
        <f aca="false">IF($A1665="","",IF($Q1665=0,"",INDEX(COA_Mapping!$E$7:$E$256,$Q1665)))</f>
        <v/>
      </c>
      <c r="O1665" s="38" t="n">
        <f aca="false">IF($A1665="",1,IF($Q1665=0,1,INDEX(COA_Mapping!$F$7:$F$256,$Q1665)))</f>
        <v>1</v>
      </c>
      <c r="P1665" s="34" t="str">
        <f aca="false">IF($A1665="","",$I1665*$O1665)</f>
        <v/>
      </c>
      <c r="Q1665" s="39" t="n">
        <f aca="false">IF($B1665="",0,IFERROR(MATCH($B1665,COA_Mapping!$A$7:$A$256,0),0))</f>
        <v>0</v>
      </c>
      <c r="R1665" s="39" t="n">
        <f aca="false">IF($A1665="",-1,IF($J1665=Setup!$B$7,1,IF($J1665=Setup!$B$9,0,-1)))</f>
        <v>-1</v>
      </c>
      <c r="S1665" s="35" t="n">
        <f aca="false">IF(OR($A1665="",$Q1665=0,$R1665=-1),0,$Q1665*1000+$R1665*100+$K1665)</f>
        <v>0</v>
      </c>
      <c r="T1665" s="37" t="str">
        <f aca="false">IF($A1665="","",IF($B1665="","NO ACCOUNT",IF($Q1665=0,"UNMAPPED",IF($R1665=-1,"OUTSIDE FY RANGE","OK"))))</f>
        <v/>
      </c>
      <c r="U1665" s="40" t="str">
        <f aca="false">IF($A1665="","",$B1665&amp;"|"&amp;TEXT($A1665,"yyyymmdd")&amp;"|"&amp;TEXT($I1665,"0.00"))</f>
        <v/>
      </c>
      <c r="V1665" s="35" t="str">
        <f aca="false">IF($A1665="","",COUNTIF($U$8:$U$5007,$U1665))</f>
        <v/>
      </c>
    </row>
    <row r="1666" customFormat="false" ht="15" hidden="false" customHeight="false" outlineLevel="0" collapsed="false">
      <c r="A1666" s="31"/>
      <c r="B1666" s="32"/>
      <c r="C1666" s="32"/>
      <c r="D1666" s="32"/>
      <c r="E1666" s="32"/>
      <c r="F1666" s="32"/>
      <c r="G1666" s="33"/>
      <c r="H1666" s="33"/>
      <c r="I1666" s="34" t="str">
        <f aca="false">IF($A1666="","",$G1666-$H1666)</f>
        <v/>
      </c>
      <c r="J1666" s="35" t="str">
        <f aca="false">IF($A1666="","",IF(Setup!$B$6=1,YEAR($A1666),YEAR($A1666)+IF(MONTH($A1666)&gt;=Setup!$B$6,1,0)))</f>
        <v/>
      </c>
      <c r="K1666" s="35" t="str">
        <f aca="false">IF($A1666="","",MOD(MONTH($A1666)-Setup!$B$6+12,12)+1)</f>
        <v/>
      </c>
      <c r="L1666" s="36" t="str">
        <f aca="false">IF($A1666="","",TEXT($A1666,"MMM-YY"))</f>
        <v/>
      </c>
      <c r="M1666" s="37" t="str">
        <f aca="false">IF($A1666="","",IF($Q1666=0,"UNMAPPED",INDEX(COA_Mapping!$C$7:$C$256,$Q1666)))</f>
        <v/>
      </c>
      <c r="N1666" s="38" t="str">
        <f aca="false">IF($A1666="","",IF($Q1666=0,"",INDEX(COA_Mapping!$E$7:$E$256,$Q1666)))</f>
        <v/>
      </c>
      <c r="O1666" s="38" t="n">
        <f aca="false">IF($A1666="",1,IF($Q1666=0,1,INDEX(COA_Mapping!$F$7:$F$256,$Q1666)))</f>
        <v>1</v>
      </c>
      <c r="P1666" s="34" t="str">
        <f aca="false">IF($A1666="","",$I1666*$O1666)</f>
        <v/>
      </c>
      <c r="Q1666" s="39" t="n">
        <f aca="false">IF($B1666="",0,IFERROR(MATCH($B1666,COA_Mapping!$A$7:$A$256,0),0))</f>
        <v>0</v>
      </c>
      <c r="R1666" s="39" t="n">
        <f aca="false">IF($A1666="",-1,IF($J1666=Setup!$B$7,1,IF($J1666=Setup!$B$9,0,-1)))</f>
        <v>-1</v>
      </c>
      <c r="S1666" s="35" t="n">
        <f aca="false">IF(OR($A1666="",$Q1666=0,$R1666=-1),0,$Q1666*1000+$R1666*100+$K1666)</f>
        <v>0</v>
      </c>
      <c r="T1666" s="37" t="str">
        <f aca="false">IF($A1666="","",IF($B1666="","NO ACCOUNT",IF($Q1666=0,"UNMAPPED",IF($R1666=-1,"OUTSIDE FY RANGE","OK"))))</f>
        <v/>
      </c>
      <c r="U1666" s="40" t="str">
        <f aca="false">IF($A1666="","",$B1666&amp;"|"&amp;TEXT($A1666,"yyyymmdd")&amp;"|"&amp;TEXT($I1666,"0.00"))</f>
        <v/>
      </c>
      <c r="V1666" s="35" t="str">
        <f aca="false">IF($A1666="","",COUNTIF($U$8:$U$5007,$U1666))</f>
        <v/>
      </c>
    </row>
    <row r="1667" customFormat="false" ht="15" hidden="false" customHeight="false" outlineLevel="0" collapsed="false">
      <c r="A1667" s="31"/>
      <c r="B1667" s="32"/>
      <c r="C1667" s="32"/>
      <c r="D1667" s="32"/>
      <c r="E1667" s="32"/>
      <c r="F1667" s="32"/>
      <c r="G1667" s="33"/>
      <c r="H1667" s="33"/>
      <c r="I1667" s="34" t="str">
        <f aca="false">IF($A1667="","",$G1667-$H1667)</f>
        <v/>
      </c>
      <c r="J1667" s="35" t="str">
        <f aca="false">IF($A1667="","",IF(Setup!$B$6=1,YEAR($A1667),YEAR($A1667)+IF(MONTH($A1667)&gt;=Setup!$B$6,1,0)))</f>
        <v/>
      </c>
      <c r="K1667" s="35" t="str">
        <f aca="false">IF($A1667="","",MOD(MONTH($A1667)-Setup!$B$6+12,12)+1)</f>
        <v/>
      </c>
      <c r="L1667" s="36" t="str">
        <f aca="false">IF($A1667="","",TEXT($A1667,"MMM-YY"))</f>
        <v/>
      </c>
      <c r="M1667" s="37" t="str">
        <f aca="false">IF($A1667="","",IF($Q1667=0,"UNMAPPED",INDEX(COA_Mapping!$C$7:$C$256,$Q1667)))</f>
        <v/>
      </c>
      <c r="N1667" s="38" t="str">
        <f aca="false">IF($A1667="","",IF($Q1667=0,"",INDEX(COA_Mapping!$E$7:$E$256,$Q1667)))</f>
        <v/>
      </c>
      <c r="O1667" s="38" t="n">
        <f aca="false">IF($A1667="",1,IF($Q1667=0,1,INDEX(COA_Mapping!$F$7:$F$256,$Q1667)))</f>
        <v>1</v>
      </c>
      <c r="P1667" s="34" t="str">
        <f aca="false">IF($A1667="","",$I1667*$O1667)</f>
        <v/>
      </c>
      <c r="Q1667" s="39" t="n">
        <f aca="false">IF($B1667="",0,IFERROR(MATCH($B1667,COA_Mapping!$A$7:$A$256,0),0))</f>
        <v>0</v>
      </c>
      <c r="R1667" s="39" t="n">
        <f aca="false">IF($A1667="",-1,IF($J1667=Setup!$B$7,1,IF($J1667=Setup!$B$9,0,-1)))</f>
        <v>-1</v>
      </c>
      <c r="S1667" s="35" t="n">
        <f aca="false">IF(OR($A1667="",$Q1667=0,$R1667=-1),0,$Q1667*1000+$R1667*100+$K1667)</f>
        <v>0</v>
      </c>
      <c r="T1667" s="37" t="str">
        <f aca="false">IF($A1667="","",IF($B1667="","NO ACCOUNT",IF($Q1667=0,"UNMAPPED",IF($R1667=-1,"OUTSIDE FY RANGE","OK"))))</f>
        <v/>
      </c>
      <c r="U1667" s="40" t="str">
        <f aca="false">IF($A1667="","",$B1667&amp;"|"&amp;TEXT($A1667,"yyyymmdd")&amp;"|"&amp;TEXT($I1667,"0.00"))</f>
        <v/>
      </c>
      <c r="V1667" s="35" t="str">
        <f aca="false">IF($A1667="","",COUNTIF($U$8:$U$5007,$U1667))</f>
        <v/>
      </c>
    </row>
    <row r="1668" customFormat="false" ht="15" hidden="false" customHeight="false" outlineLevel="0" collapsed="false">
      <c r="A1668" s="31"/>
      <c r="B1668" s="32"/>
      <c r="C1668" s="32"/>
      <c r="D1668" s="32"/>
      <c r="E1668" s="32"/>
      <c r="F1668" s="32"/>
      <c r="G1668" s="33"/>
      <c r="H1668" s="33"/>
      <c r="I1668" s="34" t="str">
        <f aca="false">IF($A1668="","",$G1668-$H1668)</f>
        <v/>
      </c>
      <c r="J1668" s="35" t="str">
        <f aca="false">IF($A1668="","",IF(Setup!$B$6=1,YEAR($A1668),YEAR($A1668)+IF(MONTH($A1668)&gt;=Setup!$B$6,1,0)))</f>
        <v/>
      </c>
      <c r="K1668" s="35" t="str">
        <f aca="false">IF($A1668="","",MOD(MONTH($A1668)-Setup!$B$6+12,12)+1)</f>
        <v/>
      </c>
      <c r="L1668" s="36" t="str">
        <f aca="false">IF($A1668="","",TEXT($A1668,"MMM-YY"))</f>
        <v/>
      </c>
      <c r="M1668" s="37" t="str">
        <f aca="false">IF($A1668="","",IF($Q1668=0,"UNMAPPED",INDEX(COA_Mapping!$C$7:$C$256,$Q1668)))</f>
        <v/>
      </c>
      <c r="N1668" s="38" t="str">
        <f aca="false">IF($A1668="","",IF($Q1668=0,"",INDEX(COA_Mapping!$E$7:$E$256,$Q1668)))</f>
        <v/>
      </c>
      <c r="O1668" s="38" t="n">
        <f aca="false">IF($A1668="",1,IF($Q1668=0,1,INDEX(COA_Mapping!$F$7:$F$256,$Q1668)))</f>
        <v>1</v>
      </c>
      <c r="P1668" s="34" t="str">
        <f aca="false">IF($A1668="","",$I1668*$O1668)</f>
        <v/>
      </c>
      <c r="Q1668" s="39" t="n">
        <f aca="false">IF($B1668="",0,IFERROR(MATCH($B1668,COA_Mapping!$A$7:$A$256,0),0))</f>
        <v>0</v>
      </c>
      <c r="R1668" s="39" t="n">
        <f aca="false">IF($A1668="",-1,IF($J1668=Setup!$B$7,1,IF($J1668=Setup!$B$9,0,-1)))</f>
        <v>-1</v>
      </c>
      <c r="S1668" s="35" t="n">
        <f aca="false">IF(OR($A1668="",$Q1668=0,$R1668=-1),0,$Q1668*1000+$R1668*100+$K1668)</f>
        <v>0</v>
      </c>
      <c r="T1668" s="37" t="str">
        <f aca="false">IF($A1668="","",IF($B1668="","NO ACCOUNT",IF($Q1668=0,"UNMAPPED",IF($R1668=-1,"OUTSIDE FY RANGE","OK"))))</f>
        <v/>
      </c>
      <c r="U1668" s="40" t="str">
        <f aca="false">IF($A1668="","",$B1668&amp;"|"&amp;TEXT($A1668,"yyyymmdd")&amp;"|"&amp;TEXT($I1668,"0.00"))</f>
        <v/>
      </c>
      <c r="V1668" s="35" t="str">
        <f aca="false">IF($A1668="","",COUNTIF($U$8:$U$5007,$U1668))</f>
        <v/>
      </c>
    </row>
    <row r="1669" customFormat="false" ht="15" hidden="false" customHeight="false" outlineLevel="0" collapsed="false">
      <c r="A1669" s="31"/>
      <c r="B1669" s="32"/>
      <c r="C1669" s="32"/>
      <c r="D1669" s="32"/>
      <c r="E1669" s="32"/>
      <c r="F1669" s="32"/>
      <c r="G1669" s="33"/>
      <c r="H1669" s="33"/>
      <c r="I1669" s="34" t="str">
        <f aca="false">IF($A1669="","",$G1669-$H1669)</f>
        <v/>
      </c>
      <c r="J1669" s="35" t="str">
        <f aca="false">IF($A1669="","",IF(Setup!$B$6=1,YEAR($A1669),YEAR($A1669)+IF(MONTH($A1669)&gt;=Setup!$B$6,1,0)))</f>
        <v/>
      </c>
      <c r="K1669" s="35" t="str">
        <f aca="false">IF($A1669="","",MOD(MONTH($A1669)-Setup!$B$6+12,12)+1)</f>
        <v/>
      </c>
      <c r="L1669" s="36" t="str">
        <f aca="false">IF($A1669="","",TEXT($A1669,"MMM-YY"))</f>
        <v/>
      </c>
      <c r="M1669" s="37" t="str">
        <f aca="false">IF($A1669="","",IF($Q1669=0,"UNMAPPED",INDEX(COA_Mapping!$C$7:$C$256,$Q1669)))</f>
        <v/>
      </c>
      <c r="N1669" s="38" t="str">
        <f aca="false">IF($A1669="","",IF($Q1669=0,"",INDEX(COA_Mapping!$E$7:$E$256,$Q1669)))</f>
        <v/>
      </c>
      <c r="O1669" s="38" t="n">
        <f aca="false">IF($A1669="",1,IF($Q1669=0,1,INDEX(COA_Mapping!$F$7:$F$256,$Q1669)))</f>
        <v>1</v>
      </c>
      <c r="P1669" s="34" t="str">
        <f aca="false">IF($A1669="","",$I1669*$O1669)</f>
        <v/>
      </c>
      <c r="Q1669" s="39" t="n">
        <f aca="false">IF($B1669="",0,IFERROR(MATCH($B1669,COA_Mapping!$A$7:$A$256,0),0))</f>
        <v>0</v>
      </c>
      <c r="R1669" s="39" t="n">
        <f aca="false">IF($A1669="",-1,IF($J1669=Setup!$B$7,1,IF($J1669=Setup!$B$9,0,-1)))</f>
        <v>-1</v>
      </c>
      <c r="S1669" s="35" t="n">
        <f aca="false">IF(OR($A1669="",$Q1669=0,$R1669=-1),0,$Q1669*1000+$R1669*100+$K1669)</f>
        <v>0</v>
      </c>
      <c r="T1669" s="37" t="str">
        <f aca="false">IF($A1669="","",IF($B1669="","NO ACCOUNT",IF($Q1669=0,"UNMAPPED",IF($R1669=-1,"OUTSIDE FY RANGE","OK"))))</f>
        <v/>
      </c>
      <c r="U1669" s="40" t="str">
        <f aca="false">IF($A1669="","",$B1669&amp;"|"&amp;TEXT($A1669,"yyyymmdd")&amp;"|"&amp;TEXT($I1669,"0.00"))</f>
        <v/>
      </c>
      <c r="V1669" s="35" t="str">
        <f aca="false">IF($A1669="","",COUNTIF($U$8:$U$5007,$U1669))</f>
        <v/>
      </c>
    </row>
    <row r="1670" customFormat="false" ht="15" hidden="false" customHeight="false" outlineLevel="0" collapsed="false">
      <c r="A1670" s="31"/>
      <c r="B1670" s="32"/>
      <c r="C1670" s="32"/>
      <c r="D1670" s="32"/>
      <c r="E1670" s="32"/>
      <c r="F1670" s="32"/>
      <c r="G1670" s="33"/>
      <c r="H1670" s="33"/>
      <c r="I1670" s="34" t="str">
        <f aca="false">IF($A1670="","",$G1670-$H1670)</f>
        <v/>
      </c>
      <c r="J1670" s="35" t="str">
        <f aca="false">IF($A1670="","",IF(Setup!$B$6=1,YEAR($A1670),YEAR($A1670)+IF(MONTH($A1670)&gt;=Setup!$B$6,1,0)))</f>
        <v/>
      </c>
      <c r="K1670" s="35" t="str">
        <f aca="false">IF($A1670="","",MOD(MONTH($A1670)-Setup!$B$6+12,12)+1)</f>
        <v/>
      </c>
      <c r="L1670" s="36" t="str">
        <f aca="false">IF($A1670="","",TEXT($A1670,"MMM-YY"))</f>
        <v/>
      </c>
      <c r="M1670" s="37" t="str">
        <f aca="false">IF($A1670="","",IF($Q1670=0,"UNMAPPED",INDEX(COA_Mapping!$C$7:$C$256,$Q1670)))</f>
        <v/>
      </c>
      <c r="N1670" s="38" t="str">
        <f aca="false">IF($A1670="","",IF($Q1670=0,"",INDEX(COA_Mapping!$E$7:$E$256,$Q1670)))</f>
        <v/>
      </c>
      <c r="O1670" s="38" t="n">
        <f aca="false">IF($A1670="",1,IF($Q1670=0,1,INDEX(COA_Mapping!$F$7:$F$256,$Q1670)))</f>
        <v>1</v>
      </c>
      <c r="P1670" s="34" t="str">
        <f aca="false">IF($A1670="","",$I1670*$O1670)</f>
        <v/>
      </c>
      <c r="Q1670" s="39" t="n">
        <f aca="false">IF($B1670="",0,IFERROR(MATCH($B1670,COA_Mapping!$A$7:$A$256,0),0))</f>
        <v>0</v>
      </c>
      <c r="R1670" s="39" t="n">
        <f aca="false">IF($A1670="",-1,IF($J1670=Setup!$B$7,1,IF($J1670=Setup!$B$9,0,-1)))</f>
        <v>-1</v>
      </c>
      <c r="S1670" s="35" t="n">
        <f aca="false">IF(OR($A1670="",$Q1670=0,$R1670=-1),0,$Q1670*1000+$R1670*100+$K1670)</f>
        <v>0</v>
      </c>
      <c r="T1670" s="37" t="str">
        <f aca="false">IF($A1670="","",IF($B1670="","NO ACCOUNT",IF($Q1670=0,"UNMAPPED",IF($R1670=-1,"OUTSIDE FY RANGE","OK"))))</f>
        <v/>
      </c>
      <c r="U1670" s="40" t="str">
        <f aca="false">IF($A1670="","",$B1670&amp;"|"&amp;TEXT($A1670,"yyyymmdd")&amp;"|"&amp;TEXT($I1670,"0.00"))</f>
        <v/>
      </c>
      <c r="V1670" s="35" t="str">
        <f aca="false">IF($A1670="","",COUNTIF($U$8:$U$5007,$U1670))</f>
        <v/>
      </c>
    </row>
    <row r="1671" customFormat="false" ht="15" hidden="false" customHeight="false" outlineLevel="0" collapsed="false">
      <c r="A1671" s="31"/>
      <c r="B1671" s="32"/>
      <c r="C1671" s="32"/>
      <c r="D1671" s="32"/>
      <c r="E1671" s="32"/>
      <c r="F1671" s="32"/>
      <c r="G1671" s="33"/>
      <c r="H1671" s="33"/>
      <c r="I1671" s="34" t="str">
        <f aca="false">IF($A1671="","",$G1671-$H1671)</f>
        <v/>
      </c>
      <c r="J1671" s="35" t="str">
        <f aca="false">IF($A1671="","",IF(Setup!$B$6=1,YEAR($A1671),YEAR($A1671)+IF(MONTH($A1671)&gt;=Setup!$B$6,1,0)))</f>
        <v/>
      </c>
      <c r="K1671" s="35" t="str">
        <f aca="false">IF($A1671="","",MOD(MONTH($A1671)-Setup!$B$6+12,12)+1)</f>
        <v/>
      </c>
      <c r="L1671" s="36" t="str">
        <f aca="false">IF($A1671="","",TEXT($A1671,"MMM-YY"))</f>
        <v/>
      </c>
      <c r="M1671" s="37" t="str">
        <f aca="false">IF($A1671="","",IF($Q1671=0,"UNMAPPED",INDEX(COA_Mapping!$C$7:$C$256,$Q1671)))</f>
        <v/>
      </c>
      <c r="N1671" s="38" t="str">
        <f aca="false">IF($A1671="","",IF($Q1671=0,"",INDEX(COA_Mapping!$E$7:$E$256,$Q1671)))</f>
        <v/>
      </c>
      <c r="O1671" s="38" t="n">
        <f aca="false">IF($A1671="",1,IF($Q1671=0,1,INDEX(COA_Mapping!$F$7:$F$256,$Q1671)))</f>
        <v>1</v>
      </c>
      <c r="P1671" s="34" t="str">
        <f aca="false">IF($A1671="","",$I1671*$O1671)</f>
        <v/>
      </c>
      <c r="Q1671" s="39" t="n">
        <f aca="false">IF($B1671="",0,IFERROR(MATCH($B1671,COA_Mapping!$A$7:$A$256,0),0))</f>
        <v>0</v>
      </c>
      <c r="R1671" s="39" t="n">
        <f aca="false">IF($A1671="",-1,IF($J1671=Setup!$B$7,1,IF($J1671=Setup!$B$9,0,-1)))</f>
        <v>-1</v>
      </c>
      <c r="S1671" s="35" t="n">
        <f aca="false">IF(OR($A1671="",$Q1671=0,$R1671=-1),0,$Q1671*1000+$R1671*100+$K1671)</f>
        <v>0</v>
      </c>
      <c r="T1671" s="37" t="str">
        <f aca="false">IF($A1671="","",IF($B1671="","NO ACCOUNT",IF($Q1671=0,"UNMAPPED",IF($R1671=-1,"OUTSIDE FY RANGE","OK"))))</f>
        <v/>
      </c>
      <c r="U1671" s="40" t="str">
        <f aca="false">IF($A1671="","",$B1671&amp;"|"&amp;TEXT($A1671,"yyyymmdd")&amp;"|"&amp;TEXT($I1671,"0.00"))</f>
        <v/>
      </c>
      <c r="V1671" s="35" t="str">
        <f aca="false">IF($A1671="","",COUNTIF($U$8:$U$5007,$U1671))</f>
        <v/>
      </c>
    </row>
    <row r="1672" customFormat="false" ht="15" hidden="false" customHeight="false" outlineLevel="0" collapsed="false">
      <c r="A1672" s="31"/>
      <c r="B1672" s="32"/>
      <c r="C1672" s="32"/>
      <c r="D1672" s="32"/>
      <c r="E1672" s="32"/>
      <c r="F1672" s="32"/>
      <c r="G1672" s="33"/>
      <c r="H1672" s="33"/>
      <c r="I1672" s="34" t="str">
        <f aca="false">IF($A1672="","",$G1672-$H1672)</f>
        <v/>
      </c>
      <c r="J1672" s="35" t="str">
        <f aca="false">IF($A1672="","",IF(Setup!$B$6=1,YEAR($A1672),YEAR($A1672)+IF(MONTH($A1672)&gt;=Setup!$B$6,1,0)))</f>
        <v/>
      </c>
      <c r="K1672" s="35" t="str">
        <f aca="false">IF($A1672="","",MOD(MONTH($A1672)-Setup!$B$6+12,12)+1)</f>
        <v/>
      </c>
      <c r="L1672" s="36" t="str">
        <f aca="false">IF($A1672="","",TEXT($A1672,"MMM-YY"))</f>
        <v/>
      </c>
      <c r="M1672" s="37" t="str">
        <f aca="false">IF($A1672="","",IF($Q1672=0,"UNMAPPED",INDEX(COA_Mapping!$C$7:$C$256,$Q1672)))</f>
        <v/>
      </c>
      <c r="N1672" s="38" t="str">
        <f aca="false">IF($A1672="","",IF($Q1672=0,"",INDEX(COA_Mapping!$E$7:$E$256,$Q1672)))</f>
        <v/>
      </c>
      <c r="O1672" s="38" t="n">
        <f aca="false">IF($A1672="",1,IF($Q1672=0,1,INDEX(COA_Mapping!$F$7:$F$256,$Q1672)))</f>
        <v>1</v>
      </c>
      <c r="P1672" s="34" t="str">
        <f aca="false">IF($A1672="","",$I1672*$O1672)</f>
        <v/>
      </c>
      <c r="Q1672" s="39" t="n">
        <f aca="false">IF($B1672="",0,IFERROR(MATCH($B1672,COA_Mapping!$A$7:$A$256,0),0))</f>
        <v>0</v>
      </c>
      <c r="R1672" s="39" t="n">
        <f aca="false">IF($A1672="",-1,IF($J1672=Setup!$B$7,1,IF($J1672=Setup!$B$9,0,-1)))</f>
        <v>-1</v>
      </c>
      <c r="S1672" s="35" t="n">
        <f aca="false">IF(OR($A1672="",$Q1672=0,$R1672=-1),0,$Q1672*1000+$R1672*100+$K1672)</f>
        <v>0</v>
      </c>
      <c r="T1672" s="37" t="str">
        <f aca="false">IF($A1672="","",IF($B1672="","NO ACCOUNT",IF($Q1672=0,"UNMAPPED",IF($R1672=-1,"OUTSIDE FY RANGE","OK"))))</f>
        <v/>
      </c>
      <c r="U1672" s="40" t="str">
        <f aca="false">IF($A1672="","",$B1672&amp;"|"&amp;TEXT($A1672,"yyyymmdd")&amp;"|"&amp;TEXT($I1672,"0.00"))</f>
        <v/>
      </c>
      <c r="V1672" s="35" t="str">
        <f aca="false">IF($A1672="","",COUNTIF($U$8:$U$5007,$U1672))</f>
        <v/>
      </c>
    </row>
    <row r="1673" customFormat="false" ht="15" hidden="false" customHeight="false" outlineLevel="0" collapsed="false">
      <c r="A1673" s="31"/>
      <c r="B1673" s="32"/>
      <c r="C1673" s="32"/>
      <c r="D1673" s="32"/>
      <c r="E1673" s="32"/>
      <c r="F1673" s="32"/>
      <c r="G1673" s="33"/>
      <c r="H1673" s="33"/>
      <c r="I1673" s="34" t="str">
        <f aca="false">IF($A1673="","",$G1673-$H1673)</f>
        <v/>
      </c>
      <c r="J1673" s="35" t="str">
        <f aca="false">IF($A1673="","",IF(Setup!$B$6=1,YEAR($A1673),YEAR($A1673)+IF(MONTH($A1673)&gt;=Setup!$B$6,1,0)))</f>
        <v/>
      </c>
      <c r="K1673" s="35" t="str">
        <f aca="false">IF($A1673="","",MOD(MONTH($A1673)-Setup!$B$6+12,12)+1)</f>
        <v/>
      </c>
      <c r="L1673" s="36" t="str">
        <f aca="false">IF($A1673="","",TEXT($A1673,"MMM-YY"))</f>
        <v/>
      </c>
      <c r="M1673" s="37" t="str">
        <f aca="false">IF($A1673="","",IF($Q1673=0,"UNMAPPED",INDEX(COA_Mapping!$C$7:$C$256,$Q1673)))</f>
        <v/>
      </c>
      <c r="N1673" s="38" t="str">
        <f aca="false">IF($A1673="","",IF($Q1673=0,"",INDEX(COA_Mapping!$E$7:$E$256,$Q1673)))</f>
        <v/>
      </c>
      <c r="O1673" s="38" t="n">
        <f aca="false">IF($A1673="",1,IF($Q1673=0,1,INDEX(COA_Mapping!$F$7:$F$256,$Q1673)))</f>
        <v>1</v>
      </c>
      <c r="P1673" s="34" t="str">
        <f aca="false">IF($A1673="","",$I1673*$O1673)</f>
        <v/>
      </c>
      <c r="Q1673" s="39" t="n">
        <f aca="false">IF($B1673="",0,IFERROR(MATCH($B1673,COA_Mapping!$A$7:$A$256,0),0))</f>
        <v>0</v>
      </c>
      <c r="R1673" s="39" t="n">
        <f aca="false">IF($A1673="",-1,IF($J1673=Setup!$B$7,1,IF($J1673=Setup!$B$9,0,-1)))</f>
        <v>-1</v>
      </c>
      <c r="S1673" s="35" t="n">
        <f aca="false">IF(OR($A1673="",$Q1673=0,$R1673=-1),0,$Q1673*1000+$R1673*100+$K1673)</f>
        <v>0</v>
      </c>
      <c r="T1673" s="37" t="str">
        <f aca="false">IF($A1673="","",IF($B1673="","NO ACCOUNT",IF($Q1673=0,"UNMAPPED",IF($R1673=-1,"OUTSIDE FY RANGE","OK"))))</f>
        <v/>
      </c>
      <c r="U1673" s="40" t="str">
        <f aca="false">IF($A1673="","",$B1673&amp;"|"&amp;TEXT($A1673,"yyyymmdd")&amp;"|"&amp;TEXT($I1673,"0.00"))</f>
        <v/>
      </c>
      <c r="V1673" s="35" t="str">
        <f aca="false">IF($A1673="","",COUNTIF($U$8:$U$5007,$U1673))</f>
        <v/>
      </c>
    </row>
    <row r="1674" customFormat="false" ht="15" hidden="false" customHeight="false" outlineLevel="0" collapsed="false">
      <c r="A1674" s="31"/>
      <c r="B1674" s="32"/>
      <c r="C1674" s="32"/>
      <c r="D1674" s="32"/>
      <c r="E1674" s="32"/>
      <c r="F1674" s="32"/>
      <c r="G1674" s="33"/>
      <c r="H1674" s="33"/>
      <c r="I1674" s="34" t="str">
        <f aca="false">IF($A1674="","",$G1674-$H1674)</f>
        <v/>
      </c>
      <c r="J1674" s="35" t="str">
        <f aca="false">IF($A1674="","",IF(Setup!$B$6=1,YEAR($A1674),YEAR($A1674)+IF(MONTH($A1674)&gt;=Setup!$B$6,1,0)))</f>
        <v/>
      </c>
      <c r="K1674" s="35" t="str">
        <f aca="false">IF($A1674="","",MOD(MONTH($A1674)-Setup!$B$6+12,12)+1)</f>
        <v/>
      </c>
      <c r="L1674" s="36" t="str">
        <f aca="false">IF($A1674="","",TEXT($A1674,"MMM-YY"))</f>
        <v/>
      </c>
      <c r="M1674" s="37" t="str">
        <f aca="false">IF($A1674="","",IF($Q1674=0,"UNMAPPED",INDEX(COA_Mapping!$C$7:$C$256,$Q1674)))</f>
        <v/>
      </c>
      <c r="N1674" s="38" t="str">
        <f aca="false">IF($A1674="","",IF($Q1674=0,"",INDEX(COA_Mapping!$E$7:$E$256,$Q1674)))</f>
        <v/>
      </c>
      <c r="O1674" s="38" t="n">
        <f aca="false">IF($A1674="",1,IF($Q1674=0,1,INDEX(COA_Mapping!$F$7:$F$256,$Q1674)))</f>
        <v>1</v>
      </c>
      <c r="P1674" s="34" t="str">
        <f aca="false">IF($A1674="","",$I1674*$O1674)</f>
        <v/>
      </c>
      <c r="Q1674" s="39" t="n">
        <f aca="false">IF($B1674="",0,IFERROR(MATCH($B1674,COA_Mapping!$A$7:$A$256,0),0))</f>
        <v>0</v>
      </c>
      <c r="R1674" s="39" t="n">
        <f aca="false">IF($A1674="",-1,IF($J1674=Setup!$B$7,1,IF($J1674=Setup!$B$9,0,-1)))</f>
        <v>-1</v>
      </c>
      <c r="S1674" s="35" t="n">
        <f aca="false">IF(OR($A1674="",$Q1674=0,$R1674=-1),0,$Q1674*1000+$R1674*100+$K1674)</f>
        <v>0</v>
      </c>
      <c r="T1674" s="37" t="str">
        <f aca="false">IF($A1674="","",IF($B1674="","NO ACCOUNT",IF($Q1674=0,"UNMAPPED",IF($R1674=-1,"OUTSIDE FY RANGE","OK"))))</f>
        <v/>
      </c>
      <c r="U1674" s="40" t="str">
        <f aca="false">IF($A1674="","",$B1674&amp;"|"&amp;TEXT($A1674,"yyyymmdd")&amp;"|"&amp;TEXT($I1674,"0.00"))</f>
        <v/>
      </c>
      <c r="V1674" s="35" t="str">
        <f aca="false">IF($A1674="","",COUNTIF($U$8:$U$5007,$U1674))</f>
        <v/>
      </c>
    </row>
    <row r="1675" customFormat="false" ht="15" hidden="false" customHeight="false" outlineLevel="0" collapsed="false">
      <c r="A1675" s="31"/>
      <c r="B1675" s="32"/>
      <c r="C1675" s="32"/>
      <c r="D1675" s="32"/>
      <c r="E1675" s="32"/>
      <c r="F1675" s="32"/>
      <c r="G1675" s="33"/>
      <c r="H1675" s="33"/>
      <c r="I1675" s="34" t="str">
        <f aca="false">IF($A1675="","",$G1675-$H1675)</f>
        <v/>
      </c>
      <c r="J1675" s="35" t="str">
        <f aca="false">IF($A1675="","",IF(Setup!$B$6=1,YEAR($A1675),YEAR($A1675)+IF(MONTH($A1675)&gt;=Setup!$B$6,1,0)))</f>
        <v/>
      </c>
      <c r="K1675" s="35" t="str">
        <f aca="false">IF($A1675="","",MOD(MONTH($A1675)-Setup!$B$6+12,12)+1)</f>
        <v/>
      </c>
      <c r="L1675" s="36" t="str">
        <f aca="false">IF($A1675="","",TEXT($A1675,"MMM-YY"))</f>
        <v/>
      </c>
      <c r="M1675" s="37" t="str">
        <f aca="false">IF($A1675="","",IF($Q1675=0,"UNMAPPED",INDEX(COA_Mapping!$C$7:$C$256,$Q1675)))</f>
        <v/>
      </c>
      <c r="N1675" s="38" t="str">
        <f aca="false">IF($A1675="","",IF($Q1675=0,"",INDEX(COA_Mapping!$E$7:$E$256,$Q1675)))</f>
        <v/>
      </c>
      <c r="O1675" s="38" t="n">
        <f aca="false">IF($A1675="",1,IF($Q1675=0,1,INDEX(COA_Mapping!$F$7:$F$256,$Q1675)))</f>
        <v>1</v>
      </c>
      <c r="P1675" s="34" t="str">
        <f aca="false">IF($A1675="","",$I1675*$O1675)</f>
        <v/>
      </c>
      <c r="Q1675" s="39" t="n">
        <f aca="false">IF($B1675="",0,IFERROR(MATCH($B1675,COA_Mapping!$A$7:$A$256,0),0))</f>
        <v>0</v>
      </c>
      <c r="R1675" s="39" t="n">
        <f aca="false">IF($A1675="",-1,IF($J1675=Setup!$B$7,1,IF($J1675=Setup!$B$9,0,-1)))</f>
        <v>-1</v>
      </c>
      <c r="S1675" s="35" t="n">
        <f aca="false">IF(OR($A1675="",$Q1675=0,$R1675=-1),0,$Q1675*1000+$R1675*100+$K1675)</f>
        <v>0</v>
      </c>
      <c r="T1675" s="37" t="str">
        <f aca="false">IF($A1675="","",IF($B1675="","NO ACCOUNT",IF($Q1675=0,"UNMAPPED",IF($R1675=-1,"OUTSIDE FY RANGE","OK"))))</f>
        <v/>
      </c>
      <c r="U1675" s="40" t="str">
        <f aca="false">IF($A1675="","",$B1675&amp;"|"&amp;TEXT($A1675,"yyyymmdd")&amp;"|"&amp;TEXT($I1675,"0.00"))</f>
        <v/>
      </c>
      <c r="V1675" s="35" t="str">
        <f aca="false">IF($A1675="","",COUNTIF($U$8:$U$5007,$U1675))</f>
        <v/>
      </c>
    </row>
    <row r="1676" customFormat="false" ht="15" hidden="false" customHeight="false" outlineLevel="0" collapsed="false">
      <c r="A1676" s="31"/>
      <c r="B1676" s="32"/>
      <c r="C1676" s="32"/>
      <c r="D1676" s="32"/>
      <c r="E1676" s="32"/>
      <c r="F1676" s="32"/>
      <c r="G1676" s="33"/>
      <c r="H1676" s="33"/>
      <c r="I1676" s="34" t="str">
        <f aca="false">IF($A1676="","",$G1676-$H1676)</f>
        <v/>
      </c>
      <c r="J1676" s="35" t="str">
        <f aca="false">IF($A1676="","",IF(Setup!$B$6=1,YEAR($A1676),YEAR($A1676)+IF(MONTH($A1676)&gt;=Setup!$B$6,1,0)))</f>
        <v/>
      </c>
      <c r="K1676" s="35" t="str">
        <f aca="false">IF($A1676="","",MOD(MONTH($A1676)-Setup!$B$6+12,12)+1)</f>
        <v/>
      </c>
      <c r="L1676" s="36" t="str">
        <f aca="false">IF($A1676="","",TEXT($A1676,"MMM-YY"))</f>
        <v/>
      </c>
      <c r="M1676" s="37" t="str">
        <f aca="false">IF($A1676="","",IF($Q1676=0,"UNMAPPED",INDEX(COA_Mapping!$C$7:$C$256,$Q1676)))</f>
        <v/>
      </c>
      <c r="N1676" s="38" t="str">
        <f aca="false">IF($A1676="","",IF($Q1676=0,"",INDEX(COA_Mapping!$E$7:$E$256,$Q1676)))</f>
        <v/>
      </c>
      <c r="O1676" s="38" t="n">
        <f aca="false">IF($A1676="",1,IF($Q1676=0,1,INDEX(COA_Mapping!$F$7:$F$256,$Q1676)))</f>
        <v>1</v>
      </c>
      <c r="P1676" s="34" t="str">
        <f aca="false">IF($A1676="","",$I1676*$O1676)</f>
        <v/>
      </c>
      <c r="Q1676" s="39" t="n">
        <f aca="false">IF($B1676="",0,IFERROR(MATCH($B1676,COA_Mapping!$A$7:$A$256,0),0))</f>
        <v>0</v>
      </c>
      <c r="R1676" s="39" t="n">
        <f aca="false">IF($A1676="",-1,IF($J1676=Setup!$B$7,1,IF($J1676=Setup!$B$9,0,-1)))</f>
        <v>-1</v>
      </c>
      <c r="S1676" s="35" t="n">
        <f aca="false">IF(OR($A1676="",$Q1676=0,$R1676=-1),0,$Q1676*1000+$R1676*100+$K1676)</f>
        <v>0</v>
      </c>
      <c r="T1676" s="37" t="str">
        <f aca="false">IF($A1676="","",IF($B1676="","NO ACCOUNT",IF($Q1676=0,"UNMAPPED",IF($R1676=-1,"OUTSIDE FY RANGE","OK"))))</f>
        <v/>
      </c>
      <c r="U1676" s="40" t="str">
        <f aca="false">IF($A1676="","",$B1676&amp;"|"&amp;TEXT($A1676,"yyyymmdd")&amp;"|"&amp;TEXT($I1676,"0.00"))</f>
        <v/>
      </c>
      <c r="V1676" s="35" t="str">
        <f aca="false">IF($A1676="","",COUNTIF($U$8:$U$5007,$U1676))</f>
        <v/>
      </c>
    </row>
    <row r="1677" customFormat="false" ht="15" hidden="false" customHeight="false" outlineLevel="0" collapsed="false">
      <c r="A1677" s="31"/>
      <c r="B1677" s="32"/>
      <c r="C1677" s="32"/>
      <c r="D1677" s="32"/>
      <c r="E1677" s="32"/>
      <c r="F1677" s="32"/>
      <c r="G1677" s="33"/>
      <c r="H1677" s="33"/>
      <c r="I1677" s="34" t="str">
        <f aca="false">IF($A1677="","",$G1677-$H1677)</f>
        <v/>
      </c>
      <c r="J1677" s="35" t="str">
        <f aca="false">IF($A1677="","",IF(Setup!$B$6=1,YEAR($A1677),YEAR($A1677)+IF(MONTH($A1677)&gt;=Setup!$B$6,1,0)))</f>
        <v/>
      </c>
      <c r="K1677" s="35" t="str">
        <f aca="false">IF($A1677="","",MOD(MONTH($A1677)-Setup!$B$6+12,12)+1)</f>
        <v/>
      </c>
      <c r="L1677" s="36" t="str">
        <f aca="false">IF($A1677="","",TEXT($A1677,"MMM-YY"))</f>
        <v/>
      </c>
      <c r="M1677" s="37" t="str">
        <f aca="false">IF($A1677="","",IF($Q1677=0,"UNMAPPED",INDEX(COA_Mapping!$C$7:$C$256,$Q1677)))</f>
        <v/>
      </c>
      <c r="N1677" s="38" t="str">
        <f aca="false">IF($A1677="","",IF($Q1677=0,"",INDEX(COA_Mapping!$E$7:$E$256,$Q1677)))</f>
        <v/>
      </c>
      <c r="O1677" s="38" t="n">
        <f aca="false">IF($A1677="",1,IF($Q1677=0,1,INDEX(COA_Mapping!$F$7:$F$256,$Q1677)))</f>
        <v>1</v>
      </c>
      <c r="P1677" s="34" t="str">
        <f aca="false">IF($A1677="","",$I1677*$O1677)</f>
        <v/>
      </c>
      <c r="Q1677" s="39" t="n">
        <f aca="false">IF($B1677="",0,IFERROR(MATCH($B1677,COA_Mapping!$A$7:$A$256,0),0))</f>
        <v>0</v>
      </c>
      <c r="R1677" s="39" t="n">
        <f aca="false">IF($A1677="",-1,IF($J1677=Setup!$B$7,1,IF($J1677=Setup!$B$9,0,-1)))</f>
        <v>-1</v>
      </c>
      <c r="S1677" s="35" t="n">
        <f aca="false">IF(OR($A1677="",$Q1677=0,$R1677=-1),0,$Q1677*1000+$R1677*100+$K1677)</f>
        <v>0</v>
      </c>
      <c r="T1677" s="37" t="str">
        <f aca="false">IF($A1677="","",IF($B1677="","NO ACCOUNT",IF($Q1677=0,"UNMAPPED",IF($R1677=-1,"OUTSIDE FY RANGE","OK"))))</f>
        <v/>
      </c>
      <c r="U1677" s="40" t="str">
        <f aca="false">IF($A1677="","",$B1677&amp;"|"&amp;TEXT($A1677,"yyyymmdd")&amp;"|"&amp;TEXT($I1677,"0.00"))</f>
        <v/>
      </c>
      <c r="V1677" s="35" t="str">
        <f aca="false">IF($A1677="","",COUNTIF($U$8:$U$5007,$U1677))</f>
        <v/>
      </c>
    </row>
    <row r="1678" customFormat="false" ht="15" hidden="false" customHeight="false" outlineLevel="0" collapsed="false">
      <c r="A1678" s="31"/>
      <c r="B1678" s="32"/>
      <c r="C1678" s="32"/>
      <c r="D1678" s="32"/>
      <c r="E1678" s="32"/>
      <c r="F1678" s="32"/>
      <c r="G1678" s="33"/>
      <c r="H1678" s="33"/>
      <c r="I1678" s="34" t="str">
        <f aca="false">IF($A1678="","",$G1678-$H1678)</f>
        <v/>
      </c>
      <c r="J1678" s="35" t="str">
        <f aca="false">IF($A1678="","",IF(Setup!$B$6=1,YEAR($A1678),YEAR($A1678)+IF(MONTH($A1678)&gt;=Setup!$B$6,1,0)))</f>
        <v/>
      </c>
      <c r="K1678" s="35" t="str">
        <f aca="false">IF($A1678="","",MOD(MONTH($A1678)-Setup!$B$6+12,12)+1)</f>
        <v/>
      </c>
      <c r="L1678" s="36" t="str">
        <f aca="false">IF($A1678="","",TEXT($A1678,"MMM-YY"))</f>
        <v/>
      </c>
      <c r="M1678" s="37" t="str">
        <f aca="false">IF($A1678="","",IF($Q1678=0,"UNMAPPED",INDEX(COA_Mapping!$C$7:$C$256,$Q1678)))</f>
        <v/>
      </c>
      <c r="N1678" s="38" t="str">
        <f aca="false">IF($A1678="","",IF($Q1678=0,"",INDEX(COA_Mapping!$E$7:$E$256,$Q1678)))</f>
        <v/>
      </c>
      <c r="O1678" s="38" t="n">
        <f aca="false">IF($A1678="",1,IF($Q1678=0,1,INDEX(COA_Mapping!$F$7:$F$256,$Q1678)))</f>
        <v>1</v>
      </c>
      <c r="P1678" s="34" t="str">
        <f aca="false">IF($A1678="","",$I1678*$O1678)</f>
        <v/>
      </c>
      <c r="Q1678" s="39" t="n">
        <f aca="false">IF($B1678="",0,IFERROR(MATCH($B1678,COA_Mapping!$A$7:$A$256,0),0))</f>
        <v>0</v>
      </c>
      <c r="R1678" s="39" t="n">
        <f aca="false">IF($A1678="",-1,IF($J1678=Setup!$B$7,1,IF($J1678=Setup!$B$9,0,-1)))</f>
        <v>-1</v>
      </c>
      <c r="S1678" s="35" t="n">
        <f aca="false">IF(OR($A1678="",$Q1678=0,$R1678=-1),0,$Q1678*1000+$R1678*100+$K1678)</f>
        <v>0</v>
      </c>
      <c r="T1678" s="37" t="str">
        <f aca="false">IF($A1678="","",IF($B1678="","NO ACCOUNT",IF($Q1678=0,"UNMAPPED",IF($R1678=-1,"OUTSIDE FY RANGE","OK"))))</f>
        <v/>
      </c>
      <c r="U1678" s="40" t="str">
        <f aca="false">IF($A1678="","",$B1678&amp;"|"&amp;TEXT($A1678,"yyyymmdd")&amp;"|"&amp;TEXT($I1678,"0.00"))</f>
        <v/>
      </c>
      <c r="V1678" s="35" t="str">
        <f aca="false">IF($A1678="","",COUNTIF($U$8:$U$5007,$U1678))</f>
        <v/>
      </c>
    </row>
    <row r="1679" customFormat="false" ht="15" hidden="false" customHeight="false" outlineLevel="0" collapsed="false">
      <c r="A1679" s="31"/>
      <c r="B1679" s="32"/>
      <c r="C1679" s="32"/>
      <c r="D1679" s="32"/>
      <c r="E1679" s="32"/>
      <c r="F1679" s="32"/>
      <c r="G1679" s="33"/>
      <c r="H1679" s="33"/>
      <c r="I1679" s="34" t="str">
        <f aca="false">IF($A1679="","",$G1679-$H1679)</f>
        <v/>
      </c>
      <c r="J1679" s="35" t="str">
        <f aca="false">IF($A1679="","",IF(Setup!$B$6=1,YEAR($A1679),YEAR($A1679)+IF(MONTH($A1679)&gt;=Setup!$B$6,1,0)))</f>
        <v/>
      </c>
      <c r="K1679" s="35" t="str">
        <f aca="false">IF($A1679="","",MOD(MONTH($A1679)-Setup!$B$6+12,12)+1)</f>
        <v/>
      </c>
      <c r="L1679" s="36" t="str">
        <f aca="false">IF($A1679="","",TEXT($A1679,"MMM-YY"))</f>
        <v/>
      </c>
      <c r="M1679" s="37" t="str">
        <f aca="false">IF($A1679="","",IF($Q1679=0,"UNMAPPED",INDEX(COA_Mapping!$C$7:$C$256,$Q1679)))</f>
        <v/>
      </c>
      <c r="N1679" s="38" t="str">
        <f aca="false">IF($A1679="","",IF($Q1679=0,"",INDEX(COA_Mapping!$E$7:$E$256,$Q1679)))</f>
        <v/>
      </c>
      <c r="O1679" s="38" t="n">
        <f aca="false">IF($A1679="",1,IF($Q1679=0,1,INDEX(COA_Mapping!$F$7:$F$256,$Q1679)))</f>
        <v>1</v>
      </c>
      <c r="P1679" s="34" t="str">
        <f aca="false">IF($A1679="","",$I1679*$O1679)</f>
        <v/>
      </c>
      <c r="Q1679" s="39" t="n">
        <f aca="false">IF($B1679="",0,IFERROR(MATCH($B1679,COA_Mapping!$A$7:$A$256,0),0))</f>
        <v>0</v>
      </c>
      <c r="R1679" s="39" t="n">
        <f aca="false">IF($A1679="",-1,IF($J1679=Setup!$B$7,1,IF($J1679=Setup!$B$9,0,-1)))</f>
        <v>-1</v>
      </c>
      <c r="S1679" s="35" t="n">
        <f aca="false">IF(OR($A1679="",$Q1679=0,$R1679=-1),0,$Q1679*1000+$R1679*100+$K1679)</f>
        <v>0</v>
      </c>
      <c r="T1679" s="37" t="str">
        <f aca="false">IF($A1679="","",IF($B1679="","NO ACCOUNT",IF($Q1679=0,"UNMAPPED",IF($R1679=-1,"OUTSIDE FY RANGE","OK"))))</f>
        <v/>
      </c>
      <c r="U1679" s="40" t="str">
        <f aca="false">IF($A1679="","",$B1679&amp;"|"&amp;TEXT($A1679,"yyyymmdd")&amp;"|"&amp;TEXT($I1679,"0.00"))</f>
        <v/>
      </c>
      <c r="V1679" s="35" t="str">
        <f aca="false">IF($A1679="","",COUNTIF($U$8:$U$5007,$U1679))</f>
        <v/>
      </c>
    </row>
    <row r="1680" customFormat="false" ht="15" hidden="false" customHeight="false" outlineLevel="0" collapsed="false">
      <c r="A1680" s="31"/>
      <c r="B1680" s="32"/>
      <c r="C1680" s="32"/>
      <c r="D1680" s="32"/>
      <c r="E1680" s="32"/>
      <c r="F1680" s="32"/>
      <c r="G1680" s="33"/>
      <c r="H1680" s="33"/>
      <c r="I1680" s="34" t="str">
        <f aca="false">IF($A1680="","",$G1680-$H1680)</f>
        <v/>
      </c>
      <c r="J1680" s="35" t="str">
        <f aca="false">IF($A1680="","",IF(Setup!$B$6=1,YEAR($A1680),YEAR($A1680)+IF(MONTH($A1680)&gt;=Setup!$B$6,1,0)))</f>
        <v/>
      </c>
      <c r="K1680" s="35" t="str">
        <f aca="false">IF($A1680="","",MOD(MONTH($A1680)-Setup!$B$6+12,12)+1)</f>
        <v/>
      </c>
      <c r="L1680" s="36" t="str">
        <f aca="false">IF($A1680="","",TEXT($A1680,"MMM-YY"))</f>
        <v/>
      </c>
      <c r="M1680" s="37" t="str">
        <f aca="false">IF($A1680="","",IF($Q1680=0,"UNMAPPED",INDEX(COA_Mapping!$C$7:$C$256,$Q1680)))</f>
        <v/>
      </c>
      <c r="N1680" s="38" t="str">
        <f aca="false">IF($A1680="","",IF($Q1680=0,"",INDEX(COA_Mapping!$E$7:$E$256,$Q1680)))</f>
        <v/>
      </c>
      <c r="O1680" s="38" t="n">
        <f aca="false">IF($A1680="",1,IF($Q1680=0,1,INDEX(COA_Mapping!$F$7:$F$256,$Q1680)))</f>
        <v>1</v>
      </c>
      <c r="P1680" s="34" t="str">
        <f aca="false">IF($A1680="","",$I1680*$O1680)</f>
        <v/>
      </c>
      <c r="Q1680" s="39" t="n">
        <f aca="false">IF($B1680="",0,IFERROR(MATCH($B1680,COA_Mapping!$A$7:$A$256,0),0))</f>
        <v>0</v>
      </c>
      <c r="R1680" s="39" t="n">
        <f aca="false">IF($A1680="",-1,IF($J1680=Setup!$B$7,1,IF($J1680=Setup!$B$9,0,-1)))</f>
        <v>-1</v>
      </c>
      <c r="S1680" s="35" t="n">
        <f aca="false">IF(OR($A1680="",$Q1680=0,$R1680=-1),0,$Q1680*1000+$R1680*100+$K1680)</f>
        <v>0</v>
      </c>
      <c r="T1680" s="37" t="str">
        <f aca="false">IF($A1680="","",IF($B1680="","NO ACCOUNT",IF($Q1680=0,"UNMAPPED",IF($R1680=-1,"OUTSIDE FY RANGE","OK"))))</f>
        <v/>
      </c>
      <c r="U1680" s="40" t="str">
        <f aca="false">IF($A1680="","",$B1680&amp;"|"&amp;TEXT($A1680,"yyyymmdd")&amp;"|"&amp;TEXT($I1680,"0.00"))</f>
        <v/>
      </c>
      <c r="V1680" s="35" t="str">
        <f aca="false">IF($A1680="","",COUNTIF($U$8:$U$5007,$U1680))</f>
        <v/>
      </c>
    </row>
    <row r="1681" customFormat="false" ht="15" hidden="false" customHeight="false" outlineLevel="0" collapsed="false">
      <c r="A1681" s="31"/>
      <c r="B1681" s="32"/>
      <c r="C1681" s="32"/>
      <c r="D1681" s="32"/>
      <c r="E1681" s="32"/>
      <c r="F1681" s="32"/>
      <c r="G1681" s="33"/>
      <c r="H1681" s="33"/>
      <c r="I1681" s="34" t="str">
        <f aca="false">IF($A1681="","",$G1681-$H1681)</f>
        <v/>
      </c>
      <c r="J1681" s="35" t="str">
        <f aca="false">IF($A1681="","",IF(Setup!$B$6=1,YEAR($A1681),YEAR($A1681)+IF(MONTH($A1681)&gt;=Setup!$B$6,1,0)))</f>
        <v/>
      </c>
      <c r="K1681" s="35" t="str">
        <f aca="false">IF($A1681="","",MOD(MONTH($A1681)-Setup!$B$6+12,12)+1)</f>
        <v/>
      </c>
      <c r="L1681" s="36" t="str">
        <f aca="false">IF($A1681="","",TEXT($A1681,"MMM-YY"))</f>
        <v/>
      </c>
      <c r="M1681" s="37" t="str">
        <f aca="false">IF($A1681="","",IF($Q1681=0,"UNMAPPED",INDEX(COA_Mapping!$C$7:$C$256,$Q1681)))</f>
        <v/>
      </c>
      <c r="N1681" s="38" t="str">
        <f aca="false">IF($A1681="","",IF($Q1681=0,"",INDEX(COA_Mapping!$E$7:$E$256,$Q1681)))</f>
        <v/>
      </c>
      <c r="O1681" s="38" t="n">
        <f aca="false">IF($A1681="",1,IF($Q1681=0,1,INDEX(COA_Mapping!$F$7:$F$256,$Q1681)))</f>
        <v>1</v>
      </c>
      <c r="P1681" s="34" t="str">
        <f aca="false">IF($A1681="","",$I1681*$O1681)</f>
        <v/>
      </c>
      <c r="Q1681" s="39" t="n">
        <f aca="false">IF($B1681="",0,IFERROR(MATCH($B1681,COA_Mapping!$A$7:$A$256,0),0))</f>
        <v>0</v>
      </c>
      <c r="R1681" s="39" t="n">
        <f aca="false">IF($A1681="",-1,IF($J1681=Setup!$B$7,1,IF($J1681=Setup!$B$9,0,-1)))</f>
        <v>-1</v>
      </c>
      <c r="S1681" s="35" t="n">
        <f aca="false">IF(OR($A1681="",$Q1681=0,$R1681=-1),0,$Q1681*1000+$R1681*100+$K1681)</f>
        <v>0</v>
      </c>
      <c r="T1681" s="37" t="str">
        <f aca="false">IF($A1681="","",IF($B1681="","NO ACCOUNT",IF($Q1681=0,"UNMAPPED",IF($R1681=-1,"OUTSIDE FY RANGE","OK"))))</f>
        <v/>
      </c>
      <c r="U1681" s="40" t="str">
        <f aca="false">IF($A1681="","",$B1681&amp;"|"&amp;TEXT($A1681,"yyyymmdd")&amp;"|"&amp;TEXT($I1681,"0.00"))</f>
        <v/>
      </c>
      <c r="V1681" s="35" t="str">
        <f aca="false">IF($A1681="","",COUNTIF($U$8:$U$5007,$U1681))</f>
        <v/>
      </c>
    </row>
    <row r="1682" customFormat="false" ht="15" hidden="false" customHeight="false" outlineLevel="0" collapsed="false">
      <c r="A1682" s="31"/>
      <c r="B1682" s="32"/>
      <c r="C1682" s="32"/>
      <c r="D1682" s="32"/>
      <c r="E1682" s="32"/>
      <c r="F1682" s="32"/>
      <c r="G1682" s="33"/>
      <c r="H1682" s="33"/>
      <c r="I1682" s="34" t="str">
        <f aca="false">IF($A1682="","",$G1682-$H1682)</f>
        <v/>
      </c>
      <c r="J1682" s="35" t="str">
        <f aca="false">IF($A1682="","",IF(Setup!$B$6=1,YEAR($A1682),YEAR($A1682)+IF(MONTH($A1682)&gt;=Setup!$B$6,1,0)))</f>
        <v/>
      </c>
      <c r="K1682" s="35" t="str">
        <f aca="false">IF($A1682="","",MOD(MONTH($A1682)-Setup!$B$6+12,12)+1)</f>
        <v/>
      </c>
      <c r="L1682" s="36" t="str">
        <f aca="false">IF($A1682="","",TEXT($A1682,"MMM-YY"))</f>
        <v/>
      </c>
      <c r="M1682" s="37" t="str">
        <f aca="false">IF($A1682="","",IF($Q1682=0,"UNMAPPED",INDEX(COA_Mapping!$C$7:$C$256,$Q1682)))</f>
        <v/>
      </c>
      <c r="N1682" s="38" t="str">
        <f aca="false">IF($A1682="","",IF($Q1682=0,"",INDEX(COA_Mapping!$E$7:$E$256,$Q1682)))</f>
        <v/>
      </c>
      <c r="O1682" s="38" t="n">
        <f aca="false">IF($A1682="",1,IF($Q1682=0,1,INDEX(COA_Mapping!$F$7:$F$256,$Q1682)))</f>
        <v>1</v>
      </c>
      <c r="P1682" s="34" t="str">
        <f aca="false">IF($A1682="","",$I1682*$O1682)</f>
        <v/>
      </c>
      <c r="Q1682" s="39" t="n">
        <f aca="false">IF($B1682="",0,IFERROR(MATCH($B1682,COA_Mapping!$A$7:$A$256,0),0))</f>
        <v>0</v>
      </c>
      <c r="R1682" s="39" t="n">
        <f aca="false">IF($A1682="",-1,IF($J1682=Setup!$B$7,1,IF($J1682=Setup!$B$9,0,-1)))</f>
        <v>-1</v>
      </c>
      <c r="S1682" s="35" t="n">
        <f aca="false">IF(OR($A1682="",$Q1682=0,$R1682=-1),0,$Q1682*1000+$R1682*100+$K1682)</f>
        <v>0</v>
      </c>
      <c r="T1682" s="37" t="str">
        <f aca="false">IF($A1682="","",IF($B1682="","NO ACCOUNT",IF($Q1682=0,"UNMAPPED",IF($R1682=-1,"OUTSIDE FY RANGE","OK"))))</f>
        <v/>
      </c>
      <c r="U1682" s="40" t="str">
        <f aca="false">IF($A1682="","",$B1682&amp;"|"&amp;TEXT($A1682,"yyyymmdd")&amp;"|"&amp;TEXT($I1682,"0.00"))</f>
        <v/>
      </c>
      <c r="V1682" s="35" t="str">
        <f aca="false">IF($A1682="","",COUNTIF($U$8:$U$5007,$U1682))</f>
        <v/>
      </c>
    </row>
    <row r="1683" customFormat="false" ht="15" hidden="false" customHeight="false" outlineLevel="0" collapsed="false">
      <c r="A1683" s="31"/>
      <c r="B1683" s="32"/>
      <c r="C1683" s="32"/>
      <c r="D1683" s="32"/>
      <c r="E1683" s="32"/>
      <c r="F1683" s="32"/>
      <c r="G1683" s="33"/>
      <c r="H1683" s="33"/>
      <c r="I1683" s="34" t="str">
        <f aca="false">IF($A1683="","",$G1683-$H1683)</f>
        <v/>
      </c>
      <c r="J1683" s="35" t="str">
        <f aca="false">IF($A1683="","",IF(Setup!$B$6=1,YEAR($A1683),YEAR($A1683)+IF(MONTH($A1683)&gt;=Setup!$B$6,1,0)))</f>
        <v/>
      </c>
      <c r="K1683" s="35" t="str">
        <f aca="false">IF($A1683="","",MOD(MONTH($A1683)-Setup!$B$6+12,12)+1)</f>
        <v/>
      </c>
      <c r="L1683" s="36" t="str">
        <f aca="false">IF($A1683="","",TEXT($A1683,"MMM-YY"))</f>
        <v/>
      </c>
      <c r="M1683" s="37" t="str">
        <f aca="false">IF($A1683="","",IF($Q1683=0,"UNMAPPED",INDEX(COA_Mapping!$C$7:$C$256,$Q1683)))</f>
        <v/>
      </c>
      <c r="N1683" s="38" t="str">
        <f aca="false">IF($A1683="","",IF($Q1683=0,"",INDEX(COA_Mapping!$E$7:$E$256,$Q1683)))</f>
        <v/>
      </c>
      <c r="O1683" s="38" t="n">
        <f aca="false">IF($A1683="",1,IF($Q1683=0,1,INDEX(COA_Mapping!$F$7:$F$256,$Q1683)))</f>
        <v>1</v>
      </c>
      <c r="P1683" s="34" t="str">
        <f aca="false">IF($A1683="","",$I1683*$O1683)</f>
        <v/>
      </c>
      <c r="Q1683" s="39" t="n">
        <f aca="false">IF($B1683="",0,IFERROR(MATCH($B1683,COA_Mapping!$A$7:$A$256,0),0))</f>
        <v>0</v>
      </c>
      <c r="R1683" s="39" t="n">
        <f aca="false">IF($A1683="",-1,IF($J1683=Setup!$B$7,1,IF($J1683=Setup!$B$9,0,-1)))</f>
        <v>-1</v>
      </c>
      <c r="S1683" s="35" t="n">
        <f aca="false">IF(OR($A1683="",$Q1683=0,$R1683=-1),0,$Q1683*1000+$R1683*100+$K1683)</f>
        <v>0</v>
      </c>
      <c r="T1683" s="37" t="str">
        <f aca="false">IF($A1683="","",IF($B1683="","NO ACCOUNT",IF($Q1683=0,"UNMAPPED",IF($R1683=-1,"OUTSIDE FY RANGE","OK"))))</f>
        <v/>
      </c>
      <c r="U1683" s="40" t="str">
        <f aca="false">IF($A1683="","",$B1683&amp;"|"&amp;TEXT($A1683,"yyyymmdd")&amp;"|"&amp;TEXT($I1683,"0.00"))</f>
        <v/>
      </c>
      <c r="V1683" s="35" t="str">
        <f aca="false">IF($A1683="","",COUNTIF($U$8:$U$5007,$U1683))</f>
        <v/>
      </c>
    </row>
    <row r="1684" customFormat="false" ht="15" hidden="false" customHeight="false" outlineLevel="0" collapsed="false">
      <c r="A1684" s="31"/>
      <c r="B1684" s="32"/>
      <c r="C1684" s="32"/>
      <c r="D1684" s="32"/>
      <c r="E1684" s="32"/>
      <c r="F1684" s="32"/>
      <c r="G1684" s="33"/>
      <c r="H1684" s="33"/>
      <c r="I1684" s="34" t="str">
        <f aca="false">IF($A1684="","",$G1684-$H1684)</f>
        <v/>
      </c>
      <c r="J1684" s="35" t="str">
        <f aca="false">IF($A1684="","",IF(Setup!$B$6=1,YEAR($A1684),YEAR($A1684)+IF(MONTH($A1684)&gt;=Setup!$B$6,1,0)))</f>
        <v/>
      </c>
      <c r="K1684" s="35" t="str">
        <f aca="false">IF($A1684="","",MOD(MONTH($A1684)-Setup!$B$6+12,12)+1)</f>
        <v/>
      </c>
      <c r="L1684" s="36" t="str">
        <f aca="false">IF($A1684="","",TEXT($A1684,"MMM-YY"))</f>
        <v/>
      </c>
      <c r="M1684" s="37" t="str">
        <f aca="false">IF($A1684="","",IF($Q1684=0,"UNMAPPED",INDEX(COA_Mapping!$C$7:$C$256,$Q1684)))</f>
        <v/>
      </c>
      <c r="N1684" s="38" t="str">
        <f aca="false">IF($A1684="","",IF($Q1684=0,"",INDEX(COA_Mapping!$E$7:$E$256,$Q1684)))</f>
        <v/>
      </c>
      <c r="O1684" s="38" t="n">
        <f aca="false">IF($A1684="",1,IF($Q1684=0,1,INDEX(COA_Mapping!$F$7:$F$256,$Q1684)))</f>
        <v>1</v>
      </c>
      <c r="P1684" s="34" t="str">
        <f aca="false">IF($A1684="","",$I1684*$O1684)</f>
        <v/>
      </c>
      <c r="Q1684" s="39" t="n">
        <f aca="false">IF($B1684="",0,IFERROR(MATCH($B1684,COA_Mapping!$A$7:$A$256,0),0))</f>
        <v>0</v>
      </c>
      <c r="R1684" s="39" t="n">
        <f aca="false">IF($A1684="",-1,IF($J1684=Setup!$B$7,1,IF($J1684=Setup!$B$9,0,-1)))</f>
        <v>-1</v>
      </c>
      <c r="S1684" s="35" t="n">
        <f aca="false">IF(OR($A1684="",$Q1684=0,$R1684=-1),0,$Q1684*1000+$R1684*100+$K1684)</f>
        <v>0</v>
      </c>
      <c r="T1684" s="37" t="str">
        <f aca="false">IF($A1684="","",IF($B1684="","NO ACCOUNT",IF($Q1684=0,"UNMAPPED",IF($R1684=-1,"OUTSIDE FY RANGE","OK"))))</f>
        <v/>
      </c>
      <c r="U1684" s="40" t="str">
        <f aca="false">IF($A1684="","",$B1684&amp;"|"&amp;TEXT($A1684,"yyyymmdd")&amp;"|"&amp;TEXT($I1684,"0.00"))</f>
        <v/>
      </c>
      <c r="V1684" s="35" t="str">
        <f aca="false">IF($A1684="","",COUNTIF($U$8:$U$5007,$U1684))</f>
        <v/>
      </c>
    </row>
    <row r="1685" customFormat="false" ht="15" hidden="false" customHeight="false" outlineLevel="0" collapsed="false">
      <c r="A1685" s="31"/>
      <c r="B1685" s="32"/>
      <c r="C1685" s="32"/>
      <c r="D1685" s="32"/>
      <c r="E1685" s="32"/>
      <c r="F1685" s="32"/>
      <c r="G1685" s="33"/>
      <c r="H1685" s="33"/>
      <c r="I1685" s="34" t="str">
        <f aca="false">IF($A1685="","",$G1685-$H1685)</f>
        <v/>
      </c>
      <c r="J1685" s="35" t="str">
        <f aca="false">IF($A1685="","",IF(Setup!$B$6=1,YEAR($A1685),YEAR($A1685)+IF(MONTH($A1685)&gt;=Setup!$B$6,1,0)))</f>
        <v/>
      </c>
      <c r="K1685" s="35" t="str">
        <f aca="false">IF($A1685="","",MOD(MONTH($A1685)-Setup!$B$6+12,12)+1)</f>
        <v/>
      </c>
      <c r="L1685" s="36" t="str">
        <f aca="false">IF($A1685="","",TEXT($A1685,"MMM-YY"))</f>
        <v/>
      </c>
      <c r="M1685" s="37" t="str">
        <f aca="false">IF($A1685="","",IF($Q1685=0,"UNMAPPED",INDEX(COA_Mapping!$C$7:$C$256,$Q1685)))</f>
        <v/>
      </c>
      <c r="N1685" s="38" t="str">
        <f aca="false">IF($A1685="","",IF($Q1685=0,"",INDEX(COA_Mapping!$E$7:$E$256,$Q1685)))</f>
        <v/>
      </c>
      <c r="O1685" s="38" t="n">
        <f aca="false">IF($A1685="",1,IF($Q1685=0,1,INDEX(COA_Mapping!$F$7:$F$256,$Q1685)))</f>
        <v>1</v>
      </c>
      <c r="P1685" s="34" t="str">
        <f aca="false">IF($A1685="","",$I1685*$O1685)</f>
        <v/>
      </c>
      <c r="Q1685" s="39" t="n">
        <f aca="false">IF($B1685="",0,IFERROR(MATCH($B1685,COA_Mapping!$A$7:$A$256,0),0))</f>
        <v>0</v>
      </c>
      <c r="R1685" s="39" t="n">
        <f aca="false">IF($A1685="",-1,IF($J1685=Setup!$B$7,1,IF($J1685=Setup!$B$9,0,-1)))</f>
        <v>-1</v>
      </c>
      <c r="S1685" s="35" t="n">
        <f aca="false">IF(OR($A1685="",$Q1685=0,$R1685=-1),0,$Q1685*1000+$R1685*100+$K1685)</f>
        <v>0</v>
      </c>
      <c r="T1685" s="37" t="str">
        <f aca="false">IF($A1685="","",IF($B1685="","NO ACCOUNT",IF($Q1685=0,"UNMAPPED",IF($R1685=-1,"OUTSIDE FY RANGE","OK"))))</f>
        <v/>
      </c>
      <c r="U1685" s="40" t="str">
        <f aca="false">IF($A1685="","",$B1685&amp;"|"&amp;TEXT($A1685,"yyyymmdd")&amp;"|"&amp;TEXT($I1685,"0.00"))</f>
        <v/>
      </c>
      <c r="V1685" s="35" t="str">
        <f aca="false">IF($A1685="","",COUNTIF($U$8:$U$5007,$U1685))</f>
        <v/>
      </c>
    </row>
    <row r="1686" customFormat="false" ht="15" hidden="false" customHeight="false" outlineLevel="0" collapsed="false">
      <c r="A1686" s="31"/>
      <c r="B1686" s="32"/>
      <c r="C1686" s="32"/>
      <c r="D1686" s="32"/>
      <c r="E1686" s="32"/>
      <c r="F1686" s="32"/>
      <c r="G1686" s="33"/>
      <c r="H1686" s="33"/>
      <c r="I1686" s="34" t="str">
        <f aca="false">IF($A1686="","",$G1686-$H1686)</f>
        <v/>
      </c>
      <c r="J1686" s="35" t="str">
        <f aca="false">IF($A1686="","",IF(Setup!$B$6=1,YEAR($A1686),YEAR($A1686)+IF(MONTH($A1686)&gt;=Setup!$B$6,1,0)))</f>
        <v/>
      </c>
      <c r="K1686" s="35" t="str">
        <f aca="false">IF($A1686="","",MOD(MONTH($A1686)-Setup!$B$6+12,12)+1)</f>
        <v/>
      </c>
      <c r="L1686" s="36" t="str">
        <f aca="false">IF($A1686="","",TEXT($A1686,"MMM-YY"))</f>
        <v/>
      </c>
      <c r="M1686" s="37" t="str">
        <f aca="false">IF($A1686="","",IF($Q1686=0,"UNMAPPED",INDEX(COA_Mapping!$C$7:$C$256,$Q1686)))</f>
        <v/>
      </c>
      <c r="N1686" s="38" t="str">
        <f aca="false">IF($A1686="","",IF($Q1686=0,"",INDEX(COA_Mapping!$E$7:$E$256,$Q1686)))</f>
        <v/>
      </c>
      <c r="O1686" s="38" t="n">
        <f aca="false">IF($A1686="",1,IF($Q1686=0,1,INDEX(COA_Mapping!$F$7:$F$256,$Q1686)))</f>
        <v>1</v>
      </c>
      <c r="P1686" s="34" t="str">
        <f aca="false">IF($A1686="","",$I1686*$O1686)</f>
        <v/>
      </c>
      <c r="Q1686" s="39" t="n">
        <f aca="false">IF($B1686="",0,IFERROR(MATCH($B1686,COA_Mapping!$A$7:$A$256,0),0))</f>
        <v>0</v>
      </c>
      <c r="R1686" s="39" t="n">
        <f aca="false">IF($A1686="",-1,IF($J1686=Setup!$B$7,1,IF($J1686=Setup!$B$9,0,-1)))</f>
        <v>-1</v>
      </c>
      <c r="S1686" s="35" t="n">
        <f aca="false">IF(OR($A1686="",$Q1686=0,$R1686=-1),0,$Q1686*1000+$R1686*100+$K1686)</f>
        <v>0</v>
      </c>
      <c r="T1686" s="37" t="str">
        <f aca="false">IF($A1686="","",IF($B1686="","NO ACCOUNT",IF($Q1686=0,"UNMAPPED",IF($R1686=-1,"OUTSIDE FY RANGE","OK"))))</f>
        <v/>
      </c>
      <c r="U1686" s="40" t="str">
        <f aca="false">IF($A1686="","",$B1686&amp;"|"&amp;TEXT($A1686,"yyyymmdd")&amp;"|"&amp;TEXT($I1686,"0.00"))</f>
        <v/>
      </c>
      <c r="V1686" s="35" t="str">
        <f aca="false">IF($A1686="","",COUNTIF($U$8:$U$5007,$U1686))</f>
        <v/>
      </c>
    </row>
    <row r="1687" customFormat="false" ht="15" hidden="false" customHeight="false" outlineLevel="0" collapsed="false">
      <c r="A1687" s="31"/>
      <c r="B1687" s="32"/>
      <c r="C1687" s="32"/>
      <c r="D1687" s="32"/>
      <c r="E1687" s="32"/>
      <c r="F1687" s="32"/>
      <c r="G1687" s="33"/>
      <c r="H1687" s="33"/>
      <c r="I1687" s="34" t="str">
        <f aca="false">IF($A1687="","",$G1687-$H1687)</f>
        <v/>
      </c>
      <c r="J1687" s="35" t="str">
        <f aca="false">IF($A1687="","",IF(Setup!$B$6=1,YEAR($A1687),YEAR($A1687)+IF(MONTH($A1687)&gt;=Setup!$B$6,1,0)))</f>
        <v/>
      </c>
      <c r="K1687" s="35" t="str">
        <f aca="false">IF($A1687="","",MOD(MONTH($A1687)-Setup!$B$6+12,12)+1)</f>
        <v/>
      </c>
      <c r="L1687" s="36" t="str">
        <f aca="false">IF($A1687="","",TEXT($A1687,"MMM-YY"))</f>
        <v/>
      </c>
      <c r="M1687" s="37" t="str">
        <f aca="false">IF($A1687="","",IF($Q1687=0,"UNMAPPED",INDEX(COA_Mapping!$C$7:$C$256,$Q1687)))</f>
        <v/>
      </c>
      <c r="N1687" s="38" t="str">
        <f aca="false">IF($A1687="","",IF($Q1687=0,"",INDEX(COA_Mapping!$E$7:$E$256,$Q1687)))</f>
        <v/>
      </c>
      <c r="O1687" s="38" t="n">
        <f aca="false">IF($A1687="",1,IF($Q1687=0,1,INDEX(COA_Mapping!$F$7:$F$256,$Q1687)))</f>
        <v>1</v>
      </c>
      <c r="P1687" s="34" t="str">
        <f aca="false">IF($A1687="","",$I1687*$O1687)</f>
        <v/>
      </c>
      <c r="Q1687" s="39" t="n">
        <f aca="false">IF($B1687="",0,IFERROR(MATCH($B1687,COA_Mapping!$A$7:$A$256,0),0))</f>
        <v>0</v>
      </c>
      <c r="R1687" s="39" t="n">
        <f aca="false">IF($A1687="",-1,IF($J1687=Setup!$B$7,1,IF($J1687=Setup!$B$9,0,-1)))</f>
        <v>-1</v>
      </c>
      <c r="S1687" s="35" t="n">
        <f aca="false">IF(OR($A1687="",$Q1687=0,$R1687=-1),0,$Q1687*1000+$R1687*100+$K1687)</f>
        <v>0</v>
      </c>
      <c r="T1687" s="37" t="str">
        <f aca="false">IF($A1687="","",IF($B1687="","NO ACCOUNT",IF($Q1687=0,"UNMAPPED",IF($R1687=-1,"OUTSIDE FY RANGE","OK"))))</f>
        <v/>
      </c>
      <c r="U1687" s="40" t="str">
        <f aca="false">IF($A1687="","",$B1687&amp;"|"&amp;TEXT($A1687,"yyyymmdd")&amp;"|"&amp;TEXT($I1687,"0.00"))</f>
        <v/>
      </c>
      <c r="V1687" s="35" t="str">
        <f aca="false">IF($A1687="","",COUNTIF($U$8:$U$5007,$U1687))</f>
        <v/>
      </c>
    </row>
    <row r="1688" customFormat="false" ht="15" hidden="false" customHeight="false" outlineLevel="0" collapsed="false">
      <c r="A1688" s="31"/>
      <c r="B1688" s="32"/>
      <c r="C1688" s="32"/>
      <c r="D1688" s="32"/>
      <c r="E1688" s="32"/>
      <c r="F1688" s="32"/>
      <c r="G1688" s="33"/>
      <c r="H1688" s="33"/>
      <c r="I1688" s="34" t="str">
        <f aca="false">IF($A1688="","",$G1688-$H1688)</f>
        <v/>
      </c>
      <c r="J1688" s="35" t="str">
        <f aca="false">IF($A1688="","",IF(Setup!$B$6=1,YEAR($A1688),YEAR($A1688)+IF(MONTH($A1688)&gt;=Setup!$B$6,1,0)))</f>
        <v/>
      </c>
      <c r="K1688" s="35" t="str">
        <f aca="false">IF($A1688="","",MOD(MONTH($A1688)-Setup!$B$6+12,12)+1)</f>
        <v/>
      </c>
      <c r="L1688" s="36" t="str">
        <f aca="false">IF($A1688="","",TEXT($A1688,"MMM-YY"))</f>
        <v/>
      </c>
      <c r="M1688" s="37" t="str">
        <f aca="false">IF($A1688="","",IF($Q1688=0,"UNMAPPED",INDEX(COA_Mapping!$C$7:$C$256,$Q1688)))</f>
        <v/>
      </c>
      <c r="N1688" s="38" t="str">
        <f aca="false">IF($A1688="","",IF($Q1688=0,"",INDEX(COA_Mapping!$E$7:$E$256,$Q1688)))</f>
        <v/>
      </c>
      <c r="O1688" s="38" t="n">
        <f aca="false">IF($A1688="",1,IF($Q1688=0,1,INDEX(COA_Mapping!$F$7:$F$256,$Q1688)))</f>
        <v>1</v>
      </c>
      <c r="P1688" s="34" t="str">
        <f aca="false">IF($A1688="","",$I1688*$O1688)</f>
        <v/>
      </c>
      <c r="Q1688" s="39" t="n">
        <f aca="false">IF($B1688="",0,IFERROR(MATCH($B1688,COA_Mapping!$A$7:$A$256,0),0))</f>
        <v>0</v>
      </c>
      <c r="R1688" s="39" t="n">
        <f aca="false">IF($A1688="",-1,IF($J1688=Setup!$B$7,1,IF($J1688=Setup!$B$9,0,-1)))</f>
        <v>-1</v>
      </c>
      <c r="S1688" s="35" t="n">
        <f aca="false">IF(OR($A1688="",$Q1688=0,$R1688=-1),0,$Q1688*1000+$R1688*100+$K1688)</f>
        <v>0</v>
      </c>
      <c r="T1688" s="37" t="str">
        <f aca="false">IF($A1688="","",IF($B1688="","NO ACCOUNT",IF($Q1688=0,"UNMAPPED",IF($R1688=-1,"OUTSIDE FY RANGE","OK"))))</f>
        <v/>
      </c>
      <c r="U1688" s="40" t="str">
        <f aca="false">IF($A1688="","",$B1688&amp;"|"&amp;TEXT($A1688,"yyyymmdd")&amp;"|"&amp;TEXT($I1688,"0.00"))</f>
        <v/>
      </c>
      <c r="V1688" s="35" t="str">
        <f aca="false">IF($A1688="","",COUNTIF($U$8:$U$5007,$U1688))</f>
        <v/>
      </c>
    </row>
    <row r="1689" customFormat="false" ht="15" hidden="false" customHeight="false" outlineLevel="0" collapsed="false">
      <c r="A1689" s="31"/>
      <c r="B1689" s="32"/>
      <c r="C1689" s="32"/>
      <c r="D1689" s="32"/>
      <c r="E1689" s="32"/>
      <c r="F1689" s="32"/>
      <c r="G1689" s="33"/>
      <c r="H1689" s="33"/>
      <c r="I1689" s="34" t="str">
        <f aca="false">IF($A1689="","",$G1689-$H1689)</f>
        <v/>
      </c>
      <c r="J1689" s="35" t="str">
        <f aca="false">IF($A1689="","",IF(Setup!$B$6=1,YEAR($A1689),YEAR($A1689)+IF(MONTH($A1689)&gt;=Setup!$B$6,1,0)))</f>
        <v/>
      </c>
      <c r="K1689" s="35" t="str">
        <f aca="false">IF($A1689="","",MOD(MONTH($A1689)-Setup!$B$6+12,12)+1)</f>
        <v/>
      </c>
      <c r="L1689" s="36" t="str">
        <f aca="false">IF($A1689="","",TEXT($A1689,"MMM-YY"))</f>
        <v/>
      </c>
      <c r="M1689" s="37" t="str">
        <f aca="false">IF($A1689="","",IF($Q1689=0,"UNMAPPED",INDEX(COA_Mapping!$C$7:$C$256,$Q1689)))</f>
        <v/>
      </c>
      <c r="N1689" s="38" t="str">
        <f aca="false">IF($A1689="","",IF($Q1689=0,"",INDEX(COA_Mapping!$E$7:$E$256,$Q1689)))</f>
        <v/>
      </c>
      <c r="O1689" s="38" t="n">
        <f aca="false">IF($A1689="",1,IF($Q1689=0,1,INDEX(COA_Mapping!$F$7:$F$256,$Q1689)))</f>
        <v>1</v>
      </c>
      <c r="P1689" s="34" t="str">
        <f aca="false">IF($A1689="","",$I1689*$O1689)</f>
        <v/>
      </c>
      <c r="Q1689" s="39" t="n">
        <f aca="false">IF($B1689="",0,IFERROR(MATCH($B1689,COA_Mapping!$A$7:$A$256,0),0))</f>
        <v>0</v>
      </c>
      <c r="R1689" s="39" t="n">
        <f aca="false">IF($A1689="",-1,IF($J1689=Setup!$B$7,1,IF($J1689=Setup!$B$9,0,-1)))</f>
        <v>-1</v>
      </c>
      <c r="S1689" s="35" t="n">
        <f aca="false">IF(OR($A1689="",$Q1689=0,$R1689=-1),0,$Q1689*1000+$R1689*100+$K1689)</f>
        <v>0</v>
      </c>
      <c r="T1689" s="37" t="str">
        <f aca="false">IF($A1689="","",IF($B1689="","NO ACCOUNT",IF($Q1689=0,"UNMAPPED",IF($R1689=-1,"OUTSIDE FY RANGE","OK"))))</f>
        <v/>
      </c>
      <c r="U1689" s="40" t="str">
        <f aca="false">IF($A1689="","",$B1689&amp;"|"&amp;TEXT($A1689,"yyyymmdd")&amp;"|"&amp;TEXT($I1689,"0.00"))</f>
        <v/>
      </c>
      <c r="V1689" s="35" t="str">
        <f aca="false">IF($A1689="","",COUNTIF($U$8:$U$5007,$U1689))</f>
        <v/>
      </c>
    </row>
    <row r="1690" customFormat="false" ht="15" hidden="false" customHeight="false" outlineLevel="0" collapsed="false">
      <c r="A1690" s="31"/>
      <c r="B1690" s="32"/>
      <c r="C1690" s="32"/>
      <c r="D1690" s="32"/>
      <c r="E1690" s="32"/>
      <c r="F1690" s="32"/>
      <c r="G1690" s="33"/>
      <c r="H1690" s="33"/>
      <c r="I1690" s="34" t="str">
        <f aca="false">IF($A1690="","",$G1690-$H1690)</f>
        <v/>
      </c>
      <c r="J1690" s="35" t="str">
        <f aca="false">IF($A1690="","",IF(Setup!$B$6=1,YEAR($A1690),YEAR($A1690)+IF(MONTH($A1690)&gt;=Setup!$B$6,1,0)))</f>
        <v/>
      </c>
      <c r="K1690" s="35" t="str">
        <f aca="false">IF($A1690="","",MOD(MONTH($A1690)-Setup!$B$6+12,12)+1)</f>
        <v/>
      </c>
      <c r="L1690" s="36" t="str">
        <f aca="false">IF($A1690="","",TEXT($A1690,"MMM-YY"))</f>
        <v/>
      </c>
      <c r="M1690" s="37" t="str">
        <f aca="false">IF($A1690="","",IF($Q1690=0,"UNMAPPED",INDEX(COA_Mapping!$C$7:$C$256,$Q1690)))</f>
        <v/>
      </c>
      <c r="N1690" s="38" t="str">
        <f aca="false">IF($A1690="","",IF($Q1690=0,"",INDEX(COA_Mapping!$E$7:$E$256,$Q1690)))</f>
        <v/>
      </c>
      <c r="O1690" s="38" t="n">
        <f aca="false">IF($A1690="",1,IF($Q1690=0,1,INDEX(COA_Mapping!$F$7:$F$256,$Q1690)))</f>
        <v>1</v>
      </c>
      <c r="P1690" s="34" t="str">
        <f aca="false">IF($A1690="","",$I1690*$O1690)</f>
        <v/>
      </c>
      <c r="Q1690" s="39" t="n">
        <f aca="false">IF($B1690="",0,IFERROR(MATCH($B1690,COA_Mapping!$A$7:$A$256,0),0))</f>
        <v>0</v>
      </c>
      <c r="R1690" s="39" t="n">
        <f aca="false">IF($A1690="",-1,IF($J1690=Setup!$B$7,1,IF($J1690=Setup!$B$9,0,-1)))</f>
        <v>-1</v>
      </c>
      <c r="S1690" s="35" t="n">
        <f aca="false">IF(OR($A1690="",$Q1690=0,$R1690=-1),0,$Q1690*1000+$R1690*100+$K1690)</f>
        <v>0</v>
      </c>
      <c r="T1690" s="37" t="str">
        <f aca="false">IF($A1690="","",IF($B1690="","NO ACCOUNT",IF($Q1690=0,"UNMAPPED",IF($R1690=-1,"OUTSIDE FY RANGE","OK"))))</f>
        <v/>
      </c>
      <c r="U1690" s="40" t="str">
        <f aca="false">IF($A1690="","",$B1690&amp;"|"&amp;TEXT($A1690,"yyyymmdd")&amp;"|"&amp;TEXT($I1690,"0.00"))</f>
        <v/>
      </c>
      <c r="V1690" s="35" t="str">
        <f aca="false">IF($A1690="","",COUNTIF($U$8:$U$5007,$U1690))</f>
        <v/>
      </c>
    </row>
    <row r="1691" customFormat="false" ht="15" hidden="false" customHeight="false" outlineLevel="0" collapsed="false">
      <c r="A1691" s="31"/>
      <c r="B1691" s="32"/>
      <c r="C1691" s="32"/>
      <c r="D1691" s="32"/>
      <c r="E1691" s="32"/>
      <c r="F1691" s="32"/>
      <c r="G1691" s="33"/>
      <c r="H1691" s="33"/>
      <c r="I1691" s="34" t="str">
        <f aca="false">IF($A1691="","",$G1691-$H1691)</f>
        <v/>
      </c>
      <c r="J1691" s="35" t="str">
        <f aca="false">IF($A1691="","",IF(Setup!$B$6=1,YEAR($A1691),YEAR($A1691)+IF(MONTH($A1691)&gt;=Setup!$B$6,1,0)))</f>
        <v/>
      </c>
      <c r="K1691" s="35" t="str">
        <f aca="false">IF($A1691="","",MOD(MONTH($A1691)-Setup!$B$6+12,12)+1)</f>
        <v/>
      </c>
      <c r="L1691" s="36" t="str">
        <f aca="false">IF($A1691="","",TEXT($A1691,"MMM-YY"))</f>
        <v/>
      </c>
      <c r="M1691" s="37" t="str">
        <f aca="false">IF($A1691="","",IF($Q1691=0,"UNMAPPED",INDEX(COA_Mapping!$C$7:$C$256,$Q1691)))</f>
        <v/>
      </c>
      <c r="N1691" s="38" t="str">
        <f aca="false">IF($A1691="","",IF($Q1691=0,"",INDEX(COA_Mapping!$E$7:$E$256,$Q1691)))</f>
        <v/>
      </c>
      <c r="O1691" s="38" t="n">
        <f aca="false">IF($A1691="",1,IF($Q1691=0,1,INDEX(COA_Mapping!$F$7:$F$256,$Q1691)))</f>
        <v>1</v>
      </c>
      <c r="P1691" s="34" t="str">
        <f aca="false">IF($A1691="","",$I1691*$O1691)</f>
        <v/>
      </c>
      <c r="Q1691" s="39" t="n">
        <f aca="false">IF($B1691="",0,IFERROR(MATCH($B1691,COA_Mapping!$A$7:$A$256,0),0))</f>
        <v>0</v>
      </c>
      <c r="R1691" s="39" t="n">
        <f aca="false">IF($A1691="",-1,IF($J1691=Setup!$B$7,1,IF($J1691=Setup!$B$9,0,-1)))</f>
        <v>-1</v>
      </c>
      <c r="S1691" s="35" t="n">
        <f aca="false">IF(OR($A1691="",$Q1691=0,$R1691=-1),0,$Q1691*1000+$R1691*100+$K1691)</f>
        <v>0</v>
      </c>
      <c r="T1691" s="37" t="str">
        <f aca="false">IF($A1691="","",IF($B1691="","NO ACCOUNT",IF($Q1691=0,"UNMAPPED",IF($R1691=-1,"OUTSIDE FY RANGE","OK"))))</f>
        <v/>
      </c>
      <c r="U1691" s="40" t="str">
        <f aca="false">IF($A1691="","",$B1691&amp;"|"&amp;TEXT($A1691,"yyyymmdd")&amp;"|"&amp;TEXT($I1691,"0.00"))</f>
        <v/>
      </c>
      <c r="V1691" s="35" t="str">
        <f aca="false">IF($A1691="","",COUNTIF($U$8:$U$5007,$U1691))</f>
        <v/>
      </c>
    </row>
    <row r="1692" customFormat="false" ht="15" hidden="false" customHeight="false" outlineLevel="0" collapsed="false">
      <c r="A1692" s="31"/>
      <c r="B1692" s="32"/>
      <c r="C1692" s="32"/>
      <c r="D1692" s="32"/>
      <c r="E1692" s="32"/>
      <c r="F1692" s="32"/>
      <c r="G1692" s="33"/>
      <c r="H1692" s="33"/>
      <c r="I1692" s="34" t="str">
        <f aca="false">IF($A1692="","",$G1692-$H1692)</f>
        <v/>
      </c>
      <c r="J1692" s="35" t="str">
        <f aca="false">IF($A1692="","",IF(Setup!$B$6=1,YEAR($A1692),YEAR($A1692)+IF(MONTH($A1692)&gt;=Setup!$B$6,1,0)))</f>
        <v/>
      </c>
      <c r="K1692" s="35" t="str">
        <f aca="false">IF($A1692="","",MOD(MONTH($A1692)-Setup!$B$6+12,12)+1)</f>
        <v/>
      </c>
      <c r="L1692" s="36" t="str">
        <f aca="false">IF($A1692="","",TEXT($A1692,"MMM-YY"))</f>
        <v/>
      </c>
      <c r="M1692" s="37" t="str">
        <f aca="false">IF($A1692="","",IF($Q1692=0,"UNMAPPED",INDEX(COA_Mapping!$C$7:$C$256,$Q1692)))</f>
        <v/>
      </c>
      <c r="N1692" s="38" t="str">
        <f aca="false">IF($A1692="","",IF($Q1692=0,"",INDEX(COA_Mapping!$E$7:$E$256,$Q1692)))</f>
        <v/>
      </c>
      <c r="O1692" s="38" t="n">
        <f aca="false">IF($A1692="",1,IF($Q1692=0,1,INDEX(COA_Mapping!$F$7:$F$256,$Q1692)))</f>
        <v>1</v>
      </c>
      <c r="P1692" s="34" t="str">
        <f aca="false">IF($A1692="","",$I1692*$O1692)</f>
        <v/>
      </c>
      <c r="Q1692" s="39" t="n">
        <f aca="false">IF($B1692="",0,IFERROR(MATCH($B1692,COA_Mapping!$A$7:$A$256,0),0))</f>
        <v>0</v>
      </c>
      <c r="R1692" s="39" t="n">
        <f aca="false">IF($A1692="",-1,IF($J1692=Setup!$B$7,1,IF($J1692=Setup!$B$9,0,-1)))</f>
        <v>-1</v>
      </c>
      <c r="S1692" s="35" t="n">
        <f aca="false">IF(OR($A1692="",$Q1692=0,$R1692=-1),0,$Q1692*1000+$R1692*100+$K1692)</f>
        <v>0</v>
      </c>
      <c r="T1692" s="37" t="str">
        <f aca="false">IF($A1692="","",IF($B1692="","NO ACCOUNT",IF($Q1692=0,"UNMAPPED",IF($R1692=-1,"OUTSIDE FY RANGE","OK"))))</f>
        <v/>
      </c>
      <c r="U1692" s="40" t="str">
        <f aca="false">IF($A1692="","",$B1692&amp;"|"&amp;TEXT($A1692,"yyyymmdd")&amp;"|"&amp;TEXT($I1692,"0.00"))</f>
        <v/>
      </c>
      <c r="V1692" s="35" t="str">
        <f aca="false">IF($A1692="","",COUNTIF($U$8:$U$5007,$U1692))</f>
        <v/>
      </c>
    </row>
    <row r="1693" customFormat="false" ht="15" hidden="false" customHeight="false" outlineLevel="0" collapsed="false">
      <c r="A1693" s="31"/>
      <c r="B1693" s="32"/>
      <c r="C1693" s="32"/>
      <c r="D1693" s="32"/>
      <c r="E1693" s="32"/>
      <c r="F1693" s="32"/>
      <c r="G1693" s="33"/>
      <c r="H1693" s="33"/>
      <c r="I1693" s="34" t="str">
        <f aca="false">IF($A1693="","",$G1693-$H1693)</f>
        <v/>
      </c>
      <c r="J1693" s="35" t="str">
        <f aca="false">IF($A1693="","",IF(Setup!$B$6=1,YEAR($A1693),YEAR($A1693)+IF(MONTH($A1693)&gt;=Setup!$B$6,1,0)))</f>
        <v/>
      </c>
      <c r="K1693" s="35" t="str">
        <f aca="false">IF($A1693="","",MOD(MONTH($A1693)-Setup!$B$6+12,12)+1)</f>
        <v/>
      </c>
      <c r="L1693" s="36" t="str">
        <f aca="false">IF($A1693="","",TEXT($A1693,"MMM-YY"))</f>
        <v/>
      </c>
      <c r="M1693" s="37" t="str">
        <f aca="false">IF($A1693="","",IF($Q1693=0,"UNMAPPED",INDEX(COA_Mapping!$C$7:$C$256,$Q1693)))</f>
        <v/>
      </c>
      <c r="N1693" s="38" t="str">
        <f aca="false">IF($A1693="","",IF($Q1693=0,"",INDEX(COA_Mapping!$E$7:$E$256,$Q1693)))</f>
        <v/>
      </c>
      <c r="O1693" s="38" t="n">
        <f aca="false">IF($A1693="",1,IF($Q1693=0,1,INDEX(COA_Mapping!$F$7:$F$256,$Q1693)))</f>
        <v>1</v>
      </c>
      <c r="P1693" s="34" t="str">
        <f aca="false">IF($A1693="","",$I1693*$O1693)</f>
        <v/>
      </c>
      <c r="Q1693" s="39" t="n">
        <f aca="false">IF($B1693="",0,IFERROR(MATCH($B1693,COA_Mapping!$A$7:$A$256,0),0))</f>
        <v>0</v>
      </c>
      <c r="R1693" s="39" t="n">
        <f aca="false">IF($A1693="",-1,IF($J1693=Setup!$B$7,1,IF($J1693=Setup!$B$9,0,-1)))</f>
        <v>-1</v>
      </c>
      <c r="S1693" s="35" t="n">
        <f aca="false">IF(OR($A1693="",$Q1693=0,$R1693=-1),0,$Q1693*1000+$R1693*100+$K1693)</f>
        <v>0</v>
      </c>
      <c r="T1693" s="37" t="str">
        <f aca="false">IF($A1693="","",IF($B1693="","NO ACCOUNT",IF($Q1693=0,"UNMAPPED",IF($R1693=-1,"OUTSIDE FY RANGE","OK"))))</f>
        <v/>
      </c>
      <c r="U1693" s="40" t="str">
        <f aca="false">IF($A1693="","",$B1693&amp;"|"&amp;TEXT($A1693,"yyyymmdd")&amp;"|"&amp;TEXT($I1693,"0.00"))</f>
        <v/>
      </c>
      <c r="V1693" s="35" t="str">
        <f aca="false">IF($A1693="","",COUNTIF($U$8:$U$5007,$U1693))</f>
        <v/>
      </c>
    </row>
    <row r="1694" customFormat="false" ht="15" hidden="false" customHeight="false" outlineLevel="0" collapsed="false">
      <c r="A1694" s="31"/>
      <c r="B1694" s="32"/>
      <c r="C1694" s="32"/>
      <c r="D1694" s="32"/>
      <c r="E1694" s="32"/>
      <c r="F1694" s="32"/>
      <c r="G1694" s="33"/>
      <c r="H1694" s="33"/>
      <c r="I1694" s="34" t="str">
        <f aca="false">IF($A1694="","",$G1694-$H1694)</f>
        <v/>
      </c>
      <c r="J1694" s="35" t="str">
        <f aca="false">IF($A1694="","",IF(Setup!$B$6=1,YEAR($A1694),YEAR($A1694)+IF(MONTH($A1694)&gt;=Setup!$B$6,1,0)))</f>
        <v/>
      </c>
      <c r="K1694" s="35" t="str">
        <f aca="false">IF($A1694="","",MOD(MONTH($A1694)-Setup!$B$6+12,12)+1)</f>
        <v/>
      </c>
      <c r="L1694" s="36" t="str">
        <f aca="false">IF($A1694="","",TEXT($A1694,"MMM-YY"))</f>
        <v/>
      </c>
      <c r="M1694" s="37" t="str">
        <f aca="false">IF($A1694="","",IF($Q1694=0,"UNMAPPED",INDEX(COA_Mapping!$C$7:$C$256,$Q1694)))</f>
        <v/>
      </c>
      <c r="N1694" s="38" t="str">
        <f aca="false">IF($A1694="","",IF($Q1694=0,"",INDEX(COA_Mapping!$E$7:$E$256,$Q1694)))</f>
        <v/>
      </c>
      <c r="O1694" s="38" t="n">
        <f aca="false">IF($A1694="",1,IF($Q1694=0,1,INDEX(COA_Mapping!$F$7:$F$256,$Q1694)))</f>
        <v>1</v>
      </c>
      <c r="P1694" s="34" t="str">
        <f aca="false">IF($A1694="","",$I1694*$O1694)</f>
        <v/>
      </c>
      <c r="Q1694" s="39" t="n">
        <f aca="false">IF($B1694="",0,IFERROR(MATCH($B1694,COA_Mapping!$A$7:$A$256,0),0))</f>
        <v>0</v>
      </c>
      <c r="R1694" s="39" t="n">
        <f aca="false">IF($A1694="",-1,IF($J1694=Setup!$B$7,1,IF($J1694=Setup!$B$9,0,-1)))</f>
        <v>-1</v>
      </c>
      <c r="S1694" s="35" t="n">
        <f aca="false">IF(OR($A1694="",$Q1694=0,$R1694=-1),0,$Q1694*1000+$R1694*100+$K1694)</f>
        <v>0</v>
      </c>
      <c r="T1694" s="37" t="str">
        <f aca="false">IF($A1694="","",IF($B1694="","NO ACCOUNT",IF($Q1694=0,"UNMAPPED",IF($R1694=-1,"OUTSIDE FY RANGE","OK"))))</f>
        <v/>
      </c>
      <c r="U1694" s="40" t="str">
        <f aca="false">IF($A1694="","",$B1694&amp;"|"&amp;TEXT($A1694,"yyyymmdd")&amp;"|"&amp;TEXT($I1694,"0.00"))</f>
        <v/>
      </c>
      <c r="V1694" s="35" t="str">
        <f aca="false">IF($A1694="","",COUNTIF($U$8:$U$5007,$U1694))</f>
        <v/>
      </c>
    </row>
    <row r="1695" customFormat="false" ht="15" hidden="false" customHeight="false" outlineLevel="0" collapsed="false">
      <c r="A1695" s="31"/>
      <c r="B1695" s="32"/>
      <c r="C1695" s="32"/>
      <c r="D1695" s="32"/>
      <c r="E1695" s="32"/>
      <c r="F1695" s="32"/>
      <c r="G1695" s="33"/>
      <c r="H1695" s="33"/>
      <c r="I1695" s="34" t="str">
        <f aca="false">IF($A1695="","",$G1695-$H1695)</f>
        <v/>
      </c>
      <c r="J1695" s="35" t="str">
        <f aca="false">IF($A1695="","",IF(Setup!$B$6=1,YEAR($A1695),YEAR($A1695)+IF(MONTH($A1695)&gt;=Setup!$B$6,1,0)))</f>
        <v/>
      </c>
      <c r="K1695" s="35" t="str">
        <f aca="false">IF($A1695="","",MOD(MONTH($A1695)-Setup!$B$6+12,12)+1)</f>
        <v/>
      </c>
      <c r="L1695" s="36" t="str">
        <f aca="false">IF($A1695="","",TEXT($A1695,"MMM-YY"))</f>
        <v/>
      </c>
      <c r="M1695" s="37" t="str">
        <f aca="false">IF($A1695="","",IF($Q1695=0,"UNMAPPED",INDEX(COA_Mapping!$C$7:$C$256,$Q1695)))</f>
        <v/>
      </c>
      <c r="N1695" s="38" t="str">
        <f aca="false">IF($A1695="","",IF($Q1695=0,"",INDEX(COA_Mapping!$E$7:$E$256,$Q1695)))</f>
        <v/>
      </c>
      <c r="O1695" s="38" t="n">
        <f aca="false">IF($A1695="",1,IF($Q1695=0,1,INDEX(COA_Mapping!$F$7:$F$256,$Q1695)))</f>
        <v>1</v>
      </c>
      <c r="P1695" s="34" t="str">
        <f aca="false">IF($A1695="","",$I1695*$O1695)</f>
        <v/>
      </c>
      <c r="Q1695" s="39" t="n">
        <f aca="false">IF($B1695="",0,IFERROR(MATCH($B1695,COA_Mapping!$A$7:$A$256,0),0))</f>
        <v>0</v>
      </c>
      <c r="R1695" s="39" t="n">
        <f aca="false">IF($A1695="",-1,IF($J1695=Setup!$B$7,1,IF($J1695=Setup!$B$9,0,-1)))</f>
        <v>-1</v>
      </c>
      <c r="S1695" s="35" t="n">
        <f aca="false">IF(OR($A1695="",$Q1695=0,$R1695=-1),0,$Q1695*1000+$R1695*100+$K1695)</f>
        <v>0</v>
      </c>
      <c r="T1695" s="37" t="str">
        <f aca="false">IF($A1695="","",IF($B1695="","NO ACCOUNT",IF($Q1695=0,"UNMAPPED",IF($R1695=-1,"OUTSIDE FY RANGE","OK"))))</f>
        <v/>
      </c>
      <c r="U1695" s="40" t="str">
        <f aca="false">IF($A1695="","",$B1695&amp;"|"&amp;TEXT($A1695,"yyyymmdd")&amp;"|"&amp;TEXT($I1695,"0.00"))</f>
        <v/>
      </c>
      <c r="V1695" s="35" t="str">
        <f aca="false">IF($A1695="","",COUNTIF($U$8:$U$5007,$U1695))</f>
        <v/>
      </c>
    </row>
    <row r="1696" customFormat="false" ht="15" hidden="false" customHeight="false" outlineLevel="0" collapsed="false">
      <c r="A1696" s="31"/>
      <c r="B1696" s="32"/>
      <c r="C1696" s="32"/>
      <c r="D1696" s="32"/>
      <c r="E1696" s="32"/>
      <c r="F1696" s="32"/>
      <c r="G1696" s="33"/>
      <c r="H1696" s="33"/>
      <c r="I1696" s="34" t="str">
        <f aca="false">IF($A1696="","",$G1696-$H1696)</f>
        <v/>
      </c>
      <c r="J1696" s="35" t="str">
        <f aca="false">IF($A1696="","",IF(Setup!$B$6=1,YEAR($A1696),YEAR($A1696)+IF(MONTH($A1696)&gt;=Setup!$B$6,1,0)))</f>
        <v/>
      </c>
      <c r="K1696" s="35" t="str">
        <f aca="false">IF($A1696="","",MOD(MONTH($A1696)-Setup!$B$6+12,12)+1)</f>
        <v/>
      </c>
      <c r="L1696" s="36" t="str">
        <f aca="false">IF($A1696="","",TEXT($A1696,"MMM-YY"))</f>
        <v/>
      </c>
      <c r="M1696" s="37" t="str">
        <f aca="false">IF($A1696="","",IF($Q1696=0,"UNMAPPED",INDEX(COA_Mapping!$C$7:$C$256,$Q1696)))</f>
        <v/>
      </c>
      <c r="N1696" s="38" t="str">
        <f aca="false">IF($A1696="","",IF($Q1696=0,"",INDEX(COA_Mapping!$E$7:$E$256,$Q1696)))</f>
        <v/>
      </c>
      <c r="O1696" s="38" t="n">
        <f aca="false">IF($A1696="",1,IF($Q1696=0,1,INDEX(COA_Mapping!$F$7:$F$256,$Q1696)))</f>
        <v>1</v>
      </c>
      <c r="P1696" s="34" t="str">
        <f aca="false">IF($A1696="","",$I1696*$O1696)</f>
        <v/>
      </c>
      <c r="Q1696" s="39" t="n">
        <f aca="false">IF($B1696="",0,IFERROR(MATCH($B1696,COA_Mapping!$A$7:$A$256,0),0))</f>
        <v>0</v>
      </c>
      <c r="R1696" s="39" t="n">
        <f aca="false">IF($A1696="",-1,IF($J1696=Setup!$B$7,1,IF($J1696=Setup!$B$9,0,-1)))</f>
        <v>-1</v>
      </c>
      <c r="S1696" s="35" t="n">
        <f aca="false">IF(OR($A1696="",$Q1696=0,$R1696=-1),0,$Q1696*1000+$R1696*100+$K1696)</f>
        <v>0</v>
      </c>
      <c r="T1696" s="37" t="str">
        <f aca="false">IF($A1696="","",IF($B1696="","NO ACCOUNT",IF($Q1696=0,"UNMAPPED",IF($R1696=-1,"OUTSIDE FY RANGE","OK"))))</f>
        <v/>
      </c>
      <c r="U1696" s="40" t="str">
        <f aca="false">IF($A1696="","",$B1696&amp;"|"&amp;TEXT($A1696,"yyyymmdd")&amp;"|"&amp;TEXT($I1696,"0.00"))</f>
        <v/>
      </c>
      <c r="V1696" s="35" t="str">
        <f aca="false">IF($A1696="","",COUNTIF($U$8:$U$5007,$U1696))</f>
        <v/>
      </c>
    </row>
    <row r="1697" customFormat="false" ht="15" hidden="false" customHeight="false" outlineLevel="0" collapsed="false">
      <c r="A1697" s="31"/>
      <c r="B1697" s="32"/>
      <c r="C1697" s="32"/>
      <c r="D1697" s="32"/>
      <c r="E1697" s="32"/>
      <c r="F1697" s="32"/>
      <c r="G1697" s="33"/>
      <c r="H1697" s="33"/>
      <c r="I1697" s="34" t="str">
        <f aca="false">IF($A1697="","",$G1697-$H1697)</f>
        <v/>
      </c>
      <c r="J1697" s="35" t="str">
        <f aca="false">IF($A1697="","",IF(Setup!$B$6=1,YEAR($A1697),YEAR($A1697)+IF(MONTH($A1697)&gt;=Setup!$B$6,1,0)))</f>
        <v/>
      </c>
      <c r="K1697" s="35" t="str">
        <f aca="false">IF($A1697="","",MOD(MONTH($A1697)-Setup!$B$6+12,12)+1)</f>
        <v/>
      </c>
      <c r="L1697" s="36" t="str">
        <f aca="false">IF($A1697="","",TEXT($A1697,"MMM-YY"))</f>
        <v/>
      </c>
      <c r="M1697" s="37" t="str">
        <f aca="false">IF($A1697="","",IF($Q1697=0,"UNMAPPED",INDEX(COA_Mapping!$C$7:$C$256,$Q1697)))</f>
        <v/>
      </c>
      <c r="N1697" s="38" t="str">
        <f aca="false">IF($A1697="","",IF($Q1697=0,"",INDEX(COA_Mapping!$E$7:$E$256,$Q1697)))</f>
        <v/>
      </c>
      <c r="O1697" s="38" t="n">
        <f aca="false">IF($A1697="",1,IF($Q1697=0,1,INDEX(COA_Mapping!$F$7:$F$256,$Q1697)))</f>
        <v>1</v>
      </c>
      <c r="P1697" s="34" t="str">
        <f aca="false">IF($A1697="","",$I1697*$O1697)</f>
        <v/>
      </c>
      <c r="Q1697" s="39" t="n">
        <f aca="false">IF($B1697="",0,IFERROR(MATCH($B1697,COA_Mapping!$A$7:$A$256,0),0))</f>
        <v>0</v>
      </c>
      <c r="R1697" s="39" t="n">
        <f aca="false">IF($A1697="",-1,IF($J1697=Setup!$B$7,1,IF($J1697=Setup!$B$9,0,-1)))</f>
        <v>-1</v>
      </c>
      <c r="S1697" s="35" t="n">
        <f aca="false">IF(OR($A1697="",$Q1697=0,$R1697=-1),0,$Q1697*1000+$R1697*100+$K1697)</f>
        <v>0</v>
      </c>
      <c r="T1697" s="37" t="str">
        <f aca="false">IF($A1697="","",IF($B1697="","NO ACCOUNT",IF($Q1697=0,"UNMAPPED",IF($R1697=-1,"OUTSIDE FY RANGE","OK"))))</f>
        <v/>
      </c>
      <c r="U1697" s="40" t="str">
        <f aca="false">IF($A1697="","",$B1697&amp;"|"&amp;TEXT($A1697,"yyyymmdd")&amp;"|"&amp;TEXT($I1697,"0.00"))</f>
        <v/>
      </c>
      <c r="V1697" s="35" t="str">
        <f aca="false">IF($A1697="","",COUNTIF($U$8:$U$5007,$U1697))</f>
        <v/>
      </c>
    </row>
    <row r="1698" customFormat="false" ht="15" hidden="false" customHeight="false" outlineLevel="0" collapsed="false">
      <c r="A1698" s="31"/>
      <c r="B1698" s="32"/>
      <c r="C1698" s="32"/>
      <c r="D1698" s="32"/>
      <c r="E1698" s="32"/>
      <c r="F1698" s="32"/>
      <c r="G1698" s="33"/>
      <c r="H1698" s="33"/>
      <c r="I1698" s="34" t="str">
        <f aca="false">IF($A1698="","",$G1698-$H1698)</f>
        <v/>
      </c>
      <c r="J1698" s="35" t="str">
        <f aca="false">IF($A1698="","",IF(Setup!$B$6=1,YEAR($A1698),YEAR($A1698)+IF(MONTH($A1698)&gt;=Setup!$B$6,1,0)))</f>
        <v/>
      </c>
      <c r="K1698" s="35" t="str">
        <f aca="false">IF($A1698="","",MOD(MONTH($A1698)-Setup!$B$6+12,12)+1)</f>
        <v/>
      </c>
      <c r="L1698" s="36" t="str">
        <f aca="false">IF($A1698="","",TEXT($A1698,"MMM-YY"))</f>
        <v/>
      </c>
      <c r="M1698" s="37" t="str">
        <f aca="false">IF($A1698="","",IF($Q1698=0,"UNMAPPED",INDEX(COA_Mapping!$C$7:$C$256,$Q1698)))</f>
        <v/>
      </c>
      <c r="N1698" s="38" t="str">
        <f aca="false">IF($A1698="","",IF($Q1698=0,"",INDEX(COA_Mapping!$E$7:$E$256,$Q1698)))</f>
        <v/>
      </c>
      <c r="O1698" s="38" t="n">
        <f aca="false">IF($A1698="",1,IF($Q1698=0,1,INDEX(COA_Mapping!$F$7:$F$256,$Q1698)))</f>
        <v>1</v>
      </c>
      <c r="P1698" s="34" t="str">
        <f aca="false">IF($A1698="","",$I1698*$O1698)</f>
        <v/>
      </c>
      <c r="Q1698" s="39" t="n">
        <f aca="false">IF($B1698="",0,IFERROR(MATCH($B1698,COA_Mapping!$A$7:$A$256,0),0))</f>
        <v>0</v>
      </c>
      <c r="R1698" s="39" t="n">
        <f aca="false">IF($A1698="",-1,IF($J1698=Setup!$B$7,1,IF($J1698=Setup!$B$9,0,-1)))</f>
        <v>-1</v>
      </c>
      <c r="S1698" s="35" t="n">
        <f aca="false">IF(OR($A1698="",$Q1698=0,$R1698=-1),0,$Q1698*1000+$R1698*100+$K1698)</f>
        <v>0</v>
      </c>
      <c r="T1698" s="37" t="str">
        <f aca="false">IF($A1698="","",IF($B1698="","NO ACCOUNT",IF($Q1698=0,"UNMAPPED",IF($R1698=-1,"OUTSIDE FY RANGE","OK"))))</f>
        <v/>
      </c>
      <c r="U1698" s="40" t="str">
        <f aca="false">IF($A1698="","",$B1698&amp;"|"&amp;TEXT($A1698,"yyyymmdd")&amp;"|"&amp;TEXT($I1698,"0.00"))</f>
        <v/>
      </c>
      <c r="V1698" s="35" t="str">
        <f aca="false">IF($A1698="","",COUNTIF($U$8:$U$5007,$U1698))</f>
        <v/>
      </c>
    </row>
    <row r="1699" customFormat="false" ht="15" hidden="false" customHeight="false" outlineLevel="0" collapsed="false">
      <c r="A1699" s="31"/>
      <c r="B1699" s="32"/>
      <c r="C1699" s="32"/>
      <c r="D1699" s="32"/>
      <c r="E1699" s="32"/>
      <c r="F1699" s="32"/>
      <c r="G1699" s="33"/>
      <c r="H1699" s="33"/>
      <c r="I1699" s="34" t="str">
        <f aca="false">IF($A1699="","",$G1699-$H1699)</f>
        <v/>
      </c>
      <c r="J1699" s="35" t="str">
        <f aca="false">IF($A1699="","",IF(Setup!$B$6=1,YEAR($A1699),YEAR($A1699)+IF(MONTH($A1699)&gt;=Setup!$B$6,1,0)))</f>
        <v/>
      </c>
      <c r="K1699" s="35" t="str">
        <f aca="false">IF($A1699="","",MOD(MONTH($A1699)-Setup!$B$6+12,12)+1)</f>
        <v/>
      </c>
      <c r="L1699" s="36" t="str">
        <f aca="false">IF($A1699="","",TEXT($A1699,"MMM-YY"))</f>
        <v/>
      </c>
      <c r="M1699" s="37" t="str">
        <f aca="false">IF($A1699="","",IF($Q1699=0,"UNMAPPED",INDEX(COA_Mapping!$C$7:$C$256,$Q1699)))</f>
        <v/>
      </c>
      <c r="N1699" s="38" t="str">
        <f aca="false">IF($A1699="","",IF($Q1699=0,"",INDEX(COA_Mapping!$E$7:$E$256,$Q1699)))</f>
        <v/>
      </c>
      <c r="O1699" s="38" t="n">
        <f aca="false">IF($A1699="",1,IF($Q1699=0,1,INDEX(COA_Mapping!$F$7:$F$256,$Q1699)))</f>
        <v>1</v>
      </c>
      <c r="P1699" s="34" t="str">
        <f aca="false">IF($A1699="","",$I1699*$O1699)</f>
        <v/>
      </c>
      <c r="Q1699" s="39" t="n">
        <f aca="false">IF($B1699="",0,IFERROR(MATCH($B1699,COA_Mapping!$A$7:$A$256,0),0))</f>
        <v>0</v>
      </c>
      <c r="R1699" s="39" t="n">
        <f aca="false">IF($A1699="",-1,IF($J1699=Setup!$B$7,1,IF($J1699=Setup!$B$9,0,-1)))</f>
        <v>-1</v>
      </c>
      <c r="S1699" s="35" t="n">
        <f aca="false">IF(OR($A1699="",$Q1699=0,$R1699=-1),0,$Q1699*1000+$R1699*100+$K1699)</f>
        <v>0</v>
      </c>
      <c r="T1699" s="37" t="str">
        <f aca="false">IF($A1699="","",IF($B1699="","NO ACCOUNT",IF($Q1699=0,"UNMAPPED",IF($R1699=-1,"OUTSIDE FY RANGE","OK"))))</f>
        <v/>
      </c>
      <c r="U1699" s="40" t="str">
        <f aca="false">IF($A1699="","",$B1699&amp;"|"&amp;TEXT($A1699,"yyyymmdd")&amp;"|"&amp;TEXT($I1699,"0.00"))</f>
        <v/>
      </c>
      <c r="V1699" s="35" t="str">
        <f aca="false">IF($A1699="","",COUNTIF($U$8:$U$5007,$U1699))</f>
        <v/>
      </c>
    </row>
    <row r="1700" customFormat="false" ht="15" hidden="false" customHeight="false" outlineLevel="0" collapsed="false">
      <c r="A1700" s="31"/>
      <c r="B1700" s="32"/>
      <c r="C1700" s="32"/>
      <c r="D1700" s="32"/>
      <c r="E1700" s="32"/>
      <c r="F1700" s="32"/>
      <c r="G1700" s="33"/>
      <c r="H1700" s="33"/>
      <c r="I1700" s="34" t="str">
        <f aca="false">IF($A1700="","",$G1700-$H1700)</f>
        <v/>
      </c>
      <c r="J1700" s="35" t="str">
        <f aca="false">IF($A1700="","",IF(Setup!$B$6=1,YEAR($A1700),YEAR($A1700)+IF(MONTH($A1700)&gt;=Setup!$B$6,1,0)))</f>
        <v/>
      </c>
      <c r="K1700" s="35" t="str">
        <f aca="false">IF($A1700="","",MOD(MONTH($A1700)-Setup!$B$6+12,12)+1)</f>
        <v/>
      </c>
      <c r="L1700" s="36" t="str">
        <f aca="false">IF($A1700="","",TEXT($A1700,"MMM-YY"))</f>
        <v/>
      </c>
      <c r="M1700" s="37" t="str">
        <f aca="false">IF($A1700="","",IF($Q1700=0,"UNMAPPED",INDEX(COA_Mapping!$C$7:$C$256,$Q1700)))</f>
        <v/>
      </c>
      <c r="N1700" s="38" t="str">
        <f aca="false">IF($A1700="","",IF($Q1700=0,"",INDEX(COA_Mapping!$E$7:$E$256,$Q1700)))</f>
        <v/>
      </c>
      <c r="O1700" s="38" t="n">
        <f aca="false">IF($A1700="",1,IF($Q1700=0,1,INDEX(COA_Mapping!$F$7:$F$256,$Q1700)))</f>
        <v>1</v>
      </c>
      <c r="P1700" s="34" t="str">
        <f aca="false">IF($A1700="","",$I1700*$O1700)</f>
        <v/>
      </c>
      <c r="Q1700" s="39" t="n">
        <f aca="false">IF($B1700="",0,IFERROR(MATCH($B1700,COA_Mapping!$A$7:$A$256,0),0))</f>
        <v>0</v>
      </c>
      <c r="R1700" s="39" t="n">
        <f aca="false">IF($A1700="",-1,IF($J1700=Setup!$B$7,1,IF($J1700=Setup!$B$9,0,-1)))</f>
        <v>-1</v>
      </c>
      <c r="S1700" s="35" t="n">
        <f aca="false">IF(OR($A1700="",$Q1700=0,$R1700=-1),0,$Q1700*1000+$R1700*100+$K1700)</f>
        <v>0</v>
      </c>
      <c r="T1700" s="37" t="str">
        <f aca="false">IF($A1700="","",IF($B1700="","NO ACCOUNT",IF($Q1700=0,"UNMAPPED",IF($R1700=-1,"OUTSIDE FY RANGE","OK"))))</f>
        <v/>
      </c>
      <c r="U1700" s="40" t="str">
        <f aca="false">IF($A1700="","",$B1700&amp;"|"&amp;TEXT($A1700,"yyyymmdd")&amp;"|"&amp;TEXT($I1700,"0.00"))</f>
        <v/>
      </c>
      <c r="V1700" s="35" t="str">
        <f aca="false">IF($A1700="","",COUNTIF($U$8:$U$5007,$U1700))</f>
        <v/>
      </c>
    </row>
    <row r="1701" customFormat="false" ht="15" hidden="false" customHeight="false" outlineLevel="0" collapsed="false">
      <c r="A1701" s="31"/>
      <c r="B1701" s="32"/>
      <c r="C1701" s="32"/>
      <c r="D1701" s="32"/>
      <c r="E1701" s="32"/>
      <c r="F1701" s="32"/>
      <c r="G1701" s="33"/>
      <c r="H1701" s="33"/>
      <c r="I1701" s="34" t="str">
        <f aca="false">IF($A1701="","",$G1701-$H1701)</f>
        <v/>
      </c>
      <c r="J1701" s="35" t="str">
        <f aca="false">IF($A1701="","",IF(Setup!$B$6=1,YEAR($A1701),YEAR($A1701)+IF(MONTH($A1701)&gt;=Setup!$B$6,1,0)))</f>
        <v/>
      </c>
      <c r="K1701" s="35" t="str">
        <f aca="false">IF($A1701="","",MOD(MONTH($A1701)-Setup!$B$6+12,12)+1)</f>
        <v/>
      </c>
      <c r="L1701" s="36" t="str">
        <f aca="false">IF($A1701="","",TEXT($A1701,"MMM-YY"))</f>
        <v/>
      </c>
      <c r="M1701" s="37" t="str">
        <f aca="false">IF($A1701="","",IF($Q1701=0,"UNMAPPED",INDEX(COA_Mapping!$C$7:$C$256,$Q1701)))</f>
        <v/>
      </c>
      <c r="N1701" s="38" t="str">
        <f aca="false">IF($A1701="","",IF($Q1701=0,"",INDEX(COA_Mapping!$E$7:$E$256,$Q1701)))</f>
        <v/>
      </c>
      <c r="O1701" s="38" t="n">
        <f aca="false">IF($A1701="",1,IF($Q1701=0,1,INDEX(COA_Mapping!$F$7:$F$256,$Q1701)))</f>
        <v>1</v>
      </c>
      <c r="P1701" s="34" t="str">
        <f aca="false">IF($A1701="","",$I1701*$O1701)</f>
        <v/>
      </c>
      <c r="Q1701" s="39" t="n">
        <f aca="false">IF($B1701="",0,IFERROR(MATCH($B1701,COA_Mapping!$A$7:$A$256,0),0))</f>
        <v>0</v>
      </c>
      <c r="R1701" s="39" t="n">
        <f aca="false">IF($A1701="",-1,IF($J1701=Setup!$B$7,1,IF($J1701=Setup!$B$9,0,-1)))</f>
        <v>-1</v>
      </c>
      <c r="S1701" s="35" t="n">
        <f aca="false">IF(OR($A1701="",$Q1701=0,$R1701=-1),0,$Q1701*1000+$R1701*100+$K1701)</f>
        <v>0</v>
      </c>
      <c r="T1701" s="37" t="str">
        <f aca="false">IF($A1701="","",IF($B1701="","NO ACCOUNT",IF($Q1701=0,"UNMAPPED",IF($R1701=-1,"OUTSIDE FY RANGE","OK"))))</f>
        <v/>
      </c>
      <c r="U1701" s="40" t="str">
        <f aca="false">IF($A1701="","",$B1701&amp;"|"&amp;TEXT($A1701,"yyyymmdd")&amp;"|"&amp;TEXT($I1701,"0.00"))</f>
        <v/>
      </c>
      <c r="V1701" s="35" t="str">
        <f aca="false">IF($A1701="","",COUNTIF($U$8:$U$5007,$U1701))</f>
        <v/>
      </c>
    </row>
    <row r="1702" customFormat="false" ht="15" hidden="false" customHeight="false" outlineLevel="0" collapsed="false">
      <c r="A1702" s="31"/>
      <c r="B1702" s="32"/>
      <c r="C1702" s="32"/>
      <c r="D1702" s="32"/>
      <c r="E1702" s="32"/>
      <c r="F1702" s="32"/>
      <c r="G1702" s="33"/>
      <c r="H1702" s="33"/>
      <c r="I1702" s="34" t="str">
        <f aca="false">IF($A1702="","",$G1702-$H1702)</f>
        <v/>
      </c>
      <c r="J1702" s="35" t="str">
        <f aca="false">IF($A1702="","",IF(Setup!$B$6=1,YEAR($A1702),YEAR($A1702)+IF(MONTH($A1702)&gt;=Setup!$B$6,1,0)))</f>
        <v/>
      </c>
      <c r="K1702" s="35" t="str">
        <f aca="false">IF($A1702="","",MOD(MONTH($A1702)-Setup!$B$6+12,12)+1)</f>
        <v/>
      </c>
      <c r="L1702" s="36" t="str">
        <f aca="false">IF($A1702="","",TEXT($A1702,"MMM-YY"))</f>
        <v/>
      </c>
      <c r="M1702" s="37" t="str">
        <f aca="false">IF($A1702="","",IF($Q1702=0,"UNMAPPED",INDEX(COA_Mapping!$C$7:$C$256,$Q1702)))</f>
        <v/>
      </c>
      <c r="N1702" s="38" t="str">
        <f aca="false">IF($A1702="","",IF($Q1702=0,"",INDEX(COA_Mapping!$E$7:$E$256,$Q1702)))</f>
        <v/>
      </c>
      <c r="O1702" s="38" t="n">
        <f aca="false">IF($A1702="",1,IF($Q1702=0,1,INDEX(COA_Mapping!$F$7:$F$256,$Q1702)))</f>
        <v>1</v>
      </c>
      <c r="P1702" s="34" t="str">
        <f aca="false">IF($A1702="","",$I1702*$O1702)</f>
        <v/>
      </c>
      <c r="Q1702" s="39" t="n">
        <f aca="false">IF($B1702="",0,IFERROR(MATCH($B1702,COA_Mapping!$A$7:$A$256,0),0))</f>
        <v>0</v>
      </c>
      <c r="R1702" s="39" t="n">
        <f aca="false">IF($A1702="",-1,IF($J1702=Setup!$B$7,1,IF($J1702=Setup!$B$9,0,-1)))</f>
        <v>-1</v>
      </c>
      <c r="S1702" s="35" t="n">
        <f aca="false">IF(OR($A1702="",$Q1702=0,$R1702=-1),0,$Q1702*1000+$R1702*100+$K1702)</f>
        <v>0</v>
      </c>
      <c r="T1702" s="37" t="str">
        <f aca="false">IF($A1702="","",IF($B1702="","NO ACCOUNT",IF($Q1702=0,"UNMAPPED",IF($R1702=-1,"OUTSIDE FY RANGE","OK"))))</f>
        <v/>
      </c>
      <c r="U1702" s="40" t="str">
        <f aca="false">IF($A1702="","",$B1702&amp;"|"&amp;TEXT($A1702,"yyyymmdd")&amp;"|"&amp;TEXT($I1702,"0.00"))</f>
        <v/>
      </c>
      <c r="V1702" s="35" t="str">
        <f aca="false">IF($A1702="","",COUNTIF($U$8:$U$5007,$U1702))</f>
        <v/>
      </c>
    </row>
    <row r="1703" customFormat="false" ht="15" hidden="false" customHeight="false" outlineLevel="0" collapsed="false">
      <c r="A1703" s="31"/>
      <c r="B1703" s="32"/>
      <c r="C1703" s="32"/>
      <c r="D1703" s="32"/>
      <c r="E1703" s="32"/>
      <c r="F1703" s="32"/>
      <c r="G1703" s="33"/>
      <c r="H1703" s="33"/>
      <c r="I1703" s="34" t="str">
        <f aca="false">IF($A1703="","",$G1703-$H1703)</f>
        <v/>
      </c>
      <c r="J1703" s="35" t="str">
        <f aca="false">IF($A1703="","",IF(Setup!$B$6=1,YEAR($A1703),YEAR($A1703)+IF(MONTH($A1703)&gt;=Setup!$B$6,1,0)))</f>
        <v/>
      </c>
      <c r="K1703" s="35" t="str">
        <f aca="false">IF($A1703="","",MOD(MONTH($A1703)-Setup!$B$6+12,12)+1)</f>
        <v/>
      </c>
      <c r="L1703" s="36" t="str">
        <f aca="false">IF($A1703="","",TEXT($A1703,"MMM-YY"))</f>
        <v/>
      </c>
      <c r="M1703" s="37" t="str">
        <f aca="false">IF($A1703="","",IF($Q1703=0,"UNMAPPED",INDEX(COA_Mapping!$C$7:$C$256,$Q1703)))</f>
        <v/>
      </c>
      <c r="N1703" s="38" t="str">
        <f aca="false">IF($A1703="","",IF($Q1703=0,"",INDEX(COA_Mapping!$E$7:$E$256,$Q1703)))</f>
        <v/>
      </c>
      <c r="O1703" s="38" t="n">
        <f aca="false">IF($A1703="",1,IF($Q1703=0,1,INDEX(COA_Mapping!$F$7:$F$256,$Q1703)))</f>
        <v>1</v>
      </c>
      <c r="P1703" s="34" t="str">
        <f aca="false">IF($A1703="","",$I1703*$O1703)</f>
        <v/>
      </c>
      <c r="Q1703" s="39" t="n">
        <f aca="false">IF($B1703="",0,IFERROR(MATCH($B1703,COA_Mapping!$A$7:$A$256,0),0))</f>
        <v>0</v>
      </c>
      <c r="R1703" s="39" t="n">
        <f aca="false">IF($A1703="",-1,IF($J1703=Setup!$B$7,1,IF($J1703=Setup!$B$9,0,-1)))</f>
        <v>-1</v>
      </c>
      <c r="S1703" s="35" t="n">
        <f aca="false">IF(OR($A1703="",$Q1703=0,$R1703=-1),0,$Q1703*1000+$R1703*100+$K1703)</f>
        <v>0</v>
      </c>
      <c r="T1703" s="37" t="str">
        <f aca="false">IF($A1703="","",IF($B1703="","NO ACCOUNT",IF($Q1703=0,"UNMAPPED",IF($R1703=-1,"OUTSIDE FY RANGE","OK"))))</f>
        <v/>
      </c>
      <c r="U1703" s="40" t="str">
        <f aca="false">IF($A1703="","",$B1703&amp;"|"&amp;TEXT($A1703,"yyyymmdd")&amp;"|"&amp;TEXT($I1703,"0.00"))</f>
        <v/>
      </c>
      <c r="V1703" s="35" t="str">
        <f aca="false">IF($A1703="","",COUNTIF($U$8:$U$5007,$U1703))</f>
        <v/>
      </c>
    </row>
    <row r="1704" customFormat="false" ht="15" hidden="false" customHeight="false" outlineLevel="0" collapsed="false">
      <c r="A1704" s="31"/>
      <c r="B1704" s="32"/>
      <c r="C1704" s="32"/>
      <c r="D1704" s="32"/>
      <c r="E1704" s="32"/>
      <c r="F1704" s="32"/>
      <c r="G1704" s="33"/>
      <c r="H1704" s="33"/>
      <c r="I1704" s="34" t="str">
        <f aca="false">IF($A1704="","",$G1704-$H1704)</f>
        <v/>
      </c>
      <c r="J1704" s="35" t="str">
        <f aca="false">IF($A1704="","",IF(Setup!$B$6=1,YEAR($A1704),YEAR($A1704)+IF(MONTH($A1704)&gt;=Setup!$B$6,1,0)))</f>
        <v/>
      </c>
      <c r="K1704" s="35" t="str">
        <f aca="false">IF($A1704="","",MOD(MONTH($A1704)-Setup!$B$6+12,12)+1)</f>
        <v/>
      </c>
      <c r="L1704" s="36" t="str">
        <f aca="false">IF($A1704="","",TEXT($A1704,"MMM-YY"))</f>
        <v/>
      </c>
      <c r="M1704" s="37" t="str">
        <f aca="false">IF($A1704="","",IF($Q1704=0,"UNMAPPED",INDEX(COA_Mapping!$C$7:$C$256,$Q1704)))</f>
        <v/>
      </c>
      <c r="N1704" s="38" t="str">
        <f aca="false">IF($A1704="","",IF($Q1704=0,"",INDEX(COA_Mapping!$E$7:$E$256,$Q1704)))</f>
        <v/>
      </c>
      <c r="O1704" s="38" t="n">
        <f aca="false">IF($A1704="",1,IF($Q1704=0,1,INDEX(COA_Mapping!$F$7:$F$256,$Q1704)))</f>
        <v>1</v>
      </c>
      <c r="P1704" s="34" t="str">
        <f aca="false">IF($A1704="","",$I1704*$O1704)</f>
        <v/>
      </c>
      <c r="Q1704" s="39" t="n">
        <f aca="false">IF($B1704="",0,IFERROR(MATCH($B1704,COA_Mapping!$A$7:$A$256,0),0))</f>
        <v>0</v>
      </c>
      <c r="R1704" s="39" t="n">
        <f aca="false">IF($A1704="",-1,IF($J1704=Setup!$B$7,1,IF($J1704=Setup!$B$9,0,-1)))</f>
        <v>-1</v>
      </c>
      <c r="S1704" s="35" t="n">
        <f aca="false">IF(OR($A1704="",$Q1704=0,$R1704=-1),0,$Q1704*1000+$R1704*100+$K1704)</f>
        <v>0</v>
      </c>
      <c r="T1704" s="37" t="str">
        <f aca="false">IF($A1704="","",IF($B1704="","NO ACCOUNT",IF($Q1704=0,"UNMAPPED",IF($R1704=-1,"OUTSIDE FY RANGE","OK"))))</f>
        <v/>
      </c>
      <c r="U1704" s="40" t="str">
        <f aca="false">IF($A1704="","",$B1704&amp;"|"&amp;TEXT($A1704,"yyyymmdd")&amp;"|"&amp;TEXT($I1704,"0.00"))</f>
        <v/>
      </c>
      <c r="V1704" s="35" t="str">
        <f aca="false">IF($A1704="","",COUNTIF($U$8:$U$5007,$U1704))</f>
        <v/>
      </c>
    </row>
    <row r="1705" customFormat="false" ht="15" hidden="false" customHeight="false" outlineLevel="0" collapsed="false">
      <c r="A1705" s="31"/>
      <c r="B1705" s="32"/>
      <c r="C1705" s="32"/>
      <c r="D1705" s="32"/>
      <c r="E1705" s="32"/>
      <c r="F1705" s="32"/>
      <c r="G1705" s="33"/>
      <c r="H1705" s="33"/>
      <c r="I1705" s="34" t="str">
        <f aca="false">IF($A1705="","",$G1705-$H1705)</f>
        <v/>
      </c>
      <c r="J1705" s="35" t="str">
        <f aca="false">IF($A1705="","",IF(Setup!$B$6=1,YEAR($A1705),YEAR($A1705)+IF(MONTH($A1705)&gt;=Setup!$B$6,1,0)))</f>
        <v/>
      </c>
      <c r="K1705" s="35" t="str">
        <f aca="false">IF($A1705="","",MOD(MONTH($A1705)-Setup!$B$6+12,12)+1)</f>
        <v/>
      </c>
      <c r="L1705" s="36" t="str">
        <f aca="false">IF($A1705="","",TEXT($A1705,"MMM-YY"))</f>
        <v/>
      </c>
      <c r="M1705" s="37" t="str">
        <f aca="false">IF($A1705="","",IF($Q1705=0,"UNMAPPED",INDEX(COA_Mapping!$C$7:$C$256,$Q1705)))</f>
        <v/>
      </c>
      <c r="N1705" s="38" t="str">
        <f aca="false">IF($A1705="","",IF($Q1705=0,"",INDEX(COA_Mapping!$E$7:$E$256,$Q1705)))</f>
        <v/>
      </c>
      <c r="O1705" s="38" t="n">
        <f aca="false">IF($A1705="",1,IF($Q1705=0,1,INDEX(COA_Mapping!$F$7:$F$256,$Q1705)))</f>
        <v>1</v>
      </c>
      <c r="P1705" s="34" t="str">
        <f aca="false">IF($A1705="","",$I1705*$O1705)</f>
        <v/>
      </c>
      <c r="Q1705" s="39" t="n">
        <f aca="false">IF($B1705="",0,IFERROR(MATCH($B1705,COA_Mapping!$A$7:$A$256,0),0))</f>
        <v>0</v>
      </c>
      <c r="R1705" s="39" t="n">
        <f aca="false">IF($A1705="",-1,IF($J1705=Setup!$B$7,1,IF($J1705=Setup!$B$9,0,-1)))</f>
        <v>-1</v>
      </c>
      <c r="S1705" s="35" t="n">
        <f aca="false">IF(OR($A1705="",$Q1705=0,$R1705=-1),0,$Q1705*1000+$R1705*100+$K1705)</f>
        <v>0</v>
      </c>
      <c r="T1705" s="37" t="str">
        <f aca="false">IF($A1705="","",IF($B1705="","NO ACCOUNT",IF($Q1705=0,"UNMAPPED",IF($R1705=-1,"OUTSIDE FY RANGE","OK"))))</f>
        <v/>
      </c>
      <c r="U1705" s="40" t="str">
        <f aca="false">IF($A1705="","",$B1705&amp;"|"&amp;TEXT($A1705,"yyyymmdd")&amp;"|"&amp;TEXT($I1705,"0.00"))</f>
        <v/>
      </c>
      <c r="V1705" s="35" t="str">
        <f aca="false">IF($A1705="","",COUNTIF($U$8:$U$5007,$U1705))</f>
        <v/>
      </c>
    </row>
    <row r="1706" customFormat="false" ht="15" hidden="false" customHeight="false" outlineLevel="0" collapsed="false">
      <c r="A1706" s="31"/>
      <c r="B1706" s="32"/>
      <c r="C1706" s="32"/>
      <c r="D1706" s="32"/>
      <c r="E1706" s="32"/>
      <c r="F1706" s="32"/>
      <c r="G1706" s="33"/>
      <c r="H1706" s="33"/>
      <c r="I1706" s="34" t="str">
        <f aca="false">IF($A1706="","",$G1706-$H1706)</f>
        <v/>
      </c>
      <c r="J1706" s="35" t="str">
        <f aca="false">IF($A1706="","",IF(Setup!$B$6=1,YEAR($A1706),YEAR($A1706)+IF(MONTH($A1706)&gt;=Setup!$B$6,1,0)))</f>
        <v/>
      </c>
      <c r="K1706" s="35" t="str">
        <f aca="false">IF($A1706="","",MOD(MONTH($A1706)-Setup!$B$6+12,12)+1)</f>
        <v/>
      </c>
      <c r="L1706" s="36" t="str">
        <f aca="false">IF($A1706="","",TEXT($A1706,"MMM-YY"))</f>
        <v/>
      </c>
      <c r="M1706" s="37" t="str">
        <f aca="false">IF($A1706="","",IF($Q1706=0,"UNMAPPED",INDEX(COA_Mapping!$C$7:$C$256,$Q1706)))</f>
        <v/>
      </c>
      <c r="N1706" s="38" t="str">
        <f aca="false">IF($A1706="","",IF($Q1706=0,"",INDEX(COA_Mapping!$E$7:$E$256,$Q1706)))</f>
        <v/>
      </c>
      <c r="O1706" s="38" t="n">
        <f aca="false">IF($A1706="",1,IF($Q1706=0,1,INDEX(COA_Mapping!$F$7:$F$256,$Q1706)))</f>
        <v>1</v>
      </c>
      <c r="P1706" s="34" t="str">
        <f aca="false">IF($A1706="","",$I1706*$O1706)</f>
        <v/>
      </c>
      <c r="Q1706" s="39" t="n">
        <f aca="false">IF($B1706="",0,IFERROR(MATCH($B1706,COA_Mapping!$A$7:$A$256,0),0))</f>
        <v>0</v>
      </c>
      <c r="R1706" s="39" t="n">
        <f aca="false">IF($A1706="",-1,IF($J1706=Setup!$B$7,1,IF($J1706=Setup!$B$9,0,-1)))</f>
        <v>-1</v>
      </c>
      <c r="S1706" s="35" t="n">
        <f aca="false">IF(OR($A1706="",$Q1706=0,$R1706=-1),0,$Q1706*1000+$R1706*100+$K1706)</f>
        <v>0</v>
      </c>
      <c r="T1706" s="37" t="str">
        <f aca="false">IF($A1706="","",IF($B1706="","NO ACCOUNT",IF($Q1706=0,"UNMAPPED",IF($R1706=-1,"OUTSIDE FY RANGE","OK"))))</f>
        <v/>
      </c>
      <c r="U1706" s="40" t="str">
        <f aca="false">IF($A1706="","",$B1706&amp;"|"&amp;TEXT($A1706,"yyyymmdd")&amp;"|"&amp;TEXT($I1706,"0.00"))</f>
        <v/>
      </c>
      <c r="V1706" s="35" t="str">
        <f aca="false">IF($A1706="","",COUNTIF($U$8:$U$5007,$U1706))</f>
        <v/>
      </c>
    </row>
    <row r="1707" customFormat="false" ht="15" hidden="false" customHeight="false" outlineLevel="0" collapsed="false">
      <c r="A1707" s="31"/>
      <c r="B1707" s="32"/>
      <c r="C1707" s="32"/>
      <c r="D1707" s="32"/>
      <c r="E1707" s="32"/>
      <c r="F1707" s="32"/>
      <c r="G1707" s="33"/>
      <c r="H1707" s="33"/>
      <c r="I1707" s="34" t="str">
        <f aca="false">IF($A1707="","",$G1707-$H1707)</f>
        <v/>
      </c>
      <c r="J1707" s="35" t="str">
        <f aca="false">IF($A1707="","",IF(Setup!$B$6=1,YEAR($A1707),YEAR($A1707)+IF(MONTH($A1707)&gt;=Setup!$B$6,1,0)))</f>
        <v/>
      </c>
      <c r="K1707" s="35" t="str">
        <f aca="false">IF($A1707="","",MOD(MONTH($A1707)-Setup!$B$6+12,12)+1)</f>
        <v/>
      </c>
      <c r="L1707" s="36" t="str">
        <f aca="false">IF($A1707="","",TEXT($A1707,"MMM-YY"))</f>
        <v/>
      </c>
      <c r="M1707" s="37" t="str">
        <f aca="false">IF($A1707="","",IF($Q1707=0,"UNMAPPED",INDEX(COA_Mapping!$C$7:$C$256,$Q1707)))</f>
        <v/>
      </c>
      <c r="N1707" s="38" t="str">
        <f aca="false">IF($A1707="","",IF($Q1707=0,"",INDEX(COA_Mapping!$E$7:$E$256,$Q1707)))</f>
        <v/>
      </c>
      <c r="O1707" s="38" t="n">
        <f aca="false">IF($A1707="",1,IF($Q1707=0,1,INDEX(COA_Mapping!$F$7:$F$256,$Q1707)))</f>
        <v>1</v>
      </c>
      <c r="P1707" s="34" t="str">
        <f aca="false">IF($A1707="","",$I1707*$O1707)</f>
        <v/>
      </c>
      <c r="Q1707" s="39" t="n">
        <f aca="false">IF($B1707="",0,IFERROR(MATCH($B1707,COA_Mapping!$A$7:$A$256,0),0))</f>
        <v>0</v>
      </c>
      <c r="R1707" s="39" t="n">
        <f aca="false">IF($A1707="",-1,IF($J1707=Setup!$B$7,1,IF($J1707=Setup!$B$9,0,-1)))</f>
        <v>-1</v>
      </c>
      <c r="S1707" s="35" t="n">
        <f aca="false">IF(OR($A1707="",$Q1707=0,$R1707=-1),0,$Q1707*1000+$R1707*100+$K1707)</f>
        <v>0</v>
      </c>
      <c r="T1707" s="37" t="str">
        <f aca="false">IF($A1707="","",IF($B1707="","NO ACCOUNT",IF($Q1707=0,"UNMAPPED",IF($R1707=-1,"OUTSIDE FY RANGE","OK"))))</f>
        <v/>
      </c>
      <c r="U1707" s="40" t="str">
        <f aca="false">IF($A1707="","",$B1707&amp;"|"&amp;TEXT($A1707,"yyyymmdd")&amp;"|"&amp;TEXT($I1707,"0.00"))</f>
        <v/>
      </c>
      <c r="V1707" s="35" t="str">
        <f aca="false">IF($A1707="","",COUNTIF($U$8:$U$5007,$U1707))</f>
        <v/>
      </c>
    </row>
    <row r="1708" customFormat="false" ht="15" hidden="false" customHeight="false" outlineLevel="0" collapsed="false">
      <c r="A1708" s="31"/>
      <c r="B1708" s="32"/>
      <c r="C1708" s="32"/>
      <c r="D1708" s="32"/>
      <c r="E1708" s="32"/>
      <c r="F1708" s="32"/>
      <c r="G1708" s="33"/>
      <c r="H1708" s="33"/>
      <c r="I1708" s="34" t="str">
        <f aca="false">IF($A1708="","",$G1708-$H1708)</f>
        <v/>
      </c>
      <c r="J1708" s="35" t="str">
        <f aca="false">IF($A1708="","",IF(Setup!$B$6=1,YEAR($A1708),YEAR($A1708)+IF(MONTH($A1708)&gt;=Setup!$B$6,1,0)))</f>
        <v/>
      </c>
      <c r="K1708" s="35" t="str">
        <f aca="false">IF($A1708="","",MOD(MONTH($A1708)-Setup!$B$6+12,12)+1)</f>
        <v/>
      </c>
      <c r="L1708" s="36" t="str">
        <f aca="false">IF($A1708="","",TEXT($A1708,"MMM-YY"))</f>
        <v/>
      </c>
      <c r="M1708" s="37" t="str">
        <f aca="false">IF($A1708="","",IF($Q1708=0,"UNMAPPED",INDEX(COA_Mapping!$C$7:$C$256,$Q1708)))</f>
        <v/>
      </c>
      <c r="N1708" s="38" t="str">
        <f aca="false">IF($A1708="","",IF($Q1708=0,"",INDEX(COA_Mapping!$E$7:$E$256,$Q1708)))</f>
        <v/>
      </c>
      <c r="O1708" s="38" t="n">
        <f aca="false">IF($A1708="",1,IF($Q1708=0,1,INDEX(COA_Mapping!$F$7:$F$256,$Q1708)))</f>
        <v>1</v>
      </c>
      <c r="P1708" s="34" t="str">
        <f aca="false">IF($A1708="","",$I1708*$O1708)</f>
        <v/>
      </c>
      <c r="Q1708" s="39" t="n">
        <f aca="false">IF($B1708="",0,IFERROR(MATCH($B1708,COA_Mapping!$A$7:$A$256,0),0))</f>
        <v>0</v>
      </c>
      <c r="R1708" s="39" t="n">
        <f aca="false">IF($A1708="",-1,IF($J1708=Setup!$B$7,1,IF($J1708=Setup!$B$9,0,-1)))</f>
        <v>-1</v>
      </c>
      <c r="S1708" s="35" t="n">
        <f aca="false">IF(OR($A1708="",$Q1708=0,$R1708=-1),0,$Q1708*1000+$R1708*100+$K1708)</f>
        <v>0</v>
      </c>
      <c r="T1708" s="37" t="str">
        <f aca="false">IF($A1708="","",IF($B1708="","NO ACCOUNT",IF($Q1708=0,"UNMAPPED",IF($R1708=-1,"OUTSIDE FY RANGE","OK"))))</f>
        <v/>
      </c>
      <c r="U1708" s="40" t="str">
        <f aca="false">IF($A1708="","",$B1708&amp;"|"&amp;TEXT($A1708,"yyyymmdd")&amp;"|"&amp;TEXT($I1708,"0.00"))</f>
        <v/>
      </c>
      <c r="V1708" s="35" t="str">
        <f aca="false">IF($A1708="","",COUNTIF($U$8:$U$5007,$U1708))</f>
        <v/>
      </c>
    </row>
    <row r="1709" customFormat="false" ht="15" hidden="false" customHeight="false" outlineLevel="0" collapsed="false">
      <c r="A1709" s="31"/>
      <c r="B1709" s="32"/>
      <c r="C1709" s="32"/>
      <c r="D1709" s="32"/>
      <c r="E1709" s="32"/>
      <c r="F1709" s="32"/>
      <c r="G1709" s="33"/>
      <c r="H1709" s="33"/>
      <c r="I1709" s="34" t="str">
        <f aca="false">IF($A1709="","",$G1709-$H1709)</f>
        <v/>
      </c>
      <c r="J1709" s="35" t="str">
        <f aca="false">IF($A1709="","",IF(Setup!$B$6=1,YEAR($A1709),YEAR($A1709)+IF(MONTH($A1709)&gt;=Setup!$B$6,1,0)))</f>
        <v/>
      </c>
      <c r="K1709" s="35" t="str">
        <f aca="false">IF($A1709="","",MOD(MONTH($A1709)-Setup!$B$6+12,12)+1)</f>
        <v/>
      </c>
      <c r="L1709" s="36" t="str">
        <f aca="false">IF($A1709="","",TEXT($A1709,"MMM-YY"))</f>
        <v/>
      </c>
      <c r="M1709" s="37" t="str">
        <f aca="false">IF($A1709="","",IF($Q1709=0,"UNMAPPED",INDEX(COA_Mapping!$C$7:$C$256,$Q1709)))</f>
        <v/>
      </c>
      <c r="N1709" s="38" t="str">
        <f aca="false">IF($A1709="","",IF($Q1709=0,"",INDEX(COA_Mapping!$E$7:$E$256,$Q1709)))</f>
        <v/>
      </c>
      <c r="O1709" s="38" t="n">
        <f aca="false">IF($A1709="",1,IF($Q1709=0,1,INDEX(COA_Mapping!$F$7:$F$256,$Q1709)))</f>
        <v>1</v>
      </c>
      <c r="P1709" s="34" t="str">
        <f aca="false">IF($A1709="","",$I1709*$O1709)</f>
        <v/>
      </c>
      <c r="Q1709" s="39" t="n">
        <f aca="false">IF($B1709="",0,IFERROR(MATCH($B1709,COA_Mapping!$A$7:$A$256,0),0))</f>
        <v>0</v>
      </c>
      <c r="R1709" s="39" t="n">
        <f aca="false">IF($A1709="",-1,IF($J1709=Setup!$B$7,1,IF($J1709=Setup!$B$9,0,-1)))</f>
        <v>-1</v>
      </c>
      <c r="S1709" s="35" t="n">
        <f aca="false">IF(OR($A1709="",$Q1709=0,$R1709=-1),0,$Q1709*1000+$R1709*100+$K1709)</f>
        <v>0</v>
      </c>
      <c r="T1709" s="37" t="str">
        <f aca="false">IF($A1709="","",IF($B1709="","NO ACCOUNT",IF($Q1709=0,"UNMAPPED",IF($R1709=-1,"OUTSIDE FY RANGE","OK"))))</f>
        <v/>
      </c>
      <c r="U1709" s="40" t="str">
        <f aca="false">IF($A1709="","",$B1709&amp;"|"&amp;TEXT($A1709,"yyyymmdd")&amp;"|"&amp;TEXT($I1709,"0.00"))</f>
        <v/>
      </c>
      <c r="V1709" s="35" t="str">
        <f aca="false">IF($A1709="","",COUNTIF($U$8:$U$5007,$U1709))</f>
        <v/>
      </c>
    </row>
    <row r="1710" customFormat="false" ht="15" hidden="false" customHeight="false" outlineLevel="0" collapsed="false">
      <c r="A1710" s="31"/>
      <c r="B1710" s="32"/>
      <c r="C1710" s="32"/>
      <c r="D1710" s="32"/>
      <c r="E1710" s="32"/>
      <c r="F1710" s="32"/>
      <c r="G1710" s="33"/>
      <c r="H1710" s="33"/>
      <c r="I1710" s="34" t="str">
        <f aca="false">IF($A1710="","",$G1710-$H1710)</f>
        <v/>
      </c>
      <c r="J1710" s="35" t="str">
        <f aca="false">IF($A1710="","",IF(Setup!$B$6=1,YEAR($A1710),YEAR($A1710)+IF(MONTH($A1710)&gt;=Setup!$B$6,1,0)))</f>
        <v/>
      </c>
      <c r="K1710" s="35" t="str">
        <f aca="false">IF($A1710="","",MOD(MONTH($A1710)-Setup!$B$6+12,12)+1)</f>
        <v/>
      </c>
      <c r="L1710" s="36" t="str">
        <f aca="false">IF($A1710="","",TEXT($A1710,"MMM-YY"))</f>
        <v/>
      </c>
      <c r="M1710" s="37" t="str">
        <f aca="false">IF($A1710="","",IF($Q1710=0,"UNMAPPED",INDEX(COA_Mapping!$C$7:$C$256,$Q1710)))</f>
        <v/>
      </c>
      <c r="N1710" s="38" t="str">
        <f aca="false">IF($A1710="","",IF($Q1710=0,"",INDEX(COA_Mapping!$E$7:$E$256,$Q1710)))</f>
        <v/>
      </c>
      <c r="O1710" s="38" t="n">
        <f aca="false">IF($A1710="",1,IF($Q1710=0,1,INDEX(COA_Mapping!$F$7:$F$256,$Q1710)))</f>
        <v>1</v>
      </c>
      <c r="P1710" s="34" t="str">
        <f aca="false">IF($A1710="","",$I1710*$O1710)</f>
        <v/>
      </c>
      <c r="Q1710" s="39" t="n">
        <f aca="false">IF($B1710="",0,IFERROR(MATCH($B1710,COA_Mapping!$A$7:$A$256,0),0))</f>
        <v>0</v>
      </c>
      <c r="R1710" s="39" t="n">
        <f aca="false">IF($A1710="",-1,IF($J1710=Setup!$B$7,1,IF($J1710=Setup!$B$9,0,-1)))</f>
        <v>-1</v>
      </c>
      <c r="S1710" s="35" t="n">
        <f aca="false">IF(OR($A1710="",$Q1710=0,$R1710=-1),0,$Q1710*1000+$R1710*100+$K1710)</f>
        <v>0</v>
      </c>
      <c r="T1710" s="37" t="str">
        <f aca="false">IF($A1710="","",IF($B1710="","NO ACCOUNT",IF($Q1710=0,"UNMAPPED",IF($R1710=-1,"OUTSIDE FY RANGE","OK"))))</f>
        <v/>
      </c>
      <c r="U1710" s="40" t="str">
        <f aca="false">IF($A1710="","",$B1710&amp;"|"&amp;TEXT($A1710,"yyyymmdd")&amp;"|"&amp;TEXT($I1710,"0.00"))</f>
        <v/>
      </c>
      <c r="V1710" s="35" t="str">
        <f aca="false">IF($A1710="","",COUNTIF($U$8:$U$5007,$U1710))</f>
        <v/>
      </c>
    </row>
    <row r="1711" customFormat="false" ht="15" hidden="false" customHeight="false" outlineLevel="0" collapsed="false">
      <c r="A1711" s="31"/>
      <c r="B1711" s="32"/>
      <c r="C1711" s="32"/>
      <c r="D1711" s="32"/>
      <c r="E1711" s="32"/>
      <c r="F1711" s="32"/>
      <c r="G1711" s="33"/>
      <c r="H1711" s="33"/>
      <c r="I1711" s="34" t="str">
        <f aca="false">IF($A1711="","",$G1711-$H1711)</f>
        <v/>
      </c>
      <c r="J1711" s="35" t="str">
        <f aca="false">IF($A1711="","",IF(Setup!$B$6=1,YEAR($A1711),YEAR($A1711)+IF(MONTH($A1711)&gt;=Setup!$B$6,1,0)))</f>
        <v/>
      </c>
      <c r="K1711" s="35" t="str">
        <f aca="false">IF($A1711="","",MOD(MONTH($A1711)-Setup!$B$6+12,12)+1)</f>
        <v/>
      </c>
      <c r="L1711" s="36" t="str">
        <f aca="false">IF($A1711="","",TEXT($A1711,"MMM-YY"))</f>
        <v/>
      </c>
      <c r="M1711" s="37" t="str">
        <f aca="false">IF($A1711="","",IF($Q1711=0,"UNMAPPED",INDEX(COA_Mapping!$C$7:$C$256,$Q1711)))</f>
        <v/>
      </c>
      <c r="N1711" s="38" t="str">
        <f aca="false">IF($A1711="","",IF($Q1711=0,"",INDEX(COA_Mapping!$E$7:$E$256,$Q1711)))</f>
        <v/>
      </c>
      <c r="O1711" s="38" t="n">
        <f aca="false">IF($A1711="",1,IF($Q1711=0,1,INDEX(COA_Mapping!$F$7:$F$256,$Q1711)))</f>
        <v>1</v>
      </c>
      <c r="P1711" s="34" t="str">
        <f aca="false">IF($A1711="","",$I1711*$O1711)</f>
        <v/>
      </c>
      <c r="Q1711" s="39" t="n">
        <f aca="false">IF($B1711="",0,IFERROR(MATCH($B1711,COA_Mapping!$A$7:$A$256,0),0))</f>
        <v>0</v>
      </c>
      <c r="R1711" s="39" t="n">
        <f aca="false">IF($A1711="",-1,IF($J1711=Setup!$B$7,1,IF($J1711=Setup!$B$9,0,-1)))</f>
        <v>-1</v>
      </c>
      <c r="S1711" s="35" t="n">
        <f aca="false">IF(OR($A1711="",$Q1711=0,$R1711=-1),0,$Q1711*1000+$R1711*100+$K1711)</f>
        <v>0</v>
      </c>
      <c r="T1711" s="37" t="str">
        <f aca="false">IF($A1711="","",IF($B1711="","NO ACCOUNT",IF($Q1711=0,"UNMAPPED",IF($R1711=-1,"OUTSIDE FY RANGE","OK"))))</f>
        <v/>
      </c>
      <c r="U1711" s="40" t="str">
        <f aca="false">IF($A1711="","",$B1711&amp;"|"&amp;TEXT($A1711,"yyyymmdd")&amp;"|"&amp;TEXT($I1711,"0.00"))</f>
        <v/>
      </c>
      <c r="V1711" s="35" t="str">
        <f aca="false">IF($A1711="","",COUNTIF($U$8:$U$5007,$U1711))</f>
        <v/>
      </c>
    </row>
    <row r="1712" customFormat="false" ht="15" hidden="false" customHeight="false" outlineLevel="0" collapsed="false">
      <c r="A1712" s="31"/>
      <c r="B1712" s="32"/>
      <c r="C1712" s="32"/>
      <c r="D1712" s="32"/>
      <c r="E1712" s="32"/>
      <c r="F1712" s="32"/>
      <c r="G1712" s="33"/>
      <c r="H1712" s="33"/>
      <c r="I1712" s="34" t="str">
        <f aca="false">IF($A1712="","",$G1712-$H1712)</f>
        <v/>
      </c>
      <c r="J1712" s="35" t="str">
        <f aca="false">IF($A1712="","",IF(Setup!$B$6=1,YEAR($A1712),YEAR($A1712)+IF(MONTH($A1712)&gt;=Setup!$B$6,1,0)))</f>
        <v/>
      </c>
      <c r="K1712" s="35" t="str">
        <f aca="false">IF($A1712="","",MOD(MONTH($A1712)-Setup!$B$6+12,12)+1)</f>
        <v/>
      </c>
      <c r="L1712" s="36" t="str">
        <f aca="false">IF($A1712="","",TEXT($A1712,"MMM-YY"))</f>
        <v/>
      </c>
      <c r="M1712" s="37" t="str">
        <f aca="false">IF($A1712="","",IF($Q1712=0,"UNMAPPED",INDEX(COA_Mapping!$C$7:$C$256,$Q1712)))</f>
        <v/>
      </c>
      <c r="N1712" s="38" t="str">
        <f aca="false">IF($A1712="","",IF($Q1712=0,"",INDEX(COA_Mapping!$E$7:$E$256,$Q1712)))</f>
        <v/>
      </c>
      <c r="O1712" s="38" t="n">
        <f aca="false">IF($A1712="",1,IF($Q1712=0,1,INDEX(COA_Mapping!$F$7:$F$256,$Q1712)))</f>
        <v>1</v>
      </c>
      <c r="P1712" s="34" t="str">
        <f aca="false">IF($A1712="","",$I1712*$O1712)</f>
        <v/>
      </c>
      <c r="Q1712" s="39" t="n">
        <f aca="false">IF($B1712="",0,IFERROR(MATCH($B1712,COA_Mapping!$A$7:$A$256,0),0))</f>
        <v>0</v>
      </c>
      <c r="R1712" s="39" t="n">
        <f aca="false">IF($A1712="",-1,IF($J1712=Setup!$B$7,1,IF($J1712=Setup!$B$9,0,-1)))</f>
        <v>-1</v>
      </c>
      <c r="S1712" s="35" t="n">
        <f aca="false">IF(OR($A1712="",$Q1712=0,$R1712=-1),0,$Q1712*1000+$R1712*100+$K1712)</f>
        <v>0</v>
      </c>
      <c r="T1712" s="37" t="str">
        <f aca="false">IF($A1712="","",IF($B1712="","NO ACCOUNT",IF($Q1712=0,"UNMAPPED",IF($R1712=-1,"OUTSIDE FY RANGE","OK"))))</f>
        <v/>
      </c>
      <c r="U1712" s="40" t="str">
        <f aca="false">IF($A1712="","",$B1712&amp;"|"&amp;TEXT($A1712,"yyyymmdd")&amp;"|"&amp;TEXT($I1712,"0.00"))</f>
        <v/>
      </c>
      <c r="V1712" s="35" t="str">
        <f aca="false">IF($A1712="","",COUNTIF($U$8:$U$5007,$U1712))</f>
        <v/>
      </c>
    </row>
    <row r="1713" customFormat="false" ht="15" hidden="false" customHeight="false" outlineLevel="0" collapsed="false">
      <c r="A1713" s="31"/>
      <c r="B1713" s="32"/>
      <c r="C1713" s="32"/>
      <c r="D1713" s="32"/>
      <c r="E1713" s="32"/>
      <c r="F1713" s="32"/>
      <c r="G1713" s="33"/>
      <c r="H1713" s="33"/>
      <c r="I1713" s="34" t="str">
        <f aca="false">IF($A1713="","",$G1713-$H1713)</f>
        <v/>
      </c>
      <c r="J1713" s="35" t="str">
        <f aca="false">IF($A1713="","",IF(Setup!$B$6=1,YEAR($A1713),YEAR($A1713)+IF(MONTH($A1713)&gt;=Setup!$B$6,1,0)))</f>
        <v/>
      </c>
      <c r="K1713" s="35" t="str">
        <f aca="false">IF($A1713="","",MOD(MONTH($A1713)-Setup!$B$6+12,12)+1)</f>
        <v/>
      </c>
      <c r="L1713" s="36" t="str">
        <f aca="false">IF($A1713="","",TEXT($A1713,"MMM-YY"))</f>
        <v/>
      </c>
      <c r="M1713" s="37" t="str">
        <f aca="false">IF($A1713="","",IF($Q1713=0,"UNMAPPED",INDEX(COA_Mapping!$C$7:$C$256,$Q1713)))</f>
        <v/>
      </c>
      <c r="N1713" s="38" t="str">
        <f aca="false">IF($A1713="","",IF($Q1713=0,"",INDEX(COA_Mapping!$E$7:$E$256,$Q1713)))</f>
        <v/>
      </c>
      <c r="O1713" s="38" t="n">
        <f aca="false">IF($A1713="",1,IF($Q1713=0,1,INDEX(COA_Mapping!$F$7:$F$256,$Q1713)))</f>
        <v>1</v>
      </c>
      <c r="P1713" s="34" t="str">
        <f aca="false">IF($A1713="","",$I1713*$O1713)</f>
        <v/>
      </c>
      <c r="Q1713" s="39" t="n">
        <f aca="false">IF($B1713="",0,IFERROR(MATCH($B1713,COA_Mapping!$A$7:$A$256,0),0))</f>
        <v>0</v>
      </c>
      <c r="R1713" s="39" t="n">
        <f aca="false">IF($A1713="",-1,IF($J1713=Setup!$B$7,1,IF($J1713=Setup!$B$9,0,-1)))</f>
        <v>-1</v>
      </c>
      <c r="S1713" s="35" t="n">
        <f aca="false">IF(OR($A1713="",$Q1713=0,$R1713=-1),0,$Q1713*1000+$R1713*100+$K1713)</f>
        <v>0</v>
      </c>
      <c r="T1713" s="37" t="str">
        <f aca="false">IF($A1713="","",IF($B1713="","NO ACCOUNT",IF($Q1713=0,"UNMAPPED",IF($R1713=-1,"OUTSIDE FY RANGE","OK"))))</f>
        <v/>
      </c>
      <c r="U1713" s="40" t="str">
        <f aca="false">IF($A1713="","",$B1713&amp;"|"&amp;TEXT($A1713,"yyyymmdd")&amp;"|"&amp;TEXT($I1713,"0.00"))</f>
        <v/>
      </c>
      <c r="V1713" s="35" t="str">
        <f aca="false">IF($A1713="","",COUNTIF($U$8:$U$5007,$U1713))</f>
        <v/>
      </c>
    </row>
    <row r="1714" customFormat="false" ht="15" hidden="false" customHeight="false" outlineLevel="0" collapsed="false">
      <c r="A1714" s="31"/>
      <c r="B1714" s="32"/>
      <c r="C1714" s="32"/>
      <c r="D1714" s="32"/>
      <c r="E1714" s="32"/>
      <c r="F1714" s="32"/>
      <c r="G1714" s="33"/>
      <c r="H1714" s="33"/>
      <c r="I1714" s="34" t="str">
        <f aca="false">IF($A1714="","",$G1714-$H1714)</f>
        <v/>
      </c>
      <c r="J1714" s="35" t="str">
        <f aca="false">IF($A1714="","",IF(Setup!$B$6=1,YEAR($A1714),YEAR($A1714)+IF(MONTH($A1714)&gt;=Setup!$B$6,1,0)))</f>
        <v/>
      </c>
      <c r="K1714" s="35" t="str">
        <f aca="false">IF($A1714="","",MOD(MONTH($A1714)-Setup!$B$6+12,12)+1)</f>
        <v/>
      </c>
      <c r="L1714" s="36" t="str">
        <f aca="false">IF($A1714="","",TEXT($A1714,"MMM-YY"))</f>
        <v/>
      </c>
      <c r="M1714" s="37" t="str">
        <f aca="false">IF($A1714="","",IF($Q1714=0,"UNMAPPED",INDEX(COA_Mapping!$C$7:$C$256,$Q1714)))</f>
        <v/>
      </c>
      <c r="N1714" s="38" t="str">
        <f aca="false">IF($A1714="","",IF($Q1714=0,"",INDEX(COA_Mapping!$E$7:$E$256,$Q1714)))</f>
        <v/>
      </c>
      <c r="O1714" s="38" t="n">
        <f aca="false">IF($A1714="",1,IF($Q1714=0,1,INDEX(COA_Mapping!$F$7:$F$256,$Q1714)))</f>
        <v>1</v>
      </c>
      <c r="P1714" s="34" t="str">
        <f aca="false">IF($A1714="","",$I1714*$O1714)</f>
        <v/>
      </c>
      <c r="Q1714" s="39" t="n">
        <f aca="false">IF($B1714="",0,IFERROR(MATCH($B1714,COA_Mapping!$A$7:$A$256,0),0))</f>
        <v>0</v>
      </c>
      <c r="R1714" s="39" t="n">
        <f aca="false">IF($A1714="",-1,IF($J1714=Setup!$B$7,1,IF($J1714=Setup!$B$9,0,-1)))</f>
        <v>-1</v>
      </c>
      <c r="S1714" s="35" t="n">
        <f aca="false">IF(OR($A1714="",$Q1714=0,$R1714=-1),0,$Q1714*1000+$R1714*100+$K1714)</f>
        <v>0</v>
      </c>
      <c r="T1714" s="37" t="str">
        <f aca="false">IF($A1714="","",IF($B1714="","NO ACCOUNT",IF($Q1714=0,"UNMAPPED",IF($R1714=-1,"OUTSIDE FY RANGE","OK"))))</f>
        <v/>
      </c>
      <c r="U1714" s="40" t="str">
        <f aca="false">IF($A1714="","",$B1714&amp;"|"&amp;TEXT($A1714,"yyyymmdd")&amp;"|"&amp;TEXT($I1714,"0.00"))</f>
        <v/>
      </c>
      <c r="V1714" s="35" t="str">
        <f aca="false">IF($A1714="","",COUNTIF($U$8:$U$5007,$U1714))</f>
        <v/>
      </c>
    </row>
    <row r="1715" customFormat="false" ht="15" hidden="false" customHeight="false" outlineLevel="0" collapsed="false">
      <c r="A1715" s="31"/>
      <c r="B1715" s="32"/>
      <c r="C1715" s="32"/>
      <c r="D1715" s="32"/>
      <c r="E1715" s="32"/>
      <c r="F1715" s="32"/>
      <c r="G1715" s="33"/>
      <c r="H1715" s="33"/>
      <c r="I1715" s="34" t="str">
        <f aca="false">IF($A1715="","",$G1715-$H1715)</f>
        <v/>
      </c>
      <c r="J1715" s="35" t="str">
        <f aca="false">IF($A1715="","",IF(Setup!$B$6=1,YEAR($A1715),YEAR($A1715)+IF(MONTH($A1715)&gt;=Setup!$B$6,1,0)))</f>
        <v/>
      </c>
      <c r="K1715" s="35" t="str">
        <f aca="false">IF($A1715="","",MOD(MONTH($A1715)-Setup!$B$6+12,12)+1)</f>
        <v/>
      </c>
      <c r="L1715" s="36" t="str">
        <f aca="false">IF($A1715="","",TEXT($A1715,"MMM-YY"))</f>
        <v/>
      </c>
      <c r="M1715" s="37" t="str">
        <f aca="false">IF($A1715="","",IF($Q1715=0,"UNMAPPED",INDEX(COA_Mapping!$C$7:$C$256,$Q1715)))</f>
        <v/>
      </c>
      <c r="N1715" s="38" t="str">
        <f aca="false">IF($A1715="","",IF($Q1715=0,"",INDEX(COA_Mapping!$E$7:$E$256,$Q1715)))</f>
        <v/>
      </c>
      <c r="O1715" s="38" t="n">
        <f aca="false">IF($A1715="",1,IF($Q1715=0,1,INDEX(COA_Mapping!$F$7:$F$256,$Q1715)))</f>
        <v>1</v>
      </c>
      <c r="P1715" s="34" t="str">
        <f aca="false">IF($A1715="","",$I1715*$O1715)</f>
        <v/>
      </c>
      <c r="Q1715" s="39" t="n">
        <f aca="false">IF($B1715="",0,IFERROR(MATCH($B1715,COA_Mapping!$A$7:$A$256,0),0))</f>
        <v>0</v>
      </c>
      <c r="R1715" s="39" t="n">
        <f aca="false">IF($A1715="",-1,IF($J1715=Setup!$B$7,1,IF($J1715=Setup!$B$9,0,-1)))</f>
        <v>-1</v>
      </c>
      <c r="S1715" s="35" t="n">
        <f aca="false">IF(OR($A1715="",$Q1715=0,$R1715=-1),0,$Q1715*1000+$R1715*100+$K1715)</f>
        <v>0</v>
      </c>
      <c r="T1715" s="37" t="str">
        <f aca="false">IF($A1715="","",IF($B1715="","NO ACCOUNT",IF($Q1715=0,"UNMAPPED",IF($R1715=-1,"OUTSIDE FY RANGE","OK"))))</f>
        <v/>
      </c>
      <c r="U1715" s="40" t="str">
        <f aca="false">IF($A1715="","",$B1715&amp;"|"&amp;TEXT($A1715,"yyyymmdd")&amp;"|"&amp;TEXT($I1715,"0.00"))</f>
        <v/>
      </c>
      <c r="V1715" s="35" t="str">
        <f aca="false">IF($A1715="","",COUNTIF($U$8:$U$5007,$U1715))</f>
        <v/>
      </c>
    </row>
    <row r="1716" customFormat="false" ht="15" hidden="false" customHeight="false" outlineLevel="0" collapsed="false">
      <c r="A1716" s="31"/>
      <c r="B1716" s="32"/>
      <c r="C1716" s="32"/>
      <c r="D1716" s="32"/>
      <c r="E1716" s="32"/>
      <c r="F1716" s="32"/>
      <c r="G1716" s="33"/>
      <c r="H1716" s="33"/>
      <c r="I1716" s="34" t="str">
        <f aca="false">IF($A1716="","",$G1716-$H1716)</f>
        <v/>
      </c>
      <c r="J1716" s="35" t="str">
        <f aca="false">IF($A1716="","",IF(Setup!$B$6=1,YEAR($A1716),YEAR($A1716)+IF(MONTH($A1716)&gt;=Setup!$B$6,1,0)))</f>
        <v/>
      </c>
      <c r="K1716" s="35" t="str">
        <f aca="false">IF($A1716="","",MOD(MONTH($A1716)-Setup!$B$6+12,12)+1)</f>
        <v/>
      </c>
      <c r="L1716" s="36" t="str">
        <f aca="false">IF($A1716="","",TEXT($A1716,"MMM-YY"))</f>
        <v/>
      </c>
      <c r="M1716" s="37" t="str">
        <f aca="false">IF($A1716="","",IF($Q1716=0,"UNMAPPED",INDEX(COA_Mapping!$C$7:$C$256,$Q1716)))</f>
        <v/>
      </c>
      <c r="N1716" s="38" t="str">
        <f aca="false">IF($A1716="","",IF($Q1716=0,"",INDEX(COA_Mapping!$E$7:$E$256,$Q1716)))</f>
        <v/>
      </c>
      <c r="O1716" s="38" t="n">
        <f aca="false">IF($A1716="",1,IF($Q1716=0,1,INDEX(COA_Mapping!$F$7:$F$256,$Q1716)))</f>
        <v>1</v>
      </c>
      <c r="P1716" s="34" t="str">
        <f aca="false">IF($A1716="","",$I1716*$O1716)</f>
        <v/>
      </c>
      <c r="Q1716" s="39" t="n">
        <f aca="false">IF($B1716="",0,IFERROR(MATCH($B1716,COA_Mapping!$A$7:$A$256,0),0))</f>
        <v>0</v>
      </c>
      <c r="R1716" s="39" t="n">
        <f aca="false">IF($A1716="",-1,IF($J1716=Setup!$B$7,1,IF($J1716=Setup!$B$9,0,-1)))</f>
        <v>-1</v>
      </c>
      <c r="S1716" s="35" t="n">
        <f aca="false">IF(OR($A1716="",$Q1716=0,$R1716=-1),0,$Q1716*1000+$R1716*100+$K1716)</f>
        <v>0</v>
      </c>
      <c r="T1716" s="37" t="str">
        <f aca="false">IF($A1716="","",IF($B1716="","NO ACCOUNT",IF($Q1716=0,"UNMAPPED",IF($R1716=-1,"OUTSIDE FY RANGE","OK"))))</f>
        <v/>
      </c>
      <c r="U1716" s="40" t="str">
        <f aca="false">IF($A1716="","",$B1716&amp;"|"&amp;TEXT($A1716,"yyyymmdd")&amp;"|"&amp;TEXT($I1716,"0.00"))</f>
        <v/>
      </c>
      <c r="V1716" s="35" t="str">
        <f aca="false">IF($A1716="","",COUNTIF($U$8:$U$5007,$U1716))</f>
        <v/>
      </c>
    </row>
    <row r="1717" customFormat="false" ht="15" hidden="false" customHeight="false" outlineLevel="0" collapsed="false">
      <c r="A1717" s="31"/>
      <c r="B1717" s="32"/>
      <c r="C1717" s="32"/>
      <c r="D1717" s="32"/>
      <c r="E1717" s="32"/>
      <c r="F1717" s="32"/>
      <c r="G1717" s="33"/>
      <c r="H1717" s="33"/>
      <c r="I1717" s="34" t="str">
        <f aca="false">IF($A1717="","",$G1717-$H1717)</f>
        <v/>
      </c>
      <c r="J1717" s="35" t="str">
        <f aca="false">IF($A1717="","",IF(Setup!$B$6=1,YEAR($A1717),YEAR($A1717)+IF(MONTH($A1717)&gt;=Setup!$B$6,1,0)))</f>
        <v/>
      </c>
      <c r="K1717" s="35" t="str">
        <f aca="false">IF($A1717="","",MOD(MONTH($A1717)-Setup!$B$6+12,12)+1)</f>
        <v/>
      </c>
      <c r="L1717" s="36" t="str">
        <f aca="false">IF($A1717="","",TEXT($A1717,"MMM-YY"))</f>
        <v/>
      </c>
      <c r="M1717" s="37" t="str">
        <f aca="false">IF($A1717="","",IF($Q1717=0,"UNMAPPED",INDEX(COA_Mapping!$C$7:$C$256,$Q1717)))</f>
        <v/>
      </c>
      <c r="N1717" s="38" t="str">
        <f aca="false">IF($A1717="","",IF($Q1717=0,"",INDEX(COA_Mapping!$E$7:$E$256,$Q1717)))</f>
        <v/>
      </c>
      <c r="O1717" s="38" t="n">
        <f aca="false">IF($A1717="",1,IF($Q1717=0,1,INDEX(COA_Mapping!$F$7:$F$256,$Q1717)))</f>
        <v>1</v>
      </c>
      <c r="P1717" s="34" t="str">
        <f aca="false">IF($A1717="","",$I1717*$O1717)</f>
        <v/>
      </c>
      <c r="Q1717" s="39" t="n">
        <f aca="false">IF($B1717="",0,IFERROR(MATCH($B1717,COA_Mapping!$A$7:$A$256,0),0))</f>
        <v>0</v>
      </c>
      <c r="R1717" s="39" t="n">
        <f aca="false">IF($A1717="",-1,IF($J1717=Setup!$B$7,1,IF($J1717=Setup!$B$9,0,-1)))</f>
        <v>-1</v>
      </c>
      <c r="S1717" s="35" t="n">
        <f aca="false">IF(OR($A1717="",$Q1717=0,$R1717=-1),0,$Q1717*1000+$R1717*100+$K1717)</f>
        <v>0</v>
      </c>
      <c r="T1717" s="37" t="str">
        <f aca="false">IF($A1717="","",IF($B1717="","NO ACCOUNT",IF($Q1717=0,"UNMAPPED",IF($R1717=-1,"OUTSIDE FY RANGE","OK"))))</f>
        <v/>
      </c>
      <c r="U1717" s="40" t="str">
        <f aca="false">IF($A1717="","",$B1717&amp;"|"&amp;TEXT($A1717,"yyyymmdd")&amp;"|"&amp;TEXT($I1717,"0.00"))</f>
        <v/>
      </c>
      <c r="V1717" s="35" t="str">
        <f aca="false">IF($A1717="","",COUNTIF($U$8:$U$5007,$U1717))</f>
        <v/>
      </c>
    </row>
    <row r="1718" customFormat="false" ht="15" hidden="false" customHeight="false" outlineLevel="0" collapsed="false">
      <c r="A1718" s="31"/>
      <c r="B1718" s="32"/>
      <c r="C1718" s="32"/>
      <c r="D1718" s="32"/>
      <c r="E1718" s="32"/>
      <c r="F1718" s="32"/>
      <c r="G1718" s="33"/>
      <c r="H1718" s="33"/>
      <c r="I1718" s="34" t="str">
        <f aca="false">IF($A1718="","",$G1718-$H1718)</f>
        <v/>
      </c>
      <c r="J1718" s="35" t="str">
        <f aca="false">IF($A1718="","",IF(Setup!$B$6=1,YEAR($A1718),YEAR($A1718)+IF(MONTH($A1718)&gt;=Setup!$B$6,1,0)))</f>
        <v/>
      </c>
      <c r="K1718" s="35" t="str">
        <f aca="false">IF($A1718="","",MOD(MONTH($A1718)-Setup!$B$6+12,12)+1)</f>
        <v/>
      </c>
      <c r="L1718" s="36" t="str">
        <f aca="false">IF($A1718="","",TEXT($A1718,"MMM-YY"))</f>
        <v/>
      </c>
      <c r="M1718" s="37" t="str">
        <f aca="false">IF($A1718="","",IF($Q1718=0,"UNMAPPED",INDEX(COA_Mapping!$C$7:$C$256,$Q1718)))</f>
        <v/>
      </c>
      <c r="N1718" s="38" t="str">
        <f aca="false">IF($A1718="","",IF($Q1718=0,"",INDEX(COA_Mapping!$E$7:$E$256,$Q1718)))</f>
        <v/>
      </c>
      <c r="O1718" s="38" t="n">
        <f aca="false">IF($A1718="",1,IF($Q1718=0,1,INDEX(COA_Mapping!$F$7:$F$256,$Q1718)))</f>
        <v>1</v>
      </c>
      <c r="P1718" s="34" t="str">
        <f aca="false">IF($A1718="","",$I1718*$O1718)</f>
        <v/>
      </c>
      <c r="Q1718" s="39" t="n">
        <f aca="false">IF($B1718="",0,IFERROR(MATCH($B1718,COA_Mapping!$A$7:$A$256,0),0))</f>
        <v>0</v>
      </c>
      <c r="R1718" s="39" t="n">
        <f aca="false">IF($A1718="",-1,IF($J1718=Setup!$B$7,1,IF($J1718=Setup!$B$9,0,-1)))</f>
        <v>-1</v>
      </c>
      <c r="S1718" s="35" t="n">
        <f aca="false">IF(OR($A1718="",$Q1718=0,$R1718=-1),0,$Q1718*1000+$R1718*100+$K1718)</f>
        <v>0</v>
      </c>
      <c r="T1718" s="37" t="str">
        <f aca="false">IF($A1718="","",IF($B1718="","NO ACCOUNT",IF($Q1718=0,"UNMAPPED",IF($R1718=-1,"OUTSIDE FY RANGE","OK"))))</f>
        <v/>
      </c>
      <c r="U1718" s="40" t="str">
        <f aca="false">IF($A1718="","",$B1718&amp;"|"&amp;TEXT($A1718,"yyyymmdd")&amp;"|"&amp;TEXT($I1718,"0.00"))</f>
        <v/>
      </c>
      <c r="V1718" s="35" t="str">
        <f aca="false">IF($A1718="","",COUNTIF($U$8:$U$5007,$U1718))</f>
        <v/>
      </c>
    </row>
    <row r="1719" customFormat="false" ht="15" hidden="false" customHeight="false" outlineLevel="0" collapsed="false">
      <c r="A1719" s="31"/>
      <c r="B1719" s="32"/>
      <c r="C1719" s="32"/>
      <c r="D1719" s="32"/>
      <c r="E1719" s="32"/>
      <c r="F1719" s="32"/>
      <c r="G1719" s="33"/>
      <c r="H1719" s="33"/>
      <c r="I1719" s="34" t="str">
        <f aca="false">IF($A1719="","",$G1719-$H1719)</f>
        <v/>
      </c>
      <c r="J1719" s="35" t="str">
        <f aca="false">IF($A1719="","",IF(Setup!$B$6=1,YEAR($A1719),YEAR($A1719)+IF(MONTH($A1719)&gt;=Setup!$B$6,1,0)))</f>
        <v/>
      </c>
      <c r="K1719" s="35" t="str">
        <f aca="false">IF($A1719="","",MOD(MONTH($A1719)-Setup!$B$6+12,12)+1)</f>
        <v/>
      </c>
      <c r="L1719" s="36" t="str">
        <f aca="false">IF($A1719="","",TEXT($A1719,"MMM-YY"))</f>
        <v/>
      </c>
      <c r="M1719" s="37" t="str">
        <f aca="false">IF($A1719="","",IF($Q1719=0,"UNMAPPED",INDEX(COA_Mapping!$C$7:$C$256,$Q1719)))</f>
        <v/>
      </c>
      <c r="N1719" s="38" t="str">
        <f aca="false">IF($A1719="","",IF($Q1719=0,"",INDEX(COA_Mapping!$E$7:$E$256,$Q1719)))</f>
        <v/>
      </c>
      <c r="O1719" s="38" t="n">
        <f aca="false">IF($A1719="",1,IF($Q1719=0,1,INDEX(COA_Mapping!$F$7:$F$256,$Q1719)))</f>
        <v>1</v>
      </c>
      <c r="P1719" s="34" t="str">
        <f aca="false">IF($A1719="","",$I1719*$O1719)</f>
        <v/>
      </c>
      <c r="Q1719" s="39" t="n">
        <f aca="false">IF($B1719="",0,IFERROR(MATCH($B1719,COA_Mapping!$A$7:$A$256,0),0))</f>
        <v>0</v>
      </c>
      <c r="R1719" s="39" t="n">
        <f aca="false">IF($A1719="",-1,IF($J1719=Setup!$B$7,1,IF($J1719=Setup!$B$9,0,-1)))</f>
        <v>-1</v>
      </c>
      <c r="S1719" s="35" t="n">
        <f aca="false">IF(OR($A1719="",$Q1719=0,$R1719=-1),0,$Q1719*1000+$R1719*100+$K1719)</f>
        <v>0</v>
      </c>
      <c r="T1719" s="37" t="str">
        <f aca="false">IF($A1719="","",IF($B1719="","NO ACCOUNT",IF($Q1719=0,"UNMAPPED",IF($R1719=-1,"OUTSIDE FY RANGE","OK"))))</f>
        <v/>
      </c>
      <c r="U1719" s="40" t="str">
        <f aca="false">IF($A1719="","",$B1719&amp;"|"&amp;TEXT($A1719,"yyyymmdd")&amp;"|"&amp;TEXT($I1719,"0.00"))</f>
        <v/>
      </c>
      <c r="V1719" s="35" t="str">
        <f aca="false">IF($A1719="","",COUNTIF($U$8:$U$5007,$U1719))</f>
        <v/>
      </c>
    </row>
    <row r="1720" customFormat="false" ht="15" hidden="false" customHeight="false" outlineLevel="0" collapsed="false">
      <c r="A1720" s="31"/>
      <c r="B1720" s="32"/>
      <c r="C1720" s="32"/>
      <c r="D1720" s="32"/>
      <c r="E1720" s="32"/>
      <c r="F1720" s="32"/>
      <c r="G1720" s="33"/>
      <c r="H1720" s="33"/>
      <c r="I1720" s="34" t="str">
        <f aca="false">IF($A1720="","",$G1720-$H1720)</f>
        <v/>
      </c>
      <c r="J1720" s="35" t="str">
        <f aca="false">IF($A1720="","",IF(Setup!$B$6=1,YEAR($A1720),YEAR($A1720)+IF(MONTH($A1720)&gt;=Setup!$B$6,1,0)))</f>
        <v/>
      </c>
      <c r="K1720" s="35" t="str">
        <f aca="false">IF($A1720="","",MOD(MONTH($A1720)-Setup!$B$6+12,12)+1)</f>
        <v/>
      </c>
      <c r="L1720" s="36" t="str">
        <f aca="false">IF($A1720="","",TEXT($A1720,"MMM-YY"))</f>
        <v/>
      </c>
      <c r="M1720" s="37" t="str">
        <f aca="false">IF($A1720="","",IF($Q1720=0,"UNMAPPED",INDEX(COA_Mapping!$C$7:$C$256,$Q1720)))</f>
        <v/>
      </c>
      <c r="N1720" s="38" t="str">
        <f aca="false">IF($A1720="","",IF($Q1720=0,"",INDEX(COA_Mapping!$E$7:$E$256,$Q1720)))</f>
        <v/>
      </c>
      <c r="O1720" s="38" t="n">
        <f aca="false">IF($A1720="",1,IF($Q1720=0,1,INDEX(COA_Mapping!$F$7:$F$256,$Q1720)))</f>
        <v>1</v>
      </c>
      <c r="P1720" s="34" t="str">
        <f aca="false">IF($A1720="","",$I1720*$O1720)</f>
        <v/>
      </c>
      <c r="Q1720" s="39" t="n">
        <f aca="false">IF($B1720="",0,IFERROR(MATCH($B1720,COA_Mapping!$A$7:$A$256,0),0))</f>
        <v>0</v>
      </c>
      <c r="R1720" s="39" t="n">
        <f aca="false">IF($A1720="",-1,IF($J1720=Setup!$B$7,1,IF($J1720=Setup!$B$9,0,-1)))</f>
        <v>-1</v>
      </c>
      <c r="S1720" s="35" t="n">
        <f aca="false">IF(OR($A1720="",$Q1720=0,$R1720=-1),0,$Q1720*1000+$R1720*100+$K1720)</f>
        <v>0</v>
      </c>
      <c r="T1720" s="37" t="str">
        <f aca="false">IF($A1720="","",IF($B1720="","NO ACCOUNT",IF($Q1720=0,"UNMAPPED",IF($R1720=-1,"OUTSIDE FY RANGE","OK"))))</f>
        <v/>
      </c>
      <c r="U1720" s="40" t="str">
        <f aca="false">IF($A1720="","",$B1720&amp;"|"&amp;TEXT($A1720,"yyyymmdd")&amp;"|"&amp;TEXT($I1720,"0.00"))</f>
        <v/>
      </c>
      <c r="V1720" s="35" t="str">
        <f aca="false">IF($A1720="","",COUNTIF($U$8:$U$5007,$U1720))</f>
        <v/>
      </c>
    </row>
    <row r="1721" customFormat="false" ht="15" hidden="false" customHeight="false" outlineLevel="0" collapsed="false">
      <c r="A1721" s="31"/>
      <c r="B1721" s="32"/>
      <c r="C1721" s="32"/>
      <c r="D1721" s="32"/>
      <c r="E1721" s="32"/>
      <c r="F1721" s="32"/>
      <c r="G1721" s="33"/>
      <c r="H1721" s="33"/>
      <c r="I1721" s="34" t="str">
        <f aca="false">IF($A1721="","",$G1721-$H1721)</f>
        <v/>
      </c>
      <c r="J1721" s="35" t="str">
        <f aca="false">IF($A1721="","",IF(Setup!$B$6=1,YEAR($A1721),YEAR($A1721)+IF(MONTH($A1721)&gt;=Setup!$B$6,1,0)))</f>
        <v/>
      </c>
      <c r="K1721" s="35" t="str">
        <f aca="false">IF($A1721="","",MOD(MONTH($A1721)-Setup!$B$6+12,12)+1)</f>
        <v/>
      </c>
      <c r="L1721" s="36" t="str">
        <f aca="false">IF($A1721="","",TEXT($A1721,"MMM-YY"))</f>
        <v/>
      </c>
      <c r="M1721" s="37" t="str">
        <f aca="false">IF($A1721="","",IF($Q1721=0,"UNMAPPED",INDEX(COA_Mapping!$C$7:$C$256,$Q1721)))</f>
        <v/>
      </c>
      <c r="N1721" s="38" t="str">
        <f aca="false">IF($A1721="","",IF($Q1721=0,"",INDEX(COA_Mapping!$E$7:$E$256,$Q1721)))</f>
        <v/>
      </c>
      <c r="O1721" s="38" t="n">
        <f aca="false">IF($A1721="",1,IF($Q1721=0,1,INDEX(COA_Mapping!$F$7:$F$256,$Q1721)))</f>
        <v>1</v>
      </c>
      <c r="P1721" s="34" t="str">
        <f aca="false">IF($A1721="","",$I1721*$O1721)</f>
        <v/>
      </c>
      <c r="Q1721" s="39" t="n">
        <f aca="false">IF($B1721="",0,IFERROR(MATCH($B1721,COA_Mapping!$A$7:$A$256,0),0))</f>
        <v>0</v>
      </c>
      <c r="R1721" s="39" t="n">
        <f aca="false">IF($A1721="",-1,IF($J1721=Setup!$B$7,1,IF($J1721=Setup!$B$9,0,-1)))</f>
        <v>-1</v>
      </c>
      <c r="S1721" s="35" t="n">
        <f aca="false">IF(OR($A1721="",$Q1721=0,$R1721=-1),0,$Q1721*1000+$R1721*100+$K1721)</f>
        <v>0</v>
      </c>
      <c r="T1721" s="37" t="str">
        <f aca="false">IF($A1721="","",IF($B1721="","NO ACCOUNT",IF($Q1721=0,"UNMAPPED",IF($R1721=-1,"OUTSIDE FY RANGE","OK"))))</f>
        <v/>
      </c>
      <c r="U1721" s="40" t="str">
        <f aca="false">IF($A1721="","",$B1721&amp;"|"&amp;TEXT($A1721,"yyyymmdd")&amp;"|"&amp;TEXT($I1721,"0.00"))</f>
        <v/>
      </c>
      <c r="V1721" s="35" t="str">
        <f aca="false">IF($A1721="","",COUNTIF($U$8:$U$5007,$U1721))</f>
        <v/>
      </c>
    </row>
    <row r="1722" customFormat="false" ht="15" hidden="false" customHeight="false" outlineLevel="0" collapsed="false">
      <c r="A1722" s="31"/>
      <c r="B1722" s="32"/>
      <c r="C1722" s="32"/>
      <c r="D1722" s="32"/>
      <c r="E1722" s="32"/>
      <c r="F1722" s="32"/>
      <c r="G1722" s="33"/>
      <c r="H1722" s="33"/>
      <c r="I1722" s="34" t="str">
        <f aca="false">IF($A1722="","",$G1722-$H1722)</f>
        <v/>
      </c>
      <c r="J1722" s="35" t="str">
        <f aca="false">IF($A1722="","",IF(Setup!$B$6=1,YEAR($A1722),YEAR($A1722)+IF(MONTH($A1722)&gt;=Setup!$B$6,1,0)))</f>
        <v/>
      </c>
      <c r="K1722" s="35" t="str">
        <f aca="false">IF($A1722="","",MOD(MONTH($A1722)-Setup!$B$6+12,12)+1)</f>
        <v/>
      </c>
      <c r="L1722" s="36" t="str">
        <f aca="false">IF($A1722="","",TEXT($A1722,"MMM-YY"))</f>
        <v/>
      </c>
      <c r="M1722" s="37" t="str">
        <f aca="false">IF($A1722="","",IF($Q1722=0,"UNMAPPED",INDEX(COA_Mapping!$C$7:$C$256,$Q1722)))</f>
        <v/>
      </c>
      <c r="N1722" s="38" t="str">
        <f aca="false">IF($A1722="","",IF($Q1722=0,"",INDEX(COA_Mapping!$E$7:$E$256,$Q1722)))</f>
        <v/>
      </c>
      <c r="O1722" s="38" t="n">
        <f aca="false">IF($A1722="",1,IF($Q1722=0,1,INDEX(COA_Mapping!$F$7:$F$256,$Q1722)))</f>
        <v>1</v>
      </c>
      <c r="P1722" s="34" t="str">
        <f aca="false">IF($A1722="","",$I1722*$O1722)</f>
        <v/>
      </c>
      <c r="Q1722" s="39" t="n">
        <f aca="false">IF($B1722="",0,IFERROR(MATCH($B1722,COA_Mapping!$A$7:$A$256,0),0))</f>
        <v>0</v>
      </c>
      <c r="R1722" s="39" t="n">
        <f aca="false">IF($A1722="",-1,IF($J1722=Setup!$B$7,1,IF($J1722=Setup!$B$9,0,-1)))</f>
        <v>-1</v>
      </c>
      <c r="S1722" s="35" t="n">
        <f aca="false">IF(OR($A1722="",$Q1722=0,$R1722=-1),0,$Q1722*1000+$R1722*100+$K1722)</f>
        <v>0</v>
      </c>
      <c r="T1722" s="37" t="str">
        <f aca="false">IF($A1722="","",IF($B1722="","NO ACCOUNT",IF($Q1722=0,"UNMAPPED",IF($R1722=-1,"OUTSIDE FY RANGE","OK"))))</f>
        <v/>
      </c>
      <c r="U1722" s="40" t="str">
        <f aca="false">IF($A1722="","",$B1722&amp;"|"&amp;TEXT($A1722,"yyyymmdd")&amp;"|"&amp;TEXT($I1722,"0.00"))</f>
        <v/>
      </c>
      <c r="V1722" s="35" t="str">
        <f aca="false">IF($A1722="","",COUNTIF($U$8:$U$5007,$U1722))</f>
        <v/>
      </c>
    </row>
    <row r="1723" customFormat="false" ht="15" hidden="false" customHeight="false" outlineLevel="0" collapsed="false">
      <c r="A1723" s="31"/>
      <c r="B1723" s="32"/>
      <c r="C1723" s="32"/>
      <c r="D1723" s="32"/>
      <c r="E1723" s="32"/>
      <c r="F1723" s="32"/>
      <c r="G1723" s="33"/>
      <c r="H1723" s="33"/>
      <c r="I1723" s="34" t="str">
        <f aca="false">IF($A1723="","",$G1723-$H1723)</f>
        <v/>
      </c>
      <c r="J1723" s="35" t="str">
        <f aca="false">IF($A1723="","",IF(Setup!$B$6=1,YEAR($A1723),YEAR($A1723)+IF(MONTH($A1723)&gt;=Setup!$B$6,1,0)))</f>
        <v/>
      </c>
      <c r="K1723" s="35" t="str">
        <f aca="false">IF($A1723="","",MOD(MONTH($A1723)-Setup!$B$6+12,12)+1)</f>
        <v/>
      </c>
      <c r="L1723" s="36" t="str">
        <f aca="false">IF($A1723="","",TEXT($A1723,"MMM-YY"))</f>
        <v/>
      </c>
      <c r="M1723" s="37" t="str">
        <f aca="false">IF($A1723="","",IF($Q1723=0,"UNMAPPED",INDEX(COA_Mapping!$C$7:$C$256,$Q1723)))</f>
        <v/>
      </c>
      <c r="N1723" s="38" t="str">
        <f aca="false">IF($A1723="","",IF($Q1723=0,"",INDEX(COA_Mapping!$E$7:$E$256,$Q1723)))</f>
        <v/>
      </c>
      <c r="O1723" s="38" t="n">
        <f aca="false">IF($A1723="",1,IF($Q1723=0,1,INDEX(COA_Mapping!$F$7:$F$256,$Q1723)))</f>
        <v>1</v>
      </c>
      <c r="P1723" s="34" t="str">
        <f aca="false">IF($A1723="","",$I1723*$O1723)</f>
        <v/>
      </c>
      <c r="Q1723" s="39" t="n">
        <f aca="false">IF($B1723="",0,IFERROR(MATCH($B1723,COA_Mapping!$A$7:$A$256,0),0))</f>
        <v>0</v>
      </c>
      <c r="R1723" s="39" t="n">
        <f aca="false">IF($A1723="",-1,IF($J1723=Setup!$B$7,1,IF($J1723=Setup!$B$9,0,-1)))</f>
        <v>-1</v>
      </c>
      <c r="S1723" s="35" t="n">
        <f aca="false">IF(OR($A1723="",$Q1723=0,$R1723=-1),0,$Q1723*1000+$R1723*100+$K1723)</f>
        <v>0</v>
      </c>
      <c r="T1723" s="37" t="str">
        <f aca="false">IF($A1723="","",IF($B1723="","NO ACCOUNT",IF($Q1723=0,"UNMAPPED",IF($R1723=-1,"OUTSIDE FY RANGE","OK"))))</f>
        <v/>
      </c>
      <c r="U1723" s="40" t="str">
        <f aca="false">IF($A1723="","",$B1723&amp;"|"&amp;TEXT($A1723,"yyyymmdd")&amp;"|"&amp;TEXT($I1723,"0.00"))</f>
        <v/>
      </c>
      <c r="V1723" s="35" t="str">
        <f aca="false">IF($A1723="","",COUNTIF($U$8:$U$5007,$U1723))</f>
        <v/>
      </c>
    </row>
    <row r="1724" customFormat="false" ht="15" hidden="false" customHeight="false" outlineLevel="0" collapsed="false">
      <c r="A1724" s="31"/>
      <c r="B1724" s="32"/>
      <c r="C1724" s="32"/>
      <c r="D1724" s="32"/>
      <c r="E1724" s="32"/>
      <c r="F1724" s="32"/>
      <c r="G1724" s="33"/>
      <c r="H1724" s="33"/>
      <c r="I1724" s="34" t="str">
        <f aca="false">IF($A1724="","",$G1724-$H1724)</f>
        <v/>
      </c>
      <c r="J1724" s="35" t="str">
        <f aca="false">IF($A1724="","",IF(Setup!$B$6=1,YEAR($A1724),YEAR($A1724)+IF(MONTH($A1724)&gt;=Setup!$B$6,1,0)))</f>
        <v/>
      </c>
      <c r="K1724" s="35" t="str">
        <f aca="false">IF($A1724="","",MOD(MONTH($A1724)-Setup!$B$6+12,12)+1)</f>
        <v/>
      </c>
      <c r="L1724" s="36" t="str">
        <f aca="false">IF($A1724="","",TEXT($A1724,"MMM-YY"))</f>
        <v/>
      </c>
      <c r="M1724" s="37" t="str">
        <f aca="false">IF($A1724="","",IF($Q1724=0,"UNMAPPED",INDEX(COA_Mapping!$C$7:$C$256,$Q1724)))</f>
        <v/>
      </c>
      <c r="N1724" s="38" t="str">
        <f aca="false">IF($A1724="","",IF($Q1724=0,"",INDEX(COA_Mapping!$E$7:$E$256,$Q1724)))</f>
        <v/>
      </c>
      <c r="O1724" s="38" t="n">
        <f aca="false">IF($A1724="",1,IF($Q1724=0,1,INDEX(COA_Mapping!$F$7:$F$256,$Q1724)))</f>
        <v>1</v>
      </c>
      <c r="P1724" s="34" t="str">
        <f aca="false">IF($A1724="","",$I1724*$O1724)</f>
        <v/>
      </c>
      <c r="Q1724" s="39" t="n">
        <f aca="false">IF($B1724="",0,IFERROR(MATCH($B1724,COA_Mapping!$A$7:$A$256,0),0))</f>
        <v>0</v>
      </c>
      <c r="R1724" s="39" t="n">
        <f aca="false">IF($A1724="",-1,IF($J1724=Setup!$B$7,1,IF($J1724=Setup!$B$9,0,-1)))</f>
        <v>-1</v>
      </c>
      <c r="S1724" s="35" t="n">
        <f aca="false">IF(OR($A1724="",$Q1724=0,$R1724=-1),0,$Q1724*1000+$R1724*100+$K1724)</f>
        <v>0</v>
      </c>
      <c r="T1724" s="37" t="str">
        <f aca="false">IF($A1724="","",IF($B1724="","NO ACCOUNT",IF($Q1724=0,"UNMAPPED",IF($R1724=-1,"OUTSIDE FY RANGE","OK"))))</f>
        <v/>
      </c>
      <c r="U1724" s="40" t="str">
        <f aca="false">IF($A1724="","",$B1724&amp;"|"&amp;TEXT($A1724,"yyyymmdd")&amp;"|"&amp;TEXT($I1724,"0.00"))</f>
        <v/>
      </c>
      <c r="V1724" s="35" t="str">
        <f aca="false">IF($A1724="","",COUNTIF($U$8:$U$5007,$U1724))</f>
        <v/>
      </c>
    </row>
    <row r="1725" customFormat="false" ht="15" hidden="false" customHeight="false" outlineLevel="0" collapsed="false">
      <c r="A1725" s="31"/>
      <c r="B1725" s="32"/>
      <c r="C1725" s="32"/>
      <c r="D1725" s="32"/>
      <c r="E1725" s="32"/>
      <c r="F1725" s="32"/>
      <c r="G1725" s="33"/>
      <c r="H1725" s="33"/>
      <c r="I1725" s="34" t="str">
        <f aca="false">IF($A1725="","",$G1725-$H1725)</f>
        <v/>
      </c>
      <c r="J1725" s="35" t="str">
        <f aca="false">IF($A1725="","",IF(Setup!$B$6=1,YEAR($A1725),YEAR($A1725)+IF(MONTH($A1725)&gt;=Setup!$B$6,1,0)))</f>
        <v/>
      </c>
      <c r="K1725" s="35" t="str">
        <f aca="false">IF($A1725="","",MOD(MONTH($A1725)-Setup!$B$6+12,12)+1)</f>
        <v/>
      </c>
      <c r="L1725" s="36" t="str">
        <f aca="false">IF($A1725="","",TEXT($A1725,"MMM-YY"))</f>
        <v/>
      </c>
      <c r="M1725" s="37" t="str">
        <f aca="false">IF($A1725="","",IF($Q1725=0,"UNMAPPED",INDEX(COA_Mapping!$C$7:$C$256,$Q1725)))</f>
        <v/>
      </c>
      <c r="N1725" s="38" t="str">
        <f aca="false">IF($A1725="","",IF($Q1725=0,"",INDEX(COA_Mapping!$E$7:$E$256,$Q1725)))</f>
        <v/>
      </c>
      <c r="O1725" s="38" t="n">
        <f aca="false">IF($A1725="",1,IF($Q1725=0,1,INDEX(COA_Mapping!$F$7:$F$256,$Q1725)))</f>
        <v>1</v>
      </c>
      <c r="P1725" s="34" t="str">
        <f aca="false">IF($A1725="","",$I1725*$O1725)</f>
        <v/>
      </c>
      <c r="Q1725" s="39" t="n">
        <f aca="false">IF($B1725="",0,IFERROR(MATCH($B1725,COA_Mapping!$A$7:$A$256,0),0))</f>
        <v>0</v>
      </c>
      <c r="R1725" s="39" t="n">
        <f aca="false">IF($A1725="",-1,IF($J1725=Setup!$B$7,1,IF($J1725=Setup!$B$9,0,-1)))</f>
        <v>-1</v>
      </c>
      <c r="S1725" s="35" t="n">
        <f aca="false">IF(OR($A1725="",$Q1725=0,$R1725=-1),0,$Q1725*1000+$R1725*100+$K1725)</f>
        <v>0</v>
      </c>
      <c r="T1725" s="37" t="str">
        <f aca="false">IF($A1725="","",IF($B1725="","NO ACCOUNT",IF($Q1725=0,"UNMAPPED",IF($R1725=-1,"OUTSIDE FY RANGE","OK"))))</f>
        <v/>
      </c>
      <c r="U1725" s="40" t="str">
        <f aca="false">IF($A1725="","",$B1725&amp;"|"&amp;TEXT($A1725,"yyyymmdd")&amp;"|"&amp;TEXT($I1725,"0.00"))</f>
        <v/>
      </c>
      <c r="V1725" s="35" t="str">
        <f aca="false">IF($A1725="","",COUNTIF($U$8:$U$5007,$U1725))</f>
        <v/>
      </c>
    </row>
    <row r="1726" customFormat="false" ht="15" hidden="false" customHeight="false" outlineLevel="0" collapsed="false">
      <c r="A1726" s="31"/>
      <c r="B1726" s="32"/>
      <c r="C1726" s="32"/>
      <c r="D1726" s="32"/>
      <c r="E1726" s="32"/>
      <c r="F1726" s="32"/>
      <c r="G1726" s="33"/>
      <c r="H1726" s="33"/>
      <c r="I1726" s="34" t="str">
        <f aca="false">IF($A1726="","",$G1726-$H1726)</f>
        <v/>
      </c>
      <c r="J1726" s="35" t="str">
        <f aca="false">IF($A1726="","",IF(Setup!$B$6=1,YEAR($A1726),YEAR($A1726)+IF(MONTH($A1726)&gt;=Setup!$B$6,1,0)))</f>
        <v/>
      </c>
      <c r="K1726" s="35" t="str">
        <f aca="false">IF($A1726="","",MOD(MONTH($A1726)-Setup!$B$6+12,12)+1)</f>
        <v/>
      </c>
      <c r="L1726" s="36" t="str">
        <f aca="false">IF($A1726="","",TEXT($A1726,"MMM-YY"))</f>
        <v/>
      </c>
      <c r="M1726" s="37" t="str">
        <f aca="false">IF($A1726="","",IF($Q1726=0,"UNMAPPED",INDEX(COA_Mapping!$C$7:$C$256,$Q1726)))</f>
        <v/>
      </c>
      <c r="N1726" s="38" t="str">
        <f aca="false">IF($A1726="","",IF($Q1726=0,"",INDEX(COA_Mapping!$E$7:$E$256,$Q1726)))</f>
        <v/>
      </c>
      <c r="O1726" s="38" t="n">
        <f aca="false">IF($A1726="",1,IF($Q1726=0,1,INDEX(COA_Mapping!$F$7:$F$256,$Q1726)))</f>
        <v>1</v>
      </c>
      <c r="P1726" s="34" t="str">
        <f aca="false">IF($A1726="","",$I1726*$O1726)</f>
        <v/>
      </c>
      <c r="Q1726" s="39" t="n">
        <f aca="false">IF($B1726="",0,IFERROR(MATCH($B1726,COA_Mapping!$A$7:$A$256,0),0))</f>
        <v>0</v>
      </c>
      <c r="R1726" s="39" t="n">
        <f aca="false">IF($A1726="",-1,IF($J1726=Setup!$B$7,1,IF($J1726=Setup!$B$9,0,-1)))</f>
        <v>-1</v>
      </c>
      <c r="S1726" s="35" t="n">
        <f aca="false">IF(OR($A1726="",$Q1726=0,$R1726=-1),0,$Q1726*1000+$R1726*100+$K1726)</f>
        <v>0</v>
      </c>
      <c r="T1726" s="37" t="str">
        <f aca="false">IF($A1726="","",IF($B1726="","NO ACCOUNT",IF($Q1726=0,"UNMAPPED",IF($R1726=-1,"OUTSIDE FY RANGE","OK"))))</f>
        <v/>
      </c>
      <c r="U1726" s="40" t="str">
        <f aca="false">IF($A1726="","",$B1726&amp;"|"&amp;TEXT($A1726,"yyyymmdd")&amp;"|"&amp;TEXT($I1726,"0.00"))</f>
        <v/>
      </c>
      <c r="V1726" s="35" t="str">
        <f aca="false">IF($A1726="","",COUNTIF($U$8:$U$5007,$U1726))</f>
        <v/>
      </c>
    </row>
    <row r="1727" customFormat="false" ht="15" hidden="false" customHeight="false" outlineLevel="0" collapsed="false">
      <c r="A1727" s="31"/>
      <c r="B1727" s="32"/>
      <c r="C1727" s="32"/>
      <c r="D1727" s="32"/>
      <c r="E1727" s="32"/>
      <c r="F1727" s="32"/>
      <c r="G1727" s="33"/>
      <c r="H1727" s="33"/>
      <c r="I1727" s="34" t="str">
        <f aca="false">IF($A1727="","",$G1727-$H1727)</f>
        <v/>
      </c>
      <c r="J1727" s="35" t="str">
        <f aca="false">IF($A1727="","",IF(Setup!$B$6=1,YEAR($A1727),YEAR($A1727)+IF(MONTH($A1727)&gt;=Setup!$B$6,1,0)))</f>
        <v/>
      </c>
      <c r="K1727" s="35" t="str">
        <f aca="false">IF($A1727="","",MOD(MONTH($A1727)-Setup!$B$6+12,12)+1)</f>
        <v/>
      </c>
      <c r="L1727" s="36" t="str">
        <f aca="false">IF($A1727="","",TEXT($A1727,"MMM-YY"))</f>
        <v/>
      </c>
      <c r="M1727" s="37" t="str">
        <f aca="false">IF($A1727="","",IF($Q1727=0,"UNMAPPED",INDEX(COA_Mapping!$C$7:$C$256,$Q1727)))</f>
        <v/>
      </c>
      <c r="N1727" s="38" t="str">
        <f aca="false">IF($A1727="","",IF($Q1727=0,"",INDEX(COA_Mapping!$E$7:$E$256,$Q1727)))</f>
        <v/>
      </c>
      <c r="O1727" s="38" t="n">
        <f aca="false">IF($A1727="",1,IF($Q1727=0,1,INDEX(COA_Mapping!$F$7:$F$256,$Q1727)))</f>
        <v>1</v>
      </c>
      <c r="P1727" s="34" t="str">
        <f aca="false">IF($A1727="","",$I1727*$O1727)</f>
        <v/>
      </c>
      <c r="Q1727" s="39" t="n">
        <f aca="false">IF($B1727="",0,IFERROR(MATCH($B1727,COA_Mapping!$A$7:$A$256,0),0))</f>
        <v>0</v>
      </c>
      <c r="R1727" s="39" t="n">
        <f aca="false">IF($A1727="",-1,IF($J1727=Setup!$B$7,1,IF($J1727=Setup!$B$9,0,-1)))</f>
        <v>-1</v>
      </c>
      <c r="S1727" s="35" t="n">
        <f aca="false">IF(OR($A1727="",$Q1727=0,$R1727=-1),0,$Q1727*1000+$R1727*100+$K1727)</f>
        <v>0</v>
      </c>
      <c r="T1727" s="37" t="str">
        <f aca="false">IF($A1727="","",IF($B1727="","NO ACCOUNT",IF($Q1727=0,"UNMAPPED",IF($R1727=-1,"OUTSIDE FY RANGE","OK"))))</f>
        <v/>
      </c>
      <c r="U1727" s="40" t="str">
        <f aca="false">IF($A1727="","",$B1727&amp;"|"&amp;TEXT($A1727,"yyyymmdd")&amp;"|"&amp;TEXT($I1727,"0.00"))</f>
        <v/>
      </c>
      <c r="V1727" s="35" t="str">
        <f aca="false">IF($A1727="","",COUNTIF($U$8:$U$5007,$U1727))</f>
        <v/>
      </c>
    </row>
    <row r="1728" customFormat="false" ht="15" hidden="false" customHeight="false" outlineLevel="0" collapsed="false">
      <c r="A1728" s="31"/>
      <c r="B1728" s="32"/>
      <c r="C1728" s="32"/>
      <c r="D1728" s="32"/>
      <c r="E1728" s="32"/>
      <c r="F1728" s="32"/>
      <c r="G1728" s="33"/>
      <c r="H1728" s="33"/>
      <c r="I1728" s="34" t="str">
        <f aca="false">IF($A1728="","",$G1728-$H1728)</f>
        <v/>
      </c>
      <c r="J1728" s="35" t="str">
        <f aca="false">IF($A1728="","",IF(Setup!$B$6=1,YEAR($A1728),YEAR($A1728)+IF(MONTH($A1728)&gt;=Setup!$B$6,1,0)))</f>
        <v/>
      </c>
      <c r="K1728" s="35" t="str">
        <f aca="false">IF($A1728="","",MOD(MONTH($A1728)-Setup!$B$6+12,12)+1)</f>
        <v/>
      </c>
      <c r="L1728" s="36" t="str">
        <f aca="false">IF($A1728="","",TEXT($A1728,"MMM-YY"))</f>
        <v/>
      </c>
      <c r="M1728" s="37" t="str">
        <f aca="false">IF($A1728="","",IF($Q1728=0,"UNMAPPED",INDEX(COA_Mapping!$C$7:$C$256,$Q1728)))</f>
        <v/>
      </c>
      <c r="N1728" s="38" t="str">
        <f aca="false">IF($A1728="","",IF($Q1728=0,"",INDEX(COA_Mapping!$E$7:$E$256,$Q1728)))</f>
        <v/>
      </c>
      <c r="O1728" s="38" t="n">
        <f aca="false">IF($A1728="",1,IF($Q1728=0,1,INDEX(COA_Mapping!$F$7:$F$256,$Q1728)))</f>
        <v>1</v>
      </c>
      <c r="P1728" s="34" t="str">
        <f aca="false">IF($A1728="","",$I1728*$O1728)</f>
        <v/>
      </c>
      <c r="Q1728" s="39" t="n">
        <f aca="false">IF($B1728="",0,IFERROR(MATCH($B1728,COA_Mapping!$A$7:$A$256,0),0))</f>
        <v>0</v>
      </c>
      <c r="R1728" s="39" t="n">
        <f aca="false">IF($A1728="",-1,IF($J1728=Setup!$B$7,1,IF($J1728=Setup!$B$9,0,-1)))</f>
        <v>-1</v>
      </c>
      <c r="S1728" s="35" t="n">
        <f aca="false">IF(OR($A1728="",$Q1728=0,$R1728=-1),0,$Q1728*1000+$R1728*100+$K1728)</f>
        <v>0</v>
      </c>
      <c r="T1728" s="37" t="str">
        <f aca="false">IF($A1728="","",IF($B1728="","NO ACCOUNT",IF($Q1728=0,"UNMAPPED",IF($R1728=-1,"OUTSIDE FY RANGE","OK"))))</f>
        <v/>
      </c>
      <c r="U1728" s="40" t="str">
        <f aca="false">IF($A1728="","",$B1728&amp;"|"&amp;TEXT($A1728,"yyyymmdd")&amp;"|"&amp;TEXT($I1728,"0.00"))</f>
        <v/>
      </c>
      <c r="V1728" s="35" t="str">
        <f aca="false">IF($A1728="","",COUNTIF($U$8:$U$5007,$U1728))</f>
        <v/>
      </c>
    </row>
    <row r="1729" customFormat="false" ht="15" hidden="false" customHeight="false" outlineLevel="0" collapsed="false">
      <c r="A1729" s="31"/>
      <c r="B1729" s="32"/>
      <c r="C1729" s="32"/>
      <c r="D1729" s="32"/>
      <c r="E1729" s="32"/>
      <c r="F1729" s="32"/>
      <c r="G1729" s="33"/>
      <c r="H1729" s="33"/>
      <c r="I1729" s="34" t="str">
        <f aca="false">IF($A1729="","",$G1729-$H1729)</f>
        <v/>
      </c>
      <c r="J1729" s="35" t="str">
        <f aca="false">IF($A1729="","",IF(Setup!$B$6=1,YEAR($A1729),YEAR($A1729)+IF(MONTH($A1729)&gt;=Setup!$B$6,1,0)))</f>
        <v/>
      </c>
      <c r="K1729" s="35" t="str">
        <f aca="false">IF($A1729="","",MOD(MONTH($A1729)-Setup!$B$6+12,12)+1)</f>
        <v/>
      </c>
      <c r="L1729" s="36" t="str">
        <f aca="false">IF($A1729="","",TEXT($A1729,"MMM-YY"))</f>
        <v/>
      </c>
      <c r="M1729" s="37" t="str">
        <f aca="false">IF($A1729="","",IF($Q1729=0,"UNMAPPED",INDEX(COA_Mapping!$C$7:$C$256,$Q1729)))</f>
        <v/>
      </c>
      <c r="N1729" s="38" t="str">
        <f aca="false">IF($A1729="","",IF($Q1729=0,"",INDEX(COA_Mapping!$E$7:$E$256,$Q1729)))</f>
        <v/>
      </c>
      <c r="O1729" s="38" t="n">
        <f aca="false">IF($A1729="",1,IF($Q1729=0,1,INDEX(COA_Mapping!$F$7:$F$256,$Q1729)))</f>
        <v>1</v>
      </c>
      <c r="P1729" s="34" t="str">
        <f aca="false">IF($A1729="","",$I1729*$O1729)</f>
        <v/>
      </c>
      <c r="Q1729" s="39" t="n">
        <f aca="false">IF($B1729="",0,IFERROR(MATCH($B1729,COA_Mapping!$A$7:$A$256,0),0))</f>
        <v>0</v>
      </c>
      <c r="R1729" s="39" t="n">
        <f aca="false">IF($A1729="",-1,IF($J1729=Setup!$B$7,1,IF($J1729=Setup!$B$9,0,-1)))</f>
        <v>-1</v>
      </c>
      <c r="S1729" s="35" t="n">
        <f aca="false">IF(OR($A1729="",$Q1729=0,$R1729=-1),0,$Q1729*1000+$R1729*100+$K1729)</f>
        <v>0</v>
      </c>
      <c r="T1729" s="37" t="str">
        <f aca="false">IF($A1729="","",IF($B1729="","NO ACCOUNT",IF($Q1729=0,"UNMAPPED",IF($R1729=-1,"OUTSIDE FY RANGE","OK"))))</f>
        <v/>
      </c>
      <c r="U1729" s="40" t="str">
        <f aca="false">IF($A1729="","",$B1729&amp;"|"&amp;TEXT($A1729,"yyyymmdd")&amp;"|"&amp;TEXT($I1729,"0.00"))</f>
        <v/>
      </c>
      <c r="V1729" s="35" t="str">
        <f aca="false">IF($A1729="","",COUNTIF($U$8:$U$5007,$U1729))</f>
        <v/>
      </c>
    </row>
    <row r="1730" customFormat="false" ht="15" hidden="false" customHeight="false" outlineLevel="0" collapsed="false">
      <c r="A1730" s="31"/>
      <c r="B1730" s="32"/>
      <c r="C1730" s="32"/>
      <c r="D1730" s="32"/>
      <c r="E1730" s="32"/>
      <c r="F1730" s="32"/>
      <c r="G1730" s="33"/>
      <c r="H1730" s="33"/>
      <c r="I1730" s="34" t="str">
        <f aca="false">IF($A1730="","",$G1730-$H1730)</f>
        <v/>
      </c>
      <c r="J1730" s="35" t="str">
        <f aca="false">IF($A1730="","",IF(Setup!$B$6=1,YEAR($A1730),YEAR($A1730)+IF(MONTH($A1730)&gt;=Setup!$B$6,1,0)))</f>
        <v/>
      </c>
      <c r="K1730" s="35" t="str">
        <f aca="false">IF($A1730="","",MOD(MONTH($A1730)-Setup!$B$6+12,12)+1)</f>
        <v/>
      </c>
      <c r="L1730" s="36" t="str">
        <f aca="false">IF($A1730="","",TEXT($A1730,"MMM-YY"))</f>
        <v/>
      </c>
      <c r="M1730" s="37" t="str">
        <f aca="false">IF($A1730="","",IF($Q1730=0,"UNMAPPED",INDEX(COA_Mapping!$C$7:$C$256,$Q1730)))</f>
        <v/>
      </c>
      <c r="N1730" s="38" t="str">
        <f aca="false">IF($A1730="","",IF($Q1730=0,"",INDEX(COA_Mapping!$E$7:$E$256,$Q1730)))</f>
        <v/>
      </c>
      <c r="O1730" s="38" t="n">
        <f aca="false">IF($A1730="",1,IF($Q1730=0,1,INDEX(COA_Mapping!$F$7:$F$256,$Q1730)))</f>
        <v>1</v>
      </c>
      <c r="P1730" s="34" t="str">
        <f aca="false">IF($A1730="","",$I1730*$O1730)</f>
        <v/>
      </c>
      <c r="Q1730" s="39" t="n">
        <f aca="false">IF($B1730="",0,IFERROR(MATCH($B1730,COA_Mapping!$A$7:$A$256,0),0))</f>
        <v>0</v>
      </c>
      <c r="R1730" s="39" t="n">
        <f aca="false">IF($A1730="",-1,IF($J1730=Setup!$B$7,1,IF($J1730=Setup!$B$9,0,-1)))</f>
        <v>-1</v>
      </c>
      <c r="S1730" s="35" t="n">
        <f aca="false">IF(OR($A1730="",$Q1730=0,$R1730=-1),0,$Q1730*1000+$R1730*100+$K1730)</f>
        <v>0</v>
      </c>
      <c r="T1730" s="37" t="str">
        <f aca="false">IF($A1730="","",IF($B1730="","NO ACCOUNT",IF($Q1730=0,"UNMAPPED",IF($R1730=-1,"OUTSIDE FY RANGE","OK"))))</f>
        <v/>
      </c>
      <c r="U1730" s="40" t="str">
        <f aca="false">IF($A1730="","",$B1730&amp;"|"&amp;TEXT($A1730,"yyyymmdd")&amp;"|"&amp;TEXT($I1730,"0.00"))</f>
        <v/>
      </c>
      <c r="V1730" s="35" t="str">
        <f aca="false">IF($A1730="","",COUNTIF($U$8:$U$5007,$U1730))</f>
        <v/>
      </c>
    </row>
    <row r="1731" customFormat="false" ht="15" hidden="false" customHeight="false" outlineLevel="0" collapsed="false">
      <c r="A1731" s="31"/>
      <c r="B1731" s="32"/>
      <c r="C1731" s="32"/>
      <c r="D1731" s="32"/>
      <c r="E1731" s="32"/>
      <c r="F1731" s="32"/>
      <c r="G1731" s="33"/>
      <c r="H1731" s="33"/>
      <c r="I1731" s="34" t="str">
        <f aca="false">IF($A1731="","",$G1731-$H1731)</f>
        <v/>
      </c>
      <c r="J1731" s="35" t="str">
        <f aca="false">IF($A1731="","",IF(Setup!$B$6=1,YEAR($A1731),YEAR($A1731)+IF(MONTH($A1731)&gt;=Setup!$B$6,1,0)))</f>
        <v/>
      </c>
      <c r="K1731" s="35" t="str">
        <f aca="false">IF($A1731="","",MOD(MONTH($A1731)-Setup!$B$6+12,12)+1)</f>
        <v/>
      </c>
      <c r="L1731" s="36" t="str">
        <f aca="false">IF($A1731="","",TEXT($A1731,"MMM-YY"))</f>
        <v/>
      </c>
      <c r="M1731" s="37" t="str">
        <f aca="false">IF($A1731="","",IF($Q1731=0,"UNMAPPED",INDEX(COA_Mapping!$C$7:$C$256,$Q1731)))</f>
        <v/>
      </c>
      <c r="N1731" s="38" t="str">
        <f aca="false">IF($A1731="","",IF($Q1731=0,"",INDEX(COA_Mapping!$E$7:$E$256,$Q1731)))</f>
        <v/>
      </c>
      <c r="O1731" s="38" t="n">
        <f aca="false">IF($A1731="",1,IF($Q1731=0,1,INDEX(COA_Mapping!$F$7:$F$256,$Q1731)))</f>
        <v>1</v>
      </c>
      <c r="P1731" s="34" t="str">
        <f aca="false">IF($A1731="","",$I1731*$O1731)</f>
        <v/>
      </c>
      <c r="Q1731" s="39" t="n">
        <f aca="false">IF($B1731="",0,IFERROR(MATCH($B1731,COA_Mapping!$A$7:$A$256,0),0))</f>
        <v>0</v>
      </c>
      <c r="R1731" s="39" t="n">
        <f aca="false">IF($A1731="",-1,IF($J1731=Setup!$B$7,1,IF($J1731=Setup!$B$9,0,-1)))</f>
        <v>-1</v>
      </c>
      <c r="S1731" s="35" t="n">
        <f aca="false">IF(OR($A1731="",$Q1731=0,$R1731=-1),0,$Q1731*1000+$R1731*100+$K1731)</f>
        <v>0</v>
      </c>
      <c r="T1731" s="37" t="str">
        <f aca="false">IF($A1731="","",IF($B1731="","NO ACCOUNT",IF($Q1731=0,"UNMAPPED",IF($R1731=-1,"OUTSIDE FY RANGE","OK"))))</f>
        <v/>
      </c>
      <c r="U1731" s="40" t="str">
        <f aca="false">IF($A1731="","",$B1731&amp;"|"&amp;TEXT($A1731,"yyyymmdd")&amp;"|"&amp;TEXT($I1731,"0.00"))</f>
        <v/>
      </c>
      <c r="V1731" s="35" t="str">
        <f aca="false">IF($A1731="","",COUNTIF($U$8:$U$5007,$U1731))</f>
        <v/>
      </c>
    </row>
    <row r="1732" customFormat="false" ht="15" hidden="false" customHeight="false" outlineLevel="0" collapsed="false">
      <c r="A1732" s="31"/>
      <c r="B1732" s="32"/>
      <c r="C1732" s="32"/>
      <c r="D1732" s="32"/>
      <c r="E1732" s="32"/>
      <c r="F1732" s="32"/>
      <c r="G1732" s="33"/>
      <c r="H1732" s="33"/>
      <c r="I1732" s="34" t="str">
        <f aca="false">IF($A1732="","",$G1732-$H1732)</f>
        <v/>
      </c>
      <c r="J1732" s="35" t="str">
        <f aca="false">IF($A1732="","",IF(Setup!$B$6=1,YEAR($A1732),YEAR($A1732)+IF(MONTH($A1732)&gt;=Setup!$B$6,1,0)))</f>
        <v/>
      </c>
      <c r="K1732" s="35" t="str">
        <f aca="false">IF($A1732="","",MOD(MONTH($A1732)-Setup!$B$6+12,12)+1)</f>
        <v/>
      </c>
      <c r="L1732" s="36" t="str">
        <f aca="false">IF($A1732="","",TEXT($A1732,"MMM-YY"))</f>
        <v/>
      </c>
      <c r="M1732" s="37" t="str">
        <f aca="false">IF($A1732="","",IF($Q1732=0,"UNMAPPED",INDEX(COA_Mapping!$C$7:$C$256,$Q1732)))</f>
        <v/>
      </c>
      <c r="N1732" s="38" t="str">
        <f aca="false">IF($A1732="","",IF($Q1732=0,"",INDEX(COA_Mapping!$E$7:$E$256,$Q1732)))</f>
        <v/>
      </c>
      <c r="O1732" s="38" t="n">
        <f aca="false">IF($A1732="",1,IF($Q1732=0,1,INDEX(COA_Mapping!$F$7:$F$256,$Q1732)))</f>
        <v>1</v>
      </c>
      <c r="P1732" s="34" t="str">
        <f aca="false">IF($A1732="","",$I1732*$O1732)</f>
        <v/>
      </c>
      <c r="Q1732" s="39" t="n">
        <f aca="false">IF($B1732="",0,IFERROR(MATCH($B1732,COA_Mapping!$A$7:$A$256,0),0))</f>
        <v>0</v>
      </c>
      <c r="R1732" s="39" t="n">
        <f aca="false">IF($A1732="",-1,IF($J1732=Setup!$B$7,1,IF($J1732=Setup!$B$9,0,-1)))</f>
        <v>-1</v>
      </c>
      <c r="S1732" s="35" t="n">
        <f aca="false">IF(OR($A1732="",$Q1732=0,$R1732=-1),0,$Q1732*1000+$R1732*100+$K1732)</f>
        <v>0</v>
      </c>
      <c r="T1732" s="37" t="str">
        <f aca="false">IF($A1732="","",IF($B1732="","NO ACCOUNT",IF($Q1732=0,"UNMAPPED",IF($R1732=-1,"OUTSIDE FY RANGE","OK"))))</f>
        <v/>
      </c>
      <c r="U1732" s="40" t="str">
        <f aca="false">IF($A1732="","",$B1732&amp;"|"&amp;TEXT($A1732,"yyyymmdd")&amp;"|"&amp;TEXT($I1732,"0.00"))</f>
        <v/>
      </c>
      <c r="V1732" s="35" t="str">
        <f aca="false">IF($A1732="","",COUNTIF($U$8:$U$5007,$U1732))</f>
        <v/>
      </c>
    </row>
    <row r="1733" customFormat="false" ht="15" hidden="false" customHeight="false" outlineLevel="0" collapsed="false">
      <c r="A1733" s="31"/>
      <c r="B1733" s="32"/>
      <c r="C1733" s="32"/>
      <c r="D1733" s="32"/>
      <c r="E1733" s="32"/>
      <c r="F1733" s="32"/>
      <c r="G1733" s="33"/>
      <c r="H1733" s="33"/>
      <c r="I1733" s="34" t="str">
        <f aca="false">IF($A1733="","",$G1733-$H1733)</f>
        <v/>
      </c>
      <c r="J1733" s="35" t="str">
        <f aca="false">IF($A1733="","",IF(Setup!$B$6=1,YEAR($A1733),YEAR($A1733)+IF(MONTH($A1733)&gt;=Setup!$B$6,1,0)))</f>
        <v/>
      </c>
      <c r="K1733" s="35" t="str">
        <f aca="false">IF($A1733="","",MOD(MONTH($A1733)-Setup!$B$6+12,12)+1)</f>
        <v/>
      </c>
      <c r="L1733" s="36" t="str">
        <f aca="false">IF($A1733="","",TEXT($A1733,"MMM-YY"))</f>
        <v/>
      </c>
      <c r="M1733" s="37" t="str">
        <f aca="false">IF($A1733="","",IF($Q1733=0,"UNMAPPED",INDEX(COA_Mapping!$C$7:$C$256,$Q1733)))</f>
        <v/>
      </c>
      <c r="N1733" s="38" t="str">
        <f aca="false">IF($A1733="","",IF($Q1733=0,"",INDEX(COA_Mapping!$E$7:$E$256,$Q1733)))</f>
        <v/>
      </c>
      <c r="O1733" s="38" t="n">
        <f aca="false">IF($A1733="",1,IF($Q1733=0,1,INDEX(COA_Mapping!$F$7:$F$256,$Q1733)))</f>
        <v>1</v>
      </c>
      <c r="P1733" s="34" t="str">
        <f aca="false">IF($A1733="","",$I1733*$O1733)</f>
        <v/>
      </c>
      <c r="Q1733" s="39" t="n">
        <f aca="false">IF($B1733="",0,IFERROR(MATCH($B1733,COA_Mapping!$A$7:$A$256,0),0))</f>
        <v>0</v>
      </c>
      <c r="R1733" s="39" t="n">
        <f aca="false">IF($A1733="",-1,IF($J1733=Setup!$B$7,1,IF($J1733=Setup!$B$9,0,-1)))</f>
        <v>-1</v>
      </c>
      <c r="S1733" s="35" t="n">
        <f aca="false">IF(OR($A1733="",$Q1733=0,$R1733=-1),0,$Q1733*1000+$R1733*100+$K1733)</f>
        <v>0</v>
      </c>
      <c r="T1733" s="37" t="str">
        <f aca="false">IF($A1733="","",IF($B1733="","NO ACCOUNT",IF($Q1733=0,"UNMAPPED",IF($R1733=-1,"OUTSIDE FY RANGE","OK"))))</f>
        <v/>
      </c>
      <c r="U1733" s="40" t="str">
        <f aca="false">IF($A1733="","",$B1733&amp;"|"&amp;TEXT($A1733,"yyyymmdd")&amp;"|"&amp;TEXT($I1733,"0.00"))</f>
        <v/>
      </c>
      <c r="V1733" s="35" t="str">
        <f aca="false">IF($A1733="","",COUNTIF($U$8:$U$5007,$U1733))</f>
        <v/>
      </c>
    </row>
    <row r="1734" customFormat="false" ht="15" hidden="false" customHeight="false" outlineLevel="0" collapsed="false">
      <c r="A1734" s="31"/>
      <c r="B1734" s="32"/>
      <c r="C1734" s="32"/>
      <c r="D1734" s="32"/>
      <c r="E1734" s="32"/>
      <c r="F1734" s="32"/>
      <c r="G1734" s="33"/>
      <c r="H1734" s="33"/>
      <c r="I1734" s="34" t="str">
        <f aca="false">IF($A1734="","",$G1734-$H1734)</f>
        <v/>
      </c>
      <c r="J1734" s="35" t="str">
        <f aca="false">IF($A1734="","",IF(Setup!$B$6=1,YEAR($A1734),YEAR($A1734)+IF(MONTH($A1734)&gt;=Setup!$B$6,1,0)))</f>
        <v/>
      </c>
      <c r="K1734" s="35" t="str">
        <f aca="false">IF($A1734="","",MOD(MONTH($A1734)-Setup!$B$6+12,12)+1)</f>
        <v/>
      </c>
      <c r="L1734" s="36" t="str">
        <f aca="false">IF($A1734="","",TEXT($A1734,"MMM-YY"))</f>
        <v/>
      </c>
      <c r="M1734" s="37" t="str">
        <f aca="false">IF($A1734="","",IF($Q1734=0,"UNMAPPED",INDEX(COA_Mapping!$C$7:$C$256,$Q1734)))</f>
        <v/>
      </c>
      <c r="N1734" s="38" t="str">
        <f aca="false">IF($A1734="","",IF($Q1734=0,"",INDEX(COA_Mapping!$E$7:$E$256,$Q1734)))</f>
        <v/>
      </c>
      <c r="O1734" s="38" t="n">
        <f aca="false">IF($A1734="",1,IF($Q1734=0,1,INDEX(COA_Mapping!$F$7:$F$256,$Q1734)))</f>
        <v>1</v>
      </c>
      <c r="P1734" s="34" t="str">
        <f aca="false">IF($A1734="","",$I1734*$O1734)</f>
        <v/>
      </c>
      <c r="Q1734" s="39" t="n">
        <f aca="false">IF($B1734="",0,IFERROR(MATCH($B1734,COA_Mapping!$A$7:$A$256,0),0))</f>
        <v>0</v>
      </c>
      <c r="R1734" s="39" t="n">
        <f aca="false">IF($A1734="",-1,IF($J1734=Setup!$B$7,1,IF($J1734=Setup!$B$9,0,-1)))</f>
        <v>-1</v>
      </c>
      <c r="S1734" s="35" t="n">
        <f aca="false">IF(OR($A1734="",$Q1734=0,$R1734=-1),0,$Q1734*1000+$R1734*100+$K1734)</f>
        <v>0</v>
      </c>
      <c r="T1734" s="37" t="str">
        <f aca="false">IF($A1734="","",IF($B1734="","NO ACCOUNT",IF($Q1734=0,"UNMAPPED",IF($R1734=-1,"OUTSIDE FY RANGE","OK"))))</f>
        <v/>
      </c>
      <c r="U1734" s="40" t="str">
        <f aca="false">IF($A1734="","",$B1734&amp;"|"&amp;TEXT($A1734,"yyyymmdd")&amp;"|"&amp;TEXT($I1734,"0.00"))</f>
        <v/>
      </c>
      <c r="V1734" s="35" t="str">
        <f aca="false">IF($A1734="","",COUNTIF($U$8:$U$5007,$U1734))</f>
        <v/>
      </c>
    </row>
    <row r="1735" customFormat="false" ht="15" hidden="false" customHeight="false" outlineLevel="0" collapsed="false">
      <c r="A1735" s="31"/>
      <c r="B1735" s="32"/>
      <c r="C1735" s="32"/>
      <c r="D1735" s="32"/>
      <c r="E1735" s="32"/>
      <c r="F1735" s="32"/>
      <c r="G1735" s="33"/>
      <c r="H1735" s="33"/>
      <c r="I1735" s="34" t="str">
        <f aca="false">IF($A1735="","",$G1735-$H1735)</f>
        <v/>
      </c>
      <c r="J1735" s="35" t="str">
        <f aca="false">IF($A1735="","",IF(Setup!$B$6=1,YEAR($A1735),YEAR($A1735)+IF(MONTH($A1735)&gt;=Setup!$B$6,1,0)))</f>
        <v/>
      </c>
      <c r="K1735" s="35" t="str">
        <f aca="false">IF($A1735="","",MOD(MONTH($A1735)-Setup!$B$6+12,12)+1)</f>
        <v/>
      </c>
      <c r="L1735" s="36" t="str">
        <f aca="false">IF($A1735="","",TEXT($A1735,"MMM-YY"))</f>
        <v/>
      </c>
      <c r="M1735" s="37" t="str">
        <f aca="false">IF($A1735="","",IF($Q1735=0,"UNMAPPED",INDEX(COA_Mapping!$C$7:$C$256,$Q1735)))</f>
        <v/>
      </c>
      <c r="N1735" s="38" t="str">
        <f aca="false">IF($A1735="","",IF($Q1735=0,"",INDEX(COA_Mapping!$E$7:$E$256,$Q1735)))</f>
        <v/>
      </c>
      <c r="O1735" s="38" t="n">
        <f aca="false">IF($A1735="",1,IF($Q1735=0,1,INDEX(COA_Mapping!$F$7:$F$256,$Q1735)))</f>
        <v>1</v>
      </c>
      <c r="P1735" s="34" t="str">
        <f aca="false">IF($A1735="","",$I1735*$O1735)</f>
        <v/>
      </c>
      <c r="Q1735" s="39" t="n">
        <f aca="false">IF($B1735="",0,IFERROR(MATCH($B1735,COA_Mapping!$A$7:$A$256,0),0))</f>
        <v>0</v>
      </c>
      <c r="R1735" s="39" t="n">
        <f aca="false">IF($A1735="",-1,IF($J1735=Setup!$B$7,1,IF($J1735=Setup!$B$9,0,-1)))</f>
        <v>-1</v>
      </c>
      <c r="S1735" s="35" t="n">
        <f aca="false">IF(OR($A1735="",$Q1735=0,$R1735=-1),0,$Q1735*1000+$R1735*100+$K1735)</f>
        <v>0</v>
      </c>
      <c r="T1735" s="37" t="str">
        <f aca="false">IF($A1735="","",IF($B1735="","NO ACCOUNT",IF($Q1735=0,"UNMAPPED",IF($R1735=-1,"OUTSIDE FY RANGE","OK"))))</f>
        <v/>
      </c>
      <c r="U1735" s="40" t="str">
        <f aca="false">IF($A1735="","",$B1735&amp;"|"&amp;TEXT($A1735,"yyyymmdd")&amp;"|"&amp;TEXT($I1735,"0.00"))</f>
        <v/>
      </c>
      <c r="V1735" s="35" t="str">
        <f aca="false">IF($A1735="","",COUNTIF($U$8:$U$5007,$U1735))</f>
        <v/>
      </c>
    </row>
    <row r="1736" customFormat="false" ht="15" hidden="false" customHeight="false" outlineLevel="0" collapsed="false">
      <c r="A1736" s="31"/>
      <c r="B1736" s="32"/>
      <c r="C1736" s="32"/>
      <c r="D1736" s="32"/>
      <c r="E1736" s="32"/>
      <c r="F1736" s="32"/>
      <c r="G1736" s="33"/>
      <c r="H1736" s="33"/>
      <c r="I1736" s="34" t="str">
        <f aca="false">IF($A1736="","",$G1736-$H1736)</f>
        <v/>
      </c>
      <c r="J1736" s="35" t="str">
        <f aca="false">IF($A1736="","",IF(Setup!$B$6=1,YEAR($A1736),YEAR($A1736)+IF(MONTH($A1736)&gt;=Setup!$B$6,1,0)))</f>
        <v/>
      </c>
      <c r="K1736" s="35" t="str">
        <f aca="false">IF($A1736="","",MOD(MONTH($A1736)-Setup!$B$6+12,12)+1)</f>
        <v/>
      </c>
      <c r="L1736" s="36" t="str">
        <f aca="false">IF($A1736="","",TEXT($A1736,"MMM-YY"))</f>
        <v/>
      </c>
      <c r="M1736" s="37" t="str">
        <f aca="false">IF($A1736="","",IF($Q1736=0,"UNMAPPED",INDEX(COA_Mapping!$C$7:$C$256,$Q1736)))</f>
        <v/>
      </c>
      <c r="N1736" s="38" t="str">
        <f aca="false">IF($A1736="","",IF($Q1736=0,"",INDEX(COA_Mapping!$E$7:$E$256,$Q1736)))</f>
        <v/>
      </c>
      <c r="O1736" s="38" t="n">
        <f aca="false">IF($A1736="",1,IF($Q1736=0,1,INDEX(COA_Mapping!$F$7:$F$256,$Q1736)))</f>
        <v>1</v>
      </c>
      <c r="P1736" s="34" t="str">
        <f aca="false">IF($A1736="","",$I1736*$O1736)</f>
        <v/>
      </c>
      <c r="Q1736" s="39" t="n">
        <f aca="false">IF($B1736="",0,IFERROR(MATCH($B1736,COA_Mapping!$A$7:$A$256,0),0))</f>
        <v>0</v>
      </c>
      <c r="R1736" s="39" t="n">
        <f aca="false">IF($A1736="",-1,IF($J1736=Setup!$B$7,1,IF($J1736=Setup!$B$9,0,-1)))</f>
        <v>-1</v>
      </c>
      <c r="S1736" s="35" t="n">
        <f aca="false">IF(OR($A1736="",$Q1736=0,$R1736=-1),0,$Q1736*1000+$R1736*100+$K1736)</f>
        <v>0</v>
      </c>
      <c r="T1736" s="37" t="str">
        <f aca="false">IF($A1736="","",IF($B1736="","NO ACCOUNT",IF($Q1736=0,"UNMAPPED",IF($R1736=-1,"OUTSIDE FY RANGE","OK"))))</f>
        <v/>
      </c>
      <c r="U1736" s="40" t="str">
        <f aca="false">IF($A1736="","",$B1736&amp;"|"&amp;TEXT($A1736,"yyyymmdd")&amp;"|"&amp;TEXT($I1736,"0.00"))</f>
        <v/>
      </c>
      <c r="V1736" s="35" t="str">
        <f aca="false">IF($A1736="","",COUNTIF($U$8:$U$5007,$U1736))</f>
        <v/>
      </c>
    </row>
    <row r="1737" customFormat="false" ht="15" hidden="false" customHeight="false" outlineLevel="0" collapsed="false">
      <c r="A1737" s="31"/>
      <c r="B1737" s="32"/>
      <c r="C1737" s="32"/>
      <c r="D1737" s="32"/>
      <c r="E1737" s="32"/>
      <c r="F1737" s="32"/>
      <c r="G1737" s="33"/>
      <c r="H1737" s="33"/>
      <c r="I1737" s="34" t="str">
        <f aca="false">IF($A1737="","",$G1737-$H1737)</f>
        <v/>
      </c>
      <c r="J1737" s="35" t="str">
        <f aca="false">IF($A1737="","",IF(Setup!$B$6=1,YEAR($A1737),YEAR($A1737)+IF(MONTH($A1737)&gt;=Setup!$B$6,1,0)))</f>
        <v/>
      </c>
      <c r="K1737" s="35" t="str">
        <f aca="false">IF($A1737="","",MOD(MONTH($A1737)-Setup!$B$6+12,12)+1)</f>
        <v/>
      </c>
      <c r="L1737" s="36" t="str">
        <f aca="false">IF($A1737="","",TEXT($A1737,"MMM-YY"))</f>
        <v/>
      </c>
      <c r="M1737" s="37" t="str">
        <f aca="false">IF($A1737="","",IF($Q1737=0,"UNMAPPED",INDEX(COA_Mapping!$C$7:$C$256,$Q1737)))</f>
        <v/>
      </c>
      <c r="N1737" s="38" t="str">
        <f aca="false">IF($A1737="","",IF($Q1737=0,"",INDEX(COA_Mapping!$E$7:$E$256,$Q1737)))</f>
        <v/>
      </c>
      <c r="O1737" s="38" t="n">
        <f aca="false">IF($A1737="",1,IF($Q1737=0,1,INDEX(COA_Mapping!$F$7:$F$256,$Q1737)))</f>
        <v>1</v>
      </c>
      <c r="P1737" s="34" t="str">
        <f aca="false">IF($A1737="","",$I1737*$O1737)</f>
        <v/>
      </c>
      <c r="Q1737" s="39" t="n">
        <f aca="false">IF($B1737="",0,IFERROR(MATCH($B1737,COA_Mapping!$A$7:$A$256,0),0))</f>
        <v>0</v>
      </c>
      <c r="R1737" s="39" t="n">
        <f aca="false">IF($A1737="",-1,IF($J1737=Setup!$B$7,1,IF($J1737=Setup!$B$9,0,-1)))</f>
        <v>-1</v>
      </c>
      <c r="S1737" s="35" t="n">
        <f aca="false">IF(OR($A1737="",$Q1737=0,$R1737=-1),0,$Q1737*1000+$R1737*100+$K1737)</f>
        <v>0</v>
      </c>
      <c r="T1737" s="37" t="str">
        <f aca="false">IF($A1737="","",IF($B1737="","NO ACCOUNT",IF($Q1737=0,"UNMAPPED",IF($R1737=-1,"OUTSIDE FY RANGE","OK"))))</f>
        <v/>
      </c>
      <c r="U1737" s="40" t="str">
        <f aca="false">IF($A1737="","",$B1737&amp;"|"&amp;TEXT($A1737,"yyyymmdd")&amp;"|"&amp;TEXT($I1737,"0.00"))</f>
        <v/>
      </c>
      <c r="V1737" s="35" t="str">
        <f aca="false">IF($A1737="","",COUNTIF($U$8:$U$5007,$U1737))</f>
        <v/>
      </c>
    </row>
    <row r="1738" customFormat="false" ht="15" hidden="false" customHeight="false" outlineLevel="0" collapsed="false">
      <c r="A1738" s="31"/>
      <c r="B1738" s="32"/>
      <c r="C1738" s="32"/>
      <c r="D1738" s="32"/>
      <c r="E1738" s="32"/>
      <c r="F1738" s="32"/>
      <c r="G1738" s="33"/>
      <c r="H1738" s="33"/>
      <c r="I1738" s="34" t="str">
        <f aca="false">IF($A1738="","",$G1738-$H1738)</f>
        <v/>
      </c>
      <c r="J1738" s="35" t="str">
        <f aca="false">IF($A1738="","",IF(Setup!$B$6=1,YEAR($A1738),YEAR($A1738)+IF(MONTH($A1738)&gt;=Setup!$B$6,1,0)))</f>
        <v/>
      </c>
      <c r="K1738" s="35" t="str">
        <f aca="false">IF($A1738="","",MOD(MONTH($A1738)-Setup!$B$6+12,12)+1)</f>
        <v/>
      </c>
      <c r="L1738" s="36" t="str">
        <f aca="false">IF($A1738="","",TEXT($A1738,"MMM-YY"))</f>
        <v/>
      </c>
      <c r="M1738" s="37" t="str">
        <f aca="false">IF($A1738="","",IF($Q1738=0,"UNMAPPED",INDEX(COA_Mapping!$C$7:$C$256,$Q1738)))</f>
        <v/>
      </c>
      <c r="N1738" s="38" t="str">
        <f aca="false">IF($A1738="","",IF($Q1738=0,"",INDEX(COA_Mapping!$E$7:$E$256,$Q1738)))</f>
        <v/>
      </c>
      <c r="O1738" s="38" t="n">
        <f aca="false">IF($A1738="",1,IF($Q1738=0,1,INDEX(COA_Mapping!$F$7:$F$256,$Q1738)))</f>
        <v>1</v>
      </c>
      <c r="P1738" s="34" t="str">
        <f aca="false">IF($A1738="","",$I1738*$O1738)</f>
        <v/>
      </c>
      <c r="Q1738" s="39" t="n">
        <f aca="false">IF($B1738="",0,IFERROR(MATCH($B1738,COA_Mapping!$A$7:$A$256,0),0))</f>
        <v>0</v>
      </c>
      <c r="R1738" s="39" t="n">
        <f aca="false">IF($A1738="",-1,IF($J1738=Setup!$B$7,1,IF($J1738=Setup!$B$9,0,-1)))</f>
        <v>-1</v>
      </c>
      <c r="S1738" s="35" t="n">
        <f aca="false">IF(OR($A1738="",$Q1738=0,$R1738=-1),0,$Q1738*1000+$R1738*100+$K1738)</f>
        <v>0</v>
      </c>
      <c r="T1738" s="37" t="str">
        <f aca="false">IF($A1738="","",IF($B1738="","NO ACCOUNT",IF($Q1738=0,"UNMAPPED",IF($R1738=-1,"OUTSIDE FY RANGE","OK"))))</f>
        <v/>
      </c>
      <c r="U1738" s="40" t="str">
        <f aca="false">IF($A1738="","",$B1738&amp;"|"&amp;TEXT($A1738,"yyyymmdd")&amp;"|"&amp;TEXT($I1738,"0.00"))</f>
        <v/>
      </c>
      <c r="V1738" s="35" t="str">
        <f aca="false">IF($A1738="","",COUNTIF($U$8:$U$5007,$U1738))</f>
        <v/>
      </c>
    </row>
    <row r="1739" customFormat="false" ht="15" hidden="false" customHeight="false" outlineLevel="0" collapsed="false">
      <c r="A1739" s="31"/>
      <c r="B1739" s="32"/>
      <c r="C1739" s="32"/>
      <c r="D1739" s="32"/>
      <c r="E1739" s="32"/>
      <c r="F1739" s="32"/>
      <c r="G1739" s="33"/>
      <c r="H1739" s="33"/>
      <c r="I1739" s="34" t="str">
        <f aca="false">IF($A1739="","",$G1739-$H1739)</f>
        <v/>
      </c>
      <c r="J1739" s="35" t="str">
        <f aca="false">IF($A1739="","",IF(Setup!$B$6=1,YEAR($A1739),YEAR($A1739)+IF(MONTH($A1739)&gt;=Setup!$B$6,1,0)))</f>
        <v/>
      </c>
      <c r="K1739" s="35" t="str">
        <f aca="false">IF($A1739="","",MOD(MONTH($A1739)-Setup!$B$6+12,12)+1)</f>
        <v/>
      </c>
      <c r="L1739" s="36" t="str">
        <f aca="false">IF($A1739="","",TEXT($A1739,"MMM-YY"))</f>
        <v/>
      </c>
      <c r="M1739" s="37" t="str">
        <f aca="false">IF($A1739="","",IF($Q1739=0,"UNMAPPED",INDEX(COA_Mapping!$C$7:$C$256,$Q1739)))</f>
        <v/>
      </c>
      <c r="N1739" s="38" t="str">
        <f aca="false">IF($A1739="","",IF($Q1739=0,"",INDEX(COA_Mapping!$E$7:$E$256,$Q1739)))</f>
        <v/>
      </c>
      <c r="O1739" s="38" t="n">
        <f aca="false">IF($A1739="",1,IF($Q1739=0,1,INDEX(COA_Mapping!$F$7:$F$256,$Q1739)))</f>
        <v>1</v>
      </c>
      <c r="P1739" s="34" t="str">
        <f aca="false">IF($A1739="","",$I1739*$O1739)</f>
        <v/>
      </c>
      <c r="Q1739" s="39" t="n">
        <f aca="false">IF($B1739="",0,IFERROR(MATCH($B1739,COA_Mapping!$A$7:$A$256,0),0))</f>
        <v>0</v>
      </c>
      <c r="R1739" s="39" t="n">
        <f aca="false">IF($A1739="",-1,IF($J1739=Setup!$B$7,1,IF($J1739=Setup!$B$9,0,-1)))</f>
        <v>-1</v>
      </c>
      <c r="S1739" s="35" t="n">
        <f aca="false">IF(OR($A1739="",$Q1739=0,$R1739=-1),0,$Q1739*1000+$R1739*100+$K1739)</f>
        <v>0</v>
      </c>
      <c r="T1739" s="37" t="str">
        <f aca="false">IF($A1739="","",IF($B1739="","NO ACCOUNT",IF($Q1739=0,"UNMAPPED",IF($R1739=-1,"OUTSIDE FY RANGE","OK"))))</f>
        <v/>
      </c>
      <c r="U1739" s="40" t="str">
        <f aca="false">IF($A1739="","",$B1739&amp;"|"&amp;TEXT($A1739,"yyyymmdd")&amp;"|"&amp;TEXT($I1739,"0.00"))</f>
        <v/>
      </c>
      <c r="V1739" s="35" t="str">
        <f aca="false">IF($A1739="","",COUNTIF($U$8:$U$5007,$U1739))</f>
        <v/>
      </c>
    </row>
    <row r="1740" customFormat="false" ht="15" hidden="false" customHeight="false" outlineLevel="0" collapsed="false">
      <c r="A1740" s="31"/>
      <c r="B1740" s="32"/>
      <c r="C1740" s="32"/>
      <c r="D1740" s="32"/>
      <c r="E1740" s="32"/>
      <c r="F1740" s="32"/>
      <c r="G1740" s="33"/>
      <c r="H1740" s="33"/>
      <c r="I1740" s="34" t="str">
        <f aca="false">IF($A1740="","",$G1740-$H1740)</f>
        <v/>
      </c>
      <c r="J1740" s="35" t="str">
        <f aca="false">IF($A1740="","",IF(Setup!$B$6=1,YEAR($A1740),YEAR($A1740)+IF(MONTH($A1740)&gt;=Setup!$B$6,1,0)))</f>
        <v/>
      </c>
      <c r="K1740" s="35" t="str">
        <f aca="false">IF($A1740="","",MOD(MONTH($A1740)-Setup!$B$6+12,12)+1)</f>
        <v/>
      </c>
      <c r="L1740" s="36" t="str">
        <f aca="false">IF($A1740="","",TEXT($A1740,"MMM-YY"))</f>
        <v/>
      </c>
      <c r="M1740" s="37" t="str">
        <f aca="false">IF($A1740="","",IF($Q1740=0,"UNMAPPED",INDEX(COA_Mapping!$C$7:$C$256,$Q1740)))</f>
        <v/>
      </c>
      <c r="N1740" s="38" t="str">
        <f aca="false">IF($A1740="","",IF($Q1740=0,"",INDEX(COA_Mapping!$E$7:$E$256,$Q1740)))</f>
        <v/>
      </c>
      <c r="O1740" s="38" t="n">
        <f aca="false">IF($A1740="",1,IF($Q1740=0,1,INDEX(COA_Mapping!$F$7:$F$256,$Q1740)))</f>
        <v>1</v>
      </c>
      <c r="P1740" s="34" t="str">
        <f aca="false">IF($A1740="","",$I1740*$O1740)</f>
        <v/>
      </c>
      <c r="Q1740" s="39" t="n">
        <f aca="false">IF($B1740="",0,IFERROR(MATCH($B1740,COA_Mapping!$A$7:$A$256,0),0))</f>
        <v>0</v>
      </c>
      <c r="R1740" s="39" t="n">
        <f aca="false">IF($A1740="",-1,IF($J1740=Setup!$B$7,1,IF($J1740=Setup!$B$9,0,-1)))</f>
        <v>-1</v>
      </c>
      <c r="S1740" s="35" t="n">
        <f aca="false">IF(OR($A1740="",$Q1740=0,$R1740=-1),0,$Q1740*1000+$R1740*100+$K1740)</f>
        <v>0</v>
      </c>
      <c r="T1740" s="37" t="str">
        <f aca="false">IF($A1740="","",IF($B1740="","NO ACCOUNT",IF($Q1740=0,"UNMAPPED",IF($R1740=-1,"OUTSIDE FY RANGE","OK"))))</f>
        <v/>
      </c>
      <c r="U1740" s="40" t="str">
        <f aca="false">IF($A1740="","",$B1740&amp;"|"&amp;TEXT($A1740,"yyyymmdd")&amp;"|"&amp;TEXT($I1740,"0.00"))</f>
        <v/>
      </c>
      <c r="V1740" s="35" t="str">
        <f aca="false">IF($A1740="","",COUNTIF($U$8:$U$5007,$U1740))</f>
        <v/>
      </c>
    </row>
    <row r="1741" customFormat="false" ht="15" hidden="false" customHeight="false" outlineLevel="0" collapsed="false">
      <c r="A1741" s="31"/>
      <c r="B1741" s="32"/>
      <c r="C1741" s="32"/>
      <c r="D1741" s="32"/>
      <c r="E1741" s="32"/>
      <c r="F1741" s="32"/>
      <c r="G1741" s="33"/>
      <c r="H1741" s="33"/>
      <c r="I1741" s="34" t="str">
        <f aca="false">IF($A1741="","",$G1741-$H1741)</f>
        <v/>
      </c>
      <c r="J1741" s="35" t="str">
        <f aca="false">IF($A1741="","",IF(Setup!$B$6=1,YEAR($A1741),YEAR($A1741)+IF(MONTH($A1741)&gt;=Setup!$B$6,1,0)))</f>
        <v/>
      </c>
      <c r="K1741" s="35" t="str">
        <f aca="false">IF($A1741="","",MOD(MONTH($A1741)-Setup!$B$6+12,12)+1)</f>
        <v/>
      </c>
      <c r="L1741" s="36" t="str">
        <f aca="false">IF($A1741="","",TEXT($A1741,"MMM-YY"))</f>
        <v/>
      </c>
      <c r="M1741" s="37" t="str">
        <f aca="false">IF($A1741="","",IF($Q1741=0,"UNMAPPED",INDEX(COA_Mapping!$C$7:$C$256,$Q1741)))</f>
        <v/>
      </c>
      <c r="N1741" s="38" t="str">
        <f aca="false">IF($A1741="","",IF($Q1741=0,"",INDEX(COA_Mapping!$E$7:$E$256,$Q1741)))</f>
        <v/>
      </c>
      <c r="O1741" s="38" t="n">
        <f aca="false">IF($A1741="",1,IF($Q1741=0,1,INDEX(COA_Mapping!$F$7:$F$256,$Q1741)))</f>
        <v>1</v>
      </c>
      <c r="P1741" s="34" t="str">
        <f aca="false">IF($A1741="","",$I1741*$O1741)</f>
        <v/>
      </c>
      <c r="Q1741" s="39" t="n">
        <f aca="false">IF($B1741="",0,IFERROR(MATCH($B1741,COA_Mapping!$A$7:$A$256,0),0))</f>
        <v>0</v>
      </c>
      <c r="R1741" s="39" t="n">
        <f aca="false">IF($A1741="",-1,IF($J1741=Setup!$B$7,1,IF($J1741=Setup!$B$9,0,-1)))</f>
        <v>-1</v>
      </c>
      <c r="S1741" s="35" t="n">
        <f aca="false">IF(OR($A1741="",$Q1741=0,$R1741=-1),0,$Q1741*1000+$R1741*100+$K1741)</f>
        <v>0</v>
      </c>
      <c r="T1741" s="37" t="str">
        <f aca="false">IF($A1741="","",IF($B1741="","NO ACCOUNT",IF($Q1741=0,"UNMAPPED",IF($R1741=-1,"OUTSIDE FY RANGE","OK"))))</f>
        <v/>
      </c>
      <c r="U1741" s="40" t="str">
        <f aca="false">IF($A1741="","",$B1741&amp;"|"&amp;TEXT($A1741,"yyyymmdd")&amp;"|"&amp;TEXT($I1741,"0.00"))</f>
        <v/>
      </c>
      <c r="V1741" s="35" t="str">
        <f aca="false">IF($A1741="","",COUNTIF($U$8:$U$5007,$U1741))</f>
        <v/>
      </c>
    </row>
    <row r="1742" customFormat="false" ht="15" hidden="false" customHeight="false" outlineLevel="0" collapsed="false">
      <c r="A1742" s="31"/>
      <c r="B1742" s="32"/>
      <c r="C1742" s="32"/>
      <c r="D1742" s="32"/>
      <c r="E1742" s="32"/>
      <c r="F1742" s="32"/>
      <c r="G1742" s="33"/>
      <c r="H1742" s="33"/>
      <c r="I1742" s="34" t="str">
        <f aca="false">IF($A1742="","",$G1742-$H1742)</f>
        <v/>
      </c>
      <c r="J1742" s="35" t="str">
        <f aca="false">IF($A1742="","",IF(Setup!$B$6=1,YEAR($A1742),YEAR($A1742)+IF(MONTH($A1742)&gt;=Setup!$B$6,1,0)))</f>
        <v/>
      </c>
      <c r="K1742" s="35" t="str">
        <f aca="false">IF($A1742="","",MOD(MONTH($A1742)-Setup!$B$6+12,12)+1)</f>
        <v/>
      </c>
      <c r="L1742" s="36" t="str">
        <f aca="false">IF($A1742="","",TEXT($A1742,"MMM-YY"))</f>
        <v/>
      </c>
      <c r="M1742" s="37" t="str">
        <f aca="false">IF($A1742="","",IF($Q1742=0,"UNMAPPED",INDEX(COA_Mapping!$C$7:$C$256,$Q1742)))</f>
        <v/>
      </c>
      <c r="N1742" s="38" t="str">
        <f aca="false">IF($A1742="","",IF($Q1742=0,"",INDEX(COA_Mapping!$E$7:$E$256,$Q1742)))</f>
        <v/>
      </c>
      <c r="O1742" s="38" t="n">
        <f aca="false">IF($A1742="",1,IF($Q1742=0,1,INDEX(COA_Mapping!$F$7:$F$256,$Q1742)))</f>
        <v>1</v>
      </c>
      <c r="P1742" s="34" t="str">
        <f aca="false">IF($A1742="","",$I1742*$O1742)</f>
        <v/>
      </c>
      <c r="Q1742" s="39" t="n">
        <f aca="false">IF($B1742="",0,IFERROR(MATCH($B1742,COA_Mapping!$A$7:$A$256,0),0))</f>
        <v>0</v>
      </c>
      <c r="R1742" s="39" t="n">
        <f aca="false">IF($A1742="",-1,IF($J1742=Setup!$B$7,1,IF($J1742=Setup!$B$9,0,-1)))</f>
        <v>-1</v>
      </c>
      <c r="S1742" s="35" t="n">
        <f aca="false">IF(OR($A1742="",$Q1742=0,$R1742=-1),0,$Q1742*1000+$R1742*100+$K1742)</f>
        <v>0</v>
      </c>
      <c r="T1742" s="37" t="str">
        <f aca="false">IF($A1742="","",IF($B1742="","NO ACCOUNT",IF($Q1742=0,"UNMAPPED",IF($R1742=-1,"OUTSIDE FY RANGE","OK"))))</f>
        <v/>
      </c>
      <c r="U1742" s="40" t="str">
        <f aca="false">IF($A1742="","",$B1742&amp;"|"&amp;TEXT($A1742,"yyyymmdd")&amp;"|"&amp;TEXT($I1742,"0.00"))</f>
        <v/>
      </c>
      <c r="V1742" s="35" t="str">
        <f aca="false">IF($A1742="","",COUNTIF($U$8:$U$5007,$U1742))</f>
        <v/>
      </c>
    </row>
    <row r="1743" customFormat="false" ht="15" hidden="false" customHeight="false" outlineLevel="0" collapsed="false">
      <c r="A1743" s="31"/>
      <c r="B1743" s="32"/>
      <c r="C1743" s="32"/>
      <c r="D1743" s="32"/>
      <c r="E1743" s="32"/>
      <c r="F1743" s="32"/>
      <c r="G1743" s="33"/>
      <c r="H1743" s="33"/>
      <c r="I1743" s="34" t="str">
        <f aca="false">IF($A1743="","",$G1743-$H1743)</f>
        <v/>
      </c>
      <c r="J1743" s="35" t="str">
        <f aca="false">IF($A1743="","",IF(Setup!$B$6=1,YEAR($A1743),YEAR($A1743)+IF(MONTH($A1743)&gt;=Setup!$B$6,1,0)))</f>
        <v/>
      </c>
      <c r="K1743" s="35" t="str">
        <f aca="false">IF($A1743="","",MOD(MONTH($A1743)-Setup!$B$6+12,12)+1)</f>
        <v/>
      </c>
      <c r="L1743" s="36" t="str">
        <f aca="false">IF($A1743="","",TEXT($A1743,"MMM-YY"))</f>
        <v/>
      </c>
      <c r="M1743" s="37" t="str">
        <f aca="false">IF($A1743="","",IF($Q1743=0,"UNMAPPED",INDEX(COA_Mapping!$C$7:$C$256,$Q1743)))</f>
        <v/>
      </c>
      <c r="N1743" s="38" t="str">
        <f aca="false">IF($A1743="","",IF($Q1743=0,"",INDEX(COA_Mapping!$E$7:$E$256,$Q1743)))</f>
        <v/>
      </c>
      <c r="O1743" s="38" t="n">
        <f aca="false">IF($A1743="",1,IF($Q1743=0,1,INDEX(COA_Mapping!$F$7:$F$256,$Q1743)))</f>
        <v>1</v>
      </c>
      <c r="P1743" s="34" t="str">
        <f aca="false">IF($A1743="","",$I1743*$O1743)</f>
        <v/>
      </c>
      <c r="Q1743" s="39" t="n">
        <f aca="false">IF($B1743="",0,IFERROR(MATCH($B1743,COA_Mapping!$A$7:$A$256,0),0))</f>
        <v>0</v>
      </c>
      <c r="R1743" s="39" t="n">
        <f aca="false">IF($A1743="",-1,IF($J1743=Setup!$B$7,1,IF($J1743=Setup!$B$9,0,-1)))</f>
        <v>-1</v>
      </c>
      <c r="S1743" s="35" t="n">
        <f aca="false">IF(OR($A1743="",$Q1743=0,$R1743=-1),0,$Q1743*1000+$R1743*100+$K1743)</f>
        <v>0</v>
      </c>
      <c r="T1743" s="37" t="str">
        <f aca="false">IF($A1743="","",IF($B1743="","NO ACCOUNT",IF($Q1743=0,"UNMAPPED",IF($R1743=-1,"OUTSIDE FY RANGE","OK"))))</f>
        <v/>
      </c>
      <c r="U1743" s="40" t="str">
        <f aca="false">IF($A1743="","",$B1743&amp;"|"&amp;TEXT($A1743,"yyyymmdd")&amp;"|"&amp;TEXT($I1743,"0.00"))</f>
        <v/>
      </c>
      <c r="V1743" s="35" t="str">
        <f aca="false">IF($A1743="","",COUNTIF($U$8:$U$5007,$U1743))</f>
        <v/>
      </c>
    </row>
    <row r="1744" customFormat="false" ht="15" hidden="false" customHeight="false" outlineLevel="0" collapsed="false">
      <c r="A1744" s="31"/>
      <c r="B1744" s="32"/>
      <c r="C1744" s="32"/>
      <c r="D1744" s="32"/>
      <c r="E1744" s="32"/>
      <c r="F1744" s="32"/>
      <c r="G1744" s="33"/>
      <c r="H1744" s="33"/>
      <c r="I1744" s="34" t="str">
        <f aca="false">IF($A1744="","",$G1744-$H1744)</f>
        <v/>
      </c>
      <c r="J1744" s="35" t="str">
        <f aca="false">IF($A1744="","",IF(Setup!$B$6=1,YEAR($A1744),YEAR($A1744)+IF(MONTH($A1744)&gt;=Setup!$B$6,1,0)))</f>
        <v/>
      </c>
      <c r="K1744" s="35" t="str">
        <f aca="false">IF($A1744="","",MOD(MONTH($A1744)-Setup!$B$6+12,12)+1)</f>
        <v/>
      </c>
      <c r="L1744" s="36" t="str">
        <f aca="false">IF($A1744="","",TEXT($A1744,"MMM-YY"))</f>
        <v/>
      </c>
      <c r="M1744" s="37" t="str">
        <f aca="false">IF($A1744="","",IF($Q1744=0,"UNMAPPED",INDEX(COA_Mapping!$C$7:$C$256,$Q1744)))</f>
        <v/>
      </c>
      <c r="N1744" s="38" t="str">
        <f aca="false">IF($A1744="","",IF($Q1744=0,"",INDEX(COA_Mapping!$E$7:$E$256,$Q1744)))</f>
        <v/>
      </c>
      <c r="O1744" s="38" t="n">
        <f aca="false">IF($A1744="",1,IF($Q1744=0,1,INDEX(COA_Mapping!$F$7:$F$256,$Q1744)))</f>
        <v>1</v>
      </c>
      <c r="P1744" s="34" t="str">
        <f aca="false">IF($A1744="","",$I1744*$O1744)</f>
        <v/>
      </c>
      <c r="Q1744" s="39" t="n">
        <f aca="false">IF($B1744="",0,IFERROR(MATCH($B1744,COA_Mapping!$A$7:$A$256,0),0))</f>
        <v>0</v>
      </c>
      <c r="R1744" s="39" t="n">
        <f aca="false">IF($A1744="",-1,IF($J1744=Setup!$B$7,1,IF($J1744=Setup!$B$9,0,-1)))</f>
        <v>-1</v>
      </c>
      <c r="S1744" s="35" t="n">
        <f aca="false">IF(OR($A1744="",$Q1744=0,$R1744=-1),0,$Q1744*1000+$R1744*100+$K1744)</f>
        <v>0</v>
      </c>
      <c r="T1744" s="37" t="str">
        <f aca="false">IF($A1744="","",IF($B1744="","NO ACCOUNT",IF($Q1744=0,"UNMAPPED",IF($R1744=-1,"OUTSIDE FY RANGE","OK"))))</f>
        <v/>
      </c>
      <c r="U1744" s="40" t="str">
        <f aca="false">IF($A1744="","",$B1744&amp;"|"&amp;TEXT($A1744,"yyyymmdd")&amp;"|"&amp;TEXT($I1744,"0.00"))</f>
        <v/>
      </c>
      <c r="V1744" s="35" t="str">
        <f aca="false">IF($A1744="","",COUNTIF($U$8:$U$5007,$U1744))</f>
        <v/>
      </c>
    </row>
    <row r="1745" customFormat="false" ht="15" hidden="false" customHeight="false" outlineLevel="0" collapsed="false">
      <c r="A1745" s="31"/>
      <c r="B1745" s="32"/>
      <c r="C1745" s="32"/>
      <c r="D1745" s="32"/>
      <c r="E1745" s="32"/>
      <c r="F1745" s="32"/>
      <c r="G1745" s="33"/>
      <c r="H1745" s="33"/>
      <c r="I1745" s="34" t="str">
        <f aca="false">IF($A1745="","",$G1745-$H1745)</f>
        <v/>
      </c>
      <c r="J1745" s="35" t="str">
        <f aca="false">IF($A1745="","",IF(Setup!$B$6=1,YEAR($A1745),YEAR($A1745)+IF(MONTH($A1745)&gt;=Setup!$B$6,1,0)))</f>
        <v/>
      </c>
      <c r="K1745" s="35" t="str">
        <f aca="false">IF($A1745="","",MOD(MONTH($A1745)-Setup!$B$6+12,12)+1)</f>
        <v/>
      </c>
      <c r="L1745" s="36" t="str">
        <f aca="false">IF($A1745="","",TEXT($A1745,"MMM-YY"))</f>
        <v/>
      </c>
      <c r="M1745" s="37" t="str">
        <f aca="false">IF($A1745="","",IF($Q1745=0,"UNMAPPED",INDEX(COA_Mapping!$C$7:$C$256,$Q1745)))</f>
        <v/>
      </c>
      <c r="N1745" s="38" t="str">
        <f aca="false">IF($A1745="","",IF($Q1745=0,"",INDEX(COA_Mapping!$E$7:$E$256,$Q1745)))</f>
        <v/>
      </c>
      <c r="O1745" s="38" t="n">
        <f aca="false">IF($A1745="",1,IF($Q1745=0,1,INDEX(COA_Mapping!$F$7:$F$256,$Q1745)))</f>
        <v>1</v>
      </c>
      <c r="P1745" s="34" t="str">
        <f aca="false">IF($A1745="","",$I1745*$O1745)</f>
        <v/>
      </c>
      <c r="Q1745" s="39" t="n">
        <f aca="false">IF($B1745="",0,IFERROR(MATCH($B1745,COA_Mapping!$A$7:$A$256,0),0))</f>
        <v>0</v>
      </c>
      <c r="R1745" s="39" t="n">
        <f aca="false">IF($A1745="",-1,IF($J1745=Setup!$B$7,1,IF($J1745=Setup!$B$9,0,-1)))</f>
        <v>-1</v>
      </c>
      <c r="S1745" s="35" t="n">
        <f aca="false">IF(OR($A1745="",$Q1745=0,$R1745=-1),0,$Q1745*1000+$R1745*100+$K1745)</f>
        <v>0</v>
      </c>
      <c r="T1745" s="37" t="str">
        <f aca="false">IF($A1745="","",IF($B1745="","NO ACCOUNT",IF($Q1745=0,"UNMAPPED",IF($R1745=-1,"OUTSIDE FY RANGE","OK"))))</f>
        <v/>
      </c>
      <c r="U1745" s="40" t="str">
        <f aca="false">IF($A1745="","",$B1745&amp;"|"&amp;TEXT($A1745,"yyyymmdd")&amp;"|"&amp;TEXT($I1745,"0.00"))</f>
        <v/>
      </c>
      <c r="V1745" s="35" t="str">
        <f aca="false">IF($A1745="","",COUNTIF($U$8:$U$5007,$U1745))</f>
        <v/>
      </c>
    </row>
    <row r="1746" customFormat="false" ht="15" hidden="false" customHeight="false" outlineLevel="0" collapsed="false">
      <c r="A1746" s="31"/>
      <c r="B1746" s="32"/>
      <c r="C1746" s="32"/>
      <c r="D1746" s="32"/>
      <c r="E1746" s="32"/>
      <c r="F1746" s="32"/>
      <c r="G1746" s="33"/>
      <c r="H1746" s="33"/>
      <c r="I1746" s="34" t="str">
        <f aca="false">IF($A1746="","",$G1746-$H1746)</f>
        <v/>
      </c>
      <c r="J1746" s="35" t="str">
        <f aca="false">IF($A1746="","",IF(Setup!$B$6=1,YEAR($A1746),YEAR($A1746)+IF(MONTH($A1746)&gt;=Setup!$B$6,1,0)))</f>
        <v/>
      </c>
      <c r="K1746" s="35" t="str">
        <f aca="false">IF($A1746="","",MOD(MONTH($A1746)-Setup!$B$6+12,12)+1)</f>
        <v/>
      </c>
      <c r="L1746" s="36" t="str">
        <f aca="false">IF($A1746="","",TEXT($A1746,"MMM-YY"))</f>
        <v/>
      </c>
      <c r="M1746" s="37" t="str">
        <f aca="false">IF($A1746="","",IF($Q1746=0,"UNMAPPED",INDEX(COA_Mapping!$C$7:$C$256,$Q1746)))</f>
        <v/>
      </c>
      <c r="N1746" s="38" t="str">
        <f aca="false">IF($A1746="","",IF($Q1746=0,"",INDEX(COA_Mapping!$E$7:$E$256,$Q1746)))</f>
        <v/>
      </c>
      <c r="O1746" s="38" t="n">
        <f aca="false">IF($A1746="",1,IF($Q1746=0,1,INDEX(COA_Mapping!$F$7:$F$256,$Q1746)))</f>
        <v>1</v>
      </c>
      <c r="P1746" s="34" t="str">
        <f aca="false">IF($A1746="","",$I1746*$O1746)</f>
        <v/>
      </c>
      <c r="Q1746" s="39" t="n">
        <f aca="false">IF($B1746="",0,IFERROR(MATCH($B1746,COA_Mapping!$A$7:$A$256,0),0))</f>
        <v>0</v>
      </c>
      <c r="R1746" s="39" t="n">
        <f aca="false">IF($A1746="",-1,IF($J1746=Setup!$B$7,1,IF($J1746=Setup!$B$9,0,-1)))</f>
        <v>-1</v>
      </c>
      <c r="S1746" s="35" t="n">
        <f aca="false">IF(OR($A1746="",$Q1746=0,$R1746=-1),0,$Q1746*1000+$R1746*100+$K1746)</f>
        <v>0</v>
      </c>
      <c r="T1746" s="37" t="str">
        <f aca="false">IF($A1746="","",IF($B1746="","NO ACCOUNT",IF($Q1746=0,"UNMAPPED",IF($R1746=-1,"OUTSIDE FY RANGE","OK"))))</f>
        <v/>
      </c>
      <c r="U1746" s="40" t="str">
        <f aca="false">IF($A1746="","",$B1746&amp;"|"&amp;TEXT($A1746,"yyyymmdd")&amp;"|"&amp;TEXT($I1746,"0.00"))</f>
        <v/>
      </c>
      <c r="V1746" s="35" t="str">
        <f aca="false">IF($A1746="","",COUNTIF($U$8:$U$5007,$U1746))</f>
        <v/>
      </c>
    </row>
    <row r="1747" customFormat="false" ht="15" hidden="false" customHeight="false" outlineLevel="0" collapsed="false">
      <c r="A1747" s="31"/>
      <c r="B1747" s="32"/>
      <c r="C1747" s="32"/>
      <c r="D1747" s="32"/>
      <c r="E1747" s="32"/>
      <c r="F1747" s="32"/>
      <c r="G1747" s="33"/>
      <c r="H1747" s="33"/>
      <c r="I1747" s="34" t="str">
        <f aca="false">IF($A1747="","",$G1747-$H1747)</f>
        <v/>
      </c>
      <c r="J1747" s="35" t="str">
        <f aca="false">IF($A1747="","",IF(Setup!$B$6=1,YEAR($A1747),YEAR($A1747)+IF(MONTH($A1747)&gt;=Setup!$B$6,1,0)))</f>
        <v/>
      </c>
      <c r="K1747" s="35" t="str">
        <f aca="false">IF($A1747="","",MOD(MONTH($A1747)-Setup!$B$6+12,12)+1)</f>
        <v/>
      </c>
      <c r="L1747" s="36" t="str">
        <f aca="false">IF($A1747="","",TEXT($A1747,"MMM-YY"))</f>
        <v/>
      </c>
      <c r="M1747" s="37" t="str">
        <f aca="false">IF($A1747="","",IF($Q1747=0,"UNMAPPED",INDEX(COA_Mapping!$C$7:$C$256,$Q1747)))</f>
        <v/>
      </c>
      <c r="N1747" s="38" t="str">
        <f aca="false">IF($A1747="","",IF($Q1747=0,"",INDEX(COA_Mapping!$E$7:$E$256,$Q1747)))</f>
        <v/>
      </c>
      <c r="O1747" s="38" t="n">
        <f aca="false">IF($A1747="",1,IF($Q1747=0,1,INDEX(COA_Mapping!$F$7:$F$256,$Q1747)))</f>
        <v>1</v>
      </c>
      <c r="P1747" s="34" t="str">
        <f aca="false">IF($A1747="","",$I1747*$O1747)</f>
        <v/>
      </c>
      <c r="Q1747" s="39" t="n">
        <f aca="false">IF($B1747="",0,IFERROR(MATCH($B1747,COA_Mapping!$A$7:$A$256,0),0))</f>
        <v>0</v>
      </c>
      <c r="R1747" s="39" t="n">
        <f aca="false">IF($A1747="",-1,IF($J1747=Setup!$B$7,1,IF($J1747=Setup!$B$9,0,-1)))</f>
        <v>-1</v>
      </c>
      <c r="S1747" s="35" t="n">
        <f aca="false">IF(OR($A1747="",$Q1747=0,$R1747=-1),0,$Q1747*1000+$R1747*100+$K1747)</f>
        <v>0</v>
      </c>
      <c r="T1747" s="37" t="str">
        <f aca="false">IF($A1747="","",IF($B1747="","NO ACCOUNT",IF($Q1747=0,"UNMAPPED",IF($R1747=-1,"OUTSIDE FY RANGE","OK"))))</f>
        <v/>
      </c>
      <c r="U1747" s="40" t="str">
        <f aca="false">IF($A1747="","",$B1747&amp;"|"&amp;TEXT($A1747,"yyyymmdd")&amp;"|"&amp;TEXT($I1747,"0.00"))</f>
        <v/>
      </c>
      <c r="V1747" s="35" t="str">
        <f aca="false">IF($A1747="","",COUNTIF($U$8:$U$5007,$U1747))</f>
        <v/>
      </c>
    </row>
    <row r="1748" customFormat="false" ht="15" hidden="false" customHeight="false" outlineLevel="0" collapsed="false">
      <c r="A1748" s="31"/>
      <c r="B1748" s="32"/>
      <c r="C1748" s="32"/>
      <c r="D1748" s="32"/>
      <c r="E1748" s="32"/>
      <c r="F1748" s="32"/>
      <c r="G1748" s="33"/>
      <c r="H1748" s="33"/>
      <c r="I1748" s="34" t="str">
        <f aca="false">IF($A1748="","",$G1748-$H1748)</f>
        <v/>
      </c>
      <c r="J1748" s="35" t="str">
        <f aca="false">IF($A1748="","",IF(Setup!$B$6=1,YEAR($A1748),YEAR($A1748)+IF(MONTH($A1748)&gt;=Setup!$B$6,1,0)))</f>
        <v/>
      </c>
      <c r="K1748" s="35" t="str">
        <f aca="false">IF($A1748="","",MOD(MONTH($A1748)-Setup!$B$6+12,12)+1)</f>
        <v/>
      </c>
      <c r="L1748" s="36" t="str">
        <f aca="false">IF($A1748="","",TEXT($A1748,"MMM-YY"))</f>
        <v/>
      </c>
      <c r="M1748" s="37" t="str">
        <f aca="false">IF($A1748="","",IF($Q1748=0,"UNMAPPED",INDEX(COA_Mapping!$C$7:$C$256,$Q1748)))</f>
        <v/>
      </c>
      <c r="N1748" s="38" t="str">
        <f aca="false">IF($A1748="","",IF($Q1748=0,"",INDEX(COA_Mapping!$E$7:$E$256,$Q1748)))</f>
        <v/>
      </c>
      <c r="O1748" s="38" t="n">
        <f aca="false">IF($A1748="",1,IF($Q1748=0,1,INDEX(COA_Mapping!$F$7:$F$256,$Q1748)))</f>
        <v>1</v>
      </c>
      <c r="P1748" s="34" t="str">
        <f aca="false">IF($A1748="","",$I1748*$O1748)</f>
        <v/>
      </c>
      <c r="Q1748" s="39" t="n">
        <f aca="false">IF($B1748="",0,IFERROR(MATCH($B1748,COA_Mapping!$A$7:$A$256,0),0))</f>
        <v>0</v>
      </c>
      <c r="R1748" s="39" t="n">
        <f aca="false">IF($A1748="",-1,IF($J1748=Setup!$B$7,1,IF($J1748=Setup!$B$9,0,-1)))</f>
        <v>-1</v>
      </c>
      <c r="S1748" s="35" t="n">
        <f aca="false">IF(OR($A1748="",$Q1748=0,$R1748=-1),0,$Q1748*1000+$R1748*100+$K1748)</f>
        <v>0</v>
      </c>
      <c r="T1748" s="37" t="str">
        <f aca="false">IF($A1748="","",IF($B1748="","NO ACCOUNT",IF($Q1748=0,"UNMAPPED",IF($R1748=-1,"OUTSIDE FY RANGE","OK"))))</f>
        <v/>
      </c>
      <c r="U1748" s="40" t="str">
        <f aca="false">IF($A1748="","",$B1748&amp;"|"&amp;TEXT($A1748,"yyyymmdd")&amp;"|"&amp;TEXT($I1748,"0.00"))</f>
        <v/>
      </c>
      <c r="V1748" s="35" t="str">
        <f aca="false">IF($A1748="","",COUNTIF($U$8:$U$5007,$U1748))</f>
        <v/>
      </c>
    </row>
    <row r="1749" customFormat="false" ht="15" hidden="false" customHeight="false" outlineLevel="0" collapsed="false">
      <c r="A1749" s="31"/>
      <c r="B1749" s="32"/>
      <c r="C1749" s="32"/>
      <c r="D1749" s="32"/>
      <c r="E1749" s="32"/>
      <c r="F1749" s="32"/>
      <c r="G1749" s="33"/>
      <c r="H1749" s="33"/>
      <c r="I1749" s="34" t="str">
        <f aca="false">IF($A1749="","",$G1749-$H1749)</f>
        <v/>
      </c>
      <c r="J1749" s="35" t="str">
        <f aca="false">IF($A1749="","",IF(Setup!$B$6=1,YEAR($A1749),YEAR($A1749)+IF(MONTH($A1749)&gt;=Setup!$B$6,1,0)))</f>
        <v/>
      </c>
      <c r="K1749" s="35" t="str">
        <f aca="false">IF($A1749="","",MOD(MONTH($A1749)-Setup!$B$6+12,12)+1)</f>
        <v/>
      </c>
      <c r="L1749" s="36" t="str">
        <f aca="false">IF($A1749="","",TEXT($A1749,"MMM-YY"))</f>
        <v/>
      </c>
      <c r="M1749" s="37" t="str">
        <f aca="false">IF($A1749="","",IF($Q1749=0,"UNMAPPED",INDEX(COA_Mapping!$C$7:$C$256,$Q1749)))</f>
        <v/>
      </c>
      <c r="N1749" s="38" t="str">
        <f aca="false">IF($A1749="","",IF($Q1749=0,"",INDEX(COA_Mapping!$E$7:$E$256,$Q1749)))</f>
        <v/>
      </c>
      <c r="O1749" s="38" t="n">
        <f aca="false">IF($A1749="",1,IF($Q1749=0,1,INDEX(COA_Mapping!$F$7:$F$256,$Q1749)))</f>
        <v>1</v>
      </c>
      <c r="P1749" s="34" t="str">
        <f aca="false">IF($A1749="","",$I1749*$O1749)</f>
        <v/>
      </c>
      <c r="Q1749" s="39" t="n">
        <f aca="false">IF($B1749="",0,IFERROR(MATCH($B1749,COA_Mapping!$A$7:$A$256,0),0))</f>
        <v>0</v>
      </c>
      <c r="R1749" s="39" t="n">
        <f aca="false">IF($A1749="",-1,IF($J1749=Setup!$B$7,1,IF($J1749=Setup!$B$9,0,-1)))</f>
        <v>-1</v>
      </c>
      <c r="S1749" s="35" t="n">
        <f aca="false">IF(OR($A1749="",$Q1749=0,$R1749=-1),0,$Q1749*1000+$R1749*100+$K1749)</f>
        <v>0</v>
      </c>
      <c r="T1749" s="37" t="str">
        <f aca="false">IF($A1749="","",IF($B1749="","NO ACCOUNT",IF($Q1749=0,"UNMAPPED",IF($R1749=-1,"OUTSIDE FY RANGE","OK"))))</f>
        <v/>
      </c>
      <c r="U1749" s="40" t="str">
        <f aca="false">IF($A1749="","",$B1749&amp;"|"&amp;TEXT($A1749,"yyyymmdd")&amp;"|"&amp;TEXT($I1749,"0.00"))</f>
        <v/>
      </c>
      <c r="V1749" s="35" t="str">
        <f aca="false">IF($A1749="","",COUNTIF($U$8:$U$5007,$U1749))</f>
        <v/>
      </c>
    </row>
    <row r="1750" customFormat="false" ht="15" hidden="false" customHeight="false" outlineLevel="0" collapsed="false">
      <c r="A1750" s="31"/>
      <c r="B1750" s="32"/>
      <c r="C1750" s="32"/>
      <c r="D1750" s="32"/>
      <c r="E1750" s="32"/>
      <c r="F1750" s="32"/>
      <c r="G1750" s="33"/>
      <c r="H1750" s="33"/>
      <c r="I1750" s="34" t="str">
        <f aca="false">IF($A1750="","",$G1750-$H1750)</f>
        <v/>
      </c>
      <c r="J1750" s="35" t="str">
        <f aca="false">IF($A1750="","",IF(Setup!$B$6=1,YEAR($A1750),YEAR($A1750)+IF(MONTH($A1750)&gt;=Setup!$B$6,1,0)))</f>
        <v/>
      </c>
      <c r="K1750" s="35" t="str">
        <f aca="false">IF($A1750="","",MOD(MONTH($A1750)-Setup!$B$6+12,12)+1)</f>
        <v/>
      </c>
      <c r="L1750" s="36" t="str">
        <f aca="false">IF($A1750="","",TEXT($A1750,"MMM-YY"))</f>
        <v/>
      </c>
      <c r="M1750" s="37" t="str">
        <f aca="false">IF($A1750="","",IF($Q1750=0,"UNMAPPED",INDEX(COA_Mapping!$C$7:$C$256,$Q1750)))</f>
        <v/>
      </c>
      <c r="N1750" s="38" t="str">
        <f aca="false">IF($A1750="","",IF($Q1750=0,"",INDEX(COA_Mapping!$E$7:$E$256,$Q1750)))</f>
        <v/>
      </c>
      <c r="O1750" s="38" t="n">
        <f aca="false">IF($A1750="",1,IF($Q1750=0,1,INDEX(COA_Mapping!$F$7:$F$256,$Q1750)))</f>
        <v>1</v>
      </c>
      <c r="P1750" s="34" t="str">
        <f aca="false">IF($A1750="","",$I1750*$O1750)</f>
        <v/>
      </c>
      <c r="Q1750" s="39" t="n">
        <f aca="false">IF($B1750="",0,IFERROR(MATCH($B1750,COA_Mapping!$A$7:$A$256,0),0))</f>
        <v>0</v>
      </c>
      <c r="R1750" s="39" t="n">
        <f aca="false">IF($A1750="",-1,IF($J1750=Setup!$B$7,1,IF($J1750=Setup!$B$9,0,-1)))</f>
        <v>-1</v>
      </c>
      <c r="S1750" s="35" t="n">
        <f aca="false">IF(OR($A1750="",$Q1750=0,$R1750=-1),0,$Q1750*1000+$R1750*100+$K1750)</f>
        <v>0</v>
      </c>
      <c r="T1750" s="37" t="str">
        <f aca="false">IF($A1750="","",IF($B1750="","NO ACCOUNT",IF($Q1750=0,"UNMAPPED",IF($R1750=-1,"OUTSIDE FY RANGE","OK"))))</f>
        <v/>
      </c>
      <c r="U1750" s="40" t="str">
        <f aca="false">IF($A1750="","",$B1750&amp;"|"&amp;TEXT($A1750,"yyyymmdd")&amp;"|"&amp;TEXT($I1750,"0.00"))</f>
        <v/>
      </c>
      <c r="V1750" s="35" t="str">
        <f aca="false">IF($A1750="","",COUNTIF($U$8:$U$5007,$U1750))</f>
        <v/>
      </c>
    </row>
    <row r="1751" customFormat="false" ht="15" hidden="false" customHeight="false" outlineLevel="0" collapsed="false">
      <c r="A1751" s="31"/>
      <c r="B1751" s="32"/>
      <c r="C1751" s="32"/>
      <c r="D1751" s="32"/>
      <c r="E1751" s="32"/>
      <c r="F1751" s="32"/>
      <c r="G1751" s="33"/>
      <c r="H1751" s="33"/>
      <c r="I1751" s="34" t="str">
        <f aca="false">IF($A1751="","",$G1751-$H1751)</f>
        <v/>
      </c>
      <c r="J1751" s="35" t="str">
        <f aca="false">IF($A1751="","",IF(Setup!$B$6=1,YEAR($A1751),YEAR($A1751)+IF(MONTH($A1751)&gt;=Setup!$B$6,1,0)))</f>
        <v/>
      </c>
      <c r="K1751" s="35" t="str">
        <f aca="false">IF($A1751="","",MOD(MONTH($A1751)-Setup!$B$6+12,12)+1)</f>
        <v/>
      </c>
      <c r="L1751" s="36" t="str">
        <f aca="false">IF($A1751="","",TEXT($A1751,"MMM-YY"))</f>
        <v/>
      </c>
      <c r="M1751" s="37" t="str">
        <f aca="false">IF($A1751="","",IF($Q1751=0,"UNMAPPED",INDEX(COA_Mapping!$C$7:$C$256,$Q1751)))</f>
        <v/>
      </c>
      <c r="N1751" s="38" t="str">
        <f aca="false">IF($A1751="","",IF($Q1751=0,"",INDEX(COA_Mapping!$E$7:$E$256,$Q1751)))</f>
        <v/>
      </c>
      <c r="O1751" s="38" t="n">
        <f aca="false">IF($A1751="",1,IF($Q1751=0,1,INDEX(COA_Mapping!$F$7:$F$256,$Q1751)))</f>
        <v>1</v>
      </c>
      <c r="P1751" s="34" t="str">
        <f aca="false">IF($A1751="","",$I1751*$O1751)</f>
        <v/>
      </c>
      <c r="Q1751" s="39" t="n">
        <f aca="false">IF($B1751="",0,IFERROR(MATCH($B1751,COA_Mapping!$A$7:$A$256,0),0))</f>
        <v>0</v>
      </c>
      <c r="R1751" s="39" t="n">
        <f aca="false">IF($A1751="",-1,IF($J1751=Setup!$B$7,1,IF($J1751=Setup!$B$9,0,-1)))</f>
        <v>-1</v>
      </c>
      <c r="S1751" s="35" t="n">
        <f aca="false">IF(OR($A1751="",$Q1751=0,$R1751=-1),0,$Q1751*1000+$R1751*100+$K1751)</f>
        <v>0</v>
      </c>
      <c r="T1751" s="37" t="str">
        <f aca="false">IF($A1751="","",IF($B1751="","NO ACCOUNT",IF($Q1751=0,"UNMAPPED",IF($R1751=-1,"OUTSIDE FY RANGE","OK"))))</f>
        <v/>
      </c>
      <c r="U1751" s="40" t="str">
        <f aca="false">IF($A1751="","",$B1751&amp;"|"&amp;TEXT($A1751,"yyyymmdd")&amp;"|"&amp;TEXT($I1751,"0.00"))</f>
        <v/>
      </c>
      <c r="V1751" s="35" t="str">
        <f aca="false">IF($A1751="","",COUNTIF($U$8:$U$5007,$U1751))</f>
        <v/>
      </c>
    </row>
    <row r="1752" customFormat="false" ht="15" hidden="false" customHeight="false" outlineLevel="0" collapsed="false">
      <c r="A1752" s="31"/>
      <c r="B1752" s="32"/>
      <c r="C1752" s="32"/>
      <c r="D1752" s="32"/>
      <c r="E1752" s="32"/>
      <c r="F1752" s="32"/>
      <c r="G1752" s="33"/>
      <c r="H1752" s="33"/>
      <c r="I1752" s="34" t="str">
        <f aca="false">IF($A1752="","",$G1752-$H1752)</f>
        <v/>
      </c>
      <c r="J1752" s="35" t="str">
        <f aca="false">IF($A1752="","",IF(Setup!$B$6=1,YEAR($A1752),YEAR($A1752)+IF(MONTH($A1752)&gt;=Setup!$B$6,1,0)))</f>
        <v/>
      </c>
      <c r="K1752" s="35" t="str">
        <f aca="false">IF($A1752="","",MOD(MONTH($A1752)-Setup!$B$6+12,12)+1)</f>
        <v/>
      </c>
      <c r="L1752" s="36" t="str">
        <f aca="false">IF($A1752="","",TEXT($A1752,"MMM-YY"))</f>
        <v/>
      </c>
      <c r="M1752" s="37" t="str">
        <f aca="false">IF($A1752="","",IF($Q1752=0,"UNMAPPED",INDEX(COA_Mapping!$C$7:$C$256,$Q1752)))</f>
        <v/>
      </c>
      <c r="N1752" s="38" t="str">
        <f aca="false">IF($A1752="","",IF($Q1752=0,"",INDEX(COA_Mapping!$E$7:$E$256,$Q1752)))</f>
        <v/>
      </c>
      <c r="O1752" s="38" t="n">
        <f aca="false">IF($A1752="",1,IF($Q1752=0,1,INDEX(COA_Mapping!$F$7:$F$256,$Q1752)))</f>
        <v>1</v>
      </c>
      <c r="P1752" s="34" t="str">
        <f aca="false">IF($A1752="","",$I1752*$O1752)</f>
        <v/>
      </c>
      <c r="Q1752" s="39" t="n">
        <f aca="false">IF($B1752="",0,IFERROR(MATCH($B1752,COA_Mapping!$A$7:$A$256,0),0))</f>
        <v>0</v>
      </c>
      <c r="R1752" s="39" t="n">
        <f aca="false">IF($A1752="",-1,IF($J1752=Setup!$B$7,1,IF($J1752=Setup!$B$9,0,-1)))</f>
        <v>-1</v>
      </c>
      <c r="S1752" s="35" t="n">
        <f aca="false">IF(OR($A1752="",$Q1752=0,$R1752=-1),0,$Q1752*1000+$R1752*100+$K1752)</f>
        <v>0</v>
      </c>
      <c r="T1752" s="37" t="str">
        <f aca="false">IF($A1752="","",IF($B1752="","NO ACCOUNT",IF($Q1752=0,"UNMAPPED",IF($R1752=-1,"OUTSIDE FY RANGE","OK"))))</f>
        <v/>
      </c>
      <c r="U1752" s="40" t="str">
        <f aca="false">IF($A1752="","",$B1752&amp;"|"&amp;TEXT($A1752,"yyyymmdd")&amp;"|"&amp;TEXT($I1752,"0.00"))</f>
        <v/>
      </c>
      <c r="V1752" s="35" t="str">
        <f aca="false">IF($A1752="","",COUNTIF($U$8:$U$5007,$U1752))</f>
        <v/>
      </c>
    </row>
    <row r="1753" customFormat="false" ht="15" hidden="false" customHeight="false" outlineLevel="0" collapsed="false">
      <c r="A1753" s="31"/>
      <c r="B1753" s="32"/>
      <c r="C1753" s="32"/>
      <c r="D1753" s="32"/>
      <c r="E1753" s="32"/>
      <c r="F1753" s="32"/>
      <c r="G1753" s="33"/>
      <c r="H1753" s="33"/>
      <c r="I1753" s="34" t="str">
        <f aca="false">IF($A1753="","",$G1753-$H1753)</f>
        <v/>
      </c>
      <c r="J1753" s="35" t="str">
        <f aca="false">IF($A1753="","",IF(Setup!$B$6=1,YEAR($A1753),YEAR($A1753)+IF(MONTH($A1753)&gt;=Setup!$B$6,1,0)))</f>
        <v/>
      </c>
      <c r="K1753" s="35" t="str">
        <f aca="false">IF($A1753="","",MOD(MONTH($A1753)-Setup!$B$6+12,12)+1)</f>
        <v/>
      </c>
      <c r="L1753" s="36" t="str">
        <f aca="false">IF($A1753="","",TEXT($A1753,"MMM-YY"))</f>
        <v/>
      </c>
      <c r="M1753" s="37" t="str">
        <f aca="false">IF($A1753="","",IF($Q1753=0,"UNMAPPED",INDEX(COA_Mapping!$C$7:$C$256,$Q1753)))</f>
        <v/>
      </c>
      <c r="N1753" s="38" t="str">
        <f aca="false">IF($A1753="","",IF($Q1753=0,"",INDEX(COA_Mapping!$E$7:$E$256,$Q1753)))</f>
        <v/>
      </c>
      <c r="O1753" s="38" t="n">
        <f aca="false">IF($A1753="",1,IF($Q1753=0,1,INDEX(COA_Mapping!$F$7:$F$256,$Q1753)))</f>
        <v>1</v>
      </c>
      <c r="P1753" s="34" t="str">
        <f aca="false">IF($A1753="","",$I1753*$O1753)</f>
        <v/>
      </c>
      <c r="Q1753" s="39" t="n">
        <f aca="false">IF($B1753="",0,IFERROR(MATCH($B1753,COA_Mapping!$A$7:$A$256,0),0))</f>
        <v>0</v>
      </c>
      <c r="R1753" s="39" t="n">
        <f aca="false">IF($A1753="",-1,IF($J1753=Setup!$B$7,1,IF($J1753=Setup!$B$9,0,-1)))</f>
        <v>-1</v>
      </c>
      <c r="S1753" s="35" t="n">
        <f aca="false">IF(OR($A1753="",$Q1753=0,$R1753=-1),0,$Q1753*1000+$R1753*100+$K1753)</f>
        <v>0</v>
      </c>
      <c r="T1753" s="37" t="str">
        <f aca="false">IF($A1753="","",IF($B1753="","NO ACCOUNT",IF($Q1753=0,"UNMAPPED",IF($R1753=-1,"OUTSIDE FY RANGE","OK"))))</f>
        <v/>
      </c>
      <c r="U1753" s="40" t="str">
        <f aca="false">IF($A1753="","",$B1753&amp;"|"&amp;TEXT($A1753,"yyyymmdd")&amp;"|"&amp;TEXT($I1753,"0.00"))</f>
        <v/>
      </c>
      <c r="V1753" s="35" t="str">
        <f aca="false">IF($A1753="","",COUNTIF($U$8:$U$5007,$U1753))</f>
        <v/>
      </c>
    </row>
    <row r="1754" customFormat="false" ht="15" hidden="false" customHeight="false" outlineLevel="0" collapsed="false">
      <c r="A1754" s="31"/>
      <c r="B1754" s="32"/>
      <c r="C1754" s="32"/>
      <c r="D1754" s="32"/>
      <c r="E1754" s="32"/>
      <c r="F1754" s="32"/>
      <c r="G1754" s="33"/>
      <c r="H1754" s="33"/>
      <c r="I1754" s="34" t="str">
        <f aca="false">IF($A1754="","",$G1754-$H1754)</f>
        <v/>
      </c>
      <c r="J1754" s="35" t="str">
        <f aca="false">IF($A1754="","",IF(Setup!$B$6=1,YEAR($A1754),YEAR($A1754)+IF(MONTH($A1754)&gt;=Setup!$B$6,1,0)))</f>
        <v/>
      </c>
      <c r="K1754" s="35" t="str">
        <f aca="false">IF($A1754="","",MOD(MONTH($A1754)-Setup!$B$6+12,12)+1)</f>
        <v/>
      </c>
      <c r="L1754" s="36" t="str">
        <f aca="false">IF($A1754="","",TEXT($A1754,"MMM-YY"))</f>
        <v/>
      </c>
      <c r="M1754" s="37" t="str">
        <f aca="false">IF($A1754="","",IF($Q1754=0,"UNMAPPED",INDEX(COA_Mapping!$C$7:$C$256,$Q1754)))</f>
        <v/>
      </c>
      <c r="N1754" s="38" t="str">
        <f aca="false">IF($A1754="","",IF($Q1754=0,"",INDEX(COA_Mapping!$E$7:$E$256,$Q1754)))</f>
        <v/>
      </c>
      <c r="O1754" s="38" t="n">
        <f aca="false">IF($A1754="",1,IF($Q1754=0,1,INDEX(COA_Mapping!$F$7:$F$256,$Q1754)))</f>
        <v>1</v>
      </c>
      <c r="P1754" s="34" t="str">
        <f aca="false">IF($A1754="","",$I1754*$O1754)</f>
        <v/>
      </c>
      <c r="Q1754" s="39" t="n">
        <f aca="false">IF($B1754="",0,IFERROR(MATCH($B1754,COA_Mapping!$A$7:$A$256,0),0))</f>
        <v>0</v>
      </c>
      <c r="R1754" s="39" t="n">
        <f aca="false">IF($A1754="",-1,IF($J1754=Setup!$B$7,1,IF($J1754=Setup!$B$9,0,-1)))</f>
        <v>-1</v>
      </c>
      <c r="S1754" s="35" t="n">
        <f aca="false">IF(OR($A1754="",$Q1754=0,$R1754=-1),0,$Q1754*1000+$R1754*100+$K1754)</f>
        <v>0</v>
      </c>
      <c r="T1754" s="37" t="str">
        <f aca="false">IF($A1754="","",IF($B1754="","NO ACCOUNT",IF($Q1754=0,"UNMAPPED",IF($R1754=-1,"OUTSIDE FY RANGE","OK"))))</f>
        <v/>
      </c>
      <c r="U1754" s="40" t="str">
        <f aca="false">IF($A1754="","",$B1754&amp;"|"&amp;TEXT($A1754,"yyyymmdd")&amp;"|"&amp;TEXT($I1754,"0.00"))</f>
        <v/>
      </c>
      <c r="V1754" s="35" t="str">
        <f aca="false">IF($A1754="","",COUNTIF($U$8:$U$5007,$U1754))</f>
        <v/>
      </c>
    </row>
    <row r="1755" customFormat="false" ht="15" hidden="false" customHeight="false" outlineLevel="0" collapsed="false">
      <c r="A1755" s="31"/>
      <c r="B1755" s="32"/>
      <c r="C1755" s="32"/>
      <c r="D1755" s="32"/>
      <c r="E1755" s="32"/>
      <c r="F1755" s="32"/>
      <c r="G1755" s="33"/>
      <c r="H1755" s="33"/>
      <c r="I1755" s="34" t="str">
        <f aca="false">IF($A1755="","",$G1755-$H1755)</f>
        <v/>
      </c>
      <c r="J1755" s="35" t="str">
        <f aca="false">IF($A1755="","",IF(Setup!$B$6=1,YEAR($A1755),YEAR($A1755)+IF(MONTH($A1755)&gt;=Setup!$B$6,1,0)))</f>
        <v/>
      </c>
      <c r="K1755" s="35" t="str">
        <f aca="false">IF($A1755="","",MOD(MONTH($A1755)-Setup!$B$6+12,12)+1)</f>
        <v/>
      </c>
      <c r="L1755" s="36" t="str">
        <f aca="false">IF($A1755="","",TEXT($A1755,"MMM-YY"))</f>
        <v/>
      </c>
      <c r="M1755" s="37" t="str">
        <f aca="false">IF($A1755="","",IF($Q1755=0,"UNMAPPED",INDEX(COA_Mapping!$C$7:$C$256,$Q1755)))</f>
        <v/>
      </c>
      <c r="N1755" s="38" t="str">
        <f aca="false">IF($A1755="","",IF($Q1755=0,"",INDEX(COA_Mapping!$E$7:$E$256,$Q1755)))</f>
        <v/>
      </c>
      <c r="O1755" s="38" t="n">
        <f aca="false">IF($A1755="",1,IF($Q1755=0,1,INDEX(COA_Mapping!$F$7:$F$256,$Q1755)))</f>
        <v>1</v>
      </c>
      <c r="P1755" s="34" t="str">
        <f aca="false">IF($A1755="","",$I1755*$O1755)</f>
        <v/>
      </c>
      <c r="Q1755" s="39" t="n">
        <f aca="false">IF($B1755="",0,IFERROR(MATCH($B1755,COA_Mapping!$A$7:$A$256,0),0))</f>
        <v>0</v>
      </c>
      <c r="R1755" s="39" t="n">
        <f aca="false">IF($A1755="",-1,IF($J1755=Setup!$B$7,1,IF($J1755=Setup!$B$9,0,-1)))</f>
        <v>-1</v>
      </c>
      <c r="S1755" s="35" t="n">
        <f aca="false">IF(OR($A1755="",$Q1755=0,$R1755=-1),0,$Q1755*1000+$R1755*100+$K1755)</f>
        <v>0</v>
      </c>
      <c r="T1755" s="37" t="str">
        <f aca="false">IF($A1755="","",IF($B1755="","NO ACCOUNT",IF($Q1755=0,"UNMAPPED",IF($R1755=-1,"OUTSIDE FY RANGE","OK"))))</f>
        <v/>
      </c>
      <c r="U1755" s="40" t="str">
        <f aca="false">IF($A1755="","",$B1755&amp;"|"&amp;TEXT($A1755,"yyyymmdd")&amp;"|"&amp;TEXT($I1755,"0.00"))</f>
        <v/>
      </c>
      <c r="V1755" s="35" t="str">
        <f aca="false">IF($A1755="","",COUNTIF($U$8:$U$5007,$U1755))</f>
        <v/>
      </c>
    </row>
    <row r="1756" customFormat="false" ht="15" hidden="false" customHeight="false" outlineLevel="0" collapsed="false">
      <c r="A1756" s="31"/>
      <c r="B1756" s="32"/>
      <c r="C1756" s="32"/>
      <c r="D1756" s="32"/>
      <c r="E1756" s="32"/>
      <c r="F1756" s="32"/>
      <c r="G1756" s="33"/>
      <c r="H1756" s="33"/>
      <c r="I1756" s="34" t="str">
        <f aca="false">IF($A1756="","",$G1756-$H1756)</f>
        <v/>
      </c>
      <c r="J1756" s="35" t="str">
        <f aca="false">IF($A1756="","",IF(Setup!$B$6=1,YEAR($A1756),YEAR($A1756)+IF(MONTH($A1756)&gt;=Setup!$B$6,1,0)))</f>
        <v/>
      </c>
      <c r="K1756" s="35" t="str">
        <f aca="false">IF($A1756="","",MOD(MONTH($A1756)-Setup!$B$6+12,12)+1)</f>
        <v/>
      </c>
      <c r="L1756" s="36" t="str">
        <f aca="false">IF($A1756="","",TEXT($A1756,"MMM-YY"))</f>
        <v/>
      </c>
      <c r="M1756" s="37" t="str">
        <f aca="false">IF($A1756="","",IF($Q1756=0,"UNMAPPED",INDEX(COA_Mapping!$C$7:$C$256,$Q1756)))</f>
        <v/>
      </c>
      <c r="N1756" s="38" t="str">
        <f aca="false">IF($A1756="","",IF($Q1756=0,"",INDEX(COA_Mapping!$E$7:$E$256,$Q1756)))</f>
        <v/>
      </c>
      <c r="O1756" s="38" t="n">
        <f aca="false">IF($A1756="",1,IF($Q1756=0,1,INDEX(COA_Mapping!$F$7:$F$256,$Q1756)))</f>
        <v>1</v>
      </c>
      <c r="P1756" s="34" t="str">
        <f aca="false">IF($A1756="","",$I1756*$O1756)</f>
        <v/>
      </c>
      <c r="Q1756" s="39" t="n">
        <f aca="false">IF($B1756="",0,IFERROR(MATCH($B1756,COA_Mapping!$A$7:$A$256,0),0))</f>
        <v>0</v>
      </c>
      <c r="R1756" s="39" t="n">
        <f aca="false">IF($A1756="",-1,IF($J1756=Setup!$B$7,1,IF($J1756=Setup!$B$9,0,-1)))</f>
        <v>-1</v>
      </c>
      <c r="S1756" s="35" t="n">
        <f aca="false">IF(OR($A1756="",$Q1756=0,$R1756=-1),0,$Q1756*1000+$R1756*100+$K1756)</f>
        <v>0</v>
      </c>
      <c r="T1756" s="37" t="str">
        <f aca="false">IF($A1756="","",IF($B1756="","NO ACCOUNT",IF($Q1756=0,"UNMAPPED",IF($R1756=-1,"OUTSIDE FY RANGE","OK"))))</f>
        <v/>
      </c>
      <c r="U1756" s="40" t="str">
        <f aca="false">IF($A1756="","",$B1756&amp;"|"&amp;TEXT($A1756,"yyyymmdd")&amp;"|"&amp;TEXT($I1756,"0.00"))</f>
        <v/>
      </c>
      <c r="V1756" s="35" t="str">
        <f aca="false">IF($A1756="","",COUNTIF($U$8:$U$5007,$U1756))</f>
        <v/>
      </c>
    </row>
    <row r="1757" customFormat="false" ht="15" hidden="false" customHeight="false" outlineLevel="0" collapsed="false">
      <c r="A1757" s="31"/>
      <c r="B1757" s="32"/>
      <c r="C1757" s="32"/>
      <c r="D1757" s="32"/>
      <c r="E1757" s="32"/>
      <c r="F1757" s="32"/>
      <c r="G1757" s="33"/>
      <c r="H1757" s="33"/>
      <c r="I1757" s="34" t="str">
        <f aca="false">IF($A1757="","",$G1757-$H1757)</f>
        <v/>
      </c>
      <c r="J1757" s="35" t="str">
        <f aca="false">IF($A1757="","",IF(Setup!$B$6=1,YEAR($A1757),YEAR($A1757)+IF(MONTH($A1757)&gt;=Setup!$B$6,1,0)))</f>
        <v/>
      </c>
      <c r="K1757" s="35" t="str">
        <f aca="false">IF($A1757="","",MOD(MONTH($A1757)-Setup!$B$6+12,12)+1)</f>
        <v/>
      </c>
      <c r="L1757" s="36" t="str">
        <f aca="false">IF($A1757="","",TEXT($A1757,"MMM-YY"))</f>
        <v/>
      </c>
      <c r="M1757" s="37" t="str">
        <f aca="false">IF($A1757="","",IF($Q1757=0,"UNMAPPED",INDEX(COA_Mapping!$C$7:$C$256,$Q1757)))</f>
        <v/>
      </c>
      <c r="N1757" s="38" t="str">
        <f aca="false">IF($A1757="","",IF($Q1757=0,"",INDEX(COA_Mapping!$E$7:$E$256,$Q1757)))</f>
        <v/>
      </c>
      <c r="O1757" s="38" t="n">
        <f aca="false">IF($A1757="",1,IF($Q1757=0,1,INDEX(COA_Mapping!$F$7:$F$256,$Q1757)))</f>
        <v>1</v>
      </c>
      <c r="P1757" s="34" t="str">
        <f aca="false">IF($A1757="","",$I1757*$O1757)</f>
        <v/>
      </c>
      <c r="Q1757" s="39" t="n">
        <f aca="false">IF($B1757="",0,IFERROR(MATCH($B1757,COA_Mapping!$A$7:$A$256,0),0))</f>
        <v>0</v>
      </c>
      <c r="R1757" s="39" t="n">
        <f aca="false">IF($A1757="",-1,IF($J1757=Setup!$B$7,1,IF($J1757=Setup!$B$9,0,-1)))</f>
        <v>-1</v>
      </c>
      <c r="S1757" s="35" t="n">
        <f aca="false">IF(OR($A1757="",$Q1757=0,$R1757=-1),0,$Q1757*1000+$R1757*100+$K1757)</f>
        <v>0</v>
      </c>
      <c r="T1757" s="37" t="str">
        <f aca="false">IF($A1757="","",IF($B1757="","NO ACCOUNT",IF($Q1757=0,"UNMAPPED",IF($R1757=-1,"OUTSIDE FY RANGE","OK"))))</f>
        <v/>
      </c>
      <c r="U1757" s="40" t="str">
        <f aca="false">IF($A1757="","",$B1757&amp;"|"&amp;TEXT($A1757,"yyyymmdd")&amp;"|"&amp;TEXT($I1757,"0.00"))</f>
        <v/>
      </c>
      <c r="V1757" s="35" t="str">
        <f aca="false">IF($A1757="","",COUNTIF($U$8:$U$5007,$U1757))</f>
        <v/>
      </c>
    </row>
    <row r="1758" customFormat="false" ht="15" hidden="false" customHeight="false" outlineLevel="0" collapsed="false">
      <c r="A1758" s="31"/>
      <c r="B1758" s="32"/>
      <c r="C1758" s="32"/>
      <c r="D1758" s="32"/>
      <c r="E1758" s="32"/>
      <c r="F1758" s="32"/>
      <c r="G1758" s="33"/>
      <c r="H1758" s="33"/>
      <c r="I1758" s="34" t="str">
        <f aca="false">IF($A1758="","",$G1758-$H1758)</f>
        <v/>
      </c>
      <c r="J1758" s="35" t="str">
        <f aca="false">IF($A1758="","",IF(Setup!$B$6=1,YEAR($A1758),YEAR($A1758)+IF(MONTH($A1758)&gt;=Setup!$B$6,1,0)))</f>
        <v/>
      </c>
      <c r="K1758" s="35" t="str">
        <f aca="false">IF($A1758="","",MOD(MONTH($A1758)-Setup!$B$6+12,12)+1)</f>
        <v/>
      </c>
      <c r="L1758" s="36" t="str">
        <f aca="false">IF($A1758="","",TEXT($A1758,"MMM-YY"))</f>
        <v/>
      </c>
      <c r="M1758" s="37" t="str">
        <f aca="false">IF($A1758="","",IF($Q1758=0,"UNMAPPED",INDEX(COA_Mapping!$C$7:$C$256,$Q1758)))</f>
        <v/>
      </c>
      <c r="N1758" s="38" t="str">
        <f aca="false">IF($A1758="","",IF($Q1758=0,"",INDEX(COA_Mapping!$E$7:$E$256,$Q1758)))</f>
        <v/>
      </c>
      <c r="O1758" s="38" t="n">
        <f aca="false">IF($A1758="",1,IF($Q1758=0,1,INDEX(COA_Mapping!$F$7:$F$256,$Q1758)))</f>
        <v>1</v>
      </c>
      <c r="P1758" s="34" t="str">
        <f aca="false">IF($A1758="","",$I1758*$O1758)</f>
        <v/>
      </c>
      <c r="Q1758" s="39" t="n">
        <f aca="false">IF($B1758="",0,IFERROR(MATCH($B1758,COA_Mapping!$A$7:$A$256,0),0))</f>
        <v>0</v>
      </c>
      <c r="R1758" s="39" t="n">
        <f aca="false">IF($A1758="",-1,IF($J1758=Setup!$B$7,1,IF($J1758=Setup!$B$9,0,-1)))</f>
        <v>-1</v>
      </c>
      <c r="S1758" s="35" t="n">
        <f aca="false">IF(OR($A1758="",$Q1758=0,$R1758=-1),0,$Q1758*1000+$R1758*100+$K1758)</f>
        <v>0</v>
      </c>
      <c r="T1758" s="37" t="str">
        <f aca="false">IF($A1758="","",IF($B1758="","NO ACCOUNT",IF($Q1758=0,"UNMAPPED",IF($R1758=-1,"OUTSIDE FY RANGE","OK"))))</f>
        <v/>
      </c>
      <c r="U1758" s="40" t="str">
        <f aca="false">IF($A1758="","",$B1758&amp;"|"&amp;TEXT($A1758,"yyyymmdd")&amp;"|"&amp;TEXT($I1758,"0.00"))</f>
        <v/>
      </c>
      <c r="V1758" s="35" t="str">
        <f aca="false">IF($A1758="","",COUNTIF($U$8:$U$5007,$U1758))</f>
        <v/>
      </c>
    </row>
    <row r="1759" customFormat="false" ht="15" hidden="false" customHeight="false" outlineLevel="0" collapsed="false">
      <c r="A1759" s="31"/>
      <c r="B1759" s="32"/>
      <c r="C1759" s="32"/>
      <c r="D1759" s="32"/>
      <c r="E1759" s="32"/>
      <c r="F1759" s="32"/>
      <c r="G1759" s="33"/>
      <c r="H1759" s="33"/>
      <c r="I1759" s="34" t="str">
        <f aca="false">IF($A1759="","",$G1759-$H1759)</f>
        <v/>
      </c>
      <c r="J1759" s="35" t="str">
        <f aca="false">IF($A1759="","",IF(Setup!$B$6=1,YEAR($A1759),YEAR($A1759)+IF(MONTH($A1759)&gt;=Setup!$B$6,1,0)))</f>
        <v/>
      </c>
      <c r="K1759" s="35" t="str">
        <f aca="false">IF($A1759="","",MOD(MONTH($A1759)-Setup!$B$6+12,12)+1)</f>
        <v/>
      </c>
      <c r="L1759" s="36" t="str">
        <f aca="false">IF($A1759="","",TEXT($A1759,"MMM-YY"))</f>
        <v/>
      </c>
      <c r="M1759" s="37" t="str">
        <f aca="false">IF($A1759="","",IF($Q1759=0,"UNMAPPED",INDEX(COA_Mapping!$C$7:$C$256,$Q1759)))</f>
        <v/>
      </c>
      <c r="N1759" s="38" t="str">
        <f aca="false">IF($A1759="","",IF($Q1759=0,"",INDEX(COA_Mapping!$E$7:$E$256,$Q1759)))</f>
        <v/>
      </c>
      <c r="O1759" s="38" t="n">
        <f aca="false">IF($A1759="",1,IF($Q1759=0,1,INDEX(COA_Mapping!$F$7:$F$256,$Q1759)))</f>
        <v>1</v>
      </c>
      <c r="P1759" s="34" t="str">
        <f aca="false">IF($A1759="","",$I1759*$O1759)</f>
        <v/>
      </c>
      <c r="Q1759" s="39" t="n">
        <f aca="false">IF($B1759="",0,IFERROR(MATCH($B1759,COA_Mapping!$A$7:$A$256,0),0))</f>
        <v>0</v>
      </c>
      <c r="R1759" s="39" t="n">
        <f aca="false">IF($A1759="",-1,IF($J1759=Setup!$B$7,1,IF($J1759=Setup!$B$9,0,-1)))</f>
        <v>-1</v>
      </c>
      <c r="S1759" s="35" t="n">
        <f aca="false">IF(OR($A1759="",$Q1759=0,$R1759=-1),0,$Q1759*1000+$R1759*100+$K1759)</f>
        <v>0</v>
      </c>
      <c r="T1759" s="37" t="str">
        <f aca="false">IF($A1759="","",IF($B1759="","NO ACCOUNT",IF($Q1759=0,"UNMAPPED",IF($R1759=-1,"OUTSIDE FY RANGE","OK"))))</f>
        <v/>
      </c>
      <c r="U1759" s="40" t="str">
        <f aca="false">IF($A1759="","",$B1759&amp;"|"&amp;TEXT($A1759,"yyyymmdd")&amp;"|"&amp;TEXT($I1759,"0.00"))</f>
        <v/>
      </c>
      <c r="V1759" s="35" t="str">
        <f aca="false">IF($A1759="","",COUNTIF($U$8:$U$5007,$U1759))</f>
        <v/>
      </c>
    </row>
    <row r="1760" customFormat="false" ht="15" hidden="false" customHeight="false" outlineLevel="0" collapsed="false">
      <c r="A1760" s="31"/>
      <c r="B1760" s="32"/>
      <c r="C1760" s="32"/>
      <c r="D1760" s="32"/>
      <c r="E1760" s="32"/>
      <c r="F1760" s="32"/>
      <c r="G1760" s="33"/>
      <c r="H1760" s="33"/>
      <c r="I1760" s="34" t="str">
        <f aca="false">IF($A1760="","",$G1760-$H1760)</f>
        <v/>
      </c>
      <c r="J1760" s="35" t="str">
        <f aca="false">IF($A1760="","",IF(Setup!$B$6=1,YEAR($A1760),YEAR($A1760)+IF(MONTH($A1760)&gt;=Setup!$B$6,1,0)))</f>
        <v/>
      </c>
      <c r="K1760" s="35" t="str">
        <f aca="false">IF($A1760="","",MOD(MONTH($A1760)-Setup!$B$6+12,12)+1)</f>
        <v/>
      </c>
      <c r="L1760" s="36" t="str">
        <f aca="false">IF($A1760="","",TEXT($A1760,"MMM-YY"))</f>
        <v/>
      </c>
      <c r="M1760" s="37" t="str">
        <f aca="false">IF($A1760="","",IF($Q1760=0,"UNMAPPED",INDEX(COA_Mapping!$C$7:$C$256,$Q1760)))</f>
        <v/>
      </c>
      <c r="N1760" s="38" t="str">
        <f aca="false">IF($A1760="","",IF($Q1760=0,"",INDEX(COA_Mapping!$E$7:$E$256,$Q1760)))</f>
        <v/>
      </c>
      <c r="O1760" s="38" t="n">
        <f aca="false">IF($A1760="",1,IF($Q1760=0,1,INDEX(COA_Mapping!$F$7:$F$256,$Q1760)))</f>
        <v>1</v>
      </c>
      <c r="P1760" s="34" t="str">
        <f aca="false">IF($A1760="","",$I1760*$O1760)</f>
        <v/>
      </c>
      <c r="Q1760" s="39" t="n">
        <f aca="false">IF($B1760="",0,IFERROR(MATCH($B1760,COA_Mapping!$A$7:$A$256,0),0))</f>
        <v>0</v>
      </c>
      <c r="R1760" s="39" t="n">
        <f aca="false">IF($A1760="",-1,IF($J1760=Setup!$B$7,1,IF($J1760=Setup!$B$9,0,-1)))</f>
        <v>-1</v>
      </c>
      <c r="S1760" s="35" t="n">
        <f aca="false">IF(OR($A1760="",$Q1760=0,$R1760=-1),0,$Q1760*1000+$R1760*100+$K1760)</f>
        <v>0</v>
      </c>
      <c r="T1760" s="37" t="str">
        <f aca="false">IF($A1760="","",IF($B1760="","NO ACCOUNT",IF($Q1760=0,"UNMAPPED",IF($R1760=-1,"OUTSIDE FY RANGE","OK"))))</f>
        <v/>
      </c>
      <c r="U1760" s="40" t="str">
        <f aca="false">IF($A1760="","",$B1760&amp;"|"&amp;TEXT($A1760,"yyyymmdd")&amp;"|"&amp;TEXT($I1760,"0.00"))</f>
        <v/>
      </c>
      <c r="V1760" s="35" t="str">
        <f aca="false">IF($A1760="","",COUNTIF($U$8:$U$5007,$U1760))</f>
        <v/>
      </c>
    </row>
    <row r="1761" customFormat="false" ht="15" hidden="false" customHeight="false" outlineLevel="0" collapsed="false">
      <c r="A1761" s="31"/>
      <c r="B1761" s="32"/>
      <c r="C1761" s="32"/>
      <c r="D1761" s="32"/>
      <c r="E1761" s="32"/>
      <c r="F1761" s="32"/>
      <c r="G1761" s="33"/>
      <c r="H1761" s="33"/>
      <c r="I1761" s="34" t="str">
        <f aca="false">IF($A1761="","",$G1761-$H1761)</f>
        <v/>
      </c>
      <c r="J1761" s="35" t="str">
        <f aca="false">IF($A1761="","",IF(Setup!$B$6=1,YEAR($A1761),YEAR($A1761)+IF(MONTH($A1761)&gt;=Setup!$B$6,1,0)))</f>
        <v/>
      </c>
      <c r="K1761" s="35" t="str">
        <f aca="false">IF($A1761="","",MOD(MONTH($A1761)-Setup!$B$6+12,12)+1)</f>
        <v/>
      </c>
      <c r="L1761" s="36" t="str">
        <f aca="false">IF($A1761="","",TEXT($A1761,"MMM-YY"))</f>
        <v/>
      </c>
      <c r="M1761" s="37" t="str">
        <f aca="false">IF($A1761="","",IF($Q1761=0,"UNMAPPED",INDEX(COA_Mapping!$C$7:$C$256,$Q1761)))</f>
        <v/>
      </c>
      <c r="N1761" s="38" t="str">
        <f aca="false">IF($A1761="","",IF($Q1761=0,"",INDEX(COA_Mapping!$E$7:$E$256,$Q1761)))</f>
        <v/>
      </c>
      <c r="O1761" s="38" t="n">
        <f aca="false">IF($A1761="",1,IF($Q1761=0,1,INDEX(COA_Mapping!$F$7:$F$256,$Q1761)))</f>
        <v>1</v>
      </c>
      <c r="P1761" s="34" t="str">
        <f aca="false">IF($A1761="","",$I1761*$O1761)</f>
        <v/>
      </c>
      <c r="Q1761" s="39" t="n">
        <f aca="false">IF($B1761="",0,IFERROR(MATCH($B1761,COA_Mapping!$A$7:$A$256,0),0))</f>
        <v>0</v>
      </c>
      <c r="R1761" s="39" t="n">
        <f aca="false">IF($A1761="",-1,IF($J1761=Setup!$B$7,1,IF($J1761=Setup!$B$9,0,-1)))</f>
        <v>-1</v>
      </c>
      <c r="S1761" s="35" t="n">
        <f aca="false">IF(OR($A1761="",$Q1761=0,$R1761=-1),0,$Q1761*1000+$R1761*100+$K1761)</f>
        <v>0</v>
      </c>
      <c r="T1761" s="37" t="str">
        <f aca="false">IF($A1761="","",IF($B1761="","NO ACCOUNT",IF($Q1761=0,"UNMAPPED",IF($R1761=-1,"OUTSIDE FY RANGE","OK"))))</f>
        <v/>
      </c>
      <c r="U1761" s="40" t="str">
        <f aca="false">IF($A1761="","",$B1761&amp;"|"&amp;TEXT($A1761,"yyyymmdd")&amp;"|"&amp;TEXT($I1761,"0.00"))</f>
        <v/>
      </c>
      <c r="V1761" s="35" t="str">
        <f aca="false">IF($A1761="","",COUNTIF($U$8:$U$5007,$U1761))</f>
        <v/>
      </c>
    </row>
    <row r="1762" customFormat="false" ht="15" hidden="false" customHeight="false" outlineLevel="0" collapsed="false">
      <c r="A1762" s="31"/>
      <c r="B1762" s="32"/>
      <c r="C1762" s="32"/>
      <c r="D1762" s="32"/>
      <c r="E1762" s="32"/>
      <c r="F1762" s="32"/>
      <c r="G1762" s="33"/>
      <c r="H1762" s="33"/>
      <c r="I1762" s="34" t="str">
        <f aca="false">IF($A1762="","",$G1762-$H1762)</f>
        <v/>
      </c>
      <c r="J1762" s="35" t="str">
        <f aca="false">IF($A1762="","",IF(Setup!$B$6=1,YEAR($A1762),YEAR($A1762)+IF(MONTH($A1762)&gt;=Setup!$B$6,1,0)))</f>
        <v/>
      </c>
      <c r="K1762" s="35" t="str">
        <f aca="false">IF($A1762="","",MOD(MONTH($A1762)-Setup!$B$6+12,12)+1)</f>
        <v/>
      </c>
      <c r="L1762" s="36" t="str">
        <f aca="false">IF($A1762="","",TEXT($A1762,"MMM-YY"))</f>
        <v/>
      </c>
      <c r="M1762" s="37" t="str">
        <f aca="false">IF($A1762="","",IF($Q1762=0,"UNMAPPED",INDEX(COA_Mapping!$C$7:$C$256,$Q1762)))</f>
        <v/>
      </c>
      <c r="N1762" s="38" t="str">
        <f aca="false">IF($A1762="","",IF($Q1762=0,"",INDEX(COA_Mapping!$E$7:$E$256,$Q1762)))</f>
        <v/>
      </c>
      <c r="O1762" s="38" t="n">
        <f aca="false">IF($A1762="",1,IF($Q1762=0,1,INDEX(COA_Mapping!$F$7:$F$256,$Q1762)))</f>
        <v>1</v>
      </c>
      <c r="P1762" s="34" t="str">
        <f aca="false">IF($A1762="","",$I1762*$O1762)</f>
        <v/>
      </c>
      <c r="Q1762" s="39" t="n">
        <f aca="false">IF($B1762="",0,IFERROR(MATCH($B1762,COA_Mapping!$A$7:$A$256,0),0))</f>
        <v>0</v>
      </c>
      <c r="R1762" s="39" t="n">
        <f aca="false">IF($A1762="",-1,IF($J1762=Setup!$B$7,1,IF($J1762=Setup!$B$9,0,-1)))</f>
        <v>-1</v>
      </c>
      <c r="S1762" s="35" t="n">
        <f aca="false">IF(OR($A1762="",$Q1762=0,$R1762=-1),0,$Q1762*1000+$R1762*100+$K1762)</f>
        <v>0</v>
      </c>
      <c r="T1762" s="37" t="str">
        <f aca="false">IF($A1762="","",IF($B1762="","NO ACCOUNT",IF($Q1762=0,"UNMAPPED",IF($R1762=-1,"OUTSIDE FY RANGE","OK"))))</f>
        <v/>
      </c>
      <c r="U1762" s="40" t="str">
        <f aca="false">IF($A1762="","",$B1762&amp;"|"&amp;TEXT($A1762,"yyyymmdd")&amp;"|"&amp;TEXT($I1762,"0.00"))</f>
        <v/>
      </c>
      <c r="V1762" s="35" t="str">
        <f aca="false">IF($A1762="","",COUNTIF($U$8:$U$5007,$U1762))</f>
        <v/>
      </c>
    </row>
    <row r="1763" customFormat="false" ht="15" hidden="false" customHeight="false" outlineLevel="0" collapsed="false">
      <c r="A1763" s="31"/>
      <c r="B1763" s="32"/>
      <c r="C1763" s="32"/>
      <c r="D1763" s="32"/>
      <c r="E1763" s="32"/>
      <c r="F1763" s="32"/>
      <c r="G1763" s="33"/>
      <c r="H1763" s="33"/>
      <c r="I1763" s="34" t="str">
        <f aca="false">IF($A1763="","",$G1763-$H1763)</f>
        <v/>
      </c>
      <c r="J1763" s="35" t="str">
        <f aca="false">IF($A1763="","",IF(Setup!$B$6=1,YEAR($A1763),YEAR($A1763)+IF(MONTH($A1763)&gt;=Setup!$B$6,1,0)))</f>
        <v/>
      </c>
      <c r="K1763" s="35" t="str">
        <f aca="false">IF($A1763="","",MOD(MONTH($A1763)-Setup!$B$6+12,12)+1)</f>
        <v/>
      </c>
      <c r="L1763" s="36" t="str">
        <f aca="false">IF($A1763="","",TEXT($A1763,"MMM-YY"))</f>
        <v/>
      </c>
      <c r="M1763" s="37" t="str">
        <f aca="false">IF($A1763="","",IF($Q1763=0,"UNMAPPED",INDEX(COA_Mapping!$C$7:$C$256,$Q1763)))</f>
        <v/>
      </c>
      <c r="N1763" s="38" t="str">
        <f aca="false">IF($A1763="","",IF($Q1763=0,"",INDEX(COA_Mapping!$E$7:$E$256,$Q1763)))</f>
        <v/>
      </c>
      <c r="O1763" s="38" t="n">
        <f aca="false">IF($A1763="",1,IF($Q1763=0,1,INDEX(COA_Mapping!$F$7:$F$256,$Q1763)))</f>
        <v>1</v>
      </c>
      <c r="P1763" s="34" t="str">
        <f aca="false">IF($A1763="","",$I1763*$O1763)</f>
        <v/>
      </c>
      <c r="Q1763" s="39" t="n">
        <f aca="false">IF($B1763="",0,IFERROR(MATCH($B1763,COA_Mapping!$A$7:$A$256,0),0))</f>
        <v>0</v>
      </c>
      <c r="R1763" s="39" t="n">
        <f aca="false">IF($A1763="",-1,IF($J1763=Setup!$B$7,1,IF($J1763=Setup!$B$9,0,-1)))</f>
        <v>-1</v>
      </c>
      <c r="S1763" s="35" t="n">
        <f aca="false">IF(OR($A1763="",$Q1763=0,$R1763=-1),0,$Q1763*1000+$R1763*100+$K1763)</f>
        <v>0</v>
      </c>
      <c r="T1763" s="37" t="str">
        <f aca="false">IF($A1763="","",IF($B1763="","NO ACCOUNT",IF($Q1763=0,"UNMAPPED",IF($R1763=-1,"OUTSIDE FY RANGE","OK"))))</f>
        <v/>
      </c>
      <c r="U1763" s="40" t="str">
        <f aca="false">IF($A1763="","",$B1763&amp;"|"&amp;TEXT($A1763,"yyyymmdd")&amp;"|"&amp;TEXT($I1763,"0.00"))</f>
        <v/>
      </c>
      <c r="V1763" s="35" t="str">
        <f aca="false">IF($A1763="","",COUNTIF($U$8:$U$5007,$U1763))</f>
        <v/>
      </c>
    </row>
    <row r="1764" customFormat="false" ht="15" hidden="false" customHeight="false" outlineLevel="0" collapsed="false">
      <c r="A1764" s="31"/>
      <c r="B1764" s="32"/>
      <c r="C1764" s="32"/>
      <c r="D1764" s="32"/>
      <c r="E1764" s="32"/>
      <c r="F1764" s="32"/>
      <c r="G1764" s="33"/>
      <c r="H1764" s="33"/>
      <c r="I1764" s="34" t="str">
        <f aca="false">IF($A1764="","",$G1764-$H1764)</f>
        <v/>
      </c>
      <c r="J1764" s="35" t="str">
        <f aca="false">IF($A1764="","",IF(Setup!$B$6=1,YEAR($A1764),YEAR($A1764)+IF(MONTH($A1764)&gt;=Setup!$B$6,1,0)))</f>
        <v/>
      </c>
      <c r="K1764" s="35" t="str">
        <f aca="false">IF($A1764="","",MOD(MONTH($A1764)-Setup!$B$6+12,12)+1)</f>
        <v/>
      </c>
      <c r="L1764" s="36" t="str">
        <f aca="false">IF($A1764="","",TEXT($A1764,"MMM-YY"))</f>
        <v/>
      </c>
      <c r="M1764" s="37" t="str">
        <f aca="false">IF($A1764="","",IF($Q1764=0,"UNMAPPED",INDEX(COA_Mapping!$C$7:$C$256,$Q1764)))</f>
        <v/>
      </c>
      <c r="N1764" s="38" t="str">
        <f aca="false">IF($A1764="","",IF($Q1764=0,"",INDEX(COA_Mapping!$E$7:$E$256,$Q1764)))</f>
        <v/>
      </c>
      <c r="O1764" s="38" t="n">
        <f aca="false">IF($A1764="",1,IF($Q1764=0,1,INDEX(COA_Mapping!$F$7:$F$256,$Q1764)))</f>
        <v>1</v>
      </c>
      <c r="P1764" s="34" t="str">
        <f aca="false">IF($A1764="","",$I1764*$O1764)</f>
        <v/>
      </c>
      <c r="Q1764" s="39" t="n">
        <f aca="false">IF($B1764="",0,IFERROR(MATCH($B1764,COA_Mapping!$A$7:$A$256,0),0))</f>
        <v>0</v>
      </c>
      <c r="R1764" s="39" t="n">
        <f aca="false">IF($A1764="",-1,IF($J1764=Setup!$B$7,1,IF($J1764=Setup!$B$9,0,-1)))</f>
        <v>-1</v>
      </c>
      <c r="S1764" s="35" t="n">
        <f aca="false">IF(OR($A1764="",$Q1764=0,$R1764=-1),0,$Q1764*1000+$R1764*100+$K1764)</f>
        <v>0</v>
      </c>
      <c r="T1764" s="37" t="str">
        <f aca="false">IF($A1764="","",IF($B1764="","NO ACCOUNT",IF($Q1764=0,"UNMAPPED",IF($R1764=-1,"OUTSIDE FY RANGE","OK"))))</f>
        <v/>
      </c>
      <c r="U1764" s="40" t="str">
        <f aca="false">IF($A1764="","",$B1764&amp;"|"&amp;TEXT($A1764,"yyyymmdd")&amp;"|"&amp;TEXT($I1764,"0.00"))</f>
        <v/>
      </c>
      <c r="V1764" s="35" t="str">
        <f aca="false">IF($A1764="","",COUNTIF($U$8:$U$5007,$U1764))</f>
        <v/>
      </c>
    </row>
    <row r="1765" customFormat="false" ht="15" hidden="false" customHeight="false" outlineLevel="0" collapsed="false">
      <c r="A1765" s="31"/>
      <c r="B1765" s="32"/>
      <c r="C1765" s="32"/>
      <c r="D1765" s="32"/>
      <c r="E1765" s="32"/>
      <c r="F1765" s="32"/>
      <c r="G1765" s="33"/>
      <c r="H1765" s="33"/>
      <c r="I1765" s="34" t="str">
        <f aca="false">IF($A1765="","",$G1765-$H1765)</f>
        <v/>
      </c>
      <c r="J1765" s="35" t="str">
        <f aca="false">IF($A1765="","",IF(Setup!$B$6=1,YEAR($A1765),YEAR($A1765)+IF(MONTH($A1765)&gt;=Setup!$B$6,1,0)))</f>
        <v/>
      </c>
      <c r="K1765" s="35" t="str">
        <f aca="false">IF($A1765="","",MOD(MONTH($A1765)-Setup!$B$6+12,12)+1)</f>
        <v/>
      </c>
      <c r="L1765" s="36" t="str">
        <f aca="false">IF($A1765="","",TEXT($A1765,"MMM-YY"))</f>
        <v/>
      </c>
      <c r="M1765" s="37" t="str">
        <f aca="false">IF($A1765="","",IF($Q1765=0,"UNMAPPED",INDEX(COA_Mapping!$C$7:$C$256,$Q1765)))</f>
        <v/>
      </c>
      <c r="N1765" s="38" t="str">
        <f aca="false">IF($A1765="","",IF($Q1765=0,"",INDEX(COA_Mapping!$E$7:$E$256,$Q1765)))</f>
        <v/>
      </c>
      <c r="O1765" s="38" t="n">
        <f aca="false">IF($A1765="",1,IF($Q1765=0,1,INDEX(COA_Mapping!$F$7:$F$256,$Q1765)))</f>
        <v>1</v>
      </c>
      <c r="P1765" s="34" t="str">
        <f aca="false">IF($A1765="","",$I1765*$O1765)</f>
        <v/>
      </c>
      <c r="Q1765" s="39" t="n">
        <f aca="false">IF($B1765="",0,IFERROR(MATCH($B1765,COA_Mapping!$A$7:$A$256,0),0))</f>
        <v>0</v>
      </c>
      <c r="R1765" s="39" t="n">
        <f aca="false">IF($A1765="",-1,IF($J1765=Setup!$B$7,1,IF($J1765=Setup!$B$9,0,-1)))</f>
        <v>-1</v>
      </c>
      <c r="S1765" s="35" t="n">
        <f aca="false">IF(OR($A1765="",$Q1765=0,$R1765=-1),0,$Q1765*1000+$R1765*100+$K1765)</f>
        <v>0</v>
      </c>
      <c r="T1765" s="37" t="str">
        <f aca="false">IF($A1765="","",IF($B1765="","NO ACCOUNT",IF($Q1765=0,"UNMAPPED",IF($R1765=-1,"OUTSIDE FY RANGE","OK"))))</f>
        <v/>
      </c>
      <c r="U1765" s="40" t="str">
        <f aca="false">IF($A1765="","",$B1765&amp;"|"&amp;TEXT($A1765,"yyyymmdd")&amp;"|"&amp;TEXT($I1765,"0.00"))</f>
        <v/>
      </c>
      <c r="V1765" s="35" t="str">
        <f aca="false">IF($A1765="","",COUNTIF($U$8:$U$5007,$U1765))</f>
        <v/>
      </c>
    </row>
    <row r="1766" customFormat="false" ht="15" hidden="false" customHeight="false" outlineLevel="0" collapsed="false">
      <c r="A1766" s="31"/>
      <c r="B1766" s="32"/>
      <c r="C1766" s="32"/>
      <c r="D1766" s="32"/>
      <c r="E1766" s="32"/>
      <c r="F1766" s="32"/>
      <c r="G1766" s="33"/>
      <c r="H1766" s="33"/>
      <c r="I1766" s="34" t="str">
        <f aca="false">IF($A1766="","",$G1766-$H1766)</f>
        <v/>
      </c>
      <c r="J1766" s="35" t="str">
        <f aca="false">IF($A1766="","",IF(Setup!$B$6=1,YEAR($A1766),YEAR($A1766)+IF(MONTH($A1766)&gt;=Setup!$B$6,1,0)))</f>
        <v/>
      </c>
      <c r="K1766" s="35" t="str">
        <f aca="false">IF($A1766="","",MOD(MONTH($A1766)-Setup!$B$6+12,12)+1)</f>
        <v/>
      </c>
      <c r="L1766" s="36" t="str">
        <f aca="false">IF($A1766="","",TEXT($A1766,"MMM-YY"))</f>
        <v/>
      </c>
      <c r="M1766" s="37" t="str">
        <f aca="false">IF($A1766="","",IF($Q1766=0,"UNMAPPED",INDEX(COA_Mapping!$C$7:$C$256,$Q1766)))</f>
        <v/>
      </c>
      <c r="N1766" s="38" t="str">
        <f aca="false">IF($A1766="","",IF($Q1766=0,"",INDEX(COA_Mapping!$E$7:$E$256,$Q1766)))</f>
        <v/>
      </c>
      <c r="O1766" s="38" t="n">
        <f aca="false">IF($A1766="",1,IF($Q1766=0,1,INDEX(COA_Mapping!$F$7:$F$256,$Q1766)))</f>
        <v>1</v>
      </c>
      <c r="P1766" s="34" t="str">
        <f aca="false">IF($A1766="","",$I1766*$O1766)</f>
        <v/>
      </c>
      <c r="Q1766" s="39" t="n">
        <f aca="false">IF($B1766="",0,IFERROR(MATCH($B1766,COA_Mapping!$A$7:$A$256,0),0))</f>
        <v>0</v>
      </c>
      <c r="R1766" s="39" t="n">
        <f aca="false">IF($A1766="",-1,IF($J1766=Setup!$B$7,1,IF($J1766=Setup!$B$9,0,-1)))</f>
        <v>-1</v>
      </c>
      <c r="S1766" s="35" t="n">
        <f aca="false">IF(OR($A1766="",$Q1766=0,$R1766=-1),0,$Q1766*1000+$R1766*100+$K1766)</f>
        <v>0</v>
      </c>
      <c r="T1766" s="37" t="str">
        <f aca="false">IF($A1766="","",IF($B1766="","NO ACCOUNT",IF($Q1766=0,"UNMAPPED",IF($R1766=-1,"OUTSIDE FY RANGE","OK"))))</f>
        <v/>
      </c>
      <c r="U1766" s="40" t="str">
        <f aca="false">IF($A1766="","",$B1766&amp;"|"&amp;TEXT($A1766,"yyyymmdd")&amp;"|"&amp;TEXT($I1766,"0.00"))</f>
        <v/>
      </c>
      <c r="V1766" s="35" t="str">
        <f aca="false">IF($A1766="","",COUNTIF($U$8:$U$5007,$U1766))</f>
        <v/>
      </c>
    </row>
    <row r="1767" customFormat="false" ht="15" hidden="false" customHeight="false" outlineLevel="0" collapsed="false">
      <c r="A1767" s="31"/>
      <c r="B1767" s="32"/>
      <c r="C1767" s="32"/>
      <c r="D1767" s="32"/>
      <c r="E1767" s="32"/>
      <c r="F1767" s="32"/>
      <c r="G1767" s="33"/>
      <c r="H1767" s="33"/>
      <c r="I1767" s="34" t="str">
        <f aca="false">IF($A1767="","",$G1767-$H1767)</f>
        <v/>
      </c>
      <c r="J1767" s="35" t="str">
        <f aca="false">IF($A1767="","",IF(Setup!$B$6=1,YEAR($A1767),YEAR($A1767)+IF(MONTH($A1767)&gt;=Setup!$B$6,1,0)))</f>
        <v/>
      </c>
      <c r="K1767" s="35" t="str">
        <f aca="false">IF($A1767="","",MOD(MONTH($A1767)-Setup!$B$6+12,12)+1)</f>
        <v/>
      </c>
      <c r="L1767" s="36" t="str">
        <f aca="false">IF($A1767="","",TEXT($A1767,"MMM-YY"))</f>
        <v/>
      </c>
      <c r="M1767" s="37" t="str">
        <f aca="false">IF($A1767="","",IF($Q1767=0,"UNMAPPED",INDEX(COA_Mapping!$C$7:$C$256,$Q1767)))</f>
        <v/>
      </c>
      <c r="N1767" s="38" t="str">
        <f aca="false">IF($A1767="","",IF($Q1767=0,"",INDEX(COA_Mapping!$E$7:$E$256,$Q1767)))</f>
        <v/>
      </c>
      <c r="O1767" s="38" t="n">
        <f aca="false">IF($A1767="",1,IF($Q1767=0,1,INDEX(COA_Mapping!$F$7:$F$256,$Q1767)))</f>
        <v>1</v>
      </c>
      <c r="P1767" s="34" t="str">
        <f aca="false">IF($A1767="","",$I1767*$O1767)</f>
        <v/>
      </c>
      <c r="Q1767" s="39" t="n">
        <f aca="false">IF($B1767="",0,IFERROR(MATCH($B1767,COA_Mapping!$A$7:$A$256,0),0))</f>
        <v>0</v>
      </c>
      <c r="R1767" s="39" t="n">
        <f aca="false">IF($A1767="",-1,IF($J1767=Setup!$B$7,1,IF($J1767=Setup!$B$9,0,-1)))</f>
        <v>-1</v>
      </c>
      <c r="S1767" s="35" t="n">
        <f aca="false">IF(OR($A1767="",$Q1767=0,$R1767=-1),0,$Q1767*1000+$R1767*100+$K1767)</f>
        <v>0</v>
      </c>
      <c r="T1767" s="37" t="str">
        <f aca="false">IF($A1767="","",IF($B1767="","NO ACCOUNT",IF($Q1767=0,"UNMAPPED",IF($R1767=-1,"OUTSIDE FY RANGE","OK"))))</f>
        <v/>
      </c>
      <c r="U1767" s="40" t="str">
        <f aca="false">IF($A1767="","",$B1767&amp;"|"&amp;TEXT($A1767,"yyyymmdd")&amp;"|"&amp;TEXT($I1767,"0.00"))</f>
        <v/>
      </c>
      <c r="V1767" s="35" t="str">
        <f aca="false">IF($A1767="","",COUNTIF($U$8:$U$5007,$U1767))</f>
        <v/>
      </c>
    </row>
    <row r="1768" customFormat="false" ht="15" hidden="false" customHeight="false" outlineLevel="0" collapsed="false">
      <c r="A1768" s="31"/>
      <c r="B1768" s="32"/>
      <c r="C1768" s="32"/>
      <c r="D1768" s="32"/>
      <c r="E1768" s="32"/>
      <c r="F1768" s="32"/>
      <c r="G1768" s="33"/>
      <c r="H1768" s="33"/>
      <c r="I1768" s="34" t="str">
        <f aca="false">IF($A1768="","",$G1768-$H1768)</f>
        <v/>
      </c>
      <c r="J1768" s="35" t="str">
        <f aca="false">IF($A1768="","",IF(Setup!$B$6=1,YEAR($A1768),YEAR($A1768)+IF(MONTH($A1768)&gt;=Setup!$B$6,1,0)))</f>
        <v/>
      </c>
      <c r="K1768" s="35" t="str">
        <f aca="false">IF($A1768="","",MOD(MONTH($A1768)-Setup!$B$6+12,12)+1)</f>
        <v/>
      </c>
      <c r="L1768" s="36" t="str">
        <f aca="false">IF($A1768="","",TEXT($A1768,"MMM-YY"))</f>
        <v/>
      </c>
      <c r="M1768" s="37" t="str">
        <f aca="false">IF($A1768="","",IF($Q1768=0,"UNMAPPED",INDEX(COA_Mapping!$C$7:$C$256,$Q1768)))</f>
        <v/>
      </c>
      <c r="N1768" s="38" t="str">
        <f aca="false">IF($A1768="","",IF($Q1768=0,"",INDEX(COA_Mapping!$E$7:$E$256,$Q1768)))</f>
        <v/>
      </c>
      <c r="O1768" s="38" t="n">
        <f aca="false">IF($A1768="",1,IF($Q1768=0,1,INDEX(COA_Mapping!$F$7:$F$256,$Q1768)))</f>
        <v>1</v>
      </c>
      <c r="P1768" s="34" t="str">
        <f aca="false">IF($A1768="","",$I1768*$O1768)</f>
        <v/>
      </c>
      <c r="Q1768" s="39" t="n">
        <f aca="false">IF($B1768="",0,IFERROR(MATCH($B1768,COA_Mapping!$A$7:$A$256,0),0))</f>
        <v>0</v>
      </c>
      <c r="R1768" s="39" t="n">
        <f aca="false">IF($A1768="",-1,IF($J1768=Setup!$B$7,1,IF($J1768=Setup!$B$9,0,-1)))</f>
        <v>-1</v>
      </c>
      <c r="S1768" s="35" t="n">
        <f aca="false">IF(OR($A1768="",$Q1768=0,$R1768=-1),0,$Q1768*1000+$R1768*100+$K1768)</f>
        <v>0</v>
      </c>
      <c r="T1768" s="37" t="str">
        <f aca="false">IF($A1768="","",IF($B1768="","NO ACCOUNT",IF($Q1768=0,"UNMAPPED",IF($R1768=-1,"OUTSIDE FY RANGE","OK"))))</f>
        <v/>
      </c>
      <c r="U1768" s="40" t="str">
        <f aca="false">IF($A1768="","",$B1768&amp;"|"&amp;TEXT($A1768,"yyyymmdd")&amp;"|"&amp;TEXT($I1768,"0.00"))</f>
        <v/>
      </c>
      <c r="V1768" s="35" t="str">
        <f aca="false">IF($A1768="","",COUNTIF($U$8:$U$5007,$U1768))</f>
        <v/>
      </c>
    </row>
    <row r="1769" customFormat="false" ht="15" hidden="false" customHeight="false" outlineLevel="0" collapsed="false">
      <c r="A1769" s="31"/>
      <c r="B1769" s="32"/>
      <c r="C1769" s="32"/>
      <c r="D1769" s="32"/>
      <c r="E1769" s="32"/>
      <c r="F1769" s="32"/>
      <c r="G1769" s="33"/>
      <c r="H1769" s="33"/>
      <c r="I1769" s="34" t="str">
        <f aca="false">IF($A1769="","",$G1769-$H1769)</f>
        <v/>
      </c>
      <c r="J1769" s="35" t="str">
        <f aca="false">IF($A1769="","",IF(Setup!$B$6=1,YEAR($A1769),YEAR($A1769)+IF(MONTH($A1769)&gt;=Setup!$B$6,1,0)))</f>
        <v/>
      </c>
      <c r="K1769" s="35" t="str">
        <f aca="false">IF($A1769="","",MOD(MONTH($A1769)-Setup!$B$6+12,12)+1)</f>
        <v/>
      </c>
      <c r="L1769" s="36" t="str">
        <f aca="false">IF($A1769="","",TEXT($A1769,"MMM-YY"))</f>
        <v/>
      </c>
      <c r="M1769" s="37" t="str">
        <f aca="false">IF($A1769="","",IF($Q1769=0,"UNMAPPED",INDEX(COA_Mapping!$C$7:$C$256,$Q1769)))</f>
        <v/>
      </c>
      <c r="N1769" s="38" t="str">
        <f aca="false">IF($A1769="","",IF($Q1769=0,"",INDEX(COA_Mapping!$E$7:$E$256,$Q1769)))</f>
        <v/>
      </c>
      <c r="O1769" s="38" t="n">
        <f aca="false">IF($A1769="",1,IF($Q1769=0,1,INDEX(COA_Mapping!$F$7:$F$256,$Q1769)))</f>
        <v>1</v>
      </c>
      <c r="P1769" s="34" t="str">
        <f aca="false">IF($A1769="","",$I1769*$O1769)</f>
        <v/>
      </c>
      <c r="Q1769" s="39" t="n">
        <f aca="false">IF($B1769="",0,IFERROR(MATCH($B1769,COA_Mapping!$A$7:$A$256,0),0))</f>
        <v>0</v>
      </c>
      <c r="R1769" s="39" t="n">
        <f aca="false">IF($A1769="",-1,IF($J1769=Setup!$B$7,1,IF($J1769=Setup!$B$9,0,-1)))</f>
        <v>-1</v>
      </c>
      <c r="S1769" s="35" t="n">
        <f aca="false">IF(OR($A1769="",$Q1769=0,$R1769=-1),0,$Q1769*1000+$R1769*100+$K1769)</f>
        <v>0</v>
      </c>
      <c r="T1769" s="37" t="str">
        <f aca="false">IF($A1769="","",IF($B1769="","NO ACCOUNT",IF($Q1769=0,"UNMAPPED",IF($R1769=-1,"OUTSIDE FY RANGE","OK"))))</f>
        <v/>
      </c>
      <c r="U1769" s="40" t="str">
        <f aca="false">IF($A1769="","",$B1769&amp;"|"&amp;TEXT($A1769,"yyyymmdd")&amp;"|"&amp;TEXT($I1769,"0.00"))</f>
        <v/>
      </c>
      <c r="V1769" s="35" t="str">
        <f aca="false">IF($A1769="","",COUNTIF($U$8:$U$5007,$U1769))</f>
        <v/>
      </c>
    </row>
    <row r="1770" customFormat="false" ht="15" hidden="false" customHeight="false" outlineLevel="0" collapsed="false">
      <c r="A1770" s="31"/>
      <c r="B1770" s="32"/>
      <c r="C1770" s="32"/>
      <c r="D1770" s="32"/>
      <c r="E1770" s="32"/>
      <c r="F1770" s="32"/>
      <c r="G1770" s="33"/>
      <c r="H1770" s="33"/>
      <c r="I1770" s="34" t="str">
        <f aca="false">IF($A1770="","",$G1770-$H1770)</f>
        <v/>
      </c>
      <c r="J1770" s="35" t="str">
        <f aca="false">IF($A1770="","",IF(Setup!$B$6=1,YEAR($A1770),YEAR($A1770)+IF(MONTH($A1770)&gt;=Setup!$B$6,1,0)))</f>
        <v/>
      </c>
      <c r="K1770" s="35" t="str">
        <f aca="false">IF($A1770="","",MOD(MONTH($A1770)-Setup!$B$6+12,12)+1)</f>
        <v/>
      </c>
      <c r="L1770" s="36" t="str">
        <f aca="false">IF($A1770="","",TEXT($A1770,"MMM-YY"))</f>
        <v/>
      </c>
      <c r="M1770" s="37" t="str">
        <f aca="false">IF($A1770="","",IF($Q1770=0,"UNMAPPED",INDEX(COA_Mapping!$C$7:$C$256,$Q1770)))</f>
        <v/>
      </c>
      <c r="N1770" s="38" t="str">
        <f aca="false">IF($A1770="","",IF($Q1770=0,"",INDEX(COA_Mapping!$E$7:$E$256,$Q1770)))</f>
        <v/>
      </c>
      <c r="O1770" s="38" t="n">
        <f aca="false">IF($A1770="",1,IF($Q1770=0,1,INDEX(COA_Mapping!$F$7:$F$256,$Q1770)))</f>
        <v>1</v>
      </c>
      <c r="P1770" s="34" t="str">
        <f aca="false">IF($A1770="","",$I1770*$O1770)</f>
        <v/>
      </c>
      <c r="Q1770" s="39" t="n">
        <f aca="false">IF($B1770="",0,IFERROR(MATCH($B1770,COA_Mapping!$A$7:$A$256,0),0))</f>
        <v>0</v>
      </c>
      <c r="R1770" s="39" t="n">
        <f aca="false">IF($A1770="",-1,IF($J1770=Setup!$B$7,1,IF($J1770=Setup!$B$9,0,-1)))</f>
        <v>-1</v>
      </c>
      <c r="S1770" s="35" t="n">
        <f aca="false">IF(OR($A1770="",$Q1770=0,$R1770=-1),0,$Q1770*1000+$R1770*100+$K1770)</f>
        <v>0</v>
      </c>
      <c r="T1770" s="37" t="str">
        <f aca="false">IF($A1770="","",IF($B1770="","NO ACCOUNT",IF($Q1770=0,"UNMAPPED",IF($R1770=-1,"OUTSIDE FY RANGE","OK"))))</f>
        <v/>
      </c>
      <c r="U1770" s="40" t="str">
        <f aca="false">IF($A1770="","",$B1770&amp;"|"&amp;TEXT($A1770,"yyyymmdd")&amp;"|"&amp;TEXT($I1770,"0.00"))</f>
        <v/>
      </c>
      <c r="V1770" s="35" t="str">
        <f aca="false">IF($A1770="","",COUNTIF($U$8:$U$5007,$U1770))</f>
        <v/>
      </c>
    </row>
    <row r="1771" customFormat="false" ht="15" hidden="false" customHeight="false" outlineLevel="0" collapsed="false">
      <c r="A1771" s="31"/>
      <c r="B1771" s="32"/>
      <c r="C1771" s="32"/>
      <c r="D1771" s="32"/>
      <c r="E1771" s="32"/>
      <c r="F1771" s="32"/>
      <c r="G1771" s="33"/>
      <c r="H1771" s="33"/>
      <c r="I1771" s="34" t="str">
        <f aca="false">IF($A1771="","",$G1771-$H1771)</f>
        <v/>
      </c>
      <c r="J1771" s="35" t="str">
        <f aca="false">IF($A1771="","",IF(Setup!$B$6=1,YEAR($A1771),YEAR($A1771)+IF(MONTH($A1771)&gt;=Setup!$B$6,1,0)))</f>
        <v/>
      </c>
      <c r="K1771" s="35" t="str">
        <f aca="false">IF($A1771="","",MOD(MONTH($A1771)-Setup!$B$6+12,12)+1)</f>
        <v/>
      </c>
      <c r="L1771" s="36" t="str">
        <f aca="false">IF($A1771="","",TEXT($A1771,"MMM-YY"))</f>
        <v/>
      </c>
      <c r="M1771" s="37" t="str">
        <f aca="false">IF($A1771="","",IF($Q1771=0,"UNMAPPED",INDEX(COA_Mapping!$C$7:$C$256,$Q1771)))</f>
        <v/>
      </c>
      <c r="N1771" s="38" t="str">
        <f aca="false">IF($A1771="","",IF($Q1771=0,"",INDEX(COA_Mapping!$E$7:$E$256,$Q1771)))</f>
        <v/>
      </c>
      <c r="O1771" s="38" t="n">
        <f aca="false">IF($A1771="",1,IF($Q1771=0,1,INDEX(COA_Mapping!$F$7:$F$256,$Q1771)))</f>
        <v>1</v>
      </c>
      <c r="P1771" s="34" t="str">
        <f aca="false">IF($A1771="","",$I1771*$O1771)</f>
        <v/>
      </c>
      <c r="Q1771" s="39" t="n">
        <f aca="false">IF($B1771="",0,IFERROR(MATCH($B1771,COA_Mapping!$A$7:$A$256,0),0))</f>
        <v>0</v>
      </c>
      <c r="R1771" s="39" t="n">
        <f aca="false">IF($A1771="",-1,IF($J1771=Setup!$B$7,1,IF($J1771=Setup!$B$9,0,-1)))</f>
        <v>-1</v>
      </c>
      <c r="S1771" s="35" t="n">
        <f aca="false">IF(OR($A1771="",$Q1771=0,$R1771=-1),0,$Q1771*1000+$R1771*100+$K1771)</f>
        <v>0</v>
      </c>
      <c r="T1771" s="37" t="str">
        <f aca="false">IF($A1771="","",IF($B1771="","NO ACCOUNT",IF($Q1771=0,"UNMAPPED",IF($R1771=-1,"OUTSIDE FY RANGE","OK"))))</f>
        <v/>
      </c>
      <c r="U1771" s="40" t="str">
        <f aca="false">IF($A1771="","",$B1771&amp;"|"&amp;TEXT($A1771,"yyyymmdd")&amp;"|"&amp;TEXT($I1771,"0.00"))</f>
        <v/>
      </c>
      <c r="V1771" s="35" t="str">
        <f aca="false">IF($A1771="","",COUNTIF($U$8:$U$5007,$U1771))</f>
        <v/>
      </c>
    </row>
    <row r="1772" customFormat="false" ht="15" hidden="false" customHeight="false" outlineLevel="0" collapsed="false">
      <c r="A1772" s="31"/>
      <c r="B1772" s="32"/>
      <c r="C1772" s="32"/>
      <c r="D1772" s="32"/>
      <c r="E1772" s="32"/>
      <c r="F1772" s="32"/>
      <c r="G1772" s="33"/>
      <c r="H1772" s="33"/>
      <c r="I1772" s="34" t="str">
        <f aca="false">IF($A1772="","",$G1772-$H1772)</f>
        <v/>
      </c>
      <c r="J1772" s="35" t="str">
        <f aca="false">IF($A1772="","",IF(Setup!$B$6=1,YEAR($A1772),YEAR($A1772)+IF(MONTH($A1772)&gt;=Setup!$B$6,1,0)))</f>
        <v/>
      </c>
      <c r="K1772" s="35" t="str">
        <f aca="false">IF($A1772="","",MOD(MONTH($A1772)-Setup!$B$6+12,12)+1)</f>
        <v/>
      </c>
      <c r="L1772" s="36" t="str">
        <f aca="false">IF($A1772="","",TEXT($A1772,"MMM-YY"))</f>
        <v/>
      </c>
      <c r="M1772" s="37" t="str">
        <f aca="false">IF($A1772="","",IF($Q1772=0,"UNMAPPED",INDEX(COA_Mapping!$C$7:$C$256,$Q1772)))</f>
        <v/>
      </c>
      <c r="N1772" s="38" t="str">
        <f aca="false">IF($A1772="","",IF($Q1772=0,"",INDEX(COA_Mapping!$E$7:$E$256,$Q1772)))</f>
        <v/>
      </c>
      <c r="O1772" s="38" t="n">
        <f aca="false">IF($A1772="",1,IF($Q1772=0,1,INDEX(COA_Mapping!$F$7:$F$256,$Q1772)))</f>
        <v>1</v>
      </c>
      <c r="P1772" s="34" t="str">
        <f aca="false">IF($A1772="","",$I1772*$O1772)</f>
        <v/>
      </c>
      <c r="Q1772" s="39" t="n">
        <f aca="false">IF($B1772="",0,IFERROR(MATCH($B1772,COA_Mapping!$A$7:$A$256,0),0))</f>
        <v>0</v>
      </c>
      <c r="R1772" s="39" t="n">
        <f aca="false">IF($A1772="",-1,IF($J1772=Setup!$B$7,1,IF($J1772=Setup!$B$9,0,-1)))</f>
        <v>-1</v>
      </c>
      <c r="S1772" s="35" t="n">
        <f aca="false">IF(OR($A1772="",$Q1772=0,$R1772=-1),0,$Q1772*1000+$R1772*100+$K1772)</f>
        <v>0</v>
      </c>
      <c r="T1772" s="37" t="str">
        <f aca="false">IF($A1772="","",IF($B1772="","NO ACCOUNT",IF($Q1772=0,"UNMAPPED",IF($R1772=-1,"OUTSIDE FY RANGE","OK"))))</f>
        <v/>
      </c>
      <c r="U1772" s="40" t="str">
        <f aca="false">IF($A1772="","",$B1772&amp;"|"&amp;TEXT($A1772,"yyyymmdd")&amp;"|"&amp;TEXT($I1772,"0.00"))</f>
        <v/>
      </c>
      <c r="V1772" s="35" t="str">
        <f aca="false">IF($A1772="","",COUNTIF($U$8:$U$5007,$U1772))</f>
        <v/>
      </c>
    </row>
    <row r="1773" customFormat="false" ht="15" hidden="false" customHeight="false" outlineLevel="0" collapsed="false">
      <c r="A1773" s="31"/>
      <c r="B1773" s="32"/>
      <c r="C1773" s="32"/>
      <c r="D1773" s="32"/>
      <c r="E1773" s="32"/>
      <c r="F1773" s="32"/>
      <c r="G1773" s="33"/>
      <c r="H1773" s="33"/>
      <c r="I1773" s="34" t="str">
        <f aca="false">IF($A1773="","",$G1773-$H1773)</f>
        <v/>
      </c>
      <c r="J1773" s="35" t="str">
        <f aca="false">IF($A1773="","",IF(Setup!$B$6=1,YEAR($A1773),YEAR($A1773)+IF(MONTH($A1773)&gt;=Setup!$B$6,1,0)))</f>
        <v/>
      </c>
      <c r="K1773" s="35" t="str">
        <f aca="false">IF($A1773="","",MOD(MONTH($A1773)-Setup!$B$6+12,12)+1)</f>
        <v/>
      </c>
      <c r="L1773" s="36" t="str">
        <f aca="false">IF($A1773="","",TEXT($A1773,"MMM-YY"))</f>
        <v/>
      </c>
      <c r="M1773" s="37" t="str">
        <f aca="false">IF($A1773="","",IF($Q1773=0,"UNMAPPED",INDEX(COA_Mapping!$C$7:$C$256,$Q1773)))</f>
        <v/>
      </c>
      <c r="N1773" s="38" t="str">
        <f aca="false">IF($A1773="","",IF($Q1773=0,"",INDEX(COA_Mapping!$E$7:$E$256,$Q1773)))</f>
        <v/>
      </c>
      <c r="O1773" s="38" t="n">
        <f aca="false">IF($A1773="",1,IF($Q1773=0,1,INDEX(COA_Mapping!$F$7:$F$256,$Q1773)))</f>
        <v>1</v>
      </c>
      <c r="P1773" s="34" t="str">
        <f aca="false">IF($A1773="","",$I1773*$O1773)</f>
        <v/>
      </c>
      <c r="Q1773" s="39" t="n">
        <f aca="false">IF($B1773="",0,IFERROR(MATCH($B1773,COA_Mapping!$A$7:$A$256,0),0))</f>
        <v>0</v>
      </c>
      <c r="R1773" s="39" t="n">
        <f aca="false">IF($A1773="",-1,IF($J1773=Setup!$B$7,1,IF($J1773=Setup!$B$9,0,-1)))</f>
        <v>-1</v>
      </c>
      <c r="S1773" s="35" t="n">
        <f aca="false">IF(OR($A1773="",$Q1773=0,$R1773=-1),0,$Q1773*1000+$R1773*100+$K1773)</f>
        <v>0</v>
      </c>
      <c r="T1773" s="37" t="str">
        <f aca="false">IF($A1773="","",IF($B1773="","NO ACCOUNT",IF($Q1773=0,"UNMAPPED",IF($R1773=-1,"OUTSIDE FY RANGE","OK"))))</f>
        <v/>
      </c>
      <c r="U1773" s="40" t="str">
        <f aca="false">IF($A1773="","",$B1773&amp;"|"&amp;TEXT($A1773,"yyyymmdd")&amp;"|"&amp;TEXT($I1773,"0.00"))</f>
        <v/>
      </c>
      <c r="V1773" s="35" t="str">
        <f aca="false">IF($A1773="","",COUNTIF($U$8:$U$5007,$U1773))</f>
        <v/>
      </c>
    </row>
    <row r="1774" customFormat="false" ht="15" hidden="false" customHeight="false" outlineLevel="0" collapsed="false">
      <c r="A1774" s="31"/>
      <c r="B1774" s="32"/>
      <c r="C1774" s="32"/>
      <c r="D1774" s="32"/>
      <c r="E1774" s="32"/>
      <c r="F1774" s="32"/>
      <c r="G1774" s="33"/>
      <c r="H1774" s="33"/>
      <c r="I1774" s="34" t="str">
        <f aca="false">IF($A1774="","",$G1774-$H1774)</f>
        <v/>
      </c>
      <c r="J1774" s="35" t="str">
        <f aca="false">IF($A1774="","",IF(Setup!$B$6=1,YEAR($A1774),YEAR($A1774)+IF(MONTH($A1774)&gt;=Setup!$B$6,1,0)))</f>
        <v/>
      </c>
      <c r="K1774" s="35" t="str">
        <f aca="false">IF($A1774="","",MOD(MONTH($A1774)-Setup!$B$6+12,12)+1)</f>
        <v/>
      </c>
      <c r="L1774" s="36" t="str">
        <f aca="false">IF($A1774="","",TEXT($A1774,"MMM-YY"))</f>
        <v/>
      </c>
      <c r="M1774" s="37" t="str">
        <f aca="false">IF($A1774="","",IF($Q1774=0,"UNMAPPED",INDEX(COA_Mapping!$C$7:$C$256,$Q1774)))</f>
        <v/>
      </c>
      <c r="N1774" s="38" t="str">
        <f aca="false">IF($A1774="","",IF($Q1774=0,"",INDEX(COA_Mapping!$E$7:$E$256,$Q1774)))</f>
        <v/>
      </c>
      <c r="O1774" s="38" t="n">
        <f aca="false">IF($A1774="",1,IF($Q1774=0,1,INDEX(COA_Mapping!$F$7:$F$256,$Q1774)))</f>
        <v>1</v>
      </c>
      <c r="P1774" s="34" t="str">
        <f aca="false">IF($A1774="","",$I1774*$O1774)</f>
        <v/>
      </c>
      <c r="Q1774" s="39" t="n">
        <f aca="false">IF($B1774="",0,IFERROR(MATCH($B1774,COA_Mapping!$A$7:$A$256,0),0))</f>
        <v>0</v>
      </c>
      <c r="R1774" s="39" t="n">
        <f aca="false">IF($A1774="",-1,IF($J1774=Setup!$B$7,1,IF($J1774=Setup!$B$9,0,-1)))</f>
        <v>-1</v>
      </c>
      <c r="S1774" s="35" t="n">
        <f aca="false">IF(OR($A1774="",$Q1774=0,$R1774=-1),0,$Q1774*1000+$R1774*100+$K1774)</f>
        <v>0</v>
      </c>
      <c r="T1774" s="37" t="str">
        <f aca="false">IF($A1774="","",IF($B1774="","NO ACCOUNT",IF($Q1774=0,"UNMAPPED",IF($R1774=-1,"OUTSIDE FY RANGE","OK"))))</f>
        <v/>
      </c>
      <c r="U1774" s="40" t="str">
        <f aca="false">IF($A1774="","",$B1774&amp;"|"&amp;TEXT($A1774,"yyyymmdd")&amp;"|"&amp;TEXT($I1774,"0.00"))</f>
        <v/>
      </c>
      <c r="V1774" s="35" t="str">
        <f aca="false">IF($A1774="","",COUNTIF($U$8:$U$5007,$U1774))</f>
        <v/>
      </c>
    </row>
    <row r="1775" customFormat="false" ht="15" hidden="false" customHeight="false" outlineLevel="0" collapsed="false">
      <c r="A1775" s="31"/>
      <c r="B1775" s="32"/>
      <c r="C1775" s="32"/>
      <c r="D1775" s="32"/>
      <c r="E1775" s="32"/>
      <c r="F1775" s="32"/>
      <c r="G1775" s="33"/>
      <c r="H1775" s="33"/>
      <c r="I1775" s="34" t="str">
        <f aca="false">IF($A1775="","",$G1775-$H1775)</f>
        <v/>
      </c>
      <c r="J1775" s="35" t="str">
        <f aca="false">IF($A1775="","",IF(Setup!$B$6=1,YEAR($A1775),YEAR($A1775)+IF(MONTH($A1775)&gt;=Setup!$B$6,1,0)))</f>
        <v/>
      </c>
      <c r="K1775" s="35" t="str">
        <f aca="false">IF($A1775="","",MOD(MONTH($A1775)-Setup!$B$6+12,12)+1)</f>
        <v/>
      </c>
      <c r="L1775" s="36" t="str">
        <f aca="false">IF($A1775="","",TEXT($A1775,"MMM-YY"))</f>
        <v/>
      </c>
      <c r="M1775" s="37" t="str">
        <f aca="false">IF($A1775="","",IF($Q1775=0,"UNMAPPED",INDEX(COA_Mapping!$C$7:$C$256,$Q1775)))</f>
        <v/>
      </c>
      <c r="N1775" s="38" t="str">
        <f aca="false">IF($A1775="","",IF($Q1775=0,"",INDEX(COA_Mapping!$E$7:$E$256,$Q1775)))</f>
        <v/>
      </c>
      <c r="O1775" s="38" t="n">
        <f aca="false">IF($A1775="",1,IF($Q1775=0,1,INDEX(COA_Mapping!$F$7:$F$256,$Q1775)))</f>
        <v>1</v>
      </c>
      <c r="P1775" s="34" t="str">
        <f aca="false">IF($A1775="","",$I1775*$O1775)</f>
        <v/>
      </c>
      <c r="Q1775" s="39" t="n">
        <f aca="false">IF($B1775="",0,IFERROR(MATCH($B1775,COA_Mapping!$A$7:$A$256,0),0))</f>
        <v>0</v>
      </c>
      <c r="R1775" s="39" t="n">
        <f aca="false">IF($A1775="",-1,IF($J1775=Setup!$B$7,1,IF($J1775=Setup!$B$9,0,-1)))</f>
        <v>-1</v>
      </c>
      <c r="S1775" s="35" t="n">
        <f aca="false">IF(OR($A1775="",$Q1775=0,$R1775=-1),0,$Q1775*1000+$R1775*100+$K1775)</f>
        <v>0</v>
      </c>
      <c r="T1775" s="37" t="str">
        <f aca="false">IF($A1775="","",IF($B1775="","NO ACCOUNT",IF($Q1775=0,"UNMAPPED",IF($R1775=-1,"OUTSIDE FY RANGE","OK"))))</f>
        <v/>
      </c>
      <c r="U1775" s="40" t="str">
        <f aca="false">IF($A1775="","",$B1775&amp;"|"&amp;TEXT($A1775,"yyyymmdd")&amp;"|"&amp;TEXT($I1775,"0.00"))</f>
        <v/>
      </c>
      <c r="V1775" s="35" t="str">
        <f aca="false">IF($A1775="","",COUNTIF($U$8:$U$5007,$U1775))</f>
        <v/>
      </c>
    </row>
    <row r="1776" customFormat="false" ht="15" hidden="false" customHeight="false" outlineLevel="0" collapsed="false">
      <c r="A1776" s="31"/>
      <c r="B1776" s="32"/>
      <c r="C1776" s="32"/>
      <c r="D1776" s="32"/>
      <c r="E1776" s="32"/>
      <c r="F1776" s="32"/>
      <c r="G1776" s="33"/>
      <c r="H1776" s="33"/>
      <c r="I1776" s="34" t="str">
        <f aca="false">IF($A1776="","",$G1776-$H1776)</f>
        <v/>
      </c>
      <c r="J1776" s="35" t="str">
        <f aca="false">IF($A1776="","",IF(Setup!$B$6=1,YEAR($A1776),YEAR($A1776)+IF(MONTH($A1776)&gt;=Setup!$B$6,1,0)))</f>
        <v/>
      </c>
      <c r="K1776" s="35" t="str">
        <f aca="false">IF($A1776="","",MOD(MONTH($A1776)-Setup!$B$6+12,12)+1)</f>
        <v/>
      </c>
      <c r="L1776" s="36" t="str">
        <f aca="false">IF($A1776="","",TEXT($A1776,"MMM-YY"))</f>
        <v/>
      </c>
      <c r="M1776" s="37" t="str">
        <f aca="false">IF($A1776="","",IF($Q1776=0,"UNMAPPED",INDEX(COA_Mapping!$C$7:$C$256,$Q1776)))</f>
        <v/>
      </c>
      <c r="N1776" s="38" t="str">
        <f aca="false">IF($A1776="","",IF($Q1776=0,"",INDEX(COA_Mapping!$E$7:$E$256,$Q1776)))</f>
        <v/>
      </c>
      <c r="O1776" s="38" t="n">
        <f aca="false">IF($A1776="",1,IF($Q1776=0,1,INDEX(COA_Mapping!$F$7:$F$256,$Q1776)))</f>
        <v>1</v>
      </c>
      <c r="P1776" s="34" t="str">
        <f aca="false">IF($A1776="","",$I1776*$O1776)</f>
        <v/>
      </c>
      <c r="Q1776" s="39" t="n">
        <f aca="false">IF($B1776="",0,IFERROR(MATCH($B1776,COA_Mapping!$A$7:$A$256,0),0))</f>
        <v>0</v>
      </c>
      <c r="R1776" s="39" t="n">
        <f aca="false">IF($A1776="",-1,IF($J1776=Setup!$B$7,1,IF($J1776=Setup!$B$9,0,-1)))</f>
        <v>-1</v>
      </c>
      <c r="S1776" s="35" t="n">
        <f aca="false">IF(OR($A1776="",$Q1776=0,$R1776=-1),0,$Q1776*1000+$R1776*100+$K1776)</f>
        <v>0</v>
      </c>
      <c r="T1776" s="37" t="str">
        <f aca="false">IF($A1776="","",IF($B1776="","NO ACCOUNT",IF($Q1776=0,"UNMAPPED",IF($R1776=-1,"OUTSIDE FY RANGE","OK"))))</f>
        <v/>
      </c>
      <c r="U1776" s="40" t="str">
        <f aca="false">IF($A1776="","",$B1776&amp;"|"&amp;TEXT($A1776,"yyyymmdd")&amp;"|"&amp;TEXT($I1776,"0.00"))</f>
        <v/>
      </c>
      <c r="V1776" s="35" t="str">
        <f aca="false">IF($A1776="","",COUNTIF($U$8:$U$5007,$U1776))</f>
        <v/>
      </c>
    </row>
    <row r="1777" customFormat="false" ht="15" hidden="false" customHeight="false" outlineLevel="0" collapsed="false">
      <c r="A1777" s="31"/>
      <c r="B1777" s="32"/>
      <c r="C1777" s="32"/>
      <c r="D1777" s="32"/>
      <c r="E1777" s="32"/>
      <c r="F1777" s="32"/>
      <c r="G1777" s="33"/>
      <c r="H1777" s="33"/>
      <c r="I1777" s="34" t="str">
        <f aca="false">IF($A1777="","",$G1777-$H1777)</f>
        <v/>
      </c>
      <c r="J1777" s="35" t="str">
        <f aca="false">IF($A1777="","",IF(Setup!$B$6=1,YEAR($A1777),YEAR($A1777)+IF(MONTH($A1777)&gt;=Setup!$B$6,1,0)))</f>
        <v/>
      </c>
      <c r="K1777" s="35" t="str">
        <f aca="false">IF($A1777="","",MOD(MONTH($A1777)-Setup!$B$6+12,12)+1)</f>
        <v/>
      </c>
      <c r="L1777" s="36" t="str">
        <f aca="false">IF($A1777="","",TEXT($A1777,"MMM-YY"))</f>
        <v/>
      </c>
      <c r="M1777" s="37" t="str">
        <f aca="false">IF($A1777="","",IF($Q1777=0,"UNMAPPED",INDEX(COA_Mapping!$C$7:$C$256,$Q1777)))</f>
        <v/>
      </c>
      <c r="N1777" s="38" t="str">
        <f aca="false">IF($A1777="","",IF($Q1777=0,"",INDEX(COA_Mapping!$E$7:$E$256,$Q1777)))</f>
        <v/>
      </c>
      <c r="O1777" s="38" t="n">
        <f aca="false">IF($A1777="",1,IF($Q1777=0,1,INDEX(COA_Mapping!$F$7:$F$256,$Q1777)))</f>
        <v>1</v>
      </c>
      <c r="P1777" s="34" t="str">
        <f aca="false">IF($A1777="","",$I1777*$O1777)</f>
        <v/>
      </c>
      <c r="Q1777" s="39" t="n">
        <f aca="false">IF($B1777="",0,IFERROR(MATCH($B1777,COA_Mapping!$A$7:$A$256,0),0))</f>
        <v>0</v>
      </c>
      <c r="R1777" s="39" t="n">
        <f aca="false">IF($A1777="",-1,IF($J1777=Setup!$B$7,1,IF($J1777=Setup!$B$9,0,-1)))</f>
        <v>-1</v>
      </c>
      <c r="S1777" s="35" t="n">
        <f aca="false">IF(OR($A1777="",$Q1777=0,$R1777=-1),0,$Q1777*1000+$R1777*100+$K1777)</f>
        <v>0</v>
      </c>
      <c r="T1777" s="37" t="str">
        <f aca="false">IF($A1777="","",IF($B1777="","NO ACCOUNT",IF($Q1777=0,"UNMAPPED",IF($R1777=-1,"OUTSIDE FY RANGE","OK"))))</f>
        <v/>
      </c>
      <c r="U1777" s="40" t="str">
        <f aca="false">IF($A1777="","",$B1777&amp;"|"&amp;TEXT($A1777,"yyyymmdd")&amp;"|"&amp;TEXT($I1777,"0.00"))</f>
        <v/>
      </c>
      <c r="V1777" s="35" t="str">
        <f aca="false">IF($A1777="","",COUNTIF($U$8:$U$5007,$U1777))</f>
        <v/>
      </c>
    </row>
    <row r="1778" customFormat="false" ht="15" hidden="false" customHeight="false" outlineLevel="0" collapsed="false">
      <c r="A1778" s="31"/>
      <c r="B1778" s="32"/>
      <c r="C1778" s="32"/>
      <c r="D1778" s="32"/>
      <c r="E1778" s="32"/>
      <c r="F1778" s="32"/>
      <c r="G1778" s="33"/>
      <c r="H1778" s="33"/>
      <c r="I1778" s="34" t="str">
        <f aca="false">IF($A1778="","",$G1778-$H1778)</f>
        <v/>
      </c>
      <c r="J1778" s="35" t="str">
        <f aca="false">IF($A1778="","",IF(Setup!$B$6=1,YEAR($A1778),YEAR($A1778)+IF(MONTH($A1778)&gt;=Setup!$B$6,1,0)))</f>
        <v/>
      </c>
      <c r="K1778" s="35" t="str">
        <f aca="false">IF($A1778="","",MOD(MONTH($A1778)-Setup!$B$6+12,12)+1)</f>
        <v/>
      </c>
      <c r="L1778" s="36" t="str">
        <f aca="false">IF($A1778="","",TEXT($A1778,"MMM-YY"))</f>
        <v/>
      </c>
      <c r="M1778" s="37" t="str">
        <f aca="false">IF($A1778="","",IF($Q1778=0,"UNMAPPED",INDEX(COA_Mapping!$C$7:$C$256,$Q1778)))</f>
        <v/>
      </c>
      <c r="N1778" s="38" t="str">
        <f aca="false">IF($A1778="","",IF($Q1778=0,"",INDEX(COA_Mapping!$E$7:$E$256,$Q1778)))</f>
        <v/>
      </c>
      <c r="O1778" s="38" t="n">
        <f aca="false">IF($A1778="",1,IF($Q1778=0,1,INDEX(COA_Mapping!$F$7:$F$256,$Q1778)))</f>
        <v>1</v>
      </c>
      <c r="P1778" s="34" t="str">
        <f aca="false">IF($A1778="","",$I1778*$O1778)</f>
        <v/>
      </c>
      <c r="Q1778" s="39" t="n">
        <f aca="false">IF($B1778="",0,IFERROR(MATCH($B1778,COA_Mapping!$A$7:$A$256,0),0))</f>
        <v>0</v>
      </c>
      <c r="R1778" s="39" t="n">
        <f aca="false">IF($A1778="",-1,IF($J1778=Setup!$B$7,1,IF($J1778=Setup!$B$9,0,-1)))</f>
        <v>-1</v>
      </c>
      <c r="S1778" s="35" t="n">
        <f aca="false">IF(OR($A1778="",$Q1778=0,$R1778=-1),0,$Q1778*1000+$R1778*100+$K1778)</f>
        <v>0</v>
      </c>
      <c r="T1778" s="37" t="str">
        <f aca="false">IF($A1778="","",IF($B1778="","NO ACCOUNT",IF($Q1778=0,"UNMAPPED",IF($R1778=-1,"OUTSIDE FY RANGE","OK"))))</f>
        <v/>
      </c>
      <c r="U1778" s="40" t="str">
        <f aca="false">IF($A1778="","",$B1778&amp;"|"&amp;TEXT($A1778,"yyyymmdd")&amp;"|"&amp;TEXT($I1778,"0.00"))</f>
        <v/>
      </c>
      <c r="V1778" s="35" t="str">
        <f aca="false">IF($A1778="","",COUNTIF($U$8:$U$5007,$U1778))</f>
        <v/>
      </c>
    </row>
    <row r="1779" customFormat="false" ht="15" hidden="false" customHeight="false" outlineLevel="0" collapsed="false">
      <c r="A1779" s="31"/>
      <c r="B1779" s="32"/>
      <c r="C1779" s="32"/>
      <c r="D1779" s="32"/>
      <c r="E1779" s="32"/>
      <c r="F1779" s="32"/>
      <c r="G1779" s="33"/>
      <c r="H1779" s="33"/>
      <c r="I1779" s="34" t="str">
        <f aca="false">IF($A1779="","",$G1779-$H1779)</f>
        <v/>
      </c>
      <c r="J1779" s="35" t="str">
        <f aca="false">IF($A1779="","",IF(Setup!$B$6=1,YEAR($A1779),YEAR($A1779)+IF(MONTH($A1779)&gt;=Setup!$B$6,1,0)))</f>
        <v/>
      </c>
      <c r="K1779" s="35" t="str">
        <f aca="false">IF($A1779="","",MOD(MONTH($A1779)-Setup!$B$6+12,12)+1)</f>
        <v/>
      </c>
      <c r="L1779" s="36" t="str">
        <f aca="false">IF($A1779="","",TEXT($A1779,"MMM-YY"))</f>
        <v/>
      </c>
      <c r="M1779" s="37" t="str">
        <f aca="false">IF($A1779="","",IF($Q1779=0,"UNMAPPED",INDEX(COA_Mapping!$C$7:$C$256,$Q1779)))</f>
        <v/>
      </c>
      <c r="N1779" s="38" t="str">
        <f aca="false">IF($A1779="","",IF($Q1779=0,"",INDEX(COA_Mapping!$E$7:$E$256,$Q1779)))</f>
        <v/>
      </c>
      <c r="O1779" s="38" t="n">
        <f aca="false">IF($A1779="",1,IF($Q1779=0,1,INDEX(COA_Mapping!$F$7:$F$256,$Q1779)))</f>
        <v>1</v>
      </c>
      <c r="P1779" s="34" t="str">
        <f aca="false">IF($A1779="","",$I1779*$O1779)</f>
        <v/>
      </c>
      <c r="Q1779" s="39" t="n">
        <f aca="false">IF($B1779="",0,IFERROR(MATCH($B1779,COA_Mapping!$A$7:$A$256,0),0))</f>
        <v>0</v>
      </c>
      <c r="R1779" s="39" t="n">
        <f aca="false">IF($A1779="",-1,IF($J1779=Setup!$B$7,1,IF($J1779=Setup!$B$9,0,-1)))</f>
        <v>-1</v>
      </c>
      <c r="S1779" s="35" t="n">
        <f aca="false">IF(OR($A1779="",$Q1779=0,$R1779=-1),0,$Q1779*1000+$R1779*100+$K1779)</f>
        <v>0</v>
      </c>
      <c r="T1779" s="37" t="str">
        <f aca="false">IF($A1779="","",IF($B1779="","NO ACCOUNT",IF($Q1779=0,"UNMAPPED",IF($R1779=-1,"OUTSIDE FY RANGE","OK"))))</f>
        <v/>
      </c>
      <c r="U1779" s="40" t="str">
        <f aca="false">IF($A1779="","",$B1779&amp;"|"&amp;TEXT($A1779,"yyyymmdd")&amp;"|"&amp;TEXT($I1779,"0.00"))</f>
        <v/>
      </c>
      <c r="V1779" s="35" t="str">
        <f aca="false">IF($A1779="","",COUNTIF($U$8:$U$5007,$U1779))</f>
        <v/>
      </c>
    </row>
    <row r="1780" customFormat="false" ht="15" hidden="false" customHeight="false" outlineLevel="0" collapsed="false">
      <c r="A1780" s="31"/>
      <c r="B1780" s="32"/>
      <c r="C1780" s="32"/>
      <c r="D1780" s="32"/>
      <c r="E1780" s="32"/>
      <c r="F1780" s="32"/>
      <c r="G1780" s="33"/>
      <c r="H1780" s="33"/>
      <c r="I1780" s="34" t="str">
        <f aca="false">IF($A1780="","",$G1780-$H1780)</f>
        <v/>
      </c>
      <c r="J1780" s="35" t="str">
        <f aca="false">IF($A1780="","",IF(Setup!$B$6=1,YEAR($A1780),YEAR($A1780)+IF(MONTH($A1780)&gt;=Setup!$B$6,1,0)))</f>
        <v/>
      </c>
      <c r="K1780" s="35" t="str">
        <f aca="false">IF($A1780="","",MOD(MONTH($A1780)-Setup!$B$6+12,12)+1)</f>
        <v/>
      </c>
      <c r="L1780" s="36" t="str">
        <f aca="false">IF($A1780="","",TEXT($A1780,"MMM-YY"))</f>
        <v/>
      </c>
      <c r="M1780" s="37" t="str">
        <f aca="false">IF($A1780="","",IF($Q1780=0,"UNMAPPED",INDEX(COA_Mapping!$C$7:$C$256,$Q1780)))</f>
        <v/>
      </c>
      <c r="N1780" s="38" t="str">
        <f aca="false">IF($A1780="","",IF($Q1780=0,"",INDEX(COA_Mapping!$E$7:$E$256,$Q1780)))</f>
        <v/>
      </c>
      <c r="O1780" s="38" t="n">
        <f aca="false">IF($A1780="",1,IF($Q1780=0,1,INDEX(COA_Mapping!$F$7:$F$256,$Q1780)))</f>
        <v>1</v>
      </c>
      <c r="P1780" s="34" t="str">
        <f aca="false">IF($A1780="","",$I1780*$O1780)</f>
        <v/>
      </c>
      <c r="Q1780" s="39" t="n">
        <f aca="false">IF($B1780="",0,IFERROR(MATCH($B1780,COA_Mapping!$A$7:$A$256,0),0))</f>
        <v>0</v>
      </c>
      <c r="R1780" s="39" t="n">
        <f aca="false">IF($A1780="",-1,IF($J1780=Setup!$B$7,1,IF($J1780=Setup!$B$9,0,-1)))</f>
        <v>-1</v>
      </c>
      <c r="S1780" s="35" t="n">
        <f aca="false">IF(OR($A1780="",$Q1780=0,$R1780=-1),0,$Q1780*1000+$R1780*100+$K1780)</f>
        <v>0</v>
      </c>
      <c r="T1780" s="37" t="str">
        <f aca="false">IF($A1780="","",IF($B1780="","NO ACCOUNT",IF($Q1780=0,"UNMAPPED",IF($R1780=-1,"OUTSIDE FY RANGE","OK"))))</f>
        <v/>
      </c>
      <c r="U1780" s="40" t="str">
        <f aca="false">IF($A1780="","",$B1780&amp;"|"&amp;TEXT($A1780,"yyyymmdd")&amp;"|"&amp;TEXT($I1780,"0.00"))</f>
        <v/>
      </c>
      <c r="V1780" s="35" t="str">
        <f aca="false">IF($A1780="","",COUNTIF($U$8:$U$5007,$U1780))</f>
        <v/>
      </c>
    </row>
    <row r="1781" customFormat="false" ht="15" hidden="false" customHeight="false" outlineLevel="0" collapsed="false">
      <c r="A1781" s="31"/>
      <c r="B1781" s="32"/>
      <c r="C1781" s="32"/>
      <c r="D1781" s="32"/>
      <c r="E1781" s="32"/>
      <c r="F1781" s="32"/>
      <c r="G1781" s="33"/>
      <c r="H1781" s="33"/>
      <c r="I1781" s="34" t="str">
        <f aca="false">IF($A1781="","",$G1781-$H1781)</f>
        <v/>
      </c>
      <c r="J1781" s="35" t="str">
        <f aca="false">IF($A1781="","",IF(Setup!$B$6=1,YEAR($A1781),YEAR($A1781)+IF(MONTH($A1781)&gt;=Setup!$B$6,1,0)))</f>
        <v/>
      </c>
      <c r="K1781" s="35" t="str">
        <f aca="false">IF($A1781="","",MOD(MONTH($A1781)-Setup!$B$6+12,12)+1)</f>
        <v/>
      </c>
      <c r="L1781" s="36" t="str">
        <f aca="false">IF($A1781="","",TEXT($A1781,"MMM-YY"))</f>
        <v/>
      </c>
      <c r="M1781" s="37" t="str">
        <f aca="false">IF($A1781="","",IF($Q1781=0,"UNMAPPED",INDEX(COA_Mapping!$C$7:$C$256,$Q1781)))</f>
        <v/>
      </c>
      <c r="N1781" s="38" t="str">
        <f aca="false">IF($A1781="","",IF($Q1781=0,"",INDEX(COA_Mapping!$E$7:$E$256,$Q1781)))</f>
        <v/>
      </c>
      <c r="O1781" s="38" t="n">
        <f aca="false">IF($A1781="",1,IF($Q1781=0,1,INDEX(COA_Mapping!$F$7:$F$256,$Q1781)))</f>
        <v>1</v>
      </c>
      <c r="P1781" s="34" t="str">
        <f aca="false">IF($A1781="","",$I1781*$O1781)</f>
        <v/>
      </c>
      <c r="Q1781" s="39" t="n">
        <f aca="false">IF($B1781="",0,IFERROR(MATCH($B1781,COA_Mapping!$A$7:$A$256,0),0))</f>
        <v>0</v>
      </c>
      <c r="R1781" s="39" t="n">
        <f aca="false">IF($A1781="",-1,IF($J1781=Setup!$B$7,1,IF($J1781=Setup!$B$9,0,-1)))</f>
        <v>-1</v>
      </c>
      <c r="S1781" s="35" t="n">
        <f aca="false">IF(OR($A1781="",$Q1781=0,$R1781=-1),0,$Q1781*1000+$R1781*100+$K1781)</f>
        <v>0</v>
      </c>
      <c r="T1781" s="37" t="str">
        <f aca="false">IF($A1781="","",IF($B1781="","NO ACCOUNT",IF($Q1781=0,"UNMAPPED",IF($R1781=-1,"OUTSIDE FY RANGE","OK"))))</f>
        <v/>
      </c>
      <c r="U1781" s="40" t="str">
        <f aca="false">IF($A1781="","",$B1781&amp;"|"&amp;TEXT($A1781,"yyyymmdd")&amp;"|"&amp;TEXT($I1781,"0.00"))</f>
        <v/>
      </c>
      <c r="V1781" s="35" t="str">
        <f aca="false">IF($A1781="","",COUNTIF($U$8:$U$5007,$U1781))</f>
        <v/>
      </c>
    </row>
    <row r="1782" customFormat="false" ht="15" hidden="false" customHeight="false" outlineLevel="0" collapsed="false">
      <c r="A1782" s="31"/>
      <c r="B1782" s="32"/>
      <c r="C1782" s="32"/>
      <c r="D1782" s="32"/>
      <c r="E1782" s="32"/>
      <c r="F1782" s="32"/>
      <c r="G1782" s="33"/>
      <c r="H1782" s="33"/>
      <c r="I1782" s="34" t="str">
        <f aca="false">IF($A1782="","",$G1782-$H1782)</f>
        <v/>
      </c>
      <c r="J1782" s="35" t="str">
        <f aca="false">IF($A1782="","",IF(Setup!$B$6=1,YEAR($A1782),YEAR($A1782)+IF(MONTH($A1782)&gt;=Setup!$B$6,1,0)))</f>
        <v/>
      </c>
      <c r="K1782" s="35" t="str">
        <f aca="false">IF($A1782="","",MOD(MONTH($A1782)-Setup!$B$6+12,12)+1)</f>
        <v/>
      </c>
      <c r="L1782" s="36" t="str">
        <f aca="false">IF($A1782="","",TEXT($A1782,"MMM-YY"))</f>
        <v/>
      </c>
      <c r="M1782" s="37" t="str">
        <f aca="false">IF($A1782="","",IF($Q1782=0,"UNMAPPED",INDEX(COA_Mapping!$C$7:$C$256,$Q1782)))</f>
        <v/>
      </c>
      <c r="N1782" s="38" t="str">
        <f aca="false">IF($A1782="","",IF($Q1782=0,"",INDEX(COA_Mapping!$E$7:$E$256,$Q1782)))</f>
        <v/>
      </c>
      <c r="O1782" s="38" t="n">
        <f aca="false">IF($A1782="",1,IF($Q1782=0,1,INDEX(COA_Mapping!$F$7:$F$256,$Q1782)))</f>
        <v>1</v>
      </c>
      <c r="P1782" s="34" t="str">
        <f aca="false">IF($A1782="","",$I1782*$O1782)</f>
        <v/>
      </c>
      <c r="Q1782" s="39" t="n">
        <f aca="false">IF($B1782="",0,IFERROR(MATCH($B1782,COA_Mapping!$A$7:$A$256,0),0))</f>
        <v>0</v>
      </c>
      <c r="R1782" s="39" t="n">
        <f aca="false">IF($A1782="",-1,IF($J1782=Setup!$B$7,1,IF($J1782=Setup!$B$9,0,-1)))</f>
        <v>-1</v>
      </c>
      <c r="S1782" s="35" t="n">
        <f aca="false">IF(OR($A1782="",$Q1782=0,$R1782=-1),0,$Q1782*1000+$R1782*100+$K1782)</f>
        <v>0</v>
      </c>
      <c r="T1782" s="37" t="str">
        <f aca="false">IF($A1782="","",IF($B1782="","NO ACCOUNT",IF($Q1782=0,"UNMAPPED",IF($R1782=-1,"OUTSIDE FY RANGE","OK"))))</f>
        <v/>
      </c>
      <c r="U1782" s="40" t="str">
        <f aca="false">IF($A1782="","",$B1782&amp;"|"&amp;TEXT($A1782,"yyyymmdd")&amp;"|"&amp;TEXT($I1782,"0.00"))</f>
        <v/>
      </c>
      <c r="V1782" s="35" t="str">
        <f aca="false">IF($A1782="","",COUNTIF($U$8:$U$5007,$U1782))</f>
        <v/>
      </c>
    </row>
    <row r="1783" customFormat="false" ht="15" hidden="false" customHeight="false" outlineLevel="0" collapsed="false">
      <c r="A1783" s="31"/>
      <c r="B1783" s="32"/>
      <c r="C1783" s="32"/>
      <c r="D1783" s="32"/>
      <c r="E1783" s="32"/>
      <c r="F1783" s="32"/>
      <c r="G1783" s="33"/>
      <c r="H1783" s="33"/>
      <c r="I1783" s="34" t="str">
        <f aca="false">IF($A1783="","",$G1783-$H1783)</f>
        <v/>
      </c>
      <c r="J1783" s="35" t="str">
        <f aca="false">IF($A1783="","",IF(Setup!$B$6=1,YEAR($A1783),YEAR($A1783)+IF(MONTH($A1783)&gt;=Setup!$B$6,1,0)))</f>
        <v/>
      </c>
      <c r="K1783" s="35" t="str">
        <f aca="false">IF($A1783="","",MOD(MONTH($A1783)-Setup!$B$6+12,12)+1)</f>
        <v/>
      </c>
      <c r="L1783" s="36" t="str">
        <f aca="false">IF($A1783="","",TEXT($A1783,"MMM-YY"))</f>
        <v/>
      </c>
      <c r="M1783" s="37" t="str">
        <f aca="false">IF($A1783="","",IF($Q1783=0,"UNMAPPED",INDEX(COA_Mapping!$C$7:$C$256,$Q1783)))</f>
        <v/>
      </c>
      <c r="N1783" s="38" t="str">
        <f aca="false">IF($A1783="","",IF($Q1783=0,"",INDEX(COA_Mapping!$E$7:$E$256,$Q1783)))</f>
        <v/>
      </c>
      <c r="O1783" s="38" t="n">
        <f aca="false">IF($A1783="",1,IF($Q1783=0,1,INDEX(COA_Mapping!$F$7:$F$256,$Q1783)))</f>
        <v>1</v>
      </c>
      <c r="P1783" s="34" t="str">
        <f aca="false">IF($A1783="","",$I1783*$O1783)</f>
        <v/>
      </c>
      <c r="Q1783" s="39" t="n">
        <f aca="false">IF($B1783="",0,IFERROR(MATCH($B1783,COA_Mapping!$A$7:$A$256,0),0))</f>
        <v>0</v>
      </c>
      <c r="R1783" s="39" t="n">
        <f aca="false">IF($A1783="",-1,IF($J1783=Setup!$B$7,1,IF($J1783=Setup!$B$9,0,-1)))</f>
        <v>-1</v>
      </c>
      <c r="S1783" s="35" t="n">
        <f aca="false">IF(OR($A1783="",$Q1783=0,$R1783=-1),0,$Q1783*1000+$R1783*100+$K1783)</f>
        <v>0</v>
      </c>
      <c r="T1783" s="37" t="str">
        <f aca="false">IF($A1783="","",IF($B1783="","NO ACCOUNT",IF($Q1783=0,"UNMAPPED",IF($R1783=-1,"OUTSIDE FY RANGE","OK"))))</f>
        <v/>
      </c>
      <c r="U1783" s="40" t="str">
        <f aca="false">IF($A1783="","",$B1783&amp;"|"&amp;TEXT($A1783,"yyyymmdd")&amp;"|"&amp;TEXT($I1783,"0.00"))</f>
        <v/>
      </c>
      <c r="V1783" s="35" t="str">
        <f aca="false">IF($A1783="","",COUNTIF($U$8:$U$5007,$U1783))</f>
        <v/>
      </c>
    </row>
    <row r="1784" customFormat="false" ht="15" hidden="false" customHeight="false" outlineLevel="0" collapsed="false">
      <c r="A1784" s="31"/>
      <c r="B1784" s="32"/>
      <c r="C1784" s="32"/>
      <c r="D1784" s="32"/>
      <c r="E1784" s="32"/>
      <c r="F1784" s="32"/>
      <c r="G1784" s="33"/>
      <c r="H1784" s="33"/>
      <c r="I1784" s="34" t="str">
        <f aca="false">IF($A1784="","",$G1784-$H1784)</f>
        <v/>
      </c>
      <c r="J1784" s="35" t="str">
        <f aca="false">IF($A1784="","",IF(Setup!$B$6=1,YEAR($A1784),YEAR($A1784)+IF(MONTH($A1784)&gt;=Setup!$B$6,1,0)))</f>
        <v/>
      </c>
      <c r="K1784" s="35" t="str">
        <f aca="false">IF($A1784="","",MOD(MONTH($A1784)-Setup!$B$6+12,12)+1)</f>
        <v/>
      </c>
      <c r="L1784" s="36" t="str">
        <f aca="false">IF($A1784="","",TEXT($A1784,"MMM-YY"))</f>
        <v/>
      </c>
      <c r="M1784" s="37" t="str">
        <f aca="false">IF($A1784="","",IF($Q1784=0,"UNMAPPED",INDEX(COA_Mapping!$C$7:$C$256,$Q1784)))</f>
        <v/>
      </c>
      <c r="N1784" s="38" t="str">
        <f aca="false">IF($A1784="","",IF($Q1784=0,"",INDEX(COA_Mapping!$E$7:$E$256,$Q1784)))</f>
        <v/>
      </c>
      <c r="O1784" s="38" t="n">
        <f aca="false">IF($A1784="",1,IF($Q1784=0,1,INDEX(COA_Mapping!$F$7:$F$256,$Q1784)))</f>
        <v>1</v>
      </c>
      <c r="P1784" s="34" t="str">
        <f aca="false">IF($A1784="","",$I1784*$O1784)</f>
        <v/>
      </c>
      <c r="Q1784" s="39" t="n">
        <f aca="false">IF($B1784="",0,IFERROR(MATCH($B1784,COA_Mapping!$A$7:$A$256,0),0))</f>
        <v>0</v>
      </c>
      <c r="R1784" s="39" t="n">
        <f aca="false">IF($A1784="",-1,IF($J1784=Setup!$B$7,1,IF($J1784=Setup!$B$9,0,-1)))</f>
        <v>-1</v>
      </c>
      <c r="S1784" s="35" t="n">
        <f aca="false">IF(OR($A1784="",$Q1784=0,$R1784=-1),0,$Q1784*1000+$R1784*100+$K1784)</f>
        <v>0</v>
      </c>
      <c r="T1784" s="37" t="str">
        <f aca="false">IF($A1784="","",IF($B1784="","NO ACCOUNT",IF($Q1784=0,"UNMAPPED",IF($R1784=-1,"OUTSIDE FY RANGE","OK"))))</f>
        <v/>
      </c>
      <c r="U1784" s="40" t="str">
        <f aca="false">IF($A1784="","",$B1784&amp;"|"&amp;TEXT($A1784,"yyyymmdd")&amp;"|"&amp;TEXT($I1784,"0.00"))</f>
        <v/>
      </c>
      <c r="V1784" s="35" t="str">
        <f aca="false">IF($A1784="","",COUNTIF($U$8:$U$5007,$U1784))</f>
        <v/>
      </c>
    </row>
    <row r="1785" customFormat="false" ht="15" hidden="false" customHeight="false" outlineLevel="0" collapsed="false">
      <c r="A1785" s="31"/>
      <c r="B1785" s="32"/>
      <c r="C1785" s="32"/>
      <c r="D1785" s="32"/>
      <c r="E1785" s="32"/>
      <c r="F1785" s="32"/>
      <c r="G1785" s="33"/>
      <c r="H1785" s="33"/>
      <c r="I1785" s="34" t="str">
        <f aca="false">IF($A1785="","",$G1785-$H1785)</f>
        <v/>
      </c>
      <c r="J1785" s="35" t="str">
        <f aca="false">IF($A1785="","",IF(Setup!$B$6=1,YEAR($A1785),YEAR($A1785)+IF(MONTH($A1785)&gt;=Setup!$B$6,1,0)))</f>
        <v/>
      </c>
      <c r="K1785" s="35" t="str">
        <f aca="false">IF($A1785="","",MOD(MONTH($A1785)-Setup!$B$6+12,12)+1)</f>
        <v/>
      </c>
      <c r="L1785" s="36" t="str">
        <f aca="false">IF($A1785="","",TEXT($A1785,"MMM-YY"))</f>
        <v/>
      </c>
      <c r="M1785" s="37" t="str">
        <f aca="false">IF($A1785="","",IF($Q1785=0,"UNMAPPED",INDEX(COA_Mapping!$C$7:$C$256,$Q1785)))</f>
        <v/>
      </c>
      <c r="N1785" s="38" t="str">
        <f aca="false">IF($A1785="","",IF($Q1785=0,"",INDEX(COA_Mapping!$E$7:$E$256,$Q1785)))</f>
        <v/>
      </c>
      <c r="O1785" s="38" t="n">
        <f aca="false">IF($A1785="",1,IF($Q1785=0,1,INDEX(COA_Mapping!$F$7:$F$256,$Q1785)))</f>
        <v>1</v>
      </c>
      <c r="P1785" s="34" t="str">
        <f aca="false">IF($A1785="","",$I1785*$O1785)</f>
        <v/>
      </c>
      <c r="Q1785" s="39" t="n">
        <f aca="false">IF($B1785="",0,IFERROR(MATCH($B1785,COA_Mapping!$A$7:$A$256,0),0))</f>
        <v>0</v>
      </c>
      <c r="R1785" s="39" t="n">
        <f aca="false">IF($A1785="",-1,IF($J1785=Setup!$B$7,1,IF($J1785=Setup!$B$9,0,-1)))</f>
        <v>-1</v>
      </c>
      <c r="S1785" s="35" t="n">
        <f aca="false">IF(OR($A1785="",$Q1785=0,$R1785=-1),0,$Q1785*1000+$R1785*100+$K1785)</f>
        <v>0</v>
      </c>
      <c r="T1785" s="37" t="str">
        <f aca="false">IF($A1785="","",IF($B1785="","NO ACCOUNT",IF($Q1785=0,"UNMAPPED",IF($R1785=-1,"OUTSIDE FY RANGE","OK"))))</f>
        <v/>
      </c>
      <c r="U1785" s="40" t="str">
        <f aca="false">IF($A1785="","",$B1785&amp;"|"&amp;TEXT($A1785,"yyyymmdd")&amp;"|"&amp;TEXT($I1785,"0.00"))</f>
        <v/>
      </c>
      <c r="V1785" s="35" t="str">
        <f aca="false">IF($A1785="","",COUNTIF($U$8:$U$5007,$U1785))</f>
        <v/>
      </c>
    </row>
    <row r="1786" customFormat="false" ht="15" hidden="false" customHeight="false" outlineLevel="0" collapsed="false">
      <c r="A1786" s="31"/>
      <c r="B1786" s="32"/>
      <c r="C1786" s="32"/>
      <c r="D1786" s="32"/>
      <c r="E1786" s="32"/>
      <c r="F1786" s="32"/>
      <c r="G1786" s="33"/>
      <c r="H1786" s="33"/>
      <c r="I1786" s="34" t="str">
        <f aca="false">IF($A1786="","",$G1786-$H1786)</f>
        <v/>
      </c>
      <c r="J1786" s="35" t="str">
        <f aca="false">IF($A1786="","",IF(Setup!$B$6=1,YEAR($A1786),YEAR($A1786)+IF(MONTH($A1786)&gt;=Setup!$B$6,1,0)))</f>
        <v/>
      </c>
      <c r="K1786" s="35" t="str">
        <f aca="false">IF($A1786="","",MOD(MONTH($A1786)-Setup!$B$6+12,12)+1)</f>
        <v/>
      </c>
      <c r="L1786" s="36" t="str">
        <f aca="false">IF($A1786="","",TEXT($A1786,"MMM-YY"))</f>
        <v/>
      </c>
      <c r="M1786" s="37" t="str">
        <f aca="false">IF($A1786="","",IF($Q1786=0,"UNMAPPED",INDEX(COA_Mapping!$C$7:$C$256,$Q1786)))</f>
        <v/>
      </c>
      <c r="N1786" s="38" t="str">
        <f aca="false">IF($A1786="","",IF($Q1786=0,"",INDEX(COA_Mapping!$E$7:$E$256,$Q1786)))</f>
        <v/>
      </c>
      <c r="O1786" s="38" t="n">
        <f aca="false">IF($A1786="",1,IF($Q1786=0,1,INDEX(COA_Mapping!$F$7:$F$256,$Q1786)))</f>
        <v>1</v>
      </c>
      <c r="P1786" s="34" t="str">
        <f aca="false">IF($A1786="","",$I1786*$O1786)</f>
        <v/>
      </c>
      <c r="Q1786" s="39" t="n">
        <f aca="false">IF($B1786="",0,IFERROR(MATCH($B1786,COA_Mapping!$A$7:$A$256,0),0))</f>
        <v>0</v>
      </c>
      <c r="R1786" s="39" t="n">
        <f aca="false">IF($A1786="",-1,IF($J1786=Setup!$B$7,1,IF($J1786=Setup!$B$9,0,-1)))</f>
        <v>-1</v>
      </c>
      <c r="S1786" s="35" t="n">
        <f aca="false">IF(OR($A1786="",$Q1786=0,$R1786=-1),0,$Q1786*1000+$R1786*100+$K1786)</f>
        <v>0</v>
      </c>
      <c r="T1786" s="37" t="str">
        <f aca="false">IF($A1786="","",IF($B1786="","NO ACCOUNT",IF($Q1786=0,"UNMAPPED",IF($R1786=-1,"OUTSIDE FY RANGE","OK"))))</f>
        <v/>
      </c>
      <c r="U1786" s="40" t="str">
        <f aca="false">IF($A1786="","",$B1786&amp;"|"&amp;TEXT($A1786,"yyyymmdd")&amp;"|"&amp;TEXT($I1786,"0.00"))</f>
        <v/>
      </c>
      <c r="V1786" s="35" t="str">
        <f aca="false">IF($A1786="","",COUNTIF($U$8:$U$5007,$U1786))</f>
        <v/>
      </c>
    </row>
    <row r="1787" customFormat="false" ht="15" hidden="false" customHeight="false" outlineLevel="0" collapsed="false">
      <c r="A1787" s="31"/>
      <c r="B1787" s="32"/>
      <c r="C1787" s="32"/>
      <c r="D1787" s="32"/>
      <c r="E1787" s="32"/>
      <c r="F1787" s="32"/>
      <c r="G1787" s="33"/>
      <c r="H1787" s="33"/>
      <c r="I1787" s="34" t="str">
        <f aca="false">IF($A1787="","",$G1787-$H1787)</f>
        <v/>
      </c>
      <c r="J1787" s="35" t="str">
        <f aca="false">IF($A1787="","",IF(Setup!$B$6=1,YEAR($A1787),YEAR($A1787)+IF(MONTH($A1787)&gt;=Setup!$B$6,1,0)))</f>
        <v/>
      </c>
      <c r="K1787" s="35" t="str">
        <f aca="false">IF($A1787="","",MOD(MONTH($A1787)-Setup!$B$6+12,12)+1)</f>
        <v/>
      </c>
      <c r="L1787" s="36" t="str">
        <f aca="false">IF($A1787="","",TEXT($A1787,"MMM-YY"))</f>
        <v/>
      </c>
      <c r="M1787" s="37" t="str">
        <f aca="false">IF($A1787="","",IF($Q1787=0,"UNMAPPED",INDEX(COA_Mapping!$C$7:$C$256,$Q1787)))</f>
        <v/>
      </c>
      <c r="N1787" s="38" t="str">
        <f aca="false">IF($A1787="","",IF($Q1787=0,"",INDEX(COA_Mapping!$E$7:$E$256,$Q1787)))</f>
        <v/>
      </c>
      <c r="O1787" s="38" t="n">
        <f aca="false">IF($A1787="",1,IF($Q1787=0,1,INDEX(COA_Mapping!$F$7:$F$256,$Q1787)))</f>
        <v>1</v>
      </c>
      <c r="P1787" s="34" t="str">
        <f aca="false">IF($A1787="","",$I1787*$O1787)</f>
        <v/>
      </c>
      <c r="Q1787" s="39" t="n">
        <f aca="false">IF($B1787="",0,IFERROR(MATCH($B1787,COA_Mapping!$A$7:$A$256,0),0))</f>
        <v>0</v>
      </c>
      <c r="R1787" s="39" t="n">
        <f aca="false">IF($A1787="",-1,IF($J1787=Setup!$B$7,1,IF($J1787=Setup!$B$9,0,-1)))</f>
        <v>-1</v>
      </c>
      <c r="S1787" s="35" t="n">
        <f aca="false">IF(OR($A1787="",$Q1787=0,$R1787=-1),0,$Q1787*1000+$R1787*100+$K1787)</f>
        <v>0</v>
      </c>
      <c r="T1787" s="37" t="str">
        <f aca="false">IF($A1787="","",IF($B1787="","NO ACCOUNT",IF($Q1787=0,"UNMAPPED",IF($R1787=-1,"OUTSIDE FY RANGE","OK"))))</f>
        <v/>
      </c>
      <c r="U1787" s="40" t="str">
        <f aca="false">IF($A1787="","",$B1787&amp;"|"&amp;TEXT($A1787,"yyyymmdd")&amp;"|"&amp;TEXT($I1787,"0.00"))</f>
        <v/>
      </c>
      <c r="V1787" s="35" t="str">
        <f aca="false">IF($A1787="","",COUNTIF($U$8:$U$5007,$U1787))</f>
        <v/>
      </c>
    </row>
    <row r="1788" customFormat="false" ht="15" hidden="false" customHeight="false" outlineLevel="0" collapsed="false">
      <c r="A1788" s="31"/>
      <c r="B1788" s="32"/>
      <c r="C1788" s="32"/>
      <c r="D1788" s="32"/>
      <c r="E1788" s="32"/>
      <c r="F1788" s="32"/>
      <c r="G1788" s="33"/>
      <c r="H1788" s="33"/>
      <c r="I1788" s="34" t="str">
        <f aca="false">IF($A1788="","",$G1788-$H1788)</f>
        <v/>
      </c>
      <c r="J1788" s="35" t="str">
        <f aca="false">IF($A1788="","",IF(Setup!$B$6=1,YEAR($A1788),YEAR($A1788)+IF(MONTH($A1788)&gt;=Setup!$B$6,1,0)))</f>
        <v/>
      </c>
      <c r="K1788" s="35" t="str">
        <f aca="false">IF($A1788="","",MOD(MONTH($A1788)-Setup!$B$6+12,12)+1)</f>
        <v/>
      </c>
      <c r="L1788" s="36" t="str">
        <f aca="false">IF($A1788="","",TEXT($A1788,"MMM-YY"))</f>
        <v/>
      </c>
      <c r="M1788" s="37" t="str">
        <f aca="false">IF($A1788="","",IF($Q1788=0,"UNMAPPED",INDEX(COA_Mapping!$C$7:$C$256,$Q1788)))</f>
        <v/>
      </c>
      <c r="N1788" s="38" t="str">
        <f aca="false">IF($A1788="","",IF($Q1788=0,"",INDEX(COA_Mapping!$E$7:$E$256,$Q1788)))</f>
        <v/>
      </c>
      <c r="O1788" s="38" t="n">
        <f aca="false">IF($A1788="",1,IF($Q1788=0,1,INDEX(COA_Mapping!$F$7:$F$256,$Q1788)))</f>
        <v>1</v>
      </c>
      <c r="P1788" s="34" t="str">
        <f aca="false">IF($A1788="","",$I1788*$O1788)</f>
        <v/>
      </c>
      <c r="Q1788" s="39" t="n">
        <f aca="false">IF($B1788="",0,IFERROR(MATCH($B1788,COA_Mapping!$A$7:$A$256,0),0))</f>
        <v>0</v>
      </c>
      <c r="R1788" s="39" t="n">
        <f aca="false">IF($A1788="",-1,IF($J1788=Setup!$B$7,1,IF($J1788=Setup!$B$9,0,-1)))</f>
        <v>-1</v>
      </c>
      <c r="S1788" s="35" t="n">
        <f aca="false">IF(OR($A1788="",$Q1788=0,$R1788=-1),0,$Q1788*1000+$R1788*100+$K1788)</f>
        <v>0</v>
      </c>
      <c r="T1788" s="37" t="str">
        <f aca="false">IF($A1788="","",IF($B1788="","NO ACCOUNT",IF($Q1788=0,"UNMAPPED",IF($R1788=-1,"OUTSIDE FY RANGE","OK"))))</f>
        <v/>
      </c>
      <c r="U1788" s="40" t="str">
        <f aca="false">IF($A1788="","",$B1788&amp;"|"&amp;TEXT($A1788,"yyyymmdd")&amp;"|"&amp;TEXT($I1788,"0.00"))</f>
        <v/>
      </c>
      <c r="V1788" s="35" t="str">
        <f aca="false">IF($A1788="","",COUNTIF($U$8:$U$5007,$U1788))</f>
        <v/>
      </c>
    </row>
    <row r="1789" customFormat="false" ht="15" hidden="false" customHeight="false" outlineLevel="0" collapsed="false">
      <c r="A1789" s="31"/>
      <c r="B1789" s="32"/>
      <c r="C1789" s="32"/>
      <c r="D1789" s="32"/>
      <c r="E1789" s="32"/>
      <c r="F1789" s="32"/>
      <c r="G1789" s="33"/>
      <c r="H1789" s="33"/>
      <c r="I1789" s="34" t="str">
        <f aca="false">IF($A1789="","",$G1789-$H1789)</f>
        <v/>
      </c>
      <c r="J1789" s="35" t="str">
        <f aca="false">IF($A1789="","",IF(Setup!$B$6=1,YEAR($A1789),YEAR($A1789)+IF(MONTH($A1789)&gt;=Setup!$B$6,1,0)))</f>
        <v/>
      </c>
      <c r="K1789" s="35" t="str">
        <f aca="false">IF($A1789="","",MOD(MONTH($A1789)-Setup!$B$6+12,12)+1)</f>
        <v/>
      </c>
      <c r="L1789" s="36" t="str">
        <f aca="false">IF($A1789="","",TEXT($A1789,"MMM-YY"))</f>
        <v/>
      </c>
      <c r="M1789" s="37" t="str">
        <f aca="false">IF($A1789="","",IF($Q1789=0,"UNMAPPED",INDEX(COA_Mapping!$C$7:$C$256,$Q1789)))</f>
        <v/>
      </c>
      <c r="N1789" s="38" t="str">
        <f aca="false">IF($A1789="","",IF($Q1789=0,"",INDEX(COA_Mapping!$E$7:$E$256,$Q1789)))</f>
        <v/>
      </c>
      <c r="O1789" s="38" t="n">
        <f aca="false">IF($A1789="",1,IF($Q1789=0,1,INDEX(COA_Mapping!$F$7:$F$256,$Q1789)))</f>
        <v>1</v>
      </c>
      <c r="P1789" s="34" t="str">
        <f aca="false">IF($A1789="","",$I1789*$O1789)</f>
        <v/>
      </c>
      <c r="Q1789" s="39" t="n">
        <f aca="false">IF($B1789="",0,IFERROR(MATCH($B1789,COA_Mapping!$A$7:$A$256,0),0))</f>
        <v>0</v>
      </c>
      <c r="R1789" s="39" t="n">
        <f aca="false">IF($A1789="",-1,IF($J1789=Setup!$B$7,1,IF($J1789=Setup!$B$9,0,-1)))</f>
        <v>-1</v>
      </c>
      <c r="S1789" s="35" t="n">
        <f aca="false">IF(OR($A1789="",$Q1789=0,$R1789=-1),0,$Q1789*1000+$R1789*100+$K1789)</f>
        <v>0</v>
      </c>
      <c r="T1789" s="37" t="str">
        <f aca="false">IF($A1789="","",IF($B1789="","NO ACCOUNT",IF($Q1789=0,"UNMAPPED",IF($R1789=-1,"OUTSIDE FY RANGE","OK"))))</f>
        <v/>
      </c>
      <c r="U1789" s="40" t="str">
        <f aca="false">IF($A1789="","",$B1789&amp;"|"&amp;TEXT($A1789,"yyyymmdd")&amp;"|"&amp;TEXT($I1789,"0.00"))</f>
        <v/>
      </c>
      <c r="V1789" s="35" t="str">
        <f aca="false">IF($A1789="","",COUNTIF($U$8:$U$5007,$U1789))</f>
        <v/>
      </c>
    </row>
    <row r="1790" customFormat="false" ht="15" hidden="false" customHeight="false" outlineLevel="0" collapsed="false">
      <c r="A1790" s="31"/>
      <c r="B1790" s="32"/>
      <c r="C1790" s="32"/>
      <c r="D1790" s="32"/>
      <c r="E1790" s="32"/>
      <c r="F1790" s="32"/>
      <c r="G1790" s="33"/>
      <c r="H1790" s="33"/>
      <c r="I1790" s="34" t="str">
        <f aca="false">IF($A1790="","",$G1790-$H1790)</f>
        <v/>
      </c>
      <c r="J1790" s="35" t="str">
        <f aca="false">IF($A1790="","",IF(Setup!$B$6=1,YEAR($A1790),YEAR($A1790)+IF(MONTH($A1790)&gt;=Setup!$B$6,1,0)))</f>
        <v/>
      </c>
      <c r="K1790" s="35" t="str">
        <f aca="false">IF($A1790="","",MOD(MONTH($A1790)-Setup!$B$6+12,12)+1)</f>
        <v/>
      </c>
      <c r="L1790" s="36" t="str">
        <f aca="false">IF($A1790="","",TEXT($A1790,"MMM-YY"))</f>
        <v/>
      </c>
      <c r="M1790" s="37" t="str">
        <f aca="false">IF($A1790="","",IF($Q1790=0,"UNMAPPED",INDEX(COA_Mapping!$C$7:$C$256,$Q1790)))</f>
        <v/>
      </c>
      <c r="N1790" s="38" t="str">
        <f aca="false">IF($A1790="","",IF($Q1790=0,"",INDEX(COA_Mapping!$E$7:$E$256,$Q1790)))</f>
        <v/>
      </c>
      <c r="O1790" s="38" t="n">
        <f aca="false">IF($A1790="",1,IF($Q1790=0,1,INDEX(COA_Mapping!$F$7:$F$256,$Q1790)))</f>
        <v>1</v>
      </c>
      <c r="P1790" s="34" t="str">
        <f aca="false">IF($A1790="","",$I1790*$O1790)</f>
        <v/>
      </c>
      <c r="Q1790" s="39" t="n">
        <f aca="false">IF($B1790="",0,IFERROR(MATCH($B1790,COA_Mapping!$A$7:$A$256,0),0))</f>
        <v>0</v>
      </c>
      <c r="R1790" s="39" t="n">
        <f aca="false">IF($A1790="",-1,IF($J1790=Setup!$B$7,1,IF($J1790=Setup!$B$9,0,-1)))</f>
        <v>-1</v>
      </c>
      <c r="S1790" s="35" t="n">
        <f aca="false">IF(OR($A1790="",$Q1790=0,$R1790=-1),0,$Q1790*1000+$R1790*100+$K1790)</f>
        <v>0</v>
      </c>
      <c r="T1790" s="37" t="str">
        <f aca="false">IF($A1790="","",IF($B1790="","NO ACCOUNT",IF($Q1790=0,"UNMAPPED",IF($R1790=-1,"OUTSIDE FY RANGE","OK"))))</f>
        <v/>
      </c>
      <c r="U1790" s="40" t="str">
        <f aca="false">IF($A1790="","",$B1790&amp;"|"&amp;TEXT($A1790,"yyyymmdd")&amp;"|"&amp;TEXT($I1790,"0.00"))</f>
        <v/>
      </c>
      <c r="V1790" s="35" t="str">
        <f aca="false">IF($A1790="","",COUNTIF($U$8:$U$5007,$U1790))</f>
        <v/>
      </c>
    </row>
    <row r="1791" customFormat="false" ht="15" hidden="false" customHeight="false" outlineLevel="0" collapsed="false">
      <c r="A1791" s="31"/>
      <c r="B1791" s="32"/>
      <c r="C1791" s="32"/>
      <c r="D1791" s="32"/>
      <c r="E1791" s="32"/>
      <c r="F1791" s="32"/>
      <c r="G1791" s="33"/>
      <c r="H1791" s="33"/>
      <c r="I1791" s="34" t="str">
        <f aca="false">IF($A1791="","",$G1791-$H1791)</f>
        <v/>
      </c>
      <c r="J1791" s="35" t="str">
        <f aca="false">IF($A1791="","",IF(Setup!$B$6=1,YEAR($A1791),YEAR($A1791)+IF(MONTH($A1791)&gt;=Setup!$B$6,1,0)))</f>
        <v/>
      </c>
      <c r="K1791" s="35" t="str">
        <f aca="false">IF($A1791="","",MOD(MONTH($A1791)-Setup!$B$6+12,12)+1)</f>
        <v/>
      </c>
      <c r="L1791" s="36" t="str">
        <f aca="false">IF($A1791="","",TEXT($A1791,"MMM-YY"))</f>
        <v/>
      </c>
      <c r="M1791" s="37" t="str">
        <f aca="false">IF($A1791="","",IF($Q1791=0,"UNMAPPED",INDEX(COA_Mapping!$C$7:$C$256,$Q1791)))</f>
        <v/>
      </c>
      <c r="N1791" s="38" t="str">
        <f aca="false">IF($A1791="","",IF($Q1791=0,"",INDEX(COA_Mapping!$E$7:$E$256,$Q1791)))</f>
        <v/>
      </c>
      <c r="O1791" s="38" t="n">
        <f aca="false">IF($A1791="",1,IF($Q1791=0,1,INDEX(COA_Mapping!$F$7:$F$256,$Q1791)))</f>
        <v>1</v>
      </c>
      <c r="P1791" s="34" t="str">
        <f aca="false">IF($A1791="","",$I1791*$O1791)</f>
        <v/>
      </c>
      <c r="Q1791" s="39" t="n">
        <f aca="false">IF($B1791="",0,IFERROR(MATCH($B1791,COA_Mapping!$A$7:$A$256,0),0))</f>
        <v>0</v>
      </c>
      <c r="R1791" s="39" t="n">
        <f aca="false">IF($A1791="",-1,IF($J1791=Setup!$B$7,1,IF($J1791=Setup!$B$9,0,-1)))</f>
        <v>-1</v>
      </c>
      <c r="S1791" s="35" t="n">
        <f aca="false">IF(OR($A1791="",$Q1791=0,$R1791=-1),0,$Q1791*1000+$R1791*100+$K1791)</f>
        <v>0</v>
      </c>
      <c r="T1791" s="37" t="str">
        <f aca="false">IF($A1791="","",IF($B1791="","NO ACCOUNT",IF($Q1791=0,"UNMAPPED",IF($R1791=-1,"OUTSIDE FY RANGE","OK"))))</f>
        <v/>
      </c>
      <c r="U1791" s="40" t="str">
        <f aca="false">IF($A1791="","",$B1791&amp;"|"&amp;TEXT($A1791,"yyyymmdd")&amp;"|"&amp;TEXT($I1791,"0.00"))</f>
        <v/>
      </c>
      <c r="V1791" s="35" t="str">
        <f aca="false">IF($A1791="","",COUNTIF($U$8:$U$5007,$U1791))</f>
        <v/>
      </c>
    </row>
    <row r="1792" customFormat="false" ht="15" hidden="false" customHeight="false" outlineLevel="0" collapsed="false">
      <c r="A1792" s="31"/>
      <c r="B1792" s="32"/>
      <c r="C1792" s="32"/>
      <c r="D1792" s="32"/>
      <c r="E1792" s="32"/>
      <c r="F1792" s="32"/>
      <c r="G1792" s="33"/>
      <c r="H1792" s="33"/>
      <c r="I1792" s="34" t="str">
        <f aca="false">IF($A1792="","",$G1792-$H1792)</f>
        <v/>
      </c>
      <c r="J1792" s="35" t="str">
        <f aca="false">IF($A1792="","",IF(Setup!$B$6=1,YEAR($A1792),YEAR($A1792)+IF(MONTH($A1792)&gt;=Setup!$B$6,1,0)))</f>
        <v/>
      </c>
      <c r="K1792" s="35" t="str">
        <f aca="false">IF($A1792="","",MOD(MONTH($A1792)-Setup!$B$6+12,12)+1)</f>
        <v/>
      </c>
      <c r="L1792" s="36" t="str">
        <f aca="false">IF($A1792="","",TEXT($A1792,"MMM-YY"))</f>
        <v/>
      </c>
      <c r="M1792" s="37" t="str">
        <f aca="false">IF($A1792="","",IF($Q1792=0,"UNMAPPED",INDEX(COA_Mapping!$C$7:$C$256,$Q1792)))</f>
        <v/>
      </c>
      <c r="N1792" s="38" t="str">
        <f aca="false">IF($A1792="","",IF($Q1792=0,"",INDEX(COA_Mapping!$E$7:$E$256,$Q1792)))</f>
        <v/>
      </c>
      <c r="O1792" s="38" t="n">
        <f aca="false">IF($A1792="",1,IF($Q1792=0,1,INDEX(COA_Mapping!$F$7:$F$256,$Q1792)))</f>
        <v>1</v>
      </c>
      <c r="P1792" s="34" t="str">
        <f aca="false">IF($A1792="","",$I1792*$O1792)</f>
        <v/>
      </c>
      <c r="Q1792" s="39" t="n">
        <f aca="false">IF($B1792="",0,IFERROR(MATCH($B1792,COA_Mapping!$A$7:$A$256,0),0))</f>
        <v>0</v>
      </c>
      <c r="R1792" s="39" t="n">
        <f aca="false">IF($A1792="",-1,IF($J1792=Setup!$B$7,1,IF($J1792=Setup!$B$9,0,-1)))</f>
        <v>-1</v>
      </c>
      <c r="S1792" s="35" t="n">
        <f aca="false">IF(OR($A1792="",$Q1792=0,$R1792=-1),0,$Q1792*1000+$R1792*100+$K1792)</f>
        <v>0</v>
      </c>
      <c r="T1792" s="37" t="str">
        <f aca="false">IF($A1792="","",IF($B1792="","NO ACCOUNT",IF($Q1792=0,"UNMAPPED",IF($R1792=-1,"OUTSIDE FY RANGE","OK"))))</f>
        <v/>
      </c>
      <c r="U1792" s="40" t="str">
        <f aca="false">IF($A1792="","",$B1792&amp;"|"&amp;TEXT($A1792,"yyyymmdd")&amp;"|"&amp;TEXT($I1792,"0.00"))</f>
        <v/>
      </c>
      <c r="V1792" s="35" t="str">
        <f aca="false">IF($A1792="","",COUNTIF($U$8:$U$5007,$U1792))</f>
        <v/>
      </c>
    </row>
    <row r="1793" customFormat="false" ht="15" hidden="false" customHeight="false" outlineLevel="0" collapsed="false">
      <c r="A1793" s="31"/>
      <c r="B1793" s="32"/>
      <c r="C1793" s="32"/>
      <c r="D1793" s="32"/>
      <c r="E1793" s="32"/>
      <c r="F1793" s="32"/>
      <c r="G1793" s="33"/>
      <c r="H1793" s="33"/>
      <c r="I1793" s="34" t="str">
        <f aca="false">IF($A1793="","",$G1793-$H1793)</f>
        <v/>
      </c>
      <c r="J1793" s="35" t="str">
        <f aca="false">IF($A1793="","",IF(Setup!$B$6=1,YEAR($A1793),YEAR($A1793)+IF(MONTH($A1793)&gt;=Setup!$B$6,1,0)))</f>
        <v/>
      </c>
      <c r="K1793" s="35" t="str">
        <f aca="false">IF($A1793="","",MOD(MONTH($A1793)-Setup!$B$6+12,12)+1)</f>
        <v/>
      </c>
      <c r="L1793" s="36" t="str">
        <f aca="false">IF($A1793="","",TEXT($A1793,"MMM-YY"))</f>
        <v/>
      </c>
      <c r="M1793" s="37" t="str">
        <f aca="false">IF($A1793="","",IF($Q1793=0,"UNMAPPED",INDEX(COA_Mapping!$C$7:$C$256,$Q1793)))</f>
        <v/>
      </c>
      <c r="N1793" s="38" t="str">
        <f aca="false">IF($A1793="","",IF($Q1793=0,"",INDEX(COA_Mapping!$E$7:$E$256,$Q1793)))</f>
        <v/>
      </c>
      <c r="O1793" s="38" t="n">
        <f aca="false">IF($A1793="",1,IF($Q1793=0,1,INDEX(COA_Mapping!$F$7:$F$256,$Q1793)))</f>
        <v>1</v>
      </c>
      <c r="P1793" s="34" t="str">
        <f aca="false">IF($A1793="","",$I1793*$O1793)</f>
        <v/>
      </c>
      <c r="Q1793" s="39" t="n">
        <f aca="false">IF($B1793="",0,IFERROR(MATCH($B1793,COA_Mapping!$A$7:$A$256,0),0))</f>
        <v>0</v>
      </c>
      <c r="R1793" s="39" t="n">
        <f aca="false">IF($A1793="",-1,IF($J1793=Setup!$B$7,1,IF($J1793=Setup!$B$9,0,-1)))</f>
        <v>-1</v>
      </c>
      <c r="S1793" s="35" t="n">
        <f aca="false">IF(OR($A1793="",$Q1793=0,$R1793=-1),0,$Q1793*1000+$R1793*100+$K1793)</f>
        <v>0</v>
      </c>
      <c r="T1793" s="37" t="str">
        <f aca="false">IF($A1793="","",IF($B1793="","NO ACCOUNT",IF($Q1793=0,"UNMAPPED",IF($R1793=-1,"OUTSIDE FY RANGE","OK"))))</f>
        <v/>
      </c>
      <c r="U1793" s="40" t="str">
        <f aca="false">IF($A1793="","",$B1793&amp;"|"&amp;TEXT($A1793,"yyyymmdd")&amp;"|"&amp;TEXT($I1793,"0.00"))</f>
        <v/>
      </c>
      <c r="V1793" s="35" t="str">
        <f aca="false">IF($A1793="","",COUNTIF($U$8:$U$5007,$U1793))</f>
        <v/>
      </c>
    </row>
    <row r="1794" customFormat="false" ht="15" hidden="false" customHeight="false" outlineLevel="0" collapsed="false">
      <c r="A1794" s="31"/>
      <c r="B1794" s="32"/>
      <c r="C1794" s="32"/>
      <c r="D1794" s="32"/>
      <c r="E1794" s="32"/>
      <c r="F1794" s="32"/>
      <c r="G1794" s="33"/>
      <c r="H1794" s="33"/>
      <c r="I1794" s="34" t="str">
        <f aca="false">IF($A1794="","",$G1794-$H1794)</f>
        <v/>
      </c>
      <c r="J1794" s="35" t="str">
        <f aca="false">IF($A1794="","",IF(Setup!$B$6=1,YEAR($A1794),YEAR($A1794)+IF(MONTH($A1794)&gt;=Setup!$B$6,1,0)))</f>
        <v/>
      </c>
      <c r="K1794" s="35" t="str">
        <f aca="false">IF($A1794="","",MOD(MONTH($A1794)-Setup!$B$6+12,12)+1)</f>
        <v/>
      </c>
      <c r="L1794" s="36" t="str">
        <f aca="false">IF($A1794="","",TEXT($A1794,"MMM-YY"))</f>
        <v/>
      </c>
      <c r="M1794" s="37" t="str">
        <f aca="false">IF($A1794="","",IF($Q1794=0,"UNMAPPED",INDEX(COA_Mapping!$C$7:$C$256,$Q1794)))</f>
        <v/>
      </c>
      <c r="N1794" s="38" t="str">
        <f aca="false">IF($A1794="","",IF($Q1794=0,"",INDEX(COA_Mapping!$E$7:$E$256,$Q1794)))</f>
        <v/>
      </c>
      <c r="O1794" s="38" t="n">
        <f aca="false">IF($A1794="",1,IF($Q1794=0,1,INDEX(COA_Mapping!$F$7:$F$256,$Q1794)))</f>
        <v>1</v>
      </c>
      <c r="P1794" s="34" t="str">
        <f aca="false">IF($A1794="","",$I1794*$O1794)</f>
        <v/>
      </c>
      <c r="Q1794" s="39" t="n">
        <f aca="false">IF($B1794="",0,IFERROR(MATCH($B1794,COA_Mapping!$A$7:$A$256,0),0))</f>
        <v>0</v>
      </c>
      <c r="R1794" s="39" t="n">
        <f aca="false">IF($A1794="",-1,IF($J1794=Setup!$B$7,1,IF($J1794=Setup!$B$9,0,-1)))</f>
        <v>-1</v>
      </c>
      <c r="S1794" s="35" t="n">
        <f aca="false">IF(OR($A1794="",$Q1794=0,$R1794=-1),0,$Q1794*1000+$R1794*100+$K1794)</f>
        <v>0</v>
      </c>
      <c r="T1794" s="37" t="str">
        <f aca="false">IF($A1794="","",IF($B1794="","NO ACCOUNT",IF($Q1794=0,"UNMAPPED",IF($R1794=-1,"OUTSIDE FY RANGE","OK"))))</f>
        <v/>
      </c>
      <c r="U1794" s="40" t="str">
        <f aca="false">IF($A1794="","",$B1794&amp;"|"&amp;TEXT($A1794,"yyyymmdd")&amp;"|"&amp;TEXT($I1794,"0.00"))</f>
        <v/>
      </c>
      <c r="V1794" s="35" t="str">
        <f aca="false">IF($A1794="","",COUNTIF($U$8:$U$5007,$U1794))</f>
        <v/>
      </c>
    </row>
    <row r="1795" customFormat="false" ht="15" hidden="false" customHeight="false" outlineLevel="0" collapsed="false">
      <c r="A1795" s="31"/>
      <c r="B1795" s="32"/>
      <c r="C1795" s="32"/>
      <c r="D1795" s="32"/>
      <c r="E1795" s="32"/>
      <c r="F1795" s="32"/>
      <c r="G1795" s="33"/>
      <c r="H1795" s="33"/>
      <c r="I1795" s="34" t="str">
        <f aca="false">IF($A1795="","",$G1795-$H1795)</f>
        <v/>
      </c>
      <c r="J1795" s="35" t="str">
        <f aca="false">IF($A1795="","",IF(Setup!$B$6=1,YEAR($A1795),YEAR($A1795)+IF(MONTH($A1795)&gt;=Setup!$B$6,1,0)))</f>
        <v/>
      </c>
      <c r="K1795" s="35" t="str">
        <f aca="false">IF($A1795="","",MOD(MONTH($A1795)-Setup!$B$6+12,12)+1)</f>
        <v/>
      </c>
      <c r="L1795" s="36" t="str">
        <f aca="false">IF($A1795="","",TEXT($A1795,"MMM-YY"))</f>
        <v/>
      </c>
      <c r="M1795" s="37" t="str">
        <f aca="false">IF($A1795="","",IF($Q1795=0,"UNMAPPED",INDEX(COA_Mapping!$C$7:$C$256,$Q1795)))</f>
        <v/>
      </c>
      <c r="N1795" s="38" t="str">
        <f aca="false">IF($A1795="","",IF($Q1795=0,"",INDEX(COA_Mapping!$E$7:$E$256,$Q1795)))</f>
        <v/>
      </c>
      <c r="O1795" s="38" t="n">
        <f aca="false">IF($A1795="",1,IF($Q1795=0,1,INDEX(COA_Mapping!$F$7:$F$256,$Q1795)))</f>
        <v>1</v>
      </c>
      <c r="P1795" s="34" t="str">
        <f aca="false">IF($A1795="","",$I1795*$O1795)</f>
        <v/>
      </c>
      <c r="Q1795" s="39" t="n">
        <f aca="false">IF($B1795="",0,IFERROR(MATCH($B1795,COA_Mapping!$A$7:$A$256,0),0))</f>
        <v>0</v>
      </c>
      <c r="R1795" s="39" t="n">
        <f aca="false">IF($A1795="",-1,IF($J1795=Setup!$B$7,1,IF($J1795=Setup!$B$9,0,-1)))</f>
        <v>-1</v>
      </c>
      <c r="S1795" s="35" t="n">
        <f aca="false">IF(OR($A1795="",$Q1795=0,$R1795=-1),0,$Q1795*1000+$R1795*100+$K1795)</f>
        <v>0</v>
      </c>
      <c r="T1795" s="37" t="str">
        <f aca="false">IF($A1795="","",IF($B1795="","NO ACCOUNT",IF($Q1795=0,"UNMAPPED",IF($R1795=-1,"OUTSIDE FY RANGE","OK"))))</f>
        <v/>
      </c>
      <c r="U1795" s="40" t="str">
        <f aca="false">IF($A1795="","",$B1795&amp;"|"&amp;TEXT($A1795,"yyyymmdd")&amp;"|"&amp;TEXT($I1795,"0.00"))</f>
        <v/>
      </c>
      <c r="V1795" s="35" t="str">
        <f aca="false">IF($A1795="","",COUNTIF($U$8:$U$5007,$U1795))</f>
        <v/>
      </c>
    </row>
    <row r="1796" customFormat="false" ht="15" hidden="false" customHeight="false" outlineLevel="0" collapsed="false">
      <c r="A1796" s="31"/>
      <c r="B1796" s="32"/>
      <c r="C1796" s="32"/>
      <c r="D1796" s="32"/>
      <c r="E1796" s="32"/>
      <c r="F1796" s="32"/>
      <c r="G1796" s="33"/>
      <c r="H1796" s="33"/>
      <c r="I1796" s="34" t="str">
        <f aca="false">IF($A1796="","",$G1796-$H1796)</f>
        <v/>
      </c>
      <c r="J1796" s="35" t="str">
        <f aca="false">IF($A1796="","",IF(Setup!$B$6=1,YEAR($A1796),YEAR($A1796)+IF(MONTH($A1796)&gt;=Setup!$B$6,1,0)))</f>
        <v/>
      </c>
      <c r="K1796" s="35" t="str">
        <f aca="false">IF($A1796="","",MOD(MONTH($A1796)-Setup!$B$6+12,12)+1)</f>
        <v/>
      </c>
      <c r="L1796" s="36" t="str">
        <f aca="false">IF($A1796="","",TEXT($A1796,"MMM-YY"))</f>
        <v/>
      </c>
      <c r="M1796" s="37" t="str">
        <f aca="false">IF($A1796="","",IF($Q1796=0,"UNMAPPED",INDEX(COA_Mapping!$C$7:$C$256,$Q1796)))</f>
        <v/>
      </c>
      <c r="N1796" s="38" t="str">
        <f aca="false">IF($A1796="","",IF($Q1796=0,"",INDEX(COA_Mapping!$E$7:$E$256,$Q1796)))</f>
        <v/>
      </c>
      <c r="O1796" s="38" t="n">
        <f aca="false">IF($A1796="",1,IF($Q1796=0,1,INDEX(COA_Mapping!$F$7:$F$256,$Q1796)))</f>
        <v>1</v>
      </c>
      <c r="P1796" s="34" t="str">
        <f aca="false">IF($A1796="","",$I1796*$O1796)</f>
        <v/>
      </c>
      <c r="Q1796" s="39" t="n">
        <f aca="false">IF($B1796="",0,IFERROR(MATCH($B1796,COA_Mapping!$A$7:$A$256,0),0))</f>
        <v>0</v>
      </c>
      <c r="R1796" s="39" t="n">
        <f aca="false">IF($A1796="",-1,IF($J1796=Setup!$B$7,1,IF($J1796=Setup!$B$9,0,-1)))</f>
        <v>-1</v>
      </c>
      <c r="S1796" s="35" t="n">
        <f aca="false">IF(OR($A1796="",$Q1796=0,$R1796=-1),0,$Q1796*1000+$R1796*100+$K1796)</f>
        <v>0</v>
      </c>
      <c r="T1796" s="37" t="str">
        <f aca="false">IF($A1796="","",IF($B1796="","NO ACCOUNT",IF($Q1796=0,"UNMAPPED",IF($R1796=-1,"OUTSIDE FY RANGE","OK"))))</f>
        <v/>
      </c>
      <c r="U1796" s="40" t="str">
        <f aca="false">IF($A1796="","",$B1796&amp;"|"&amp;TEXT($A1796,"yyyymmdd")&amp;"|"&amp;TEXT($I1796,"0.00"))</f>
        <v/>
      </c>
      <c r="V1796" s="35" t="str">
        <f aca="false">IF($A1796="","",COUNTIF($U$8:$U$5007,$U1796))</f>
        <v/>
      </c>
    </row>
    <row r="1797" customFormat="false" ht="15" hidden="false" customHeight="false" outlineLevel="0" collapsed="false">
      <c r="A1797" s="31"/>
      <c r="B1797" s="32"/>
      <c r="C1797" s="32"/>
      <c r="D1797" s="32"/>
      <c r="E1797" s="32"/>
      <c r="F1797" s="32"/>
      <c r="G1797" s="33"/>
      <c r="H1797" s="33"/>
      <c r="I1797" s="34" t="str">
        <f aca="false">IF($A1797="","",$G1797-$H1797)</f>
        <v/>
      </c>
      <c r="J1797" s="35" t="str">
        <f aca="false">IF($A1797="","",IF(Setup!$B$6=1,YEAR($A1797),YEAR($A1797)+IF(MONTH($A1797)&gt;=Setup!$B$6,1,0)))</f>
        <v/>
      </c>
      <c r="K1797" s="35" t="str">
        <f aca="false">IF($A1797="","",MOD(MONTH($A1797)-Setup!$B$6+12,12)+1)</f>
        <v/>
      </c>
      <c r="L1797" s="36" t="str">
        <f aca="false">IF($A1797="","",TEXT($A1797,"MMM-YY"))</f>
        <v/>
      </c>
      <c r="M1797" s="37" t="str">
        <f aca="false">IF($A1797="","",IF($Q1797=0,"UNMAPPED",INDEX(COA_Mapping!$C$7:$C$256,$Q1797)))</f>
        <v/>
      </c>
      <c r="N1797" s="38" t="str">
        <f aca="false">IF($A1797="","",IF($Q1797=0,"",INDEX(COA_Mapping!$E$7:$E$256,$Q1797)))</f>
        <v/>
      </c>
      <c r="O1797" s="38" t="n">
        <f aca="false">IF($A1797="",1,IF($Q1797=0,1,INDEX(COA_Mapping!$F$7:$F$256,$Q1797)))</f>
        <v>1</v>
      </c>
      <c r="P1797" s="34" t="str">
        <f aca="false">IF($A1797="","",$I1797*$O1797)</f>
        <v/>
      </c>
      <c r="Q1797" s="39" t="n">
        <f aca="false">IF($B1797="",0,IFERROR(MATCH($B1797,COA_Mapping!$A$7:$A$256,0),0))</f>
        <v>0</v>
      </c>
      <c r="R1797" s="39" t="n">
        <f aca="false">IF($A1797="",-1,IF($J1797=Setup!$B$7,1,IF($J1797=Setup!$B$9,0,-1)))</f>
        <v>-1</v>
      </c>
      <c r="S1797" s="35" t="n">
        <f aca="false">IF(OR($A1797="",$Q1797=0,$R1797=-1),0,$Q1797*1000+$R1797*100+$K1797)</f>
        <v>0</v>
      </c>
      <c r="T1797" s="37" t="str">
        <f aca="false">IF($A1797="","",IF($B1797="","NO ACCOUNT",IF($Q1797=0,"UNMAPPED",IF($R1797=-1,"OUTSIDE FY RANGE","OK"))))</f>
        <v/>
      </c>
      <c r="U1797" s="40" t="str">
        <f aca="false">IF($A1797="","",$B1797&amp;"|"&amp;TEXT($A1797,"yyyymmdd")&amp;"|"&amp;TEXT($I1797,"0.00"))</f>
        <v/>
      </c>
      <c r="V1797" s="35" t="str">
        <f aca="false">IF($A1797="","",COUNTIF($U$8:$U$5007,$U1797))</f>
        <v/>
      </c>
    </row>
    <row r="1798" customFormat="false" ht="15" hidden="false" customHeight="false" outlineLevel="0" collapsed="false">
      <c r="A1798" s="31"/>
      <c r="B1798" s="32"/>
      <c r="C1798" s="32"/>
      <c r="D1798" s="32"/>
      <c r="E1798" s="32"/>
      <c r="F1798" s="32"/>
      <c r="G1798" s="33"/>
      <c r="H1798" s="33"/>
      <c r="I1798" s="34" t="str">
        <f aca="false">IF($A1798="","",$G1798-$H1798)</f>
        <v/>
      </c>
      <c r="J1798" s="35" t="str">
        <f aca="false">IF($A1798="","",IF(Setup!$B$6=1,YEAR($A1798),YEAR($A1798)+IF(MONTH($A1798)&gt;=Setup!$B$6,1,0)))</f>
        <v/>
      </c>
      <c r="K1798" s="35" t="str">
        <f aca="false">IF($A1798="","",MOD(MONTH($A1798)-Setup!$B$6+12,12)+1)</f>
        <v/>
      </c>
      <c r="L1798" s="36" t="str">
        <f aca="false">IF($A1798="","",TEXT($A1798,"MMM-YY"))</f>
        <v/>
      </c>
      <c r="M1798" s="37" t="str">
        <f aca="false">IF($A1798="","",IF($Q1798=0,"UNMAPPED",INDEX(COA_Mapping!$C$7:$C$256,$Q1798)))</f>
        <v/>
      </c>
      <c r="N1798" s="38" t="str">
        <f aca="false">IF($A1798="","",IF($Q1798=0,"",INDEX(COA_Mapping!$E$7:$E$256,$Q1798)))</f>
        <v/>
      </c>
      <c r="O1798" s="38" t="n">
        <f aca="false">IF($A1798="",1,IF($Q1798=0,1,INDEX(COA_Mapping!$F$7:$F$256,$Q1798)))</f>
        <v>1</v>
      </c>
      <c r="P1798" s="34" t="str">
        <f aca="false">IF($A1798="","",$I1798*$O1798)</f>
        <v/>
      </c>
      <c r="Q1798" s="39" t="n">
        <f aca="false">IF($B1798="",0,IFERROR(MATCH($B1798,COA_Mapping!$A$7:$A$256,0),0))</f>
        <v>0</v>
      </c>
      <c r="R1798" s="39" t="n">
        <f aca="false">IF($A1798="",-1,IF($J1798=Setup!$B$7,1,IF($J1798=Setup!$B$9,0,-1)))</f>
        <v>-1</v>
      </c>
      <c r="S1798" s="35" t="n">
        <f aca="false">IF(OR($A1798="",$Q1798=0,$R1798=-1),0,$Q1798*1000+$R1798*100+$K1798)</f>
        <v>0</v>
      </c>
      <c r="T1798" s="37" t="str">
        <f aca="false">IF($A1798="","",IF($B1798="","NO ACCOUNT",IF($Q1798=0,"UNMAPPED",IF($R1798=-1,"OUTSIDE FY RANGE","OK"))))</f>
        <v/>
      </c>
      <c r="U1798" s="40" t="str">
        <f aca="false">IF($A1798="","",$B1798&amp;"|"&amp;TEXT($A1798,"yyyymmdd")&amp;"|"&amp;TEXT($I1798,"0.00"))</f>
        <v/>
      </c>
      <c r="V1798" s="35" t="str">
        <f aca="false">IF($A1798="","",COUNTIF($U$8:$U$5007,$U1798))</f>
        <v/>
      </c>
    </row>
    <row r="1799" customFormat="false" ht="15" hidden="false" customHeight="false" outlineLevel="0" collapsed="false">
      <c r="A1799" s="31"/>
      <c r="B1799" s="32"/>
      <c r="C1799" s="32"/>
      <c r="D1799" s="32"/>
      <c r="E1799" s="32"/>
      <c r="F1799" s="32"/>
      <c r="G1799" s="33"/>
      <c r="H1799" s="33"/>
      <c r="I1799" s="34" t="str">
        <f aca="false">IF($A1799="","",$G1799-$H1799)</f>
        <v/>
      </c>
      <c r="J1799" s="35" t="str">
        <f aca="false">IF($A1799="","",IF(Setup!$B$6=1,YEAR($A1799),YEAR($A1799)+IF(MONTH($A1799)&gt;=Setup!$B$6,1,0)))</f>
        <v/>
      </c>
      <c r="K1799" s="35" t="str">
        <f aca="false">IF($A1799="","",MOD(MONTH($A1799)-Setup!$B$6+12,12)+1)</f>
        <v/>
      </c>
      <c r="L1799" s="36" t="str">
        <f aca="false">IF($A1799="","",TEXT($A1799,"MMM-YY"))</f>
        <v/>
      </c>
      <c r="M1799" s="37" t="str">
        <f aca="false">IF($A1799="","",IF($Q1799=0,"UNMAPPED",INDEX(COA_Mapping!$C$7:$C$256,$Q1799)))</f>
        <v/>
      </c>
      <c r="N1799" s="38" t="str">
        <f aca="false">IF($A1799="","",IF($Q1799=0,"",INDEX(COA_Mapping!$E$7:$E$256,$Q1799)))</f>
        <v/>
      </c>
      <c r="O1799" s="38" t="n">
        <f aca="false">IF($A1799="",1,IF($Q1799=0,1,INDEX(COA_Mapping!$F$7:$F$256,$Q1799)))</f>
        <v>1</v>
      </c>
      <c r="P1799" s="34" t="str">
        <f aca="false">IF($A1799="","",$I1799*$O1799)</f>
        <v/>
      </c>
      <c r="Q1799" s="39" t="n">
        <f aca="false">IF($B1799="",0,IFERROR(MATCH($B1799,COA_Mapping!$A$7:$A$256,0),0))</f>
        <v>0</v>
      </c>
      <c r="R1799" s="39" t="n">
        <f aca="false">IF($A1799="",-1,IF($J1799=Setup!$B$7,1,IF($J1799=Setup!$B$9,0,-1)))</f>
        <v>-1</v>
      </c>
      <c r="S1799" s="35" t="n">
        <f aca="false">IF(OR($A1799="",$Q1799=0,$R1799=-1),0,$Q1799*1000+$R1799*100+$K1799)</f>
        <v>0</v>
      </c>
      <c r="T1799" s="37" t="str">
        <f aca="false">IF($A1799="","",IF($B1799="","NO ACCOUNT",IF($Q1799=0,"UNMAPPED",IF($R1799=-1,"OUTSIDE FY RANGE","OK"))))</f>
        <v/>
      </c>
      <c r="U1799" s="40" t="str">
        <f aca="false">IF($A1799="","",$B1799&amp;"|"&amp;TEXT($A1799,"yyyymmdd")&amp;"|"&amp;TEXT($I1799,"0.00"))</f>
        <v/>
      </c>
      <c r="V1799" s="35" t="str">
        <f aca="false">IF($A1799="","",COUNTIF($U$8:$U$5007,$U1799))</f>
        <v/>
      </c>
    </row>
    <row r="1800" customFormat="false" ht="15" hidden="false" customHeight="false" outlineLevel="0" collapsed="false">
      <c r="A1800" s="31"/>
      <c r="B1800" s="32"/>
      <c r="C1800" s="32"/>
      <c r="D1800" s="32"/>
      <c r="E1800" s="32"/>
      <c r="F1800" s="32"/>
      <c r="G1800" s="33"/>
      <c r="H1800" s="33"/>
      <c r="I1800" s="34" t="str">
        <f aca="false">IF($A1800="","",$G1800-$H1800)</f>
        <v/>
      </c>
      <c r="J1800" s="35" t="str">
        <f aca="false">IF($A1800="","",IF(Setup!$B$6=1,YEAR($A1800),YEAR($A1800)+IF(MONTH($A1800)&gt;=Setup!$B$6,1,0)))</f>
        <v/>
      </c>
      <c r="K1800" s="35" t="str">
        <f aca="false">IF($A1800="","",MOD(MONTH($A1800)-Setup!$B$6+12,12)+1)</f>
        <v/>
      </c>
      <c r="L1800" s="36" t="str">
        <f aca="false">IF($A1800="","",TEXT($A1800,"MMM-YY"))</f>
        <v/>
      </c>
      <c r="M1800" s="37" t="str">
        <f aca="false">IF($A1800="","",IF($Q1800=0,"UNMAPPED",INDEX(COA_Mapping!$C$7:$C$256,$Q1800)))</f>
        <v/>
      </c>
      <c r="N1800" s="38" t="str">
        <f aca="false">IF($A1800="","",IF($Q1800=0,"",INDEX(COA_Mapping!$E$7:$E$256,$Q1800)))</f>
        <v/>
      </c>
      <c r="O1800" s="38" t="n">
        <f aca="false">IF($A1800="",1,IF($Q1800=0,1,INDEX(COA_Mapping!$F$7:$F$256,$Q1800)))</f>
        <v>1</v>
      </c>
      <c r="P1800" s="34" t="str">
        <f aca="false">IF($A1800="","",$I1800*$O1800)</f>
        <v/>
      </c>
      <c r="Q1800" s="39" t="n">
        <f aca="false">IF($B1800="",0,IFERROR(MATCH($B1800,COA_Mapping!$A$7:$A$256,0),0))</f>
        <v>0</v>
      </c>
      <c r="R1800" s="39" t="n">
        <f aca="false">IF($A1800="",-1,IF($J1800=Setup!$B$7,1,IF($J1800=Setup!$B$9,0,-1)))</f>
        <v>-1</v>
      </c>
      <c r="S1800" s="35" t="n">
        <f aca="false">IF(OR($A1800="",$Q1800=0,$R1800=-1),0,$Q1800*1000+$R1800*100+$K1800)</f>
        <v>0</v>
      </c>
      <c r="T1800" s="37" t="str">
        <f aca="false">IF($A1800="","",IF($B1800="","NO ACCOUNT",IF($Q1800=0,"UNMAPPED",IF($R1800=-1,"OUTSIDE FY RANGE","OK"))))</f>
        <v/>
      </c>
      <c r="U1800" s="40" t="str">
        <f aca="false">IF($A1800="","",$B1800&amp;"|"&amp;TEXT($A1800,"yyyymmdd")&amp;"|"&amp;TEXT($I1800,"0.00"))</f>
        <v/>
      </c>
      <c r="V1800" s="35" t="str">
        <f aca="false">IF($A1800="","",COUNTIF($U$8:$U$5007,$U1800))</f>
        <v/>
      </c>
    </row>
    <row r="1801" customFormat="false" ht="15" hidden="false" customHeight="false" outlineLevel="0" collapsed="false">
      <c r="A1801" s="31"/>
      <c r="B1801" s="32"/>
      <c r="C1801" s="32"/>
      <c r="D1801" s="32"/>
      <c r="E1801" s="32"/>
      <c r="F1801" s="32"/>
      <c r="G1801" s="33"/>
      <c r="H1801" s="33"/>
      <c r="I1801" s="34" t="str">
        <f aca="false">IF($A1801="","",$G1801-$H1801)</f>
        <v/>
      </c>
      <c r="J1801" s="35" t="str">
        <f aca="false">IF($A1801="","",IF(Setup!$B$6=1,YEAR($A1801),YEAR($A1801)+IF(MONTH($A1801)&gt;=Setup!$B$6,1,0)))</f>
        <v/>
      </c>
      <c r="K1801" s="35" t="str">
        <f aca="false">IF($A1801="","",MOD(MONTH($A1801)-Setup!$B$6+12,12)+1)</f>
        <v/>
      </c>
      <c r="L1801" s="36" t="str">
        <f aca="false">IF($A1801="","",TEXT($A1801,"MMM-YY"))</f>
        <v/>
      </c>
      <c r="M1801" s="37" t="str">
        <f aca="false">IF($A1801="","",IF($Q1801=0,"UNMAPPED",INDEX(COA_Mapping!$C$7:$C$256,$Q1801)))</f>
        <v/>
      </c>
      <c r="N1801" s="38" t="str">
        <f aca="false">IF($A1801="","",IF($Q1801=0,"",INDEX(COA_Mapping!$E$7:$E$256,$Q1801)))</f>
        <v/>
      </c>
      <c r="O1801" s="38" t="n">
        <f aca="false">IF($A1801="",1,IF($Q1801=0,1,INDEX(COA_Mapping!$F$7:$F$256,$Q1801)))</f>
        <v>1</v>
      </c>
      <c r="P1801" s="34" t="str">
        <f aca="false">IF($A1801="","",$I1801*$O1801)</f>
        <v/>
      </c>
      <c r="Q1801" s="39" t="n">
        <f aca="false">IF($B1801="",0,IFERROR(MATCH($B1801,COA_Mapping!$A$7:$A$256,0),0))</f>
        <v>0</v>
      </c>
      <c r="R1801" s="39" t="n">
        <f aca="false">IF($A1801="",-1,IF($J1801=Setup!$B$7,1,IF($J1801=Setup!$B$9,0,-1)))</f>
        <v>-1</v>
      </c>
      <c r="S1801" s="35" t="n">
        <f aca="false">IF(OR($A1801="",$Q1801=0,$R1801=-1),0,$Q1801*1000+$R1801*100+$K1801)</f>
        <v>0</v>
      </c>
      <c r="T1801" s="37" t="str">
        <f aca="false">IF($A1801="","",IF($B1801="","NO ACCOUNT",IF($Q1801=0,"UNMAPPED",IF($R1801=-1,"OUTSIDE FY RANGE","OK"))))</f>
        <v/>
      </c>
      <c r="U1801" s="40" t="str">
        <f aca="false">IF($A1801="","",$B1801&amp;"|"&amp;TEXT($A1801,"yyyymmdd")&amp;"|"&amp;TEXT($I1801,"0.00"))</f>
        <v/>
      </c>
      <c r="V1801" s="35" t="str">
        <f aca="false">IF($A1801="","",COUNTIF($U$8:$U$5007,$U1801))</f>
        <v/>
      </c>
    </row>
    <row r="1802" customFormat="false" ht="15" hidden="false" customHeight="false" outlineLevel="0" collapsed="false">
      <c r="A1802" s="31"/>
      <c r="B1802" s="32"/>
      <c r="C1802" s="32"/>
      <c r="D1802" s="32"/>
      <c r="E1802" s="32"/>
      <c r="F1802" s="32"/>
      <c r="G1802" s="33"/>
      <c r="H1802" s="33"/>
      <c r="I1802" s="34" t="str">
        <f aca="false">IF($A1802="","",$G1802-$H1802)</f>
        <v/>
      </c>
      <c r="J1802" s="35" t="str">
        <f aca="false">IF($A1802="","",IF(Setup!$B$6=1,YEAR($A1802),YEAR($A1802)+IF(MONTH($A1802)&gt;=Setup!$B$6,1,0)))</f>
        <v/>
      </c>
      <c r="K1802" s="35" t="str">
        <f aca="false">IF($A1802="","",MOD(MONTH($A1802)-Setup!$B$6+12,12)+1)</f>
        <v/>
      </c>
      <c r="L1802" s="36" t="str">
        <f aca="false">IF($A1802="","",TEXT($A1802,"MMM-YY"))</f>
        <v/>
      </c>
      <c r="M1802" s="37" t="str">
        <f aca="false">IF($A1802="","",IF($Q1802=0,"UNMAPPED",INDEX(COA_Mapping!$C$7:$C$256,$Q1802)))</f>
        <v/>
      </c>
      <c r="N1802" s="38" t="str">
        <f aca="false">IF($A1802="","",IF($Q1802=0,"",INDEX(COA_Mapping!$E$7:$E$256,$Q1802)))</f>
        <v/>
      </c>
      <c r="O1802" s="38" t="n">
        <f aca="false">IF($A1802="",1,IF($Q1802=0,1,INDEX(COA_Mapping!$F$7:$F$256,$Q1802)))</f>
        <v>1</v>
      </c>
      <c r="P1802" s="34" t="str">
        <f aca="false">IF($A1802="","",$I1802*$O1802)</f>
        <v/>
      </c>
      <c r="Q1802" s="39" t="n">
        <f aca="false">IF($B1802="",0,IFERROR(MATCH($B1802,COA_Mapping!$A$7:$A$256,0),0))</f>
        <v>0</v>
      </c>
      <c r="R1802" s="39" t="n">
        <f aca="false">IF($A1802="",-1,IF($J1802=Setup!$B$7,1,IF($J1802=Setup!$B$9,0,-1)))</f>
        <v>-1</v>
      </c>
      <c r="S1802" s="35" t="n">
        <f aca="false">IF(OR($A1802="",$Q1802=0,$R1802=-1),0,$Q1802*1000+$R1802*100+$K1802)</f>
        <v>0</v>
      </c>
      <c r="T1802" s="37" t="str">
        <f aca="false">IF($A1802="","",IF($B1802="","NO ACCOUNT",IF($Q1802=0,"UNMAPPED",IF($R1802=-1,"OUTSIDE FY RANGE","OK"))))</f>
        <v/>
      </c>
      <c r="U1802" s="40" t="str">
        <f aca="false">IF($A1802="","",$B1802&amp;"|"&amp;TEXT($A1802,"yyyymmdd")&amp;"|"&amp;TEXT($I1802,"0.00"))</f>
        <v/>
      </c>
      <c r="V1802" s="35" t="str">
        <f aca="false">IF($A1802="","",COUNTIF($U$8:$U$5007,$U1802))</f>
        <v/>
      </c>
    </row>
    <row r="1803" customFormat="false" ht="15" hidden="false" customHeight="false" outlineLevel="0" collapsed="false">
      <c r="A1803" s="31"/>
      <c r="B1803" s="32"/>
      <c r="C1803" s="32"/>
      <c r="D1803" s="32"/>
      <c r="E1803" s="32"/>
      <c r="F1803" s="32"/>
      <c r="G1803" s="33"/>
      <c r="H1803" s="33"/>
      <c r="I1803" s="34" t="str">
        <f aca="false">IF($A1803="","",$G1803-$H1803)</f>
        <v/>
      </c>
      <c r="J1803" s="35" t="str">
        <f aca="false">IF($A1803="","",IF(Setup!$B$6=1,YEAR($A1803),YEAR($A1803)+IF(MONTH($A1803)&gt;=Setup!$B$6,1,0)))</f>
        <v/>
      </c>
      <c r="K1803" s="35" t="str">
        <f aca="false">IF($A1803="","",MOD(MONTH($A1803)-Setup!$B$6+12,12)+1)</f>
        <v/>
      </c>
      <c r="L1803" s="36" t="str">
        <f aca="false">IF($A1803="","",TEXT($A1803,"MMM-YY"))</f>
        <v/>
      </c>
      <c r="M1803" s="37" t="str">
        <f aca="false">IF($A1803="","",IF($Q1803=0,"UNMAPPED",INDEX(COA_Mapping!$C$7:$C$256,$Q1803)))</f>
        <v/>
      </c>
      <c r="N1803" s="38" t="str">
        <f aca="false">IF($A1803="","",IF($Q1803=0,"",INDEX(COA_Mapping!$E$7:$E$256,$Q1803)))</f>
        <v/>
      </c>
      <c r="O1803" s="38" t="n">
        <f aca="false">IF($A1803="",1,IF($Q1803=0,1,INDEX(COA_Mapping!$F$7:$F$256,$Q1803)))</f>
        <v>1</v>
      </c>
      <c r="P1803" s="34" t="str">
        <f aca="false">IF($A1803="","",$I1803*$O1803)</f>
        <v/>
      </c>
      <c r="Q1803" s="39" t="n">
        <f aca="false">IF($B1803="",0,IFERROR(MATCH($B1803,COA_Mapping!$A$7:$A$256,0),0))</f>
        <v>0</v>
      </c>
      <c r="R1803" s="39" t="n">
        <f aca="false">IF($A1803="",-1,IF($J1803=Setup!$B$7,1,IF($J1803=Setup!$B$9,0,-1)))</f>
        <v>-1</v>
      </c>
      <c r="S1803" s="35" t="n">
        <f aca="false">IF(OR($A1803="",$Q1803=0,$R1803=-1),0,$Q1803*1000+$R1803*100+$K1803)</f>
        <v>0</v>
      </c>
      <c r="T1803" s="37" t="str">
        <f aca="false">IF($A1803="","",IF($B1803="","NO ACCOUNT",IF($Q1803=0,"UNMAPPED",IF($R1803=-1,"OUTSIDE FY RANGE","OK"))))</f>
        <v/>
      </c>
      <c r="U1803" s="40" t="str">
        <f aca="false">IF($A1803="","",$B1803&amp;"|"&amp;TEXT($A1803,"yyyymmdd")&amp;"|"&amp;TEXT($I1803,"0.00"))</f>
        <v/>
      </c>
      <c r="V1803" s="35" t="str">
        <f aca="false">IF($A1803="","",COUNTIF($U$8:$U$5007,$U1803))</f>
        <v/>
      </c>
    </row>
    <row r="1804" customFormat="false" ht="15" hidden="false" customHeight="false" outlineLevel="0" collapsed="false">
      <c r="A1804" s="31"/>
      <c r="B1804" s="32"/>
      <c r="C1804" s="32"/>
      <c r="D1804" s="32"/>
      <c r="E1804" s="32"/>
      <c r="F1804" s="32"/>
      <c r="G1804" s="33"/>
      <c r="H1804" s="33"/>
      <c r="I1804" s="34" t="str">
        <f aca="false">IF($A1804="","",$G1804-$H1804)</f>
        <v/>
      </c>
      <c r="J1804" s="35" t="str">
        <f aca="false">IF($A1804="","",IF(Setup!$B$6=1,YEAR($A1804),YEAR($A1804)+IF(MONTH($A1804)&gt;=Setup!$B$6,1,0)))</f>
        <v/>
      </c>
      <c r="K1804" s="35" t="str">
        <f aca="false">IF($A1804="","",MOD(MONTH($A1804)-Setup!$B$6+12,12)+1)</f>
        <v/>
      </c>
      <c r="L1804" s="36" t="str">
        <f aca="false">IF($A1804="","",TEXT($A1804,"MMM-YY"))</f>
        <v/>
      </c>
      <c r="M1804" s="37" t="str">
        <f aca="false">IF($A1804="","",IF($Q1804=0,"UNMAPPED",INDEX(COA_Mapping!$C$7:$C$256,$Q1804)))</f>
        <v/>
      </c>
      <c r="N1804" s="38" t="str">
        <f aca="false">IF($A1804="","",IF($Q1804=0,"",INDEX(COA_Mapping!$E$7:$E$256,$Q1804)))</f>
        <v/>
      </c>
      <c r="O1804" s="38" t="n">
        <f aca="false">IF($A1804="",1,IF($Q1804=0,1,INDEX(COA_Mapping!$F$7:$F$256,$Q1804)))</f>
        <v>1</v>
      </c>
      <c r="P1804" s="34" t="str">
        <f aca="false">IF($A1804="","",$I1804*$O1804)</f>
        <v/>
      </c>
      <c r="Q1804" s="39" t="n">
        <f aca="false">IF($B1804="",0,IFERROR(MATCH($B1804,COA_Mapping!$A$7:$A$256,0),0))</f>
        <v>0</v>
      </c>
      <c r="R1804" s="39" t="n">
        <f aca="false">IF($A1804="",-1,IF($J1804=Setup!$B$7,1,IF($J1804=Setup!$B$9,0,-1)))</f>
        <v>-1</v>
      </c>
      <c r="S1804" s="35" t="n">
        <f aca="false">IF(OR($A1804="",$Q1804=0,$R1804=-1),0,$Q1804*1000+$R1804*100+$K1804)</f>
        <v>0</v>
      </c>
      <c r="T1804" s="37" t="str">
        <f aca="false">IF($A1804="","",IF($B1804="","NO ACCOUNT",IF($Q1804=0,"UNMAPPED",IF($R1804=-1,"OUTSIDE FY RANGE","OK"))))</f>
        <v/>
      </c>
      <c r="U1804" s="40" t="str">
        <f aca="false">IF($A1804="","",$B1804&amp;"|"&amp;TEXT($A1804,"yyyymmdd")&amp;"|"&amp;TEXT($I1804,"0.00"))</f>
        <v/>
      </c>
      <c r="V1804" s="35" t="str">
        <f aca="false">IF($A1804="","",COUNTIF($U$8:$U$5007,$U1804))</f>
        <v/>
      </c>
    </row>
    <row r="1805" customFormat="false" ht="15" hidden="false" customHeight="false" outlineLevel="0" collapsed="false">
      <c r="A1805" s="31"/>
      <c r="B1805" s="32"/>
      <c r="C1805" s="32"/>
      <c r="D1805" s="32"/>
      <c r="E1805" s="32"/>
      <c r="F1805" s="32"/>
      <c r="G1805" s="33"/>
      <c r="H1805" s="33"/>
      <c r="I1805" s="34" t="str">
        <f aca="false">IF($A1805="","",$G1805-$H1805)</f>
        <v/>
      </c>
      <c r="J1805" s="35" t="str">
        <f aca="false">IF($A1805="","",IF(Setup!$B$6=1,YEAR($A1805),YEAR($A1805)+IF(MONTH($A1805)&gt;=Setup!$B$6,1,0)))</f>
        <v/>
      </c>
      <c r="K1805" s="35" t="str">
        <f aca="false">IF($A1805="","",MOD(MONTH($A1805)-Setup!$B$6+12,12)+1)</f>
        <v/>
      </c>
      <c r="L1805" s="36" t="str">
        <f aca="false">IF($A1805="","",TEXT($A1805,"MMM-YY"))</f>
        <v/>
      </c>
      <c r="M1805" s="37" t="str">
        <f aca="false">IF($A1805="","",IF($Q1805=0,"UNMAPPED",INDEX(COA_Mapping!$C$7:$C$256,$Q1805)))</f>
        <v/>
      </c>
      <c r="N1805" s="38" t="str">
        <f aca="false">IF($A1805="","",IF($Q1805=0,"",INDEX(COA_Mapping!$E$7:$E$256,$Q1805)))</f>
        <v/>
      </c>
      <c r="O1805" s="38" t="n">
        <f aca="false">IF($A1805="",1,IF($Q1805=0,1,INDEX(COA_Mapping!$F$7:$F$256,$Q1805)))</f>
        <v>1</v>
      </c>
      <c r="P1805" s="34" t="str">
        <f aca="false">IF($A1805="","",$I1805*$O1805)</f>
        <v/>
      </c>
      <c r="Q1805" s="39" t="n">
        <f aca="false">IF($B1805="",0,IFERROR(MATCH($B1805,COA_Mapping!$A$7:$A$256,0),0))</f>
        <v>0</v>
      </c>
      <c r="R1805" s="39" t="n">
        <f aca="false">IF($A1805="",-1,IF($J1805=Setup!$B$7,1,IF($J1805=Setup!$B$9,0,-1)))</f>
        <v>-1</v>
      </c>
      <c r="S1805" s="35" t="n">
        <f aca="false">IF(OR($A1805="",$Q1805=0,$R1805=-1),0,$Q1805*1000+$R1805*100+$K1805)</f>
        <v>0</v>
      </c>
      <c r="T1805" s="37" t="str">
        <f aca="false">IF($A1805="","",IF($B1805="","NO ACCOUNT",IF($Q1805=0,"UNMAPPED",IF($R1805=-1,"OUTSIDE FY RANGE","OK"))))</f>
        <v/>
      </c>
      <c r="U1805" s="40" t="str">
        <f aca="false">IF($A1805="","",$B1805&amp;"|"&amp;TEXT($A1805,"yyyymmdd")&amp;"|"&amp;TEXT($I1805,"0.00"))</f>
        <v/>
      </c>
      <c r="V1805" s="35" t="str">
        <f aca="false">IF($A1805="","",COUNTIF($U$8:$U$5007,$U1805))</f>
        <v/>
      </c>
    </row>
    <row r="1806" customFormat="false" ht="15" hidden="false" customHeight="false" outlineLevel="0" collapsed="false">
      <c r="A1806" s="31"/>
      <c r="B1806" s="32"/>
      <c r="C1806" s="32"/>
      <c r="D1806" s="32"/>
      <c r="E1806" s="32"/>
      <c r="F1806" s="32"/>
      <c r="G1806" s="33"/>
      <c r="H1806" s="33"/>
      <c r="I1806" s="34" t="str">
        <f aca="false">IF($A1806="","",$G1806-$H1806)</f>
        <v/>
      </c>
      <c r="J1806" s="35" t="str">
        <f aca="false">IF($A1806="","",IF(Setup!$B$6=1,YEAR($A1806),YEAR($A1806)+IF(MONTH($A1806)&gt;=Setup!$B$6,1,0)))</f>
        <v/>
      </c>
      <c r="K1806" s="35" t="str">
        <f aca="false">IF($A1806="","",MOD(MONTH($A1806)-Setup!$B$6+12,12)+1)</f>
        <v/>
      </c>
      <c r="L1806" s="36" t="str">
        <f aca="false">IF($A1806="","",TEXT($A1806,"MMM-YY"))</f>
        <v/>
      </c>
      <c r="M1806" s="37" t="str">
        <f aca="false">IF($A1806="","",IF($Q1806=0,"UNMAPPED",INDEX(COA_Mapping!$C$7:$C$256,$Q1806)))</f>
        <v/>
      </c>
      <c r="N1806" s="38" t="str">
        <f aca="false">IF($A1806="","",IF($Q1806=0,"",INDEX(COA_Mapping!$E$7:$E$256,$Q1806)))</f>
        <v/>
      </c>
      <c r="O1806" s="38" t="n">
        <f aca="false">IF($A1806="",1,IF($Q1806=0,1,INDEX(COA_Mapping!$F$7:$F$256,$Q1806)))</f>
        <v>1</v>
      </c>
      <c r="P1806" s="34" t="str">
        <f aca="false">IF($A1806="","",$I1806*$O1806)</f>
        <v/>
      </c>
      <c r="Q1806" s="39" t="n">
        <f aca="false">IF($B1806="",0,IFERROR(MATCH($B1806,COA_Mapping!$A$7:$A$256,0),0))</f>
        <v>0</v>
      </c>
      <c r="R1806" s="39" t="n">
        <f aca="false">IF($A1806="",-1,IF($J1806=Setup!$B$7,1,IF($J1806=Setup!$B$9,0,-1)))</f>
        <v>-1</v>
      </c>
      <c r="S1806" s="35" t="n">
        <f aca="false">IF(OR($A1806="",$Q1806=0,$R1806=-1),0,$Q1806*1000+$R1806*100+$K1806)</f>
        <v>0</v>
      </c>
      <c r="T1806" s="37" t="str">
        <f aca="false">IF($A1806="","",IF($B1806="","NO ACCOUNT",IF($Q1806=0,"UNMAPPED",IF($R1806=-1,"OUTSIDE FY RANGE","OK"))))</f>
        <v/>
      </c>
      <c r="U1806" s="40" t="str">
        <f aca="false">IF($A1806="","",$B1806&amp;"|"&amp;TEXT($A1806,"yyyymmdd")&amp;"|"&amp;TEXT($I1806,"0.00"))</f>
        <v/>
      </c>
      <c r="V1806" s="35" t="str">
        <f aca="false">IF($A1806="","",COUNTIF($U$8:$U$5007,$U1806))</f>
        <v/>
      </c>
    </row>
    <row r="1807" customFormat="false" ht="15" hidden="false" customHeight="false" outlineLevel="0" collapsed="false">
      <c r="A1807" s="31"/>
      <c r="B1807" s="32"/>
      <c r="C1807" s="32"/>
      <c r="D1807" s="32"/>
      <c r="E1807" s="32"/>
      <c r="F1807" s="32"/>
      <c r="G1807" s="33"/>
      <c r="H1807" s="33"/>
      <c r="I1807" s="34" t="str">
        <f aca="false">IF($A1807="","",$G1807-$H1807)</f>
        <v/>
      </c>
      <c r="J1807" s="35" t="str">
        <f aca="false">IF($A1807="","",IF(Setup!$B$6=1,YEAR($A1807),YEAR($A1807)+IF(MONTH($A1807)&gt;=Setup!$B$6,1,0)))</f>
        <v/>
      </c>
      <c r="K1807" s="35" t="str">
        <f aca="false">IF($A1807="","",MOD(MONTH($A1807)-Setup!$B$6+12,12)+1)</f>
        <v/>
      </c>
      <c r="L1807" s="36" t="str">
        <f aca="false">IF($A1807="","",TEXT($A1807,"MMM-YY"))</f>
        <v/>
      </c>
      <c r="M1807" s="37" t="str">
        <f aca="false">IF($A1807="","",IF($Q1807=0,"UNMAPPED",INDEX(COA_Mapping!$C$7:$C$256,$Q1807)))</f>
        <v/>
      </c>
      <c r="N1807" s="38" t="str">
        <f aca="false">IF($A1807="","",IF($Q1807=0,"",INDEX(COA_Mapping!$E$7:$E$256,$Q1807)))</f>
        <v/>
      </c>
      <c r="O1807" s="38" t="n">
        <f aca="false">IF($A1807="",1,IF($Q1807=0,1,INDEX(COA_Mapping!$F$7:$F$256,$Q1807)))</f>
        <v>1</v>
      </c>
      <c r="P1807" s="34" t="str">
        <f aca="false">IF($A1807="","",$I1807*$O1807)</f>
        <v/>
      </c>
      <c r="Q1807" s="39" t="n">
        <f aca="false">IF($B1807="",0,IFERROR(MATCH($B1807,COA_Mapping!$A$7:$A$256,0),0))</f>
        <v>0</v>
      </c>
      <c r="R1807" s="39" t="n">
        <f aca="false">IF($A1807="",-1,IF($J1807=Setup!$B$7,1,IF($J1807=Setup!$B$9,0,-1)))</f>
        <v>-1</v>
      </c>
      <c r="S1807" s="35" t="n">
        <f aca="false">IF(OR($A1807="",$Q1807=0,$R1807=-1),0,$Q1807*1000+$R1807*100+$K1807)</f>
        <v>0</v>
      </c>
      <c r="T1807" s="37" t="str">
        <f aca="false">IF($A1807="","",IF($B1807="","NO ACCOUNT",IF($Q1807=0,"UNMAPPED",IF($R1807=-1,"OUTSIDE FY RANGE","OK"))))</f>
        <v/>
      </c>
      <c r="U1807" s="40" t="str">
        <f aca="false">IF($A1807="","",$B1807&amp;"|"&amp;TEXT($A1807,"yyyymmdd")&amp;"|"&amp;TEXT($I1807,"0.00"))</f>
        <v/>
      </c>
      <c r="V1807" s="35" t="str">
        <f aca="false">IF($A1807="","",COUNTIF($U$8:$U$5007,$U1807))</f>
        <v/>
      </c>
    </row>
    <row r="1808" customFormat="false" ht="15" hidden="false" customHeight="false" outlineLevel="0" collapsed="false">
      <c r="A1808" s="31"/>
      <c r="B1808" s="32"/>
      <c r="C1808" s="32"/>
      <c r="D1808" s="32"/>
      <c r="E1808" s="32"/>
      <c r="F1808" s="32"/>
      <c r="G1808" s="33"/>
      <c r="H1808" s="33"/>
      <c r="I1808" s="34" t="str">
        <f aca="false">IF($A1808="","",$G1808-$H1808)</f>
        <v/>
      </c>
      <c r="J1808" s="35" t="str">
        <f aca="false">IF($A1808="","",IF(Setup!$B$6=1,YEAR($A1808),YEAR($A1808)+IF(MONTH($A1808)&gt;=Setup!$B$6,1,0)))</f>
        <v/>
      </c>
      <c r="K1808" s="35" t="str">
        <f aca="false">IF($A1808="","",MOD(MONTH($A1808)-Setup!$B$6+12,12)+1)</f>
        <v/>
      </c>
      <c r="L1808" s="36" t="str">
        <f aca="false">IF($A1808="","",TEXT($A1808,"MMM-YY"))</f>
        <v/>
      </c>
      <c r="M1808" s="37" t="str">
        <f aca="false">IF($A1808="","",IF($Q1808=0,"UNMAPPED",INDEX(COA_Mapping!$C$7:$C$256,$Q1808)))</f>
        <v/>
      </c>
      <c r="N1808" s="38" t="str">
        <f aca="false">IF($A1808="","",IF($Q1808=0,"",INDEX(COA_Mapping!$E$7:$E$256,$Q1808)))</f>
        <v/>
      </c>
      <c r="O1808" s="38" t="n">
        <f aca="false">IF($A1808="",1,IF($Q1808=0,1,INDEX(COA_Mapping!$F$7:$F$256,$Q1808)))</f>
        <v>1</v>
      </c>
      <c r="P1808" s="34" t="str">
        <f aca="false">IF($A1808="","",$I1808*$O1808)</f>
        <v/>
      </c>
      <c r="Q1808" s="39" t="n">
        <f aca="false">IF($B1808="",0,IFERROR(MATCH($B1808,COA_Mapping!$A$7:$A$256,0),0))</f>
        <v>0</v>
      </c>
      <c r="R1808" s="39" t="n">
        <f aca="false">IF($A1808="",-1,IF($J1808=Setup!$B$7,1,IF($J1808=Setup!$B$9,0,-1)))</f>
        <v>-1</v>
      </c>
      <c r="S1808" s="35" t="n">
        <f aca="false">IF(OR($A1808="",$Q1808=0,$R1808=-1),0,$Q1808*1000+$R1808*100+$K1808)</f>
        <v>0</v>
      </c>
      <c r="T1808" s="37" t="str">
        <f aca="false">IF($A1808="","",IF($B1808="","NO ACCOUNT",IF($Q1808=0,"UNMAPPED",IF($R1808=-1,"OUTSIDE FY RANGE","OK"))))</f>
        <v/>
      </c>
      <c r="U1808" s="40" t="str">
        <f aca="false">IF($A1808="","",$B1808&amp;"|"&amp;TEXT($A1808,"yyyymmdd")&amp;"|"&amp;TEXT($I1808,"0.00"))</f>
        <v/>
      </c>
      <c r="V1808" s="35" t="str">
        <f aca="false">IF($A1808="","",COUNTIF($U$8:$U$5007,$U1808))</f>
        <v/>
      </c>
    </row>
    <row r="1809" customFormat="false" ht="15" hidden="false" customHeight="false" outlineLevel="0" collapsed="false">
      <c r="A1809" s="31"/>
      <c r="B1809" s="32"/>
      <c r="C1809" s="32"/>
      <c r="D1809" s="32"/>
      <c r="E1809" s="32"/>
      <c r="F1809" s="32"/>
      <c r="G1809" s="33"/>
      <c r="H1809" s="33"/>
      <c r="I1809" s="34" t="str">
        <f aca="false">IF($A1809="","",$G1809-$H1809)</f>
        <v/>
      </c>
      <c r="J1809" s="35" t="str">
        <f aca="false">IF($A1809="","",IF(Setup!$B$6=1,YEAR($A1809),YEAR($A1809)+IF(MONTH($A1809)&gt;=Setup!$B$6,1,0)))</f>
        <v/>
      </c>
      <c r="K1809" s="35" t="str">
        <f aca="false">IF($A1809="","",MOD(MONTH($A1809)-Setup!$B$6+12,12)+1)</f>
        <v/>
      </c>
      <c r="L1809" s="36" t="str">
        <f aca="false">IF($A1809="","",TEXT($A1809,"MMM-YY"))</f>
        <v/>
      </c>
      <c r="M1809" s="37" t="str">
        <f aca="false">IF($A1809="","",IF($Q1809=0,"UNMAPPED",INDEX(COA_Mapping!$C$7:$C$256,$Q1809)))</f>
        <v/>
      </c>
      <c r="N1809" s="38" t="str">
        <f aca="false">IF($A1809="","",IF($Q1809=0,"",INDEX(COA_Mapping!$E$7:$E$256,$Q1809)))</f>
        <v/>
      </c>
      <c r="O1809" s="38" t="n">
        <f aca="false">IF($A1809="",1,IF($Q1809=0,1,INDEX(COA_Mapping!$F$7:$F$256,$Q1809)))</f>
        <v>1</v>
      </c>
      <c r="P1809" s="34" t="str">
        <f aca="false">IF($A1809="","",$I1809*$O1809)</f>
        <v/>
      </c>
      <c r="Q1809" s="39" t="n">
        <f aca="false">IF($B1809="",0,IFERROR(MATCH($B1809,COA_Mapping!$A$7:$A$256,0),0))</f>
        <v>0</v>
      </c>
      <c r="R1809" s="39" t="n">
        <f aca="false">IF($A1809="",-1,IF($J1809=Setup!$B$7,1,IF($J1809=Setup!$B$9,0,-1)))</f>
        <v>-1</v>
      </c>
      <c r="S1809" s="35" t="n">
        <f aca="false">IF(OR($A1809="",$Q1809=0,$R1809=-1),0,$Q1809*1000+$R1809*100+$K1809)</f>
        <v>0</v>
      </c>
      <c r="T1809" s="37" t="str">
        <f aca="false">IF($A1809="","",IF($B1809="","NO ACCOUNT",IF($Q1809=0,"UNMAPPED",IF($R1809=-1,"OUTSIDE FY RANGE","OK"))))</f>
        <v/>
      </c>
      <c r="U1809" s="40" t="str">
        <f aca="false">IF($A1809="","",$B1809&amp;"|"&amp;TEXT($A1809,"yyyymmdd")&amp;"|"&amp;TEXT($I1809,"0.00"))</f>
        <v/>
      </c>
      <c r="V1809" s="35" t="str">
        <f aca="false">IF($A1809="","",COUNTIF($U$8:$U$5007,$U1809))</f>
        <v/>
      </c>
    </row>
    <row r="1810" customFormat="false" ht="15" hidden="false" customHeight="false" outlineLevel="0" collapsed="false">
      <c r="A1810" s="31"/>
      <c r="B1810" s="32"/>
      <c r="C1810" s="32"/>
      <c r="D1810" s="32"/>
      <c r="E1810" s="32"/>
      <c r="F1810" s="32"/>
      <c r="G1810" s="33"/>
      <c r="H1810" s="33"/>
      <c r="I1810" s="34" t="str">
        <f aca="false">IF($A1810="","",$G1810-$H1810)</f>
        <v/>
      </c>
      <c r="J1810" s="35" t="str">
        <f aca="false">IF($A1810="","",IF(Setup!$B$6=1,YEAR($A1810),YEAR($A1810)+IF(MONTH($A1810)&gt;=Setup!$B$6,1,0)))</f>
        <v/>
      </c>
      <c r="K1810" s="35" t="str">
        <f aca="false">IF($A1810="","",MOD(MONTH($A1810)-Setup!$B$6+12,12)+1)</f>
        <v/>
      </c>
      <c r="L1810" s="36" t="str">
        <f aca="false">IF($A1810="","",TEXT($A1810,"MMM-YY"))</f>
        <v/>
      </c>
      <c r="M1810" s="37" t="str">
        <f aca="false">IF($A1810="","",IF($Q1810=0,"UNMAPPED",INDEX(COA_Mapping!$C$7:$C$256,$Q1810)))</f>
        <v/>
      </c>
      <c r="N1810" s="38" t="str">
        <f aca="false">IF($A1810="","",IF($Q1810=0,"",INDEX(COA_Mapping!$E$7:$E$256,$Q1810)))</f>
        <v/>
      </c>
      <c r="O1810" s="38" t="n">
        <f aca="false">IF($A1810="",1,IF($Q1810=0,1,INDEX(COA_Mapping!$F$7:$F$256,$Q1810)))</f>
        <v>1</v>
      </c>
      <c r="P1810" s="34" t="str">
        <f aca="false">IF($A1810="","",$I1810*$O1810)</f>
        <v/>
      </c>
      <c r="Q1810" s="39" t="n">
        <f aca="false">IF($B1810="",0,IFERROR(MATCH($B1810,COA_Mapping!$A$7:$A$256,0),0))</f>
        <v>0</v>
      </c>
      <c r="R1810" s="39" t="n">
        <f aca="false">IF($A1810="",-1,IF($J1810=Setup!$B$7,1,IF($J1810=Setup!$B$9,0,-1)))</f>
        <v>-1</v>
      </c>
      <c r="S1810" s="35" t="n">
        <f aca="false">IF(OR($A1810="",$Q1810=0,$R1810=-1),0,$Q1810*1000+$R1810*100+$K1810)</f>
        <v>0</v>
      </c>
      <c r="T1810" s="37" t="str">
        <f aca="false">IF($A1810="","",IF($B1810="","NO ACCOUNT",IF($Q1810=0,"UNMAPPED",IF($R1810=-1,"OUTSIDE FY RANGE","OK"))))</f>
        <v/>
      </c>
      <c r="U1810" s="40" t="str">
        <f aca="false">IF($A1810="","",$B1810&amp;"|"&amp;TEXT($A1810,"yyyymmdd")&amp;"|"&amp;TEXT($I1810,"0.00"))</f>
        <v/>
      </c>
      <c r="V1810" s="35" t="str">
        <f aca="false">IF($A1810="","",COUNTIF($U$8:$U$5007,$U1810))</f>
        <v/>
      </c>
    </row>
    <row r="1811" customFormat="false" ht="15" hidden="false" customHeight="false" outlineLevel="0" collapsed="false">
      <c r="A1811" s="31"/>
      <c r="B1811" s="32"/>
      <c r="C1811" s="32"/>
      <c r="D1811" s="32"/>
      <c r="E1811" s="32"/>
      <c r="F1811" s="32"/>
      <c r="G1811" s="33"/>
      <c r="H1811" s="33"/>
      <c r="I1811" s="34" t="str">
        <f aca="false">IF($A1811="","",$G1811-$H1811)</f>
        <v/>
      </c>
      <c r="J1811" s="35" t="str">
        <f aca="false">IF($A1811="","",IF(Setup!$B$6=1,YEAR($A1811),YEAR($A1811)+IF(MONTH($A1811)&gt;=Setup!$B$6,1,0)))</f>
        <v/>
      </c>
      <c r="K1811" s="35" t="str">
        <f aca="false">IF($A1811="","",MOD(MONTH($A1811)-Setup!$B$6+12,12)+1)</f>
        <v/>
      </c>
      <c r="L1811" s="36" t="str">
        <f aca="false">IF($A1811="","",TEXT($A1811,"MMM-YY"))</f>
        <v/>
      </c>
      <c r="M1811" s="37" t="str">
        <f aca="false">IF($A1811="","",IF($Q1811=0,"UNMAPPED",INDEX(COA_Mapping!$C$7:$C$256,$Q1811)))</f>
        <v/>
      </c>
      <c r="N1811" s="38" t="str">
        <f aca="false">IF($A1811="","",IF($Q1811=0,"",INDEX(COA_Mapping!$E$7:$E$256,$Q1811)))</f>
        <v/>
      </c>
      <c r="O1811" s="38" t="n">
        <f aca="false">IF($A1811="",1,IF($Q1811=0,1,INDEX(COA_Mapping!$F$7:$F$256,$Q1811)))</f>
        <v>1</v>
      </c>
      <c r="P1811" s="34" t="str">
        <f aca="false">IF($A1811="","",$I1811*$O1811)</f>
        <v/>
      </c>
      <c r="Q1811" s="39" t="n">
        <f aca="false">IF($B1811="",0,IFERROR(MATCH($B1811,COA_Mapping!$A$7:$A$256,0),0))</f>
        <v>0</v>
      </c>
      <c r="R1811" s="39" t="n">
        <f aca="false">IF($A1811="",-1,IF($J1811=Setup!$B$7,1,IF($J1811=Setup!$B$9,0,-1)))</f>
        <v>-1</v>
      </c>
      <c r="S1811" s="35" t="n">
        <f aca="false">IF(OR($A1811="",$Q1811=0,$R1811=-1),0,$Q1811*1000+$R1811*100+$K1811)</f>
        <v>0</v>
      </c>
      <c r="T1811" s="37" t="str">
        <f aca="false">IF($A1811="","",IF($B1811="","NO ACCOUNT",IF($Q1811=0,"UNMAPPED",IF($R1811=-1,"OUTSIDE FY RANGE","OK"))))</f>
        <v/>
      </c>
      <c r="U1811" s="40" t="str">
        <f aca="false">IF($A1811="","",$B1811&amp;"|"&amp;TEXT($A1811,"yyyymmdd")&amp;"|"&amp;TEXT($I1811,"0.00"))</f>
        <v/>
      </c>
      <c r="V1811" s="35" t="str">
        <f aca="false">IF($A1811="","",COUNTIF($U$8:$U$5007,$U1811))</f>
        <v/>
      </c>
    </row>
    <row r="1812" customFormat="false" ht="15" hidden="false" customHeight="false" outlineLevel="0" collapsed="false">
      <c r="A1812" s="31"/>
      <c r="B1812" s="32"/>
      <c r="C1812" s="32"/>
      <c r="D1812" s="32"/>
      <c r="E1812" s="32"/>
      <c r="F1812" s="32"/>
      <c r="G1812" s="33"/>
      <c r="H1812" s="33"/>
      <c r="I1812" s="34" t="str">
        <f aca="false">IF($A1812="","",$G1812-$H1812)</f>
        <v/>
      </c>
      <c r="J1812" s="35" t="str">
        <f aca="false">IF($A1812="","",IF(Setup!$B$6=1,YEAR($A1812),YEAR($A1812)+IF(MONTH($A1812)&gt;=Setup!$B$6,1,0)))</f>
        <v/>
      </c>
      <c r="K1812" s="35" t="str">
        <f aca="false">IF($A1812="","",MOD(MONTH($A1812)-Setup!$B$6+12,12)+1)</f>
        <v/>
      </c>
      <c r="L1812" s="36" t="str">
        <f aca="false">IF($A1812="","",TEXT($A1812,"MMM-YY"))</f>
        <v/>
      </c>
      <c r="M1812" s="37" t="str">
        <f aca="false">IF($A1812="","",IF($Q1812=0,"UNMAPPED",INDEX(COA_Mapping!$C$7:$C$256,$Q1812)))</f>
        <v/>
      </c>
      <c r="N1812" s="38" t="str">
        <f aca="false">IF($A1812="","",IF($Q1812=0,"",INDEX(COA_Mapping!$E$7:$E$256,$Q1812)))</f>
        <v/>
      </c>
      <c r="O1812" s="38" t="n">
        <f aca="false">IF($A1812="",1,IF($Q1812=0,1,INDEX(COA_Mapping!$F$7:$F$256,$Q1812)))</f>
        <v>1</v>
      </c>
      <c r="P1812" s="34" t="str">
        <f aca="false">IF($A1812="","",$I1812*$O1812)</f>
        <v/>
      </c>
      <c r="Q1812" s="39" t="n">
        <f aca="false">IF($B1812="",0,IFERROR(MATCH($B1812,COA_Mapping!$A$7:$A$256,0),0))</f>
        <v>0</v>
      </c>
      <c r="R1812" s="39" t="n">
        <f aca="false">IF($A1812="",-1,IF($J1812=Setup!$B$7,1,IF($J1812=Setup!$B$9,0,-1)))</f>
        <v>-1</v>
      </c>
      <c r="S1812" s="35" t="n">
        <f aca="false">IF(OR($A1812="",$Q1812=0,$R1812=-1),0,$Q1812*1000+$R1812*100+$K1812)</f>
        <v>0</v>
      </c>
      <c r="T1812" s="37" t="str">
        <f aca="false">IF($A1812="","",IF($B1812="","NO ACCOUNT",IF($Q1812=0,"UNMAPPED",IF($R1812=-1,"OUTSIDE FY RANGE","OK"))))</f>
        <v/>
      </c>
      <c r="U1812" s="40" t="str">
        <f aca="false">IF($A1812="","",$B1812&amp;"|"&amp;TEXT($A1812,"yyyymmdd")&amp;"|"&amp;TEXT($I1812,"0.00"))</f>
        <v/>
      </c>
      <c r="V1812" s="35" t="str">
        <f aca="false">IF($A1812="","",COUNTIF($U$8:$U$5007,$U1812))</f>
        <v/>
      </c>
    </row>
    <row r="1813" customFormat="false" ht="15" hidden="false" customHeight="false" outlineLevel="0" collapsed="false">
      <c r="A1813" s="31"/>
      <c r="B1813" s="32"/>
      <c r="C1813" s="32"/>
      <c r="D1813" s="32"/>
      <c r="E1813" s="32"/>
      <c r="F1813" s="32"/>
      <c r="G1813" s="33"/>
      <c r="H1813" s="33"/>
      <c r="I1813" s="34" t="str">
        <f aca="false">IF($A1813="","",$G1813-$H1813)</f>
        <v/>
      </c>
      <c r="J1813" s="35" t="str">
        <f aca="false">IF($A1813="","",IF(Setup!$B$6=1,YEAR($A1813),YEAR($A1813)+IF(MONTH($A1813)&gt;=Setup!$B$6,1,0)))</f>
        <v/>
      </c>
      <c r="K1813" s="35" t="str">
        <f aca="false">IF($A1813="","",MOD(MONTH($A1813)-Setup!$B$6+12,12)+1)</f>
        <v/>
      </c>
      <c r="L1813" s="36" t="str">
        <f aca="false">IF($A1813="","",TEXT($A1813,"MMM-YY"))</f>
        <v/>
      </c>
      <c r="M1813" s="37" t="str">
        <f aca="false">IF($A1813="","",IF($Q1813=0,"UNMAPPED",INDEX(COA_Mapping!$C$7:$C$256,$Q1813)))</f>
        <v/>
      </c>
      <c r="N1813" s="38" t="str">
        <f aca="false">IF($A1813="","",IF($Q1813=0,"",INDEX(COA_Mapping!$E$7:$E$256,$Q1813)))</f>
        <v/>
      </c>
      <c r="O1813" s="38" t="n">
        <f aca="false">IF($A1813="",1,IF($Q1813=0,1,INDEX(COA_Mapping!$F$7:$F$256,$Q1813)))</f>
        <v>1</v>
      </c>
      <c r="P1813" s="34" t="str">
        <f aca="false">IF($A1813="","",$I1813*$O1813)</f>
        <v/>
      </c>
      <c r="Q1813" s="39" t="n">
        <f aca="false">IF($B1813="",0,IFERROR(MATCH($B1813,COA_Mapping!$A$7:$A$256,0),0))</f>
        <v>0</v>
      </c>
      <c r="R1813" s="39" t="n">
        <f aca="false">IF($A1813="",-1,IF($J1813=Setup!$B$7,1,IF($J1813=Setup!$B$9,0,-1)))</f>
        <v>-1</v>
      </c>
      <c r="S1813" s="35" t="n">
        <f aca="false">IF(OR($A1813="",$Q1813=0,$R1813=-1),0,$Q1813*1000+$R1813*100+$K1813)</f>
        <v>0</v>
      </c>
      <c r="T1813" s="37" t="str">
        <f aca="false">IF($A1813="","",IF($B1813="","NO ACCOUNT",IF($Q1813=0,"UNMAPPED",IF($R1813=-1,"OUTSIDE FY RANGE","OK"))))</f>
        <v/>
      </c>
      <c r="U1813" s="40" t="str">
        <f aca="false">IF($A1813="","",$B1813&amp;"|"&amp;TEXT($A1813,"yyyymmdd")&amp;"|"&amp;TEXT($I1813,"0.00"))</f>
        <v/>
      </c>
      <c r="V1813" s="35" t="str">
        <f aca="false">IF($A1813="","",COUNTIF($U$8:$U$5007,$U1813))</f>
        <v/>
      </c>
    </row>
    <row r="1814" customFormat="false" ht="15" hidden="false" customHeight="false" outlineLevel="0" collapsed="false">
      <c r="A1814" s="31"/>
      <c r="B1814" s="32"/>
      <c r="C1814" s="32"/>
      <c r="D1814" s="32"/>
      <c r="E1814" s="32"/>
      <c r="F1814" s="32"/>
      <c r="G1814" s="33"/>
      <c r="H1814" s="33"/>
      <c r="I1814" s="34" t="str">
        <f aca="false">IF($A1814="","",$G1814-$H1814)</f>
        <v/>
      </c>
      <c r="J1814" s="35" t="str">
        <f aca="false">IF($A1814="","",IF(Setup!$B$6=1,YEAR($A1814),YEAR($A1814)+IF(MONTH($A1814)&gt;=Setup!$B$6,1,0)))</f>
        <v/>
      </c>
      <c r="K1814" s="35" t="str">
        <f aca="false">IF($A1814="","",MOD(MONTH($A1814)-Setup!$B$6+12,12)+1)</f>
        <v/>
      </c>
      <c r="L1814" s="36" t="str">
        <f aca="false">IF($A1814="","",TEXT($A1814,"MMM-YY"))</f>
        <v/>
      </c>
      <c r="M1814" s="37" t="str">
        <f aca="false">IF($A1814="","",IF($Q1814=0,"UNMAPPED",INDEX(COA_Mapping!$C$7:$C$256,$Q1814)))</f>
        <v/>
      </c>
      <c r="N1814" s="38" t="str">
        <f aca="false">IF($A1814="","",IF($Q1814=0,"",INDEX(COA_Mapping!$E$7:$E$256,$Q1814)))</f>
        <v/>
      </c>
      <c r="O1814" s="38" t="n">
        <f aca="false">IF($A1814="",1,IF($Q1814=0,1,INDEX(COA_Mapping!$F$7:$F$256,$Q1814)))</f>
        <v>1</v>
      </c>
      <c r="P1814" s="34" t="str">
        <f aca="false">IF($A1814="","",$I1814*$O1814)</f>
        <v/>
      </c>
      <c r="Q1814" s="39" t="n">
        <f aca="false">IF($B1814="",0,IFERROR(MATCH($B1814,COA_Mapping!$A$7:$A$256,0),0))</f>
        <v>0</v>
      </c>
      <c r="R1814" s="39" t="n">
        <f aca="false">IF($A1814="",-1,IF($J1814=Setup!$B$7,1,IF($J1814=Setup!$B$9,0,-1)))</f>
        <v>-1</v>
      </c>
      <c r="S1814" s="35" t="n">
        <f aca="false">IF(OR($A1814="",$Q1814=0,$R1814=-1),0,$Q1814*1000+$R1814*100+$K1814)</f>
        <v>0</v>
      </c>
      <c r="T1814" s="37" t="str">
        <f aca="false">IF($A1814="","",IF($B1814="","NO ACCOUNT",IF($Q1814=0,"UNMAPPED",IF($R1814=-1,"OUTSIDE FY RANGE","OK"))))</f>
        <v/>
      </c>
      <c r="U1814" s="40" t="str">
        <f aca="false">IF($A1814="","",$B1814&amp;"|"&amp;TEXT($A1814,"yyyymmdd")&amp;"|"&amp;TEXT($I1814,"0.00"))</f>
        <v/>
      </c>
      <c r="V1814" s="35" t="str">
        <f aca="false">IF($A1814="","",COUNTIF($U$8:$U$5007,$U1814))</f>
        <v/>
      </c>
    </row>
    <row r="1815" customFormat="false" ht="15" hidden="false" customHeight="false" outlineLevel="0" collapsed="false">
      <c r="A1815" s="31"/>
      <c r="B1815" s="32"/>
      <c r="C1815" s="32"/>
      <c r="D1815" s="32"/>
      <c r="E1815" s="32"/>
      <c r="F1815" s="32"/>
      <c r="G1815" s="33"/>
      <c r="H1815" s="33"/>
      <c r="I1815" s="34" t="str">
        <f aca="false">IF($A1815="","",$G1815-$H1815)</f>
        <v/>
      </c>
      <c r="J1815" s="35" t="str">
        <f aca="false">IF($A1815="","",IF(Setup!$B$6=1,YEAR($A1815),YEAR($A1815)+IF(MONTH($A1815)&gt;=Setup!$B$6,1,0)))</f>
        <v/>
      </c>
      <c r="K1815" s="35" t="str">
        <f aca="false">IF($A1815="","",MOD(MONTH($A1815)-Setup!$B$6+12,12)+1)</f>
        <v/>
      </c>
      <c r="L1815" s="36" t="str">
        <f aca="false">IF($A1815="","",TEXT($A1815,"MMM-YY"))</f>
        <v/>
      </c>
      <c r="M1815" s="37" t="str">
        <f aca="false">IF($A1815="","",IF($Q1815=0,"UNMAPPED",INDEX(COA_Mapping!$C$7:$C$256,$Q1815)))</f>
        <v/>
      </c>
      <c r="N1815" s="38" t="str">
        <f aca="false">IF($A1815="","",IF($Q1815=0,"",INDEX(COA_Mapping!$E$7:$E$256,$Q1815)))</f>
        <v/>
      </c>
      <c r="O1815" s="38" t="n">
        <f aca="false">IF($A1815="",1,IF($Q1815=0,1,INDEX(COA_Mapping!$F$7:$F$256,$Q1815)))</f>
        <v>1</v>
      </c>
      <c r="P1815" s="34" t="str">
        <f aca="false">IF($A1815="","",$I1815*$O1815)</f>
        <v/>
      </c>
      <c r="Q1815" s="39" t="n">
        <f aca="false">IF($B1815="",0,IFERROR(MATCH($B1815,COA_Mapping!$A$7:$A$256,0),0))</f>
        <v>0</v>
      </c>
      <c r="R1815" s="39" t="n">
        <f aca="false">IF($A1815="",-1,IF($J1815=Setup!$B$7,1,IF($J1815=Setup!$B$9,0,-1)))</f>
        <v>-1</v>
      </c>
      <c r="S1815" s="35" t="n">
        <f aca="false">IF(OR($A1815="",$Q1815=0,$R1815=-1),0,$Q1815*1000+$R1815*100+$K1815)</f>
        <v>0</v>
      </c>
      <c r="T1815" s="37" t="str">
        <f aca="false">IF($A1815="","",IF($B1815="","NO ACCOUNT",IF($Q1815=0,"UNMAPPED",IF($R1815=-1,"OUTSIDE FY RANGE","OK"))))</f>
        <v/>
      </c>
      <c r="U1815" s="40" t="str">
        <f aca="false">IF($A1815="","",$B1815&amp;"|"&amp;TEXT($A1815,"yyyymmdd")&amp;"|"&amp;TEXT($I1815,"0.00"))</f>
        <v/>
      </c>
      <c r="V1815" s="35" t="str">
        <f aca="false">IF($A1815="","",COUNTIF($U$8:$U$5007,$U1815))</f>
        <v/>
      </c>
    </row>
    <row r="1816" customFormat="false" ht="15" hidden="false" customHeight="false" outlineLevel="0" collapsed="false">
      <c r="A1816" s="31"/>
      <c r="B1816" s="32"/>
      <c r="C1816" s="32"/>
      <c r="D1816" s="32"/>
      <c r="E1816" s="32"/>
      <c r="F1816" s="32"/>
      <c r="G1816" s="33"/>
      <c r="H1816" s="33"/>
      <c r="I1816" s="34" t="str">
        <f aca="false">IF($A1816="","",$G1816-$H1816)</f>
        <v/>
      </c>
      <c r="J1816" s="35" t="str">
        <f aca="false">IF($A1816="","",IF(Setup!$B$6=1,YEAR($A1816),YEAR($A1816)+IF(MONTH($A1816)&gt;=Setup!$B$6,1,0)))</f>
        <v/>
      </c>
      <c r="K1816" s="35" t="str">
        <f aca="false">IF($A1816="","",MOD(MONTH($A1816)-Setup!$B$6+12,12)+1)</f>
        <v/>
      </c>
      <c r="L1816" s="36" t="str">
        <f aca="false">IF($A1816="","",TEXT($A1816,"MMM-YY"))</f>
        <v/>
      </c>
      <c r="M1816" s="37" t="str">
        <f aca="false">IF($A1816="","",IF($Q1816=0,"UNMAPPED",INDEX(COA_Mapping!$C$7:$C$256,$Q1816)))</f>
        <v/>
      </c>
      <c r="N1816" s="38" t="str">
        <f aca="false">IF($A1816="","",IF($Q1816=0,"",INDEX(COA_Mapping!$E$7:$E$256,$Q1816)))</f>
        <v/>
      </c>
      <c r="O1816" s="38" t="n">
        <f aca="false">IF($A1816="",1,IF($Q1816=0,1,INDEX(COA_Mapping!$F$7:$F$256,$Q1816)))</f>
        <v>1</v>
      </c>
      <c r="P1816" s="34" t="str">
        <f aca="false">IF($A1816="","",$I1816*$O1816)</f>
        <v/>
      </c>
      <c r="Q1816" s="39" t="n">
        <f aca="false">IF($B1816="",0,IFERROR(MATCH($B1816,COA_Mapping!$A$7:$A$256,0),0))</f>
        <v>0</v>
      </c>
      <c r="R1816" s="39" t="n">
        <f aca="false">IF($A1816="",-1,IF($J1816=Setup!$B$7,1,IF($J1816=Setup!$B$9,0,-1)))</f>
        <v>-1</v>
      </c>
      <c r="S1816" s="35" t="n">
        <f aca="false">IF(OR($A1816="",$Q1816=0,$R1816=-1),0,$Q1816*1000+$R1816*100+$K1816)</f>
        <v>0</v>
      </c>
      <c r="T1816" s="37" t="str">
        <f aca="false">IF($A1816="","",IF($B1816="","NO ACCOUNT",IF($Q1816=0,"UNMAPPED",IF($R1816=-1,"OUTSIDE FY RANGE","OK"))))</f>
        <v/>
      </c>
      <c r="U1816" s="40" t="str">
        <f aca="false">IF($A1816="","",$B1816&amp;"|"&amp;TEXT($A1816,"yyyymmdd")&amp;"|"&amp;TEXT($I1816,"0.00"))</f>
        <v/>
      </c>
      <c r="V1816" s="35" t="str">
        <f aca="false">IF($A1816="","",COUNTIF($U$8:$U$5007,$U1816))</f>
        <v/>
      </c>
    </row>
    <row r="1817" customFormat="false" ht="15" hidden="false" customHeight="false" outlineLevel="0" collapsed="false">
      <c r="A1817" s="31"/>
      <c r="B1817" s="32"/>
      <c r="C1817" s="32"/>
      <c r="D1817" s="32"/>
      <c r="E1817" s="32"/>
      <c r="F1817" s="32"/>
      <c r="G1817" s="33"/>
      <c r="H1817" s="33"/>
      <c r="I1817" s="34" t="str">
        <f aca="false">IF($A1817="","",$G1817-$H1817)</f>
        <v/>
      </c>
      <c r="J1817" s="35" t="str">
        <f aca="false">IF($A1817="","",IF(Setup!$B$6=1,YEAR($A1817),YEAR($A1817)+IF(MONTH($A1817)&gt;=Setup!$B$6,1,0)))</f>
        <v/>
      </c>
      <c r="K1817" s="35" t="str">
        <f aca="false">IF($A1817="","",MOD(MONTH($A1817)-Setup!$B$6+12,12)+1)</f>
        <v/>
      </c>
      <c r="L1817" s="36" t="str">
        <f aca="false">IF($A1817="","",TEXT($A1817,"MMM-YY"))</f>
        <v/>
      </c>
      <c r="M1817" s="37" t="str">
        <f aca="false">IF($A1817="","",IF($Q1817=0,"UNMAPPED",INDEX(COA_Mapping!$C$7:$C$256,$Q1817)))</f>
        <v/>
      </c>
      <c r="N1817" s="38" t="str">
        <f aca="false">IF($A1817="","",IF($Q1817=0,"",INDEX(COA_Mapping!$E$7:$E$256,$Q1817)))</f>
        <v/>
      </c>
      <c r="O1817" s="38" t="n">
        <f aca="false">IF($A1817="",1,IF($Q1817=0,1,INDEX(COA_Mapping!$F$7:$F$256,$Q1817)))</f>
        <v>1</v>
      </c>
      <c r="P1817" s="34" t="str">
        <f aca="false">IF($A1817="","",$I1817*$O1817)</f>
        <v/>
      </c>
      <c r="Q1817" s="39" t="n">
        <f aca="false">IF($B1817="",0,IFERROR(MATCH($B1817,COA_Mapping!$A$7:$A$256,0),0))</f>
        <v>0</v>
      </c>
      <c r="R1817" s="39" t="n">
        <f aca="false">IF($A1817="",-1,IF($J1817=Setup!$B$7,1,IF($J1817=Setup!$B$9,0,-1)))</f>
        <v>-1</v>
      </c>
      <c r="S1817" s="35" t="n">
        <f aca="false">IF(OR($A1817="",$Q1817=0,$R1817=-1),0,$Q1817*1000+$R1817*100+$K1817)</f>
        <v>0</v>
      </c>
      <c r="T1817" s="37" t="str">
        <f aca="false">IF($A1817="","",IF($B1817="","NO ACCOUNT",IF($Q1817=0,"UNMAPPED",IF($R1817=-1,"OUTSIDE FY RANGE","OK"))))</f>
        <v/>
      </c>
      <c r="U1817" s="40" t="str">
        <f aca="false">IF($A1817="","",$B1817&amp;"|"&amp;TEXT($A1817,"yyyymmdd")&amp;"|"&amp;TEXT($I1817,"0.00"))</f>
        <v/>
      </c>
      <c r="V1817" s="35" t="str">
        <f aca="false">IF($A1817="","",COUNTIF($U$8:$U$5007,$U1817))</f>
        <v/>
      </c>
    </row>
    <row r="1818" customFormat="false" ht="15" hidden="false" customHeight="false" outlineLevel="0" collapsed="false">
      <c r="A1818" s="31"/>
      <c r="B1818" s="32"/>
      <c r="C1818" s="32"/>
      <c r="D1818" s="32"/>
      <c r="E1818" s="32"/>
      <c r="F1818" s="32"/>
      <c r="G1818" s="33"/>
      <c r="H1818" s="33"/>
      <c r="I1818" s="34" t="str">
        <f aca="false">IF($A1818="","",$G1818-$H1818)</f>
        <v/>
      </c>
      <c r="J1818" s="35" t="str">
        <f aca="false">IF($A1818="","",IF(Setup!$B$6=1,YEAR($A1818),YEAR($A1818)+IF(MONTH($A1818)&gt;=Setup!$B$6,1,0)))</f>
        <v/>
      </c>
      <c r="K1818" s="35" t="str">
        <f aca="false">IF($A1818="","",MOD(MONTH($A1818)-Setup!$B$6+12,12)+1)</f>
        <v/>
      </c>
      <c r="L1818" s="36" t="str">
        <f aca="false">IF($A1818="","",TEXT($A1818,"MMM-YY"))</f>
        <v/>
      </c>
      <c r="M1818" s="37" t="str">
        <f aca="false">IF($A1818="","",IF($Q1818=0,"UNMAPPED",INDEX(COA_Mapping!$C$7:$C$256,$Q1818)))</f>
        <v/>
      </c>
      <c r="N1818" s="38" t="str">
        <f aca="false">IF($A1818="","",IF($Q1818=0,"",INDEX(COA_Mapping!$E$7:$E$256,$Q1818)))</f>
        <v/>
      </c>
      <c r="O1818" s="38" t="n">
        <f aca="false">IF($A1818="",1,IF($Q1818=0,1,INDEX(COA_Mapping!$F$7:$F$256,$Q1818)))</f>
        <v>1</v>
      </c>
      <c r="P1818" s="34" t="str">
        <f aca="false">IF($A1818="","",$I1818*$O1818)</f>
        <v/>
      </c>
      <c r="Q1818" s="39" t="n">
        <f aca="false">IF($B1818="",0,IFERROR(MATCH($B1818,COA_Mapping!$A$7:$A$256,0),0))</f>
        <v>0</v>
      </c>
      <c r="R1818" s="39" t="n">
        <f aca="false">IF($A1818="",-1,IF($J1818=Setup!$B$7,1,IF($J1818=Setup!$B$9,0,-1)))</f>
        <v>-1</v>
      </c>
      <c r="S1818" s="35" t="n">
        <f aca="false">IF(OR($A1818="",$Q1818=0,$R1818=-1),0,$Q1818*1000+$R1818*100+$K1818)</f>
        <v>0</v>
      </c>
      <c r="T1818" s="37" t="str">
        <f aca="false">IF($A1818="","",IF($B1818="","NO ACCOUNT",IF($Q1818=0,"UNMAPPED",IF($R1818=-1,"OUTSIDE FY RANGE","OK"))))</f>
        <v/>
      </c>
      <c r="U1818" s="40" t="str">
        <f aca="false">IF($A1818="","",$B1818&amp;"|"&amp;TEXT($A1818,"yyyymmdd")&amp;"|"&amp;TEXT($I1818,"0.00"))</f>
        <v/>
      </c>
      <c r="V1818" s="35" t="str">
        <f aca="false">IF($A1818="","",COUNTIF($U$8:$U$5007,$U1818))</f>
        <v/>
      </c>
    </row>
    <row r="1819" customFormat="false" ht="15" hidden="false" customHeight="false" outlineLevel="0" collapsed="false">
      <c r="A1819" s="31"/>
      <c r="B1819" s="32"/>
      <c r="C1819" s="32"/>
      <c r="D1819" s="32"/>
      <c r="E1819" s="32"/>
      <c r="F1819" s="32"/>
      <c r="G1819" s="33"/>
      <c r="H1819" s="33"/>
      <c r="I1819" s="34" t="str">
        <f aca="false">IF($A1819="","",$G1819-$H1819)</f>
        <v/>
      </c>
      <c r="J1819" s="35" t="str">
        <f aca="false">IF($A1819="","",IF(Setup!$B$6=1,YEAR($A1819),YEAR($A1819)+IF(MONTH($A1819)&gt;=Setup!$B$6,1,0)))</f>
        <v/>
      </c>
      <c r="K1819" s="35" t="str">
        <f aca="false">IF($A1819="","",MOD(MONTH($A1819)-Setup!$B$6+12,12)+1)</f>
        <v/>
      </c>
      <c r="L1819" s="36" t="str">
        <f aca="false">IF($A1819="","",TEXT($A1819,"MMM-YY"))</f>
        <v/>
      </c>
      <c r="M1819" s="37" t="str">
        <f aca="false">IF($A1819="","",IF($Q1819=0,"UNMAPPED",INDEX(COA_Mapping!$C$7:$C$256,$Q1819)))</f>
        <v/>
      </c>
      <c r="N1819" s="38" t="str">
        <f aca="false">IF($A1819="","",IF($Q1819=0,"",INDEX(COA_Mapping!$E$7:$E$256,$Q1819)))</f>
        <v/>
      </c>
      <c r="O1819" s="38" t="n">
        <f aca="false">IF($A1819="",1,IF($Q1819=0,1,INDEX(COA_Mapping!$F$7:$F$256,$Q1819)))</f>
        <v>1</v>
      </c>
      <c r="P1819" s="34" t="str">
        <f aca="false">IF($A1819="","",$I1819*$O1819)</f>
        <v/>
      </c>
      <c r="Q1819" s="39" t="n">
        <f aca="false">IF($B1819="",0,IFERROR(MATCH($B1819,COA_Mapping!$A$7:$A$256,0),0))</f>
        <v>0</v>
      </c>
      <c r="R1819" s="39" t="n">
        <f aca="false">IF($A1819="",-1,IF($J1819=Setup!$B$7,1,IF($J1819=Setup!$B$9,0,-1)))</f>
        <v>-1</v>
      </c>
      <c r="S1819" s="35" t="n">
        <f aca="false">IF(OR($A1819="",$Q1819=0,$R1819=-1),0,$Q1819*1000+$R1819*100+$K1819)</f>
        <v>0</v>
      </c>
      <c r="T1819" s="37" t="str">
        <f aca="false">IF($A1819="","",IF($B1819="","NO ACCOUNT",IF($Q1819=0,"UNMAPPED",IF($R1819=-1,"OUTSIDE FY RANGE","OK"))))</f>
        <v/>
      </c>
      <c r="U1819" s="40" t="str">
        <f aca="false">IF($A1819="","",$B1819&amp;"|"&amp;TEXT($A1819,"yyyymmdd")&amp;"|"&amp;TEXT($I1819,"0.00"))</f>
        <v/>
      </c>
      <c r="V1819" s="35" t="str">
        <f aca="false">IF($A1819="","",COUNTIF($U$8:$U$5007,$U1819))</f>
        <v/>
      </c>
    </row>
    <row r="1820" customFormat="false" ht="15" hidden="false" customHeight="false" outlineLevel="0" collapsed="false">
      <c r="A1820" s="31"/>
      <c r="B1820" s="32"/>
      <c r="C1820" s="32"/>
      <c r="D1820" s="32"/>
      <c r="E1820" s="32"/>
      <c r="F1820" s="32"/>
      <c r="G1820" s="33"/>
      <c r="H1820" s="33"/>
      <c r="I1820" s="34" t="str">
        <f aca="false">IF($A1820="","",$G1820-$H1820)</f>
        <v/>
      </c>
      <c r="J1820" s="35" t="str">
        <f aca="false">IF($A1820="","",IF(Setup!$B$6=1,YEAR($A1820),YEAR($A1820)+IF(MONTH($A1820)&gt;=Setup!$B$6,1,0)))</f>
        <v/>
      </c>
      <c r="K1820" s="35" t="str">
        <f aca="false">IF($A1820="","",MOD(MONTH($A1820)-Setup!$B$6+12,12)+1)</f>
        <v/>
      </c>
      <c r="L1820" s="36" t="str">
        <f aca="false">IF($A1820="","",TEXT($A1820,"MMM-YY"))</f>
        <v/>
      </c>
      <c r="M1820" s="37" t="str">
        <f aca="false">IF($A1820="","",IF($Q1820=0,"UNMAPPED",INDEX(COA_Mapping!$C$7:$C$256,$Q1820)))</f>
        <v/>
      </c>
      <c r="N1820" s="38" t="str">
        <f aca="false">IF($A1820="","",IF($Q1820=0,"",INDEX(COA_Mapping!$E$7:$E$256,$Q1820)))</f>
        <v/>
      </c>
      <c r="O1820" s="38" t="n">
        <f aca="false">IF($A1820="",1,IF($Q1820=0,1,INDEX(COA_Mapping!$F$7:$F$256,$Q1820)))</f>
        <v>1</v>
      </c>
      <c r="P1820" s="34" t="str">
        <f aca="false">IF($A1820="","",$I1820*$O1820)</f>
        <v/>
      </c>
      <c r="Q1820" s="39" t="n">
        <f aca="false">IF($B1820="",0,IFERROR(MATCH($B1820,COA_Mapping!$A$7:$A$256,0),0))</f>
        <v>0</v>
      </c>
      <c r="R1820" s="39" t="n">
        <f aca="false">IF($A1820="",-1,IF($J1820=Setup!$B$7,1,IF($J1820=Setup!$B$9,0,-1)))</f>
        <v>-1</v>
      </c>
      <c r="S1820" s="35" t="n">
        <f aca="false">IF(OR($A1820="",$Q1820=0,$R1820=-1),0,$Q1820*1000+$R1820*100+$K1820)</f>
        <v>0</v>
      </c>
      <c r="T1820" s="37" t="str">
        <f aca="false">IF($A1820="","",IF($B1820="","NO ACCOUNT",IF($Q1820=0,"UNMAPPED",IF($R1820=-1,"OUTSIDE FY RANGE","OK"))))</f>
        <v/>
      </c>
      <c r="U1820" s="40" t="str">
        <f aca="false">IF($A1820="","",$B1820&amp;"|"&amp;TEXT($A1820,"yyyymmdd")&amp;"|"&amp;TEXT($I1820,"0.00"))</f>
        <v/>
      </c>
      <c r="V1820" s="35" t="str">
        <f aca="false">IF($A1820="","",COUNTIF($U$8:$U$5007,$U1820))</f>
        <v/>
      </c>
    </row>
    <row r="1821" customFormat="false" ht="15" hidden="false" customHeight="false" outlineLevel="0" collapsed="false">
      <c r="A1821" s="31"/>
      <c r="B1821" s="32"/>
      <c r="C1821" s="32"/>
      <c r="D1821" s="32"/>
      <c r="E1821" s="32"/>
      <c r="F1821" s="32"/>
      <c r="G1821" s="33"/>
      <c r="H1821" s="33"/>
      <c r="I1821" s="34" t="str">
        <f aca="false">IF($A1821="","",$G1821-$H1821)</f>
        <v/>
      </c>
      <c r="J1821" s="35" t="str">
        <f aca="false">IF($A1821="","",IF(Setup!$B$6=1,YEAR($A1821),YEAR($A1821)+IF(MONTH($A1821)&gt;=Setup!$B$6,1,0)))</f>
        <v/>
      </c>
      <c r="K1821" s="35" t="str">
        <f aca="false">IF($A1821="","",MOD(MONTH($A1821)-Setup!$B$6+12,12)+1)</f>
        <v/>
      </c>
      <c r="L1821" s="36" t="str">
        <f aca="false">IF($A1821="","",TEXT($A1821,"MMM-YY"))</f>
        <v/>
      </c>
      <c r="M1821" s="37" t="str">
        <f aca="false">IF($A1821="","",IF($Q1821=0,"UNMAPPED",INDEX(COA_Mapping!$C$7:$C$256,$Q1821)))</f>
        <v/>
      </c>
      <c r="N1821" s="38" t="str">
        <f aca="false">IF($A1821="","",IF($Q1821=0,"",INDEX(COA_Mapping!$E$7:$E$256,$Q1821)))</f>
        <v/>
      </c>
      <c r="O1821" s="38" t="n">
        <f aca="false">IF($A1821="",1,IF($Q1821=0,1,INDEX(COA_Mapping!$F$7:$F$256,$Q1821)))</f>
        <v>1</v>
      </c>
      <c r="P1821" s="34" t="str">
        <f aca="false">IF($A1821="","",$I1821*$O1821)</f>
        <v/>
      </c>
      <c r="Q1821" s="39" t="n">
        <f aca="false">IF($B1821="",0,IFERROR(MATCH($B1821,COA_Mapping!$A$7:$A$256,0),0))</f>
        <v>0</v>
      </c>
      <c r="R1821" s="39" t="n">
        <f aca="false">IF($A1821="",-1,IF($J1821=Setup!$B$7,1,IF($J1821=Setup!$B$9,0,-1)))</f>
        <v>-1</v>
      </c>
      <c r="S1821" s="35" t="n">
        <f aca="false">IF(OR($A1821="",$Q1821=0,$R1821=-1),0,$Q1821*1000+$R1821*100+$K1821)</f>
        <v>0</v>
      </c>
      <c r="T1821" s="37" t="str">
        <f aca="false">IF($A1821="","",IF($B1821="","NO ACCOUNT",IF($Q1821=0,"UNMAPPED",IF($R1821=-1,"OUTSIDE FY RANGE","OK"))))</f>
        <v/>
      </c>
      <c r="U1821" s="40" t="str">
        <f aca="false">IF($A1821="","",$B1821&amp;"|"&amp;TEXT($A1821,"yyyymmdd")&amp;"|"&amp;TEXT($I1821,"0.00"))</f>
        <v/>
      </c>
      <c r="V1821" s="35" t="str">
        <f aca="false">IF($A1821="","",COUNTIF($U$8:$U$5007,$U1821))</f>
        <v/>
      </c>
    </row>
    <row r="1822" customFormat="false" ht="15" hidden="false" customHeight="false" outlineLevel="0" collapsed="false">
      <c r="A1822" s="31"/>
      <c r="B1822" s="32"/>
      <c r="C1822" s="32"/>
      <c r="D1822" s="32"/>
      <c r="E1822" s="32"/>
      <c r="F1822" s="32"/>
      <c r="G1822" s="33"/>
      <c r="H1822" s="33"/>
      <c r="I1822" s="34" t="str">
        <f aca="false">IF($A1822="","",$G1822-$H1822)</f>
        <v/>
      </c>
      <c r="J1822" s="35" t="str">
        <f aca="false">IF($A1822="","",IF(Setup!$B$6=1,YEAR($A1822),YEAR($A1822)+IF(MONTH($A1822)&gt;=Setup!$B$6,1,0)))</f>
        <v/>
      </c>
      <c r="K1822" s="35" t="str">
        <f aca="false">IF($A1822="","",MOD(MONTH($A1822)-Setup!$B$6+12,12)+1)</f>
        <v/>
      </c>
      <c r="L1822" s="36" t="str">
        <f aca="false">IF($A1822="","",TEXT($A1822,"MMM-YY"))</f>
        <v/>
      </c>
      <c r="M1822" s="37" t="str">
        <f aca="false">IF($A1822="","",IF($Q1822=0,"UNMAPPED",INDEX(COA_Mapping!$C$7:$C$256,$Q1822)))</f>
        <v/>
      </c>
      <c r="N1822" s="38" t="str">
        <f aca="false">IF($A1822="","",IF($Q1822=0,"",INDEX(COA_Mapping!$E$7:$E$256,$Q1822)))</f>
        <v/>
      </c>
      <c r="O1822" s="38" t="n">
        <f aca="false">IF($A1822="",1,IF($Q1822=0,1,INDEX(COA_Mapping!$F$7:$F$256,$Q1822)))</f>
        <v>1</v>
      </c>
      <c r="P1822" s="34" t="str">
        <f aca="false">IF($A1822="","",$I1822*$O1822)</f>
        <v/>
      </c>
      <c r="Q1822" s="39" t="n">
        <f aca="false">IF($B1822="",0,IFERROR(MATCH($B1822,COA_Mapping!$A$7:$A$256,0),0))</f>
        <v>0</v>
      </c>
      <c r="R1822" s="39" t="n">
        <f aca="false">IF($A1822="",-1,IF($J1822=Setup!$B$7,1,IF($J1822=Setup!$B$9,0,-1)))</f>
        <v>-1</v>
      </c>
      <c r="S1822" s="35" t="n">
        <f aca="false">IF(OR($A1822="",$Q1822=0,$R1822=-1),0,$Q1822*1000+$R1822*100+$K1822)</f>
        <v>0</v>
      </c>
      <c r="T1822" s="37" t="str">
        <f aca="false">IF($A1822="","",IF($B1822="","NO ACCOUNT",IF($Q1822=0,"UNMAPPED",IF($R1822=-1,"OUTSIDE FY RANGE","OK"))))</f>
        <v/>
      </c>
      <c r="U1822" s="40" t="str">
        <f aca="false">IF($A1822="","",$B1822&amp;"|"&amp;TEXT($A1822,"yyyymmdd")&amp;"|"&amp;TEXT($I1822,"0.00"))</f>
        <v/>
      </c>
      <c r="V1822" s="35" t="str">
        <f aca="false">IF($A1822="","",COUNTIF($U$8:$U$5007,$U1822))</f>
        <v/>
      </c>
    </row>
    <row r="1823" customFormat="false" ht="15" hidden="false" customHeight="false" outlineLevel="0" collapsed="false">
      <c r="A1823" s="31"/>
      <c r="B1823" s="32"/>
      <c r="C1823" s="32"/>
      <c r="D1823" s="32"/>
      <c r="E1823" s="32"/>
      <c r="F1823" s="32"/>
      <c r="G1823" s="33"/>
      <c r="H1823" s="33"/>
      <c r="I1823" s="34" t="str">
        <f aca="false">IF($A1823="","",$G1823-$H1823)</f>
        <v/>
      </c>
      <c r="J1823" s="35" t="str">
        <f aca="false">IF($A1823="","",IF(Setup!$B$6=1,YEAR($A1823),YEAR($A1823)+IF(MONTH($A1823)&gt;=Setup!$B$6,1,0)))</f>
        <v/>
      </c>
      <c r="K1823" s="35" t="str">
        <f aca="false">IF($A1823="","",MOD(MONTH($A1823)-Setup!$B$6+12,12)+1)</f>
        <v/>
      </c>
      <c r="L1823" s="36" t="str">
        <f aca="false">IF($A1823="","",TEXT($A1823,"MMM-YY"))</f>
        <v/>
      </c>
      <c r="M1823" s="37" t="str">
        <f aca="false">IF($A1823="","",IF($Q1823=0,"UNMAPPED",INDEX(COA_Mapping!$C$7:$C$256,$Q1823)))</f>
        <v/>
      </c>
      <c r="N1823" s="38" t="str">
        <f aca="false">IF($A1823="","",IF($Q1823=0,"",INDEX(COA_Mapping!$E$7:$E$256,$Q1823)))</f>
        <v/>
      </c>
      <c r="O1823" s="38" t="n">
        <f aca="false">IF($A1823="",1,IF($Q1823=0,1,INDEX(COA_Mapping!$F$7:$F$256,$Q1823)))</f>
        <v>1</v>
      </c>
      <c r="P1823" s="34" t="str">
        <f aca="false">IF($A1823="","",$I1823*$O1823)</f>
        <v/>
      </c>
      <c r="Q1823" s="39" t="n">
        <f aca="false">IF($B1823="",0,IFERROR(MATCH($B1823,COA_Mapping!$A$7:$A$256,0),0))</f>
        <v>0</v>
      </c>
      <c r="R1823" s="39" t="n">
        <f aca="false">IF($A1823="",-1,IF($J1823=Setup!$B$7,1,IF($J1823=Setup!$B$9,0,-1)))</f>
        <v>-1</v>
      </c>
      <c r="S1823" s="35" t="n">
        <f aca="false">IF(OR($A1823="",$Q1823=0,$R1823=-1),0,$Q1823*1000+$R1823*100+$K1823)</f>
        <v>0</v>
      </c>
      <c r="T1823" s="37" t="str">
        <f aca="false">IF($A1823="","",IF($B1823="","NO ACCOUNT",IF($Q1823=0,"UNMAPPED",IF($R1823=-1,"OUTSIDE FY RANGE","OK"))))</f>
        <v/>
      </c>
      <c r="U1823" s="40" t="str">
        <f aca="false">IF($A1823="","",$B1823&amp;"|"&amp;TEXT($A1823,"yyyymmdd")&amp;"|"&amp;TEXT($I1823,"0.00"))</f>
        <v/>
      </c>
      <c r="V1823" s="35" t="str">
        <f aca="false">IF($A1823="","",COUNTIF($U$8:$U$5007,$U1823))</f>
        <v/>
      </c>
    </row>
    <row r="1824" customFormat="false" ht="15" hidden="false" customHeight="false" outlineLevel="0" collapsed="false">
      <c r="A1824" s="31"/>
      <c r="B1824" s="32"/>
      <c r="C1824" s="32"/>
      <c r="D1824" s="32"/>
      <c r="E1824" s="32"/>
      <c r="F1824" s="32"/>
      <c r="G1824" s="33"/>
      <c r="H1824" s="33"/>
      <c r="I1824" s="34" t="str">
        <f aca="false">IF($A1824="","",$G1824-$H1824)</f>
        <v/>
      </c>
      <c r="J1824" s="35" t="str">
        <f aca="false">IF($A1824="","",IF(Setup!$B$6=1,YEAR($A1824),YEAR($A1824)+IF(MONTH($A1824)&gt;=Setup!$B$6,1,0)))</f>
        <v/>
      </c>
      <c r="K1824" s="35" t="str">
        <f aca="false">IF($A1824="","",MOD(MONTH($A1824)-Setup!$B$6+12,12)+1)</f>
        <v/>
      </c>
      <c r="L1824" s="36" t="str">
        <f aca="false">IF($A1824="","",TEXT($A1824,"MMM-YY"))</f>
        <v/>
      </c>
      <c r="M1824" s="37" t="str">
        <f aca="false">IF($A1824="","",IF($Q1824=0,"UNMAPPED",INDEX(COA_Mapping!$C$7:$C$256,$Q1824)))</f>
        <v/>
      </c>
      <c r="N1824" s="38" t="str">
        <f aca="false">IF($A1824="","",IF($Q1824=0,"",INDEX(COA_Mapping!$E$7:$E$256,$Q1824)))</f>
        <v/>
      </c>
      <c r="O1824" s="38" t="n">
        <f aca="false">IF($A1824="",1,IF($Q1824=0,1,INDEX(COA_Mapping!$F$7:$F$256,$Q1824)))</f>
        <v>1</v>
      </c>
      <c r="P1824" s="34" t="str">
        <f aca="false">IF($A1824="","",$I1824*$O1824)</f>
        <v/>
      </c>
      <c r="Q1824" s="39" t="n">
        <f aca="false">IF($B1824="",0,IFERROR(MATCH($B1824,COA_Mapping!$A$7:$A$256,0),0))</f>
        <v>0</v>
      </c>
      <c r="R1824" s="39" t="n">
        <f aca="false">IF($A1824="",-1,IF($J1824=Setup!$B$7,1,IF($J1824=Setup!$B$9,0,-1)))</f>
        <v>-1</v>
      </c>
      <c r="S1824" s="35" t="n">
        <f aca="false">IF(OR($A1824="",$Q1824=0,$R1824=-1),0,$Q1824*1000+$R1824*100+$K1824)</f>
        <v>0</v>
      </c>
      <c r="T1824" s="37" t="str">
        <f aca="false">IF($A1824="","",IF($B1824="","NO ACCOUNT",IF($Q1824=0,"UNMAPPED",IF($R1824=-1,"OUTSIDE FY RANGE","OK"))))</f>
        <v/>
      </c>
      <c r="U1824" s="40" t="str">
        <f aca="false">IF($A1824="","",$B1824&amp;"|"&amp;TEXT($A1824,"yyyymmdd")&amp;"|"&amp;TEXT($I1824,"0.00"))</f>
        <v/>
      </c>
      <c r="V1824" s="35" t="str">
        <f aca="false">IF($A1824="","",COUNTIF($U$8:$U$5007,$U1824))</f>
        <v/>
      </c>
    </row>
    <row r="1825" customFormat="false" ht="15" hidden="false" customHeight="false" outlineLevel="0" collapsed="false">
      <c r="A1825" s="31"/>
      <c r="B1825" s="32"/>
      <c r="C1825" s="32"/>
      <c r="D1825" s="32"/>
      <c r="E1825" s="32"/>
      <c r="F1825" s="32"/>
      <c r="G1825" s="33"/>
      <c r="H1825" s="33"/>
      <c r="I1825" s="34" t="str">
        <f aca="false">IF($A1825="","",$G1825-$H1825)</f>
        <v/>
      </c>
      <c r="J1825" s="35" t="str">
        <f aca="false">IF($A1825="","",IF(Setup!$B$6=1,YEAR($A1825),YEAR($A1825)+IF(MONTH($A1825)&gt;=Setup!$B$6,1,0)))</f>
        <v/>
      </c>
      <c r="K1825" s="35" t="str">
        <f aca="false">IF($A1825="","",MOD(MONTH($A1825)-Setup!$B$6+12,12)+1)</f>
        <v/>
      </c>
      <c r="L1825" s="36" t="str">
        <f aca="false">IF($A1825="","",TEXT($A1825,"MMM-YY"))</f>
        <v/>
      </c>
      <c r="M1825" s="37" t="str">
        <f aca="false">IF($A1825="","",IF($Q1825=0,"UNMAPPED",INDEX(COA_Mapping!$C$7:$C$256,$Q1825)))</f>
        <v/>
      </c>
      <c r="N1825" s="38" t="str">
        <f aca="false">IF($A1825="","",IF($Q1825=0,"",INDEX(COA_Mapping!$E$7:$E$256,$Q1825)))</f>
        <v/>
      </c>
      <c r="O1825" s="38" t="n">
        <f aca="false">IF($A1825="",1,IF($Q1825=0,1,INDEX(COA_Mapping!$F$7:$F$256,$Q1825)))</f>
        <v>1</v>
      </c>
      <c r="P1825" s="34" t="str">
        <f aca="false">IF($A1825="","",$I1825*$O1825)</f>
        <v/>
      </c>
      <c r="Q1825" s="39" t="n">
        <f aca="false">IF($B1825="",0,IFERROR(MATCH($B1825,COA_Mapping!$A$7:$A$256,0),0))</f>
        <v>0</v>
      </c>
      <c r="R1825" s="39" t="n">
        <f aca="false">IF($A1825="",-1,IF($J1825=Setup!$B$7,1,IF($J1825=Setup!$B$9,0,-1)))</f>
        <v>-1</v>
      </c>
      <c r="S1825" s="35" t="n">
        <f aca="false">IF(OR($A1825="",$Q1825=0,$R1825=-1),0,$Q1825*1000+$R1825*100+$K1825)</f>
        <v>0</v>
      </c>
      <c r="T1825" s="37" t="str">
        <f aca="false">IF($A1825="","",IF($B1825="","NO ACCOUNT",IF($Q1825=0,"UNMAPPED",IF($R1825=-1,"OUTSIDE FY RANGE","OK"))))</f>
        <v/>
      </c>
      <c r="U1825" s="40" t="str">
        <f aca="false">IF($A1825="","",$B1825&amp;"|"&amp;TEXT($A1825,"yyyymmdd")&amp;"|"&amp;TEXT($I1825,"0.00"))</f>
        <v/>
      </c>
      <c r="V1825" s="35" t="str">
        <f aca="false">IF($A1825="","",COUNTIF($U$8:$U$5007,$U1825))</f>
        <v/>
      </c>
    </row>
    <row r="1826" customFormat="false" ht="15" hidden="false" customHeight="false" outlineLevel="0" collapsed="false">
      <c r="A1826" s="31"/>
      <c r="B1826" s="32"/>
      <c r="C1826" s="32"/>
      <c r="D1826" s="32"/>
      <c r="E1826" s="32"/>
      <c r="F1826" s="32"/>
      <c r="G1826" s="33"/>
      <c r="H1826" s="33"/>
      <c r="I1826" s="34" t="str">
        <f aca="false">IF($A1826="","",$G1826-$H1826)</f>
        <v/>
      </c>
      <c r="J1826" s="35" t="str">
        <f aca="false">IF($A1826="","",IF(Setup!$B$6=1,YEAR($A1826),YEAR($A1826)+IF(MONTH($A1826)&gt;=Setup!$B$6,1,0)))</f>
        <v/>
      </c>
      <c r="K1826" s="35" t="str">
        <f aca="false">IF($A1826="","",MOD(MONTH($A1826)-Setup!$B$6+12,12)+1)</f>
        <v/>
      </c>
      <c r="L1826" s="36" t="str">
        <f aca="false">IF($A1826="","",TEXT($A1826,"MMM-YY"))</f>
        <v/>
      </c>
      <c r="M1826" s="37" t="str">
        <f aca="false">IF($A1826="","",IF($Q1826=0,"UNMAPPED",INDEX(COA_Mapping!$C$7:$C$256,$Q1826)))</f>
        <v/>
      </c>
      <c r="N1826" s="38" t="str">
        <f aca="false">IF($A1826="","",IF($Q1826=0,"",INDEX(COA_Mapping!$E$7:$E$256,$Q1826)))</f>
        <v/>
      </c>
      <c r="O1826" s="38" t="n">
        <f aca="false">IF($A1826="",1,IF($Q1826=0,1,INDEX(COA_Mapping!$F$7:$F$256,$Q1826)))</f>
        <v>1</v>
      </c>
      <c r="P1826" s="34" t="str">
        <f aca="false">IF($A1826="","",$I1826*$O1826)</f>
        <v/>
      </c>
      <c r="Q1826" s="39" t="n">
        <f aca="false">IF($B1826="",0,IFERROR(MATCH($B1826,COA_Mapping!$A$7:$A$256,0),0))</f>
        <v>0</v>
      </c>
      <c r="R1826" s="39" t="n">
        <f aca="false">IF($A1826="",-1,IF($J1826=Setup!$B$7,1,IF($J1826=Setup!$B$9,0,-1)))</f>
        <v>-1</v>
      </c>
      <c r="S1826" s="35" t="n">
        <f aca="false">IF(OR($A1826="",$Q1826=0,$R1826=-1),0,$Q1826*1000+$R1826*100+$K1826)</f>
        <v>0</v>
      </c>
      <c r="T1826" s="37" t="str">
        <f aca="false">IF($A1826="","",IF($B1826="","NO ACCOUNT",IF($Q1826=0,"UNMAPPED",IF($R1826=-1,"OUTSIDE FY RANGE","OK"))))</f>
        <v/>
      </c>
      <c r="U1826" s="40" t="str">
        <f aca="false">IF($A1826="","",$B1826&amp;"|"&amp;TEXT($A1826,"yyyymmdd")&amp;"|"&amp;TEXT($I1826,"0.00"))</f>
        <v/>
      </c>
      <c r="V1826" s="35" t="str">
        <f aca="false">IF($A1826="","",COUNTIF($U$8:$U$5007,$U1826))</f>
        <v/>
      </c>
    </row>
    <row r="1827" customFormat="false" ht="15" hidden="false" customHeight="false" outlineLevel="0" collapsed="false">
      <c r="A1827" s="31"/>
      <c r="B1827" s="32"/>
      <c r="C1827" s="32"/>
      <c r="D1827" s="32"/>
      <c r="E1827" s="32"/>
      <c r="F1827" s="32"/>
      <c r="G1827" s="33"/>
      <c r="H1827" s="33"/>
      <c r="I1827" s="34" t="str">
        <f aca="false">IF($A1827="","",$G1827-$H1827)</f>
        <v/>
      </c>
      <c r="J1827" s="35" t="str">
        <f aca="false">IF($A1827="","",IF(Setup!$B$6=1,YEAR($A1827),YEAR($A1827)+IF(MONTH($A1827)&gt;=Setup!$B$6,1,0)))</f>
        <v/>
      </c>
      <c r="K1827" s="35" t="str">
        <f aca="false">IF($A1827="","",MOD(MONTH($A1827)-Setup!$B$6+12,12)+1)</f>
        <v/>
      </c>
      <c r="L1827" s="36" t="str">
        <f aca="false">IF($A1827="","",TEXT($A1827,"MMM-YY"))</f>
        <v/>
      </c>
      <c r="M1827" s="37" t="str">
        <f aca="false">IF($A1827="","",IF($Q1827=0,"UNMAPPED",INDEX(COA_Mapping!$C$7:$C$256,$Q1827)))</f>
        <v/>
      </c>
      <c r="N1827" s="38" t="str">
        <f aca="false">IF($A1827="","",IF($Q1827=0,"",INDEX(COA_Mapping!$E$7:$E$256,$Q1827)))</f>
        <v/>
      </c>
      <c r="O1827" s="38" t="n">
        <f aca="false">IF($A1827="",1,IF($Q1827=0,1,INDEX(COA_Mapping!$F$7:$F$256,$Q1827)))</f>
        <v>1</v>
      </c>
      <c r="P1827" s="34" t="str">
        <f aca="false">IF($A1827="","",$I1827*$O1827)</f>
        <v/>
      </c>
      <c r="Q1827" s="39" t="n">
        <f aca="false">IF($B1827="",0,IFERROR(MATCH($B1827,COA_Mapping!$A$7:$A$256,0),0))</f>
        <v>0</v>
      </c>
      <c r="R1827" s="39" t="n">
        <f aca="false">IF($A1827="",-1,IF($J1827=Setup!$B$7,1,IF($J1827=Setup!$B$9,0,-1)))</f>
        <v>-1</v>
      </c>
      <c r="S1827" s="35" t="n">
        <f aca="false">IF(OR($A1827="",$Q1827=0,$R1827=-1),0,$Q1827*1000+$R1827*100+$K1827)</f>
        <v>0</v>
      </c>
      <c r="T1827" s="37" t="str">
        <f aca="false">IF($A1827="","",IF($B1827="","NO ACCOUNT",IF($Q1827=0,"UNMAPPED",IF($R1827=-1,"OUTSIDE FY RANGE","OK"))))</f>
        <v/>
      </c>
      <c r="U1827" s="40" t="str">
        <f aca="false">IF($A1827="","",$B1827&amp;"|"&amp;TEXT($A1827,"yyyymmdd")&amp;"|"&amp;TEXT($I1827,"0.00"))</f>
        <v/>
      </c>
      <c r="V1827" s="35" t="str">
        <f aca="false">IF($A1827="","",COUNTIF($U$8:$U$5007,$U1827))</f>
        <v/>
      </c>
    </row>
    <row r="1828" customFormat="false" ht="15" hidden="false" customHeight="false" outlineLevel="0" collapsed="false">
      <c r="A1828" s="31"/>
      <c r="B1828" s="32"/>
      <c r="C1828" s="32"/>
      <c r="D1828" s="32"/>
      <c r="E1828" s="32"/>
      <c r="F1828" s="32"/>
      <c r="G1828" s="33"/>
      <c r="H1828" s="33"/>
      <c r="I1828" s="34" t="str">
        <f aca="false">IF($A1828="","",$G1828-$H1828)</f>
        <v/>
      </c>
      <c r="J1828" s="35" t="str">
        <f aca="false">IF($A1828="","",IF(Setup!$B$6=1,YEAR($A1828),YEAR($A1828)+IF(MONTH($A1828)&gt;=Setup!$B$6,1,0)))</f>
        <v/>
      </c>
      <c r="K1828" s="35" t="str">
        <f aca="false">IF($A1828="","",MOD(MONTH($A1828)-Setup!$B$6+12,12)+1)</f>
        <v/>
      </c>
      <c r="L1828" s="36" t="str">
        <f aca="false">IF($A1828="","",TEXT($A1828,"MMM-YY"))</f>
        <v/>
      </c>
      <c r="M1828" s="37" t="str">
        <f aca="false">IF($A1828="","",IF($Q1828=0,"UNMAPPED",INDEX(COA_Mapping!$C$7:$C$256,$Q1828)))</f>
        <v/>
      </c>
      <c r="N1828" s="38" t="str">
        <f aca="false">IF($A1828="","",IF($Q1828=0,"",INDEX(COA_Mapping!$E$7:$E$256,$Q1828)))</f>
        <v/>
      </c>
      <c r="O1828" s="38" t="n">
        <f aca="false">IF($A1828="",1,IF($Q1828=0,1,INDEX(COA_Mapping!$F$7:$F$256,$Q1828)))</f>
        <v>1</v>
      </c>
      <c r="P1828" s="34" t="str">
        <f aca="false">IF($A1828="","",$I1828*$O1828)</f>
        <v/>
      </c>
      <c r="Q1828" s="39" t="n">
        <f aca="false">IF($B1828="",0,IFERROR(MATCH($B1828,COA_Mapping!$A$7:$A$256,0),0))</f>
        <v>0</v>
      </c>
      <c r="R1828" s="39" t="n">
        <f aca="false">IF($A1828="",-1,IF($J1828=Setup!$B$7,1,IF($J1828=Setup!$B$9,0,-1)))</f>
        <v>-1</v>
      </c>
      <c r="S1828" s="35" t="n">
        <f aca="false">IF(OR($A1828="",$Q1828=0,$R1828=-1),0,$Q1828*1000+$R1828*100+$K1828)</f>
        <v>0</v>
      </c>
      <c r="T1828" s="37" t="str">
        <f aca="false">IF($A1828="","",IF($B1828="","NO ACCOUNT",IF($Q1828=0,"UNMAPPED",IF($R1828=-1,"OUTSIDE FY RANGE","OK"))))</f>
        <v/>
      </c>
      <c r="U1828" s="40" t="str">
        <f aca="false">IF($A1828="","",$B1828&amp;"|"&amp;TEXT($A1828,"yyyymmdd")&amp;"|"&amp;TEXT($I1828,"0.00"))</f>
        <v/>
      </c>
      <c r="V1828" s="35" t="str">
        <f aca="false">IF($A1828="","",COUNTIF($U$8:$U$5007,$U1828))</f>
        <v/>
      </c>
    </row>
    <row r="1829" customFormat="false" ht="15" hidden="false" customHeight="false" outlineLevel="0" collapsed="false">
      <c r="A1829" s="31"/>
      <c r="B1829" s="32"/>
      <c r="C1829" s="32"/>
      <c r="D1829" s="32"/>
      <c r="E1829" s="32"/>
      <c r="F1829" s="32"/>
      <c r="G1829" s="33"/>
      <c r="H1829" s="33"/>
      <c r="I1829" s="34" t="str">
        <f aca="false">IF($A1829="","",$G1829-$H1829)</f>
        <v/>
      </c>
      <c r="J1829" s="35" t="str">
        <f aca="false">IF($A1829="","",IF(Setup!$B$6=1,YEAR($A1829),YEAR($A1829)+IF(MONTH($A1829)&gt;=Setup!$B$6,1,0)))</f>
        <v/>
      </c>
      <c r="K1829" s="35" t="str">
        <f aca="false">IF($A1829="","",MOD(MONTH($A1829)-Setup!$B$6+12,12)+1)</f>
        <v/>
      </c>
      <c r="L1829" s="36" t="str">
        <f aca="false">IF($A1829="","",TEXT($A1829,"MMM-YY"))</f>
        <v/>
      </c>
      <c r="M1829" s="37" t="str">
        <f aca="false">IF($A1829="","",IF($Q1829=0,"UNMAPPED",INDEX(COA_Mapping!$C$7:$C$256,$Q1829)))</f>
        <v/>
      </c>
      <c r="N1829" s="38" t="str">
        <f aca="false">IF($A1829="","",IF($Q1829=0,"",INDEX(COA_Mapping!$E$7:$E$256,$Q1829)))</f>
        <v/>
      </c>
      <c r="O1829" s="38" t="n">
        <f aca="false">IF($A1829="",1,IF($Q1829=0,1,INDEX(COA_Mapping!$F$7:$F$256,$Q1829)))</f>
        <v>1</v>
      </c>
      <c r="P1829" s="34" t="str">
        <f aca="false">IF($A1829="","",$I1829*$O1829)</f>
        <v/>
      </c>
      <c r="Q1829" s="39" t="n">
        <f aca="false">IF($B1829="",0,IFERROR(MATCH($B1829,COA_Mapping!$A$7:$A$256,0),0))</f>
        <v>0</v>
      </c>
      <c r="R1829" s="39" t="n">
        <f aca="false">IF($A1829="",-1,IF($J1829=Setup!$B$7,1,IF($J1829=Setup!$B$9,0,-1)))</f>
        <v>-1</v>
      </c>
      <c r="S1829" s="35" t="n">
        <f aca="false">IF(OR($A1829="",$Q1829=0,$R1829=-1),0,$Q1829*1000+$R1829*100+$K1829)</f>
        <v>0</v>
      </c>
      <c r="T1829" s="37" t="str">
        <f aca="false">IF($A1829="","",IF($B1829="","NO ACCOUNT",IF($Q1829=0,"UNMAPPED",IF($R1829=-1,"OUTSIDE FY RANGE","OK"))))</f>
        <v/>
      </c>
      <c r="U1829" s="40" t="str">
        <f aca="false">IF($A1829="","",$B1829&amp;"|"&amp;TEXT($A1829,"yyyymmdd")&amp;"|"&amp;TEXT($I1829,"0.00"))</f>
        <v/>
      </c>
      <c r="V1829" s="35" t="str">
        <f aca="false">IF($A1829="","",COUNTIF($U$8:$U$5007,$U1829))</f>
        <v/>
      </c>
    </row>
    <row r="1830" customFormat="false" ht="15" hidden="false" customHeight="false" outlineLevel="0" collapsed="false">
      <c r="A1830" s="31"/>
      <c r="B1830" s="32"/>
      <c r="C1830" s="32"/>
      <c r="D1830" s="32"/>
      <c r="E1830" s="32"/>
      <c r="F1830" s="32"/>
      <c r="G1830" s="33"/>
      <c r="H1830" s="33"/>
      <c r="I1830" s="34" t="str">
        <f aca="false">IF($A1830="","",$G1830-$H1830)</f>
        <v/>
      </c>
      <c r="J1830" s="35" t="str">
        <f aca="false">IF($A1830="","",IF(Setup!$B$6=1,YEAR($A1830),YEAR($A1830)+IF(MONTH($A1830)&gt;=Setup!$B$6,1,0)))</f>
        <v/>
      </c>
      <c r="K1830" s="35" t="str">
        <f aca="false">IF($A1830="","",MOD(MONTH($A1830)-Setup!$B$6+12,12)+1)</f>
        <v/>
      </c>
      <c r="L1830" s="36" t="str">
        <f aca="false">IF($A1830="","",TEXT($A1830,"MMM-YY"))</f>
        <v/>
      </c>
      <c r="M1830" s="37" t="str">
        <f aca="false">IF($A1830="","",IF($Q1830=0,"UNMAPPED",INDEX(COA_Mapping!$C$7:$C$256,$Q1830)))</f>
        <v/>
      </c>
      <c r="N1830" s="38" t="str">
        <f aca="false">IF($A1830="","",IF($Q1830=0,"",INDEX(COA_Mapping!$E$7:$E$256,$Q1830)))</f>
        <v/>
      </c>
      <c r="O1830" s="38" t="n">
        <f aca="false">IF($A1830="",1,IF($Q1830=0,1,INDEX(COA_Mapping!$F$7:$F$256,$Q1830)))</f>
        <v>1</v>
      </c>
      <c r="P1830" s="34" t="str">
        <f aca="false">IF($A1830="","",$I1830*$O1830)</f>
        <v/>
      </c>
      <c r="Q1830" s="39" t="n">
        <f aca="false">IF($B1830="",0,IFERROR(MATCH($B1830,COA_Mapping!$A$7:$A$256,0),0))</f>
        <v>0</v>
      </c>
      <c r="R1830" s="39" t="n">
        <f aca="false">IF($A1830="",-1,IF($J1830=Setup!$B$7,1,IF($J1830=Setup!$B$9,0,-1)))</f>
        <v>-1</v>
      </c>
      <c r="S1830" s="35" t="n">
        <f aca="false">IF(OR($A1830="",$Q1830=0,$R1830=-1),0,$Q1830*1000+$R1830*100+$K1830)</f>
        <v>0</v>
      </c>
      <c r="T1830" s="37" t="str">
        <f aca="false">IF($A1830="","",IF($B1830="","NO ACCOUNT",IF($Q1830=0,"UNMAPPED",IF($R1830=-1,"OUTSIDE FY RANGE","OK"))))</f>
        <v/>
      </c>
      <c r="U1830" s="40" t="str">
        <f aca="false">IF($A1830="","",$B1830&amp;"|"&amp;TEXT($A1830,"yyyymmdd")&amp;"|"&amp;TEXT($I1830,"0.00"))</f>
        <v/>
      </c>
      <c r="V1830" s="35" t="str">
        <f aca="false">IF($A1830="","",COUNTIF($U$8:$U$5007,$U1830))</f>
        <v/>
      </c>
    </row>
    <row r="1831" customFormat="false" ht="15" hidden="false" customHeight="false" outlineLevel="0" collapsed="false">
      <c r="A1831" s="31"/>
      <c r="B1831" s="32"/>
      <c r="C1831" s="32"/>
      <c r="D1831" s="32"/>
      <c r="E1831" s="32"/>
      <c r="F1831" s="32"/>
      <c r="G1831" s="33"/>
      <c r="H1831" s="33"/>
      <c r="I1831" s="34" t="str">
        <f aca="false">IF($A1831="","",$G1831-$H1831)</f>
        <v/>
      </c>
      <c r="J1831" s="35" t="str">
        <f aca="false">IF($A1831="","",IF(Setup!$B$6=1,YEAR($A1831),YEAR($A1831)+IF(MONTH($A1831)&gt;=Setup!$B$6,1,0)))</f>
        <v/>
      </c>
      <c r="K1831" s="35" t="str">
        <f aca="false">IF($A1831="","",MOD(MONTH($A1831)-Setup!$B$6+12,12)+1)</f>
        <v/>
      </c>
      <c r="L1831" s="36" t="str">
        <f aca="false">IF($A1831="","",TEXT($A1831,"MMM-YY"))</f>
        <v/>
      </c>
      <c r="M1831" s="37" t="str">
        <f aca="false">IF($A1831="","",IF($Q1831=0,"UNMAPPED",INDEX(COA_Mapping!$C$7:$C$256,$Q1831)))</f>
        <v/>
      </c>
      <c r="N1831" s="38" t="str">
        <f aca="false">IF($A1831="","",IF($Q1831=0,"",INDEX(COA_Mapping!$E$7:$E$256,$Q1831)))</f>
        <v/>
      </c>
      <c r="O1831" s="38" t="n">
        <f aca="false">IF($A1831="",1,IF($Q1831=0,1,INDEX(COA_Mapping!$F$7:$F$256,$Q1831)))</f>
        <v>1</v>
      </c>
      <c r="P1831" s="34" t="str">
        <f aca="false">IF($A1831="","",$I1831*$O1831)</f>
        <v/>
      </c>
      <c r="Q1831" s="39" t="n">
        <f aca="false">IF($B1831="",0,IFERROR(MATCH($B1831,COA_Mapping!$A$7:$A$256,0),0))</f>
        <v>0</v>
      </c>
      <c r="R1831" s="39" t="n">
        <f aca="false">IF($A1831="",-1,IF($J1831=Setup!$B$7,1,IF($J1831=Setup!$B$9,0,-1)))</f>
        <v>-1</v>
      </c>
      <c r="S1831" s="35" t="n">
        <f aca="false">IF(OR($A1831="",$Q1831=0,$R1831=-1),0,$Q1831*1000+$R1831*100+$K1831)</f>
        <v>0</v>
      </c>
      <c r="T1831" s="37" t="str">
        <f aca="false">IF($A1831="","",IF($B1831="","NO ACCOUNT",IF($Q1831=0,"UNMAPPED",IF($R1831=-1,"OUTSIDE FY RANGE","OK"))))</f>
        <v/>
      </c>
      <c r="U1831" s="40" t="str">
        <f aca="false">IF($A1831="","",$B1831&amp;"|"&amp;TEXT($A1831,"yyyymmdd")&amp;"|"&amp;TEXT($I1831,"0.00"))</f>
        <v/>
      </c>
      <c r="V1831" s="35" t="str">
        <f aca="false">IF($A1831="","",COUNTIF($U$8:$U$5007,$U1831))</f>
        <v/>
      </c>
    </row>
    <row r="1832" customFormat="false" ht="15" hidden="false" customHeight="false" outlineLevel="0" collapsed="false">
      <c r="A1832" s="31"/>
      <c r="B1832" s="32"/>
      <c r="C1832" s="32"/>
      <c r="D1832" s="32"/>
      <c r="E1832" s="32"/>
      <c r="F1832" s="32"/>
      <c r="G1832" s="33"/>
      <c r="H1832" s="33"/>
      <c r="I1832" s="34" t="str">
        <f aca="false">IF($A1832="","",$G1832-$H1832)</f>
        <v/>
      </c>
      <c r="J1832" s="35" t="str">
        <f aca="false">IF($A1832="","",IF(Setup!$B$6=1,YEAR($A1832),YEAR($A1832)+IF(MONTH($A1832)&gt;=Setup!$B$6,1,0)))</f>
        <v/>
      </c>
      <c r="K1832" s="35" t="str">
        <f aca="false">IF($A1832="","",MOD(MONTH($A1832)-Setup!$B$6+12,12)+1)</f>
        <v/>
      </c>
      <c r="L1832" s="36" t="str">
        <f aca="false">IF($A1832="","",TEXT($A1832,"MMM-YY"))</f>
        <v/>
      </c>
      <c r="M1832" s="37" t="str">
        <f aca="false">IF($A1832="","",IF($Q1832=0,"UNMAPPED",INDEX(COA_Mapping!$C$7:$C$256,$Q1832)))</f>
        <v/>
      </c>
      <c r="N1832" s="38" t="str">
        <f aca="false">IF($A1832="","",IF($Q1832=0,"",INDEX(COA_Mapping!$E$7:$E$256,$Q1832)))</f>
        <v/>
      </c>
      <c r="O1832" s="38" t="n">
        <f aca="false">IF($A1832="",1,IF($Q1832=0,1,INDEX(COA_Mapping!$F$7:$F$256,$Q1832)))</f>
        <v>1</v>
      </c>
      <c r="P1832" s="34" t="str">
        <f aca="false">IF($A1832="","",$I1832*$O1832)</f>
        <v/>
      </c>
      <c r="Q1832" s="39" t="n">
        <f aca="false">IF($B1832="",0,IFERROR(MATCH($B1832,COA_Mapping!$A$7:$A$256,0),0))</f>
        <v>0</v>
      </c>
      <c r="R1832" s="39" t="n">
        <f aca="false">IF($A1832="",-1,IF($J1832=Setup!$B$7,1,IF($J1832=Setup!$B$9,0,-1)))</f>
        <v>-1</v>
      </c>
      <c r="S1832" s="35" t="n">
        <f aca="false">IF(OR($A1832="",$Q1832=0,$R1832=-1),0,$Q1832*1000+$R1832*100+$K1832)</f>
        <v>0</v>
      </c>
      <c r="T1832" s="37" t="str">
        <f aca="false">IF($A1832="","",IF($B1832="","NO ACCOUNT",IF($Q1832=0,"UNMAPPED",IF($R1832=-1,"OUTSIDE FY RANGE","OK"))))</f>
        <v/>
      </c>
      <c r="U1832" s="40" t="str">
        <f aca="false">IF($A1832="","",$B1832&amp;"|"&amp;TEXT($A1832,"yyyymmdd")&amp;"|"&amp;TEXT($I1832,"0.00"))</f>
        <v/>
      </c>
      <c r="V1832" s="35" t="str">
        <f aca="false">IF($A1832="","",COUNTIF($U$8:$U$5007,$U1832))</f>
        <v/>
      </c>
    </row>
    <row r="1833" customFormat="false" ht="15" hidden="false" customHeight="false" outlineLevel="0" collapsed="false">
      <c r="A1833" s="31"/>
      <c r="B1833" s="32"/>
      <c r="C1833" s="32"/>
      <c r="D1833" s="32"/>
      <c r="E1833" s="32"/>
      <c r="F1833" s="32"/>
      <c r="G1833" s="33"/>
      <c r="H1833" s="33"/>
      <c r="I1833" s="34" t="str">
        <f aca="false">IF($A1833="","",$G1833-$H1833)</f>
        <v/>
      </c>
      <c r="J1833" s="35" t="str">
        <f aca="false">IF($A1833="","",IF(Setup!$B$6=1,YEAR($A1833),YEAR($A1833)+IF(MONTH($A1833)&gt;=Setup!$B$6,1,0)))</f>
        <v/>
      </c>
      <c r="K1833" s="35" t="str">
        <f aca="false">IF($A1833="","",MOD(MONTH($A1833)-Setup!$B$6+12,12)+1)</f>
        <v/>
      </c>
      <c r="L1833" s="36" t="str">
        <f aca="false">IF($A1833="","",TEXT($A1833,"MMM-YY"))</f>
        <v/>
      </c>
      <c r="M1833" s="37" t="str">
        <f aca="false">IF($A1833="","",IF($Q1833=0,"UNMAPPED",INDEX(COA_Mapping!$C$7:$C$256,$Q1833)))</f>
        <v/>
      </c>
      <c r="N1833" s="38" t="str">
        <f aca="false">IF($A1833="","",IF($Q1833=0,"",INDEX(COA_Mapping!$E$7:$E$256,$Q1833)))</f>
        <v/>
      </c>
      <c r="O1833" s="38" t="n">
        <f aca="false">IF($A1833="",1,IF($Q1833=0,1,INDEX(COA_Mapping!$F$7:$F$256,$Q1833)))</f>
        <v>1</v>
      </c>
      <c r="P1833" s="34" t="str">
        <f aca="false">IF($A1833="","",$I1833*$O1833)</f>
        <v/>
      </c>
      <c r="Q1833" s="39" t="n">
        <f aca="false">IF($B1833="",0,IFERROR(MATCH($B1833,COA_Mapping!$A$7:$A$256,0),0))</f>
        <v>0</v>
      </c>
      <c r="R1833" s="39" t="n">
        <f aca="false">IF($A1833="",-1,IF($J1833=Setup!$B$7,1,IF($J1833=Setup!$B$9,0,-1)))</f>
        <v>-1</v>
      </c>
      <c r="S1833" s="35" t="n">
        <f aca="false">IF(OR($A1833="",$Q1833=0,$R1833=-1),0,$Q1833*1000+$R1833*100+$K1833)</f>
        <v>0</v>
      </c>
      <c r="T1833" s="37" t="str">
        <f aca="false">IF($A1833="","",IF($B1833="","NO ACCOUNT",IF($Q1833=0,"UNMAPPED",IF($R1833=-1,"OUTSIDE FY RANGE","OK"))))</f>
        <v/>
      </c>
      <c r="U1833" s="40" t="str">
        <f aca="false">IF($A1833="","",$B1833&amp;"|"&amp;TEXT($A1833,"yyyymmdd")&amp;"|"&amp;TEXT($I1833,"0.00"))</f>
        <v/>
      </c>
      <c r="V1833" s="35" t="str">
        <f aca="false">IF($A1833="","",COUNTIF($U$8:$U$5007,$U1833))</f>
        <v/>
      </c>
    </row>
    <row r="1834" customFormat="false" ht="15" hidden="false" customHeight="false" outlineLevel="0" collapsed="false">
      <c r="A1834" s="31"/>
      <c r="B1834" s="32"/>
      <c r="C1834" s="32"/>
      <c r="D1834" s="32"/>
      <c r="E1834" s="32"/>
      <c r="F1834" s="32"/>
      <c r="G1834" s="33"/>
      <c r="H1834" s="33"/>
      <c r="I1834" s="34" t="str">
        <f aca="false">IF($A1834="","",$G1834-$H1834)</f>
        <v/>
      </c>
      <c r="J1834" s="35" t="str">
        <f aca="false">IF($A1834="","",IF(Setup!$B$6=1,YEAR($A1834),YEAR($A1834)+IF(MONTH($A1834)&gt;=Setup!$B$6,1,0)))</f>
        <v/>
      </c>
      <c r="K1834" s="35" t="str">
        <f aca="false">IF($A1834="","",MOD(MONTH($A1834)-Setup!$B$6+12,12)+1)</f>
        <v/>
      </c>
      <c r="L1834" s="36" t="str">
        <f aca="false">IF($A1834="","",TEXT($A1834,"MMM-YY"))</f>
        <v/>
      </c>
      <c r="M1834" s="37" t="str">
        <f aca="false">IF($A1834="","",IF($Q1834=0,"UNMAPPED",INDEX(COA_Mapping!$C$7:$C$256,$Q1834)))</f>
        <v/>
      </c>
      <c r="N1834" s="38" t="str">
        <f aca="false">IF($A1834="","",IF($Q1834=0,"",INDEX(COA_Mapping!$E$7:$E$256,$Q1834)))</f>
        <v/>
      </c>
      <c r="O1834" s="38" t="n">
        <f aca="false">IF($A1834="",1,IF($Q1834=0,1,INDEX(COA_Mapping!$F$7:$F$256,$Q1834)))</f>
        <v>1</v>
      </c>
      <c r="P1834" s="34" t="str">
        <f aca="false">IF($A1834="","",$I1834*$O1834)</f>
        <v/>
      </c>
      <c r="Q1834" s="39" t="n">
        <f aca="false">IF($B1834="",0,IFERROR(MATCH($B1834,COA_Mapping!$A$7:$A$256,0),0))</f>
        <v>0</v>
      </c>
      <c r="R1834" s="39" t="n">
        <f aca="false">IF($A1834="",-1,IF($J1834=Setup!$B$7,1,IF($J1834=Setup!$B$9,0,-1)))</f>
        <v>-1</v>
      </c>
      <c r="S1834" s="35" t="n">
        <f aca="false">IF(OR($A1834="",$Q1834=0,$R1834=-1),0,$Q1834*1000+$R1834*100+$K1834)</f>
        <v>0</v>
      </c>
      <c r="T1834" s="37" t="str">
        <f aca="false">IF($A1834="","",IF($B1834="","NO ACCOUNT",IF($Q1834=0,"UNMAPPED",IF($R1834=-1,"OUTSIDE FY RANGE","OK"))))</f>
        <v/>
      </c>
      <c r="U1834" s="40" t="str">
        <f aca="false">IF($A1834="","",$B1834&amp;"|"&amp;TEXT($A1834,"yyyymmdd")&amp;"|"&amp;TEXT($I1834,"0.00"))</f>
        <v/>
      </c>
      <c r="V1834" s="35" t="str">
        <f aca="false">IF($A1834="","",COUNTIF($U$8:$U$5007,$U1834))</f>
        <v/>
      </c>
    </row>
    <row r="1835" customFormat="false" ht="15" hidden="false" customHeight="false" outlineLevel="0" collapsed="false">
      <c r="A1835" s="31"/>
      <c r="B1835" s="32"/>
      <c r="C1835" s="32"/>
      <c r="D1835" s="32"/>
      <c r="E1835" s="32"/>
      <c r="F1835" s="32"/>
      <c r="G1835" s="33"/>
      <c r="H1835" s="33"/>
      <c r="I1835" s="34" t="str">
        <f aca="false">IF($A1835="","",$G1835-$H1835)</f>
        <v/>
      </c>
      <c r="J1835" s="35" t="str">
        <f aca="false">IF($A1835="","",IF(Setup!$B$6=1,YEAR($A1835),YEAR($A1835)+IF(MONTH($A1835)&gt;=Setup!$B$6,1,0)))</f>
        <v/>
      </c>
      <c r="K1835" s="35" t="str">
        <f aca="false">IF($A1835="","",MOD(MONTH($A1835)-Setup!$B$6+12,12)+1)</f>
        <v/>
      </c>
      <c r="L1835" s="36" t="str">
        <f aca="false">IF($A1835="","",TEXT($A1835,"MMM-YY"))</f>
        <v/>
      </c>
      <c r="M1835" s="37" t="str">
        <f aca="false">IF($A1835="","",IF($Q1835=0,"UNMAPPED",INDEX(COA_Mapping!$C$7:$C$256,$Q1835)))</f>
        <v/>
      </c>
      <c r="N1835" s="38" t="str">
        <f aca="false">IF($A1835="","",IF($Q1835=0,"",INDEX(COA_Mapping!$E$7:$E$256,$Q1835)))</f>
        <v/>
      </c>
      <c r="O1835" s="38" t="n">
        <f aca="false">IF($A1835="",1,IF($Q1835=0,1,INDEX(COA_Mapping!$F$7:$F$256,$Q1835)))</f>
        <v>1</v>
      </c>
      <c r="P1835" s="34" t="str">
        <f aca="false">IF($A1835="","",$I1835*$O1835)</f>
        <v/>
      </c>
      <c r="Q1835" s="39" t="n">
        <f aca="false">IF($B1835="",0,IFERROR(MATCH($B1835,COA_Mapping!$A$7:$A$256,0),0))</f>
        <v>0</v>
      </c>
      <c r="R1835" s="39" t="n">
        <f aca="false">IF($A1835="",-1,IF($J1835=Setup!$B$7,1,IF($J1835=Setup!$B$9,0,-1)))</f>
        <v>-1</v>
      </c>
      <c r="S1835" s="35" t="n">
        <f aca="false">IF(OR($A1835="",$Q1835=0,$R1835=-1),0,$Q1835*1000+$R1835*100+$K1835)</f>
        <v>0</v>
      </c>
      <c r="T1835" s="37" t="str">
        <f aca="false">IF($A1835="","",IF($B1835="","NO ACCOUNT",IF($Q1835=0,"UNMAPPED",IF($R1835=-1,"OUTSIDE FY RANGE","OK"))))</f>
        <v/>
      </c>
      <c r="U1835" s="40" t="str">
        <f aca="false">IF($A1835="","",$B1835&amp;"|"&amp;TEXT($A1835,"yyyymmdd")&amp;"|"&amp;TEXT($I1835,"0.00"))</f>
        <v/>
      </c>
      <c r="V1835" s="35" t="str">
        <f aca="false">IF($A1835="","",COUNTIF($U$8:$U$5007,$U1835))</f>
        <v/>
      </c>
    </row>
    <row r="1836" customFormat="false" ht="15" hidden="false" customHeight="false" outlineLevel="0" collapsed="false">
      <c r="A1836" s="31"/>
      <c r="B1836" s="32"/>
      <c r="C1836" s="32"/>
      <c r="D1836" s="32"/>
      <c r="E1836" s="32"/>
      <c r="F1836" s="32"/>
      <c r="G1836" s="33"/>
      <c r="H1836" s="33"/>
      <c r="I1836" s="34" t="str">
        <f aca="false">IF($A1836="","",$G1836-$H1836)</f>
        <v/>
      </c>
      <c r="J1836" s="35" t="str">
        <f aca="false">IF($A1836="","",IF(Setup!$B$6=1,YEAR($A1836),YEAR($A1836)+IF(MONTH($A1836)&gt;=Setup!$B$6,1,0)))</f>
        <v/>
      </c>
      <c r="K1836" s="35" t="str">
        <f aca="false">IF($A1836="","",MOD(MONTH($A1836)-Setup!$B$6+12,12)+1)</f>
        <v/>
      </c>
      <c r="L1836" s="36" t="str">
        <f aca="false">IF($A1836="","",TEXT($A1836,"MMM-YY"))</f>
        <v/>
      </c>
      <c r="M1836" s="37" t="str">
        <f aca="false">IF($A1836="","",IF($Q1836=0,"UNMAPPED",INDEX(COA_Mapping!$C$7:$C$256,$Q1836)))</f>
        <v/>
      </c>
      <c r="N1836" s="38" t="str">
        <f aca="false">IF($A1836="","",IF($Q1836=0,"",INDEX(COA_Mapping!$E$7:$E$256,$Q1836)))</f>
        <v/>
      </c>
      <c r="O1836" s="38" t="n">
        <f aca="false">IF($A1836="",1,IF($Q1836=0,1,INDEX(COA_Mapping!$F$7:$F$256,$Q1836)))</f>
        <v>1</v>
      </c>
      <c r="P1836" s="34" t="str">
        <f aca="false">IF($A1836="","",$I1836*$O1836)</f>
        <v/>
      </c>
      <c r="Q1836" s="39" t="n">
        <f aca="false">IF($B1836="",0,IFERROR(MATCH($B1836,COA_Mapping!$A$7:$A$256,0),0))</f>
        <v>0</v>
      </c>
      <c r="R1836" s="39" t="n">
        <f aca="false">IF($A1836="",-1,IF($J1836=Setup!$B$7,1,IF($J1836=Setup!$B$9,0,-1)))</f>
        <v>-1</v>
      </c>
      <c r="S1836" s="35" t="n">
        <f aca="false">IF(OR($A1836="",$Q1836=0,$R1836=-1),0,$Q1836*1000+$R1836*100+$K1836)</f>
        <v>0</v>
      </c>
      <c r="T1836" s="37" t="str">
        <f aca="false">IF($A1836="","",IF($B1836="","NO ACCOUNT",IF($Q1836=0,"UNMAPPED",IF($R1836=-1,"OUTSIDE FY RANGE","OK"))))</f>
        <v/>
      </c>
      <c r="U1836" s="40" t="str">
        <f aca="false">IF($A1836="","",$B1836&amp;"|"&amp;TEXT($A1836,"yyyymmdd")&amp;"|"&amp;TEXT($I1836,"0.00"))</f>
        <v/>
      </c>
      <c r="V1836" s="35" t="str">
        <f aca="false">IF($A1836="","",COUNTIF($U$8:$U$5007,$U1836))</f>
        <v/>
      </c>
    </row>
    <row r="1837" customFormat="false" ht="15" hidden="false" customHeight="false" outlineLevel="0" collapsed="false">
      <c r="A1837" s="31"/>
      <c r="B1837" s="32"/>
      <c r="C1837" s="32"/>
      <c r="D1837" s="32"/>
      <c r="E1837" s="32"/>
      <c r="F1837" s="32"/>
      <c r="G1837" s="33"/>
      <c r="H1837" s="33"/>
      <c r="I1837" s="34" t="str">
        <f aca="false">IF($A1837="","",$G1837-$H1837)</f>
        <v/>
      </c>
      <c r="J1837" s="35" t="str">
        <f aca="false">IF($A1837="","",IF(Setup!$B$6=1,YEAR($A1837),YEAR($A1837)+IF(MONTH($A1837)&gt;=Setup!$B$6,1,0)))</f>
        <v/>
      </c>
      <c r="K1837" s="35" t="str">
        <f aca="false">IF($A1837="","",MOD(MONTH($A1837)-Setup!$B$6+12,12)+1)</f>
        <v/>
      </c>
      <c r="L1837" s="36" t="str">
        <f aca="false">IF($A1837="","",TEXT($A1837,"MMM-YY"))</f>
        <v/>
      </c>
      <c r="M1837" s="37" t="str">
        <f aca="false">IF($A1837="","",IF($Q1837=0,"UNMAPPED",INDEX(COA_Mapping!$C$7:$C$256,$Q1837)))</f>
        <v/>
      </c>
      <c r="N1837" s="38" t="str">
        <f aca="false">IF($A1837="","",IF($Q1837=0,"",INDEX(COA_Mapping!$E$7:$E$256,$Q1837)))</f>
        <v/>
      </c>
      <c r="O1837" s="38" t="n">
        <f aca="false">IF($A1837="",1,IF($Q1837=0,1,INDEX(COA_Mapping!$F$7:$F$256,$Q1837)))</f>
        <v>1</v>
      </c>
      <c r="P1837" s="34" t="str">
        <f aca="false">IF($A1837="","",$I1837*$O1837)</f>
        <v/>
      </c>
      <c r="Q1837" s="39" t="n">
        <f aca="false">IF($B1837="",0,IFERROR(MATCH($B1837,COA_Mapping!$A$7:$A$256,0),0))</f>
        <v>0</v>
      </c>
      <c r="R1837" s="39" t="n">
        <f aca="false">IF($A1837="",-1,IF($J1837=Setup!$B$7,1,IF($J1837=Setup!$B$9,0,-1)))</f>
        <v>-1</v>
      </c>
      <c r="S1837" s="35" t="n">
        <f aca="false">IF(OR($A1837="",$Q1837=0,$R1837=-1),0,$Q1837*1000+$R1837*100+$K1837)</f>
        <v>0</v>
      </c>
      <c r="T1837" s="37" t="str">
        <f aca="false">IF($A1837="","",IF($B1837="","NO ACCOUNT",IF($Q1837=0,"UNMAPPED",IF($R1837=-1,"OUTSIDE FY RANGE","OK"))))</f>
        <v/>
      </c>
      <c r="U1837" s="40" t="str">
        <f aca="false">IF($A1837="","",$B1837&amp;"|"&amp;TEXT($A1837,"yyyymmdd")&amp;"|"&amp;TEXT($I1837,"0.00"))</f>
        <v/>
      </c>
      <c r="V1837" s="35" t="str">
        <f aca="false">IF($A1837="","",COUNTIF($U$8:$U$5007,$U1837))</f>
        <v/>
      </c>
    </row>
    <row r="1838" customFormat="false" ht="15" hidden="false" customHeight="false" outlineLevel="0" collapsed="false">
      <c r="A1838" s="31"/>
      <c r="B1838" s="32"/>
      <c r="C1838" s="32"/>
      <c r="D1838" s="32"/>
      <c r="E1838" s="32"/>
      <c r="F1838" s="32"/>
      <c r="G1838" s="33"/>
      <c r="H1838" s="33"/>
      <c r="I1838" s="34" t="str">
        <f aca="false">IF($A1838="","",$G1838-$H1838)</f>
        <v/>
      </c>
      <c r="J1838" s="35" t="str">
        <f aca="false">IF($A1838="","",IF(Setup!$B$6=1,YEAR($A1838),YEAR($A1838)+IF(MONTH($A1838)&gt;=Setup!$B$6,1,0)))</f>
        <v/>
      </c>
      <c r="K1838" s="35" t="str">
        <f aca="false">IF($A1838="","",MOD(MONTH($A1838)-Setup!$B$6+12,12)+1)</f>
        <v/>
      </c>
      <c r="L1838" s="36" t="str">
        <f aca="false">IF($A1838="","",TEXT($A1838,"MMM-YY"))</f>
        <v/>
      </c>
      <c r="M1838" s="37" t="str">
        <f aca="false">IF($A1838="","",IF($Q1838=0,"UNMAPPED",INDEX(COA_Mapping!$C$7:$C$256,$Q1838)))</f>
        <v/>
      </c>
      <c r="N1838" s="38" t="str">
        <f aca="false">IF($A1838="","",IF($Q1838=0,"",INDEX(COA_Mapping!$E$7:$E$256,$Q1838)))</f>
        <v/>
      </c>
      <c r="O1838" s="38" t="n">
        <f aca="false">IF($A1838="",1,IF($Q1838=0,1,INDEX(COA_Mapping!$F$7:$F$256,$Q1838)))</f>
        <v>1</v>
      </c>
      <c r="P1838" s="34" t="str">
        <f aca="false">IF($A1838="","",$I1838*$O1838)</f>
        <v/>
      </c>
      <c r="Q1838" s="39" t="n">
        <f aca="false">IF($B1838="",0,IFERROR(MATCH($B1838,COA_Mapping!$A$7:$A$256,0),0))</f>
        <v>0</v>
      </c>
      <c r="R1838" s="39" t="n">
        <f aca="false">IF($A1838="",-1,IF($J1838=Setup!$B$7,1,IF($J1838=Setup!$B$9,0,-1)))</f>
        <v>-1</v>
      </c>
      <c r="S1838" s="35" t="n">
        <f aca="false">IF(OR($A1838="",$Q1838=0,$R1838=-1),0,$Q1838*1000+$R1838*100+$K1838)</f>
        <v>0</v>
      </c>
      <c r="T1838" s="37" t="str">
        <f aca="false">IF($A1838="","",IF($B1838="","NO ACCOUNT",IF($Q1838=0,"UNMAPPED",IF($R1838=-1,"OUTSIDE FY RANGE","OK"))))</f>
        <v/>
      </c>
      <c r="U1838" s="40" t="str">
        <f aca="false">IF($A1838="","",$B1838&amp;"|"&amp;TEXT($A1838,"yyyymmdd")&amp;"|"&amp;TEXT($I1838,"0.00"))</f>
        <v/>
      </c>
      <c r="V1838" s="35" t="str">
        <f aca="false">IF($A1838="","",COUNTIF($U$8:$U$5007,$U1838))</f>
        <v/>
      </c>
    </row>
    <row r="1839" customFormat="false" ht="15" hidden="false" customHeight="false" outlineLevel="0" collapsed="false">
      <c r="A1839" s="31"/>
      <c r="B1839" s="32"/>
      <c r="C1839" s="32"/>
      <c r="D1839" s="32"/>
      <c r="E1839" s="32"/>
      <c r="F1839" s="32"/>
      <c r="G1839" s="33"/>
      <c r="H1839" s="33"/>
      <c r="I1839" s="34" t="str">
        <f aca="false">IF($A1839="","",$G1839-$H1839)</f>
        <v/>
      </c>
      <c r="J1839" s="35" t="str">
        <f aca="false">IF($A1839="","",IF(Setup!$B$6=1,YEAR($A1839),YEAR($A1839)+IF(MONTH($A1839)&gt;=Setup!$B$6,1,0)))</f>
        <v/>
      </c>
      <c r="K1839" s="35" t="str">
        <f aca="false">IF($A1839="","",MOD(MONTH($A1839)-Setup!$B$6+12,12)+1)</f>
        <v/>
      </c>
      <c r="L1839" s="36" t="str">
        <f aca="false">IF($A1839="","",TEXT($A1839,"MMM-YY"))</f>
        <v/>
      </c>
      <c r="M1839" s="37" t="str">
        <f aca="false">IF($A1839="","",IF($Q1839=0,"UNMAPPED",INDEX(COA_Mapping!$C$7:$C$256,$Q1839)))</f>
        <v/>
      </c>
      <c r="N1839" s="38" t="str">
        <f aca="false">IF($A1839="","",IF($Q1839=0,"",INDEX(COA_Mapping!$E$7:$E$256,$Q1839)))</f>
        <v/>
      </c>
      <c r="O1839" s="38" t="n">
        <f aca="false">IF($A1839="",1,IF($Q1839=0,1,INDEX(COA_Mapping!$F$7:$F$256,$Q1839)))</f>
        <v>1</v>
      </c>
      <c r="P1839" s="34" t="str">
        <f aca="false">IF($A1839="","",$I1839*$O1839)</f>
        <v/>
      </c>
      <c r="Q1839" s="39" t="n">
        <f aca="false">IF($B1839="",0,IFERROR(MATCH($B1839,COA_Mapping!$A$7:$A$256,0),0))</f>
        <v>0</v>
      </c>
      <c r="R1839" s="39" t="n">
        <f aca="false">IF($A1839="",-1,IF($J1839=Setup!$B$7,1,IF($J1839=Setup!$B$9,0,-1)))</f>
        <v>-1</v>
      </c>
      <c r="S1839" s="35" t="n">
        <f aca="false">IF(OR($A1839="",$Q1839=0,$R1839=-1),0,$Q1839*1000+$R1839*100+$K1839)</f>
        <v>0</v>
      </c>
      <c r="T1839" s="37" t="str">
        <f aca="false">IF($A1839="","",IF($B1839="","NO ACCOUNT",IF($Q1839=0,"UNMAPPED",IF($R1839=-1,"OUTSIDE FY RANGE","OK"))))</f>
        <v/>
      </c>
      <c r="U1839" s="40" t="str">
        <f aca="false">IF($A1839="","",$B1839&amp;"|"&amp;TEXT($A1839,"yyyymmdd")&amp;"|"&amp;TEXT($I1839,"0.00"))</f>
        <v/>
      </c>
      <c r="V1839" s="35" t="str">
        <f aca="false">IF($A1839="","",COUNTIF($U$8:$U$5007,$U1839))</f>
        <v/>
      </c>
    </row>
    <row r="1840" customFormat="false" ht="15" hidden="false" customHeight="false" outlineLevel="0" collapsed="false">
      <c r="A1840" s="31"/>
      <c r="B1840" s="32"/>
      <c r="C1840" s="32"/>
      <c r="D1840" s="32"/>
      <c r="E1840" s="32"/>
      <c r="F1840" s="32"/>
      <c r="G1840" s="33"/>
      <c r="H1840" s="33"/>
      <c r="I1840" s="34" t="str">
        <f aca="false">IF($A1840="","",$G1840-$H1840)</f>
        <v/>
      </c>
      <c r="J1840" s="35" t="str">
        <f aca="false">IF($A1840="","",IF(Setup!$B$6=1,YEAR($A1840),YEAR($A1840)+IF(MONTH($A1840)&gt;=Setup!$B$6,1,0)))</f>
        <v/>
      </c>
      <c r="K1840" s="35" t="str">
        <f aca="false">IF($A1840="","",MOD(MONTH($A1840)-Setup!$B$6+12,12)+1)</f>
        <v/>
      </c>
      <c r="L1840" s="36" t="str">
        <f aca="false">IF($A1840="","",TEXT($A1840,"MMM-YY"))</f>
        <v/>
      </c>
      <c r="M1840" s="37" t="str">
        <f aca="false">IF($A1840="","",IF($Q1840=0,"UNMAPPED",INDEX(COA_Mapping!$C$7:$C$256,$Q1840)))</f>
        <v/>
      </c>
      <c r="N1840" s="38" t="str">
        <f aca="false">IF($A1840="","",IF($Q1840=0,"",INDEX(COA_Mapping!$E$7:$E$256,$Q1840)))</f>
        <v/>
      </c>
      <c r="O1840" s="38" t="n">
        <f aca="false">IF($A1840="",1,IF($Q1840=0,1,INDEX(COA_Mapping!$F$7:$F$256,$Q1840)))</f>
        <v>1</v>
      </c>
      <c r="P1840" s="34" t="str">
        <f aca="false">IF($A1840="","",$I1840*$O1840)</f>
        <v/>
      </c>
      <c r="Q1840" s="39" t="n">
        <f aca="false">IF($B1840="",0,IFERROR(MATCH($B1840,COA_Mapping!$A$7:$A$256,0),0))</f>
        <v>0</v>
      </c>
      <c r="R1840" s="39" t="n">
        <f aca="false">IF($A1840="",-1,IF($J1840=Setup!$B$7,1,IF($J1840=Setup!$B$9,0,-1)))</f>
        <v>-1</v>
      </c>
      <c r="S1840" s="35" t="n">
        <f aca="false">IF(OR($A1840="",$Q1840=0,$R1840=-1),0,$Q1840*1000+$R1840*100+$K1840)</f>
        <v>0</v>
      </c>
      <c r="T1840" s="37" t="str">
        <f aca="false">IF($A1840="","",IF($B1840="","NO ACCOUNT",IF($Q1840=0,"UNMAPPED",IF($R1840=-1,"OUTSIDE FY RANGE","OK"))))</f>
        <v/>
      </c>
      <c r="U1840" s="40" t="str">
        <f aca="false">IF($A1840="","",$B1840&amp;"|"&amp;TEXT($A1840,"yyyymmdd")&amp;"|"&amp;TEXT($I1840,"0.00"))</f>
        <v/>
      </c>
      <c r="V1840" s="35" t="str">
        <f aca="false">IF($A1840="","",COUNTIF($U$8:$U$5007,$U1840))</f>
        <v/>
      </c>
    </row>
    <row r="1841" customFormat="false" ht="15" hidden="false" customHeight="false" outlineLevel="0" collapsed="false">
      <c r="A1841" s="31"/>
      <c r="B1841" s="32"/>
      <c r="C1841" s="32"/>
      <c r="D1841" s="32"/>
      <c r="E1841" s="32"/>
      <c r="F1841" s="32"/>
      <c r="G1841" s="33"/>
      <c r="H1841" s="33"/>
      <c r="I1841" s="34" t="str">
        <f aca="false">IF($A1841="","",$G1841-$H1841)</f>
        <v/>
      </c>
      <c r="J1841" s="35" t="str">
        <f aca="false">IF($A1841="","",IF(Setup!$B$6=1,YEAR($A1841),YEAR($A1841)+IF(MONTH($A1841)&gt;=Setup!$B$6,1,0)))</f>
        <v/>
      </c>
      <c r="K1841" s="35" t="str">
        <f aca="false">IF($A1841="","",MOD(MONTH($A1841)-Setup!$B$6+12,12)+1)</f>
        <v/>
      </c>
      <c r="L1841" s="36" t="str">
        <f aca="false">IF($A1841="","",TEXT($A1841,"MMM-YY"))</f>
        <v/>
      </c>
      <c r="M1841" s="37" t="str">
        <f aca="false">IF($A1841="","",IF($Q1841=0,"UNMAPPED",INDEX(COA_Mapping!$C$7:$C$256,$Q1841)))</f>
        <v/>
      </c>
      <c r="N1841" s="38" t="str">
        <f aca="false">IF($A1841="","",IF($Q1841=0,"",INDEX(COA_Mapping!$E$7:$E$256,$Q1841)))</f>
        <v/>
      </c>
      <c r="O1841" s="38" t="n">
        <f aca="false">IF($A1841="",1,IF($Q1841=0,1,INDEX(COA_Mapping!$F$7:$F$256,$Q1841)))</f>
        <v>1</v>
      </c>
      <c r="P1841" s="34" t="str">
        <f aca="false">IF($A1841="","",$I1841*$O1841)</f>
        <v/>
      </c>
      <c r="Q1841" s="39" t="n">
        <f aca="false">IF($B1841="",0,IFERROR(MATCH($B1841,COA_Mapping!$A$7:$A$256,0),0))</f>
        <v>0</v>
      </c>
      <c r="R1841" s="39" t="n">
        <f aca="false">IF($A1841="",-1,IF($J1841=Setup!$B$7,1,IF($J1841=Setup!$B$9,0,-1)))</f>
        <v>-1</v>
      </c>
      <c r="S1841" s="35" t="n">
        <f aca="false">IF(OR($A1841="",$Q1841=0,$R1841=-1),0,$Q1841*1000+$R1841*100+$K1841)</f>
        <v>0</v>
      </c>
      <c r="T1841" s="37" t="str">
        <f aca="false">IF($A1841="","",IF($B1841="","NO ACCOUNT",IF($Q1841=0,"UNMAPPED",IF($R1841=-1,"OUTSIDE FY RANGE","OK"))))</f>
        <v/>
      </c>
      <c r="U1841" s="40" t="str">
        <f aca="false">IF($A1841="","",$B1841&amp;"|"&amp;TEXT($A1841,"yyyymmdd")&amp;"|"&amp;TEXT($I1841,"0.00"))</f>
        <v/>
      </c>
      <c r="V1841" s="35" t="str">
        <f aca="false">IF($A1841="","",COUNTIF($U$8:$U$5007,$U1841))</f>
        <v/>
      </c>
    </row>
    <row r="1842" customFormat="false" ht="15" hidden="false" customHeight="false" outlineLevel="0" collapsed="false">
      <c r="A1842" s="31"/>
      <c r="B1842" s="32"/>
      <c r="C1842" s="32"/>
      <c r="D1842" s="32"/>
      <c r="E1842" s="32"/>
      <c r="F1842" s="32"/>
      <c r="G1842" s="33"/>
      <c r="H1842" s="33"/>
      <c r="I1842" s="34" t="str">
        <f aca="false">IF($A1842="","",$G1842-$H1842)</f>
        <v/>
      </c>
      <c r="J1842" s="35" t="str">
        <f aca="false">IF($A1842="","",IF(Setup!$B$6=1,YEAR($A1842),YEAR($A1842)+IF(MONTH($A1842)&gt;=Setup!$B$6,1,0)))</f>
        <v/>
      </c>
      <c r="K1842" s="35" t="str">
        <f aca="false">IF($A1842="","",MOD(MONTH($A1842)-Setup!$B$6+12,12)+1)</f>
        <v/>
      </c>
      <c r="L1842" s="36" t="str">
        <f aca="false">IF($A1842="","",TEXT($A1842,"MMM-YY"))</f>
        <v/>
      </c>
      <c r="M1842" s="37" t="str">
        <f aca="false">IF($A1842="","",IF($Q1842=0,"UNMAPPED",INDEX(COA_Mapping!$C$7:$C$256,$Q1842)))</f>
        <v/>
      </c>
      <c r="N1842" s="38" t="str">
        <f aca="false">IF($A1842="","",IF($Q1842=0,"",INDEX(COA_Mapping!$E$7:$E$256,$Q1842)))</f>
        <v/>
      </c>
      <c r="O1842" s="38" t="n">
        <f aca="false">IF($A1842="",1,IF($Q1842=0,1,INDEX(COA_Mapping!$F$7:$F$256,$Q1842)))</f>
        <v>1</v>
      </c>
      <c r="P1842" s="34" t="str">
        <f aca="false">IF($A1842="","",$I1842*$O1842)</f>
        <v/>
      </c>
      <c r="Q1842" s="39" t="n">
        <f aca="false">IF($B1842="",0,IFERROR(MATCH($B1842,COA_Mapping!$A$7:$A$256,0),0))</f>
        <v>0</v>
      </c>
      <c r="R1842" s="39" t="n">
        <f aca="false">IF($A1842="",-1,IF($J1842=Setup!$B$7,1,IF($J1842=Setup!$B$9,0,-1)))</f>
        <v>-1</v>
      </c>
      <c r="S1842" s="35" t="n">
        <f aca="false">IF(OR($A1842="",$Q1842=0,$R1842=-1),0,$Q1842*1000+$R1842*100+$K1842)</f>
        <v>0</v>
      </c>
      <c r="T1842" s="37" t="str">
        <f aca="false">IF($A1842="","",IF($B1842="","NO ACCOUNT",IF($Q1842=0,"UNMAPPED",IF($R1842=-1,"OUTSIDE FY RANGE","OK"))))</f>
        <v/>
      </c>
      <c r="U1842" s="40" t="str">
        <f aca="false">IF($A1842="","",$B1842&amp;"|"&amp;TEXT($A1842,"yyyymmdd")&amp;"|"&amp;TEXT($I1842,"0.00"))</f>
        <v/>
      </c>
      <c r="V1842" s="35" t="str">
        <f aca="false">IF($A1842="","",COUNTIF($U$8:$U$5007,$U1842))</f>
        <v/>
      </c>
    </row>
    <row r="1843" customFormat="false" ht="15" hidden="false" customHeight="false" outlineLevel="0" collapsed="false">
      <c r="A1843" s="31"/>
      <c r="B1843" s="32"/>
      <c r="C1843" s="32"/>
      <c r="D1843" s="32"/>
      <c r="E1843" s="32"/>
      <c r="F1843" s="32"/>
      <c r="G1843" s="33"/>
      <c r="H1843" s="33"/>
      <c r="I1843" s="34" t="str">
        <f aca="false">IF($A1843="","",$G1843-$H1843)</f>
        <v/>
      </c>
      <c r="J1843" s="35" t="str">
        <f aca="false">IF($A1843="","",IF(Setup!$B$6=1,YEAR($A1843),YEAR($A1843)+IF(MONTH($A1843)&gt;=Setup!$B$6,1,0)))</f>
        <v/>
      </c>
      <c r="K1843" s="35" t="str">
        <f aca="false">IF($A1843="","",MOD(MONTH($A1843)-Setup!$B$6+12,12)+1)</f>
        <v/>
      </c>
      <c r="L1843" s="36" t="str">
        <f aca="false">IF($A1843="","",TEXT($A1843,"MMM-YY"))</f>
        <v/>
      </c>
      <c r="M1843" s="37" t="str">
        <f aca="false">IF($A1843="","",IF($Q1843=0,"UNMAPPED",INDEX(COA_Mapping!$C$7:$C$256,$Q1843)))</f>
        <v/>
      </c>
      <c r="N1843" s="38" t="str">
        <f aca="false">IF($A1843="","",IF($Q1843=0,"",INDEX(COA_Mapping!$E$7:$E$256,$Q1843)))</f>
        <v/>
      </c>
      <c r="O1843" s="38" t="n">
        <f aca="false">IF($A1843="",1,IF($Q1843=0,1,INDEX(COA_Mapping!$F$7:$F$256,$Q1843)))</f>
        <v>1</v>
      </c>
      <c r="P1843" s="34" t="str">
        <f aca="false">IF($A1843="","",$I1843*$O1843)</f>
        <v/>
      </c>
      <c r="Q1843" s="39" t="n">
        <f aca="false">IF($B1843="",0,IFERROR(MATCH($B1843,COA_Mapping!$A$7:$A$256,0),0))</f>
        <v>0</v>
      </c>
      <c r="R1843" s="39" t="n">
        <f aca="false">IF($A1843="",-1,IF($J1843=Setup!$B$7,1,IF($J1843=Setup!$B$9,0,-1)))</f>
        <v>-1</v>
      </c>
      <c r="S1843" s="35" t="n">
        <f aca="false">IF(OR($A1843="",$Q1843=0,$R1843=-1),0,$Q1843*1000+$R1843*100+$K1843)</f>
        <v>0</v>
      </c>
      <c r="T1843" s="37" t="str">
        <f aca="false">IF($A1843="","",IF($B1843="","NO ACCOUNT",IF($Q1843=0,"UNMAPPED",IF($R1843=-1,"OUTSIDE FY RANGE","OK"))))</f>
        <v/>
      </c>
      <c r="U1843" s="40" t="str">
        <f aca="false">IF($A1843="","",$B1843&amp;"|"&amp;TEXT($A1843,"yyyymmdd")&amp;"|"&amp;TEXT($I1843,"0.00"))</f>
        <v/>
      </c>
      <c r="V1843" s="35" t="str">
        <f aca="false">IF($A1843="","",COUNTIF($U$8:$U$5007,$U1843))</f>
        <v/>
      </c>
    </row>
    <row r="1844" customFormat="false" ht="15" hidden="false" customHeight="false" outlineLevel="0" collapsed="false">
      <c r="A1844" s="31"/>
      <c r="B1844" s="32"/>
      <c r="C1844" s="32"/>
      <c r="D1844" s="32"/>
      <c r="E1844" s="32"/>
      <c r="F1844" s="32"/>
      <c r="G1844" s="33"/>
      <c r="H1844" s="33"/>
      <c r="I1844" s="34" t="str">
        <f aca="false">IF($A1844="","",$G1844-$H1844)</f>
        <v/>
      </c>
      <c r="J1844" s="35" t="str">
        <f aca="false">IF($A1844="","",IF(Setup!$B$6=1,YEAR($A1844),YEAR($A1844)+IF(MONTH($A1844)&gt;=Setup!$B$6,1,0)))</f>
        <v/>
      </c>
      <c r="K1844" s="35" t="str">
        <f aca="false">IF($A1844="","",MOD(MONTH($A1844)-Setup!$B$6+12,12)+1)</f>
        <v/>
      </c>
      <c r="L1844" s="36" t="str">
        <f aca="false">IF($A1844="","",TEXT($A1844,"MMM-YY"))</f>
        <v/>
      </c>
      <c r="M1844" s="37" t="str">
        <f aca="false">IF($A1844="","",IF($Q1844=0,"UNMAPPED",INDEX(COA_Mapping!$C$7:$C$256,$Q1844)))</f>
        <v/>
      </c>
      <c r="N1844" s="38" t="str">
        <f aca="false">IF($A1844="","",IF($Q1844=0,"",INDEX(COA_Mapping!$E$7:$E$256,$Q1844)))</f>
        <v/>
      </c>
      <c r="O1844" s="38" t="n">
        <f aca="false">IF($A1844="",1,IF($Q1844=0,1,INDEX(COA_Mapping!$F$7:$F$256,$Q1844)))</f>
        <v>1</v>
      </c>
      <c r="P1844" s="34" t="str">
        <f aca="false">IF($A1844="","",$I1844*$O1844)</f>
        <v/>
      </c>
      <c r="Q1844" s="39" t="n">
        <f aca="false">IF($B1844="",0,IFERROR(MATCH($B1844,COA_Mapping!$A$7:$A$256,0),0))</f>
        <v>0</v>
      </c>
      <c r="R1844" s="39" t="n">
        <f aca="false">IF($A1844="",-1,IF($J1844=Setup!$B$7,1,IF($J1844=Setup!$B$9,0,-1)))</f>
        <v>-1</v>
      </c>
      <c r="S1844" s="35" t="n">
        <f aca="false">IF(OR($A1844="",$Q1844=0,$R1844=-1),0,$Q1844*1000+$R1844*100+$K1844)</f>
        <v>0</v>
      </c>
      <c r="T1844" s="37" t="str">
        <f aca="false">IF($A1844="","",IF($B1844="","NO ACCOUNT",IF($Q1844=0,"UNMAPPED",IF($R1844=-1,"OUTSIDE FY RANGE","OK"))))</f>
        <v/>
      </c>
      <c r="U1844" s="40" t="str">
        <f aca="false">IF($A1844="","",$B1844&amp;"|"&amp;TEXT($A1844,"yyyymmdd")&amp;"|"&amp;TEXT($I1844,"0.00"))</f>
        <v/>
      </c>
      <c r="V1844" s="35" t="str">
        <f aca="false">IF($A1844="","",COUNTIF($U$8:$U$5007,$U1844))</f>
        <v/>
      </c>
    </row>
    <row r="1845" customFormat="false" ht="15" hidden="false" customHeight="false" outlineLevel="0" collapsed="false">
      <c r="A1845" s="31"/>
      <c r="B1845" s="32"/>
      <c r="C1845" s="32"/>
      <c r="D1845" s="32"/>
      <c r="E1845" s="32"/>
      <c r="F1845" s="32"/>
      <c r="G1845" s="33"/>
      <c r="H1845" s="33"/>
      <c r="I1845" s="34" t="str">
        <f aca="false">IF($A1845="","",$G1845-$H1845)</f>
        <v/>
      </c>
      <c r="J1845" s="35" t="str">
        <f aca="false">IF($A1845="","",IF(Setup!$B$6=1,YEAR($A1845),YEAR($A1845)+IF(MONTH($A1845)&gt;=Setup!$B$6,1,0)))</f>
        <v/>
      </c>
      <c r="K1845" s="35" t="str">
        <f aca="false">IF($A1845="","",MOD(MONTH($A1845)-Setup!$B$6+12,12)+1)</f>
        <v/>
      </c>
      <c r="L1845" s="36" t="str">
        <f aca="false">IF($A1845="","",TEXT($A1845,"MMM-YY"))</f>
        <v/>
      </c>
      <c r="M1845" s="37" t="str">
        <f aca="false">IF($A1845="","",IF($Q1845=0,"UNMAPPED",INDEX(COA_Mapping!$C$7:$C$256,$Q1845)))</f>
        <v/>
      </c>
      <c r="N1845" s="38" t="str">
        <f aca="false">IF($A1845="","",IF($Q1845=0,"",INDEX(COA_Mapping!$E$7:$E$256,$Q1845)))</f>
        <v/>
      </c>
      <c r="O1845" s="38" t="n">
        <f aca="false">IF($A1845="",1,IF($Q1845=0,1,INDEX(COA_Mapping!$F$7:$F$256,$Q1845)))</f>
        <v>1</v>
      </c>
      <c r="P1845" s="34" t="str">
        <f aca="false">IF($A1845="","",$I1845*$O1845)</f>
        <v/>
      </c>
      <c r="Q1845" s="39" t="n">
        <f aca="false">IF($B1845="",0,IFERROR(MATCH($B1845,COA_Mapping!$A$7:$A$256,0),0))</f>
        <v>0</v>
      </c>
      <c r="R1845" s="39" t="n">
        <f aca="false">IF($A1845="",-1,IF($J1845=Setup!$B$7,1,IF($J1845=Setup!$B$9,0,-1)))</f>
        <v>-1</v>
      </c>
      <c r="S1845" s="35" t="n">
        <f aca="false">IF(OR($A1845="",$Q1845=0,$R1845=-1),0,$Q1845*1000+$R1845*100+$K1845)</f>
        <v>0</v>
      </c>
      <c r="T1845" s="37" t="str">
        <f aca="false">IF($A1845="","",IF($B1845="","NO ACCOUNT",IF($Q1845=0,"UNMAPPED",IF($R1845=-1,"OUTSIDE FY RANGE","OK"))))</f>
        <v/>
      </c>
      <c r="U1845" s="40" t="str">
        <f aca="false">IF($A1845="","",$B1845&amp;"|"&amp;TEXT($A1845,"yyyymmdd")&amp;"|"&amp;TEXT($I1845,"0.00"))</f>
        <v/>
      </c>
      <c r="V1845" s="35" t="str">
        <f aca="false">IF($A1845="","",COUNTIF($U$8:$U$5007,$U1845))</f>
        <v/>
      </c>
    </row>
    <row r="1846" customFormat="false" ht="15" hidden="false" customHeight="false" outlineLevel="0" collapsed="false">
      <c r="A1846" s="31"/>
      <c r="B1846" s="32"/>
      <c r="C1846" s="32"/>
      <c r="D1846" s="32"/>
      <c r="E1846" s="32"/>
      <c r="F1846" s="32"/>
      <c r="G1846" s="33"/>
      <c r="H1846" s="33"/>
      <c r="I1846" s="34" t="str">
        <f aca="false">IF($A1846="","",$G1846-$H1846)</f>
        <v/>
      </c>
      <c r="J1846" s="35" t="str">
        <f aca="false">IF($A1846="","",IF(Setup!$B$6=1,YEAR($A1846),YEAR($A1846)+IF(MONTH($A1846)&gt;=Setup!$B$6,1,0)))</f>
        <v/>
      </c>
      <c r="K1846" s="35" t="str">
        <f aca="false">IF($A1846="","",MOD(MONTH($A1846)-Setup!$B$6+12,12)+1)</f>
        <v/>
      </c>
      <c r="L1846" s="36" t="str">
        <f aca="false">IF($A1846="","",TEXT($A1846,"MMM-YY"))</f>
        <v/>
      </c>
      <c r="M1846" s="37" t="str">
        <f aca="false">IF($A1846="","",IF($Q1846=0,"UNMAPPED",INDEX(COA_Mapping!$C$7:$C$256,$Q1846)))</f>
        <v/>
      </c>
      <c r="N1846" s="38" t="str">
        <f aca="false">IF($A1846="","",IF($Q1846=0,"",INDEX(COA_Mapping!$E$7:$E$256,$Q1846)))</f>
        <v/>
      </c>
      <c r="O1846" s="38" t="n">
        <f aca="false">IF($A1846="",1,IF($Q1846=0,1,INDEX(COA_Mapping!$F$7:$F$256,$Q1846)))</f>
        <v>1</v>
      </c>
      <c r="P1846" s="34" t="str">
        <f aca="false">IF($A1846="","",$I1846*$O1846)</f>
        <v/>
      </c>
      <c r="Q1846" s="39" t="n">
        <f aca="false">IF($B1846="",0,IFERROR(MATCH($B1846,COA_Mapping!$A$7:$A$256,0),0))</f>
        <v>0</v>
      </c>
      <c r="R1846" s="39" t="n">
        <f aca="false">IF($A1846="",-1,IF($J1846=Setup!$B$7,1,IF($J1846=Setup!$B$9,0,-1)))</f>
        <v>-1</v>
      </c>
      <c r="S1846" s="35" t="n">
        <f aca="false">IF(OR($A1846="",$Q1846=0,$R1846=-1),0,$Q1846*1000+$R1846*100+$K1846)</f>
        <v>0</v>
      </c>
      <c r="T1846" s="37" t="str">
        <f aca="false">IF($A1846="","",IF($B1846="","NO ACCOUNT",IF($Q1846=0,"UNMAPPED",IF($R1846=-1,"OUTSIDE FY RANGE","OK"))))</f>
        <v/>
      </c>
      <c r="U1846" s="40" t="str">
        <f aca="false">IF($A1846="","",$B1846&amp;"|"&amp;TEXT($A1846,"yyyymmdd")&amp;"|"&amp;TEXT($I1846,"0.00"))</f>
        <v/>
      </c>
      <c r="V1846" s="35" t="str">
        <f aca="false">IF($A1846="","",COUNTIF($U$8:$U$5007,$U1846))</f>
        <v/>
      </c>
    </row>
    <row r="1847" customFormat="false" ht="15" hidden="false" customHeight="false" outlineLevel="0" collapsed="false">
      <c r="A1847" s="31"/>
      <c r="B1847" s="32"/>
      <c r="C1847" s="32"/>
      <c r="D1847" s="32"/>
      <c r="E1847" s="32"/>
      <c r="F1847" s="32"/>
      <c r="G1847" s="33"/>
      <c r="H1847" s="33"/>
      <c r="I1847" s="34" t="str">
        <f aca="false">IF($A1847="","",$G1847-$H1847)</f>
        <v/>
      </c>
      <c r="J1847" s="35" t="str">
        <f aca="false">IF($A1847="","",IF(Setup!$B$6=1,YEAR($A1847),YEAR($A1847)+IF(MONTH($A1847)&gt;=Setup!$B$6,1,0)))</f>
        <v/>
      </c>
      <c r="K1847" s="35" t="str">
        <f aca="false">IF($A1847="","",MOD(MONTH($A1847)-Setup!$B$6+12,12)+1)</f>
        <v/>
      </c>
      <c r="L1847" s="36" t="str">
        <f aca="false">IF($A1847="","",TEXT($A1847,"MMM-YY"))</f>
        <v/>
      </c>
      <c r="M1847" s="37" t="str">
        <f aca="false">IF($A1847="","",IF($Q1847=0,"UNMAPPED",INDEX(COA_Mapping!$C$7:$C$256,$Q1847)))</f>
        <v/>
      </c>
      <c r="N1847" s="38" t="str">
        <f aca="false">IF($A1847="","",IF($Q1847=0,"",INDEX(COA_Mapping!$E$7:$E$256,$Q1847)))</f>
        <v/>
      </c>
      <c r="O1847" s="38" t="n">
        <f aca="false">IF($A1847="",1,IF($Q1847=0,1,INDEX(COA_Mapping!$F$7:$F$256,$Q1847)))</f>
        <v>1</v>
      </c>
      <c r="P1847" s="34" t="str">
        <f aca="false">IF($A1847="","",$I1847*$O1847)</f>
        <v/>
      </c>
      <c r="Q1847" s="39" t="n">
        <f aca="false">IF($B1847="",0,IFERROR(MATCH($B1847,COA_Mapping!$A$7:$A$256,0),0))</f>
        <v>0</v>
      </c>
      <c r="R1847" s="39" t="n">
        <f aca="false">IF($A1847="",-1,IF($J1847=Setup!$B$7,1,IF($J1847=Setup!$B$9,0,-1)))</f>
        <v>-1</v>
      </c>
      <c r="S1847" s="35" t="n">
        <f aca="false">IF(OR($A1847="",$Q1847=0,$R1847=-1),0,$Q1847*1000+$R1847*100+$K1847)</f>
        <v>0</v>
      </c>
      <c r="T1847" s="37" t="str">
        <f aca="false">IF($A1847="","",IF($B1847="","NO ACCOUNT",IF($Q1847=0,"UNMAPPED",IF($R1847=-1,"OUTSIDE FY RANGE","OK"))))</f>
        <v/>
      </c>
      <c r="U1847" s="40" t="str">
        <f aca="false">IF($A1847="","",$B1847&amp;"|"&amp;TEXT($A1847,"yyyymmdd")&amp;"|"&amp;TEXT($I1847,"0.00"))</f>
        <v/>
      </c>
      <c r="V1847" s="35" t="str">
        <f aca="false">IF($A1847="","",COUNTIF($U$8:$U$5007,$U1847))</f>
        <v/>
      </c>
    </row>
    <row r="1848" customFormat="false" ht="15" hidden="false" customHeight="false" outlineLevel="0" collapsed="false">
      <c r="A1848" s="31"/>
      <c r="B1848" s="32"/>
      <c r="C1848" s="32"/>
      <c r="D1848" s="32"/>
      <c r="E1848" s="32"/>
      <c r="F1848" s="32"/>
      <c r="G1848" s="33"/>
      <c r="H1848" s="33"/>
      <c r="I1848" s="34" t="str">
        <f aca="false">IF($A1848="","",$G1848-$H1848)</f>
        <v/>
      </c>
      <c r="J1848" s="35" t="str">
        <f aca="false">IF($A1848="","",IF(Setup!$B$6=1,YEAR($A1848),YEAR($A1848)+IF(MONTH($A1848)&gt;=Setup!$B$6,1,0)))</f>
        <v/>
      </c>
      <c r="K1848" s="35" t="str">
        <f aca="false">IF($A1848="","",MOD(MONTH($A1848)-Setup!$B$6+12,12)+1)</f>
        <v/>
      </c>
      <c r="L1848" s="36" t="str">
        <f aca="false">IF($A1848="","",TEXT($A1848,"MMM-YY"))</f>
        <v/>
      </c>
      <c r="M1848" s="37" t="str">
        <f aca="false">IF($A1848="","",IF($Q1848=0,"UNMAPPED",INDEX(COA_Mapping!$C$7:$C$256,$Q1848)))</f>
        <v/>
      </c>
      <c r="N1848" s="38" t="str">
        <f aca="false">IF($A1848="","",IF($Q1848=0,"",INDEX(COA_Mapping!$E$7:$E$256,$Q1848)))</f>
        <v/>
      </c>
      <c r="O1848" s="38" t="n">
        <f aca="false">IF($A1848="",1,IF($Q1848=0,1,INDEX(COA_Mapping!$F$7:$F$256,$Q1848)))</f>
        <v>1</v>
      </c>
      <c r="P1848" s="34" t="str">
        <f aca="false">IF($A1848="","",$I1848*$O1848)</f>
        <v/>
      </c>
      <c r="Q1848" s="39" t="n">
        <f aca="false">IF($B1848="",0,IFERROR(MATCH($B1848,COA_Mapping!$A$7:$A$256,0),0))</f>
        <v>0</v>
      </c>
      <c r="R1848" s="39" t="n">
        <f aca="false">IF($A1848="",-1,IF($J1848=Setup!$B$7,1,IF($J1848=Setup!$B$9,0,-1)))</f>
        <v>-1</v>
      </c>
      <c r="S1848" s="35" t="n">
        <f aca="false">IF(OR($A1848="",$Q1848=0,$R1848=-1),0,$Q1848*1000+$R1848*100+$K1848)</f>
        <v>0</v>
      </c>
      <c r="T1848" s="37" t="str">
        <f aca="false">IF($A1848="","",IF($B1848="","NO ACCOUNT",IF($Q1848=0,"UNMAPPED",IF($R1848=-1,"OUTSIDE FY RANGE","OK"))))</f>
        <v/>
      </c>
      <c r="U1848" s="40" t="str">
        <f aca="false">IF($A1848="","",$B1848&amp;"|"&amp;TEXT($A1848,"yyyymmdd")&amp;"|"&amp;TEXT($I1848,"0.00"))</f>
        <v/>
      </c>
      <c r="V1848" s="35" t="str">
        <f aca="false">IF($A1848="","",COUNTIF($U$8:$U$5007,$U1848))</f>
        <v/>
      </c>
    </row>
    <row r="1849" customFormat="false" ht="15" hidden="false" customHeight="false" outlineLevel="0" collapsed="false">
      <c r="A1849" s="31"/>
      <c r="B1849" s="32"/>
      <c r="C1849" s="32"/>
      <c r="D1849" s="32"/>
      <c r="E1849" s="32"/>
      <c r="F1849" s="32"/>
      <c r="G1849" s="33"/>
      <c r="H1849" s="33"/>
      <c r="I1849" s="34" t="str">
        <f aca="false">IF($A1849="","",$G1849-$H1849)</f>
        <v/>
      </c>
      <c r="J1849" s="35" t="str">
        <f aca="false">IF($A1849="","",IF(Setup!$B$6=1,YEAR($A1849),YEAR($A1849)+IF(MONTH($A1849)&gt;=Setup!$B$6,1,0)))</f>
        <v/>
      </c>
      <c r="K1849" s="35" t="str">
        <f aca="false">IF($A1849="","",MOD(MONTH($A1849)-Setup!$B$6+12,12)+1)</f>
        <v/>
      </c>
      <c r="L1849" s="36" t="str">
        <f aca="false">IF($A1849="","",TEXT($A1849,"MMM-YY"))</f>
        <v/>
      </c>
      <c r="M1849" s="37" t="str">
        <f aca="false">IF($A1849="","",IF($Q1849=0,"UNMAPPED",INDEX(COA_Mapping!$C$7:$C$256,$Q1849)))</f>
        <v/>
      </c>
      <c r="N1849" s="38" t="str">
        <f aca="false">IF($A1849="","",IF($Q1849=0,"",INDEX(COA_Mapping!$E$7:$E$256,$Q1849)))</f>
        <v/>
      </c>
      <c r="O1849" s="38" t="n">
        <f aca="false">IF($A1849="",1,IF($Q1849=0,1,INDEX(COA_Mapping!$F$7:$F$256,$Q1849)))</f>
        <v>1</v>
      </c>
      <c r="P1849" s="34" t="str">
        <f aca="false">IF($A1849="","",$I1849*$O1849)</f>
        <v/>
      </c>
      <c r="Q1849" s="39" t="n">
        <f aca="false">IF($B1849="",0,IFERROR(MATCH($B1849,COA_Mapping!$A$7:$A$256,0),0))</f>
        <v>0</v>
      </c>
      <c r="R1849" s="39" t="n">
        <f aca="false">IF($A1849="",-1,IF($J1849=Setup!$B$7,1,IF($J1849=Setup!$B$9,0,-1)))</f>
        <v>-1</v>
      </c>
      <c r="S1849" s="35" t="n">
        <f aca="false">IF(OR($A1849="",$Q1849=0,$R1849=-1),0,$Q1849*1000+$R1849*100+$K1849)</f>
        <v>0</v>
      </c>
      <c r="T1849" s="37" t="str">
        <f aca="false">IF($A1849="","",IF($B1849="","NO ACCOUNT",IF($Q1849=0,"UNMAPPED",IF($R1849=-1,"OUTSIDE FY RANGE","OK"))))</f>
        <v/>
      </c>
      <c r="U1849" s="40" t="str">
        <f aca="false">IF($A1849="","",$B1849&amp;"|"&amp;TEXT($A1849,"yyyymmdd")&amp;"|"&amp;TEXT($I1849,"0.00"))</f>
        <v/>
      </c>
      <c r="V1849" s="35" t="str">
        <f aca="false">IF($A1849="","",COUNTIF($U$8:$U$5007,$U1849))</f>
        <v/>
      </c>
    </row>
    <row r="1850" customFormat="false" ht="15" hidden="false" customHeight="false" outlineLevel="0" collapsed="false">
      <c r="A1850" s="31"/>
      <c r="B1850" s="32"/>
      <c r="C1850" s="32"/>
      <c r="D1850" s="32"/>
      <c r="E1850" s="32"/>
      <c r="F1850" s="32"/>
      <c r="G1850" s="33"/>
      <c r="H1850" s="33"/>
      <c r="I1850" s="34" t="str">
        <f aca="false">IF($A1850="","",$G1850-$H1850)</f>
        <v/>
      </c>
      <c r="J1850" s="35" t="str">
        <f aca="false">IF($A1850="","",IF(Setup!$B$6=1,YEAR($A1850),YEAR($A1850)+IF(MONTH($A1850)&gt;=Setup!$B$6,1,0)))</f>
        <v/>
      </c>
      <c r="K1850" s="35" t="str">
        <f aca="false">IF($A1850="","",MOD(MONTH($A1850)-Setup!$B$6+12,12)+1)</f>
        <v/>
      </c>
      <c r="L1850" s="36" t="str">
        <f aca="false">IF($A1850="","",TEXT($A1850,"MMM-YY"))</f>
        <v/>
      </c>
      <c r="M1850" s="37" t="str">
        <f aca="false">IF($A1850="","",IF($Q1850=0,"UNMAPPED",INDEX(COA_Mapping!$C$7:$C$256,$Q1850)))</f>
        <v/>
      </c>
      <c r="N1850" s="38" t="str">
        <f aca="false">IF($A1850="","",IF($Q1850=0,"",INDEX(COA_Mapping!$E$7:$E$256,$Q1850)))</f>
        <v/>
      </c>
      <c r="O1850" s="38" t="n">
        <f aca="false">IF($A1850="",1,IF($Q1850=0,1,INDEX(COA_Mapping!$F$7:$F$256,$Q1850)))</f>
        <v>1</v>
      </c>
      <c r="P1850" s="34" t="str">
        <f aca="false">IF($A1850="","",$I1850*$O1850)</f>
        <v/>
      </c>
      <c r="Q1850" s="39" t="n">
        <f aca="false">IF($B1850="",0,IFERROR(MATCH($B1850,COA_Mapping!$A$7:$A$256,0),0))</f>
        <v>0</v>
      </c>
      <c r="R1850" s="39" t="n">
        <f aca="false">IF($A1850="",-1,IF($J1850=Setup!$B$7,1,IF($J1850=Setup!$B$9,0,-1)))</f>
        <v>-1</v>
      </c>
      <c r="S1850" s="35" t="n">
        <f aca="false">IF(OR($A1850="",$Q1850=0,$R1850=-1),0,$Q1850*1000+$R1850*100+$K1850)</f>
        <v>0</v>
      </c>
      <c r="T1850" s="37" t="str">
        <f aca="false">IF($A1850="","",IF($B1850="","NO ACCOUNT",IF($Q1850=0,"UNMAPPED",IF($R1850=-1,"OUTSIDE FY RANGE","OK"))))</f>
        <v/>
      </c>
      <c r="U1850" s="40" t="str">
        <f aca="false">IF($A1850="","",$B1850&amp;"|"&amp;TEXT($A1850,"yyyymmdd")&amp;"|"&amp;TEXT($I1850,"0.00"))</f>
        <v/>
      </c>
      <c r="V1850" s="35" t="str">
        <f aca="false">IF($A1850="","",COUNTIF($U$8:$U$5007,$U1850))</f>
        <v/>
      </c>
    </row>
    <row r="1851" customFormat="false" ht="15" hidden="false" customHeight="false" outlineLevel="0" collapsed="false">
      <c r="A1851" s="31"/>
      <c r="B1851" s="32"/>
      <c r="C1851" s="32"/>
      <c r="D1851" s="32"/>
      <c r="E1851" s="32"/>
      <c r="F1851" s="32"/>
      <c r="G1851" s="33"/>
      <c r="H1851" s="33"/>
      <c r="I1851" s="34" t="str">
        <f aca="false">IF($A1851="","",$G1851-$H1851)</f>
        <v/>
      </c>
      <c r="J1851" s="35" t="str">
        <f aca="false">IF($A1851="","",IF(Setup!$B$6=1,YEAR($A1851),YEAR($A1851)+IF(MONTH($A1851)&gt;=Setup!$B$6,1,0)))</f>
        <v/>
      </c>
      <c r="K1851" s="35" t="str">
        <f aca="false">IF($A1851="","",MOD(MONTH($A1851)-Setup!$B$6+12,12)+1)</f>
        <v/>
      </c>
      <c r="L1851" s="36" t="str">
        <f aca="false">IF($A1851="","",TEXT($A1851,"MMM-YY"))</f>
        <v/>
      </c>
      <c r="M1851" s="37" t="str">
        <f aca="false">IF($A1851="","",IF($Q1851=0,"UNMAPPED",INDEX(COA_Mapping!$C$7:$C$256,$Q1851)))</f>
        <v/>
      </c>
      <c r="N1851" s="38" t="str">
        <f aca="false">IF($A1851="","",IF($Q1851=0,"",INDEX(COA_Mapping!$E$7:$E$256,$Q1851)))</f>
        <v/>
      </c>
      <c r="O1851" s="38" t="n">
        <f aca="false">IF($A1851="",1,IF($Q1851=0,1,INDEX(COA_Mapping!$F$7:$F$256,$Q1851)))</f>
        <v>1</v>
      </c>
      <c r="P1851" s="34" t="str">
        <f aca="false">IF($A1851="","",$I1851*$O1851)</f>
        <v/>
      </c>
      <c r="Q1851" s="39" t="n">
        <f aca="false">IF($B1851="",0,IFERROR(MATCH($B1851,COA_Mapping!$A$7:$A$256,0),0))</f>
        <v>0</v>
      </c>
      <c r="R1851" s="39" t="n">
        <f aca="false">IF($A1851="",-1,IF($J1851=Setup!$B$7,1,IF($J1851=Setup!$B$9,0,-1)))</f>
        <v>-1</v>
      </c>
      <c r="S1851" s="35" t="n">
        <f aca="false">IF(OR($A1851="",$Q1851=0,$R1851=-1),0,$Q1851*1000+$R1851*100+$K1851)</f>
        <v>0</v>
      </c>
      <c r="T1851" s="37" t="str">
        <f aca="false">IF($A1851="","",IF($B1851="","NO ACCOUNT",IF($Q1851=0,"UNMAPPED",IF($R1851=-1,"OUTSIDE FY RANGE","OK"))))</f>
        <v/>
      </c>
      <c r="U1851" s="40" t="str">
        <f aca="false">IF($A1851="","",$B1851&amp;"|"&amp;TEXT($A1851,"yyyymmdd")&amp;"|"&amp;TEXT($I1851,"0.00"))</f>
        <v/>
      </c>
      <c r="V1851" s="35" t="str">
        <f aca="false">IF($A1851="","",COUNTIF($U$8:$U$5007,$U1851))</f>
        <v/>
      </c>
    </row>
    <row r="1852" customFormat="false" ht="15" hidden="false" customHeight="false" outlineLevel="0" collapsed="false">
      <c r="A1852" s="31"/>
      <c r="B1852" s="32"/>
      <c r="C1852" s="32"/>
      <c r="D1852" s="32"/>
      <c r="E1852" s="32"/>
      <c r="F1852" s="32"/>
      <c r="G1852" s="33"/>
      <c r="H1852" s="33"/>
      <c r="I1852" s="34" t="str">
        <f aca="false">IF($A1852="","",$G1852-$H1852)</f>
        <v/>
      </c>
      <c r="J1852" s="35" t="str">
        <f aca="false">IF($A1852="","",IF(Setup!$B$6=1,YEAR($A1852),YEAR($A1852)+IF(MONTH($A1852)&gt;=Setup!$B$6,1,0)))</f>
        <v/>
      </c>
      <c r="K1852" s="35" t="str">
        <f aca="false">IF($A1852="","",MOD(MONTH($A1852)-Setup!$B$6+12,12)+1)</f>
        <v/>
      </c>
      <c r="L1852" s="36" t="str">
        <f aca="false">IF($A1852="","",TEXT($A1852,"MMM-YY"))</f>
        <v/>
      </c>
      <c r="M1852" s="37" t="str">
        <f aca="false">IF($A1852="","",IF($Q1852=0,"UNMAPPED",INDEX(COA_Mapping!$C$7:$C$256,$Q1852)))</f>
        <v/>
      </c>
      <c r="N1852" s="38" t="str">
        <f aca="false">IF($A1852="","",IF($Q1852=0,"",INDEX(COA_Mapping!$E$7:$E$256,$Q1852)))</f>
        <v/>
      </c>
      <c r="O1852" s="38" t="n">
        <f aca="false">IF($A1852="",1,IF($Q1852=0,1,INDEX(COA_Mapping!$F$7:$F$256,$Q1852)))</f>
        <v>1</v>
      </c>
      <c r="P1852" s="34" t="str">
        <f aca="false">IF($A1852="","",$I1852*$O1852)</f>
        <v/>
      </c>
      <c r="Q1852" s="39" t="n">
        <f aca="false">IF($B1852="",0,IFERROR(MATCH($B1852,COA_Mapping!$A$7:$A$256,0),0))</f>
        <v>0</v>
      </c>
      <c r="R1852" s="39" t="n">
        <f aca="false">IF($A1852="",-1,IF($J1852=Setup!$B$7,1,IF($J1852=Setup!$B$9,0,-1)))</f>
        <v>-1</v>
      </c>
      <c r="S1852" s="35" t="n">
        <f aca="false">IF(OR($A1852="",$Q1852=0,$R1852=-1),0,$Q1852*1000+$R1852*100+$K1852)</f>
        <v>0</v>
      </c>
      <c r="T1852" s="37" t="str">
        <f aca="false">IF($A1852="","",IF($B1852="","NO ACCOUNT",IF($Q1852=0,"UNMAPPED",IF($R1852=-1,"OUTSIDE FY RANGE","OK"))))</f>
        <v/>
      </c>
      <c r="U1852" s="40" t="str">
        <f aca="false">IF($A1852="","",$B1852&amp;"|"&amp;TEXT($A1852,"yyyymmdd")&amp;"|"&amp;TEXT($I1852,"0.00"))</f>
        <v/>
      </c>
      <c r="V1852" s="35" t="str">
        <f aca="false">IF($A1852="","",COUNTIF($U$8:$U$5007,$U1852))</f>
        <v/>
      </c>
    </row>
    <row r="1853" customFormat="false" ht="15" hidden="false" customHeight="false" outlineLevel="0" collapsed="false">
      <c r="A1853" s="31"/>
      <c r="B1853" s="32"/>
      <c r="C1853" s="32"/>
      <c r="D1853" s="32"/>
      <c r="E1853" s="32"/>
      <c r="F1853" s="32"/>
      <c r="G1853" s="33"/>
      <c r="H1853" s="33"/>
      <c r="I1853" s="34" t="str">
        <f aca="false">IF($A1853="","",$G1853-$H1853)</f>
        <v/>
      </c>
      <c r="J1853" s="35" t="str">
        <f aca="false">IF($A1853="","",IF(Setup!$B$6=1,YEAR($A1853),YEAR($A1853)+IF(MONTH($A1853)&gt;=Setup!$B$6,1,0)))</f>
        <v/>
      </c>
      <c r="K1853" s="35" t="str">
        <f aca="false">IF($A1853="","",MOD(MONTH($A1853)-Setup!$B$6+12,12)+1)</f>
        <v/>
      </c>
      <c r="L1853" s="36" t="str">
        <f aca="false">IF($A1853="","",TEXT($A1853,"MMM-YY"))</f>
        <v/>
      </c>
      <c r="M1853" s="37" t="str">
        <f aca="false">IF($A1853="","",IF($Q1853=0,"UNMAPPED",INDEX(COA_Mapping!$C$7:$C$256,$Q1853)))</f>
        <v/>
      </c>
      <c r="N1853" s="38" t="str">
        <f aca="false">IF($A1853="","",IF($Q1853=0,"",INDEX(COA_Mapping!$E$7:$E$256,$Q1853)))</f>
        <v/>
      </c>
      <c r="O1853" s="38" t="n">
        <f aca="false">IF($A1853="",1,IF($Q1853=0,1,INDEX(COA_Mapping!$F$7:$F$256,$Q1853)))</f>
        <v>1</v>
      </c>
      <c r="P1853" s="34" t="str">
        <f aca="false">IF($A1853="","",$I1853*$O1853)</f>
        <v/>
      </c>
      <c r="Q1853" s="39" t="n">
        <f aca="false">IF($B1853="",0,IFERROR(MATCH($B1853,COA_Mapping!$A$7:$A$256,0),0))</f>
        <v>0</v>
      </c>
      <c r="R1853" s="39" t="n">
        <f aca="false">IF($A1853="",-1,IF($J1853=Setup!$B$7,1,IF($J1853=Setup!$B$9,0,-1)))</f>
        <v>-1</v>
      </c>
      <c r="S1853" s="35" t="n">
        <f aca="false">IF(OR($A1853="",$Q1853=0,$R1853=-1),0,$Q1853*1000+$R1853*100+$K1853)</f>
        <v>0</v>
      </c>
      <c r="T1853" s="37" t="str">
        <f aca="false">IF($A1853="","",IF($B1853="","NO ACCOUNT",IF($Q1853=0,"UNMAPPED",IF($R1853=-1,"OUTSIDE FY RANGE","OK"))))</f>
        <v/>
      </c>
      <c r="U1853" s="40" t="str">
        <f aca="false">IF($A1853="","",$B1853&amp;"|"&amp;TEXT($A1853,"yyyymmdd")&amp;"|"&amp;TEXT($I1853,"0.00"))</f>
        <v/>
      </c>
      <c r="V1853" s="35" t="str">
        <f aca="false">IF($A1853="","",COUNTIF($U$8:$U$5007,$U1853))</f>
        <v/>
      </c>
    </row>
    <row r="1854" customFormat="false" ht="15" hidden="false" customHeight="false" outlineLevel="0" collapsed="false">
      <c r="A1854" s="31"/>
      <c r="B1854" s="32"/>
      <c r="C1854" s="32"/>
      <c r="D1854" s="32"/>
      <c r="E1854" s="32"/>
      <c r="F1854" s="32"/>
      <c r="G1854" s="33"/>
      <c r="H1854" s="33"/>
      <c r="I1854" s="34" t="str">
        <f aca="false">IF($A1854="","",$G1854-$H1854)</f>
        <v/>
      </c>
      <c r="J1854" s="35" t="str">
        <f aca="false">IF($A1854="","",IF(Setup!$B$6=1,YEAR($A1854),YEAR($A1854)+IF(MONTH($A1854)&gt;=Setup!$B$6,1,0)))</f>
        <v/>
      </c>
      <c r="K1854" s="35" t="str">
        <f aca="false">IF($A1854="","",MOD(MONTH($A1854)-Setup!$B$6+12,12)+1)</f>
        <v/>
      </c>
      <c r="L1854" s="36" t="str">
        <f aca="false">IF($A1854="","",TEXT($A1854,"MMM-YY"))</f>
        <v/>
      </c>
      <c r="M1854" s="37" t="str">
        <f aca="false">IF($A1854="","",IF($Q1854=0,"UNMAPPED",INDEX(COA_Mapping!$C$7:$C$256,$Q1854)))</f>
        <v/>
      </c>
      <c r="N1854" s="38" t="str">
        <f aca="false">IF($A1854="","",IF($Q1854=0,"",INDEX(COA_Mapping!$E$7:$E$256,$Q1854)))</f>
        <v/>
      </c>
      <c r="O1854" s="38" t="n">
        <f aca="false">IF($A1854="",1,IF($Q1854=0,1,INDEX(COA_Mapping!$F$7:$F$256,$Q1854)))</f>
        <v>1</v>
      </c>
      <c r="P1854" s="34" t="str">
        <f aca="false">IF($A1854="","",$I1854*$O1854)</f>
        <v/>
      </c>
      <c r="Q1854" s="39" t="n">
        <f aca="false">IF($B1854="",0,IFERROR(MATCH($B1854,COA_Mapping!$A$7:$A$256,0),0))</f>
        <v>0</v>
      </c>
      <c r="R1854" s="39" t="n">
        <f aca="false">IF($A1854="",-1,IF($J1854=Setup!$B$7,1,IF($J1854=Setup!$B$9,0,-1)))</f>
        <v>-1</v>
      </c>
      <c r="S1854" s="35" t="n">
        <f aca="false">IF(OR($A1854="",$Q1854=0,$R1854=-1),0,$Q1854*1000+$R1854*100+$K1854)</f>
        <v>0</v>
      </c>
      <c r="T1854" s="37" t="str">
        <f aca="false">IF($A1854="","",IF($B1854="","NO ACCOUNT",IF($Q1854=0,"UNMAPPED",IF($R1854=-1,"OUTSIDE FY RANGE","OK"))))</f>
        <v/>
      </c>
      <c r="U1854" s="40" t="str">
        <f aca="false">IF($A1854="","",$B1854&amp;"|"&amp;TEXT($A1854,"yyyymmdd")&amp;"|"&amp;TEXT($I1854,"0.00"))</f>
        <v/>
      </c>
      <c r="V1854" s="35" t="str">
        <f aca="false">IF($A1854="","",COUNTIF($U$8:$U$5007,$U1854))</f>
        <v/>
      </c>
    </row>
    <row r="1855" customFormat="false" ht="15" hidden="false" customHeight="false" outlineLevel="0" collapsed="false">
      <c r="A1855" s="31"/>
      <c r="B1855" s="32"/>
      <c r="C1855" s="32"/>
      <c r="D1855" s="32"/>
      <c r="E1855" s="32"/>
      <c r="F1855" s="32"/>
      <c r="G1855" s="33"/>
      <c r="H1855" s="33"/>
      <c r="I1855" s="34" t="str">
        <f aca="false">IF($A1855="","",$G1855-$H1855)</f>
        <v/>
      </c>
      <c r="J1855" s="35" t="str">
        <f aca="false">IF($A1855="","",IF(Setup!$B$6=1,YEAR($A1855),YEAR($A1855)+IF(MONTH($A1855)&gt;=Setup!$B$6,1,0)))</f>
        <v/>
      </c>
      <c r="K1855" s="35" t="str">
        <f aca="false">IF($A1855="","",MOD(MONTH($A1855)-Setup!$B$6+12,12)+1)</f>
        <v/>
      </c>
      <c r="L1855" s="36" t="str">
        <f aca="false">IF($A1855="","",TEXT($A1855,"MMM-YY"))</f>
        <v/>
      </c>
      <c r="M1855" s="37" t="str">
        <f aca="false">IF($A1855="","",IF($Q1855=0,"UNMAPPED",INDEX(COA_Mapping!$C$7:$C$256,$Q1855)))</f>
        <v/>
      </c>
      <c r="N1855" s="38" t="str">
        <f aca="false">IF($A1855="","",IF($Q1855=0,"",INDEX(COA_Mapping!$E$7:$E$256,$Q1855)))</f>
        <v/>
      </c>
      <c r="O1855" s="38" t="n">
        <f aca="false">IF($A1855="",1,IF($Q1855=0,1,INDEX(COA_Mapping!$F$7:$F$256,$Q1855)))</f>
        <v>1</v>
      </c>
      <c r="P1855" s="34" t="str">
        <f aca="false">IF($A1855="","",$I1855*$O1855)</f>
        <v/>
      </c>
      <c r="Q1855" s="39" t="n">
        <f aca="false">IF($B1855="",0,IFERROR(MATCH($B1855,COA_Mapping!$A$7:$A$256,0),0))</f>
        <v>0</v>
      </c>
      <c r="R1855" s="39" t="n">
        <f aca="false">IF($A1855="",-1,IF($J1855=Setup!$B$7,1,IF($J1855=Setup!$B$9,0,-1)))</f>
        <v>-1</v>
      </c>
      <c r="S1855" s="35" t="n">
        <f aca="false">IF(OR($A1855="",$Q1855=0,$R1855=-1),0,$Q1855*1000+$R1855*100+$K1855)</f>
        <v>0</v>
      </c>
      <c r="T1855" s="37" t="str">
        <f aca="false">IF($A1855="","",IF($B1855="","NO ACCOUNT",IF($Q1855=0,"UNMAPPED",IF($R1855=-1,"OUTSIDE FY RANGE","OK"))))</f>
        <v/>
      </c>
      <c r="U1855" s="40" t="str">
        <f aca="false">IF($A1855="","",$B1855&amp;"|"&amp;TEXT($A1855,"yyyymmdd")&amp;"|"&amp;TEXT($I1855,"0.00"))</f>
        <v/>
      </c>
      <c r="V1855" s="35" t="str">
        <f aca="false">IF($A1855="","",COUNTIF($U$8:$U$5007,$U1855))</f>
        <v/>
      </c>
    </row>
    <row r="1856" customFormat="false" ht="15" hidden="false" customHeight="false" outlineLevel="0" collapsed="false">
      <c r="A1856" s="31"/>
      <c r="B1856" s="32"/>
      <c r="C1856" s="32"/>
      <c r="D1856" s="32"/>
      <c r="E1856" s="32"/>
      <c r="F1856" s="32"/>
      <c r="G1856" s="33"/>
      <c r="H1856" s="33"/>
      <c r="I1856" s="34" t="str">
        <f aca="false">IF($A1856="","",$G1856-$H1856)</f>
        <v/>
      </c>
      <c r="J1856" s="35" t="str">
        <f aca="false">IF($A1856="","",IF(Setup!$B$6=1,YEAR($A1856),YEAR($A1856)+IF(MONTH($A1856)&gt;=Setup!$B$6,1,0)))</f>
        <v/>
      </c>
      <c r="K1856" s="35" t="str">
        <f aca="false">IF($A1856="","",MOD(MONTH($A1856)-Setup!$B$6+12,12)+1)</f>
        <v/>
      </c>
      <c r="L1856" s="36" t="str">
        <f aca="false">IF($A1856="","",TEXT($A1856,"MMM-YY"))</f>
        <v/>
      </c>
      <c r="M1856" s="37" t="str">
        <f aca="false">IF($A1856="","",IF($Q1856=0,"UNMAPPED",INDEX(COA_Mapping!$C$7:$C$256,$Q1856)))</f>
        <v/>
      </c>
      <c r="N1856" s="38" t="str">
        <f aca="false">IF($A1856="","",IF($Q1856=0,"",INDEX(COA_Mapping!$E$7:$E$256,$Q1856)))</f>
        <v/>
      </c>
      <c r="O1856" s="38" t="n">
        <f aca="false">IF($A1856="",1,IF($Q1856=0,1,INDEX(COA_Mapping!$F$7:$F$256,$Q1856)))</f>
        <v>1</v>
      </c>
      <c r="P1856" s="34" t="str">
        <f aca="false">IF($A1856="","",$I1856*$O1856)</f>
        <v/>
      </c>
      <c r="Q1856" s="39" t="n">
        <f aca="false">IF($B1856="",0,IFERROR(MATCH($B1856,COA_Mapping!$A$7:$A$256,0),0))</f>
        <v>0</v>
      </c>
      <c r="R1856" s="39" t="n">
        <f aca="false">IF($A1856="",-1,IF($J1856=Setup!$B$7,1,IF($J1856=Setup!$B$9,0,-1)))</f>
        <v>-1</v>
      </c>
      <c r="S1856" s="35" t="n">
        <f aca="false">IF(OR($A1856="",$Q1856=0,$R1856=-1),0,$Q1856*1000+$R1856*100+$K1856)</f>
        <v>0</v>
      </c>
      <c r="T1856" s="37" t="str">
        <f aca="false">IF($A1856="","",IF($B1856="","NO ACCOUNT",IF($Q1856=0,"UNMAPPED",IF($R1856=-1,"OUTSIDE FY RANGE","OK"))))</f>
        <v/>
      </c>
      <c r="U1856" s="40" t="str">
        <f aca="false">IF($A1856="","",$B1856&amp;"|"&amp;TEXT($A1856,"yyyymmdd")&amp;"|"&amp;TEXT($I1856,"0.00"))</f>
        <v/>
      </c>
      <c r="V1856" s="35" t="str">
        <f aca="false">IF($A1856="","",COUNTIF($U$8:$U$5007,$U1856))</f>
        <v/>
      </c>
    </row>
    <row r="1857" customFormat="false" ht="15" hidden="false" customHeight="false" outlineLevel="0" collapsed="false">
      <c r="A1857" s="31"/>
      <c r="B1857" s="32"/>
      <c r="C1857" s="32"/>
      <c r="D1857" s="32"/>
      <c r="E1857" s="32"/>
      <c r="F1857" s="32"/>
      <c r="G1857" s="33"/>
      <c r="H1857" s="33"/>
      <c r="I1857" s="34" t="str">
        <f aca="false">IF($A1857="","",$G1857-$H1857)</f>
        <v/>
      </c>
      <c r="J1857" s="35" t="str">
        <f aca="false">IF($A1857="","",IF(Setup!$B$6=1,YEAR($A1857),YEAR($A1857)+IF(MONTH($A1857)&gt;=Setup!$B$6,1,0)))</f>
        <v/>
      </c>
      <c r="K1857" s="35" t="str">
        <f aca="false">IF($A1857="","",MOD(MONTH($A1857)-Setup!$B$6+12,12)+1)</f>
        <v/>
      </c>
      <c r="L1857" s="36" t="str">
        <f aca="false">IF($A1857="","",TEXT($A1857,"MMM-YY"))</f>
        <v/>
      </c>
      <c r="M1857" s="37" t="str">
        <f aca="false">IF($A1857="","",IF($Q1857=0,"UNMAPPED",INDEX(COA_Mapping!$C$7:$C$256,$Q1857)))</f>
        <v/>
      </c>
      <c r="N1857" s="38" t="str">
        <f aca="false">IF($A1857="","",IF($Q1857=0,"",INDEX(COA_Mapping!$E$7:$E$256,$Q1857)))</f>
        <v/>
      </c>
      <c r="O1857" s="38" t="n">
        <f aca="false">IF($A1857="",1,IF($Q1857=0,1,INDEX(COA_Mapping!$F$7:$F$256,$Q1857)))</f>
        <v>1</v>
      </c>
      <c r="P1857" s="34" t="str">
        <f aca="false">IF($A1857="","",$I1857*$O1857)</f>
        <v/>
      </c>
      <c r="Q1857" s="39" t="n">
        <f aca="false">IF($B1857="",0,IFERROR(MATCH($B1857,COA_Mapping!$A$7:$A$256,0),0))</f>
        <v>0</v>
      </c>
      <c r="R1857" s="39" t="n">
        <f aca="false">IF($A1857="",-1,IF($J1857=Setup!$B$7,1,IF($J1857=Setup!$B$9,0,-1)))</f>
        <v>-1</v>
      </c>
      <c r="S1857" s="35" t="n">
        <f aca="false">IF(OR($A1857="",$Q1857=0,$R1857=-1),0,$Q1857*1000+$R1857*100+$K1857)</f>
        <v>0</v>
      </c>
      <c r="T1857" s="37" t="str">
        <f aca="false">IF($A1857="","",IF($B1857="","NO ACCOUNT",IF($Q1857=0,"UNMAPPED",IF($R1857=-1,"OUTSIDE FY RANGE","OK"))))</f>
        <v/>
      </c>
      <c r="U1857" s="40" t="str">
        <f aca="false">IF($A1857="","",$B1857&amp;"|"&amp;TEXT($A1857,"yyyymmdd")&amp;"|"&amp;TEXT($I1857,"0.00"))</f>
        <v/>
      </c>
      <c r="V1857" s="35" t="str">
        <f aca="false">IF($A1857="","",COUNTIF($U$8:$U$5007,$U1857))</f>
        <v/>
      </c>
    </row>
    <row r="1858" customFormat="false" ht="15" hidden="false" customHeight="false" outlineLevel="0" collapsed="false">
      <c r="A1858" s="31"/>
      <c r="B1858" s="32"/>
      <c r="C1858" s="32"/>
      <c r="D1858" s="32"/>
      <c r="E1858" s="32"/>
      <c r="F1858" s="32"/>
      <c r="G1858" s="33"/>
      <c r="H1858" s="33"/>
      <c r="I1858" s="34" t="str">
        <f aca="false">IF($A1858="","",$G1858-$H1858)</f>
        <v/>
      </c>
      <c r="J1858" s="35" t="str">
        <f aca="false">IF($A1858="","",IF(Setup!$B$6=1,YEAR($A1858),YEAR($A1858)+IF(MONTH($A1858)&gt;=Setup!$B$6,1,0)))</f>
        <v/>
      </c>
      <c r="K1858" s="35" t="str">
        <f aca="false">IF($A1858="","",MOD(MONTH($A1858)-Setup!$B$6+12,12)+1)</f>
        <v/>
      </c>
      <c r="L1858" s="36" t="str">
        <f aca="false">IF($A1858="","",TEXT($A1858,"MMM-YY"))</f>
        <v/>
      </c>
      <c r="M1858" s="37" t="str">
        <f aca="false">IF($A1858="","",IF($Q1858=0,"UNMAPPED",INDEX(COA_Mapping!$C$7:$C$256,$Q1858)))</f>
        <v/>
      </c>
      <c r="N1858" s="38" t="str">
        <f aca="false">IF($A1858="","",IF($Q1858=0,"",INDEX(COA_Mapping!$E$7:$E$256,$Q1858)))</f>
        <v/>
      </c>
      <c r="O1858" s="38" t="n">
        <f aca="false">IF($A1858="",1,IF($Q1858=0,1,INDEX(COA_Mapping!$F$7:$F$256,$Q1858)))</f>
        <v>1</v>
      </c>
      <c r="P1858" s="34" t="str">
        <f aca="false">IF($A1858="","",$I1858*$O1858)</f>
        <v/>
      </c>
      <c r="Q1858" s="39" t="n">
        <f aca="false">IF($B1858="",0,IFERROR(MATCH($B1858,COA_Mapping!$A$7:$A$256,0),0))</f>
        <v>0</v>
      </c>
      <c r="R1858" s="39" t="n">
        <f aca="false">IF($A1858="",-1,IF($J1858=Setup!$B$7,1,IF($J1858=Setup!$B$9,0,-1)))</f>
        <v>-1</v>
      </c>
      <c r="S1858" s="35" t="n">
        <f aca="false">IF(OR($A1858="",$Q1858=0,$R1858=-1),0,$Q1858*1000+$R1858*100+$K1858)</f>
        <v>0</v>
      </c>
      <c r="T1858" s="37" t="str">
        <f aca="false">IF($A1858="","",IF($B1858="","NO ACCOUNT",IF($Q1858=0,"UNMAPPED",IF($R1858=-1,"OUTSIDE FY RANGE","OK"))))</f>
        <v/>
      </c>
      <c r="U1858" s="40" t="str">
        <f aca="false">IF($A1858="","",$B1858&amp;"|"&amp;TEXT($A1858,"yyyymmdd")&amp;"|"&amp;TEXT($I1858,"0.00"))</f>
        <v/>
      </c>
      <c r="V1858" s="35" t="str">
        <f aca="false">IF($A1858="","",COUNTIF($U$8:$U$5007,$U1858))</f>
        <v/>
      </c>
    </row>
    <row r="1859" customFormat="false" ht="15" hidden="false" customHeight="false" outlineLevel="0" collapsed="false">
      <c r="A1859" s="31"/>
      <c r="B1859" s="32"/>
      <c r="C1859" s="32"/>
      <c r="D1859" s="32"/>
      <c r="E1859" s="32"/>
      <c r="F1859" s="32"/>
      <c r="G1859" s="33"/>
      <c r="H1859" s="33"/>
      <c r="I1859" s="34" t="str">
        <f aca="false">IF($A1859="","",$G1859-$H1859)</f>
        <v/>
      </c>
      <c r="J1859" s="35" t="str">
        <f aca="false">IF($A1859="","",IF(Setup!$B$6=1,YEAR($A1859),YEAR($A1859)+IF(MONTH($A1859)&gt;=Setup!$B$6,1,0)))</f>
        <v/>
      </c>
      <c r="K1859" s="35" t="str">
        <f aca="false">IF($A1859="","",MOD(MONTH($A1859)-Setup!$B$6+12,12)+1)</f>
        <v/>
      </c>
      <c r="L1859" s="36" t="str">
        <f aca="false">IF($A1859="","",TEXT($A1859,"MMM-YY"))</f>
        <v/>
      </c>
      <c r="M1859" s="37" t="str">
        <f aca="false">IF($A1859="","",IF($Q1859=0,"UNMAPPED",INDEX(COA_Mapping!$C$7:$C$256,$Q1859)))</f>
        <v/>
      </c>
      <c r="N1859" s="38" t="str">
        <f aca="false">IF($A1859="","",IF($Q1859=0,"",INDEX(COA_Mapping!$E$7:$E$256,$Q1859)))</f>
        <v/>
      </c>
      <c r="O1859" s="38" t="n">
        <f aca="false">IF($A1859="",1,IF($Q1859=0,1,INDEX(COA_Mapping!$F$7:$F$256,$Q1859)))</f>
        <v>1</v>
      </c>
      <c r="P1859" s="34" t="str">
        <f aca="false">IF($A1859="","",$I1859*$O1859)</f>
        <v/>
      </c>
      <c r="Q1859" s="39" t="n">
        <f aca="false">IF($B1859="",0,IFERROR(MATCH($B1859,COA_Mapping!$A$7:$A$256,0),0))</f>
        <v>0</v>
      </c>
      <c r="R1859" s="39" t="n">
        <f aca="false">IF($A1859="",-1,IF($J1859=Setup!$B$7,1,IF($J1859=Setup!$B$9,0,-1)))</f>
        <v>-1</v>
      </c>
      <c r="S1859" s="35" t="n">
        <f aca="false">IF(OR($A1859="",$Q1859=0,$R1859=-1),0,$Q1859*1000+$R1859*100+$K1859)</f>
        <v>0</v>
      </c>
      <c r="T1859" s="37" t="str">
        <f aca="false">IF($A1859="","",IF($B1859="","NO ACCOUNT",IF($Q1859=0,"UNMAPPED",IF($R1859=-1,"OUTSIDE FY RANGE","OK"))))</f>
        <v/>
      </c>
      <c r="U1859" s="40" t="str">
        <f aca="false">IF($A1859="","",$B1859&amp;"|"&amp;TEXT($A1859,"yyyymmdd")&amp;"|"&amp;TEXT($I1859,"0.00"))</f>
        <v/>
      </c>
      <c r="V1859" s="35" t="str">
        <f aca="false">IF($A1859="","",COUNTIF($U$8:$U$5007,$U1859))</f>
        <v/>
      </c>
    </row>
    <row r="1860" customFormat="false" ht="15" hidden="false" customHeight="false" outlineLevel="0" collapsed="false">
      <c r="A1860" s="31"/>
      <c r="B1860" s="32"/>
      <c r="C1860" s="32"/>
      <c r="D1860" s="32"/>
      <c r="E1860" s="32"/>
      <c r="F1860" s="32"/>
      <c r="G1860" s="33"/>
      <c r="H1860" s="33"/>
      <c r="I1860" s="34" t="str">
        <f aca="false">IF($A1860="","",$G1860-$H1860)</f>
        <v/>
      </c>
      <c r="J1860" s="35" t="str">
        <f aca="false">IF($A1860="","",IF(Setup!$B$6=1,YEAR($A1860),YEAR($A1860)+IF(MONTH($A1860)&gt;=Setup!$B$6,1,0)))</f>
        <v/>
      </c>
      <c r="K1860" s="35" t="str">
        <f aca="false">IF($A1860="","",MOD(MONTH($A1860)-Setup!$B$6+12,12)+1)</f>
        <v/>
      </c>
      <c r="L1860" s="36" t="str">
        <f aca="false">IF($A1860="","",TEXT($A1860,"MMM-YY"))</f>
        <v/>
      </c>
      <c r="M1860" s="37" t="str">
        <f aca="false">IF($A1860="","",IF($Q1860=0,"UNMAPPED",INDEX(COA_Mapping!$C$7:$C$256,$Q1860)))</f>
        <v/>
      </c>
      <c r="N1860" s="38" t="str">
        <f aca="false">IF($A1860="","",IF($Q1860=0,"",INDEX(COA_Mapping!$E$7:$E$256,$Q1860)))</f>
        <v/>
      </c>
      <c r="O1860" s="38" t="n">
        <f aca="false">IF($A1860="",1,IF($Q1860=0,1,INDEX(COA_Mapping!$F$7:$F$256,$Q1860)))</f>
        <v>1</v>
      </c>
      <c r="P1860" s="34" t="str">
        <f aca="false">IF($A1860="","",$I1860*$O1860)</f>
        <v/>
      </c>
      <c r="Q1860" s="39" t="n">
        <f aca="false">IF($B1860="",0,IFERROR(MATCH($B1860,COA_Mapping!$A$7:$A$256,0),0))</f>
        <v>0</v>
      </c>
      <c r="R1860" s="39" t="n">
        <f aca="false">IF($A1860="",-1,IF($J1860=Setup!$B$7,1,IF($J1860=Setup!$B$9,0,-1)))</f>
        <v>-1</v>
      </c>
      <c r="S1860" s="35" t="n">
        <f aca="false">IF(OR($A1860="",$Q1860=0,$R1860=-1),0,$Q1860*1000+$R1860*100+$K1860)</f>
        <v>0</v>
      </c>
      <c r="T1860" s="37" t="str">
        <f aca="false">IF($A1860="","",IF($B1860="","NO ACCOUNT",IF($Q1860=0,"UNMAPPED",IF($R1860=-1,"OUTSIDE FY RANGE","OK"))))</f>
        <v/>
      </c>
      <c r="U1860" s="40" t="str">
        <f aca="false">IF($A1860="","",$B1860&amp;"|"&amp;TEXT($A1860,"yyyymmdd")&amp;"|"&amp;TEXT($I1860,"0.00"))</f>
        <v/>
      </c>
      <c r="V1860" s="35" t="str">
        <f aca="false">IF($A1860="","",COUNTIF($U$8:$U$5007,$U1860))</f>
        <v/>
      </c>
    </row>
    <row r="1861" customFormat="false" ht="15" hidden="false" customHeight="false" outlineLevel="0" collapsed="false">
      <c r="A1861" s="31"/>
      <c r="B1861" s="32"/>
      <c r="C1861" s="32"/>
      <c r="D1861" s="32"/>
      <c r="E1861" s="32"/>
      <c r="F1861" s="32"/>
      <c r="G1861" s="33"/>
      <c r="H1861" s="33"/>
      <c r="I1861" s="34" t="str">
        <f aca="false">IF($A1861="","",$G1861-$H1861)</f>
        <v/>
      </c>
      <c r="J1861" s="35" t="str">
        <f aca="false">IF($A1861="","",IF(Setup!$B$6=1,YEAR($A1861),YEAR($A1861)+IF(MONTH($A1861)&gt;=Setup!$B$6,1,0)))</f>
        <v/>
      </c>
      <c r="K1861" s="35" t="str">
        <f aca="false">IF($A1861="","",MOD(MONTH($A1861)-Setup!$B$6+12,12)+1)</f>
        <v/>
      </c>
      <c r="L1861" s="36" t="str">
        <f aca="false">IF($A1861="","",TEXT($A1861,"MMM-YY"))</f>
        <v/>
      </c>
      <c r="M1861" s="37" t="str">
        <f aca="false">IF($A1861="","",IF($Q1861=0,"UNMAPPED",INDEX(COA_Mapping!$C$7:$C$256,$Q1861)))</f>
        <v/>
      </c>
      <c r="N1861" s="38" t="str">
        <f aca="false">IF($A1861="","",IF($Q1861=0,"",INDEX(COA_Mapping!$E$7:$E$256,$Q1861)))</f>
        <v/>
      </c>
      <c r="O1861" s="38" t="n">
        <f aca="false">IF($A1861="",1,IF($Q1861=0,1,INDEX(COA_Mapping!$F$7:$F$256,$Q1861)))</f>
        <v>1</v>
      </c>
      <c r="P1861" s="34" t="str">
        <f aca="false">IF($A1861="","",$I1861*$O1861)</f>
        <v/>
      </c>
      <c r="Q1861" s="39" t="n">
        <f aca="false">IF($B1861="",0,IFERROR(MATCH($B1861,COA_Mapping!$A$7:$A$256,0),0))</f>
        <v>0</v>
      </c>
      <c r="R1861" s="39" t="n">
        <f aca="false">IF($A1861="",-1,IF($J1861=Setup!$B$7,1,IF($J1861=Setup!$B$9,0,-1)))</f>
        <v>-1</v>
      </c>
      <c r="S1861" s="35" t="n">
        <f aca="false">IF(OR($A1861="",$Q1861=0,$R1861=-1),0,$Q1861*1000+$R1861*100+$K1861)</f>
        <v>0</v>
      </c>
      <c r="T1861" s="37" t="str">
        <f aca="false">IF($A1861="","",IF($B1861="","NO ACCOUNT",IF($Q1861=0,"UNMAPPED",IF($R1861=-1,"OUTSIDE FY RANGE","OK"))))</f>
        <v/>
      </c>
      <c r="U1861" s="40" t="str">
        <f aca="false">IF($A1861="","",$B1861&amp;"|"&amp;TEXT($A1861,"yyyymmdd")&amp;"|"&amp;TEXT($I1861,"0.00"))</f>
        <v/>
      </c>
      <c r="V1861" s="35" t="str">
        <f aca="false">IF($A1861="","",COUNTIF($U$8:$U$5007,$U1861))</f>
        <v/>
      </c>
    </row>
    <row r="1862" customFormat="false" ht="15" hidden="false" customHeight="false" outlineLevel="0" collapsed="false">
      <c r="A1862" s="31"/>
      <c r="B1862" s="32"/>
      <c r="C1862" s="32"/>
      <c r="D1862" s="32"/>
      <c r="E1862" s="32"/>
      <c r="F1862" s="32"/>
      <c r="G1862" s="33"/>
      <c r="H1862" s="33"/>
      <c r="I1862" s="34" t="str">
        <f aca="false">IF($A1862="","",$G1862-$H1862)</f>
        <v/>
      </c>
      <c r="J1862" s="35" t="str">
        <f aca="false">IF($A1862="","",IF(Setup!$B$6=1,YEAR($A1862),YEAR($A1862)+IF(MONTH($A1862)&gt;=Setup!$B$6,1,0)))</f>
        <v/>
      </c>
      <c r="K1862" s="35" t="str">
        <f aca="false">IF($A1862="","",MOD(MONTH($A1862)-Setup!$B$6+12,12)+1)</f>
        <v/>
      </c>
      <c r="L1862" s="36" t="str">
        <f aca="false">IF($A1862="","",TEXT($A1862,"MMM-YY"))</f>
        <v/>
      </c>
      <c r="M1862" s="37" t="str">
        <f aca="false">IF($A1862="","",IF($Q1862=0,"UNMAPPED",INDEX(COA_Mapping!$C$7:$C$256,$Q1862)))</f>
        <v/>
      </c>
      <c r="N1862" s="38" t="str">
        <f aca="false">IF($A1862="","",IF($Q1862=0,"",INDEX(COA_Mapping!$E$7:$E$256,$Q1862)))</f>
        <v/>
      </c>
      <c r="O1862" s="38" t="n">
        <f aca="false">IF($A1862="",1,IF($Q1862=0,1,INDEX(COA_Mapping!$F$7:$F$256,$Q1862)))</f>
        <v>1</v>
      </c>
      <c r="P1862" s="34" t="str">
        <f aca="false">IF($A1862="","",$I1862*$O1862)</f>
        <v/>
      </c>
      <c r="Q1862" s="39" t="n">
        <f aca="false">IF($B1862="",0,IFERROR(MATCH($B1862,COA_Mapping!$A$7:$A$256,0),0))</f>
        <v>0</v>
      </c>
      <c r="R1862" s="39" t="n">
        <f aca="false">IF($A1862="",-1,IF($J1862=Setup!$B$7,1,IF($J1862=Setup!$B$9,0,-1)))</f>
        <v>-1</v>
      </c>
      <c r="S1862" s="35" t="n">
        <f aca="false">IF(OR($A1862="",$Q1862=0,$R1862=-1),0,$Q1862*1000+$R1862*100+$K1862)</f>
        <v>0</v>
      </c>
      <c r="T1862" s="37" t="str">
        <f aca="false">IF($A1862="","",IF($B1862="","NO ACCOUNT",IF($Q1862=0,"UNMAPPED",IF($R1862=-1,"OUTSIDE FY RANGE","OK"))))</f>
        <v/>
      </c>
      <c r="U1862" s="40" t="str">
        <f aca="false">IF($A1862="","",$B1862&amp;"|"&amp;TEXT($A1862,"yyyymmdd")&amp;"|"&amp;TEXT($I1862,"0.00"))</f>
        <v/>
      </c>
      <c r="V1862" s="35" t="str">
        <f aca="false">IF($A1862="","",COUNTIF($U$8:$U$5007,$U1862))</f>
        <v/>
      </c>
    </row>
    <row r="1863" customFormat="false" ht="15" hidden="false" customHeight="false" outlineLevel="0" collapsed="false">
      <c r="A1863" s="31"/>
      <c r="B1863" s="32"/>
      <c r="C1863" s="32"/>
      <c r="D1863" s="32"/>
      <c r="E1863" s="32"/>
      <c r="F1863" s="32"/>
      <c r="G1863" s="33"/>
      <c r="H1863" s="33"/>
      <c r="I1863" s="34" t="str">
        <f aca="false">IF($A1863="","",$G1863-$H1863)</f>
        <v/>
      </c>
      <c r="J1863" s="35" t="str">
        <f aca="false">IF($A1863="","",IF(Setup!$B$6=1,YEAR($A1863),YEAR($A1863)+IF(MONTH($A1863)&gt;=Setup!$B$6,1,0)))</f>
        <v/>
      </c>
      <c r="K1863" s="35" t="str">
        <f aca="false">IF($A1863="","",MOD(MONTH($A1863)-Setup!$B$6+12,12)+1)</f>
        <v/>
      </c>
      <c r="L1863" s="36" t="str">
        <f aca="false">IF($A1863="","",TEXT($A1863,"MMM-YY"))</f>
        <v/>
      </c>
      <c r="M1863" s="37" t="str">
        <f aca="false">IF($A1863="","",IF($Q1863=0,"UNMAPPED",INDEX(COA_Mapping!$C$7:$C$256,$Q1863)))</f>
        <v/>
      </c>
      <c r="N1863" s="38" t="str">
        <f aca="false">IF($A1863="","",IF($Q1863=0,"",INDEX(COA_Mapping!$E$7:$E$256,$Q1863)))</f>
        <v/>
      </c>
      <c r="O1863" s="38" t="n">
        <f aca="false">IF($A1863="",1,IF($Q1863=0,1,INDEX(COA_Mapping!$F$7:$F$256,$Q1863)))</f>
        <v>1</v>
      </c>
      <c r="P1863" s="34" t="str">
        <f aca="false">IF($A1863="","",$I1863*$O1863)</f>
        <v/>
      </c>
      <c r="Q1863" s="39" t="n">
        <f aca="false">IF($B1863="",0,IFERROR(MATCH($B1863,COA_Mapping!$A$7:$A$256,0),0))</f>
        <v>0</v>
      </c>
      <c r="R1863" s="39" t="n">
        <f aca="false">IF($A1863="",-1,IF($J1863=Setup!$B$7,1,IF($J1863=Setup!$B$9,0,-1)))</f>
        <v>-1</v>
      </c>
      <c r="S1863" s="35" t="n">
        <f aca="false">IF(OR($A1863="",$Q1863=0,$R1863=-1),0,$Q1863*1000+$R1863*100+$K1863)</f>
        <v>0</v>
      </c>
      <c r="T1863" s="37" t="str">
        <f aca="false">IF($A1863="","",IF($B1863="","NO ACCOUNT",IF($Q1863=0,"UNMAPPED",IF($R1863=-1,"OUTSIDE FY RANGE","OK"))))</f>
        <v/>
      </c>
      <c r="U1863" s="40" t="str">
        <f aca="false">IF($A1863="","",$B1863&amp;"|"&amp;TEXT($A1863,"yyyymmdd")&amp;"|"&amp;TEXT($I1863,"0.00"))</f>
        <v/>
      </c>
      <c r="V1863" s="35" t="str">
        <f aca="false">IF($A1863="","",COUNTIF($U$8:$U$5007,$U1863))</f>
        <v/>
      </c>
    </row>
    <row r="1864" customFormat="false" ht="15" hidden="false" customHeight="false" outlineLevel="0" collapsed="false">
      <c r="A1864" s="31"/>
      <c r="B1864" s="32"/>
      <c r="C1864" s="32"/>
      <c r="D1864" s="32"/>
      <c r="E1864" s="32"/>
      <c r="F1864" s="32"/>
      <c r="G1864" s="33"/>
      <c r="H1864" s="33"/>
      <c r="I1864" s="34" t="str">
        <f aca="false">IF($A1864="","",$G1864-$H1864)</f>
        <v/>
      </c>
      <c r="J1864" s="35" t="str">
        <f aca="false">IF($A1864="","",IF(Setup!$B$6=1,YEAR($A1864),YEAR($A1864)+IF(MONTH($A1864)&gt;=Setup!$B$6,1,0)))</f>
        <v/>
      </c>
      <c r="K1864" s="35" t="str">
        <f aca="false">IF($A1864="","",MOD(MONTH($A1864)-Setup!$B$6+12,12)+1)</f>
        <v/>
      </c>
      <c r="L1864" s="36" t="str">
        <f aca="false">IF($A1864="","",TEXT($A1864,"MMM-YY"))</f>
        <v/>
      </c>
      <c r="M1864" s="37" t="str">
        <f aca="false">IF($A1864="","",IF($Q1864=0,"UNMAPPED",INDEX(COA_Mapping!$C$7:$C$256,$Q1864)))</f>
        <v/>
      </c>
      <c r="N1864" s="38" t="str">
        <f aca="false">IF($A1864="","",IF($Q1864=0,"",INDEX(COA_Mapping!$E$7:$E$256,$Q1864)))</f>
        <v/>
      </c>
      <c r="O1864" s="38" t="n">
        <f aca="false">IF($A1864="",1,IF($Q1864=0,1,INDEX(COA_Mapping!$F$7:$F$256,$Q1864)))</f>
        <v>1</v>
      </c>
      <c r="P1864" s="34" t="str">
        <f aca="false">IF($A1864="","",$I1864*$O1864)</f>
        <v/>
      </c>
      <c r="Q1864" s="39" t="n">
        <f aca="false">IF($B1864="",0,IFERROR(MATCH($B1864,COA_Mapping!$A$7:$A$256,0),0))</f>
        <v>0</v>
      </c>
      <c r="R1864" s="39" t="n">
        <f aca="false">IF($A1864="",-1,IF($J1864=Setup!$B$7,1,IF($J1864=Setup!$B$9,0,-1)))</f>
        <v>-1</v>
      </c>
      <c r="S1864" s="35" t="n">
        <f aca="false">IF(OR($A1864="",$Q1864=0,$R1864=-1),0,$Q1864*1000+$R1864*100+$K1864)</f>
        <v>0</v>
      </c>
      <c r="T1864" s="37" t="str">
        <f aca="false">IF($A1864="","",IF($B1864="","NO ACCOUNT",IF($Q1864=0,"UNMAPPED",IF($R1864=-1,"OUTSIDE FY RANGE","OK"))))</f>
        <v/>
      </c>
      <c r="U1864" s="40" t="str">
        <f aca="false">IF($A1864="","",$B1864&amp;"|"&amp;TEXT($A1864,"yyyymmdd")&amp;"|"&amp;TEXT($I1864,"0.00"))</f>
        <v/>
      </c>
      <c r="V1864" s="35" t="str">
        <f aca="false">IF($A1864="","",COUNTIF($U$8:$U$5007,$U1864))</f>
        <v/>
      </c>
    </row>
    <row r="1865" customFormat="false" ht="15" hidden="false" customHeight="false" outlineLevel="0" collapsed="false">
      <c r="A1865" s="31"/>
      <c r="B1865" s="32"/>
      <c r="C1865" s="32"/>
      <c r="D1865" s="32"/>
      <c r="E1865" s="32"/>
      <c r="F1865" s="32"/>
      <c r="G1865" s="33"/>
      <c r="H1865" s="33"/>
      <c r="I1865" s="34" t="str">
        <f aca="false">IF($A1865="","",$G1865-$H1865)</f>
        <v/>
      </c>
      <c r="J1865" s="35" t="str">
        <f aca="false">IF($A1865="","",IF(Setup!$B$6=1,YEAR($A1865),YEAR($A1865)+IF(MONTH($A1865)&gt;=Setup!$B$6,1,0)))</f>
        <v/>
      </c>
      <c r="K1865" s="35" t="str">
        <f aca="false">IF($A1865="","",MOD(MONTH($A1865)-Setup!$B$6+12,12)+1)</f>
        <v/>
      </c>
      <c r="L1865" s="36" t="str">
        <f aca="false">IF($A1865="","",TEXT($A1865,"MMM-YY"))</f>
        <v/>
      </c>
      <c r="M1865" s="37" t="str">
        <f aca="false">IF($A1865="","",IF($Q1865=0,"UNMAPPED",INDEX(COA_Mapping!$C$7:$C$256,$Q1865)))</f>
        <v/>
      </c>
      <c r="N1865" s="38" t="str">
        <f aca="false">IF($A1865="","",IF($Q1865=0,"",INDEX(COA_Mapping!$E$7:$E$256,$Q1865)))</f>
        <v/>
      </c>
      <c r="O1865" s="38" t="n">
        <f aca="false">IF($A1865="",1,IF($Q1865=0,1,INDEX(COA_Mapping!$F$7:$F$256,$Q1865)))</f>
        <v>1</v>
      </c>
      <c r="P1865" s="34" t="str">
        <f aca="false">IF($A1865="","",$I1865*$O1865)</f>
        <v/>
      </c>
      <c r="Q1865" s="39" t="n">
        <f aca="false">IF($B1865="",0,IFERROR(MATCH($B1865,COA_Mapping!$A$7:$A$256,0),0))</f>
        <v>0</v>
      </c>
      <c r="R1865" s="39" t="n">
        <f aca="false">IF($A1865="",-1,IF($J1865=Setup!$B$7,1,IF($J1865=Setup!$B$9,0,-1)))</f>
        <v>-1</v>
      </c>
      <c r="S1865" s="35" t="n">
        <f aca="false">IF(OR($A1865="",$Q1865=0,$R1865=-1),0,$Q1865*1000+$R1865*100+$K1865)</f>
        <v>0</v>
      </c>
      <c r="T1865" s="37" t="str">
        <f aca="false">IF($A1865="","",IF($B1865="","NO ACCOUNT",IF($Q1865=0,"UNMAPPED",IF($R1865=-1,"OUTSIDE FY RANGE","OK"))))</f>
        <v/>
      </c>
      <c r="U1865" s="40" t="str">
        <f aca="false">IF($A1865="","",$B1865&amp;"|"&amp;TEXT($A1865,"yyyymmdd")&amp;"|"&amp;TEXT($I1865,"0.00"))</f>
        <v/>
      </c>
      <c r="V1865" s="35" t="str">
        <f aca="false">IF($A1865="","",COUNTIF($U$8:$U$5007,$U1865))</f>
        <v/>
      </c>
    </row>
    <row r="1866" customFormat="false" ht="15" hidden="false" customHeight="false" outlineLevel="0" collapsed="false">
      <c r="A1866" s="31"/>
      <c r="B1866" s="32"/>
      <c r="C1866" s="32"/>
      <c r="D1866" s="32"/>
      <c r="E1866" s="32"/>
      <c r="F1866" s="32"/>
      <c r="G1866" s="33"/>
      <c r="H1866" s="33"/>
      <c r="I1866" s="34" t="str">
        <f aca="false">IF($A1866="","",$G1866-$H1866)</f>
        <v/>
      </c>
      <c r="J1866" s="35" t="str">
        <f aca="false">IF($A1866="","",IF(Setup!$B$6=1,YEAR($A1866),YEAR($A1866)+IF(MONTH($A1866)&gt;=Setup!$B$6,1,0)))</f>
        <v/>
      </c>
      <c r="K1866" s="35" t="str">
        <f aca="false">IF($A1866="","",MOD(MONTH($A1866)-Setup!$B$6+12,12)+1)</f>
        <v/>
      </c>
      <c r="L1866" s="36" t="str">
        <f aca="false">IF($A1866="","",TEXT($A1866,"MMM-YY"))</f>
        <v/>
      </c>
      <c r="M1866" s="37" t="str">
        <f aca="false">IF($A1866="","",IF($Q1866=0,"UNMAPPED",INDEX(COA_Mapping!$C$7:$C$256,$Q1866)))</f>
        <v/>
      </c>
      <c r="N1866" s="38" t="str">
        <f aca="false">IF($A1866="","",IF($Q1866=0,"",INDEX(COA_Mapping!$E$7:$E$256,$Q1866)))</f>
        <v/>
      </c>
      <c r="O1866" s="38" t="n">
        <f aca="false">IF($A1866="",1,IF($Q1866=0,1,INDEX(COA_Mapping!$F$7:$F$256,$Q1866)))</f>
        <v>1</v>
      </c>
      <c r="P1866" s="34" t="str">
        <f aca="false">IF($A1866="","",$I1866*$O1866)</f>
        <v/>
      </c>
      <c r="Q1866" s="39" t="n">
        <f aca="false">IF($B1866="",0,IFERROR(MATCH($B1866,COA_Mapping!$A$7:$A$256,0),0))</f>
        <v>0</v>
      </c>
      <c r="R1866" s="39" t="n">
        <f aca="false">IF($A1866="",-1,IF($J1866=Setup!$B$7,1,IF($J1866=Setup!$B$9,0,-1)))</f>
        <v>-1</v>
      </c>
      <c r="S1866" s="35" t="n">
        <f aca="false">IF(OR($A1866="",$Q1866=0,$R1866=-1),0,$Q1866*1000+$R1866*100+$K1866)</f>
        <v>0</v>
      </c>
      <c r="T1866" s="37" t="str">
        <f aca="false">IF($A1866="","",IF($B1866="","NO ACCOUNT",IF($Q1866=0,"UNMAPPED",IF($R1866=-1,"OUTSIDE FY RANGE","OK"))))</f>
        <v/>
      </c>
      <c r="U1866" s="40" t="str">
        <f aca="false">IF($A1866="","",$B1866&amp;"|"&amp;TEXT($A1866,"yyyymmdd")&amp;"|"&amp;TEXT($I1866,"0.00"))</f>
        <v/>
      </c>
      <c r="V1866" s="35" t="str">
        <f aca="false">IF($A1866="","",COUNTIF($U$8:$U$5007,$U1866))</f>
        <v/>
      </c>
    </row>
    <row r="1867" customFormat="false" ht="15" hidden="false" customHeight="false" outlineLevel="0" collapsed="false">
      <c r="A1867" s="31"/>
      <c r="B1867" s="32"/>
      <c r="C1867" s="32"/>
      <c r="D1867" s="32"/>
      <c r="E1867" s="32"/>
      <c r="F1867" s="32"/>
      <c r="G1867" s="33"/>
      <c r="H1867" s="33"/>
      <c r="I1867" s="34" t="str">
        <f aca="false">IF($A1867="","",$G1867-$H1867)</f>
        <v/>
      </c>
      <c r="J1867" s="35" t="str">
        <f aca="false">IF($A1867="","",IF(Setup!$B$6=1,YEAR($A1867),YEAR($A1867)+IF(MONTH($A1867)&gt;=Setup!$B$6,1,0)))</f>
        <v/>
      </c>
      <c r="K1867" s="35" t="str">
        <f aca="false">IF($A1867="","",MOD(MONTH($A1867)-Setup!$B$6+12,12)+1)</f>
        <v/>
      </c>
      <c r="L1867" s="36" t="str">
        <f aca="false">IF($A1867="","",TEXT($A1867,"MMM-YY"))</f>
        <v/>
      </c>
      <c r="M1867" s="37" t="str">
        <f aca="false">IF($A1867="","",IF($Q1867=0,"UNMAPPED",INDEX(COA_Mapping!$C$7:$C$256,$Q1867)))</f>
        <v/>
      </c>
      <c r="N1867" s="38" t="str">
        <f aca="false">IF($A1867="","",IF($Q1867=0,"",INDEX(COA_Mapping!$E$7:$E$256,$Q1867)))</f>
        <v/>
      </c>
      <c r="O1867" s="38" t="n">
        <f aca="false">IF($A1867="",1,IF($Q1867=0,1,INDEX(COA_Mapping!$F$7:$F$256,$Q1867)))</f>
        <v>1</v>
      </c>
      <c r="P1867" s="34" t="str">
        <f aca="false">IF($A1867="","",$I1867*$O1867)</f>
        <v/>
      </c>
      <c r="Q1867" s="39" t="n">
        <f aca="false">IF($B1867="",0,IFERROR(MATCH($B1867,COA_Mapping!$A$7:$A$256,0),0))</f>
        <v>0</v>
      </c>
      <c r="R1867" s="39" t="n">
        <f aca="false">IF($A1867="",-1,IF($J1867=Setup!$B$7,1,IF($J1867=Setup!$B$9,0,-1)))</f>
        <v>-1</v>
      </c>
      <c r="S1867" s="35" t="n">
        <f aca="false">IF(OR($A1867="",$Q1867=0,$R1867=-1),0,$Q1867*1000+$R1867*100+$K1867)</f>
        <v>0</v>
      </c>
      <c r="T1867" s="37" t="str">
        <f aca="false">IF($A1867="","",IF($B1867="","NO ACCOUNT",IF($Q1867=0,"UNMAPPED",IF($R1867=-1,"OUTSIDE FY RANGE","OK"))))</f>
        <v/>
      </c>
      <c r="U1867" s="40" t="str">
        <f aca="false">IF($A1867="","",$B1867&amp;"|"&amp;TEXT($A1867,"yyyymmdd")&amp;"|"&amp;TEXT($I1867,"0.00"))</f>
        <v/>
      </c>
      <c r="V1867" s="35" t="str">
        <f aca="false">IF($A1867="","",COUNTIF($U$8:$U$5007,$U1867))</f>
        <v/>
      </c>
    </row>
    <row r="1868" customFormat="false" ht="15" hidden="false" customHeight="false" outlineLevel="0" collapsed="false">
      <c r="A1868" s="31"/>
      <c r="B1868" s="32"/>
      <c r="C1868" s="32"/>
      <c r="D1868" s="32"/>
      <c r="E1868" s="32"/>
      <c r="F1868" s="32"/>
      <c r="G1868" s="33"/>
      <c r="H1868" s="33"/>
      <c r="I1868" s="34" t="str">
        <f aca="false">IF($A1868="","",$G1868-$H1868)</f>
        <v/>
      </c>
      <c r="J1868" s="35" t="str">
        <f aca="false">IF($A1868="","",IF(Setup!$B$6=1,YEAR($A1868),YEAR($A1868)+IF(MONTH($A1868)&gt;=Setup!$B$6,1,0)))</f>
        <v/>
      </c>
      <c r="K1868" s="35" t="str">
        <f aca="false">IF($A1868="","",MOD(MONTH($A1868)-Setup!$B$6+12,12)+1)</f>
        <v/>
      </c>
      <c r="L1868" s="36" t="str">
        <f aca="false">IF($A1868="","",TEXT($A1868,"MMM-YY"))</f>
        <v/>
      </c>
      <c r="M1868" s="37" t="str">
        <f aca="false">IF($A1868="","",IF($Q1868=0,"UNMAPPED",INDEX(COA_Mapping!$C$7:$C$256,$Q1868)))</f>
        <v/>
      </c>
      <c r="N1868" s="38" t="str">
        <f aca="false">IF($A1868="","",IF($Q1868=0,"",INDEX(COA_Mapping!$E$7:$E$256,$Q1868)))</f>
        <v/>
      </c>
      <c r="O1868" s="38" t="n">
        <f aca="false">IF($A1868="",1,IF($Q1868=0,1,INDEX(COA_Mapping!$F$7:$F$256,$Q1868)))</f>
        <v>1</v>
      </c>
      <c r="P1868" s="34" t="str">
        <f aca="false">IF($A1868="","",$I1868*$O1868)</f>
        <v/>
      </c>
      <c r="Q1868" s="39" t="n">
        <f aca="false">IF($B1868="",0,IFERROR(MATCH($B1868,COA_Mapping!$A$7:$A$256,0),0))</f>
        <v>0</v>
      </c>
      <c r="R1868" s="39" t="n">
        <f aca="false">IF($A1868="",-1,IF($J1868=Setup!$B$7,1,IF($J1868=Setup!$B$9,0,-1)))</f>
        <v>-1</v>
      </c>
      <c r="S1868" s="35" t="n">
        <f aca="false">IF(OR($A1868="",$Q1868=0,$R1868=-1),0,$Q1868*1000+$R1868*100+$K1868)</f>
        <v>0</v>
      </c>
      <c r="T1868" s="37" t="str">
        <f aca="false">IF($A1868="","",IF($B1868="","NO ACCOUNT",IF($Q1868=0,"UNMAPPED",IF($R1868=-1,"OUTSIDE FY RANGE","OK"))))</f>
        <v/>
      </c>
      <c r="U1868" s="40" t="str">
        <f aca="false">IF($A1868="","",$B1868&amp;"|"&amp;TEXT($A1868,"yyyymmdd")&amp;"|"&amp;TEXT($I1868,"0.00"))</f>
        <v/>
      </c>
      <c r="V1868" s="35" t="str">
        <f aca="false">IF($A1868="","",COUNTIF($U$8:$U$5007,$U1868))</f>
        <v/>
      </c>
    </row>
    <row r="1869" customFormat="false" ht="15" hidden="false" customHeight="false" outlineLevel="0" collapsed="false">
      <c r="A1869" s="31"/>
      <c r="B1869" s="32"/>
      <c r="C1869" s="32"/>
      <c r="D1869" s="32"/>
      <c r="E1869" s="32"/>
      <c r="F1869" s="32"/>
      <c r="G1869" s="33"/>
      <c r="H1869" s="33"/>
      <c r="I1869" s="34" t="str">
        <f aca="false">IF($A1869="","",$G1869-$H1869)</f>
        <v/>
      </c>
      <c r="J1869" s="35" t="str">
        <f aca="false">IF($A1869="","",IF(Setup!$B$6=1,YEAR($A1869),YEAR($A1869)+IF(MONTH($A1869)&gt;=Setup!$B$6,1,0)))</f>
        <v/>
      </c>
      <c r="K1869" s="35" t="str">
        <f aca="false">IF($A1869="","",MOD(MONTH($A1869)-Setup!$B$6+12,12)+1)</f>
        <v/>
      </c>
      <c r="L1869" s="36" t="str">
        <f aca="false">IF($A1869="","",TEXT($A1869,"MMM-YY"))</f>
        <v/>
      </c>
      <c r="M1869" s="37" t="str">
        <f aca="false">IF($A1869="","",IF($Q1869=0,"UNMAPPED",INDEX(COA_Mapping!$C$7:$C$256,$Q1869)))</f>
        <v/>
      </c>
      <c r="N1869" s="38" t="str">
        <f aca="false">IF($A1869="","",IF($Q1869=0,"",INDEX(COA_Mapping!$E$7:$E$256,$Q1869)))</f>
        <v/>
      </c>
      <c r="O1869" s="38" t="n">
        <f aca="false">IF($A1869="",1,IF($Q1869=0,1,INDEX(COA_Mapping!$F$7:$F$256,$Q1869)))</f>
        <v>1</v>
      </c>
      <c r="P1869" s="34" t="str">
        <f aca="false">IF($A1869="","",$I1869*$O1869)</f>
        <v/>
      </c>
      <c r="Q1869" s="39" t="n">
        <f aca="false">IF($B1869="",0,IFERROR(MATCH($B1869,COA_Mapping!$A$7:$A$256,0),0))</f>
        <v>0</v>
      </c>
      <c r="R1869" s="39" t="n">
        <f aca="false">IF($A1869="",-1,IF($J1869=Setup!$B$7,1,IF($J1869=Setup!$B$9,0,-1)))</f>
        <v>-1</v>
      </c>
      <c r="S1869" s="35" t="n">
        <f aca="false">IF(OR($A1869="",$Q1869=0,$R1869=-1),0,$Q1869*1000+$R1869*100+$K1869)</f>
        <v>0</v>
      </c>
      <c r="T1869" s="37" t="str">
        <f aca="false">IF($A1869="","",IF($B1869="","NO ACCOUNT",IF($Q1869=0,"UNMAPPED",IF($R1869=-1,"OUTSIDE FY RANGE","OK"))))</f>
        <v/>
      </c>
      <c r="U1869" s="40" t="str">
        <f aca="false">IF($A1869="","",$B1869&amp;"|"&amp;TEXT($A1869,"yyyymmdd")&amp;"|"&amp;TEXT($I1869,"0.00"))</f>
        <v/>
      </c>
      <c r="V1869" s="35" t="str">
        <f aca="false">IF($A1869="","",COUNTIF($U$8:$U$5007,$U1869))</f>
        <v/>
      </c>
    </row>
    <row r="1870" customFormat="false" ht="15" hidden="false" customHeight="false" outlineLevel="0" collapsed="false">
      <c r="A1870" s="31"/>
      <c r="B1870" s="32"/>
      <c r="C1870" s="32"/>
      <c r="D1870" s="32"/>
      <c r="E1870" s="32"/>
      <c r="F1870" s="32"/>
      <c r="G1870" s="33"/>
      <c r="H1870" s="33"/>
      <c r="I1870" s="34" t="str">
        <f aca="false">IF($A1870="","",$G1870-$H1870)</f>
        <v/>
      </c>
      <c r="J1870" s="35" t="str">
        <f aca="false">IF($A1870="","",IF(Setup!$B$6=1,YEAR($A1870),YEAR($A1870)+IF(MONTH($A1870)&gt;=Setup!$B$6,1,0)))</f>
        <v/>
      </c>
      <c r="K1870" s="35" t="str">
        <f aca="false">IF($A1870="","",MOD(MONTH($A1870)-Setup!$B$6+12,12)+1)</f>
        <v/>
      </c>
      <c r="L1870" s="36" t="str">
        <f aca="false">IF($A1870="","",TEXT($A1870,"MMM-YY"))</f>
        <v/>
      </c>
      <c r="M1870" s="37" t="str">
        <f aca="false">IF($A1870="","",IF($Q1870=0,"UNMAPPED",INDEX(COA_Mapping!$C$7:$C$256,$Q1870)))</f>
        <v/>
      </c>
      <c r="N1870" s="38" t="str">
        <f aca="false">IF($A1870="","",IF($Q1870=0,"",INDEX(COA_Mapping!$E$7:$E$256,$Q1870)))</f>
        <v/>
      </c>
      <c r="O1870" s="38" t="n">
        <f aca="false">IF($A1870="",1,IF($Q1870=0,1,INDEX(COA_Mapping!$F$7:$F$256,$Q1870)))</f>
        <v>1</v>
      </c>
      <c r="P1870" s="34" t="str">
        <f aca="false">IF($A1870="","",$I1870*$O1870)</f>
        <v/>
      </c>
      <c r="Q1870" s="39" t="n">
        <f aca="false">IF($B1870="",0,IFERROR(MATCH($B1870,COA_Mapping!$A$7:$A$256,0),0))</f>
        <v>0</v>
      </c>
      <c r="R1870" s="39" t="n">
        <f aca="false">IF($A1870="",-1,IF($J1870=Setup!$B$7,1,IF($J1870=Setup!$B$9,0,-1)))</f>
        <v>-1</v>
      </c>
      <c r="S1870" s="35" t="n">
        <f aca="false">IF(OR($A1870="",$Q1870=0,$R1870=-1),0,$Q1870*1000+$R1870*100+$K1870)</f>
        <v>0</v>
      </c>
      <c r="T1870" s="37" t="str">
        <f aca="false">IF($A1870="","",IF($B1870="","NO ACCOUNT",IF($Q1870=0,"UNMAPPED",IF($R1870=-1,"OUTSIDE FY RANGE","OK"))))</f>
        <v/>
      </c>
      <c r="U1870" s="40" t="str">
        <f aca="false">IF($A1870="","",$B1870&amp;"|"&amp;TEXT($A1870,"yyyymmdd")&amp;"|"&amp;TEXT($I1870,"0.00"))</f>
        <v/>
      </c>
      <c r="V1870" s="35" t="str">
        <f aca="false">IF($A1870="","",COUNTIF($U$8:$U$5007,$U1870))</f>
        <v/>
      </c>
    </row>
    <row r="1871" customFormat="false" ht="15" hidden="false" customHeight="false" outlineLevel="0" collapsed="false">
      <c r="A1871" s="31"/>
      <c r="B1871" s="32"/>
      <c r="C1871" s="32"/>
      <c r="D1871" s="32"/>
      <c r="E1871" s="32"/>
      <c r="F1871" s="32"/>
      <c r="G1871" s="33"/>
      <c r="H1871" s="33"/>
      <c r="I1871" s="34" t="str">
        <f aca="false">IF($A1871="","",$G1871-$H1871)</f>
        <v/>
      </c>
      <c r="J1871" s="35" t="str">
        <f aca="false">IF($A1871="","",IF(Setup!$B$6=1,YEAR($A1871),YEAR($A1871)+IF(MONTH($A1871)&gt;=Setup!$B$6,1,0)))</f>
        <v/>
      </c>
      <c r="K1871" s="35" t="str">
        <f aca="false">IF($A1871="","",MOD(MONTH($A1871)-Setup!$B$6+12,12)+1)</f>
        <v/>
      </c>
      <c r="L1871" s="36" t="str">
        <f aca="false">IF($A1871="","",TEXT($A1871,"MMM-YY"))</f>
        <v/>
      </c>
      <c r="M1871" s="37" t="str">
        <f aca="false">IF($A1871="","",IF($Q1871=0,"UNMAPPED",INDEX(COA_Mapping!$C$7:$C$256,$Q1871)))</f>
        <v/>
      </c>
      <c r="N1871" s="38" t="str">
        <f aca="false">IF($A1871="","",IF($Q1871=0,"",INDEX(COA_Mapping!$E$7:$E$256,$Q1871)))</f>
        <v/>
      </c>
      <c r="O1871" s="38" t="n">
        <f aca="false">IF($A1871="",1,IF($Q1871=0,1,INDEX(COA_Mapping!$F$7:$F$256,$Q1871)))</f>
        <v>1</v>
      </c>
      <c r="P1871" s="34" t="str">
        <f aca="false">IF($A1871="","",$I1871*$O1871)</f>
        <v/>
      </c>
      <c r="Q1871" s="39" t="n">
        <f aca="false">IF($B1871="",0,IFERROR(MATCH($B1871,COA_Mapping!$A$7:$A$256,0),0))</f>
        <v>0</v>
      </c>
      <c r="R1871" s="39" t="n">
        <f aca="false">IF($A1871="",-1,IF($J1871=Setup!$B$7,1,IF($J1871=Setup!$B$9,0,-1)))</f>
        <v>-1</v>
      </c>
      <c r="S1871" s="35" t="n">
        <f aca="false">IF(OR($A1871="",$Q1871=0,$R1871=-1),0,$Q1871*1000+$R1871*100+$K1871)</f>
        <v>0</v>
      </c>
      <c r="T1871" s="37" t="str">
        <f aca="false">IF($A1871="","",IF($B1871="","NO ACCOUNT",IF($Q1871=0,"UNMAPPED",IF($R1871=-1,"OUTSIDE FY RANGE","OK"))))</f>
        <v/>
      </c>
      <c r="U1871" s="40" t="str">
        <f aca="false">IF($A1871="","",$B1871&amp;"|"&amp;TEXT($A1871,"yyyymmdd")&amp;"|"&amp;TEXT($I1871,"0.00"))</f>
        <v/>
      </c>
      <c r="V1871" s="35" t="str">
        <f aca="false">IF($A1871="","",COUNTIF($U$8:$U$5007,$U1871))</f>
        <v/>
      </c>
    </row>
    <row r="1872" customFormat="false" ht="15" hidden="false" customHeight="false" outlineLevel="0" collapsed="false">
      <c r="A1872" s="31"/>
      <c r="B1872" s="32"/>
      <c r="C1872" s="32"/>
      <c r="D1872" s="32"/>
      <c r="E1872" s="32"/>
      <c r="F1872" s="32"/>
      <c r="G1872" s="33"/>
      <c r="H1872" s="33"/>
      <c r="I1872" s="34" t="str">
        <f aca="false">IF($A1872="","",$G1872-$H1872)</f>
        <v/>
      </c>
      <c r="J1872" s="35" t="str">
        <f aca="false">IF($A1872="","",IF(Setup!$B$6=1,YEAR($A1872),YEAR($A1872)+IF(MONTH($A1872)&gt;=Setup!$B$6,1,0)))</f>
        <v/>
      </c>
      <c r="K1872" s="35" t="str">
        <f aca="false">IF($A1872="","",MOD(MONTH($A1872)-Setup!$B$6+12,12)+1)</f>
        <v/>
      </c>
      <c r="L1872" s="36" t="str">
        <f aca="false">IF($A1872="","",TEXT($A1872,"MMM-YY"))</f>
        <v/>
      </c>
      <c r="M1872" s="37" t="str">
        <f aca="false">IF($A1872="","",IF($Q1872=0,"UNMAPPED",INDEX(COA_Mapping!$C$7:$C$256,$Q1872)))</f>
        <v/>
      </c>
      <c r="N1872" s="38" t="str">
        <f aca="false">IF($A1872="","",IF($Q1872=0,"",INDEX(COA_Mapping!$E$7:$E$256,$Q1872)))</f>
        <v/>
      </c>
      <c r="O1872" s="38" t="n">
        <f aca="false">IF($A1872="",1,IF($Q1872=0,1,INDEX(COA_Mapping!$F$7:$F$256,$Q1872)))</f>
        <v>1</v>
      </c>
      <c r="P1872" s="34" t="str">
        <f aca="false">IF($A1872="","",$I1872*$O1872)</f>
        <v/>
      </c>
      <c r="Q1872" s="39" t="n">
        <f aca="false">IF($B1872="",0,IFERROR(MATCH($B1872,COA_Mapping!$A$7:$A$256,0),0))</f>
        <v>0</v>
      </c>
      <c r="R1872" s="39" t="n">
        <f aca="false">IF($A1872="",-1,IF($J1872=Setup!$B$7,1,IF($J1872=Setup!$B$9,0,-1)))</f>
        <v>-1</v>
      </c>
      <c r="S1872" s="35" t="n">
        <f aca="false">IF(OR($A1872="",$Q1872=0,$R1872=-1),0,$Q1872*1000+$R1872*100+$K1872)</f>
        <v>0</v>
      </c>
      <c r="T1872" s="37" t="str">
        <f aca="false">IF($A1872="","",IF($B1872="","NO ACCOUNT",IF($Q1872=0,"UNMAPPED",IF($R1872=-1,"OUTSIDE FY RANGE","OK"))))</f>
        <v/>
      </c>
      <c r="U1872" s="40" t="str">
        <f aca="false">IF($A1872="","",$B1872&amp;"|"&amp;TEXT($A1872,"yyyymmdd")&amp;"|"&amp;TEXT($I1872,"0.00"))</f>
        <v/>
      </c>
      <c r="V1872" s="35" t="str">
        <f aca="false">IF($A1872="","",COUNTIF($U$8:$U$5007,$U1872))</f>
        <v/>
      </c>
    </row>
    <row r="1873" customFormat="false" ht="15" hidden="false" customHeight="false" outlineLevel="0" collapsed="false">
      <c r="A1873" s="31"/>
      <c r="B1873" s="32"/>
      <c r="C1873" s="32"/>
      <c r="D1873" s="32"/>
      <c r="E1873" s="32"/>
      <c r="F1873" s="32"/>
      <c r="G1873" s="33"/>
      <c r="H1873" s="33"/>
      <c r="I1873" s="34" t="str">
        <f aca="false">IF($A1873="","",$G1873-$H1873)</f>
        <v/>
      </c>
      <c r="J1873" s="35" t="str">
        <f aca="false">IF($A1873="","",IF(Setup!$B$6=1,YEAR($A1873),YEAR($A1873)+IF(MONTH($A1873)&gt;=Setup!$B$6,1,0)))</f>
        <v/>
      </c>
      <c r="K1873" s="35" t="str">
        <f aca="false">IF($A1873="","",MOD(MONTH($A1873)-Setup!$B$6+12,12)+1)</f>
        <v/>
      </c>
      <c r="L1873" s="36" t="str">
        <f aca="false">IF($A1873="","",TEXT($A1873,"MMM-YY"))</f>
        <v/>
      </c>
      <c r="M1873" s="37" t="str">
        <f aca="false">IF($A1873="","",IF($Q1873=0,"UNMAPPED",INDEX(COA_Mapping!$C$7:$C$256,$Q1873)))</f>
        <v/>
      </c>
      <c r="N1873" s="38" t="str">
        <f aca="false">IF($A1873="","",IF($Q1873=0,"",INDEX(COA_Mapping!$E$7:$E$256,$Q1873)))</f>
        <v/>
      </c>
      <c r="O1873" s="38" t="n">
        <f aca="false">IF($A1873="",1,IF($Q1873=0,1,INDEX(COA_Mapping!$F$7:$F$256,$Q1873)))</f>
        <v>1</v>
      </c>
      <c r="P1873" s="34" t="str">
        <f aca="false">IF($A1873="","",$I1873*$O1873)</f>
        <v/>
      </c>
      <c r="Q1873" s="39" t="n">
        <f aca="false">IF($B1873="",0,IFERROR(MATCH($B1873,COA_Mapping!$A$7:$A$256,0),0))</f>
        <v>0</v>
      </c>
      <c r="R1873" s="39" t="n">
        <f aca="false">IF($A1873="",-1,IF($J1873=Setup!$B$7,1,IF($J1873=Setup!$B$9,0,-1)))</f>
        <v>-1</v>
      </c>
      <c r="S1873" s="35" t="n">
        <f aca="false">IF(OR($A1873="",$Q1873=0,$R1873=-1),0,$Q1873*1000+$R1873*100+$K1873)</f>
        <v>0</v>
      </c>
      <c r="T1873" s="37" t="str">
        <f aca="false">IF($A1873="","",IF($B1873="","NO ACCOUNT",IF($Q1873=0,"UNMAPPED",IF($R1873=-1,"OUTSIDE FY RANGE","OK"))))</f>
        <v/>
      </c>
      <c r="U1873" s="40" t="str">
        <f aca="false">IF($A1873="","",$B1873&amp;"|"&amp;TEXT($A1873,"yyyymmdd")&amp;"|"&amp;TEXT($I1873,"0.00"))</f>
        <v/>
      </c>
      <c r="V1873" s="35" t="str">
        <f aca="false">IF($A1873="","",COUNTIF($U$8:$U$5007,$U1873))</f>
        <v/>
      </c>
    </row>
    <row r="1874" customFormat="false" ht="15" hidden="false" customHeight="false" outlineLevel="0" collapsed="false">
      <c r="A1874" s="31"/>
      <c r="B1874" s="32"/>
      <c r="C1874" s="32"/>
      <c r="D1874" s="32"/>
      <c r="E1874" s="32"/>
      <c r="F1874" s="32"/>
      <c r="G1874" s="33"/>
      <c r="H1874" s="33"/>
      <c r="I1874" s="34" t="str">
        <f aca="false">IF($A1874="","",$G1874-$H1874)</f>
        <v/>
      </c>
      <c r="J1874" s="35" t="str">
        <f aca="false">IF($A1874="","",IF(Setup!$B$6=1,YEAR($A1874),YEAR($A1874)+IF(MONTH($A1874)&gt;=Setup!$B$6,1,0)))</f>
        <v/>
      </c>
      <c r="K1874" s="35" t="str">
        <f aca="false">IF($A1874="","",MOD(MONTH($A1874)-Setup!$B$6+12,12)+1)</f>
        <v/>
      </c>
      <c r="L1874" s="36" t="str">
        <f aca="false">IF($A1874="","",TEXT($A1874,"MMM-YY"))</f>
        <v/>
      </c>
      <c r="M1874" s="37" t="str">
        <f aca="false">IF($A1874="","",IF($Q1874=0,"UNMAPPED",INDEX(COA_Mapping!$C$7:$C$256,$Q1874)))</f>
        <v/>
      </c>
      <c r="N1874" s="38" t="str">
        <f aca="false">IF($A1874="","",IF($Q1874=0,"",INDEX(COA_Mapping!$E$7:$E$256,$Q1874)))</f>
        <v/>
      </c>
      <c r="O1874" s="38" t="n">
        <f aca="false">IF($A1874="",1,IF($Q1874=0,1,INDEX(COA_Mapping!$F$7:$F$256,$Q1874)))</f>
        <v>1</v>
      </c>
      <c r="P1874" s="34" t="str">
        <f aca="false">IF($A1874="","",$I1874*$O1874)</f>
        <v/>
      </c>
      <c r="Q1874" s="39" t="n">
        <f aca="false">IF($B1874="",0,IFERROR(MATCH($B1874,COA_Mapping!$A$7:$A$256,0),0))</f>
        <v>0</v>
      </c>
      <c r="R1874" s="39" t="n">
        <f aca="false">IF($A1874="",-1,IF($J1874=Setup!$B$7,1,IF($J1874=Setup!$B$9,0,-1)))</f>
        <v>-1</v>
      </c>
      <c r="S1874" s="35" t="n">
        <f aca="false">IF(OR($A1874="",$Q1874=0,$R1874=-1),0,$Q1874*1000+$R1874*100+$K1874)</f>
        <v>0</v>
      </c>
      <c r="T1874" s="37" t="str">
        <f aca="false">IF($A1874="","",IF($B1874="","NO ACCOUNT",IF($Q1874=0,"UNMAPPED",IF($R1874=-1,"OUTSIDE FY RANGE","OK"))))</f>
        <v/>
      </c>
      <c r="U1874" s="40" t="str">
        <f aca="false">IF($A1874="","",$B1874&amp;"|"&amp;TEXT($A1874,"yyyymmdd")&amp;"|"&amp;TEXT($I1874,"0.00"))</f>
        <v/>
      </c>
      <c r="V1874" s="35" t="str">
        <f aca="false">IF($A1874="","",COUNTIF($U$8:$U$5007,$U1874))</f>
        <v/>
      </c>
    </row>
    <row r="1875" customFormat="false" ht="15" hidden="false" customHeight="false" outlineLevel="0" collapsed="false">
      <c r="A1875" s="31"/>
      <c r="B1875" s="32"/>
      <c r="C1875" s="32"/>
      <c r="D1875" s="32"/>
      <c r="E1875" s="32"/>
      <c r="F1875" s="32"/>
      <c r="G1875" s="33"/>
      <c r="H1875" s="33"/>
      <c r="I1875" s="34" t="str">
        <f aca="false">IF($A1875="","",$G1875-$H1875)</f>
        <v/>
      </c>
      <c r="J1875" s="35" t="str">
        <f aca="false">IF($A1875="","",IF(Setup!$B$6=1,YEAR($A1875),YEAR($A1875)+IF(MONTH($A1875)&gt;=Setup!$B$6,1,0)))</f>
        <v/>
      </c>
      <c r="K1875" s="35" t="str">
        <f aca="false">IF($A1875="","",MOD(MONTH($A1875)-Setup!$B$6+12,12)+1)</f>
        <v/>
      </c>
      <c r="L1875" s="36" t="str">
        <f aca="false">IF($A1875="","",TEXT($A1875,"MMM-YY"))</f>
        <v/>
      </c>
      <c r="M1875" s="37" t="str">
        <f aca="false">IF($A1875="","",IF($Q1875=0,"UNMAPPED",INDEX(COA_Mapping!$C$7:$C$256,$Q1875)))</f>
        <v/>
      </c>
      <c r="N1875" s="38" t="str">
        <f aca="false">IF($A1875="","",IF($Q1875=0,"",INDEX(COA_Mapping!$E$7:$E$256,$Q1875)))</f>
        <v/>
      </c>
      <c r="O1875" s="38" t="n">
        <f aca="false">IF($A1875="",1,IF($Q1875=0,1,INDEX(COA_Mapping!$F$7:$F$256,$Q1875)))</f>
        <v>1</v>
      </c>
      <c r="P1875" s="34" t="str">
        <f aca="false">IF($A1875="","",$I1875*$O1875)</f>
        <v/>
      </c>
      <c r="Q1875" s="39" t="n">
        <f aca="false">IF($B1875="",0,IFERROR(MATCH($B1875,COA_Mapping!$A$7:$A$256,0),0))</f>
        <v>0</v>
      </c>
      <c r="R1875" s="39" t="n">
        <f aca="false">IF($A1875="",-1,IF($J1875=Setup!$B$7,1,IF($J1875=Setup!$B$9,0,-1)))</f>
        <v>-1</v>
      </c>
      <c r="S1875" s="35" t="n">
        <f aca="false">IF(OR($A1875="",$Q1875=0,$R1875=-1),0,$Q1875*1000+$R1875*100+$K1875)</f>
        <v>0</v>
      </c>
      <c r="T1875" s="37" t="str">
        <f aca="false">IF($A1875="","",IF($B1875="","NO ACCOUNT",IF($Q1875=0,"UNMAPPED",IF($R1875=-1,"OUTSIDE FY RANGE","OK"))))</f>
        <v/>
      </c>
      <c r="U1875" s="40" t="str">
        <f aca="false">IF($A1875="","",$B1875&amp;"|"&amp;TEXT($A1875,"yyyymmdd")&amp;"|"&amp;TEXT($I1875,"0.00"))</f>
        <v/>
      </c>
      <c r="V1875" s="35" t="str">
        <f aca="false">IF($A1875="","",COUNTIF($U$8:$U$5007,$U1875))</f>
        <v/>
      </c>
    </row>
    <row r="1876" customFormat="false" ht="15" hidden="false" customHeight="false" outlineLevel="0" collapsed="false">
      <c r="A1876" s="31"/>
      <c r="B1876" s="32"/>
      <c r="C1876" s="32"/>
      <c r="D1876" s="32"/>
      <c r="E1876" s="32"/>
      <c r="F1876" s="32"/>
      <c r="G1876" s="33"/>
      <c r="H1876" s="33"/>
      <c r="I1876" s="34" t="str">
        <f aca="false">IF($A1876="","",$G1876-$H1876)</f>
        <v/>
      </c>
      <c r="J1876" s="35" t="str">
        <f aca="false">IF($A1876="","",IF(Setup!$B$6=1,YEAR($A1876),YEAR($A1876)+IF(MONTH($A1876)&gt;=Setup!$B$6,1,0)))</f>
        <v/>
      </c>
      <c r="K1876" s="35" t="str">
        <f aca="false">IF($A1876="","",MOD(MONTH($A1876)-Setup!$B$6+12,12)+1)</f>
        <v/>
      </c>
      <c r="L1876" s="36" t="str">
        <f aca="false">IF($A1876="","",TEXT($A1876,"MMM-YY"))</f>
        <v/>
      </c>
      <c r="M1876" s="37" t="str">
        <f aca="false">IF($A1876="","",IF($Q1876=0,"UNMAPPED",INDEX(COA_Mapping!$C$7:$C$256,$Q1876)))</f>
        <v/>
      </c>
      <c r="N1876" s="38" t="str">
        <f aca="false">IF($A1876="","",IF($Q1876=0,"",INDEX(COA_Mapping!$E$7:$E$256,$Q1876)))</f>
        <v/>
      </c>
      <c r="O1876" s="38" t="n">
        <f aca="false">IF($A1876="",1,IF($Q1876=0,1,INDEX(COA_Mapping!$F$7:$F$256,$Q1876)))</f>
        <v>1</v>
      </c>
      <c r="P1876" s="34" t="str">
        <f aca="false">IF($A1876="","",$I1876*$O1876)</f>
        <v/>
      </c>
      <c r="Q1876" s="39" t="n">
        <f aca="false">IF($B1876="",0,IFERROR(MATCH($B1876,COA_Mapping!$A$7:$A$256,0),0))</f>
        <v>0</v>
      </c>
      <c r="R1876" s="39" t="n">
        <f aca="false">IF($A1876="",-1,IF($J1876=Setup!$B$7,1,IF($J1876=Setup!$B$9,0,-1)))</f>
        <v>-1</v>
      </c>
      <c r="S1876" s="35" t="n">
        <f aca="false">IF(OR($A1876="",$Q1876=0,$R1876=-1),0,$Q1876*1000+$R1876*100+$K1876)</f>
        <v>0</v>
      </c>
      <c r="T1876" s="37" t="str">
        <f aca="false">IF($A1876="","",IF($B1876="","NO ACCOUNT",IF($Q1876=0,"UNMAPPED",IF($R1876=-1,"OUTSIDE FY RANGE","OK"))))</f>
        <v/>
      </c>
      <c r="U1876" s="40" t="str">
        <f aca="false">IF($A1876="","",$B1876&amp;"|"&amp;TEXT($A1876,"yyyymmdd")&amp;"|"&amp;TEXT($I1876,"0.00"))</f>
        <v/>
      </c>
      <c r="V1876" s="35" t="str">
        <f aca="false">IF($A1876="","",COUNTIF($U$8:$U$5007,$U1876))</f>
        <v/>
      </c>
    </row>
    <row r="1877" customFormat="false" ht="15" hidden="false" customHeight="false" outlineLevel="0" collapsed="false">
      <c r="A1877" s="31"/>
      <c r="B1877" s="32"/>
      <c r="C1877" s="32"/>
      <c r="D1877" s="32"/>
      <c r="E1877" s="32"/>
      <c r="F1877" s="32"/>
      <c r="G1877" s="33"/>
      <c r="H1877" s="33"/>
      <c r="I1877" s="34" t="str">
        <f aca="false">IF($A1877="","",$G1877-$H1877)</f>
        <v/>
      </c>
      <c r="J1877" s="35" t="str">
        <f aca="false">IF($A1877="","",IF(Setup!$B$6=1,YEAR($A1877),YEAR($A1877)+IF(MONTH($A1877)&gt;=Setup!$B$6,1,0)))</f>
        <v/>
      </c>
      <c r="K1877" s="35" t="str">
        <f aca="false">IF($A1877="","",MOD(MONTH($A1877)-Setup!$B$6+12,12)+1)</f>
        <v/>
      </c>
      <c r="L1877" s="36" t="str">
        <f aca="false">IF($A1877="","",TEXT($A1877,"MMM-YY"))</f>
        <v/>
      </c>
      <c r="M1877" s="37" t="str">
        <f aca="false">IF($A1877="","",IF($Q1877=0,"UNMAPPED",INDEX(COA_Mapping!$C$7:$C$256,$Q1877)))</f>
        <v/>
      </c>
      <c r="N1877" s="38" t="str">
        <f aca="false">IF($A1877="","",IF($Q1877=0,"",INDEX(COA_Mapping!$E$7:$E$256,$Q1877)))</f>
        <v/>
      </c>
      <c r="O1877" s="38" t="n">
        <f aca="false">IF($A1877="",1,IF($Q1877=0,1,INDEX(COA_Mapping!$F$7:$F$256,$Q1877)))</f>
        <v>1</v>
      </c>
      <c r="P1877" s="34" t="str">
        <f aca="false">IF($A1877="","",$I1877*$O1877)</f>
        <v/>
      </c>
      <c r="Q1877" s="39" t="n">
        <f aca="false">IF($B1877="",0,IFERROR(MATCH($B1877,COA_Mapping!$A$7:$A$256,0),0))</f>
        <v>0</v>
      </c>
      <c r="R1877" s="39" t="n">
        <f aca="false">IF($A1877="",-1,IF($J1877=Setup!$B$7,1,IF($J1877=Setup!$B$9,0,-1)))</f>
        <v>-1</v>
      </c>
      <c r="S1877" s="35" t="n">
        <f aca="false">IF(OR($A1877="",$Q1877=0,$R1877=-1),0,$Q1877*1000+$R1877*100+$K1877)</f>
        <v>0</v>
      </c>
      <c r="T1877" s="37" t="str">
        <f aca="false">IF($A1877="","",IF($B1877="","NO ACCOUNT",IF($Q1877=0,"UNMAPPED",IF($R1877=-1,"OUTSIDE FY RANGE","OK"))))</f>
        <v/>
      </c>
      <c r="U1877" s="40" t="str">
        <f aca="false">IF($A1877="","",$B1877&amp;"|"&amp;TEXT($A1877,"yyyymmdd")&amp;"|"&amp;TEXT($I1877,"0.00"))</f>
        <v/>
      </c>
      <c r="V1877" s="35" t="str">
        <f aca="false">IF($A1877="","",COUNTIF($U$8:$U$5007,$U1877))</f>
        <v/>
      </c>
    </row>
    <row r="1878" customFormat="false" ht="15" hidden="false" customHeight="false" outlineLevel="0" collapsed="false">
      <c r="A1878" s="31"/>
      <c r="B1878" s="32"/>
      <c r="C1878" s="32"/>
      <c r="D1878" s="32"/>
      <c r="E1878" s="32"/>
      <c r="F1878" s="32"/>
      <c r="G1878" s="33"/>
      <c r="H1878" s="33"/>
      <c r="I1878" s="34" t="str">
        <f aca="false">IF($A1878="","",$G1878-$H1878)</f>
        <v/>
      </c>
      <c r="J1878" s="35" t="str">
        <f aca="false">IF($A1878="","",IF(Setup!$B$6=1,YEAR($A1878),YEAR($A1878)+IF(MONTH($A1878)&gt;=Setup!$B$6,1,0)))</f>
        <v/>
      </c>
      <c r="K1878" s="35" t="str">
        <f aca="false">IF($A1878="","",MOD(MONTH($A1878)-Setup!$B$6+12,12)+1)</f>
        <v/>
      </c>
      <c r="L1878" s="36" t="str">
        <f aca="false">IF($A1878="","",TEXT($A1878,"MMM-YY"))</f>
        <v/>
      </c>
      <c r="M1878" s="37" t="str">
        <f aca="false">IF($A1878="","",IF($Q1878=0,"UNMAPPED",INDEX(COA_Mapping!$C$7:$C$256,$Q1878)))</f>
        <v/>
      </c>
      <c r="N1878" s="38" t="str">
        <f aca="false">IF($A1878="","",IF($Q1878=0,"",INDEX(COA_Mapping!$E$7:$E$256,$Q1878)))</f>
        <v/>
      </c>
      <c r="O1878" s="38" t="n">
        <f aca="false">IF($A1878="",1,IF($Q1878=0,1,INDEX(COA_Mapping!$F$7:$F$256,$Q1878)))</f>
        <v>1</v>
      </c>
      <c r="P1878" s="34" t="str">
        <f aca="false">IF($A1878="","",$I1878*$O1878)</f>
        <v/>
      </c>
      <c r="Q1878" s="39" t="n">
        <f aca="false">IF($B1878="",0,IFERROR(MATCH($B1878,COA_Mapping!$A$7:$A$256,0),0))</f>
        <v>0</v>
      </c>
      <c r="R1878" s="39" t="n">
        <f aca="false">IF($A1878="",-1,IF($J1878=Setup!$B$7,1,IF($J1878=Setup!$B$9,0,-1)))</f>
        <v>-1</v>
      </c>
      <c r="S1878" s="35" t="n">
        <f aca="false">IF(OR($A1878="",$Q1878=0,$R1878=-1),0,$Q1878*1000+$R1878*100+$K1878)</f>
        <v>0</v>
      </c>
      <c r="T1878" s="37" t="str">
        <f aca="false">IF($A1878="","",IF($B1878="","NO ACCOUNT",IF($Q1878=0,"UNMAPPED",IF($R1878=-1,"OUTSIDE FY RANGE","OK"))))</f>
        <v/>
      </c>
      <c r="U1878" s="40" t="str">
        <f aca="false">IF($A1878="","",$B1878&amp;"|"&amp;TEXT($A1878,"yyyymmdd")&amp;"|"&amp;TEXT($I1878,"0.00"))</f>
        <v/>
      </c>
      <c r="V1878" s="35" t="str">
        <f aca="false">IF($A1878="","",COUNTIF($U$8:$U$5007,$U1878))</f>
        <v/>
      </c>
    </row>
    <row r="1879" customFormat="false" ht="15" hidden="false" customHeight="false" outlineLevel="0" collapsed="false">
      <c r="A1879" s="31"/>
      <c r="B1879" s="32"/>
      <c r="C1879" s="32"/>
      <c r="D1879" s="32"/>
      <c r="E1879" s="32"/>
      <c r="F1879" s="32"/>
      <c r="G1879" s="33"/>
      <c r="H1879" s="33"/>
      <c r="I1879" s="34" t="str">
        <f aca="false">IF($A1879="","",$G1879-$H1879)</f>
        <v/>
      </c>
      <c r="J1879" s="35" t="str">
        <f aca="false">IF($A1879="","",IF(Setup!$B$6=1,YEAR($A1879),YEAR($A1879)+IF(MONTH($A1879)&gt;=Setup!$B$6,1,0)))</f>
        <v/>
      </c>
      <c r="K1879" s="35" t="str">
        <f aca="false">IF($A1879="","",MOD(MONTH($A1879)-Setup!$B$6+12,12)+1)</f>
        <v/>
      </c>
      <c r="L1879" s="36" t="str">
        <f aca="false">IF($A1879="","",TEXT($A1879,"MMM-YY"))</f>
        <v/>
      </c>
      <c r="M1879" s="37" t="str">
        <f aca="false">IF($A1879="","",IF($Q1879=0,"UNMAPPED",INDEX(COA_Mapping!$C$7:$C$256,$Q1879)))</f>
        <v/>
      </c>
      <c r="N1879" s="38" t="str">
        <f aca="false">IF($A1879="","",IF($Q1879=0,"",INDEX(COA_Mapping!$E$7:$E$256,$Q1879)))</f>
        <v/>
      </c>
      <c r="O1879" s="38" t="n">
        <f aca="false">IF($A1879="",1,IF($Q1879=0,1,INDEX(COA_Mapping!$F$7:$F$256,$Q1879)))</f>
        <v>1</v>
      </c>
      <c r="P1879" s="34" t="str">
        <f aca="false">IF($A1879="","",$I1879*$O1879)</f>
        <v/>
      </c>
      <c r="Q1879" s="39" t="n">
        <f aca="false">IF($B1879="",0,IFERROR(MATCH($B1879,COA_Mapping!$A$7:$A$256,0),0))</f>
        <v>0</v>
      </c>
      <c r="R1879" s="39" t="n">
        <f aca="false">IF($A1879="",-1,IF($J1879=Setup!$B$7,1,IF($J1879=Setup!$B$9,0,-1)))</f>
        <v>-1</v>
      </c>
      <c r="S1879" s="35" t="n">
        <f aca="false">IF(OR($A1879="",$Q1879=0,$R1879=-1),0,$Q1879*1000+$R1879*100+$K1879)</f>
        <v>0</v>
      </c>
      <c r="T1879" s="37" t="str">
        <f aca="false">IF($A1879="","",IF($B1879="","NO ACCOUNT",IF($Q1879=0,"UNMAPPED",IF($R1879=-1,"OUTSIDE FY RANGE","OK"))))</f>
        <v/>
      </c>
      <c r="U1879" s="40" t="str">
        <f aca="false">IF($A1879="","",$B1879&amp;"|"&amp;TEXT($A1879,"yyyymmdd")&amp;"|"&amp;TEXT($I1879,"0.00"))</f>
        <v/>
      </c>
      <c r="V1879" s="35" t="str">
        <f aca="false">IF($A1879="","",COUNTIF($U$8:$U$5007,$U1879))</f>
        <v/>
      </c>
    </row>
    <row r="1880" customFormat="false" ht="15" hidden="false" customHeight="false" outlineLevel="0" collapsed="false">
      <c r="A1880" s="31"/>
      <c r="B1880" s="32"/>
      <c r="C1880" s="32"/>
      <c r="D1880" s="32"/>
      <c r="E1880" s="32"/>
      <c r="F1880" s="32"/>
      <c r="G1880" s="33"/>
      <c r="H1880" s="33"/>
      <c r="I1880" s="34" t="str">
        <f aca="false">IF($A1880="","",$G1880-$H1880)</f>
        <v/>
      </c>
      <c r="J1880" s="35" t="str">
        <f aca="false">IF($A1880="","",IF(Setup!$B$6=1,YEAR($A1880),YEAR($A1880)+IF(MONTH($A1880)&gt;=Setup!$B$6,1,0)))</f>
        <v/>
      </c>
      <c r="K1880" s="35" t="str">
        <f aca="false">IF($A1880="","",MOD(MONTH($A1880)-Setup!$B$6+12,12)+1)</f>
        <v/>
      </c>
      <c r="L1880" s="36" t="str">
        <f aca="false">IF($A1880="","",TEXT($A1880,"MMM-YY"))</f>
        <v/>
      </c>
      <c r="M1880" s="37" t="str">
        <f aca="false">IF($A1880="","",IF($Q1880=0,"UNMAPPED",INDEX(COA_Mapping!$C$7:$C$256,$Q1880)))</f>
        <v/>
      </c>
      <c r="N1880" s="38" t="str">
        <f aca="false">IF($A1880="","",IF($Q1880=0,"",INDEX(COA_Mapping!$E$7:$E$256,$Q1880)))</f>
        <v/>
      </c>
      <c r="O1880" s="38" t="n">
        <f aca="false">IF($A1880="",1,IF($Q1880=0,1,INDEX(COA_Mapping!$F$7:$F$256,$Q1880)))</f>
        <v>1</v>
      </c>
      <c r="P1880" s="34" t="str">
        <f aca="false">IF($A1880="","",$I1880*$O1880)</f>
        <v/>
      </c>
      <c r="Q1880" s="39" t="n">
        <f aca="false">IF($B1880="",0,IFERROR(MATCH($B1880,COA_Mapping!$A$7:$A$256,0),0))</f>
        <v>0</v>
      </c>
      <c r="R1880" s="39" t="n">
        <f aca="false">IF($A1880="",-1,IF($J1880=Setup!$B$7,1,IF($J1880=Setup!$B$9,0,-1)))</f>
        <v>-1</v>
      </c>
      <c r="S1880" s="35" t="n">
        <f aca="false">IF(OR($A1880="",$Q1880=0,$R1880=-1),0,$Q1880*1000+$R1880*100+$K1880)</f>
        <v>0</v>
      </c>
      <c r="T1880" s="37" t="str">
        <f aca="false">IF($A1880="","",IF($B1880="","NO ACCOUNT",IF($Q1880=0,"UNMAPPED",IF($R1880=-1,"OUTSIDE FY RANGE","OK"))))</f>
        <v/>
      </c>
      <c r="U1880" s="40" t="str">
        <f aca="false">IF($A1880="","",$B1880&amp;"|"&amp;TEXT($A1880,"yyyymmdd")&amp;"|"&amp;TEXT($I1880,"0.00"))</f>
        <v/>
      </c>
      <c r="V1880" s="35" t="str">
        <f aca="false">IF($A1880="","",COUNTIF($U$8:$U$5007,$U1880))</f>
        <v/>
      </c>
    </row>
    <row r="1881" customFormat="false" ht="15" hidden="false" customHeight="false" outlineLevel="0" collapsed="false">
      <c r="A1881" s="31"/>
      <c r="B1881" s="32"/>
      <c r="C1881" s="32"/>
      <c r="D1881" s="32"/>
      <c r="E1881" s="32"/>
      <c r="F1881" s="32"/>
      <c r="G1881" s="33"/>
      <c r="H1881" s="33"/>
      <c r="I1881" s="34" t="str">
        <f aca="false">IF($A1881="","",$G1881-$H1881)</f>
        <v/>
      </c>
      <c r="J1881" s="35" t="str">
        <f aca="false">IF($A1881="","",IF(Setup!$B$6=1,YEAR($A1881),YEAR($A1881)+IF(MONTH($A1881)&gt;=Setup!$B$6,1,0)))</f>
        <v/>
      </c>
      <c r="K1881" s="35" t="str">
        <f aca="false">IF($A1881="","",MOD(MONTH($A1881)-Setup!$B$6+12,12)+1)</f>
        <v/>
      </c>
      <c r="L1881" s="36" t="str">
        <f aca="false">IF($A1881="","",TEXT($A1881,"MMM-YY"))</f>
        <v/>
      </c>
      <c r="M1881" s="37" t="str">
        <f aca="false">IF($A1881="","",IF($Q1881=0,"UNMAPPED",INDEX(COA_Mapping!$C$7:$C$256,$Q1881)))</f>
        <v/>
      </c>
      <c r="N1881" s="38" t="str">
        <f aca="false">IF($A1881="","",IF($Q1881=0,"",INDEX(COA_Mapping!$E$7:$E$256,$Q1881)))</f>
        <v/>
      </c>
      <c r="O1881" s="38" t="n">
        <f aca="false">IF($A1881="",1,IF($Q1881=0,1,INDEX(COA_Mapping!$F$7:$F$256,$Q1881)))</f>
        <v>1</v>
      </c>
      <c r="P1881" s="34" t="str">
        <f aca="false">IF($A1881="","",$I1881*$O1881)</f>
        <v/>
      </c>
      <c r="Q1881" s="39" t="n">
        <f aca="false">IF($B1881="",0,IFERROR(MATCH($B1881,COA_Mapping!$A$7:$A$256,0),0))</f>
        <v>0</v>
      </c>
      <c r="R1881" s="39" t="n">
        <f aca="false">IF($A1881="",-1,IF($J1881=Setup!$B$7,1,IF($J1881=Setup!$B$9,0,-1)))</f>
        <v>-1</v>
      </c>
      <c r="S1881" s="35" t="n">
        <f aca="false">IF(OR($A1881="",$Q1881=0,$R1881=-1),0,$Q1881*1000+$R1881*100+$K1881)</f>
        <v>0</v>
      </c>
      <c r="T1881" s="37" t="str">
        <f aca="false">IF($A1881="","",IF($B1881="","NO ACCOUNT",IF($Q1881=0,"UNMAPPED",IF($R1881=-1,"OUTSIDE FY RANGE","OK"))))</f>
        <v/>
      </c>
      <c r="U1881" s="40" t="str">
        <f aca="false">IF($A1881="","",$B1881&amp;"|"&amp;TEXT($A1881,"yyyymmdd")&amp;"|"&amp;TEXT($I1881,"0.00"))</f>
        <v/>
      </c>
      <c r="V1881" s="35" t="str">
        <f aca="false">IF($A1881="","",COUNTIF($U$8:$U$5007,$U1881))</f>
        <v/>
      </c>
    </row>
    <row r="1882" customFormat="false" ht="15" hidden="false" customHeight="false" outlineLevel="0" collapsed="false">
      <c r="A1882" s="31"/>
      <c r="B1882" s="32"/>
      <c r="C1882" s="32"/>
      <c r="D1882" s="32"/>
      <c r="E1882" s="32"/>
      <c r="F1882" s="32"/>
      <c r="G1882" s="33"/>
      <c r="H1882" s="33"/>
      <c r="I1882" s="34" t="str">
        <f aca="false">IF($A1882="","",$G1882-$H1882)</f>
        <v/>
      </c>
      <c r="J1882" s="35" t="str">
        <f aca="false">IF($A1882="","",IF(Setup!$B$6=1,YEAR($A1882),YEAR($A1882)+IF(MONTH($A1882)&gt;=Setup!$B$6,1,0)))</f>
        <v/>
      </c>
      <c r="K1882" s="35" t="str">
        <f aca="false">IF($A1882="","",MOD(MONTH($A1882)-Setup!$B$6+12,12)+1)</f>
        <v/>
      </c>
      <c r="L1882" s="36" t="str">
        <f aca="false">IF($A1882="","",TEXT($A1882,"MMM-YY"))</f>
        <v/>
      </c>
      <c r="M1882" s="37" t="str">
        <f aca="false">IF($A1882="","",IF($Q1882=0,"UNMAPPED",INDEX(COA_Mapping!$C$7:$C$256,$Q1882)))</f>
        <v/>
      </c>
      <c r="N1882" s="38" t="str">
        <f aca="false">IF($A1882="","",IF($Q1882=0,"",INDEX(COA_Mapping!$E$7:$E$256,$Q1882)))</f>
        <v/>
      </c>
      <c r="O1882" s="38" t="n">
        <f aca="false">IF($A1882="",1,IF($Q1882=0,1,INDEX(COA_Mapping!$F$7:$F$256,$Q1882)))</f>
        <v>1</v>
      </c>
      <c r="P1882" s="34" t="str">
        <f aca="false">IF($A1882="","",$I1882*$O1882)</f>
        <v/>
      </c>
      <c r="Q1882" s="39" t="n">
        <f aca="false">IF($B1882="",0,IFERROR(MATCH($B1882,COA_Mapping!$A$7:$A$256,0),0))</f>
        <v>0</v>
      </c>
      <c r="R1882" s="39" t="n">
        <f aca="false">IF($A1882="",-1,IF($J1882=Setup!$B$7,1,IF($J1882=Setup!$B$9,0,-1)))</f>
        <v>-1</v>
      </c>
      <c r="S1882" s="35" t="n">
        <f aca="false">IF(OR($A1882="",$Q1882=0,$R1882=-1),0,$Q1882*1000+$R1882*100+$K1882)</f>
        <v>0</v>
      </c>
      <c r="T1882" s="37" t="str">
        <f aca="false">IF($A1882="","",IF($B1882="","NO ACCOUNT",IF($Q1882=0,"UNMAPPED",IF($R1882=-1,"OUTSIDE FY RANGE","OK"))))</f>
        <v/>
      </c>
      <c r="U1882" s="40" t="str">
        <f aca="false">IF($A1882="","",$B1882&amp;"|"&amp;TEXT($A1882,"yyyymmdd")&amp;"|"&amp;TEXT($I1882,"0.00"))</f>
        <v/>
      </c>
      <c r="V1882" s="35" t="str">
        <f aca="false">IF($A1882="","",COUNTIF($U$8:$U$5007,$U1882))</f>
        <v/>
      </c>
    </row>
    <row r="1883" customFormat="false" ht="15" hidden="false" customHeight="false" outlineLevel="0" collapsed="false">
      <c r="A1883" s="31"/>
      <c r="B1883" s="32"/>
      <c r="C1883" s="32"/>
      <c r="D1883" s="32"/>
      <c r="E1883" s="32"/>
      <c r="F1883" s="32"/>
      <c r="G1883" s="33"/>
      <c r="H1883" s="33"/>
      <c r="I1883" s="34" t="str">
        <f aca="false">IF($A1883="","",$G1883-$H1883)</f>
        <v/>
      </c>
      <c r="J1883" s="35" t="str">
        <f aca="false">IF($A1883="","",IF(Setup!$B$6=1,YEAR($A1883),YEAR($A1883)+IF(MONTH($A1883)&gt;=Setup!$B$6,1,0)))</f>
        <v/>
      </c>
      <c r="K1883" s="35" t="str">
        <f aca="false">IF($A1883="","",MOD(MONTH($A1883)-Setup!$B$6+12,12)+1)</f>
        <v/>
      </c>
      <c r="L1883" s="36" t="str">
        <f aca="false">IF($A1883="","",TEXT($A1883,"MMM-YY"))</f>
        <v/>
      </c>
      <c r="M1883" s="37" t="str">
        <f aca="false">IF($A1883="","",IF($Q1883=0,"UNMAPPED",INDEX(COA_Mapping!$C$7:$C$256,$Q1883)))</f>
        <v/>
      </c>
      <c r="N1883" s="38" t="str">
        <f aca="false">IF($A1883="","",IF($Q1883=0,"",INDEX(COA_Mapping!$E$7:$E$256,$Q1883)))</f>
        <v/>
      </c>
      <c r="O1883" s="38" t="n">
        <f aca="false">IF($A1883="",1,IF($Q1883=0,1,INDEX(COA_Mapping!$F$7:$F$256,$Q1883)))</f>
        <v>1</v>
      </c>
      <c r="P1883" s="34" t="str">
        <f aca="false">IF($A1883="","",$I1883*$O1883)</f>
        <v/>
      </c>
      <c r="Q1883" s="39" t="n">
        <f aca="false">IF($B1883="",0,IFERROR(MATCH($B1883,COA_Mapping!$A$7:$A$256,0),0))</f>
        <v>0</v>
      </c>
      <c r="R1883" s="39" t="n">
        <f aca="false">IF($A1883="",-1,IF($J1883=Setup!$B$7,1,IF($J1883=Setup!$B$9,0,-1)))</f>
        <v>-1</v>
      </c>
      <c r="S1883" s="35" t="n">
        <f aca="false">IF(OR($A1883="",$Q1883=0,$R1883=-1),0,$Q1883*1000+$R1883*100+$K1883)</f>
        <v>0</v>
      </c>
      <c r="T1883" s="37" t="str">
        <f aca="false">IF($A1883="","",IF($B1883="","NO ACCOUNT",IF($Q1883=0,"UNMAPPED",IF($R1883=-1,"OUTSIDE FY RANGE","OK"))))</f>
        <v/>
      </c>
      <c r="U1883" s="40" t="str">
        <f aca="false">IF($A1883="","",$B1883&amp;"|"&amp;TEXT($A1883,"yyyymmdd")&amp;"|"&amp;TEXT($I1883,"0.00"))</f>
        <v/>
      </c>
      <c r="V1883" s="35" t="str">
        <f aca="false">IF($A1883="","",COUNTIF($U$8:$U$5007,$U1883))</f>
        <v/>
      </c>
    </row>
    <row r="1884" customFormat="false" ht="15" hidden="false" customHeight="false" outlineLevel="0" collapsed="false">
      <c r="A1884" s="31"/>
      <c r="B1884" s="32"/>
      <c r="C1884" s="32"/>
      <c r="D1884" s="32"/>
      <c r="E1884" s="32"/>
      <c r="F1884" s="32"/>
      <c r="G1884" s="33"/>
      <c r="H1884" s="33"/>
      <c r="I1884" s="34" t="str">
        <f aca="false">IF($A1884="","",$G1884-$H1884)</f>
        <v/>
      </c>
      <c r="J1884" s="35" t="str">
        <f aca="false">IF($A1884="","",IF(Setup!$B$6=1,YEAR($A1884),YEAR($A1884)+IF(MONTH($A1884)&gt;=Setup!$B$6,1,0)))</f>
        <v/>
      </c>
      <c r="K1884" s="35" t="str">
        <f aca="false">IF($A1884="","",MOD(MONTH($A1884)-Setup!$B$6+12,12)+1)</f>
        <v/>
      </c>
      <c r="L1884" s="36" t="str">
        <f aca="false">IF($A1884="","",TEXT($A1884,"MMM-YY"))</f>
        <v/>
      </c>
      <c r="M1884" s="37" t="str">
        <f aca="false">IF($A1884="","",IF($Q1884=0,"UNMAPPED",INDEX(COA_Mapping!$C$7:$C$256,$Q1884)))</f>
        <v/>
      </c>
      <c r="N1884" s="38" t="str">
        <f aca="false">IF($A1884="","",IF($Q1884=0,"",INDEX(COA_Mapping!$E$7:$E$256,$Q1884)))</f>
        <v/>
      </c>
      <c r="O1884" s="38" t="n">
        <f aca="false">IF($A1884="",1,IF($Q1884=0,1,INDEX(COA_Mapping!$F$7:$F$256,$Q1884)))</f>
        <v>1</v>
      </c>
      <c r="P1884" s="34" t="str">
        <f aca="false">IF($A1884="","",$I1884*$O1884)</f>
        <v/>
      </c>
      <c r="Q1884" s="39" t="n">
        <f aca="false">IF($B1884="",0,IFERROR(MATCH($B1884,COA_Mapping!$A$7:$A$256,0),0))</f>
        <v>0</v>
      </c>
      <c r="R1884" s="39" t="n">
        <f aca="false">IF($A1884="",-1,IF($J1884=Setup!$B$7,1,IF($J1884=Setup!$B$9,0,-1)))</f>
        <v>-1</v>
      </c>
      <c r="S1884" s="35" t="n">
        <f aca="false">IF(OR($A1884="",$Q1884=0,$R1884=-1),0,$Q1884*1000+$R1884*100+$K1884)</f>
        <v>0</v>
      </c>
      <c r="T1884" s="37" t="str">
        <f aca="false">IF($A1884="","",IF($B1884="","NO ACCOUNT",IF($Q1884=0,"UNMAPPED",IF($R1884=-1,"OUTSIDE FY RANGE","OK"))))</f>
        <v/>
      </c>
      <c r="U1884" s="40" t="str">
        <f aca="false">IF($A1884="","",$B1884&amp;"|"&amp;TEXT($A1884,"yyyymmdd")&amp;"|"&amp;TEXT($I1884,"0.00"))</f>
        <v/>
      </c>
      <c r="V1884" s="35" t="str">
        <f aca="false">IF($A1884="","",COUNTIF($U$8:$U$5007,$U1884))</f>
        <v/>
      </c>
    </row>
    <row r="1885" customFormat="false" ht="15" hidden="false" customHeight="false" outlineLevel="0" collapsed="false">
      <c r="A1885" s="31"/>
      <c r="B1885" s="32"/>
      <c r="C1885" s="32"/>
      <c r="D1885" s="32"/>
      <c r="E1885" s="32"/>
      <c r="F1885" s="32"/>
      <c r="G1885" s="33"/>
      <c r="H1885" s="33"/>
      <c r="I1885" s="34" t="str">
        <f aca="false">IF($A1885="","",$G1885-$H1885)</f>
        <v/>
      </c>
      <c r="J1885" s="35" t="str">
        <f aca="false">IF($A1885="","",IF(Setup!$B$6=1,YEAR($A1885),YEAR($A1885)+IF(MONTH($A1885)&gt;=Setup!$B$6,1,0)))</f>
        <v/>
      </c>
      <c r="K1885" s="35" t="str">
        <f aca="false">IF($A1885="","",MOD(MONTH($A1885)-Setup!$B$6+12,12)+1)</f>
        <v/>
      </c>
      <c r="L1885" s="36" t="str">
        <f aca="false">IF($A1885="","",TEXT($A1885,"MMM-YY"))</f>
        <v/>
      </c>
      <c r="M1885" s="37" t="str">
        <f aca="false">IF($A1885="","",IF($Q1885=0,"UNMAPPED",INDEX(COA_Mapping!$C$7:$C$256,$Q1885)))</f>
        <v/>
      </c>
      <c r="N1885" s="38" t="str">
        <f aca="false">IF($A1885="","",IF($Q1885=0,"",INDEX(COA_Mapping!$E$7:$E$256,$Q1885)))</f>
        <v/>
      </c>
      <c r="O1885" s="38" t="n">
        <f aca="false">IF($A1885="",1,IF($Q1885=0,1,INDEX(COA_Mapping!$F$7:$F$256,$Q1885)))</f>
        <v>1</v>
      </c>
      <c r="P1885" s="34" t="str">
        <f aca="false">IF($A1885="","",$I1885*$O1885)</f>
        <v/>
      </c>
      <c r="Q1885" s="39" t="n">
        <f aca="false">IF($B1885="",0,IFERROR(MATCH($B1885,COA_Mapping!$A$7:$A$256,0),0))</f>
        <v>0</v>
      </c>
      <c r="R1885" s="39" t="n">
        <f aca="false">IF($A1885="",-1,IF($J1885=Setup!$B$7,1,IF($J1885=Setup!$B$9,0,-1)))</f>
        <v>-1</v>
      </c>
      <c r="S1885" s="35" t="n">
        <f aca="false">IF(OR($A1885="",$Q1885=0,$R1885=-1),0,$Q1885*1000+$R1885*100+$K1885)</f>
        <v>0</v>
      </c>
      <c r="T1885" s="37" t="str">
        <f aca="false">IF($A1885="","",IF($B1885="","NO ACCOUNT",IF($Q1885=0,"UNMAPPED",IF($R1885=-1,"OUTSIDE FY RANGE","OK"))))</f>
        <v/>
      </c>
      <c r="U1885" s="40" t="str">
        <f aca="false">IF($A1885="","",$B1885&amp;"|"&amp;TEXT($A1885,"yyyymmdd")&amp;"|"&amp;TEXT($I1885,"0.00"))</f>
        <v/>
      </c>
      <c r="V1885" s="35" t="str">
        <f aca="false">IF($A1885="","",COUNTIF($U$8:$U$5007,$U1885))</f>
        <v/>
      </c>
    </row>
    <row r="1886" customFormat="false" ht="15" hidden="false" customHeight="false" outlineLevel="0" collapsed="false">
      <c r="A1886" s="31"/>
      <c r="B1886" s="32"/>
      <c r="C1886" s="32"/>
      <c r="D1886" s="32"/>
      <c r="E1886" s="32"/>
      <c r="F1886" s="32"/>
      <c r="G1886" s="33"/>
      <c r="H1886" s="33"/>
      <c r="I1886" s="34" t="str">
        <f aca="false">IF($A1886="","",$G1886-$H1886)</f>
        <v/>
      </c>
      <c r="J1886" s="35" t="str">
        <f aca="false">IF($A1886="","",IF(Setup!$B$6=1,YEAR($A1886),YEAR($A1886)+IF(MONTH($A1886)&gt;=Setup!$B$6,1,0)))</f>
        <v/>
      </c>
      <c r="K1886" s="35" t="str">
        <f aca="false">IF($A1886="","",MOD(MONTH($A1886)-Setup!$B$6+12,12)+1)</f>
        <v/>
      </c>
      <c r="L1886" s="36" t="str">
        <f aca="false">IF($A1886="","",TEXT($A1886,"MMM-YY"))</f>
        <v/>
      </c>
      <c r="M1886" s="37" t="str">
        <f aca="false">IF($A1886="","",IF($Q1886=0,"UNMAPPED",INDEX(COA_Mapping!$C$7:$C$256,$Q1886)))</f>
        <v/>
      </c>
      <c r="N1886" s="38" t="str">
        <f aca="false">IF($A1886="","",IF($Q1886=0,"",INDEX(COA_Mapping!$E$7:$E$256,$Q1886)))</f>
        <v/>
      </c>
      <c r="O1886" s="38" t="n">
        <f aca="false">IF($A1886="",1,IF($Q1886=0,1,INDEX(COA_Mapping!$F$7:$F$256,$Q1886)))</f>
        <v>1</v>
      </c>
      <c r="P1886" s="34" t="str">
        <f aca="false">IF($A1886="","",$I1886*$O1886)</f>
        <v/>
      </c>
      <c r="Q1886" s="39" t="n">
        <f aca="false">IF($B1886="",0,IFERROR(MATCH($B1886,COA_Mapping!$A$7:$A$256,0),0))</f>
        <v>0</v>
      </c>
      <c r="R1886" s="39" t="n">
        <f aca="false">IF($A1886="",-1,IF($J1886=Setup!$B$7,1,IF($J1886=Setup!$B$9,0,-1)))</f>
        <v>-1</v>
      </c>
      <c r="S1886" s="35" t="n">
        <f aca="false">IF(OR($A1886="",$Q1886=0,$R1886=-1),0,$Q1886*1000+$R1886*100+$K1886)</f>
        <v>0</v>
      </c>
      <c r="T1886" s="37" t="str">
        <f aca="false">IF($A1886="","",IF($B1886="","NO ACCOUNT",IF($Q1886=0,"UNMAPPED",IF($R1886=-1,"OUTSIDE FY RANGE","OK"))))</f>
        <v/>
      </c>
      <c r="U1886" s="40" t="str">
        <f aca="false">IF($A1886="","",$B1886&amp;"|"&amp;TEXT($A1886,"yyyymmdd")&amp;"|"&amp;TEXT($I1886,"0.00"))</f>
        <v/>
      </c>
      <c r="V1886" s="35" t="str">
        <f aca="false">IF($A1886="","",COUNTIF($U$8:$U$5007,$U1886))</f>
        <v/>
      </c>
    </row>
    <row r="1887" customFormat="false" ht="15" hidden="false" customHeight="false" outlineLevel="0" collapsed="false">
      <c r="A1887" s="31"/>
      <c r="B1887" s="32"/>
      <c r="C1887" s="32"/>
      <c r="D1887" s="32"/>
      <c r="E1887" s="32"/>
      <c r="F1887" s="32"/>
      <c r="G1887" s="33"/>
      <c r="H1887" s="33"/>
      <c r="I1887" s="34" t="str">
        <f aca="false">IF($A1887="","",$G1887-$H1887)</f>
        <v/>
      </c>
      <c r="J1887" s="35" t="str">
        <f aca="false">IF($A1887="","",IF(Setup!$B$6=1,YEAR($A1887),YEAR($A1887)+IF(MONTH($A1887)&gt;=Setup!$B$6,1,0)))</f>
        <v/>
      </c>
      <c r="K1887" s="35" t="str">
        <f aca="false">IF($A1887="","",MOD(MONTH($A1887)-Setup!$B$6+12,12)+1)</f>
        <v/>
      </c>
      <c r="L1887" s="36" t="str">
        <f aca="false">IF($A1887="","",TEXT($A1887,"MMM-YY"))</f>
        <v/>
      </c>
      <c r="M1887" s="37" t="str">
        <f aca="false">IF($A1887="","",IF($Q1887=0,"UNMAPPED",INDEX(COA_Mapping!$C$7:$C$256,$Q1887)))</f>
        <v/>
      </c>
      <c r="N1887" s="38" t="str">
        <f aca="false">IF($A1887="","",IF($Q1887=0,"",INDEX(COA_Mapping!$E$7:$E$256,$Q1887)))</f>
        <v/>
      </c>
      <c r="O1887" s="38" t="n">
        <f aca="false">IF($A1887="",1,IF($Q1887=0,1,INDEX(COA_Mapping!$F$7:$F$256,$Q1887)))</f>
        <v>1</v>
      </c>
      <c r="P1887" s="34" t="str">
        <f aca="false">IF($A1887="","",$I1887*$O1887)</f>
        <v/>
      </c>
      <c r="Q1887" s="39" t="n">
        <f aca="false">IF($B1887="",0,IFERROR(MATCH($B1887,COA_Mapping!$A$7:$A$256,0),0))</f>
        <v>0</v>
      </c>
      <c r="R1887" s="39" t="n">
        <f aca="false">IF($A1887="",-1,IF($J1887=Setup!$B$7,1,IF($J1887=Setup!$B$9,0,-1)))</f>
        <v>-1</v>
      </c>
      <c r="S1887" s="35" t="n">
        <f aca="false">IF(OR($A1887="",$Q1887=0,$R1887=-1),0,$Q1887*1000+$R1887*100+$K1887)</f>
        <v>0</v>
      </c>
      <c r="T1887" s="37" t="str">
        <f aca="false">IF($A1887="","",IF($B1887="","NO ACCOUNT",IF($Q1887=0,"UNMAPPED",IF($R1887=-1,"OUTSIDE FY RANGE","OK"))))</f>
        <v/>
      </c>
      <c r="U1887" s="40" t="str">
        <f aca="false">IF($A1887="","",$B1887&amp;"|"&amp;TEXT($A1887,"yyyymmdd")&amp;"|"&amp;TEXT($I1887,"0.00"))</f>
        <v/>
      </c>
      <c r="V1887" s="35" t="str">
        <f aca="false">IF($A1887="","",COUNTIF($U$8:$U$5007,$U1887))</f>
        <v/>
      </c>
    </row>
    <row r="1888" customFormat="false" ht="15" hidden="false" customHeight="false" outlineLevel="0" collapsed="false">
      <c r="A1888" s="31"/>
      <c r="B1888" s="32"/>
      <c r="C1888" s="32"/>
      <c r="D1888" s="32"/>
      <c r="E1888" s="32"/>
      <c r="F1888" s="32"/>
      <c r="G1888" s="33"/>
      <c r="H1888" s="33"/>
      <c r="I1888" s="34" t="str">
        <f aca="false">IF($A1888="","",$G1888-$H1888)</f>
        <v/>
      </c>
      <c r="J1888" s="35" t="str">
        <f aca="false">IF($A1888="","",IF(Setup!$B$6=1,YEAR($A1888),YEAR($A1888)+IF(MONTH($A1888)&gt;=Setup!$B$6,1,0)))</f>
        <v/>
      </c>
      <c r="K1888" s="35" t="str">
        <f aca="false">IF($A1888="","",MOD(MONTH($A1888)-Setup!$B$6+12,12)+1)</f>
        <v/>
      </c>
      <c r="L1888" s="36" t="str">
        <f aca="false">IF($A1888="","",TEXT($A1888,"MMM-YY"))</f>
        <v/>
      </c>
      <c r="M1888" s="37" t="str">
        <f aca="false">IF($A1888="","",IF($Q1888=0,"UNMAPPED",INDEX(COA_Mapping!$C$7:$C$256,$Q1888)))</f>
        <v/>
      </c>
      <c r="N1888" s="38" t="str">
        <f aca="false">IF($A1888="","",IF($Q1888=0,"",INDEX(COA_Mapping!$E$7:$E$256,$Q1888)))</f>
        <v/>
      </c>
      <c r="O1888" s="38" t="n">
        <f aca="false">IF($A1888="",1,IF($Q1888=0,1,INDEX(COA_Mapping!$F$7:$F$256,$Q1888)))</f>
        <v>1</v>
      </c>
      <c r="P1888" s="34" t="str">
        <f aca="false">IF($A1888="","",$I1888*$O1888)</f>
        <v/>
      </c>
      <c r="Q1888" s="39" t="n">
        <f aca="false">IF($B1888="",0,IFERROR(MATCH($B1888,COA_Mapping!$A$7:$A$256,0),0))</f>
        <v>0</v>
      </c>
      <c r="R1888" s="39" t="n">
        <f aca="false">IF($A1888="",-1,IF($J1888=Setup!$B$7,1,IF($J1888=Setup!$B$9,0,-1)))</f>
        <v>-1</v>
      </c>
      <c r="S1888" s="35" t="n">
        <f aca="false">IF(OR($A1888="",$Q1888=0,$R1888=-1),0,$Q1888*1000+$R1888*100+$K1888)</f>
        <v>0</v>
      </c>
      <c r="T1888" s="37" t="str">
        <f aca="false">IF($A1888="","",IF($B1888="","NO ACCOUNT",IF($Q1888=0,"UNMAPPED",IF($R1888=-1,"OUTSIDE FY RANGE","OK"))))</f>
        <v/>
      </c>
      <c r="U1888" s="40" t="str">
        <f aca="false">IF($A1888="","",$B1888&amp;"|"&amp;TEXT($A1888,"yyyymmdd")&amp;"|"&amp;TEXT($I1888,"0.00"))</f>
        <v/>
      </c>
      <c r="V1888" s="35" t="str">
        <f aca="false">IF($A1888="","",COUNTIF($U$8:$U$5007,$U1888))</f>
        <v/>
      </c>
    </row>
    <row r="1889" customFormat="false" ht="15" hidden="false" customHeight="false" outlineLevel="0" collapsed="false">
      <c r="A1889" s="31"/>
      <c r="B1889" s="32"/>
      <c r="C1889" s="32"/>
      <c r="D1889" s="32"/>
      <c r="E1889" s="32"/>
      <c r="F1889" s="32"/>
      <c r="G1889" s="33"/>
      <c r="H1889" s="33"/>
      <c r="I1889" s="34" t="str">
        <f aca="false">IF($A1889="","",$G1889-$H1889)</f>
        <v/>
      </c>
      <c r="J1889" s="35" t="str">
        <f aca="false">IF($A1889="","",IF(Setup!$B$6=1,YEAR($A1889),YEAR($A1889)+IF(MONTH($A1889)&gt;=Setup!$B$6,1,0)))</f>
        <v/>
      </c>
      <c r="K1889" s="35" t="str">
        <f aca="false">IF($A1889="","",MOD(MONTH($A1889)-Setup!$B$6+12,12)+1)</f>
        <v/>
      </c>
      <c r="L1889" s="36" t="str">
        <f aca="false">IF($A1889="","",TEXT($A1889,"MMM-YY"))</f>
        <v/>
      </c>
      <c r="M1889" s="37" t="str">
        <f aca="false">IF($A1889="","",IF($Q1889=0,"UNMAPPED",INDEX(COA_Mapping!$C$7:$C$256,$Q1889)))</f>
        <v/>
      </c>
      <c r="N1889" s="38" t="str">
        <f aca="false">IF($A1889="","",IF($Q1889=0,"",INDEX(COA_Mapping!$E$7:$E$256,$Q1889)))</f>
        <v/>
      </c>
      <c r="O1889" s="38" t="n">
        <f aca="false">IF($A1889="",1,IF($Q1889=0,1,INDEX(COA_Mapping!$F$7:$F$256,$Q1889)))</f>
        <v>1</v>
      </c>
      <c r="P1889" s="34" t="str">
        <f aca="false">IF($A1889="","",$I1889*$O1889)</f>
        <v/>
      </c>
      <c r="Q1889" s="39" t="n">
        <f aca="false">IF($B1889="",0,IFERROR(MATCH($B1889,COA_Mapping!$A$7:$A$256,0),0))</f>
        <v>0</v>
      </c>
      <c r="R1889" s="39" t="n">
        <f aca="false">IF($A1889="",-1,IF($J1889=Setup!$B$7,1,IF($J1889=Setup!$B$9,0,-1)))</f>
        <v>-1</v>
      </c>
      <c r="S1889" s="35" t="n">
        <f aca="false">IF(OR($A1889="",$Q1889=0,$R1889=-1),0,$Q1889*1000+$R1889*100+$K1889)</f>
        <v>0</v>
      </c>
      <c r="T1889" s="37" t="str">
        <f aca="false">IF($A1889="","",IF($B1889="","NO ACCOUNT",IF($Q1889=0,"UNMAPPED",IF($R1889=-1,"OUTSIDE FY RANGE","OK"))))</f>
        <v/>
      </c>
      <c r="U1889" s="40" t="str">
        <f aca="false">IF($A1889="","",$B1889&amp;"|"&amp;TEXT($A1889,"yyyymmdd")&amp;"|"&amp;TEXT($I1889,"0.00"))</f>
        <v/>
      </c>
      <c r="V1889" s="35" t="str">
        <f aca="false">IF($A1889="","",COUNTIF($U$8:$U$5007,$U1889))</f>
        <v/>
      </c>
    </row>
    <row r="1890" customFormat="false" ht="15" hidden="false" customHeight="false" outlineLevel="0" collapsed="false">
      <c r="A1890" s="31"/>
      <c r="B1890" s="32"/>
      <c r="C1890" s="32"/>
      <c r="D1890" s="32"/>
      <c r="E1890" s="32"/>
      <c r="F1890" s="32"/>
      <c r="G1890" s="33"/>
      <c r="H1890" s="33"/>
      <c r="I1890" s="34" t="str">
        <f aca="false">IF($A1890="","",$G1890-$H1890)</f>
        <v/>
      </c>
      <c r="J1890" s="35" t="str">
        <f aca="false">IF($A1890="","",IF(Setup!$B$6=1,YEAR($A1890),YEAR($A1890)+IF(MONTH($A1890)&gt;=Setup!$B$6,1,0)))</f>
        <v/>
      </c>
      <c r="K1890" s="35" t="str">
        <f aca="false">IF($A1890="","",MOD(MONTH($A1890)-Setup!$B$6+12,12)+1)</f>
        <v/>
      </c>
      <c r="L1890" s="36" t="str">
        <f aca="false">IF($A1890="","",TEXT($A1890,"MMM-YY"))</f>
        <v/>
      </c>
      <c r="M1890" s="37" t="str">
        <f aca="false">IF($A1890="","",IF($Q1890=0,"UNMAPPED",INDEX(COA_Mapping!$C$7:$C$256,$Q1890)))</f>
        <v/>
      </c>
      <c r="N1890" s="38" t="str">
        <f aca="false">IF($A1890="","",IF($Q1890=0,"",INDEX(COA_Mapping!$E$7:$E$256,$Q1890)))</f>
        <v/>
      </c>
      <c r="O1890" s="38" t="n">
        <f aca="false">IF($A1890="",1,IF($Q1890=0,1,INDEX(COA_Mapping!$F$7:$F$256,$Q1890)))</f>
        <v>1</v>
      </c>
      <c r="P1890" s="34" t="str">
        <f aca="false">IF($A1890="","",$I1890*$O1890)</f>
        <v/>
      </c>
      <c r="Q1890" s="39" t="n">
        <f aca="false">IF($B1890="",0,IFERROR(MATCH($B1890,COA_Mapping!$A$7:$A$256,0),0))</f>
        <v>0</v>
      </c>
      <c r="R1890" s="39" t="n">
        <f aca="false">IF($A1890="",-1,IF($J1890=Setup!$B$7,1,IF($J1890=Setup!$B$9,0,-1)))</f>
        <v>-1</v>
      </c>
      <c r="S1890" s="35" t="n">
        <f aca="false">IF(OR($A1890="",$Q1890=0,$R1890=-1),0,$Q1890*1000+$R1890*100+$K1890)</f>
        <v>0</v>
      </c>
      <c r="T1890" s="37" t="str">
        <f aca="false">IF($A1890="","",IF($B1890="","NO ACCOUNT",IF($Q1890=0,"UNMAPPED",IF($R1890=-1,"OUTSIDE FY RANGE","OK"))))</f>
        <v/>
      </c>
      <c r="U1890" s="40" t="str">
        <f aca="false">IF($A1890="","",$B1890&amp;"|"&amp;TEXT($A1890,"yyyymmdd")&amp;"|"&amp;TEXT($I1890,"0.00"))</f>
        <v/>
      </c>
      <c r="V1890" s="35" t="str">
        <f aca="false">IF($A1890="","",COUNTIF($U$8:$U$5007,$U1890))</f>
        <v/>
      </c>
    </row>
    <row r="1891" customFormat="false" ht="15" hidden="false" customHeight="false" outlineLevel="0" collapsed="false">
      <c r="A1891" s="31"/>
      <c r="B1891" s="32"/>
      <c r="C1891" s="32"/>
      <c r="D1891" s="32"/>
      <c r="E1891" s="32"/>
      <c r="F1891" s="32"/>
      <c r="G1891" s="33"/>
      <c r="H1891" s="33"/>
      <c r="I1891" s="34" t="str">
        <f aca="false">IF($A1891="","",$G1891-$H1891)</f>
        <v/>
      </c>
      <c r="J1891" s="35" t="str">
        <f aca="false">IF($A1891="","",IF(Setup!$B$6=1,YEAR($A1891),YEAR($A1891)+IF(MONTH($A1891)&gt;=Setup!$B$6,1,0)))</f>
        <v/>
      </c>
      <c r="K1891" s="35" t="str">
        <f aca="false">IF($A1891="","",MOD(MONTH($A1891)-Setup!$B$6+12,12)+1)</f>
        <v/>
      </c>
      <c r="L1891" s="36" t="str">
        <f aca="false">IF($A1891="","",TEXT($A1891,"MMM-YY"))</f>
        <v/>
      </c>
      <c r="M1891" s="37" t="str">
        <f aca="false">IF($A1891="","",IF($Q1891=0,"UNMAPPED",INDEX(COA_Mapping!$C$7:$C$256,$Q1891)))</f>
        <v/>
      </c>
      <c r="N1891" s="38" t="str">
        <f aca="false">IF($A1891="","",IF($Q1891=0,"",INDEX(COA_Mapping!$E$7:$E$256,$Q1891)))</f>
        <v/>
      </c>
      <c r="O1891" s="38" t="n">
        <f aca="false">IF($A1891="",1,IF($Q1891=0,1,INDEX(COA_Mapping!$F$7:$F$256,$Q1891)))</f>
        <v>1</v>
      </c>
      <c r="P1891" s="34" t="str">
        <f aca="false">IF($A1891="","",$I1891*$O1891)</f>
        <v/>
      </c>
      <c r="Q1891" s="39" t="n">
        <f aca="false">IF($B1891="",0,IFERROR(MATCH($B1891,COA_Mapping!$A$7:$A$256,0),0))</f>
        <v>0</v>
      </c>
      <c r="R1891" s="39" t="n">
        <f aca="false">IF($A1891="",-1,IF($J1891=Setup!$B$7,1,IF($J1891=Setup!$B$9,0,-1)))</f>
        <v>-1</v>
      </c>
      <c r="S1891" s="35" t="n">
        <f aca="false">IF(OR($A1891="",$Q1891=0,$R1891=-1),0,$Q1891*1000+$R1891*100+$K1891)</f>
        <v>0</v>
      </c>
      <c r="T1891" s="37" t="str">
        <f aca="false">IF($A1891="","",IF($B1891="","NO ACCOUNT",IF($Q1891=0,"UNMAPPED",IF($R1891=-1,"OUTSIDE FY RANGE","OK"))))</f>
        <v/>
      </c>
      <c r="U1891" s="40" t="str">
        <f aca="false">IF($A1891="","",$B1891&amp;"|"&amp;TEXT($A1891,"yyyymmdd")&amp;"|"&amp;TEXT($I1891,"0.00"))</f>
        <v/>
      </c>
      <c r="V1891" s="35" t="str">
        <f aca="false">IF($A1891="","",COUNTIF($U$8:$U$5007,$U1891))</f>
        <v/>
      </c>
    </row>
    <row r="1892" customFormat="false" ht="15" hidden="false" customHeight="false" outlineLevel="0" collapsed="false">
      <c r="A1892" s="31"/>
      <c r="B1892" s="32"/>
      <c r="C1892" s="32"/>
      <c r="D1892" s="32"/>
      <c r="E1892" s="32"/>
      <c r="F1892" s="32"/>
      <c r="G1892" s="33"/>
      <c r="H1892" s="33"/>
      <c r="I1892" s="34" t="str">
        <f aca="false">IF($A1892="","",$G1892-$H1892)</f>
        <v/>
      </c>
      <c r="J1892" s="35" t="str">
        <f aca="false">IF($A1892="","",IF(Setup!$B$6=1,YEAR($A1892),YEAR($A1892)+IF(MONTH($A1892)&gt;=Setup!$B$6,1,0)))</f>
        <v/>
      </c>
      <c r="K1892" s="35" t="str">
        <f aca="false">IF($A1892="","",MOD(MONTH($A1892)-Setup!$B$6+12,12)+1)</f>
        <v/>
      </c>
      <c r="L1892" s="36" t="str">
        <f aca="false">IF($A1892="","",TEXT($A1892,"MMM-YY"))</f>
        <v/>
      </c>
      <c r="M1892" s="37" t="str">
        <f aca="false">IF($A1892="","",IF($Q1892=0,"UNMAPPED",INDEX(COA_Mapping!$C$7:$C$256,$Q1892)))</f>
        <v/>
      </c>
      <c r="N1892" s="38" t="str">
        <f aca="false">IF($A1892="","",IF($Q1892=0,"",INDEX(COA_Mapping!$E$7:$E$256,$Q1892)))</f>
        <v/>
      </c>
      <c r="O1892" s="38" t="n">
        <f aca="false">IF($A1892="",1,IF($Q1892=0,1,INDEX(COA_Mapping!$F$7:$F$256,$Q1892)))</f>
        <v>1</v>
      </c>
      <c r="P1892" s="34" t="str">
        <f aca="false">IF($A1892="","",$I1892*$O1892)</f>
        <v/>
      </c>
      <c r="Q1892" s="39" t="n">
        <f aca="false">IF($B1892="",0,IFERROR(MATCH($B1892,COA_Mapping!$A$7:$A$256,0),0))</f>
        <v>0</v>
      </c>
      <c r="R1892" s="39" t="n">
        <f aca="false">IF($A1892="",-1,IF($J1892=Setup!$B$7,1,IF($J1892=Setup!$B$9,0,-1)))</f>
        <v>-1</v>
      </c>
      <c r="S1892" s="35" t="n">
        <f aca="false">IF(OR($A1892="",$Q1892=0,$R1892=-1),0,$Q1892*1000+$R1892*100+$K1892)</f>
        <v>0</v>
      </c>
      <c r="T1892" s="37" t="str">
        <f aca="false">IF($A1892="","",IF($B1892="","NO ACCOUNT",IF($Q1892=0,"UNMAPPED",IF($R1892=-1,"OUTSIDE FY RANGE","OK"))))</f>
        <v/>
      </c>
      <c r="U1892" s="40" t="str">
        <f aca="false">IF($A1892="","",$B1892&amp;"|"&amp;TEXT($A1892,"yyyymmdd")&amp;"|"&amp;TEXT($I1892,"0.00"))</f>
        <v/>
      </c>
      <c r="V1892" s="35" t="str">
        <f aca="false">IF($A1892="","",COUNTIF($U$8:$U$5007,$U1892))</f>
        <v/>
      </c>
    </row>
    <row r="1893" customFormat="false" ht="15" hidden="false" customHeight="false" outlineLevel="0" collapsed="false">
      <c r="A1893" s="31"/>
      <c r="B1893" s="32"/>
      <c r="C1893" s="32"/>
      <c r="D1893" s="32"/>
      <c r="E1893" s="32"/>
      <c r="F1893" s="32"/>
      <c r="G1893" s="33"/>
      <c r="H1893" s="33"/>
      <c r="I1893" s="34" t="str">
        <f aca="false">IF($A1893="","",$G1893-$H1893)</f>
        <v/>
      </c>
      <c r="J1893" s="35" t="str">
        <f aca="false">IF($A1893="","",IF(Setup!$B$6=1,YEAR($A1893),YEAR($A1893)+IF(MONTH($A1893)&gt;=Setup!$B$6,1,0)))</f>
        <v/>
      </c>
      <c r="K1893" s="35" t="str">
        <f aca="false">IF($A1893="","",MOD(MONTH($A1893)-Setup!$B$6+12,12)+1)</f>
        <v/>
      </c>
      <c r="L1893" s="36" t="str">
        <f aca="false">IF($A1893="","",TEXT($A1893,"MMM-YY"))</f>
        <v/>
      </c>
      <c r="M1893" s="37" t="str">
        <f aca="false">IF($A1893="","",IF($Q1893=0,"UNMAPPED",INDEX(COA_Mapping!$C$7:$C$256,$Q1893)))</f>
        <v/>
      </c>
      <c r="N1893" s="38" t="str">
        <f aca="false">IF($A1893="","",IF($Q1893=0,"",INDEX(COA_Mapping!$E$7:$E$256,$Q1893)))</f>
        <v/>
      </c>
      <c r="O1893" s="38" t="n">
        <f aca="false">IF($A1893="",1,IF($Q1893=0,1,INDEX(COA_Mapping!$F$7:$F$256,$Q1893)))</f>
        <v>1</v>
      </c>
      <c r="P1893" s="34" t="str">
        <f aca="false">IF($A1893="","",$I1893*$O1893)</f>
        <v/>
      </c>
      <c r="Q1893" s="39" t="n">
        <f aca="false">IF($B1893="",0,IFERROR(MATCH($B1893,COA_Mapping!$A$7:$A$256,0),0))</f>
        <v>0</v>
      </c>
      <c r="R1893" s="39" t="n">
        <f aca="false">IF($A1893="",-1,IF($J1893=Setup!$B$7,1,IF($J1893=Setup!$B$9,0,-1)))</f>
        <v>-1</v>
      </c>
      <c r="S1893" s="35" t="n">
        <f aca="false">IF(OR($A1893="",$Q1893=0,$R1893=-1),0,$Q1893*1000+$R1893*100+$K1893)</f>
        <v>0</v>
      </c>
      <c r="T1893" s="37" t="str">
        <f aca="false">IF($A1893="","",IF($B1893="","NO ACCOUNT",IF($Q1893=0,"UNMAPPED",IF($R1893=-1,"OUTSIDE FY RANGE","OK"))))</f>
        <v/>
      </c>
      <c r="U1893" s="40" t="str">
        <f aca="false">IF($A1893="","",$B1893&amp;"|"&amp;TEXT($A1893,"yyyymmdd")&amp;"|"&amp;TEXT($I1893,"0.00"))</f>
        <v/>
      </c>
      <c r="V1893" s="35" t="str">
        <f aca="false">IF($A1893="","",COUNTIF($U$8:$U$5007,$U1893))</f>
        <v/>
      </c>
    </row>
    <row r="1894" customFormat="false" ht="15" hidden="false" customHeight="false" outlineLevel="0" collapsed="false">
      <c r="A1894" s="31"/>
      <c r="B1894" s="32"/>
      <c r="C1894" s="32"/>
      <c r="D1894" s="32"/>
      <c r="E1894" s="32"/>
      <c r="F1894" s="32"/>
      <c r="G1894" s="33"/>
      <c r="H1894" s="33"/>
      <c r="I1894" s="34" t="str">
        <f aca="false">IF($A1894="","",$G1894-$H1894)</f>
        <v/>
      </c>
      <c r="J1894" s="35" t="str">
        <f aca="false">IF($A1894="","",IF(Setup!$B$6=1,YEAR($A1894),YEAR($A1894)+IF(MONTH($A1894)&gt;=Setup!$B$6,1,0)))</f>
        <v/>
      </c>
      <c r="K1894" s="35" t="str">
        <f aca="false">IF($A1894="","",MOD(MONTH($A1894)-Setup!$B$6+12,12)+1)</f>
        <v/>
      </c>
      <c r="L1894" s="36" t="str">
        <f aca="false">IF($A1894="","",TEXT($A1894,"MMM-YY"))</f>
        <v/>
      </c>
      <c r="M1894" s="37" t="str">
        <f aca="false">IF($A1894="","",IF($Q1894=0,"UNMAPPED",INDEX(COA_Mapping!$C$7:$C$256,$Q1894)))</f>
        <v/>
      </c>
      <c r="N1894" s="38" t="str">
        <f aca="false">IF($A1894="","",IF($Q1894=0,"",INDEX(COA_Mapping!$E$7:$E$256,$Q1894)))</f>
        <v/>
      </c>
      <c r="O1894" s="38" t="n">
        <f aca="false">IF($A1894="",1,IF($Q1894=0,1,INDEX(COA_Mapping!$F$7:$F$256,$Q1894)))</f>
        <v>1</v>
      </c>
      <c r="P1894" s="34" t="str">
        <f aca="false">IF($A1894="","",$I1894*$O1894)</f>
        <v/>
      </c>
      <c r="Q1894" s="39" t="n">
        <f aca="false">IF($B1894="",0,IFERROR(MATCH($B1894,COA_Mapping!$A$7:$A$256,0),0))</f>
        <v>0</v>
      </c>
      <c r="R1894" s="39" t="n">
        <f aca="false">IF($A1894="",-1,IF($J1894=Setup!$B$7,1,IF($J1894=Setup!$B$9,0,-1)))</f>
        <v>-1</v>
      </c>
      <c r="S1894" s="35" t="n">
        <f aca="false">IF(OR($A1894="",$Q1894=0,$R1894=-1),0,$Q1894*1000+$R1894*100+$K1894)</f>
        <v>0</v>
      </c>
      <c r="T1894" s="37" t="str">
        <f aca="false">IF($A1894="","",IF($B1894="","NO ACCOUNT",IF($Q1894=0,"UNMAPPED",IF($R1894=-1,"OUTSIDE FY RANGE","OK"))))</f>
        <v/>
      </c>
      <c r="U1894" s="40" t="str">
        <f aca="false">IF($A1894="","",$B1894&amp;"|"&amp;TEXT($A1894,"yyyymmdd")&amp;"|"&amp;TEXT($I1894,"0.00"))</f>
        <v/>
      </c>
      <c r="V1894" s="35" t="str">
        <f aca="false">IF($A1894="","",COUNTIF($U$8:$U$5007,$U1894))</f>
        <v/>
      </c>
    </row>
    <row r="1895" customFormat="false" ht="15" hidden="false" customHeight="false" outlineLevel="0" collapsed="false">
      <c r="A1895" s="31"/>
      <c r="B1895" s="32"/>
      <c r="C1895" s="32"/>
      <c r="D1895" s="32"/>
      <c r="E1895" s="32"/>
      <c r="F1895" s="32"/>
      <c r="G1895" s="33"/>
      <c r="H1895" s="33"/>
      <c r="I1895" s="34" t="str">
        <f aca="false">IF($A1895="","",$G1895-$H1895)</f>
        <v/>
      </c>
      <c r="J1895" s="35" t="str">
        <f aca="false">IF($A1895="","",IF(Setup!$B$6=1,YEAR($A1895),YEAR($A1895)+IF(MONTH($A1895)&gt;=Setup!$B$6,1,0)))</f>
        <v/>
      </c>
      <c r="K1895" s="35" t="str">
        <f aca="false">IF($A1895="","",MOD(MONTH($A1895)-Setup!$B$6+12,12)+1)</f>
        <v/>
      </c>
      <c r="L1895" s="36" t="str">
        <f aca="false">IF($A1895="","",TEXT($A1895,"MMM-YY"))</f>
        <v/>
      </c>
      <c r="M1895" s="37" t="str">
        <f aca="false">IF($A1895="","",IF($Q1895=0,"UNMAPPED",INDEX(COA_Mapping!$C$7:$C$256,$Q1895)))</f>
        <v/>
      </c>
      <c r="N1895" s="38" t="str">
        <f aca="false">IF($A1895="","",IF($Q1895=0,"",INDEX(COA_Mapping!$E$7:$E$256,$Q1895)))</f>
        <v/>
      </c>
      <c r="O1895" s="38" t="n">
        <f aca="false">IF($A1895="",1,IF($Q1895=0,1,INDEX(COA_Mapping!$F$7:$F$256,$Q1895)))</f>
        <v>1</v>
      </c>
      <c r="P1895" s="34" t="str">
        <f aca="false">IF($A1895="","",$I1895*$O1895)</f>
        <v/>
      </c>
      <c r="Q1895" s="39" t="n">
        <f aca="false">IF($B1895="",0,IFERROR(MATCH($B1895,COA_Mapping!$A$7:$A$256,0),0))</f>
        <v>0</v>
      </c>
      <c r="R1895" s="39" t="n">
        <f aca="false">IF($A1895="",-1,IF($J1895=Setup!$B$7,1,IF($J1895=Setup!$B$9,0,-1)))</f>
        <v>-1</v>
      </c>
      <c r="S1895" s="35" t="n">
        <f aca="false">IF(OR($A1895="",$Q1895=0,$R1895=-1),0,$Q1895*1000+$R1895*100+$K1895)</f>
        <v>0</v>
      </c>
      <c r="T1895" s="37" t="str">
        <f aca="false">IF($A1895="","",IF($B1895="","NO ACCOUNT",IF($Q1895=0,"UNMAPPED",IF($R1895=-1,"OUTSIDE FY RANGE","OK"))))</f>
        <v/>
      </c>
      <c r="U1895" s="40" t="str">
        <f aca="false">IF($A1895="","",$B1895&amp;"|"&amp;TEXT($A1895,"yyyymmdd")&amp;"|"&amp;TEXT($I1895,"0.00"))</f>
        <v/>
      </c>
      <c r="V1895" s="35" t="str">
        <f aca="false">IF($A1895="","",COUNTIF($U$8:$U$5007,$U1895))</f>
        <v/>
      </c>
    </row>
    <row r="1896" customFormat="false" ht="15" hidden="false" customHeight="false" outlineLevel="0" collapsed="false">
      <c r="A1896" s="31"/>
      <c r="B1896" s="32"/>
      <c r="C1896" s="32"/>
      <c r="D1896" s="32"/>
      <c r="E1896" s="32"/>
      <c r="F1896" s="32"/>
      <c r="G1896" s="33"/>
      <c r="H1896" s="33"/>
      <c r="I1896" s="34" t="str">
        <f aca="false">IF($A1896="","",$G1896-$H1896)</f>
        <v/>
      </c>
      <c r="J1896" s="35" t="str">
        <f aca="false">IF($A1896="","",IF(Setup!$B$6=1,YEAR($A1896),YEAR($A1896)+IF(MONTH($A1896)&gt;=Setup!$B$6,1,0)))</f>
        <v/>
      </c>
      <c r="K1896" s="35" t="str">
        <f aca="false">IF($A1896="","",MOD(MONTH($A1896)-Setup!$B$6+12,12)+1)</f>
        <v/>
      </c>
      <c r="L1896" s="36" t="str">
        <f aca="false">IF($A1896="","",TEXT($A1896,"MMM-YY"))</f>
        <v/>
      </c>
      <c r="M1896" s="37" t="str">
        <f aca="false">IF($A1896="","",IF($Q1896=0,"UNMAPPED",INDEX(COA_Mapping!$C$7:$C$256,$Q1896)))</f>
        <v/>
      </c>
      <c r="N1896" s="38" t="str">
        <f aca="false">IF($A1896="","",IF($Q1896=0,"",INDEX(COA_Mapping!$E$7:$E$256,$Q1896)))</f>
        <v/>
      </c>
      <c r="O1896" s="38" t="n">
        <f aca="false">IF($A1896="",1,IF($Q1896=0,1,INDEX(COA_Mapping!$F$7:$F$256,$Q1896)))</f>
        <v>1</v>
      </c>
      <c r="P1896" s="34" t="str">
        <f aca="false">IF($A1896="","",$I1896*$O1896)</f>
        <v/>
      </c>
      <c r="Q1896" s="39" t="n">
        <f aca="false">IF($B1896="",0,IFERROR(MATCH($B1896,COA_Mapping!$A$7:$A$256,0),0))</f>
        <v>0</v>
      </c>
      <c r="R1896" s="39" t="n">
        <f aca="false">IF($A1896="",-1,IF($J1896=Setup!$B$7,1,IF($J1896=Setup!$B$9,0,-1)))</f>
        <v>-1</v>
      </c>
      <c r="S1896" s="35" t="n">
        <f aca="false">IF(OR($A1896="",$Q1896=0,$R1896=-1),0,$Q1896*1000+$R1896*100+$K1896)</f>
        <v>0</v>
      </c>
      <c r="T1896" s="37" t="str">
        <f aca="false">IF($A1896="","",IF($B1896="","NO ACCOUNT",IF($Q1896=0,"UNMAPPED",IF($R1896=-1,"OUTSIDE FY RANGE","OK"))))</f>
        <v/>
      </c>
      <c r="U1896" s="40" t="str">
        <f aca="false">IF($A1896="","",$B1896&amp;"|"&amp;TEXT($A1896,"yyyymmdd")&amp;"|"&amp;TEXT($I1896,"0.00"))</f>
        <v/>
      </c>
      <c r="V1896" s="35" t="str">
        <f aca="false">IF($A1896="","",COUNTIF($U$8:$U$5007,$U1896))</f>
        <v/>
      </c>
    </row>
    <row r="1897" customFormat="false" ht="15" hidden="false" customHeight="false" outlineLevel="0" collapsed="false">
      <c r="A1897" s="31"/>
      <c r="B1897" s="32"/>
      <c r="C1897" s="32"/>
      <c r="D1897" s="32"/>
      <c r="E1897" s="32"/>
      <c r="F1897" s="32"/>
      <c r="G1897" s="33"/>
      <c r="H1897" s="33"/>
      <c r="I1897" s="34" t="str">
        <f aca="false">IF($A1897="","",$G1897-$H1897)</f>
        <v/>
      </c>
      <c r="J1897" s="35" t="str">
        <f aca="false">IF($A1897="","",IF(Setup!$B$6=1,YEAR($A1897),YEAR($A1897)+IF(MONTH($A1897)&gt;=Setup!$B$6,1,0)))</f>
        <v/>
      </c>
      <c r="K1897" s="35" t="str">
        <f aca="false">IF($A1897="","",MOD(MONTH($A1897)-Setup!$B$6+12,12)+1)</f>
        <v/>
      </c>
      <c r="L1897" s="36" t="str">
        <f aca="false">IF($A1897="","",TEXT($A1897,"MMM-YY"))</f>
        <v/>
      </c>
      <c r="M1897" s="37" t="str">
        <f aca="false">IF($A1897="","",IF($Q1897=0,"UNMAPPED",INDEX(COA_Mapping!$C$7:$C$256,$Q1897)))</f>
        <v/>
      </c>
      <c r="N1897" s="38" t="str">
        <f aca="false">IF($A1897="","",IF($Q1897=0,"",INDEX(COA_Mapping!$E$7:$E$256,$Q1897)))</f>
        <v/>
      </c>
      <c r="O1897" s="38" t="n">
        <f aca="false">IF($A1897="",1,IF($Q1897=0,1,INDEX(COA_Mapping!$F$7:$F$256,$Q1897)))</f>
        <v>1</v>
      </c>
      <c r="P1897" s="34" t="str">
        <f aca="false">IF($A1897="","",$I1897*$O1897)</f>
        <v/>
      </c>
      <c r="Q1897" s="39" t="n">
        <f aca="false">IF($B1897="",0,IFERROR(MATCH($B1897,COA_Mapping!$A$7:$A$256,0),0))</f>
        <v>0</v>
      </c>
      <c r="R1897" s="39" t="n">
        <f aca="false">IF($A1897="",-1,IF($J1897=Setup!$B$7,1,IF($J1897=Setup!$B$9,0,-1)))</f>
        <v>-1</v>
      </c>
      <c r="S1897" s="35" t="n">
        <f aca="false">IF(OR($A1897="",$Q1897=0,$R1897=-1),0,$Q1897*1000+$R1897*100+$K1897)</f>
        <v>0</v>
      </c>
      <c r="T1897" s="37" t="str">
        <f aca="false">IF($A1897="","",IF($B1897="","NO ACCOUNT",IF($Q1897=0,"UNMAPPED",IF($R1897=-1,"OUTSIDE FY RANGE","OK"))))</f>
        <v/>
      </c>
      <c r="U1897" s="40" t="str">
        <f aca="false">IF($A1897="","",$B1897&amp;"|"&amp;TEXT($A1897,"yyyymmdd")&amp;"|"&amp;TEXT($I1897,"0.00"))</f>
        <v/>
      </c>
      <c r="V1897" s="35" t="str">
        <f aca="false">IF($A1897="","",COUNTIF($U$8:$U$5007,$U1897))</f>
        <v/>
      </c>
    </row>
    <row r="1898" customFormat="false" ht="15" hidden="false" customHeight="false" outlineLevel="0" collapsed="false">
      <c r="A1898" s="31"/>
      <c r="B1898" s="32"/>
      <c r="C1898" s="32"/>
      <c r="D1898" s="32"/>
      <c r="E1898" s="32"/>
      <c r="F1898" s="32"/>
      <c r="G1898" s="33"/>
      <c r="H1898" s="33"/>
      <c r="I1898" s="34" t="str">
        <f aca="false">IF($A1898="","",$G1898-$H1898)</f>
        <v/>
      </c>
      <c r="J1898" s="35" t="str">
        <f aca="false">IF($A1898="","",IF(Setup!$B$6=1,YEAR($A1898),YEAR($A1898)+IF(MONTH($A1898)&gt;=Setup!$B$6,1,0)))</f>
        <v/>
      </c>
      <c r="K1898" s="35" t="str">
        <f aca="false">IF($A1898="","",MOD(MONTH($A1898)-Setup!$B$6+12,12)+1)</f>
        <v/>
      </c>
      <c r="L1898" s="36" t="str">
        <f aca="false">IF($A1898="","",TEXT($A1898,"MMM-YY"))</f>
        <v/>
      </c>
      <c r="M1898" s="37" t="str">
        <f aca="false">IF($A1898="","",IF($Q1898=0,"UNMAPPED",INDEX(COA_Mapping!$C$7:$C$256,$Q1898)))</f>
        <v/>
      </c>
      <c r="N1898" s="38" t="str">
        <f aca="false">IF($A1898="","",IF($Q1898=0,"",INDEX(COA_Mapping!$E$7:$E$256,$Q1898)))</f>
        <v/>
      </c>
      <c r="O1898" s="38" t="n">
        <f aca="false">IF($A1898="",1,IF($Q1898=0,1,INDEX(COA_Mapping!$F$7:$F$256,$Q1898)))</f>
        <v>1</v>
      </c>
      <c r="P1898" s="34" t="str">
        <f aca="false">IF($A1898="","",$I1898*$O1898)</f>
        <v/>
      </c>
      <c r="Q1898" s="39" t="n">
        <f aca="false">IF($B1898="",0,IFERROR(MATCH($B1898,COA_Mapping!$A$7:$A$256,0),0))</f>
        <v>0</v>
      </c>
      <c r="R1898" s="39" t="n">
        <f aca="false">IF($A1898="",-1,IF($J1898=Setup!$B$7,1,IF($J1898=Setup!$B$9,0,-1)))</f>
        <v>-1</v>
      </c>
      <c r="S1898" s="35" t="n">
        <f aca="false">IF(OR($A1898="",$Q1898=0,$R1898=-1),0,$Q1898*1000+$R1898*100+$K1898)</f>
        <v>0</v>
      </c>
      <c r="T1898" s="37" t="str">
        <f aca="false">IF($A1898="","",IF($B1898="","NO ACCOUNT",IF($Q1898=0,"UNMAPPED",IF($R1898=-1,"OUTSIDE FY RANGE","OK"))))</f>
        <v/>
      </c>
      <c r="U1898" s="40" t="str">
        <f aca="false">IF($A1898="","",$B1898&amp;"|"&amp;TEXT($A1898,"yyyymmdd")&amp;"|"&amp;TEXT($I1898,"0.00"))</f>
        <v/>
      </c>
      <c r="V1898" s="35" t="str">
        <f aca="false">IF($A1898="","",COUNTIF($U$8:$U$5007,$U1898))</f>
        <v/>
      </c>
    </row>
    <row r="1899" customFormat="false" ht="15" hidden="false" customHeight="false" outlineLevel="0" collapsed="false">
      <c r="A1899" s="31"/>
      <c r="B1899" s="32"/>
      <c r="C1899" s="32"/>
      <c r="D1899" s="32"/>
      <c r="E1899" s="32"/>
      <c r="F1899" s="32"/>
      <c r="G1899" s="33"/>
      <c r="H1899" s="33"/>
      <c r="I1899" s="34" t="str">
        <f aca="false">IF($A1899="","",$G1899-$H1899)</f>
        <v/>
      </c>
      <c r="J1899" s="35" t="str">
        <f aca="false">IF($A1899="","",IF(Setup!$B$6=1,YEAR($A1899),YEAR($A1899)+IF(MONTH($A1899)&gt;=Setup!$B$6,1,0)))</f>
        <v/>
      </c>
      <c r="K1899" s="35" t="str">
        <f aca="false">IF($A1899="","",MOD(MONTH($A1899)-Setup!$B$6+12,12)+1)</f>
        <v/>
      </c>
      <c r="L1899" s="36" t="str">
        <f aca="false">IF($A1899="","",TEXT($A1899,"MMM-YY"))</f>
        <v/>
      </c>
      <c r="M1899" s="37" t="str">
        <f aca="false">IF($A1899="","",IF($Q1899=0,"UNMAPPED",INDEX(COA_Mapping!$C$7:$C$256,$Q1899)))</f>
        <v/>
      </c>
      <c r="N1899" s="38" t="str">
        <f aca="false">IF($A1899="","",IF($Q1899=0,"",INDEX(COA_Mapping!$E$7:$E$256,$Q1899)))</f>
        <v/>
      </c>
      <c r="O1899" s="38" t="n">
        <f aca="false">IF($A1899="",1,IF($Q1899=0,1,INDEX(COA_Mapping!$F$7:$F$256,$Q1899)))</f>
        <v>1</v>
      </c>
      <c r="P1899" s="34" t="str">
        <f aca="false">IF($A1899="","",$I1899*$O1899)</f>
        <v/>
      </c>
      <c r="Q1899" s="39" t="n">
        <f aca="false">IF($B1899="",0,IFERROR(MATCH($B1899,COA_Mapping!$A$7:$A$256,0),0))</f>
        <v>0</v>
      </c>
      <c r="R1899" s="39" t="n">
        <f aca="false">IF($A1899="",-1,IF($J1899=Setup!$B$7,1,IF($J1899=Setup!$B$9,0,-1)))</f>
        <v>-1</v>
      </c>
      <c r="S1899" s="35" t="n">
        <f aca="false">IF(OR($A1899="",$Q1899=0,$R1899=-1),0,$Q1899*1000+$R1899*100+$K1899)</f>
        <v>0</v>
      </c>
      <c r="T1899" s="37" t="str">
        <f aca="false">IF($A1899="","",IF($B1899="","NO ACCOUNT",IF($Q1899=0,"UNMAPPED",IF($R1899=-1,"OUTSIDE FY RANGE","OK"))))</f>
        <v/>
      </c>
      <c r="U1899" s="40" t="str">
        <f aca="false">IF($A1899="","",$B1899&amp;"|"&amp;TEXT($A1899,"yyyymmdd")&amp;"|"&amp;TEXT($I1899,"0.00"))</f>
        <v/>
      </c>
      <c r="V1899" s="35" t="str">
        <f aca="false">IF($A1899="","",COUNTIF($U$8:$U$5007,$U1899))</f>
        <v/>
      </c>
    </row>
    <row r="1900" customFormat="false" ht="15" hidden="false" customHeight="false" outlineLevel="0" collapsed="false">
      <c r="A1900" s="31"/>
      <c r="B1900" s="32"/>
      <c r="C1900" s="32"/>
      <c r="D1900" s="32"/>
      <c r="E1900" s="32"/>
      <c r="F1900" s="32"/>
      <c r="G1900" s="33"/>
      <c r="H1900" s="33"/>
      <c r="I1900" s="34" t="str">
        <f aca="false">IF($A1900="","",$G1900-$H1900)</f>
        <v/>
      </c>
      <c r="J1900" s="35" t="str">
        <f aca="false">IF($A1900="","",IF(Setup!$B$6=1,YEAR($A1900),YEAR($A1900)+IF(MONTH($A1900)&gt;=Setup!$B$6,1,0)))</f>
        <v/>
      </c>
      <c r="K1900" s="35" t="str">
        <f aca="false">IF($A1900="","",MOD(MONTH($A1900)-Setup!$B$6+12,12)+1)</f>
        <v/>
      </c>
      <c r="L1900" s="36" t="str">
        <f aca="false">IF($A1900="","",TEXT($A1900,"MMM-YY"))</f>
        <v/>
      </c>
      <c r="M1900" s="37" t="str">
        <f aca="false">IF($A1900="","",IF($Q1900=0,"UNMAPPED",INDEX(COA_Mapping!$C$7:$C$256,$Q1900)))</f>
        <v/>
      </c>
      <c r="N1900" s="38" t="str">
        <f aca="false">IF($A1900="","",IF($Q1900=0,"",INDEX(COA_Mapping!$E$7:$E$256,$Q1900)))</f>
        <v/>
      </c>
      <c r="O1900" s="38" t="n">
        <f aca="false">IF($A1900="",1,IF($Q1900=0,1,INDEX(COA_Mapping!$F$7:$F$256,$Q1900)))</f>
        <v>1</v>
      </c>
      <c r="P1900" s="34" t="str">
        <f aca="false">IF($A1900="","",$I1900*$O1900)</f>
        <v/>
      </c>
      <c r="Q1900" s="39" t="n">
        <f aca="false">IF($B1900="",0,IFERROR(MATCH($B1900,COA_Mapping!$A$7:$A$256,0),0))</f>
        <v>0</v>
      </c>
      <c r="R1900" s="39" t="n">
        <f aca="false">IF($A1900="",-1,IF($J1900=Setup!$B$7,1,IF($J1900=Setup!$B$9,0,-1)))</f>
        <v>-1</v>
      </c>
      <c r="S1900" s="35" t="n">
        <f aca="false">IF(OR($A1900="",$Q1900=0,$R1900=-1),0,$Q1900*1000+$R1900*100+$K1900)</f>
        <v>0</v>
      </c>
      <c r="T1900" s="37" t="str">
        <f aca="false">IF($A1900="","",IF($B1900="","NO ACCOUNT",IF($Q1900=0,"UNMAPPED",IF($R1900=-1,"OUTSIDE FY RANGE","OK"))))</f>
        <v/>
      </c>
      <c r="U1900" s="40" t="str">
        <f aca="false">IF($A1900="","",$B1900&amp;"|"&amp;TEXT($A1900,"yyyymmdd")&amp;"|"&amp;TEXT($I1900,"0.00"))</f>
        <v/>
      </c>
      <c r="V1900" s="35" t="str">
        <f aca="false">IF($A1900="","",COUNTIF($U$8:$U$5007,$U1900))</f>
        <v/>
      </c>
    </row>
    <row r="1901" customFormat="false" ht="15" hidden="false" customHeight="false" outlineLevel="0" collapsed="false">
      <c r="A1901" s="31"/>
      <c r="B1901" s="32"/>
      <c r="C1901" s="32"/>
      <c r="D1901" s="32"/>
      <c r="E1901" s="32"/>
      <c r="F1901" s="32"/>
      <c r="G1901" s="33"/>
      <c r="H1901" s="33"/>
      <c r="I1901" s="34" t="str">
        <f aca="false">IF($A1901="","",$G1901-$H1901)</f>
        <v/>
      </c>
      <c r="J1901" s="35" t="str">
        <f aca="false">IF($A1901="","",IF(Setup!$B$6=1,YEAR($A1901),YEAR($A1901)+IF(MONTH($A1901)&gt;=Setup!$B$6,1,0)))</f>
        <v/>
      </c>
      <c r="K1901" s="35" t="str">
        <f aca="false">IF($A1901="","",MOD(MONTH($A1901)-Setup!$B$6+12,12)+1)</f>
        <v/>
      </c>
      <c r="L1901" s="36" t="str">
        <f aca="false">IF($A1901="","",TEXT($A1901,"MMM-YY"))</f>
        <v/>
      </c>
      <c r="M1901" s="37" t="str">
        <f aca="false">IF($A1901="","",IF($Q1901=0,"UNMAPPED",INDEX(COA_Mapping!$C$7:$C$256,$Q1901)))</f>
        <v/>
      </c>
      <c r="N1901" s="38" t="str">
        <f aca="false">IF($A1901="","",IF($Q1901=0,"",INDEX(COA_Mapping!$E$7:$E$256,$Q1901)))</f>
        <v/>
      </c>
      <c r="O1901" s="38" t="n">
        <f aca="false">IF($A1901="",1,IF($Q1901=0,1,INDEX(COA_Mapping!$F$7:$F$256,$Q1901)))</f>
        <v>1</v>
      </c>
      <c r="P1901" s="34" t="str">
        <f aca="false">IF($A1901="","",$I1901*$O1901)</f>
        <v/>
      </c>
      <c r="Q1901" s="39" t="n">
        <f aca="false">IF($B1901="",0,IFERROR(MATCH($B1901,COA_Mapping!$A$7:$A$256,0),0))</f>
        <v>0</v>
      </c>
      <c r="R1901" s="39" t="n">
        <f aca="false">IF($A1901="",-1,IF($J1901=Setup!$B$7,1,IF($J1901=Setup!$B$9,0,-1)))</f>
        <v>-1</v>
      </c>
      <c r="S1901" s="35" t="n">
        <f aca="false">IF(OR($A1901="",$Q1901=0,$R1901=-1),0,$Q1901*1000+$R1901*100+$K1901)</f>
        <v>0</v>
      </c>
      <c r="T1901" s="37" t="str">
        <f aca="false">IF($A1901="","",IF($B1901="","NO ACCOUNT",IF($Q1901=0,"UNMAPPED",IF($R1901=-1,"OUTSIDE FY RANGE","OK"))))</f>
        <v/>
      </c>
      <c r="U1901" s="40" t="str">
        <f aca="false">IF($A1901="","",$B1901&amp;"|"&amp;TEXT($A1901,"yyyymmdd")&amp;"|"&amp;TEXT($I1901,"0.00"))</f>
        <v/>
      </c>
      <c r="V1901" s="35" t="str">
        <f aca="false">IF($A1901="","",COUNTIF($U$8:$U$5007,$U1901))</f>
        <v/>
      </c>
    </row>
    <row r="1902" customFormat="false" ht="15" hidden="false" customHeight="false" outlineLevel="0" collapsed="false">
      <c r="A1902" s="31"/>
      <c r="B1902" s="32"/>
      <c r="C1902" s="32"/>
      <c r="D1902" s="32"/>
      <c r="E1902" s="32"/>
      <c r="F1902" s="32"/>
      <c r="G1902" s="33"/>
      <c r="H1902" s="33"/>
      <c r="I1902" s="34" t="str">
        <f aca="false">IF($A1902="","",$G1902-$H1902)</f>
        <v/>
      </c>
      <c r="J1902" s="35" t="str">
        <f aca="false">IF($A1902="","",IF(Setup!$B$6=1,YEAR($A1902),YEAR($A1902)+IF(MONTH($A1902)&gt;=Setup!$B$6,1,0)))</f>
        <v/>
      </c>
      <c r="K1902" s="35" t="str">
        <f aca="false">IF($A1902="","",MOD(MONTH($A1902)-Setup!$B$6+12,12)+1)</f>
        <v/>
      </c>
      <c r="L1902" s="36" t="str">
        <f aca="false">IF($A1902="","",TEXT($A1902,"MMM-YY"))</f>
        <v/>
      </c>
      <c r="M1902" s="37" t="str">
        <f aca="false">IF($A1902="","",IF($Q1902=0,"UNMAPPED",INDEX(COA_Mapping!$C$7:$C$256,$Q1902)))</f>
        <v/>
      </c>
      <c r="N1902" s="38" t="str">
        <f aca="false">IF($A1902="","",IF($Q1902=0,"",INDEX(COA_Mapping!$E$7:$E$256,$Q1902)))</f>
        <v/>
      </c>
      <c r="O1902" s="38" t="n">
        <f aca="false">IF($A1902="",1,IF($Q1902=0,1,INDEX(COA_Mapping!$F$7:$F$256,$Q1902)))</f>
        <v>1</v>
      </c>
      <c r="P1902" s="34" t="str">
        <f aca="false">IF($A1902="","",$I1902*$O1902)</f>
        <v/>
      </c>
      <c r="Q1902" s="39" t="n">
        <f aca="false">IF($B1902="",0,IFERROR(MATCH($B1902,COA_Mapping!$A$7:$A$256,0),0))</f>
        <v>0</v>
      </c>
      <c r="R1902" s="39" t="n">
        <f aca="false">IF($A1902="",-1,IF($J1902=Setup!$B$7,1,IF($J1902=Setup!$B$9,0,-1)))</f>
        <v>-1</v>
      </c>
      <c r="S1902" s="35" t="n">
        <f aca="false">IF(OR($A1902="",$Q1902=0,$R1902=-1),0,$Q1902*1000+$R1902*100+$K1902)</f>
        <v>0</v>
      </c>
      <c r="T1902" s="37" t="str">
        <f aca="false">IF($A1902="","",IF($B1902="","NO ACCOUNT",IF($Q1902=0,"UNMAPPED",IF($R1902=-1,"OUTSIDE FY RANGE","OK"))))</f>
        <v/>
      </c>
      <c r="U1902" s="40" t="str">
        <f aca="false">IF($A1902="","",$B1902&amp;"|"&amp;TEXT($A1902,"yyyymmdd")&amp;"|"&amp;TEXT($I1902,"0.00"))</f>
        <v/>
      </c>
      <c r="V1902" s="35" t="str">
        <f aca="false">IF($A1902="","",COUNTIF($U$8:$U$5007,$U1902))</f>
        <v/>
      </c>
    </row>
    <row r="1903" customFormat="false" ht="15" hidden="false" customHeight="false" outlineLevel="0" collapsed="false">
      <c r="A1903" s="31"/>
      <c r="B1903" s="32"/>
      <c r="C1903" s="32"/>
      <c r="D1903" s="32"/>
      <c r="E1903" s="32"/>
      <c r="F1903" s="32"/>
      <c r="G1903" s="33"/>
      <c r="H1903" s="33"/>
      <c r="I1903" s="34" t="str">
        <f aca="false">IF($A1903="","",$G1903-$H1903)</f>
        <v/>
      </c>
      <c r="J1903" s="35" t="str">
        <f aca="false">IF($A1903="","",IF(Setup!$B$6=1,YEAR($A1903),YEAR($A1903)+IF(MONTH($A1903)&gt;=Setup!$B$6,1,0)))</f>
        <v/>
      </c>
      <c r="K1903" s="35" t="str">
        <f aca="false">IF($A1903="","",MOD(MONTH($A1903)-Setup!$B$6+12,12)+1)</f>
        <v/>
      </c>
      <c r="L1903" s="36" t="str">
        <f aca="false">IF($A1903="","",TEXT($A1903,"MMM-YY"))</f>
        <v/>
      </c>
      <c r="M1903" s="37" t="str">
        <f aca="false">IF($A1903="","",IF($Q1903=0,"UNMAPPED",INDEX(COA_Mapping!$C$7:$C$256,$Q1903)))</f>
        <v/>
      </c>
      <c r="N1903" s="38" t="str">
        <f aca="false">IF($A1903="","",IF($Q1903=0,"",INDEX(COA_Mapping!$E$7:$E$256,$Q1903)))</f>
        <v/>
      </c>
      <c r="O1903" s="38" t="n">
        <f aca="false">IF($A1903="",1,IF($Q1903=0,1,INDEX(COA_Mapping!$F$7:$F$256,$Q1903)))</f>
        <v>1</v>
      </c>
      <c r="P1903" s="34" t="str">
        <f aca="false">IF($A1903="","",$I1903*$O1903)</f>
        <v/>
      </c>
      <c r="Q1903" s="39" t="n">
        <f aca="false">IF($B1903="",0,IFERROR(MATCH($B1903,COA_Mapping!$A$7:$A$256,0),0))</f>
        <v>0</v>
      </c>
      <c r="R1903" s="39" t="n">
        <f aca="false">IF($A1903="",-1,IF($J1903=Setup!$B$7,1,IF($J1903=Setup!$B$9,0,-1)))</f>
        <v>-1</v>
      </c>
      <c r="S1903" s="35" t="n">
        <f aca="false">IF(OR($A1903="",$Q1903=0,$R1903=-1),0,$Q1903*1000+$R1903*100+$K1903)</f>
        <v>0</v>
      </c>
      <c r="T1903" s="37" t="str">
        <f aca="false">IF($A1903="","",IF($B1903="","NO ACCOUNT",IF($Q1903=0,"UNMAPPED",IF($R1903=-1,"OUTSIDE FY RANGE","OK"))))</f>
        <v/>
      </c>
      <c r="U1903" s="40" t="str">
        <f aca="false">IF($A1903="","",$B1903&amp;"|"&amp;TEXT($A1903,"yyyymmdd")&amp;"|"&amp;TEXT($I1903,"0.00"))</f>
        <v/>
      </c>
      <c r="V1903" s="35" t="str">
        <f aca="false">IF($A1903="","",COUNTIF($U$8:$U$5007,$U1903))</f>
        <v/>
      </c>
    </row>
    <row r="1904" customFormat="false" ht="15" hidden="false" customHeight="false" outlineLevel="0" collapsed="false">
      <c r="A1904" s="31"/>
      <c r="B1904" s="32"/>
      <c r="C1904" s="32"/>
      <c r="D1904" s="32"/>
      <c r="E1904" s="32"/>
      <c r="F1904" s="32"/>
      <c r="G1904" s="33"/>
      <c r="H1904" s="33"/>
      <c r="I1904" s="34" t="str">
        <f aca="false">IF($A1904="","",$G1904-$H1904)</f>
        <v/>
      </c>
      <c r="J1904" s="35" t="str">
        <f aca="false">IF($A1904="","",IF(Setup!$B$6=1,YEAR($A1904),YEAR($A1904)+IF(MONTH($A1904)&gt;=Setup!$B$6,1,0)))</f>
        <v/>
      </c>
      <c r="K1904" s="35" t="str">
        <f aca="false">IF($A1904="","",MOD(MONTH($A1904)-Setup!$B$6+12,12)+1)</f>
        <v/>
      </c>
      <c r="L1904" s="36" t="str">
        <f aca="false">IF($A1904="","",TEXT($A1904,"MMM-YY"))</f>
        <v/>
      </c>
      <c r="M1904" s="37" t="str">
        <f aca="false">IF($A1904="","",IF($Q1904=0,"UNMAPPED",INDEX(COA_Mapping!$C$7:$C$256,$Q1904)))</f>
        <v/>
      </c>
      <c r="N1904" s="38" t="str">
        <f aca="false">IF($A1904="","",IF($Q1904=0,"",INDEX(COA_Mapping!$E$7:$E$256,$Q1904)))</f>
        <v/>
      </c>
      <c r="O1904" s="38" t="n">
        <f aca="false">IF($A1904="",1,IF($Q1904=0,1,INDEX(COA_Mapping!$F$7:$F$256,$Q1904)))</f>
        <v>1</v>
      </c>
      <c r="P1904" s="34" t="str">
        <f aca="false">IF($A1904="","",$I1904*$O1904)</f>
        <v/>
      </c>
      <c r="Q1904" s="39" t="n">
        <f aca="false">IF($B1904="",0,IFERROR(MATCH($B1904,COA_Mapping!$A$7:$A$256,0),0))</f>
        <v>0</v>
      </c>
      <c r="R1904" s="39" t="n">
        <f aca="false">IF($A1904="",-1,IF($J1904=Setup!$B$7,1,IF($J1904=Setup!$B$9,0,-1)))</f>
        <v>-1</v>
      </c>
      <c r="S1904" s="35" t="n">
        <f aca="false">IF(OR($A1904="",$Q1904=0,$R1904=-1),0,$Q1904*1000+$R1904*100+$K1904)</f>
        <v>0</v>
      </c>
      <c r="T1904" s="37" t="str">
        <f aca="false">IF($A1904="","",IF($B1904="","NO ACCOUNT",IF($Q1904=0,"UNMAPPED",IF($R1904=-1,"OUTSIDE FY RANGE","OK"))))</f>
        <v/>
      </c>
      <c r="U1904" s="40" t="str">
        <f aca="false">IF($A1904="","",$B1904&amp;"|"&amp;TEXT($A1904,"yyyymmdd")&amp;"|"&amp;TEXT($I1904,"0.00"))</f>
        <v/>
      </c>
      <c r="V1904" s="35" t="str">
        <f aca="false">IF($A1904="","",COUNTIF($U$8:$U$5007,$U1904))</f>
        <v/>
      </c>
    </row>
    <row r="1905" customFormat="false" ht="15" hidden="false" customHeight="false" outlineLevel="0" collapsed="false">
      <c r="A1905" s="31"/>
      <c r="B1905" s="32"/>
      <c r="C1905" s="32"/>
      <c r="D1905" s="32"/>
      <c r="E1905" s="32"/>
      <c r="F1905" s="32"/>
      <c r="G1905" s="33"/>
      <c r="H1905" s="33"/>
      <c r="I1905" s="34" t="str">
        <f aca="false">IF($A1905="","",$G1905-$H1905)</f>
        <v/>
      </c>
      <c r="J1905" s="35" t="str">
        <f aca="false">IF($A1905="","",IF(Setup!$B$6=1,YEAR($A1905),YEAR($A1905)+IF(MONTH($A1905)&gt;=Setup!$B$6,1,0)))</f>
        <v/>
      </c>
      <c r="K1905" s="35" t="str">
        <f aca="false">IF($A1905="","",MOD(MONTH($A1905)-Setup!$B$6+12,12)+1)</f>
        <v/>
      </c>
      <c r="L1905" s="36" t="str">
        <f aca="false">IF($A1905="","",TEXT($A1905,"MMM-YY"))</f>
        <v/>
      </c>
      <c r="M1905" s="37" t="str">
        <f aca="false">IF($A1905="","",IF($Q1905=0,"UNMAPPED",INDEX(COA_Mapping!$C$7:$C$256,$Q1905)))</f>
        <v/>
      </c>
      <c r="N1905" s="38" t="str">
        <f aca="false">IF($A1905="","",IF($Q1905=0,"",INDEX(COA_Mapping!$E$7:$E$256,$Q1905)))</f>
        <v/>
      </c>
      <c r="O1905" s="38" t="n">
        <f aca="false">IF($A1905="",1,IF($Q1905=0,1,INDEX(COA_Mapping!$F$7:$F$256,$Q1905)))</f>
        <v>1</v>
      </c>
      <c r="P1905" s="34" t="str">
        <f aca="false">IF($A1905="","",$I1905*$O1905)</f>
        <v/>
      </c>
      <c r="Q1905" s="39" t="n">
        <f aca="false">IF($B1905="",0,IFERROR(MATCH($B1905,COA_Mapping!$A$7:$A$256,0),0))</f>
        <v>0</v>
      </c>
      <c r="R1905" s="39" t="n">
        <f aca="false">IF($A1905="",-1,IF($J1905=Setup!$B$7,1,IF($J1905=Setup!$B$9,0,-1)))</f>
        <v>-1</v>
      </c>
      <c r="S1905" s="35" t="n">
        <f aca="false">IF(OR($A1905="",$Q1905=0,$R1905=-1),0,$Q1905*1000+$R1905*100+$K1905)</f>
        <v>0</v>
      </c>
      <c r="T1905" s="37" t="str">
        <f aca="false">IF($A1905="","",IF($B1905="","NO ACCOUNT",IF($Q1905=0,"UNMAPPED",IF($R1905=-1,"OUTSIDE FY RANGE","OK"))))</f>
        <v/>
      </c>
      <c r="U1905" s="40" t="str">
        <f aca="false">IF($A1905="","",$B1905&amp;"|"&amp;TEXT($A1905,"yyyymmdd")&amp;"|"&amp;TEXT($I1905,"0.00"))</f>
        <v/>
      </c>
      <c r="V1905" s="35" t="str">
        <f aca="false">IF($A1905="","",COUNTIF($U$8:$U$5007,$U1905))</f>
        <v/>
      </c>
    </row>
    <row r="1906" customFormat="false" ht="15" hidden="false" customHeight="false" outlineLevel="0" collapsed="false">
      <c r="A1906" s="31"/>
      <c r="B1906" s="32"/>
      <c r="C1906" s="32"/>
      <c r="D1906" s="32"/>
      <c r="E1906" s="32"/>
      <c r="F1906" s="32"/>
      <c r="G1906" s="33"/>
      <c r="H1906" s="33"/>
      <c r="I1906" s="34" t="str">
        <f aca="false">IF($A1906="","",$G1906-$H1906)</f>
        <v/>
      </c>
      <c r="J1906" s="35" t="str">
        <f aca="false">IF($A1906="","",IF(Setup!$B$6=1,YEAR($A1906),YEAR($A1906)+IF(MONTH($A1906)&gt;=Setup!$B$6,1,0)))</f>
        <v/>
      </c>
      <c r="K1906" s="35" t="str">
        <f aca="false">IF($A1906="","",MOD(MONTH($A1906)-Setup!$B$6+12,12)+1)</f>
        <v/>
      </c>
      <c r="L1906" s="36" t="str">
        <f aca="false">IF($A1906="","",TEXT($A1906,"MMM-YY"))</f>
        <v/>
      </c>
      <c r="M1906" s="37" t="str">
        <f aca="false">IF($A1906="","",IF($Q1906=0,"UNMAPPED",INDEX(COA_Mapping!$C$7:$C$256,$Q1906)))</f>
        <v/>
      </c>
      <c r="N1906" s="38" t="str">
        <f aca="false">IF($A1906="","",IF($Q1906=0,"",INDEX(COA_Mapping!$E$7:$E$256,$Q1906)))</f>
        <v/>
      </c>
      <c r="O1906" s="38" t="n">
        <f aca="false">IF($A1906="",1,IF($Q1906=0,1,INDEX(COA_Mapping!$F$7:$F$256,$Q1906)))</f>
        <v>1</v>
      </c>
      <c r="P1906" s="34" t="str">
        <f aca="false">IF($A1906="","",$I1906*$O1906)</f>
        <v/>
      </c>
      <c r="Q1906" s="39" t="n">
        <f aca="false">IF($B1906="",0,IFERROR(MATCH($B1906,COA_Mapping!$A$7:$A$256,0),0))</f>
        <v>0</v>
      </c>
      <c r="R1906" s="39" t="n">
        <f aca="false">IF($A1906="",-1,IF($J1906=Setup!$B$7,1,IF($J1906=Setup!$B$9,0,-1)))</f>
        <v>-1</v>
      </c>
      <c r="S1906" s="35" t="n">
        <f aca="false">IF(OR($A1906="",$Q1906=0,$R1906=-1),0,$Q1906*1000+$R1906*100+$K1906)</f>
        <v>0</v>
      </c>
      <c r="T1906" s="37" t="str">
        <f aca="false">IF($A1906="","",IF($B1906="","NO ACCOUNT",IF($Q1906=0,"UNMAPPED",IF($R1906=-1,"OUTSIDE FY RANGE","OK"))))</f>
        <v/>
      </c>
      <c r="U1906" s="40" t="str">
        <f aca="false">IF($A1906="","",$B1906&amp;"|"&amp;TEXT($A1906,"yyyymmdd")&amp;"|"&amp;TEXT($I1906,"0.00"))</f>
        <v/>
      </c>
      <c r="V1906" s="35" t="str">
        <f aca="false">IF($A1906="","",COUNTIF($U$8:$U$5007,$U1906))</f>
        <v/>
      </c>
    </row>
    <row r="1907" customFormat="false" ht="15" hidden="false" customHeight="false" outlineLevel="0" collapsed="false">
      <c r="A1907" s="31"/>
      <c r="B1907" s="32"/>
      <c r="C1907" s="32"/>
      <c r="D1907" s="32"/>
      <c r="E1907" s="32"/>
      <c r="F1907" s="32"/>
      <c r="G1907" s="33"/>
      <c r="H1907" s="33"/>
      <c r="I1907" s="34" t="str">
        <f aca="false">IF($A1907="","",$G1907-$H1907)</f>
        <v/>
      </c>
      <c r="J1907" s="35" t="str">
        <f aca="false">IF($A1907="","",IF(Setup!$B$6=1,YEAR($A1907),YEAR($A1907)+IF(MONTH($A1907)&gt;=Setup!$B$6,1,0)))</f>
        <v/>
      </c>
      <c r="K1907" s="35" t="str">
        <f aca="false">IF($A1907="","",MOD(MONTH($A1907)-Setup!$B$6+12,12)+1)</f>
        <v/>
      </c>
      <c r="L1907" s="36" t="str">
        <f aca="false">IF($A1907="","",TEXT($A1907,"MMM-YY"))</f>
        <v/>
      </c>
      <c r="M1907" s="37" t="str">
        <f aca="false">IF($A1907="","",IF($Q1907=0,"UNMAPPED",INDEX(COA_Mapping!$C$7:$C$256,$Q1907)))</f>
        <v/>
      </c>
      <c r="N1907" s="38" t="str">
        <f aca="false">IF($A1907="","",IF($Q1907=0,"",INDEX(COA_Mapping!$E$7:$E$256,$Q1907)))</f>
        <v/>
      </c>
      <c r="O1907" s="38" t="n">
        <f aca="false">IF($A1907="",1,IF($Q1907=0,1,INDEX(COA_Mapping!$F$7:$F$256,$Q1907)))</f>
        <v>1</v>
      </c>
      <c r="P1907" s="34" t="str">
        <f aca="false">IF($A1907="","",$I1907*$O1907)</f>
        <v/>
      </c>
      <c r="Q1907" s="39" t="n">
        <f aca="false">IF($B1907="",0,IFERROR(MATCH($B1907,COA_Mapping!$A$7:$A$256,0),0))</f>
        <v>0</v>
      </c>
      <c r="R1907" s="39" t="n">
        <f aca="false">IF($A1907="",-1,IF($J1907=Setup!$B$7,1,IF($J1907=Setup!$B$9,0,-1)))</f>
        <v>-1</v>
      </c>
      <c r="S1907" s="35" t="n">
        <f aca="false">IF(OR($A1907="",$Q1907=0,$R1907=-1),0,$Q1907*1000+$R1907*100+$K1907)</f>
        <v>0</v>
      </c>
      <c r="T1907" s="37" t="str">
        <f aca="false">IF($A1907="","",IF($B1907="","NO ACCOUNT",IF($Q1907=0,"UNMAPPED",IF($R1907=-1,"OUTSIDE FY RANGE","OK"))))</f>
        <v/>
      </c>
      <c r="U1907" s="40" t="str">
        <f aca="false">IF($A1907="","",$B1907&amp;"|"&amp;TEXT($A1907,"yyyymmdd")&amp;"|"&amp;TEXT($I1907,"0.00"))</f>
        <v/>
      </c>
      <c r="V1907" s="35" t="str">
        <f aca="false">IF($A1907="","",COUNTIF($U$8:$U$5007,$U1907))</f>
        <v/>
      </c>
    </row>
    <row r="1908" customFormat="false" ht="15" hidden="false" customHeight="false" outlineLevel="0" collapsed="false">
      <c r="A1908" s="31"/>
      <c r="B1908" s="32"/>
      <c r="C1908" s="32"/>
      <c r="D1908" s="32"/>
      <c r="E1908" s="32"/>
      <c r="F1908" s="32"/>
      <c r="G1908" s="33"/>
      <c r="H1908" s="33"/>
      <c r="I1908" s="34" t="str">
        <f aca="false">IF($A1908="","",$G1908-$H1908)</f>
        <v/>
      </c>
      <c r="J1908" s="35" t="str">
        <f aca="false">IF($A1908="","",IF(Setup!$B$6=1,YEAR($A1908),YEAR($A1908)+IF(MONTH($A1908)&gt;=Setup!$B$6,1,0)))</f>
        <v/>
      </c>
      <c r="K1908" s="35" t="str">
        <f aca="false">IF($A1908="","",MOD(MONTH($A1908)-Setup!$B$6+12,12)+1)</f>
        <v/>
      </c>
      <c r="L1908" s="36" t="str">
        <f aca="false">IF($A1908="","",TEXT($A1908,"MMM-YY"))</f>
        <v/>
      </c>
      <c r="M1908" s="37" t="str">
        <f aca="false">IF($A1908="","",IF($Q1908=0,"UNMAPPED",INDEX(COA_Mapping!$C$7:$C$256,$Q1908)))</f>
        <v/>
      </c>
      <c r="N1908" s="38" t="str">
        <f aca="false">IF($A1908="","",IF($Q1908=0,"",INDEX(COA_Mapping!$E$7:$E$256,$Q1908)))</f>
        <v/>
      </c>
      <c r="O1908" s="38" t="n">
        <f aca="false">IF($A1908="",1,IF($Q1908=0,1,INDEX(COA_Mapping!$F$7:$F$256,$Q1908)))</f>
        <v>1</v>
      </c>
      <c r="P1908" s="34" t="str">
        <f aca="false">IF($A1908="","",$I1908*$O1908)</f>
        <v/>
      </c>
      <c r="Q1908" s="39" t="n">
        <f aca="false">IF($B1908="",0,IFERROR(MATCH($B1908,COA_Mapping!$A$7:$A$256,0),0))</f>
        <v>0</v>
      </c>
      <c r="R1908" s="39" t="n">
        <f aca="false">IF($A1908="",-1,IF($J1908=Setup!$B$7,1,IF($J1908=Setup!$B$9,0,-1)))</f>
        <v>-1</v>
      </c>
      <c r="S1908" s="35" t="n">
        <f aca="false">IF(OR($A1908="",$Q1908=0,$R1908=-1),0,$Q1908*1000+$R1908*100+$K1908)</f>
        <v>0</v>
      </c>
      <c r="T1908" s="37" t="str">
        <f aca="false">IF($A1908="","",IF($B1908="","NO ACCOUNT",IF($Q1908=0,"UNMAPPED",IF($R1908=-1,"OUTSIDE FY RANGE","OK"))))</f>
        <v/>
      </c>
      <c r="U1908" s="40" t="str">
        <f aca="false">IF($A1908="","",$B1908&amp;"|"&amp;TEXT($A1908,"yyyymmdd")&amp;"|"&amp;TEXT($I1908,"0.00"))</f>
        <v/>
      </c>
      <c r="V1908" s="35" t="str">
        <f aca="false">IF($A1908="","",COUNTIF($U$8:$U$5007,$U1908))</f>
        <v/>
      </c>
    </row>
    <row r="1909" customFormat="false" ht="15" hidden="false" customHeight="false" outlineLevel="0" collapsed="false">
      <c r="A1909" s="31"/>
      <c r="B1909" s="32"/>
      <c r="C1909" s="32"/>
      <c r="D1909" s="32"/>
      <c r="E1909" s="32"/>
      <c r="F1909" s="32"/>
      <c r="G1909" s="33"/>
      <c r="H1909" s="33"/>
      <c r="I1909" s="34" t="str">
        <f aca="false">IF($A1909="","",$G1909-$H1909)</f>
        <v/>
      </c>
      <c r="J1909" s="35" t="str">
        <f aca="false">IF($A1909="","",IF(Setup!$B$6=1,YEAR($A1909),YEAR($A1909)+IF(MONTH($A1909)&gt;=Setup!$B$6,1,0)))</f>
        <v/>
      </c>
      <c r="K1909" s="35" t="str">
        <f aca="false">IF($A1909="","",MOD(MONTH($A1909)-Setup!$B$6+12,12)+1)</f>
        <v/>
      </c>
      <c r="L1909" s="36" t="str">
        <f aca="false">IF($A1909="","",TEXT($A1909,"MMM-YY"))</f>
        <v/>
      </c>
      <c r="M1909" s="37" t="str">
        <f aca="false">IF($A1909="","",IF($Q1909=0,"UNMAPPED",INDEX(COA_Mapping!$C$7:$C$256,$Q1909)))</f>
        <v/>
      </c>
      <c r="N1909" s="38" t="str">
        <f aca="false">IF($A1909="","",IF($Q1909=0,"",INDEX(COA_Mapping!$E$7:$E$256,$Q1909)))</f>
        <v/>
      </c>
      <c r="O1909" s="38" t="n">
        <f aca="false">IF($A1909="",1,IF($Q1909=0,1,INDEX(COA_Mapping!$F$7:$F$256,$Q1909)))</f>
        <v>1</v>
      </c>
      <c r="P1909" s="34" t="str">
        <f aca="false">IF($A1909="","",$I1909*$O1909)</f>
        <v/>
      </c>
      <c r="Q1909" s="39" t="n">
        <f aca="false">IF($B1909="",0,IFERROR(MATCH($B1909,COA_Mapping!$A$7:$A$256,0),0))</f>
        <v>0</v>
      </c>
      <c r="R1909" s="39" t="n">
        <f aca="false">IF($A1909="",-1,IF($J1909=Setup!$B$7,1,IF($J1909=Setup!$B$9,0,-1)))</f>
        <v>-1</v>
      </c>
      <c r="S1909" s="35" t="n">
        <f aca="false">IF(OR($A1909="",$Q1909=0,$R1909=-1),0,$Q1909*1000+$R1909*100+$K1909)</f>
        <v>0</v>
      </c>
      <c r="T1909" s="37" t="str">
        <f aca="false">IF($A1909="","",IF($B1909="","NO ACCOUNT",IF($Q1909=0,"UNMAPPED",IF($R1909=-1,"OUTSIDE FY RANGE","OK"))))</f>
        <v/>
      </c>
      <c r="U1909" s="40" t="str">
        <f aca="false">IF($A1909="","",$B1909&amp;"|"&amp;TEXT($A1909,"yyyymmdd")&amp;"|"&amp;TEXT($I1909,"0.00"))</f>
        <v/>
      </c>
      <c r="V1909" s="35" t="str">
        <f aca="false">IF($A1909="","",COUNTIF($U$8:$U$5007,$U1909))</f>
        <v/>
      </c>
    </row>
    <row r="1910" customFormat="false" ht="15" hidden="false" customHeight="false" outlineLevel="0" collapsed="false">
      <c r="A1910" s="31"/>
      <c r="B1910" s="32"/>
      <c r="C1910" s="32"/>
      <c r="D1910" s="32"/>
      <c r="E1910" s="32"/>
      <c r="F1910" s="32"/>
      <c r="G1910" s="33"/>
      <c r="H1910" s="33"/>
      <c r="I1910" s="34" t="str">
        <f aca="false">IF($A1910="","",$G1910-$H1910)</f>
        <v/>
      </c>
      <c r="J1910" s="35" t="str">
        <f aca="false">IF($A1910="","",IF(Setup!$B$6=1,YEAR($A1910),YEAR($A1910)+IF(MONTH($A1910)&gt;=Setup!$B$6,1,0)))</f>
        <v/>
      </c>
      <c r="K1910" s="35" t="str">
        <f aca="false">IF($A1910="","",MOD(MONTH($A1910)-Setup!$B$6+12,12)+1)</f>
        <v/>
      </c>
      <c r="L1910" s="36" t="str">
        <f aca="false">IF($A1910="","",TEXT($A1910,"MMM-YY"))</f>
        <v/>
      </c>
      <c r="M1910" s="37" t="str">
        <f aca="false">IF($A1910="","",IF($Q1910=0,"UNMAPPED",INDEX(COA_Mapping!$C$7:$C$256,$Q1910)))</f>
        <v/>
      </c>
      <c r="N1910" s="38" t="str">
        <f aca="false">IF($A1910="","",IF($Q1910=0,"",INDEX(COA_Mapping!$E$7:$E$256,$Q1910)))</f>
        <v/>
      </c>
      <c r="O1910" s="38" t="n">
        <f aca="false">IF($A1910="",1,IF($Q1910=0,1,INDEX(COA_Mapping!$F$7:$F$256,$Q1910)))</f>
        <v>1</v>
      </c>
      <c r="P1910" s="34" t="str">
        <f aca="false">IF($A1910="","",$I1910*$O1910)</f>
        <v/>
      </c>
      <c r="Q1910" s="39" t="n">
        <f aca="false">IF($B1910="",0,IFERROR(MATCH($B1910,COA_Mapping!$A$7:$A$256,0),0))</f>
        <v>0</v>
      </c>
      <c r="R1910" s="39" t="n">
        <f aca="false">IF($A1910="",-1,IF($J1910=Setup!$B$7,1,IF($J1910=Setup!$B$9,0,-1)))</f>
        <v>-1</v>
      </c>
      <c r="S1910" s="35" t="n">
        <f aca="false">IF(OR($A1910="",$Q1910=0,$R1910=-1),0,$Q1910*1000+$R1910*100+$K1910)</f>
        <v>0</v>
      </c>
      <c r="T1910" s="37" t="str">
        <f aca="false">IF($A1910="","",IF($B1910="","NO ACCOUNT",IF($Q1910=0,"UNMAPPED",IF($R1910=-1,"OUTSIDE FY RANGE","OK"))))</f>
        <v/>
      </c>
      <c r="U1910" s="40" t="str">
        <f aca="false">IF($A1910="","",$B1910&amp;"|"&amp;TEXT($A1910,"yyyymmdd")&amp;"|"&amp;TEXT($I1910,"0.00"))</f>
        <v/>
      </c>
      <c r="V1910" s="35" t="str">
        <f aca="false">IF($A1910="","",COUNTIF($U$8:$U$5007,$U1910))</f>
        <v/>
      </c>
    </row>
    <row r="1911" customFormat="false" ht="15" hidden="false" customHeight="false" outlineLevel="0" collapsed="false">
      <c r="A1911" s="31"/>
      <c r="B1911" s="32"/>
      <c r="C1911" s="32"/>
      <c r="D1911" s="32"/>
      <c r="E1911" s="32"/>
      <c r="F1911" s="32"/>
      <c r="G1911" s="33"/>
      <c r="H1911" s="33"/>
      <c r="I1911" s="34" t="str">
        <f aca="false">IF($A1911="","",$G1911-$H1911)</f>
        <v/>
      </c>
      <c r="J1911" s="35" t="str">
        <f aca="false">IF($A1911="","",IF(Setup!$B$6=1,YEAR($A1911),YEAR($A1911)+IF(MONTH($A1911)&gt;=Setup!$B$6,1,0)))</f>
        <v/>
      </c>
      <c r="K1911" s="35" t="str">
        <f aca="false">IF($A1911="","",MOD(MONTH($A1911)-Setup!$B$6+12,12)+1)</f>
        <v/>
      </c>
      <c r="L1911" s="36" t="str">
        <f aca="false">IF($A1911="","",TEXT($A1911,"MMM-YY"))</f>
        <v/>
      </c>
      <c r="M1911" s="37" t="str">
        <f aca="false">IF($A1911="","",IF($Q1911=0,"UNMAPPED",INDEX(COA_Mapping!$C$7:$C$256,$Q1911)))</f>
        <v/>
      </c>
      <c r="N1911" s="38" t="str">
        <f aca="false">IF($A1911="","",IF($Q1911=0,"",INDEX(COA_Mapping!$E$7:$E$256,$Q1911)))</f>
        <v/>
      </c>
      <c r="O1911" s="38" t="n">
        <f aca="false">IF($A1911="",1,IF($Q1911=0,1,INDEX(COA_Mapping!$F$7:$F$256,$Q1911)))</f>
        <v>1</v>
      </c>
      <c r="P1911" s="34" t="str">
        <f aca="false">IF($A1911="","",$I1911*$O1911)</f>
        <v/>
      </c>
      <c r="Q1911" s="39" t="n">
        <f aca="false">IF($B1911="",0,IFERROR(MATCH($B1911,COA_Mapping!$A$7:$A$256,0),0))</f>
        <v>0</v>
      </c>
      <c r="R1911" s="39" t="n">
        <f aca="false">IF($A1911="",-1,IF($J1911=Setup!$B$7,1,IF($J1911=Setup!$B$9,0,-1)))</f>
        <v>-1</v>
      </c>
      <c r="S1911" s="35" t="n">
        <f aca="false">IF(OR($A1911="",$Q1911=0,$R1911=-1),0,$Q1911*1000+$R1911*100+$K1911)</f>
        <v>0</v>
      </c>
      <c r="T1911" s="37" t="str">
        <f aca="false">IF($A1911="","",IF($B1911="","NO ACCOUNT",IF($Q1911=0,"UNMAPPED",IF($R1911=-1,"OUTSIDE FY RANGE","OK"))))</f>
        <v/>
      </c>
      <c r="U1911" s="40" t="str">
        <f aca="false">IF($A1911="","",$B1911&amp;"|"&amp;TEXT($A1911,"yyyymmdd")&amp;"|"&amp;TEXT($I1911,"0.00"))</f>
        <v/>
      </c>
      <c r="V1911" s="35" t="str">
        <f aca="false">IF($A1911="","",COUNTIF($U$8:$U$5007,$U1911))</f>
        <v/>
      </c>
    </row>
    <row r="1912" customFormat="false" ht="15" hidden="false" customHeight="false" outlineLevel="0" collapsed="false">
      <c r="A1912" s="31"/>
      <c r="B1912" s="32"/>
      <c r="C1912" s="32"/>
      <c r="D1912" s="32"/>
      <c r="E1912" s="32"/>
      <c r="F1912" s="32"/>
      <c r="G1912" s="33"/>
      <c r="H1912" s="33"/>
      <c r="I1912" s="34" t="str">
        <f aca="false">IF($A1912="","",$G1912-$H1912)</f>
        <v/>
      </c>
      <c r="J1912" s="35" t="str">
        <f aca="false">IF($A1912="","",IF(Setup!$B$6=1,YEAR($A1912),YEAR($A1912)+IF(MONTH($A1912)&gt;=Setup!$B$6,1,0)))</f>
        <v/>
      </c>
      <c r="K1912" s="35" t="str">
        <f aca="false">IF($A1912="","",MOD(MONTH($A1912)-Setup!$B$6+12,12)+1)</f>
        <v/>
      </c>
      <c r="L1912" s="36" t="str">
        <f aca="false">IF($A1912="","",TEXT($A1912,"MMM-YY"))</f>
        <v/>
      </c>
      <c r="M1912" s="37" t="str">
        <f aca="false">IF($A1912="","",IF($Q1912=0,"UNMAPPED",INDEX(COA_Mapping!$C$7:$C$256,$Q1912)))</f>
        <v/>
      </c>
      <c r="N1912" s="38" t="str">
        <f aca="false">IF($A1912="","",IF($Q1912=0,"",INDEX(COA_Mapping!$E$7:$E$256,$Q1912)))</f>
        <v/>
      </c>
      <c r="O1912" s="38" t="n">
        <f aca="false">IF($A1912="",1,IF($Q1912=0,1,INDEX(COA_Mapping!$F$7:$F$256,$Q1912)))</f>
        <v>1</v>
      </c>
      <c r="P1912" s="34" t="str">
        <f aca="false">IF($A1912="","",$I1912*$O1912)</f>
        <v/>
      </c>
      <c r="Q1912" s="39" t="n">
        <f aca="false">IF($B1912="",0,IFERROR(MATCH($B1912,COA_Mapping!$A$7:$A$256,0),0))</f>
        <v>0</v>
      </c>
      <c r="R1912" s="39" t="n">
        <f aca="false">IF($A1912="",-1,IF($J1912=Setup!$B$7,1,IF($J1912=Setup!$B$9,0,-1)))</f>
        <v>-1</v>
      </c>
      <c r="S1912" s="35" t="n">
        <f aca="false">IF(OR($A1912="",$Q1912=0,$R1912=-1),0,$Q1912*1000+$R1912*100+$K1912)</f>
        <v>0</v>
      </c>
      <c r="T1912" s="37" t="str">
        <f aca="false">IF($A1912="","",IF($B1912="","NO ACCOUNT",IF($Q1912=0,"UNMAPPED",IF($R1912=-1,"OUTSIDE FY RANGE","OK"))))</f>
        <v/>
      </c>
      <c r="U1912" s="40" t="str">
        <f aca="false">IF($A1912="","",$B1912&amp;"|"&amp;TEXT($A1912,"yyyymmdd")&amp;"|"&amp;TEXT($I1912,"0.00"))</f>
        <v/>
      </c>
      <c r="V1912" s="35" t="str">
        <f aca="false">IF($A1912="","",COUNTIF($U$8:$U$5007,$U1912))</f>
        <v/>
      </c>
    </row>
    <row r="1913" customFormat="false" ht="15" hidden="false" customHeight="false" outlineLevel="0" collapsed="false">
      <c r="A1913" s="31"/>
      <c r="B1913" s="32"/>
      <c r="C1913" s="32"/>
      <c r="D1913" s="32"/>
      <c r="E1913" s="32"/>
      <c r="F1913" s="32"/>
      <c r="G1913" s="33"/>
      <c r="H1913" s="33"/>
      <c r="I1913" s="34" t="str">
        <f aca="false">IF($A1913="","",$G1913-$H1913)</f>
        <v/>
      </c>
      <c r="J1913" s="35" t="str">
        <f aca="false">IF($A1913="","",IF(Setup!$B$6=1,YEAR($A1913),YEAR($A1913)+IF(MONTH($A1913)&gt;=Setup!$B$6,1,0)))</f>
        <v/>
      </c>
      <c r="K1913" s="35" t="str">
        <f aca="false">IF($A1913="","",MOD(MONTH($A1913)-Setup!$B$6+12,12)+1)</f>
        <v/>
      </c>
      <c r="L1913" s="36" t="str">
        <f aca="false">IF($A1913="","",TEXT($A1913,"MMM-YY"))</f>
        <v/>
      </c>
      <c r="M1913" s="37" t="str">
        <f aca="false">IF($A1913="","",IF($Q1913=0,"UNMAPPED",INDEX(COA_Mapping!$C$7:$C$256,$Q1913)))</f>
        <v/>
      </c>
      <c r="N1913" s="38" t="str">
        <f aca="false">IF($A1913="","",IF($Q1913=0,"",INDEX(COA_Mapping!$E$7:$E$256,$Q1913)))</f>
        <v/>
      </c>
      <c r="O1913" s="38" t="n">
        <f aca="false">IF($A1913="",1,IF($Q1913=0,1,INDEX(COA_Mapping!$F$7:$F$256,$Q1913)))</f>
        <v>1</v>
      </c>
      <c r="P1913" s="34" t="str">
        <f aca="false">IF($A1913="","",$I1913*$O1913)</f>
        <v/>
      </c>
      <c r="Q1913" s="39" t="n">
        <f aca="false">IF($B1913="",0,IFERROR(MATCH($B1913,COA_Mapping!$A$7:$A$256,0),0))</f>
        <v>0</v>
      </c>
      <c r="R1913" s="39" t="n">
        <f aca="false">IF($A1913="",-1,IF($J1913=Setup!$B$7,1,IF($J1913=Setup!$B$9,0,-1)))</f>
        <v>-1</v>
      </c>
      <c r="S1913" s="35" t="n">
        <f aca="false">IF(OR($A1913="",$Q1913=0,$R1913=-1),0,$Q1913*1000+$R1913*100+$K1913)</f>
        <v>0</v>
      </c>
      <c r="T1913" s="37" t="str">
        <f aca="false">IF($A1913="","",IF($B1913="","NO ACCOUNT",IF($Q1913=0,"UNMAPPED",IF($R1913=-1,"OUTSIDE FY RANGE","OK"))))</f>
        <v/>
      </c>
      <c r="U1913" s="40" t="str">
        <f aca="false">IF($A1913="","",$B1913&amp;"|"&amp;TEXT($A1913,"yyyymmdd")&amp;"|"&amp;TEXT($I1913,"0.00"))</f>
        <v/>
      </c>
      <c r="V1913" s="35" t="str">
        <f aca="false">IF($A1913="","",COUNTIF($U$8:$U$5007,$U1913))</f>
        <v/>
      </c>
    </row>
    <row r="1914" customFormat="false" ht="15" hidden="false" customHeight="false" outlineLevel="0" collapsed="false">
      <c r="A1914" s="31"/>
      <c r="B1914" s="32"/>
      <c r="C1914" s="32"/>
      <c r="D1914" s="32"/>
      <c r="E1914" s="32"/>
      <c r="F1914" s="32"/>
      <c r="G1914" s="33"/>
      <c r="H1914" s="33"/>
      <c r="I1914" s="34" t="str">
        <f aca="false">IF($A1914="","",$G1914-$H1914)</f>
        <v/>
      </c>
      <c r="J1914" s="35" t="str">
        <f aca="false">IF($A1914="","",IF(Setup!$B$6=1,YEAR($A1914),YEAR($A1914)+IF(MONTH($A1914)&gt;=Setup!$B$6,1,0)))</f>
        <v/>
      </c>
      <c r="K1914" s="35" t="str">
        <f aca="false">IF($A1914="","",MOD(MONTH($A1914)-Setup!$B$6+12,12)+1)</f>
        <v/>
      </c>
      <c r="L1914" s="36" t="str">
        <f aca="false">IF($A1914="","",TEXT($A1914,"MMM-YY"))</f>
        <v/>
      </c>
      <c r="M1914" s="37" t="str">
        <f aca="false">IF($A1914="","",IF($Q1914=0,"UNMAPPED",INDEX(COA_Mapping!$C$7:$C$256,$Q1914)))</f>
        <v/>
      </c>
      <c r="N1914" s="38" t="str">
        <f aca="false">IF($A1914="","",IF($Q1914=0,"",INDEX(COA_Mapping!$E$7:$E$256,$Q1914)))</f>
        <v/>
      </c>
      <c r="O1914" s="38" t="n">
        <f aca="false">IF($A1914="",1,IF($Q1914=0,1,INDEX(COA_Mapping!$F$7:$F$256,$Q1914)))</f>
        <v>1</v>
      </c>
      <c r="P1914" s="34" t="str">
        <f aca="false">IF($A1914="","",$I1914*$O1914)</f>
        <v/>
      </c>
      <c r="Q1914" s="39" t="n">
        <f aca="false">IF($B1914="",0,IFERROR(MATCH($B1914,COA_Mapping!$A$7:$A$256,0),0))</f>
        <v>0</v>
      </c>
      <c r="R1914" s="39" t="n">
        <f aca="false">IF($A1914="",-1,IF($J1914=Setup!$B$7,1,IF($J1914=Setup!$B$9,0,-1)))</f>
        <v>-1</v>
      </c>
      <c r="S1914" s="35" t="n">
        <f aca="false">IF(OR($A1914="",$Q1914=0,$R1914=-1),0,$Q1914*1000+$R1914*100+$K1914)</f>
        <v>0</v>
      </c>
      <c r="T1914" s="37" t="str">
        <f aca="false">IF($A1914="","",IF($B1914="","NO ACCOUNT",IF($Q1914=0,"UNMAPPED",IF($R1914=-1,"OUTSIDE FY RANGE","OK"))))</f>
        <v/>
      </c>
      <c r="U1914" s="40" t="str">
        <f aca="false">IF($A1914="","",$B1914&amp;"|"&amp;TEXT($A1914,"yyyymmdd")&amp;"|"&amp;TEXT($I1914,"0.00"))</f>
        <v/>
      </c>
      <c r="V1914" s="35" t="str">
        <f aca="false">IF($A1914="","",COUNTIF($U$8:$U$5007,$U1914))</f>
        <v/>
      </c>
    </row>
    <row r="1915" customFormat="false" ht="15" hidden="false" customHeight="false" outlineLevel="0" collapsed="false">
      <c r="A1915" s="31"/>
      <c r="B1915" s="32"/>
      <c r="C1915" s="32"/>
      <c r="D1915" s="32"/>
      <c r="E1915" s="32"/>
      <c r="F1915" s="32"/>
      <c r="G1915" s="33"/>
      <c r="H1915" s="33"/>
      <c r="I1915" s="34" t="str">
        <f aca="false">IF($A1915="","",$G1915-$H1915)</f>
        <v/>
      </c>
      <c r="J1915" s="35" t="str">
        <f aca="false">IF($A1915="","",IF(Setup!$B$6=1,YEAR($A1915),YEAR($A1915)+IF(MONTH($A1915)&gt;=Setup!$B$6,1,0)))</f>
        <v/>
      </c>
      <c r="K1915" s="35" t="str">
        <f aca="false">IF($A1915="","",MOD(MONTH($A1915)-Setup!$B$6+12,12)+1)</f>
        <v/>
      </c>
      <c r="L1915" s="36" t="str">
        <f aca="false">IF($A1915="","",TEXT($A1915,"MMM-YY"))</f>
        <v/>
      </c>
      <c r="M1915" s="37" t="str">
        <f aca="false">IF($A1915="","",IF($Q1915=0,"UNMAPPED",INDEX(COA_Mapping!$C$7:$C$256,$Q1915)))</f>
        <v/>
      </c>
      <c r="N1915" s="38" t="str">
        <f aca="false">IF($A1915="","",IF($Q1915=0,"",INDEX(COA_Mapping!$E$7:$E$256,$Q1915)))</f>
        <v/>
      </c>
      <c r="O1915" s="38" t="n">
        <f aca="false">IF($A1915="",1,IF($Q1915=0,1,INDEX(COA_Mapping!$F$7:$F$256,$Q1915)))</f>
        <v>1</v>
      </c>
      <c r="P1915" s="34" t="str">
        <f aca="false">IF($A1915="","",$I1915*$O1915)</f>
        <v/>
      </c>
      <c r="Q1915" s="39" t="n">
        <f aca="false">IF($B1915="",0,IFERROR(MATCH($B1915,COA_Mapping!$A$7:$A$256,0),0))</f>
        <v>0</v>
      </c>
      <c r="R1915" s="39" t="n">
        <f aca="false">IF($A1915="",-1,IF($J1915=Setup!$B$7,1,IF($J1915=Setup!$B$9,0,-1)))</f>
        <v>-1</v>
      </c>
      <c r="S1915" s="35" t="n">
        <f aca="false">IF(OR($A1915="",$Q1915=0,$R1915=-1),0,$Q1915*1000+$R1915*100+$K1915)</f>
        <v>0</v>
      </c>
      <c r="T1915" s="37" t="str">
        <f aca="false">IF($A1915="","",IF($B1915="","NO ACCOUNT",IF($Q1915=0,"UNMAPPED",IF($R1915=-1,"OUTSIDE FY RANGE","OK"))))</f>
        <v/>
      </c>
      <c r="U1915" s="40" t="str">
        <f aca="false">IF($A1915="","",$B1915&amp;"|"&amp;TEXT($A1915,"yyyymmdd")&amp;"|"&amp;TEXT($I1915,"0.00"))</f>
        <v/>
      </c>
      <c r="V1915" s="35" t="str">
        <f aca="false">IF($A1915="","",COUNTIF($U$8:$U$5007,$U1915))</f>
        <v/>
      </c>
    </row>
    <row r="1916" customFormat="false" ht="15" hidden="false" customHeight="false" outlineLevel="0" collapsed="false">
      <c r="A1916" s="31"/>
      <c r="B1916" s="32"/>
      <c r="C1916" s="32"/>
      <c r="D1916" s="32"/>
      <c r="E1916" s="32"/>
      <c r="F1916" s="32"/>
      <c r="G1916" s="33"/>
      <c r="H1916" s="33"/>
      <c r="I1916" s="34" t="str">
        <f aca="false">IF($A1916="","",$G1916-$H1916)</f>
        <v/>
      </c>
      <c r="J1916" s="35" t="str">
        <f aca="false">IF($A1916="","",IF(Setup!$B$6=1,YEAR($A1916),YEAR($A1916)+IF(MONTH($A1916)&gt;=Setup!$B$6,1,0)))</f>
        <v/>
      </c>
      <c r="K1916" s="35" t="str">
        <f aca="false">IF($A1916="","",MOD(MONTH($A1916)-Setup!$B$6+12,12)+1)</f>
        <v/>
      </c>
      <c r="L1916" s="36" t="str">
        <f aca="false">IF($A1916="","",TEXT($A1916,"MMM-YY"))</f>
        <v/>
      </c>
      <c r="M1916" s="37" t="str">
        <f aca="false">IF($A1916="","",IF($Q1916=0,"UNMAPPED",INDEX(COA_Mapping!$C$7:$C$256,$Q1916)))</f>
        <v/>
      </c>
      <c r="N1916" s="38" t="str">
        <f aca="false">IF($A1916="","",IF($Q1916=0,"",INDEX(COA_Mapping!$E$7:$E$256,$Q1916)))</f>
        <v/>
      </c>
      <c r="O1916" s="38" t="n">
        <f aca="false">IF($A1916="",1,IF($Q1916=0,1,INDEX(COA_Mapping!$F$7:$F$256,$Q1916)))</f>
        <v>1</v>
      </c>
      <c r="P1916" s="34" t="str">
        <f aca="false">IF($A1916="","",$I1916*$O1916)</f>
        <v/>
      </c>
      <c r="Q1916" s="39" t="n">
        <f aca="false">IF($B1916="",0,IFERROR(MATCH($B1916,COA_Mapping!$A$7:$A$256,0),0))</f>
        <v>0</v>
      </c>
      <c r="R1916" s="39" t="n">
        <f aca="false">IF($A1916="",-1,IF($J1916=Setup!$B$7,1,IF($J1916=Setup!$B$9,0,-1)))</f>
        <v>-1</v>
      </c>
      <c r="S1916" s="35" t="n">
        <f aca="false">IF(OR($A1916="",$Q1916=0,$R1916=-1),0,$Q1916*1000+$R1916*100+$K1916)</f>
        <v>0</v>
      </c>
      <c r="T1916" s="37" t="str">
        <f aca="false">IF($A1916="","",IF($B1916="","NO ACCOUNT",IF($Q1916=0,"UNMAPPED",IF($R1916=-1,"OUTSIDE FY RANGE","OK"))))</f>
        <v/>
      </c>
      <c r="U1916" s="40" t="str">
        <f aca="false">IF($A1916="","",$B1916&amp;"|"&amp;TEXT($A1916,"yyyymmdd")&amp;"|"&amp;TEXT($I1916,"0.00"))</f>
        <v/>
      </c>
      <c r="V1916" s="35" t="str">
        <f aca="false">IF($A1916="","",COUNTIF($U$8:$U$5007,$U1916))</f>
        <v/>
      </c>
    </row>
    <row r="1917" customFormat="false" ht="15" hidden="false" customHeight="false" outlineLevel="0" collapsed="false">
      <c r="A1917" s="31"/>
      <c r="B1917" s="32"/>
      <c r="C1917" s="32"/>
      <c r="D1917" s="32"/>
      <c r="E1917" s="32"/>
      <c r="F1917" s="32"/>
      <c r="G1917" s="33"/>
      <c r="H1917" s="33"/>
      <c r="I1917" s="34" t="str">
        <f aca="false">IF($A1917="","",$G1917-$H1917)</f>
        <v/>
      </c>
      <c r="J1917" s="35" t="str">
        <f aca="false">IF($A1917="","",IF(Setup!$B$6=1,YEAR($A1917),YEAR($A1917)+IF(MONTH($A1917)&gt;=Setup!$B$6,1,0)))</f>
        <v/>
      </c>
      <c r="K1917" s="35" t="str">
        <f aca="false">IF($A1917="","",MOD(MONTH($A1917)-Setup!$B$6+12,12)+1)</f>
        <v/>
      </c>
      <c r="L1917" s="36" t="str">
        <f aca="false">IF($A1917="","",TEXT($A1917,"MMM-YY"))</f>
        <v/>
      </c>
      <c r="M1917" s="37" t="str">
        <f aca="false">IF($A1917="","",IF($Q1917=0,"UNMAPPED",INDEX(COA_Mapping!$C$7:$C$256,$Q1917)))</f>
        <v/>
      </c>
      <c r="N1917" s="38" t="str">
        <f aca="false">IF($A1917="","",IF($Q1917=0,"",INDEX(COA_Mapping!$E$7:$E$256,$Q1917)))</f>
        <v/>
      </c>
      <c r="O1917" s="38" t="n">
        <f aca="false">IF($A1917="",1,IF($Q1917=0,1,INDEX(COA_Mapping!$F$7:$F$256,$Q1917)))</f>
        <v>1</v>
      </c>
      <c r="P1917" s="34" t="str">
        <f aca="false">IF($A1917="","",$I1917*$O1917)</f>
        <v/>
      </c>
      <c r="Q1917" s="39" t="n">
        <f aca="false">IF($B1917="",0,IFERROR(MATCH($B1917,COA_Mapping!$A$7:$A$256,0),0))</f>
        <v>0</v>
      </c>
      <c r="R1917" s="39" t="n">
        <f aca="false">IF($A1917="",-1,IF($J1917=Setup!$B$7,1,IF($J1917=Setup!$B$9,0,-1)))</f>
        <v>-1</v>
      </c>
      <c r="S1917" s="35" t="n">
        <f aca="false">IF(OR($A1917="",$Q1917=0,$R1917=-1),0,$Q1917*1000+$R1917*100+$K1917)</f>
        <v>0</v>
      </c>
      <c r="T1917" s="37" t="str">
        <f aca="false">IF($A1917="","",IF($B1917="","NO ACCOUNT",IF($Q1917=0,"UNMAPPED",IF($R1917=-1,"OUTSIDE FY RANGE","OK"))))</f>
        <v/>
      </c>
      <c r="U1917" s="40" t="str">
        <f aca="false">IF($A1917="","",$B1917&amp;"|"&amp;TEXT($A1917,"yyyymmdd")&amp;"|"&amp;TEXT($I1917,"0.00"))</f>
        <v/>
      </c>
      <c r="V1917" s="35" t="str">
        <f aca="false">IF($A1917="","",COUNTIF($U$8:$U$5007,$U1917))</f>
        <v/>
      </c>
    </row>
    <row r="1918" customFormat="false" ht="15" hidden="false" customHeight="false" outlineLevel="0" collapsed="false">
      <c r="A1918" s="31"/>
      <c r="B1918" s="32"/>
      <c r="C1918" s="32"/>
      <c r="D1918" s="32"/>
      <c r="E1918" s="32"/>
      <c r="F1918" s="32"/>
      <c r="G1918" s="33"/>
      <c r="H1918" s="33"/>
      <c r="I1918" s="34" t="str">
        <f aca="false">IF($A1918="","",$G1918-$H1918)</f>
        <v/>
      </c>
      <c r="J1918" s="35" t="str">
        <f aca="false">IF($A1918="","",IF(Setup!$B$6=1,YEAR($A1918),YEAR($A1918)+IF(MONTH($A1918)&gt;=Setup!$B$6,1,0)))</f>
        <v/>
      </c>
      <c r="K1918" s="35" t="str">
        <f aca="false">IF($A1918="","",MOD(MONTH($A1918)-Setup!$B$6+12,12)+1)</f>
        <v/>
      </c>
      <c r="L1918" s="36" t="str">
        <f aca="false">IF($A1918="","",TEXT($A1918,"MMM-YY"))</f>
        <v/>
      </c>
      <c r="M1918" s="37" t="str">
        <f aca="false">IF($A1918="","",IF($Q1918=0,"UNMAPPED",INDEX(COA_Mapping!$C$7:$C$256,$Q1918)))</f>
        <v/>
      </c>
      <c r="N1918" s="38" t="str">
        <f aca="false">IF($A1918="","",IF($Q1918=0,"",INDEX(COA_Mapping!$E$7:$E$256,$Q1918)))</f>
        <v/>
      </c>
      <c r="O1918" s="38" t="n">
        <f aca="false">IF($A1918="",1,IF($Q1918=0,1,INDEX(COA_Mapping!$F$7:$F$256,$Q1918)))</f>
        <v>1</v>
      </c>
      <c r="P1918" s="34" t="str">
        <f aca="false">IF($A1918="","",$I1918*$O1918)</f>
        <v/>
      </c>
      <c r="Q1918" s="39" t="n">
        <f aca="false">IF($B1918="",0,IFERROR(MATCH($B1918,COA_Mapping!$A$7:$A$256,0),0))</f>
        <v>0</v>
      </c>
      <c r="R1918" s="39" t="n">
        <f aca="false">IF($A1918="",-1,IF($J1918=Setup!$B$7,1,IF($J1918=Setup!$B$9,0,-1)))</f>
        <v>-1</v>
      </c>
      <c r="S1918" s="35" t="n">
        <f aca="false">IF(OR($A1918="",$Q1918=0,$R1918=-1),0,$Q1918*1000+$R1918*100+$K1918)</f>
        <v>0</v>
      </c>
      <c r="T1918" s="37" t="str">
        <f aca="false">IF($A1918="","",IF($B1918="","NO ACCOUNT",IF($Q1918=0,"UNMAPPED",IF($R1918=-1,"OUTSIDE FY RANGE","OK"))))</f>
        <v/>
      </c>
      <c r="U1918" s="40" t="str">
        <f aca="false">IF($A1918="","",$B1918&amp;"|"&amp;TEXT($A1918,"yyyymmdd")&amp;"|"&amp;TEXT($I1918,"0.00"))</f>
        <v/>
      </c>
      <c r="V1918" s="35" t="str">
        <f aca="false">IF($A1918="","",COUNTIF($U$8:$U$5007,$U1918))</f>
        <v/>
      </c>
    </row>
    <row r="1919" customFormat="false" ht="15" hidden="false" customHeight="false" outlineLevel="0" collapsed="false">
      <c r="A1919" s="31"/>
      <c r="B1919" s="32"/>
      <c r="C1919" s="32"/>
      <c r="D1919" s="32"/>
      <c r="E1919" s="32"/>
      <c r="F1919" s="32"/>
      <c r="G1919" s="33"/>
      <c r="H1919" s="33"/>
      <c r="I1919" s="34" t="str">
        <f aca="false">IF($A1919="","",$G1919-$H1919)</f>
        <v/>
      </c>
      <c r="J1919" s="35" t="str">
        <f aca="false">IF($A1919="","",IF(Setup!$B$6=1,YEAR($A1919),YEAR($A1919)+IF(MONTH($A1919)&gt;=Setup!$B$6,1,0)))</f>
        <v/>
      </c>
      <c r="K1919" s="35" t="str">
        <f aca="false">IF($A1919="","",MOD(MONTH($A1919)-Setup!$B$6+12,12)+1)</f>
        <v/>
      </c>
      <c r="L1919" s="36" t="str">
        <f aca="false">IF($A1919="","",TEXT($A1919,"MMM-YY"))</f>
        <v/>
      </c>
      <c r="M1919" s="37" t="str">
        <f aca="false">IF($A1919="","",IF($Q1919=0,"UNMAPPED",INDEX(COA_Mapping!$C$7:$C$256,$Q1919)))</f>
        <v/>
      </c>
      <c r="N1919" s="38" t="str">
        <f aca="false">IF($A1919="","",IF($Q1919=0,"",INDEX(COA_Mapping!$E$7:$E$256,$Q1919)))</f>
        <v/>
      </c>
      <c r="O1919" s="38" t="n">
        <f aca="false">IF($A1919="",1,IF($Q1919=0,1,INDEX(COA_Mapping!$F$7:$F$256,$Q1919)))</f>
        <v>1</v>
      </c>
      <c r="P1919" s="34" t="str">
        <f aca="false">IF($A1919="","",$I1919*$O1919)</f>
        <v/>
      </c>
      <c r="Q1919" s="39" t="n">
        <f aca="false">IF($B1919="",0,IFERROR(MATCH($B1919,COA_Mapping!$A$7:$A$256,0),0))</f>
        <v>0</v>
      </c>
      <c r="R1919" s="39" t="n">
        <f aca="false">IF($A1919="",-1,IF($J1919=Setup!$B$7,1,IF($J1919=Setup!$B$9,0,-1)))</f>
        <v>-1</v>
      </c>
      <c r="S1919" s="35" t="n">
        <f aca="false">IF(OR($A1919="",$Q1919=0,$R1919=-1),0,$Q1919*1000+$R1919*100+$K1919)</f>
        <v>0</v>
      </c>
      <c r="T1919" s="37" t="str">
        <f aca="false">IF($A1919="","",IF($B1919="","NO ACCOUNT",IF($Q1919=0,"UNMAPPED",IF($R1919=-1,"OUTSIDE FY RANGE","OK"))))</f>
        <v/>
      </c>
      <c r="U1919" s="40" t="str">
        <f aca="false">IF($A1919="","",$B1919&amp;"|"&amp;TEXT($A1919,"yyyymmdd")&amp;"|"&amp;TEXT($I1919,"0.00"))</f>
        <v/>
      </c>
      <c r="V1919" s="35" t="str">
        <f aca="false">IF($A1919="","",COUNTIF($U$8:$U$5007,$U1919))</f>
        <v/>
      </c>
    </row>
    <row r="1920" customFormat="false" ht="15" hidden="false" customHeight="false" outlineLevel="0" collapsed="false">
      <c r="A1920" s="31"/>
      <c r="B1920" s="32"/>
      <c r="C1920" s="32"/>
      <c r="D1920" s="32"/>
      <c r="E1920" s="32"/>
      <c r="F1920" s="32"/>
      <c r="G1920" s="33"/>
      <c r="H1920" s="33"/>
      <c r="I1920" s="34" t="str">
        <f aca="false">IF($A1920="","",$G1920-$H1920)</f>
        <v/>
      </c>
      <c r="J1920" s="35" t="str">
        <f aca="false">IF($A1920="","",IF(Setup!$B$6=1,YEAR($A1920),YEAR($A1920)+IF(MONTH($A1920)&gt;=Setup!$B$6,1,0)))</f>
        <v/>
      </c>
      <c r="K1920" s="35" t="str">
        <f aca="false">IF($A1920="","",MOD(MONTH($A1920)-Setup!$B$6+12,12)+1)</f>
        <v/>
      </c>
      <c r="L1920" s="36" t="str">
        <f aca="false">IF($A1920="","",TEXT($A1920,"MMM-YY"))</f>
        <v/>
      </c>
      <c r="M1920" s="37" t="str">
        <f aca="false">IF($A1920="","",IF($Q1920=0,"UNMAPPED",INDEX(COA_Mapping!$C$7:$C$256,$Q1920)))</f>
        <v/>
      </c>
      <c r="N1920" s="38" t="str">
        <f aca="false">IF($A1920="","",IF($Q1920=0,"",INDEX(COA_Mapping!$E$7:$E$256,$Q1920)))</f>
        <v/>
      </c>
      <c r="O1920" s="38" t="n">
        <f aca="false">IF($A1920="",1,IF($Q1920=0,1,INDEX(COA_Mapping!$F$7:$F$256,$Q1920)))</f>
        <v>1</v>
      </c>
      <c r="P1920" s="34" t="str">
        <f aca="false">IF($A1920="","",$I1920*$O1920)</f>
        <v/>
      </c>
      <c r="Q1920" s="39" t="n">
        <f aca="false">IF($B1920="",0,IFERROR(MATCH($B1920,COA_Mapping!$A$7:$A$256,0),0))</f>
        <v>0</v>
      </c>
      <c r="R1920" s="39" t="n">
        <f aca="false">IF($A1920="",-1,IF($J1920=Setup!$B$7,1,IF($J1920=Setup!$B$9,0,-1)))</f>
        <v>-1</v>
      </c>
      <c r="S1920" s="35" t="n">
        <f aca="false">IF(OR($A1920="",$Q1920=0,$R1920=-1),0,$Q1920*1000+$R1920*100+$K1920)</f>
        <v>0</v>
      </c>
      <c r="T1920" s="37" t="str">
        <f aca="false">IF($A1920="","",IF($B1920="","NO ACCOUNT",IF($Q1920=0,"UNMAPPED",IF($R1920=-1,"OUTSIDE FY RANGE","OK"))))</f>
        <v/>
      </c>
      <c r="U1920" s="40" t="str">
        <f aca="false">IF($A1920="","",$B1920&amp;"|"&amp;TEXT($A1920,"yyyymmdd")&amp;"|"&amp;TEXT($I1920,"0.00"))</f>
        <v/>
      </c>
      <c r="V1920" s="35" t="str">
        <f aca="false">IF($A1920="","",COUNTIF($U$8:$U$5007,$U1920))</f>
        <v/>
      </c>
    </row>
    <row r="1921" customFormat="false" ht="15" hidden="false" customHeight="false" outlineLevel="0" collapsed="false">
      <c r="A1921" s="31"/>
      <c r="B1921" s="32"/>
      <c r="C1921" s="32"/>
      <c r="D1921" s="32"/>
      <c r="E1921" s="32"/>
      <c r="F1921" s="32"/>
      <c r="G1921" s="33"/>
      <c r="H1921" s="33"/>
      <c r="I1921" s="34" t="str">
        <f aca="false">IF($A1921="","",$G1921-$H1921)</f>
        <v/>
      </c>
      <c r="J1921" s="35" t="str">
        <f aca="false">IF($A1921="","",IF(Setup!$B$6=1,YEAR($A1921),YEAR($A1921)+IF(MONTH($A1921)&gt;=Setup!$B$6,1,0)))</f>
        <v/>
      </c>
      <c r="K1921" s="35" t="str">
        <f aca="false">IF($A1921="","",MOD(MONTH($A1921)-Setup!$B$6+12,12)+1)</f>
        <v/>
      </c>
      <c r="L1921" s="36" t="str">
        <f aca="false">IF($A1921="","",TEXT($A1921,"MMM-YY"))</f>
        <v/>
      </c>
      <c r="M1921" s="37" t="str">
        <f aca="false">IF($A1921="","",IF($Q1921=0,"UNMAPPED",INDEX(COA_Mapping!$C$7:$C$256,$Q1921)))</f>
        <v/>
      </c>
      <c r="N1921" s="38" t="str">
        <f aca="false">IF($A1921="","",IF($Q1921=0,"",INDEX(COA_Mapping!$E$7:$E$256,$Q1921)))</f>
        <v/>
      </c>
      <c r="O1921" s="38" t="n">
        <f aca="false">IF($A1921="",1,IF($Q1921=0,1,INDEX(COA_Mapping!$F$7:$F$256,$Q1921)))</f>
        <v>1</v>
      </c>
      <c r="P1921" s="34" t="str">
        <f aca="false">IF($A1921="","",$I1921*$O1921)</f>
        <v/>
      </c>
      <c r="Q1921" s="39" t="n">
        <f aca="false">IF($B1921="",0,IFERROR(MATCH($B1921,COA_Mapping!$A$7:$A$256,0),0))</f>
        <v>0</v>
      </c>
      <c r="R1921" s="39" t="n">
        <f aca="false">IF($A1921="",-1,IF($J1921=Setup!$B$7,1,IF($J1921=Setup!$B$9,0,-1)))</f>
        <v>-1</v>
      </c>
      <c r="S1921" s="35" t="n">
        <f aca="false">IF(OR($A1921="",$Q1921=0,$R1921=-1),0,$Q1921*1000+$R1921*100+$K1921)</f>
        <v>0</v>
      </c>
      <c r="T1921" s="37" t="str">
        <f aca="false">IF($A1921="","",IF($B1921="","NO ACCOUNT",IF($Q1921=0,"UNMAPPED",IF($R1921=-1,"OUTSIDE FY RANGE","OK"))))</f>
        <v/>
      </c>
      <c r="U1921" s="40" t="str">
        <f aca="false">IF($A1921="","",$B1921&amp;"|"&amp;TEXT($A1921,"yyyymmdd")&amp;"|"&amp;TEXT($I1921,"0.00"))</f>
        <v/>
      </c>
      <c r="V1921" s="35" t="str">
        <f aca="false">IF($A1921="","",COUNTIF($U$8:$U$5007,$U1921))</f>
        <v/>
      </c>
    </row>
    <row r="1922" customFormat="false" ht="15" hidden="false" customHeight="false" outlineLevel="0" collapsed="false">
      <c r="A1922" s="31"/>
      <c r="B1922" s="32"/>
      <c r="C1922" s="32"/>
      <c r="D1922" s="32"/>
      <c r="E1922" s="32"/>
      <c r="F1922" s="32"/>
      <c r="G1922" s="33"/>
      <c r="H1922" s="33"/>
      <c r="I1922" s="34" t="str">
        <f aca="false">IF($A1922="","",$G1922-$H1922)</f>
        <v/>
      </c>
      <c r="J1922" s="35" t="str">
        <f aca="false">IF($A1922="","",IF(Setup!$B$6=1,YEAR($A1922),YEAR($A1922)+IF(MONTH($A1922)&gt;=Setup!$B$6,1,0)))</f>
        <v/>
      </c>
      <c r="K1922" s="35" t="str">
        <f aca="false">IF($A1922="","",MOD(MONTH($A1922)-Setup!$B$6+12,12)+1)</f>
        <v/>
      </c>
      <c r="L1922" s="36" t="str">
        <f aca="false">IF($A1922="","",TEXT($A1922,"MMM-YY"))</f>
        <v/>
      </c>
      <c r="M1922" s="37" t="str">
        <f aca="false">IF($A1922="","",IF($Q1922=0,"UNMAPPED",INDEX(COA_Mapping!$C$7:$C$256,$Q1922)))</f>
        <v/>
      </c>
      <c r="N1922" s="38" t="str">
        <f aca="false">IF($A1922="","",IF($Q1922=0,"",INDEX(COA_Mapping!$E$7:$E$256,$Q1922)))</f>
        <v/>
      </c>
      <c r="O1922" s="38" t="n">
        <f aca="false">IF($A1922="",1,IF($Q1922=0,1,INDEX(COA_Mapping!$F$7:$F$256,$Q1922)))</f>
        <v>1</v>
      </c>
      <c r="P1922" s="34" t="str">
        <f aca="false">IF($A1922="","",$I1922*$O1922)</f>
        <v/>
      </c>
      <c r="Q1922" s="39" t="n">
        <f aca="false">IF($B1922="",0,IFERROR(MATCH($B1922,COA_Mapping!$A$7:$A$256,0),0))</f>
        <v>0</v>
      </c>
      <c r="R1922" s="39" t="n">
        <f aca="false">IF($A1922="",-1,IF($J1922=Setup!$B$7,1,IF($J1922=Setup!$B$9,0,-1)))</f>
        <v>-1</v>
      </c>
      <c r="S1922" s="35" t="n">
        <f aca="false">IF(OR($A1922="",$Q1922=0,$R1922=-1),0,$Q1922*1000+$R1922*100+$K1922)</f>
        <v>0</v>
      </c>
      <c r="T1922" s="37" t="str">
        <f aca="false">IF($A1922="","",IF($B1922="","NO ACCOUNT",IF($Q1922=0,"UNMAPPED",IF($R1922=-1,"OUTSIDE FY RANGE","OK"))))</f>
        <v/>
      </c>
      <c r="U1922" s="40" t="str">
        <f aca="false">IF($A1922="","",$B1922&amp;"|"&amp;TEXT($A1922,"yyyymmdd")&amp;"|"&amp;TEXT($I1922,"0.00"))</f>
        <v/>
      </c>
      <c r="V1922" s="35" t="str">
        <f aca="false">IF($A1922="","",COUNTIF($U$8:$U$5007,$U1922))</f>
        <v/>
      </c>
    </row>
    <row r="1923" customFormat="false" ht="15" hidden="false" customHeight="false" outlineLevel="0" collapsed="false">
      <c r="A1923" s="31"/>
      <c r="B1923" s="32"/>
      <c r="C1923" s="32"/>
      <c r="D1923" s="32"/>
      <c r="E1923" s="32"/>
      <c r="F1923" s="32"/>
      <c r="G1923" s="33"/>
      <c r="H1923" s="33"/>
      <c r="I1923" s="34" t="str">
        <f aca="false">IF($A1923="","",$G1923-$H1923)</f>
        <v/>
      </c>
      <c r="J1923" s="35" t="str">
        <f aca="false">IF($A1923="","",IF(Setup!$B$6=1,YEAR($A1923),YEAR($A1923)+IF(MONTH($A1923)&gt;=Setup!$B$6,1,0)))</f>
        <v/>
      </c>
      <c r="K1923" s="35" t="str">
        <f aca="false">IF($A1923="","",MOD(MONTH($A1923)-Setup!$B$6+12,12)+1)</f>
        <v/>
      </c>
      <c r="L1923" s="36" t="str">
        <f aca="false">IF($A1923="","",TEXT($A1923,"MMM-YY"))</f>
        <v/>
      </c>
      <c r="M1923" s="37" t="str">
        <f aca="false">IF($A1923="","",IF($Q1923=0,"UNMAPPED",INDEX(COA_Mapping!$C$7:$C$256,$Q1923)))</f>
        <v/>
      </c>
      <c r="N1923" s="38" t="str">
        <f aca="false">IF($A1923="","",IF($Q1923=0,"",INDEX(COA_Mapping!$E$7:$E$256,$Q1923)))</f>
        <v/>
      </c>
      <c r="O1923" s="38" t="n">
        <f aca="false">IF($A1923="",1,IF($Q1923=0,1,INDEX(COA_Mapping!$F$7:$F$256,$Q1923)))</f>
        <v>1</v>
      </c>
      <c r="P1923" s="34" t="str">
        <f aca="false">IF($A1923="","",$I1923*$O1923)</f>
        <v/>
      </c>
      <c r="Q1923" s="39" t="n">
        <f aca="false">IF($B1923="",0,IFERROR(MATCH($B1923,COA_Mapping!$A$7:$A$256,0),0))</f>
        <v>0</v>
      </c>
      <c r="R1923" s="39" t="n">
        <f aca="false">IF($A1923="",-1,IF($J1923=Setup!$B$7,1,IF($J1923=Setup!$B$9,0,-1)))</f>
        <v>-1</v>
      </c>
      <c r="S1923" s="35" t="n">
        <f aca="false">IF(OR($A1923="",$Q1923=0,$R1923=-1),0,$Q1923*1000+$R1923*100+$K1923)</f>
        <v>0</v>
      </c>
      <c r="T1923" s="37" t="str">
        <f aca="false">IF($A1923="","",IF($B1923="","NO ACCOUNT",IF($Q1923=0,"UNMAPPED",IF($R1923=-1,"OUTSIDE FY RANGE","OK"))))</f>
        <v/>
      </c>
      <c r="U1923" s="40" t="str">
        <f aca="false">IF($A1923="","",$B1923&amp;"|"&amp;TEXT($A1923,"yyyymmdd")&amp;"|"&amp;TEXT($I1923,"0.00"))</f>
        <v/>
      </c>
      <c r="V1923" s="35" t="str">
        <f aca="false">IF($A1923="","",COUNTIF($U$8:$U$5007,$U1923))</f>
        <v/>
      </c>
    </row>
    <row r="1924" customFormat="false" ht="15" hidden="false" customHeight="false" outlineLevel="0" collapsed="false">
      <c r="A1924" s="31"/>
      <c r="B1924" s="32"/>
      <c r="C1924" s="32"/>
      <c r="D1924" s="32"/>
      <c r="E1924" s="32"/>
      <c r="F1924" s="32"/>
      <c r="G1924" s="33"/>
      <c r="H1924" s="33"/>
      <c r="I1924" s="34" t="str">
        <f aca="false">IF($A1924="","",$G1924-$H1924)</f>
        <v/>
      </c>
      <c r="J1924" s="35" t="str">
        <f aca="false">IF($A1924="","",IF(Setup!$B$6=1,YEAR($A1924),YEAR($A1924)+IF(MONTH($A1924)&gt;=Setup!$B$6,1,0)))</f>
        <v/>
      </c>
      <c r="K1924" s="35" t="str">
        <f aca="false">IF($A1924="","",MOD(MONTH($A1924)-Setup!$B$6+12,12)+1)</f>
        <v/>
      </c>
      <c r="L1924" s="36" t="str">
        <f aca="false">IF($A1924="","",TEXT($A1924,"MMM-YY"))</f>
        <v/>
      </c>
      <c r="M1924" s="37" t="str">
        <f aca="false">IF($A1924="","",IF($Q1924=0,"UNMAPPED",INDEX(COA_Mapping!$C$7:$C$256,$Q1924)))</f>
        <v/>
      </c>
      <c r="N1924" s="38" t="str">
        <f aca="false">IF($A1924="","",IF($Q1924=0,"",INDEX(COA_Mapping!$E$7:$E$256,$Q1924)))</f>
        <v/>
      </c>
      <c r="O1924" s="38" t="n">
        <f aca="false">IF($A1924="",1,IF($Q1924=0,1,INDEX(COA_Mapping!$F$7:$F$256,$Q1924)))</f>
        <v>1</v>
      </c>
      <c r="P1924" s="34" t="str">
        <f aca="false">IF($A1924="","",$I1924*$O1924)</f>
        <v/>
      </c>
      <c r="Q1924" s="39" t="n">
        <f aca="false">IF($B1924="",0,IFERROR(MATCH($B1924,COA_Mapping!$A$7:$A$256,0),0))</f>
        <v>0</v>
      </c>
      <c r="R1924" s="39" t="n">
        <f aca="false">IF($A1924="",-1,IF($J1924=Setup!$B$7,1,IF($J1924=Setup!$B$9,0,-1)))</f>
        <v>-1</v>
      </c>
      <c r="S1924" s="35" t="n">
        <f aca="false">IF(OR($A1924="",$Q1924=0,$R1924=-1),0,$Q1924*1000+$R1924*100+$K1924)</f>
        <v>0</v>
      </c>
      <c r="T1924" s="37" t="str">
        <f aca="false">IF($A1924="","",IF($B1924="","NO ACCOUNT",IF($Q1924=0,"UNMAPPED",IF($R1924=-1,"OUTSIDE FY RANGE","OK"))))</f>
        <v/>
      </c>
      <c r="U1924" s="40" t="str">
        <f aca="false">IF($A1924="","",$B1924&amp;"|"&amp;TEXT($A1924,"yyyymmdd")&amp;"|"&amp;TEXT($I1924,"0.00"))</f>
        <v/>
      </c>
      <c r="V1924" s="35" t="str">
        <f aca="false">IF($A1924="","",COUNTIF($U$8:$U$5007,$U1924))</f>
        <v/>
      </c>
    </row>
    <row r="1925" customFormat="false" ht="15" hidden="false" customHeight="false" outlineLevel="0" collapsed="false">
      <c r="A1925" s="31"/>
      <c r="B1925" s="32"/>
      <c r="C1925" s="32"/>
      <c r="D1925" s="32"/>
      <c r="E1925" s="32"/>
      <c r="F1925" s="32"/>
      <c r="G1925" s="33"/>
      <c r="H1925" s="33"/>
      <c r="I1925" s="34" t="str">
        <f aca="false">IF($A1925="","",$G1925-$H1925)</f>
        <v/>
      </c>
      <c r="J1925" s="35" t="str">
        <f aca="false">IF($A1925="","",IF(Setup!$B$6=1,YEAR($A1925),YEAR($A1925)+IF(MONTH($A1925)&gt;=Setup!$B$6,1,0)))</f>
        <v/>
      </c>
      <c r="K1925" s="35" t="str">
        <f aca="false">IF($A1925="","",MOD(MONTH($A1925)-Setup!$B$6+12,12)+1)</f>
        <v/>
      </c>
      <c r="L1925" s="36" t="str">
        <f aca="false">IF($A1925="","",TEXT($A1925,"MMM-YY"))</f>
        <v/>
      </c>
      <c r="M1925" s="37" t="str">
        <f aca="false">IF($A1925="","",IF($Q1925=0,"UNMAPPED",INDEX(COA_Mapping!$C$7:$C$256,$Q1925)))</f>
        <v/>
      </c>
      <c r="N1925" s="38" t="str">
        <f aca="false">IF($A1925="","",IF($Q1925=0,"",INDEX(COA_Mapping!$E$7:$E$256,$Q1925)))</f>
        <v/>
      </c>
      <c r="O1925" s="38" t="n">
        <f aca="false">IF($A1925="",1,IF($Q1925=0,1,INDEX(COA_Mapping!$F$7:$F$256,$Q1925)))</f>
        <v>1</v>
      </c>
      <c r="P1925" s="34" t="str">
        <f aca="false">IF($A1925="","",$I1925*$O1925)</f>
        <v/>
      </c>
      <c r="Q1925" s="39" t="n">
        <f aca="false">IF($B1925="",0,IFERROR(MATCH($B1925,COA_Mapping!$A$7:$A$256,0),0))</f>
        <v>0</v>
      </c>
      <c r="R1925" s="39" t="n">
        <f aca="false">IF($A1925="",-1,IF($J1925=Setup!$B$7,1,IF($J1925=Setup!$B$9,0,-1)))</f>
        <v>-1</v>
      </c>
      <c r="S1925" s="35" t="n">
        <f aca="false">IF(OR($A1925="",$Q1925=0,$R1925=-1),0,$Q1925*1000+$R1925*100+$K1925)</f>
        <v>0</v>
      </c>
      <c r="T1925" s="37" t="str">
        <f aca="false">IF($A1925="","",IF($B1925="","NO ACCOUNT",IF($Q1925=0,"UNMAPPED",IF($R1925=-1,"OUTSIDE FY RANGE","OK"))))</f>
        <v/>
      </c>
      <c r="U1925" s="40" t="str">
        <f aca="false">IF($A1925="","",$B1925&amp;"|"&amp;TEXT($A1925,"yyyymmdd")&amp;"|"&amp;TEXT($I1925,"0.00"))</f>
        <v/>
      </c>
      <c r="V1925" s="35" t="str">
        <f aca="false">IF($A1925="","",COUNTIF($U$8:$U$5007,$U1925))</f>
        <v/>
      </c>
    </row>
    <row r="1926" customFormat="false" ht="15" hidden="false" customHeight="false" outlineLevel="0" collapsed="false">
      <c r="A1926" s="31"/>
      <c r="B1926" s="32"/>
      <c r="C1926" s="32"/>
      <c r="D1926" s="32"/>
      <c r="E1926" s="32"/>
      <c r="F1926" s="32"/>
      <c r="G1926" s="33"/>
      <c r="H1926" s="33"/>
      <c r="I1926" s="34" t="str">
        <f aca="false">IF($A1926="","",$G1926-$H1926)</f>
        <v/>
      </c>
      <c r="J1926" s="35" t="str">
        <f aca="false">IF($A1926="","",IF(Setup!$B$6=1,YEAR($A1926),YEAR($A1926)+IF(MONTH($A1926)&gt;=Setup!$B$6,1,0)))</f>
        <v/>
      </c>
      <c r="K1926" s="35" t="str">
        <f aca="false">IF($A1926="","",MOD(MONTH($A1926)-Setup!$B$6+12,12)+1)</f>
        <v/>
      </c>
      <c r="L1926" s="36" t="str">
        <f aca="false">IF($A1926="","",TEXT($A1926,"MMM-YY"))</f>
        <v/>
      </c>
      <c r="M1926" s="37" t="str">
        <f aca="false">IF($A1926="","",IF($Q1926=0,"UNMAPPED",INDEX(COA_Mapping!$C$7:$C$256,$Q1926)))</f>
        <v/>
      </c>
      <c r="N1926" s="38" t="str">
        <f aca="false">IF($A1926="","",IF($Q1926=0,"",INDEX(COA_Mapping!$E$7:$E$256,$Q1926)))</f>
        <v/>
      </c>
      <c r="O1926" s="38" t="n">
        <f aca="false">IF($A1926="",1,IF($Q1926=0,1,INDEX(COA_Mapping!$F$7:$F$256,$Q1926)))</f>
        <v>1</v>
      </c>
      <c r="P1926" s="34" t="str">
        <f aca="false">IF($A1926="","",$I1926*$O1926)</f>
        <v/>
      </c>
      <c r="Q1926" s="39" t="n">
        <f aca="false">IF($B1926="",0,IFERROR(MATCH($B1926,COA_Mapping!$A$7:$A$256,0),0))</f>
        <v>0</v>
      </c>
      <c r="R1926" s="39" t="n">
        <f aca="false">IF($A1926="",-1,IF($J1926=Setup!$B$7,1,IF($J1926=Setup!$B$9,0,-1)))</f>
        <v>-1</v>
      </c>
      <c r="S1926" s="35" t="n">
        <f aca="false">IF(OR($A1926="",$Q1926=0,$R1926=-1),0,$Q1926*1000+$R1926*100+$K1926)</f>
        <v>0</v>
      </c>
      <c r="T1926" s="37" t="str">
        <f aca="false">IF($A1926="","",IF($B1926="","NO ACCOUNT",IF($Q1926=0,"UNMAPPED",IF($R1926=-1,"OUTSIDE FY RANGE","OK"))))</f>
        <v/>
      </c>
      <c r="U1926" s="40" t="str">
        <f aca="false">IF($A1926="","",$B1926&amp;"|"&amp;TEXT($A1926,"yyyymmdd")&amp;"|"&amp;TEXT($I1926,"0.00"))</f>
        <v/>
      </c>
      <c r="V1926" s="35" t="str">
        <f aca="false">IF($A1926="","",COUNTIF($U$8:$U$5007,$U1926))</f>
        <v/>
      </c>
    </row>
    <row r="1927" customFormat="false" ht="15" hidden="false" customHeight="false" outlineLevel="0" collapsed="false">
      <c r="A1927" s="31"/>
      <c r="B1927" s="32"/>
      <c r="C1927" s="32"/>
      <c r="D1927" s="32"/>
      <c r="E1927" s="32"/>
      <c r="F1927" s="32"/>
      <c r="G1927" s="33"/>
      <c r="H1927" s="33"/>
      <c r="I1927" s="34" t="str">
        <f aca="false">IF($A1927="","",$G1927-$H1927)</f>
        <v/>
      </c>
      <c r="J1927" s="35" t="str">
        <f aca="false">IF($A1927="","",IF(Setup!$B$6=1,YEAR($A1927),YEAR($A1927)+IF(MONTH($A1927)&gt;=Setup!$B$6,1,0)))</f>
        <v/>
      </c>
      <c r="K1927" s="35" t="str">
        <f aca="false">IF($A1927="","",MOD(MONTH($A1927)-Setup!$B$6+12,12)+1)</f>
        <v/>
      </c>
      <c r="L1927" s="36" t="str">
        <f aca="false">IF($A1927="","",TEXT($A1927,"MMM-YY"))</f>
        <v/>
      </c>
      <c r="M1927" s="37" t="str">
        <f aca="false">IF($A1927="","",IF($Q1927=0,"UNMAPPED",INDEX(COA_Mapping!$C$7:$C$256,$Q1927)))</f>
        <v/>
      </c>
      <c r="N1927" s="38" t="str">
        <f aca="false">IF($A1927="","",IF($Q1927=0,"",INDEX(COA_Mapping!$E$7:$E$256,$Q1927)))</f>
        <v/>
      </c>
      <c r="O1927" s="38" t="n">
        <f aca="false">IF($A1927="",1,IF($Q1927=0,1,INDEX(COA_Mapping!$F$7:$F$256,$Q1927)))</f>
        <v>1</v>
      </c>
      <c r="P1927" s="34" t="str">
        <f aca="false">IF($A1927="","",$I1927*$O1927)</f>
        <v/>
      </c>
      <c r="Q1927" s="39" t="n">
        <f aca="false">IF($B1927="",0,IFERROR(MATCH($B1927,COA_Mapping!$A$7:$A$256,0),0))</f>
        <v>0</v>
      </c>
      <c r="R1927" s="39" t="n">
        <f aca="false">IF($A1927="",-1,IF($J1927=Setup!$B$7,1,IF($J1927=Setup!$B$9,0,-1)))</f>
        <v>-1</v>
      </c>
      <c r="S1927" s="35" t="n">
        <f aca="false">IF(OR($A1927="",$Q1927=0,$R1927=-1),0,$Q1927*1000+$R1927*100+$K1927)</f>
        <v>0</v>
      </c>
      <c r="T1927" s="37" t="str">
        <f aca="false">IF($A1927="","",IF($B1927="","NO ACCOUNT",IF($Q1927=0,"UNMAPPED",IF($R1927=-1,"OUTSIDE FY RANGE","OK"))))</f>
        <v/>
      </c>
      <c r="U1927" s="40" t="str">
        <f aca="false">IF($A1927="","",$B1927&amp;"|"&amp;TEXT($A1927,"yyyymmdd")&amp;"|"&amp;TEXT($I1927,"0.00"))</f>
        <v/>
      </c>
      <c r="V1927" s="35" t="str">
        <f aca="false">IF($A1927="","",COUNTIF($U$8:$U$5007,$U1927))</f>
        <v/>
      </c>
    </row>
    <row r="1928" customFormat="false" ht="15" hidden="false" customHeight="false" outlineLevel="0" collapsed="false">
      <c r="A1928" s="31"/>
      <c r="B1928" s="32"/>
      <c r="C1928" s="32"/>
      <c r="D1928" s="32"/>
      <c r="E1928" s="32"/>
      <c r="F1928" s="32"/>
      <c r="G1928" s="33"/>
      <c r="H1928" s="33"/>
      <c r="I1928" s="34" t="str">
        <f aca="false">IF($A1928="","",$G1928-$H1928)</f>
        <v/>
      </c>
      <c r="J1928" s="35" t="str">
        <f aca="false">IF($A1928="","",IF(Setup!$B$6=1,YEAR($A1928),YEAR($A1928)+IF(MONTH($A1928)&gt;=Setup!$B$6,1,0)))</f>
        <v/>
      </c>
      <c r="K1928" s="35" t="str">
        <f aca="false">IF($A1928="","",MOD(MONTH($A1928)-Setup!$B$6+12,12)+1)</f>
        <v/>
      </c>
      <c r="L1928" s="36" t="str">
        <f aca="false">IF($A1928="","",TEXT($A1928,"MMM-YY"))</f>
        <v/>
      </c>
      <c r="M1928" s="37" t="str">
        <f aca="false">IF($A1928="","",IF($Q1928=0,"UNMAPPED",INDEX(COA_Mapping!$C$7:$C$256,$Q1928)))</f>
        <v/>
      </c>
      <c r="N1928" s="38" t="str">
        <f aca="false">IF($A1928="","",IF($Q1928=0,"",INDEX(COA_Mapping!$E$7:$E$256,$Q1928)))</f>
        <v/>
      </c>
      <c r="O1928" s="38" t="n">
        <f aca="false">IF($A1928="",1,IF($Q1928=0,1,INDEX(COA_Mapping!$F$7:$F$256,$Q1928)))</f>
        <v>1</v>
      </c>
      <c r="P1928" s="34" t="str">
        <f aca="false">IF($A1928="","",$I1928*$O1928)</f>
        <v/>
      </c>
      <c r="Q1928" s="39" t="n">
        <f aca="false">IF($B1928="",0,IFERROR(MATCH($B1928,COA_Mapping!$A$7:$A$256,0),0))</f>
        <v>0</v>
      </c>
      <c r="R1928" s="39" t="n">
        <f aca="false">IF($A1928="",-1,IF($J1928=Setup!$B$7,1,IF($J1928=Setup!$B$9,0,-1)))</f>
        <v>-1</v>
      </c>
      <c r="S1928" s="35" t="n">
        <f aca="false">IF(OR($A1928="",$Q1928=0,$R1928=-1),0,$Q1928*1000+$R1928*100+$K1928)</f>
        <v>0</v>
      </c>
      <c r="T1928" s="37" t="str">
        <f aca="false">IF($A1928="","",IF($B1928="","NO ACCOUNT",IF($Q1928=0,"UNMAPPED",IF($R1928=-1,"OUTSIDE FY RANGE","OK"))))</f>
        <v/>
      </c>
      <c r="U1928" s="40" t="str">
        <f aca="false">IF($A1928="","",$B1928&amp;"|"&amp;TEXT($A1928,"yyyymmdd")&amp;"|"&amp;TEXT($I1928,"0.00"))</f>
        <v/>
      </c>
      <c r="V1928" s="35" t="str">
        <f aca="false">IF($A1928="","",COUNTIF($U$8:$U$5007,$U1928))</f>
        <v/>
      </c>
    </row>
    <row r="1929" customFormat="false" ht="15" hidden="false" customHeight="false" outlineLevel="0" collapsed="false">
      <c r="A1929" s="31"/>
      <c r="B1929" s="32"/>
      <c r="C1929" s="32"/>
      <c r="D1929" s="32"/>
      <c r="E1929" s="32"/>
      <c r="F1929" s="32"/>
      <c r="G1929" s="33"/>
      <c r="H1929" s="33"/>
      <c r="I1929" s="34" t="str">
        <f aca="false">IF($A1929="","",$G1929-$H1929)</f>
        <v/>
      </c>
      <c r="J1929" s="35" t="str">
        <f aca="false">IF($A1929="","",IF(Setup!$B$6=1,YEAR($A1929),YEAR($A1929)+IF(MONTH($A1929)&gt;=Setup!$B$6,1,0)))</f>
        <v/>
      </c>
      <c r="K1929" s="35" t="str">
        <f aca="false">IF($A1929="","",MOD(MONTH($A1929)-Setup!$B$6+12,12)+1)</f>
        <v/>
      </c>
      <c r="L1929" s="36" t="str">
        <f aca="false">IF($A1929="","",TEXT($A1929,"MMM-YY"))</f>
        <v/>
      </c>
      <c r="M1929" s="37" t="str">
        <f aca="false">IF($A1929="","",IF($Q1929=0,"UNMAPPED",INDEX(COA_Mapping!$C$7:$C$256,$Q1929)))</f>
        <v/>
      </c>
      <c r="N1929" s="38" t="str">
        <f aca="false">IF($A1929="","",IF($Q1929=0,"",INDEX(COA_Mapping!$E$7:$E$256,$Q1929)))</f>
        <v/>
      </c>
      <c r="O1929" s="38" t="n">
        <f aca="false">IF($A1929="",1,IF($Q1929=0,1,INDEX(COA_Mapping!$F$7:$F$256,$Q1929)))</f>
        <v>1</v>
      </c>
      <c r="P1929" s="34" t="str">
        <f aca="false">IF($A1929="","",$I1929*$O1929)</f>
        <v/>
      </c>
      <c r="Q1929" s="39" t="n">
        <f aca="false">IF($B1929="",0,IFERROR(MATCH($B1929,COA_Mapping!$A$7:$A$256,0),0))</f>
        <v>0</v>
      </c>
      <c r="R1929" s="39" t="n">
        <f aca="false">IF($A1929="",-1,IF($J1929=Setup!$B$7,1,IF($J1929=Setup!$B$9,0,-1)))</f>
        <v>-1</v>
      </c>
      <c r="S1929" s="35" t="n">
        <f aca="false">IF(OR($A1929="",$Q1929=0,$R1929=-1),0,$Q1929*1000+$R1929*100+$K1929)</f>
        <v>0</v>
      </c>
      <c r="T1929" s="37" t="str">
        <f aca="false">IF($A1929="","",IF($B1929="","NO ACCOUNT",IF($Q1929=0,"UNMAPPED",IF($R1929=-1,"OUTSIDE FY RANGE","OK"))))</f>
        <v/>
      </c>
      <c r="U1929" s="40" t="str">
        <f aca="false">IF($A1929="","",$B1929&amp;"|"&amp;TEXT($A1929,"yyyymmdd")&amp;"|"&amp;TEXT($I1929,"0.00"))</f>
        <v/>
      </c>
      <c r="V1929" s="35" t="str">
        <f aca="false">IF($A1929="","",COUNTIF($U$8:$U$5007,$U1929))</f>
        <v/>
      </c>
    </row>
    <row r="1930" customFormat="false" ht="15" hidden="false" customHeight="false" outlineLevel="0" collapsed="false">
      <c r="A1930" s="31"/>
      <c r="B1930" s="32"/>
      <c r="C1930" s="32"/>
      <c r="D1930" s="32"/>
      <c r="E1930" s="32"/>
      <c r="F1930" s="32"/>
      <c r="G1930" s="33"/>
      <c r="H1930" s="33"/>
      <c r="I1930" s="34" t="str">
        <f aca="false">IF($A1930="","",$G1930-$H1930)</f>
        <v/>
      </c>
      <c r="J1930" s="35" t="str">
        <f aca="false">IF($A1930="","",IF(Setup!$B$6=1,YEAR($A1930),YEAR($A1930)+IF(MONTH($A1930)&gt;=Setup!$B$6,1,0)))</f>
        <v/>
      </c>
      <c r="K1930" s="35" t="str">
        <f aca="false">IF($A1930="","",MOD(MONTH($A1930)-Setup!$B$6+12,12)+1)</f>
        <v/>
      </c>
      <c r="L1930" s="36" t="str">
        <f aca="false">IF($A1930="","",TEXT($A1930,"MMM-YY"))</f>
        <v/>
      </c>
      <c r="M1930" s="37" t="str">
        <f aca="false">IF($A1930="","",IF($Q1930=0,"UNMAPPED",INDEX(COA_Mapping!$C$7:$C$256,$Q1930)))</f>
        <v/>
      </c>
      <c r="N1930" s="38" t="str">
        <f aca="false">IF($A1930="","",IF($Q1930=0,"",INDEX(COA_Mapping!$E$7:$E$256,$Q1930)))</f>
        <v/>
      </c>
      <c r="O1930" s="38" t="n">
        <f aca="false">IF($A1930="",1,IF($Q1930=0,1,INDEX(COA_Mapping!$F$7:$F$256,$Q1930)))</f>
        <v>1</v>
      </c>
      <c r="P1930" s="34" t="str">
        <f aca="false">IF($A1930="","",$I1930*$O1930)</f>
        <v/>
      </c>
      <c r="Q1930" s="39" t="n">
        <f aca="false">IF($B1930="",0,IFERROR(MATCH($B1930,COA_Mapping!$A$7:$A$256,0),0))</f>
        <v>0</v>
      </c>
      <c r="R1930" s="39" t="n">
        <f aca="false">IF($A1930="",-1,IF($J1930=Setup!$B$7,1,IF($J1930=Setup!$B$9,0,-1)))</f>
        <v>-1</v>
      </c>
      <c r="S1930" s="35" t="n">
        <f aca="false">IF(OR($A1930="",$Q1930=0,$R1930=-1),0,$Q1930*1000+$R1930*100+$K1930)</f>
        <v>0</v>
      </c>
      <c r="T1930" s="37" t="str">
        <f aca="false">IF($A1930="","",IF($B1930="","NO ACCOUNT",IF($Q1930=0,"UNMAPPED",IF($R1930=-1,"OUTSIDE FY RANGE","OK"))))</f>
        <v/>
      </c>
      <c r="U1930" s="40" t="str">
        <f aca="false">IF($A1930="","",$B1930&amp;"|"&amp;TEXT($A1930,"yyyymmdd")&amp;"|"&amp;TEXT($I1930,"0.00"))</f>
        <v/>
      </c>
      <c r="V1930" s="35" t="str">
        <f aca="false">IF($A1930="","",COUNTIF($U$8:$U$5007,$U1930))</f>
        <v/>
      </c>
    </row>
    <row r="1931" customFormat="false" ht="15" hidden="false" customHeight="false" outlineLevel="0" collapsed="false">
      <c r="A1931" s="31"/>
      <c r="B1931" s="32"/>
      <c r="C1931" s="32"/>
      <c r="D1931" s="32"/>
      <c r="E1931" s="32"/>
      <c r="F1931" s="32"/>
      <c r="G1931" s="33"/>
      <c r="H1931" s="33"/>
      <c r="I1931" s="34" t="str">
        <f aca="false">IF($A1931="","",$G1931-$H1931)</f>
        <v/>
      </c>
      <c r="J1931" s="35" t="str">
        <f aca="false">IF($A1931="","",IF(Setup!$B$6=1,YEAR($A1931),YEAR($A1931)+IF(MONTH($A1931)&gt;=Setup!$B$6,1,0)))</f>
        <v/>
      </c>
      <c r="K1931" s="35" t="str">
        <f aca="false">IF($A1931="","",MOD(MONTH($A1931)-Setup!$B$6+12,12)+1)</f>
        <v/>
      </c>
      <c r="L1931" s="36" t="str">
        <f aca="false">IF($A1931="","",TEXT($A1931,"MMM-YY"))</f>
        <v/>
      </c>
      <c r="M1931" s="37" t="str">
        <f aca="false">IF($A1931="","",IF($Q1931=0,"UNMAPPED",INDEX(COA_Mapping!$C$7:$C$256,$Q1931)))</f>
        <v/>
      </c>
      <c r="N1931" s="38" t="str">
        <f aca="false">IF($A1931="","",IF($Q1931=0,"",INDEX(COA_Mapping!$E$7:$E$256,$Q1931)))</f>
        <v/>
      </c>
      <c r="O1931" s="38" t="n">
        <f aca="false">IF($A1931="",1,IF($Q1931=0,1,INDEX(COA_Mapping!$F$7:$F$256,$Q1931)))</f>
        <v>1</v>
      </c>
      <c r="P1931" s="34" t="str">
        <f aca="false">IF($A1931="","",$I1931*$O1931)</f>
        <v/>
      </c>
      <c r="Q1931" s="39" t="n">
        <f aca="false">IF($B1931="",0,IFERROR(MATCH($B1931,COA_Mapping!$A$7:$A$256,0),0))</f>
        <v>0</v>
      </c>
      <c r="R1931" s="39" t="n">
        <f aca="false">IF($A1931="",-1,IF($J1931=Setup!$B$7,1,IF($J1931=Setup!$B$9,0,-1)))</f>
        <v>-1</v>
      </c>
      <c r="S1931" s="35" t="n">
        <f aca="false">IF(OR($A1931="",$Q1931=0,$R1931=-1),0,$Q1931*1000+$R1931*100+$K1931)</f>
        <v>0</v>
      </c>
      <c r="T1931" s="37" t="str">
        <f aca="false">IF($A1931="","",IF($B1931="","NO ACCOUNT",IF($Q1931=0,"UNMAPPED",IF($R1931=-1,"OUTSIDE FY RANGE","OK"))))</f>
        <v/>
      </c>
      <c r="U1931" s="40" t="str">
        <f aca="false">IF($A1931="","",$B1931&amp;"|"&amp;TEXT($A1931,"yyyymmdd")&amp;"|"&amp;TEXT($I1931,"0.00"))</f>
        <v/>
      </c>
      <c r="V1931" s="35" t="str">
        <f aca="false">IF($A1931="","",COUNTIF($U$8:$U$5007,$U1931))</f>
        <v/>
      </c>
    </row>
    <row r="1932" customFormat="false" ht="15" hidden="false" customHeight="false" outlineLevel="0" collapsed="false">
      <c r="A1932" s="31"/>
      <c r="B1932" s="32"/>
      <c r="C1932" s="32"/>
      <c r="D1932" s="32"/>
      <c r="E1932" s="32"/>
      <c r="F1932" s="32"/>
      <c r="G1932" s="33"/>
      <c r="H1932" s="33"/>
      <c r="I1932" s="34" t="str">
        <f aca="false">IF($A1932="","",$G1932-$H1932)</f>
        <v/>
      </c>
      <c r="J1932" s="35" t="str">
        <f aca="false">IF($A1932="","",IF(Setup!$B$6=1,YEAR($A1932),YEAR($A1932)+IF(MONTH($A1932)&gt;=Setup!$B$6,1,0)))</f>
        <v/>
      </c>
      <c r="K1932" s="35" t="str">
        <f aca="false">IF($A1932="","",MOD(MONTH($A1932)-Setup!$B$6+12,12)+1)</f>
        <v/>
      </c>
      <c r="L1932" s="36" t="str">
        <f aca="false">IF($A1932="","",TEXT($A1932,"MMM-YY"))</f>
        <v/>
      </c>
      <c r="M1932" s="37" t="str">
        <f aca="false">IF($A1932="","",IF($Q1932=0,"UNMAPPED",INDEX(COA_Mapping!$C$7:$C$256,$Q1932)))</f>
        <v/>
      </c>
      <c r="N1932" s="38" t="str">
        <f aca="false">IF($A1932="","",IF($Q1932=0,"",INDEX(COA_Mapping!$E$7:$E$256,$Q1932)))</f>
        <v/>
      </c>
      <c r="O1932" s="38" t="n">
        <f aca="false">IF($A1932="",1,IF($Q1932=0,1,INDEX(COA_Mapping!$F$7:$F$256,$Q1932)))</f>
        <v>1</v>
      </c>
      <c r="P1932" s="34" t="str">
        <f aca="false">IF($A1932="","",$I1932*$O1932)</f>
        <v/>
      </c>
      <c r="Q1932" s="39" t="n">
        <f aca="false">IF($B1932="",0,IFERROR(MATCH($B1932,COA_Mapping!$A$7:$A$256,0),0))</f>
        <v>0</v>
      </c>
      <c r="R1932" s="39" t="n">
        <f aca="false">IF($A1932="",-1,IF($J1932=Setup!$B$7,1,IF($J1932=Setup!$B$9,0,-1)))</f>
        <v>-1</v>
      </c>
      <c r="S1932" s="35" t="n">
        <f aca="false">IF(OR($A1932="",$Q1932=0,$R1932=-1),0,$Q1932*1000+$R1932*100+$K1932)</f>
        <v>0</v>
      </c>
      <c r="T1932" s="37" t="str">
        <f aca="false">IF($A1932="","",IF($B1932="","NO ACCOUNT",IF($Q1932=0,"UNMAPPED",IF($R1932=-1,"OUTSIDE FY RANGE","OK"))))</f>
        <v/>
      </c>
      <c r="U1932" s="40" t="str">
        <f aca="false">IF($A1932="","",$B1932&amp;"|"&amp;TEXT($A1932,"yyyymmdd")&amp;"|"&amp;TEXT($I1932,"0.00"))</f>
        <v/>
      </c>
      <c r="V1932" s="35" t="str">
        <f aca="false">IF($A1932="","",COUNTIF($U$8:$U$5007,$U1932))</f>
        <v/>
      </c>
    </row>
    <row r="1933" customFormat="false" ht="15" hidden="false" customHeight="false" outlineLevel="0" collapsed="false">
      <c r="A1933" s="31"/>
      <c r="B1933" s="32"/>
      <c r="C1933" s="32"/>
      <c r="D1933" s="32"/>
      <c r="E1933" s="32"/>
      <c r="F1933" s="32"/>
      <c r="G1933" s="33"/>
      <c r="H1933" s="33"/>
      <c r="I1933" s="34" t="str">
        <f aca="false">IF($A1933="","",$G1933-$H1933)</f>
        <v/>
      </c>
      <c r="J1933" s="35" t="str">
        <f aca="false">IF($A1933="","",IF(Setup!$B$6=1,YEAR($A1933),YEAR($A1933)+IF(MONTH($A1933)&gt;=Setup!$B$6,1,0)))</f>
        <v/>
      </c>
      <c r="K1933" s="35" t="str">
        <f aca="false">IF($A1933="","",MOD(MONTH($A1933)-Setup!$B$6+12,12)+1)</f>
        <v/>
      </c>
      <c r="L1933" s="36" t="str">
        <f aca="false">IF($A1933="","",TEXT($A1933,"MMM-YY"))</f>
        <v/>
      </c>
      <c r="M1933" s="37" t="str">
        <f aca="false">IF($A1933="","",IF($Q1933=0,"UNMAPPED",INDEX(COA_Mapping!$C$7:$C$256,$Q1933)))</f>
        <v/>
      </c>
      <c r="N1933" s="38" t="str">
        <f aca="false">IF($A1933="","",IF($Q1933=0,"",INDEX(COA_Mapping!$E$7:$E$256,$Q1933)))</f>
        <v/>
      </c>
      <c r="O1933" s="38" t="n">
        <f aca="false">IF($A1933="",1,IF($Q1933=0,1,INDEX(COA_Mapping!$F$7:$F$256,$Q1933)))</f>
        <v>1</v>
      </c>
      <c r="P1933" s="34" t="str">
        <f aca="false">IF($A1933="","",$I1933*$O1933)</f>
        <v/>
      </c>
      <c r="Q1933" s="39" t="n">
        <f aca="false">IF($B1933="",0,IFERROR(MATCH($B1933,COA_Mapping!$A$7:$A$256,0),0))</f>
        <v>0</v>
      </c>
      <c r="R1933" s="39" t="n">
        <f aca="false">IF($A1933="",-1,IF($J1933=Setup!$B$7,1,IF($J1933=Setup!$B$9,0,-1)))</f>
        <v>-1</v>
      </c>
      <c r="S1933" s="35" t="n">
        <f aca="false">IF(OR($A1933="",$Q1933=0,$R1933=-1),0,$Q1933*1000+$R1933*100+$K1933)</f>
        <v>0</v>
      </c>
      <c r="T1933" s="37" t="str">
        <f aca="false">IF($A1933="","",IF($B1933="","NO ACCOUNT",IF($Q1933=0,"UNMAPPED",IF($R1933=-1,"OUTSIDE FY RANGE","OK"))))</f>
        <v/>
      </c>
      <c r="U1933" s="40" t="str">
        <f aca="false">IF($A1933="","",$B1933&amp;"|"&amp;TEXT($A1933,"yyyymmdd")&amp;"|"&amp;TEXT($I1933,"0.00"))</f>
        <v/>
      </c>
      <c r="V1933" s="35" t="str">
        <f aca="false">IF($A1933="","",COUNTIF($U$8:$U$5007,$U1933))</f>
        <v/>
      </c>
    </row>
    <row r="1934" customFormat="false" ht="15" hidden="false" customHeight="false" outlineLevel="0" collapsed="false">
      <c r="A1934" s="31"/>
      <c r="B1934" s="32"/>
      <c r="C1934" s="32"/>
      <c r="D1934" s="32"/>
      <c r="E1934" s="32"/>
      <c r="F1934" s="32"/>
      <c r="G1934" s="33"/>
      <c r="H1934" s="33"/>
      <c r="I1934" s="34" t="str">
        <f aca="false">IF($A1934="","",$G1934-$H1934)</f>
        <v/>
      </c>
      <c r="J1934" s="35" t="str">
        <f aca="false">IF($A1934="","",IF(Setup!$B$6=1,YEAR($A1934),YEAR($A1934)+IF(MONTH($A1934)&gt;=Setup!$B$6,1,0)))</f>
        <v/>
      </c>
      <c r="K1934" s="35" t="str">
        <f aca="false">IF($A1934="","",MOD(MONTH($A1934)-Setup!$B$6+12,12)+1)</f>
        <v/>
      </c>
      <c r="L1934" s="36" t="str">
        <f aca="false">IF($A1934="","",TEXT($A1934,"MMM-YY"))</f>
        <v/>
      </c>
      <c r="M1934" s="37" t="str">
        <f aca="false">IF($A1934="","",IF($Q1934=0,"UNMAPPED",INDEX(COA_Mapping!$C$7:$C$256,$Q1934)))</f>
        <v/>
      </c>
      <c r="N1934" s="38" t="str">
        <f aca="false">IF($A1934="","",IF($Q1934=0,"",INDEX(COA_Mapping!$E$7:$E$256,$Q1934)))</f>
        <v/>
      </c>
      <c r="O1934" s="38" t="n">
        <f aca="false">IF($A1934="",1,IF($Q1934=0,1,INDEX(COA_Mapping!$F$7:$F$256,$Q1934)))</f>
        <v>1</v>
      </c>
      <c r="P1934" s="34" t="str">
        <f aca="false">IF($A1934="","",$I1934*$O1934)</f>
        <v/>
      </c>
      <c r="Q1934" s="39" t="n">
        <f aca="false">IF($B1934="",0,IFERROR(MATCH($B1934,COA_Mapping!$A$7:$A$256,0),0))</f>
        <v>0</v>
      </c>
      <c r="R1934" s="39" t="n">
        <f aca="false">IF($A1934="",-1,IF($J1934=Setup!$B$7,1,IF($J1934=Setup!$B$9,0,-1)))</f>
        <v>-1</v>
      </c>
      <c r="S1934" s="35" t="n">
        <f aca="false">IF(OR($A1934="",$Q1934=0,$R1934=-1),0,$Q1934*1000+$R1934*100+$K1934)</f>
        <v>0</v>
      </c>
      <c r="T1934" s="37" t="str">
        <f aca="false">IF($A1934="","",IF($B1934="","NO ACCOUNT",IF($Q1934=0,"UNMAPPED",IF($R1934=-1,"OUTSIDE FY RANGE","OK"))))</f>
        <v/>
      </c>
      <c r="U1934" s="40" t="str">
        <f aca="false">IF($A1934="","",$B1934&amp;"|"&amp;TEXT($A1934,"yyyymmdd")&amp;"|"&amp;TEXT($I1934,"0.00"))</f>
        <v/>
      </c>
      <c r="V1934" s="35" t="str">
        <f aca="false">IF($A1934="","",COUNTIF($U$8:$U$5007,$U1934))</f>
        <v/>
      </c>
    </row>
    <row r="1935" customFormat="false" ht="15" hidden="false" customHeight="false" outlineLevel="0" collapsed="false">
      <c r="A1935" s="31"/>
      <c r="B1935" s="32"/>
      <c r="C1935" s="32"/>
      <c r="D1935" s="32"/>
      <c r="E1935" s="32"/>
      <c r="F1935" s="32"/>
      <c r="G1935" s="33"/>
      <c r="H1935" s="33"/>
      <c r="I1935" s="34" t="str">
        <f aca="false">IF($A1935="","",$G1935-$H1935)</f>
        <v/>
      </c>
      <c r="J1935" s="35" t="str">
        <f aca="false">IF($A1935="","",IF(Setup!$B$6=1,YEAR($A1935),YEAR($A1935)+IF(MONTH($A1935)&gt;=Setup!$B$6,1,0)))</f>
        <v/>
      </c>
      <c r="K1935" s="35" t="str">
        <f aca="false">IF($A1935="","",MOD(MONTH($A1935)-Setup!$B$6+12,12)+1)</f>
        <v/>
      </c>
      <c r="L1935" s="36" t="str">
        <f aca="false">IF($A1935="","",TEXT($A1935,"MMM-YY"))</f>
        <v/>
      </c>
      <c r="M1935" s="37" t="str">
        <f aca="false">IF($A1935="","",IF($Q1935=0,"UNMAPPED",INDEX(COA_Mapping!$C$7:$C$256,$Q1935)))</f>
        <v/>
      </c>
      <c r="N1935" s="38" t="str">
        <f aca="false">IF($A1935="","",IF($Q1935=0,"",INDEX(COA_Mapping!$E$7:$E$256,$Q1935)))</f>
        <v/>
      </c>
      <c r="O1935" s="38" t="n">
        <f aca="false">IF($A1935="",1,IF($Q1935=0,1,INDEX(COA_Mapping!$F$7:$F$256,$Q1935)))</f>
        <v>1</v>
      </c>
      <c r="P1935" s="34" t="str">
        <f aca="false">IF($A1935="","",$I1935*$O1935)</f>
        <v/>
      </c>
      <c r="Q1935" s="39" t="n">
        <f aca="false">IF($B1935="",0,IFERROR(MATCH($B1935,COA_Mapping!$A$7:$A$256,0),0))</f>
        <v>0</v>
      </c>
      <c r="R1935" s="39" t="n">
        <f aca="false">IF($A1935="",-1,IF($J1935=Setup!$B$7,1,IF($J1935=Setup!$B$9,0,-1)))</f>
        <v>-1</v>
      </c>
      <c r="S1935" s="35" t="n">
        <f aca="false">IF(OR($A1935="",$Q1935=0,$R1935=-1),0,$Q1935*1000+$R1935*100+$K1935)</f>
        <v>0</v>
      </c>
      <c r="T1935" s="37" t="str">
        <f aca="false">IF($A1935="","",IF($B1935="","NO ACCOUNT",IF($Q1935=0,"UNMAPPED",IF($R1935=-1,"OUTSIDE FY RANGE","OK"))))</f>
        <v/>
      </c>
      <c r="U1935" s="40" t="str">
        <f aca="false">IF($A1935="","",$B1935&amp;"|"&amp;TEXT($A1935,"yyyymmdd")&amp;"|"&amp;TEXT($I1935,"0.00"))</f>
        <v/>
      </c>
      <c r="V1935" s="35" t="str">
        <f aca="false">IF($A1935="","",COUNTIF($U$8:$U$5007,$U1935))</f>
        <v/>
      </c>
    </row>
    <row r="1936" customFormat="false" ht="15" hidden="false" customHeight="false" outlineLevel="0" collapsed="false">
      <c r="A1936" s="31"/>
      <c r="B1936" s="32"/>
      <c r="C1936" s="32"/>
      <c r="D1936" s="32"/>
      <c r="E1936" s="32"/>
      <c r="F1936" s="32"/>
      <c r="G1936" s="33"/>
      <c r="H1936" s="33"/>
      <c r="I1936" s="34" t="str">
        <f aca="false">IF($A1936="","",$G1936-$H1936)</f>
        <v/>
      </c>
      <c r="J1936" s="35" t="str">
        <f aca="false">IF($A1936="","",IF(Setup!$B$6=1,YEAR($A1936),YEAR($A1936)+IF(MONTH($A1936)&gt;=Setup!$B$6,1,0)))</f>
        <v/>
      </c>
      <c r="K1936" s="35" t="str">
        <f aca="false">IF($A1936="","",MOD(MONTH($A1936)-Setup!$B$6+12,12)+1)</f>
        <v/>
      </c>
      <c r="L1936" s="36" t="str">
        <f aca="false">IF($A1936="","",TEXT($A1936,"MMM-YY"))</f>
        <v/>
      </c>
      <c r="M1936" s="37" t="str">
        <f aca="false">IF($A1936="","",IF($Q1936=0,"UNMAPPED",INDEX(COA_Mapping!$C$7:$C$256,$Q1936)))</f>
        <v/>
      </c>
      <c r="N1936" s="38" t="str">
        <f aca="false">IF($A1936="","",IF($Q1936=0,"",INDEX(COA_Mapping!$E$7:$E$256,$Q1936)))</f>
        <v/>
      </c>
      <c r="O1936" s="38" t="n">
        <f aca="false">IF($A1936="",1,IF($Q1936=0,1,INDEX(COA_Mapping!$F$7:$F$256,$Q1936)))</f>
        <v>1</v>
      </c>
      <c r="P1936" s="34" t="str">
        <f aca="false">IF($A1936="","",$I1936*$O1936)</f>
        <v/>
      </c>
      <c r="Q1936" s="39" t="n">
        <f aca="false">IF($B1936="",0,IFERROR(MATCH($B1936,COA_Mapping!$A$7:$A$256,0),0))</f>
        <v>0</v>
      </c>
      <c r="R1936" s="39" t="n">
        <f aca="false">IF($A1936="",-1,IF($J1936=Setup!$B$7,1,IF($J1936=Setup!$B$9,0,-1)))</f>
        <v>-1</v>
      </c>
      <c r="S1936" s="35" t="n">
        <f aca="false">IF(OR($A1936="",$Q1936=0,$R1936=-1),0,$Q1936*1000+$R1936*100+$K1936)</f>
        <v>0</v>
      </c>
      <c r="T1936" s="37" t="str">
        <f aca="false">IF($A1936="","",IF($B1936="","NO ACCOUNT",IF($Q1936=0,"UNMAPPED",IF($R1936=-1,"OUTSIDE FY RANGE","OK"))))</f>
        <v/>
      </c>
      <c r="U1936" s="40" t="str">
        <f aca="false">IF($A1936="","",$B1936&amp;"|"&amp;TEXT($A1936,"yyyymmdd")&amp;"|"&amp;TEXT($I1936,"0.00"))</f>
        <v/>
      </c>
      <c r="V1936" s="35" t="str">
        <f aca="false">IF($A1936="","",COUNTIF($U$8:$U$5007,$U1936))</f>
        <v/>
      </c>
    </row>
    <row r="1937" customFormat="false" ht="15" hidden="false" customHeight="false" outlineLevel="0" collapsed="false">
      <c r="A1937" s="31"/>
      <c r="B1937" s="32"/>
      <c r="C1937" s="32"/>
      <c r="D1937" s="32"/>
      <c r="E1937" s="32"/>
      <c r="F1937" s="32"/>
      <c r="G1937" s="33"/>
      <c r="H1937" s="33"/>
      <c r="I1937" s="34" t="str">
        <f aca="false">IF($A1937="","",$G1937-$H1937)</f>
        <v/>
      </c>
      <c r="J1937" s="35" t="str">
        <f aca="false">IF($A1937="","",IF(Setup!$B$6=1,YEAR($A1937),YEAR($A1937)+IF(MONTH($A1937)&gt;=Setup!$B$6,1,0)))</f>
        <v/>
      </c>
      <c r="K1937" s="35" t="str">
        <f aca="false">IF($A1937="","",MOD(MONTH($A1937)-Setup!$B$6+12,12)+1)</f>
        <v/>
      </c>
      <c r="L1937" s="36" t="str">
        <f aca="false">IF($A1937="","",TEXT($A1937,"MMM-YY"))</f>
        <v/>
      </c>
      <c r="M1937" s="37" t="str">
        <f aca="false">IF($A1937="","",IF($Q1937=0,"UNMAPPED",INDEX(COA_Mapping!$C$7:$C$256,$Q1937)))</f>
        <v/>
      </c>
      <c r="N1937" s="38" t="str">
        <f aca="false">IF($A1937="","",IF($Q1937=0,"",INDEX(COA_Mapping!$E$7:$E$256,$Q1937)))</f>
        <v/>
      </c>
      <c r="O1937" s="38" t="n">
        <f aca="false">IF($A1937="",1,IF($Q1937=0,1,INDEX(COA_Mapping!$F$7:$F$256,$Q1937)))</f>
        <v>1</v>
      </c>
      <c r="P1937" s="34" t="str">
        <f aca="false">IF($A1937="","",$I1937*$O1937)</f>
        <v/>
      </c>
      <c r="Q1937" s="39" t="n">
        <f aca="false">IF($B1937="",0,IFERROR(MATCH($B1937,COA_Mapping!$A$7:$A$256,0),0))</f>
        <v>0</v>
      </c>
      <c r="R1937" s="39" t="n">
        <f aca="false">IF($A1937="",-1,IF($J1937=Setup!$B$7,1,IF($J1937=Setup!$B$9,0,-1)))</f>
        <v>-1</v>
      </c>
      <c r="S1937" s="35" t="n">
        <f aca="false">IF(OR($A1937="",$Q1937=0,$R1937=-1),0,$Q1937*1000+$R1937*100+$K1937)</f>
        <v>0</v>
      </c>
      <c r="T1937" s="37" t="str">
        <f aca="false">IF($A1937="","",IF($B1937="","NO ACCOUNT",IF($Q1937=0,"UNMAPPED",IF($R1937=-1,"OUTSIDE FY RANGE","OK"))))</f>
        <v/>
      </c>
      <c r="U1937" s="40" t="str">
        <f aca="false">IF($A1937="","",$B1937&amp;"|"&amp;TEXT($A1937,"yyyymmdd")&amp;"|"&amp;TEXT($I1937,"0.00"))</f>
        <v/>
      </c>
      <c r="V1937" s="35" t="str">
        <f aca="false">IF($A1937="","",COUNTIF($U$8:$U$5007,$U1937))</f>
        <v/>
      </c>
    </row>
    <row r="1938" customFormat="false" ht="15" hidden="false" customHeight="false" outlineLevel="0" collapsed="false">
      <c r="A1938" s="31"/>
      <c r="B1938" s="32"/>
      <c r="C1938" s="32"/>
      <c r="D1938" s="32"/>
      <c r="E1938" s="32"/>
      <c r="F1938" s="32"/>
      <c r="G1938" s="33"/>
      <c r="H1938" s="33"/>
      <c r="I1938" s="34" t="str">
        <f aca="false">IF($A1938="","",$G1938-$H1938)</f>
        <v/>
      </c>
      <c r="J1938" s="35" t="str">
        <f aca="false">IF($A1938="","",IF(Setup!$B$6=1,YEAR($A1938),YEAR($A1938)+IF(MONTH($A1938)&gt;=Setup!$B$6,1,0)))</f>
        <v/>
      </c>
      <c r="K1938" s="35" t="str">
        <f aca="false">IF($A1938="","",MOD(MONTH($A1938)-Setup!$B$6+12,12)+1)</f>
        <v/>
      </c>
      <c r="L1938" s="36" t="str">
        <f aca="false">IF($A1938="","",TEXT($A1938,"MMM-YY"))</f>
        <v/>
      </c>
      <c r="M1938" s="37" t="str">
        <f aca="false">IF($A1938="","",IF($Q1938=0,"UNMAPPED",INDEX(COA_Mapping!$C$7:$C$256,$Q1938)))</f>
        <v/>
      </c>
      <c r="N1938" s="38" t="str">
        <f aca="false">IF($A1938="","",IF($Q1938=0,"",INDEX(COA_Mapping!$E$7:$E$256,$Q1938)))</f>
        <v/>
      </c>
      <c r="O1938" s="38" t="n">
        <f aca="false">IF($A1938="",1,IF($Q1938=0,1,INDEX(COA_Mapping!$F$7:$F$256,$Q1938)))</f>
        <v>1</v>
      </c>
      <c r="P1938" s="34" t="str">
        <f aca="false">IF($A1938="","",$I1938*$O1938)</f>
        <v/>
      </c>
      <c r="Q1938" s="39" t="n">
        <f aca="false">IF($B1938="",0,IFERROR(MATCH($B1938,COA_Mapping!$A$7:$A$256,0),0))</f>
        <v>0</v>
      </c>
      <c r="R1938" s="39" t="n">
        <f aca="false">IF($A1938="",-1,IF($J1938=Setup!$B$7,1,IF($J1938=Setup!$B$9,0,-1)))</f>
        <v>-1</v>
      </c>
      <c r="S1938" s="35" t="n">
        <f aca="false">IF(OR($A1938="",$Q1938=0,$R1938=-1),0,$Q1938*1000+$R1938*100+$K1938)</f>
        <v>0</v>
      </c>
      <c r="T1938" s="37" t="str">
        <f aca="false">IF($A1938="","",IF($B1938="","NO ACCOUNT",IF($Q1938=0,"UNMAPPED",IF($R1938=-1,"OUTSIDE FY RANGE","OK"))))</f>
        <v/>
      </c>
      <c r="U1938" s="40" t="str">
        <f aca="false">IF($A1938="","",$B1938&amp;"|"&amp;TEXT($A1938,"yyyymmdd")&amp;"|"&amp;TEXT($I1938,"0.00"))</f>
        <v/>
      </c>
      <c r="V1938" s="35" t="str">
        <f aca="false">IF($A1938="","",COUNTIF($U$8:$U$5007,$U1938))</f>
        <v/>
      </c>
    </row>
    <row r="1939" customFormat="false" ht="15" hidden="false" customHeight="false" outlineLevel="0" collapsed="false">
      <c r="A1939" s="31"/>
      <c r="B1939" s="32"/>
      <c r="C1939" s="32"/>
      <c r="D1939" s="32"/>
      <c r="E1939" s="32"/>
      <c r="F1939" s="32"/>
      <c r="G1939" s="33"/>
      <c r="H1939" s="33"/>
      <c r="I1939" s="34" t="str">
        <f aca="false">IF($A1939="","",$G1939-$H1939)</f>
        <v/>
      </c>
      <c r="J1939" s="35" t="str">
        <f aca="false">IF($A1939="","",IF(Setup!$B$6=1,YEAR($A1939),YEAR($A1939)+IF(MONTH($A1939)&gt;=Setup!$B$6,1,0)))</f>
        <v/>
      </c>
      <c r="K1939" s="35" t="str">
        <f aca="false">IF($A1939="","",MOD(MONTH($A1939)-Setup!$B$6+12,12)+1)</f>
        <v/>
      </c>
      <c r="L1939" s="36" t="str">
        <f aca="false">IF($A1939="","",TEXT($A1939,"MMM-YY"))</f>
        <v/>
      </c>
      <c r="M1939" s="37" t="str">
        <f aca="false">IF($A1939="","",IF($Q1939=0,"UNMAPPED",INDEX(COA_Mapping!$C$7:$C$256,$Q1939)))</f>
        <v/>
      </c>
      <c r="N1939" s="38" t="str">
        <f aca="false">IF($A1939="","",IF($Q1939=0,"",INDEX(COA_Mapping!$E$7:$E$256,$Q1939)))</f>
        <v/>
      </c>
      <c r="O1939" s="38" t="n">
        <f aca="false">IF($A1939="",1,IF($Q1939=0,1,INDEX(COA_Mapping!$F$7:$F$256,$Q1939)))</f>
        <v>1</v>
      </c>
      <c r="P1939" s="34" t="str">
        <f aca="false">IF($A1939="","",$I1939*$O1939)</f>
        <v/>
      </c>
      <c r="Q1939" s="39" t="n">
        <f aca="false">IF($B1939="",0,IFERROR(MATCH($B1939,COA_Mapping!$A$7:$A$256,0),0))</f>
        <v>0</v>
      </c>
      <c r="R1939" s="39" t="n">
        <f aca="false">IF($A1939="",-1,IF($J1939=Setup!$B$7,1,IF($J1939=Setup!$B$9,0,-1)))</f>
        <v>-1</v>
      </c>
      <c r="S1939" s="35" t="n">
        <f aca="false">IF(OR($A1939="",$Q1939=0,$R1939=-1),0,$Q1939*1000+$R1939*100+$K1939)</f>
        <v>0</v>
      </c>
      <c r="T1939" s="37" t="str">
        <f aca="false">IF($A1939="","",IF($B1939="","NO ACCOUNT",IF($Q1939=0,"UNMAPPED",IF($R1939=-1,"OUTSIDE FY RANGE","OK"))))</f>
        <v/>
      </c>
      <c r="U1939" s="40" t="str">
        <f aca="false">IF($A1939="","",$B1939&amp;"|"&amp;TEXT($A1939,"yyyymmdd")&amp;"|"&amp;TEXT($I1939,"0.00"))</f>
        <v/>
      </c>
      <c r="V1939" s="35" t="str">
        <f aca="false">IF($A1939="","",COUNTIF($U$8:$U$5007,$U1939))</f>
        <v/>
      </c>
    </row>
    <row r="1940" customFormat="false" ht="15" hidden="false" customHeight="false" outlineLevel="0" collapsed="false">
      <c r="A1940" s="31"/>
      <c r="B1940" s="32"/>
      <c r="C1940" s="32"/>
      <c r="D1940" s="32"/>
      <c r="E1940" s="32"/>
      <c r="F1940" s="32"/>
      <c r="G1940" s="33"/>
      <c r="H1940" s="33"/>
      <c r="I1940" s="34" t="str">
        <f aca="false">IF($A1940="","",$G1940-$H1940)</f>
        <v/>
      </c>
      <c r="J1940" s="35" t="str">
        <f aca="false">IF($A1940="","",IF(Setup!$B$6=1,YEAR($A1940),YEAR($A1940)+IF(MONTH($A1940)&gt;=Setup!$B$6,1,0)))</f>
        <v/>
      </c>
      <c r="K1940" s="35" t="str">
        <f aca="false">IF($A1940="","",MOD(MONTH($A1940)-Setup!$B$6+12,12)+1)</f>
        <v/>
      </c>
      <c r="L1940" s="36" t="str">
        <f aca="false">IF($A1940="","",TEXT($A1940,"MMM-YY"))</f>
        <v/>
      </c>
      <c r="M1940" s="37" t="str">
        <f aca="false">IF($A1940="","",IF($Q1940=0,"UNMAPPED",INDEX(COA_Mapping!$C$7:$C$256,$Q1940)))</f>
        <v/>
      </c>
      <c r="N1940" s="38" t="str">
        <f aca="false">IF($A1940="","",IF($Q1940=0,"",INDEX(COA_Mapping!$E$7:$E$256,$Q1940)))</f>
        <v/>
      </c>
      <c r="O1940" s="38" t="n">
        <f aca="false">IF($A1940="",1,IF($Q1940=0,1,INDEX(COA_Mapping!$F$7:$F$256,$Q1940)))</f>
        <v>1</v>
      </c>
      <c r="P1940" s="34" t="str">
        <f aca="false">IF($A1940="","",$I1940*$O1940)</f>
        <v/>
      </c>
      <c r="Q1940" s="39" t="n">
        <f aca="false">IF($B1940="",0,IFERROR(MATCH($B1940,COA_Mapping!$A$7:$A$256,0),0))</f>
        <v>0</v>
      </c>
      <c r="R1940" s="39" t="n">
        <f aca="false">IF($A1940="",-1,IF($J1940=Setup!$B$7,1,IF($J1940=Setup!$B$9,0,-1)))</f>
        <v>-1</v>
      </c>
      <c r="S1940" s="35" t="n">
        <f aca="false">IF(OR($A1940="",$Q1940=0,$R1940=-1),0,$Q1940*1000+$R1940*100+$K1940)</f>
        <v>0</v>
      </c>
      <c r="T1940" s="37" t="str">
        <f aca="false">IF($A1940="","",IF($B1940="","NO ACCOUNT",IF($Q1940=0,"UNMAPPED",IF($R1940=-1,"OUTSIDE FY RANGE","OK"))))</f>
        <v/>
      </c>
      <c r="U1940" s="40" t="str">
        <f aca="false">IF($A1940="","",$B1940&amp;"|"&amp;TEXT($A1940,"yyyymmdd")&amp;"|"&amp;TEXT($I1940,"0.00"))</f>
        <v/>
      </c>
      <c r="V1940" s="35" t="str">
        <f aca="false">IF($A1940="","",COUNTIF($U$8:$U$5007,$U1940))</f>
        <v/>
      </c>
    </row>
    <row r="1941" customFormat="false" ht="15" hidden="false" customHeight="false" outlineLevel="0" collapsed="false">
      <c r="A1941" s="31"/>
      <c r="B1941" s="32"/>
      <c r="C1941" s="32"/>
      <c r="D1941" s="32"/>
      <c r="E1941" s="32"/>
      <c r="F1941" s="32"/>
      <c r="G1941" s="33"/>
      <c r="H1941" s="33"/>
      <c r="I1941" s="34" t="str">
        <f aca="false">IF($A1941="","",$G1941-$H1941)</f>
        <v/>
      </c>
      <c r="J1941" s="35" t="str">
        <f aca="false">IF($A1941="","",IF(Setup!$B$6=1,YEAR($A1941),YEAR($A1941)+IF(MONTH($A1941)&gt;=Setup!$B$6,1,0)))</f>
        <v/>
      </c>
      <c r="K1941" s="35" t="str">
        <f aca="false">IF($A1941="","",MOD(MONTH($A1941)-Setup!$B$6+12,12)+1)</f>
        <v/>
      </c>
      <c r="L1941" s="36" t="str">
        <f aca="false">IF($A1941="","",TEXT($A1941,"MMM-YY"))</f>
        <v/>
      </c>
      <c r="M1941" s="37" t="str">
        <f aca="false">IF($A1941="","",IF($Q1941=0,"UNMAPPED",INDEX(COA_Mapping!$C$7:$C$256,$Q1941)))</f>
        <v/>
      </c>
      <c r="N1941" s="38" t="str">
        <f aca="false">IF($A1941="","",IF($Q1941=0,"",INDEX(COA_Mapping!$E$7:$E$256,$Q1941)))</f>
        <v/>
      </c>
      <c r="O1941" s="38" t="n">
        <f aca="false">IF($A1941="",1,IF($Q1941=0,1,INDEX(COA_Mapping!$F$7:$F$256,$Q1941)))</f>
        <v>1</v>
      </c>
      <c r="P1941" s="34" t="str">
        <f aca="false">IF($A1941="","",$I1941*$O1941)</f>
        <v/>
      </c>
      <c r="Q1941" s="39" t="n">
        <f aca="false">IF($B1941="",0,IFERROR(MATCH($B1941,COA_Mapping!$A$7:$A$256,0),0))</f>
        <v>0</v>
      </c>
      <c r="R1941" s="39" t="n">
        <f aca="false">IF($A1941="",-1,IF($J1941=Setup!$B$7,1,IF($J1941=Setup!$B$9,0,-1)))</f>
        <v>-1</v>
      </c>
      <c r="S1941" s="35" t="n">
        <f aca="false">IF(OR($A1941="",$Q1941=0,$R1941=-1),0,$Q1941*1000+$R1941*100+$K1941)</f>
        <v>0</v>
      </c>
      <c r="T1941" s="37" t="str">
        <f aca="false">IF($A1941="","",IF($B1941="","NO ACCOUNT",IF($Q1941=0,"UNMAPPED",IF($R1941=-1,"OUTSIDE FY RANGE","OK"))))</f>
        <v/>
      </c>
      <c r="U1941" s="40" t="str">
        <f aca="false">IF($A1941="","",$B1941&amp;"|"&amp;TEXT($A1941,"yyyymmdd")&amp;"|"&amp;TEXT($I1941,"0.00"))</f>
        <v/>
      </c>
      <c r="V1941" s="35" t="str">
        <f aca="false">IF($A1941="","",COUNTIF($U$8:$U$5007,$U1941))</f>
        <v/>
      </c>
    </row>
    <row r="1942" customFormat="false" ht="15" hidden="false" customHeight="false" outlineLevel="0" collapsed="false">
      <c r="A1942" s="31"/>
      <c r="B1942" s="32"/>
      <c r="C1942" s="32"/>
      <c r="D1942" s="32"/>
      <c r="E1942" s="32"/>
      <c r="F1942" s="32"/>
      <c r="G1942" s="33"/>
      <c r="H1942" s="33"/>
      <c r="I1942" s="34" t="str">
        <f aca="false">IF($A1942="","",$G1942-$H1942)</f>
        <v/>
      </c>
      <c r="J1942" s="35" t="str">
        <f aca="false">IF($A1942="","",IF(Setup!$B$6=1,YEAR($A1942),YEAR($A1942)+IF(MONTH($A1942)&gt;=Setup!$B$6,1,0)))</f>
        <v/>
      </c>
      <c r="K1942" s="35" t="str">
        <f aca="false">IF($A1942="","",MOD(MONTH($A1942)-Setup!$B$6+12,12)+1)</f>
        <v/>
      </c>
      <c r="L1942" s="36" t="str">
        <f aca="false">IF($A1942="","",TEXT($A1942,"MMM-YY"))</f>
        <v/>
      </c>
      <c r="M1942" s="37" t="str">
        <f aca="false">IF($A1942="","",IF($Q1942=0,"UNMAPPED",INDEX(COA_Mapping!$C$7:$C$256,$Q1942)))</f>
        <v/>
      </c>
      <c r="N1942" s="38" t="str">
        <f aca="false">IF($A1942="","",IF($Q1942=0,"",INDEX(COA_Mapping!$E$7:$E$256,$Q1942)))</f>
        <v/>
      </c>
      <c r="O1942" s="38" t="n">
        <f aca="false">IF($A1942="",1,IF($Q1942=0,1,INDEX(COA_Mapping!$F$7:$F$256,$Q1942)))</f>
        <v>1</v>
      </c>
      <c r="P1942" s="34" t="str">
        <f aca="false">IF($A1942="","",$I1942*$O1942)</f>
        <v/>
      </c>
      <c r="Q1942" s="39" t="n">
        <f aca="false">IF($B1942="",0,IFERROR(MATCH($B1942,COA_Mapping!$A$7:$A$256,0),0))</f>
        <v>0</v>
      </c>
      <c r="R1942" s="39" t="n">
        <f aca="false">IF($A1942="",-1,IF($J1942=Setup!$B$7,1,IF($J1942=Setup!$B$9,0,-1)))</f>
        <v>-1</v>
      </c>
      <c r="S1942" s="35" t="n">
        <f aca="false">IF(OR($A1942="",$Q1942=0,$R1942=-1),0,$Q1942*1000+$R1942*100+$K1942)</f>
        <v>0</v>
      </c>
      <c r="T1942" s="37" t="str">
        <f aca="false">IF($A1942="","",IF($B1942="","NO ACCOUNT",IF($Q1942=0,"UNMAPPED",IF($R1942=-1,"OUTSIDE FY RANGE","OK"))))</f>
        <v/>
      </c>
      <c r="U1942" s="40" t="str">
        <f aca="false">IF($A1942="","",$B1942&amp;"|"&amp;TEXT($A1942,"yyyymmdd")&amp;"|"&amp;TEXT($I1942,"0.00"))</f>
        <v/>
      </c>
      <c r="V1942" s="35" t="str">
        <f aca="false">IF($A1942="","",COUNTIF($U$8:$U$5007,$U1942))</f>
        <v/>
      </c>
    </row>
    <row r="1943" customFormat="false" ht="15" hidden="false" customHeight="false" outlineLevel="0" collapsed="false">
      <c r="A1943" s="31"/>
      <c r="B1943" s="32"/>
      <c r="C1943" s="32"/>
      <c r="D1943" s="32"/>
      <c r="E1943" s="32"/>
      <c r="F1943" s="32"/>
      <c r="G1943" s="33"/>
      <c r="H1943" s="33"/>
      <c r="I1943" s="34" t="str">
        <f aca="false">IF($A1943="","",$G1943-$H1943)</f>
        <v/>
      </c>
      <c r="J1943" s="35" t="str">
        <f aca="false">IF($A1943="","",IF(Setup!$B$6=1,YEAR($A1943),YEAR($A1943)+IF(MONTH($A1943)&gt;=Setup!$B$6,1,0)))</f>
        <v/>
      </c>
      <c r="K1943" s="35" t="str">
        <f aca="false">IF($A1943="","",MOD(MONTH($A1943)-Setup!$B$6+12,12)+1)</f>
        <v/>
      </c>
      <c r="L1943" s="36" t="str">
        <f aca="false">IF($A1943="","",TEXT($A1943,"MMM-YY"))</f>
        <v/>
      </c>
      <c r="M1943" s="37" t="str">
        <f aca="false">IF($A1943="","",IF($Q1943=0,"UNMAPPED",INDEX(COA_Mapping!$C$7:$C$256,$Q1943)))</f>
        <v/>
      </c>
      <c r="N1943" s="38" t="str">
        <f aca="false">IF($A1943="","",IF($Q1943=0,"",INDEX(COA_Mapping!$E$7:$E$256,$Q1943)))</f>
        <v/>
      </c>
      <c r="O1943" s="38" t="n">
        <f aca="false">IF($A1943="",1,IF($Q1943=0,1,INDEX(COA_Mapping!$F$7:$F$256,$Q1943)))</f>
        <v>1</v>
      </c>
      <c r="P1943" s="34" t="str">
        <f aca="false">IF($A1943="","",$I1943*$O1943)</f>
        <v/>
      </c>
      <c r="Q1943" s="39" t="n">
        <f aca="false">IF($B1943="",0,IFERROR(MATCH($B1943,COA_Mapping!$A$7:$A$256,0),0))</f>
        <v>0</v>
      </c>
      <c r="R1943" s="39" t="n">
        <f aca="false">IF($A1943="",-1,IF($J1943=Setup!$B$7,1,IF($J1943=Setup!$B$9,0,-1)))</f>
        <v>-1</v>
      </c>
      <c r="S1943" s="35" t="n">
        <f aca="false">IF(OR($A1943="",$Q1943=0,$R1943=-1),0,$Q1943*1000+$R1943*100+$K1943)</f>
        <v>0</v>
      </c>
      <c r="T1943" s="37" t="str">
        <f aca="false">IF($A1943="","",IF($B1943="","NO ACCOUNT",IF($Q1943=0,"UNMAPPED",IF($R1943=-1,"OUTSIDE FY RANGE","OK"))))</f>
        <v/>
      </c>
      <c r="U1943" s="40" t="str">
        <f aca="false">IF($A1943="","",$B1943&amp;"|"&amp;TEXT($A1943,"yyyymmdd")&amp;"|"&amp;TEXT($I1943,"0.00"))</f>
        <v/>
      </c>
      <c r="V1943" s="35" t="str">
        <f aca="false">IF($A1943="","",COUNTIF($U$8:$U$5007,$U1943))</f>
        <v/>
      </c>
    </row>
    <row r="1944" customFormat="false" ht="15" hidden="false" customHeight="false" outlineLevel="0" collapsed="false">
      <c r="A1944" s="31"/>
      <c r="B1944" s="32"/>
      <c r="C1944" s="32"/>
      <c r="D1944" s="32"/>
      <c r="E1944" s="32"/>
      <c r="F1944" s="32"/>
      <c r="G1944" s="33"/>
      <c r="H1944" s="33"/>
      <c r="I1944" s="34" t="str">
        <f aca="false">IF($A1944="","",$G1944-$H1944)</f>
        <v/>
      </c>
      <c r="J1944" s="35" t="str">
        <f aca="false">IF($A1944="","",IF(Setup!$B$6=1,YEAR($A1944),YEAR($A1944)+IF(MONTH($A1944)&gt;=Setup!$B$6,1,0)))</f>
        <v/>
      </c>
      <c r="K1944" s="35" t="str">
        <f aca="false">IF($A1944="","",MOD(MONTH($A1944)-Setup!$B$6+12,12)+1)</f>
        <v/>
      </c>
      <c r="L1944" s="36" t="str">
        <f aca="false">IF($A1944="","",TEXT($A1944,"MMM-YY"))</f>
        <v/>
      </c>
      <c r="M1944" s="37" t="str">
        <f aca="false">IF($A1944="","",IF($Q1944=0,"UNMAPPED",INDEX(COA_Mapping!$C$7:$C$256,$Q1944)))</f>
        <v/>
      </c>
      <c r="N1944" s="38" t="str">
        <f aca="false">IF($A1944="","",IF($Q1944=0,"",INDEX(COA_Mapping!$E$7:$E$256,$Q1944)))</f>
        <v/>
      </c>
      <c r="O1944" s="38" t="n">
        <f aca="false">IF($A1944="",1,IF($Q1944=0,1,INDEX(COA_Mapping!$F$7:$F$256,$Q1944)))</f>
        <v>1</v>
      </c>
      <c r="P1944" s="34" t="str">
        <f aca="false">IF($A1944="","",$I1944*$O1944)</f>
        <v/>
      </c>
      <c r="Q1944" s="39" t="n">
        <f aca="false">IF($B1944="",0,IFERROR(MATCH($B1944,COA_Mapping!$A$7:$A$256,0),0))</f>
        <v>0</v>
      </c>
      <c r="R1944" s="39" t="n">
        <f aca="false">IF($A1944="",-1,IF($J1944=Setup!$B$7,1,IF($J1944=Setup!$B$9,0,-1)))</f>
        <v>-1</v>
      </c>
      <c r="S1944" s="35" t="n">
        <f aca="false">IF(OR($A1944="",$Q1944=0,$R1944=-1),0,$Q1944*1000+$R1944*100+$K1944)</f>
        <v>0</v>
      </c>
      <c r="T1944" s="37" t="str">
        <f aca="false">IF($A1944="","",IF($B1944="","NO ACCOUNT",IF($Q1944=0,"UNMAPPED",IF($R1944=-1,"OUTSIDE FY RANGE","OK"))))</f>
        <v/>
      </c>
      <c r="U1944" s="40" t="str">
        <f aca="false">IF($A1944="","",$B1944&amp;"|"&amp;TEXT($A1944,"yyyymmdd")&amp;"|"&amp;TEXT($I1944,"0.00"))</f>
        <v/>
      </c>
      <c r="V1944" s="35" t="str">
        <f aca="false">IF($A1944="","",COUNTIF($U$8:$U$5007,$U1944))</f>
        <v/>
      </c>
    </row>
    <row r="1945" customFormat="false" ht="15" hidden="false" customHeight="false" outlineLevel="0" collapsed="false">
      <c r="A1945" s="31"/>
      <c r="B1945" s="32"/>
      <c r="C1945" s="32"/>
      <c r="D1945" s="32"/>
      <c r="E1945" s="32"/>
      <c r="F1945" s="32"/>
      <c r="G1945" s="33"/>
      <c r="H1945" s="33"/>
      <c r="I1945" s="34" t="str">
        <f aca="false">IF($A1945="","",$G1945-$H1945)</f>
        <v/>
      </c>
      <c r="J1945" s="35" t="str">
        <f aca="false">IF($A1945="","",IF(Setup!$B$6=1,YEAR($A1945),YEAR($A1945)+IF(MONTH($A1945)&gt;=Setup!$B$6,1,0)))</f>
        <v/>
      </c>
      <c r="K1945" s="35" t="str">
        <f aca="false">IF($A1945="","",MOD(MONTH($A1945)-Setup!$B$6+12,12)+1)</f>
        <v/>
      </c>
      <c r="L1945" s="36" t="str">
        <f aca="false">IF($A1945="","",TEXT($A1945,"MMM-YY"))</f>
        <v/>
      </c>
      <c r="M1945" s="37" t="str">
        <f aca="false">IF($A1945="","",IF($Q1945=0,"UNMAPPED",INDEX(COA_Mapping!$C$7:$C$256,$Q1945)))</f>
        <v/>
      </c>
      <c r="N1945" s="38" t="str">
        <f aca="false">IF($A1945="","",IF($Q1945=0,"",INDEX(COA_Mapping!$E$7:$E$256,$Q1945)))</f>
        <v/>
      </c>
      <c r="O1945" s="38" t="n">
        <f aca="false">IF($A1945="",1,IF($Q1945=0,1,INDEX(COA_Mapping!$F$7:$F$256,$Q1945)))</f>
        <v>1</v>
      </c>
      <c r="P1945" s="34" t="str">
        <f aca="false">IF($A1945="","",$I1945*$O1945)</f>
        <v/>
      </c>
      <c r="Q1945" s="39" t="n">
        <f aca="false">IF($B1945="",0,IFERROR(MATCH($B1945,COA_Mapping!$A$7:$A$256,0),0))</f>
        <v>0</v>
      </c>
      <c r="R1945" s="39" t="n">
        <f aca="false">IF($A1945="",-1,IF($J1945=Setup!$B$7,1,IF($J1945=Setup!$B$9,0,-1)))</f>
        <v>-1</v>
      </c>
      <c r="S1945" s="35" t="n">
        <f aca="false">IF(OR($A1945="",$Q1945=0,$R1945=-1),0,$Q1945*1000+$R1945*100+$K1945)</f>
        <v>0</v>
      </c>
      <c r="T1945" s="37" t="str">
        <f aca="false">IF($A1945="","",IF($B1945="","NO ACCOUNT",IF($Q1945=0,"UNMAPPED",IF($R1945=-1,"OUTSIDE FY RANGE","OK"))))</f>
        <v/>
      </c>
      <c r="U1945" s="40" t="str">
        <f aca="false">IF($A1945="","",$B1945&amp;"|"&amp;TEXT($A1945,"yyyymmdd")&amp;"|"&amp;TEXT($I1945,"0.00"))</f>
        <v/>
      </c>
      <c r="V1945" s="35" t="str">
        <f aca="false">IF($A1945="","",COUNTIF($U$8:$U$5007,$U1945))</f>
        <v/>
      </c>
    </row>
    <row r="1946" customFormat="false" ht="15" hidden="false" customHeight="false" outlineLevel="0" collapsed="false">
      <c r="A1946" s="31"/>
      <c r="B1946" s="32"/>
      <c r="C1946" s="32"/>
      <c r="D1946" s="32"/>
      <c r="E1946" s="32"/>
      <c r="F1946" s="32"/>
      <c r="G1946" s="33"/>
      <c r="H1946" s="33"/>
      <c r="I1946" s="34" t="str">
        <f aca="false">IF($A1946="","",$G1946-$H1946)</f>
        <v/>
      </c>
      <c r="J1946" s="35" t="str">
        <f aca="false">IF($A1946="","",IF(Setup!$B$6=1,YEAR($A1946),YEAR($A1946)+IF(MONTH($A1946)&gt;=Setup!$B$6,1,0)))</f>
        <v/>
      </c>
      <c r="K1946" s="35" t="str">
        <f aca="false">IF($A1946="","",MOD(MONTH($A1946)-Setup!$B$6+12,12)+1)</f>
        <v/>
      </c>
      <c r="L1946" s="36" t="str">
        <f aca="false">IF($A1946="","",TEXT($A1946,"MMM-YY"))</f>
        <v/>
      </c>
      <c r="M1946" s="37" t="str">
        <f aca="false">IF($A1946="","",IF($Q1946=0,"UNMAPPED",INDEX(COA_Mapping!$C$7:$C$256,$Q1946)))</f>
        <v/>
      </c>
      <c r="N1946" s="38" t="str">
        <f aca="false">IF($A1946="","",IF($Q1946=0,"",INDEX(COA_Mapping!$E$7:$E$256,$Q1946)))</f>
        <v/>
      </c>
      <c r="O1946" s="38" t="n">
        <f aca="false">IF($A1946="",1,IF($Q1946=0,1,INDEX(COA_Mapping!$F$7:$F$256,$Q1946)))</f>
        <v>1</v>
      </c>
      <c r="P1946" s="34" t="str">
        <f aca="false">IF($A1946="","",$I1946*$O1946)</f>
        <v/>
      </c>
      <c r="Q1946" s="39" t="n">
        <f aca="false">IF($B1946="",0,IFERROR(MATCH($B1946,COA_Mapping!$A$7:$A$256,0),0))</f>
        <v>0</v>
      </c>
      <c r="R1946" s="39" t="n">
        <f aca="false">IF($A1946="",-1,IF($J1946=Setup!$B$7,1,IF($J1946=Setup!$B$9,0,-1)))</f>
        <v>-1</v>
      </c>
      <c r="S1946" s="35" t="n">
        <f aca="false">IF(OR($A1946="",$Q1946=0,$R1946=-1),0,$Q1946*1000+$R1946*100+$K1946)</f>
        <v>0</v>
      </c>
      <c r="T1946" s="37" t="str">
        <f aca="false">IF($A1946="","",IF($B1946="","NO ACCOUNT",IF($Q1946=0,"UNMAPPED",IF($R1946=-1,"OUTSIDE FY RANGE","OK"))))</f>
        <v/>
      </c>
      <c r="U1946" s="40" t="str">
        <f aca="false">IF($A1946="","",$B1946&amp;"|"&amp;TEXT($A1946,"yyyymmdd")&amp;"|"&amp;TEXT($I1946,"0.00"))</f>
        <v/>
      </c>
      <c r="V1946" s="35" t="str">
        <f aca="false">IF($A1946="","",COUNTIF($U$8:$U$5007,$U1946))</f>
        <v/>
      </c>
    </row>
    <row r="1947" customFormat="false" ht="15" hidden="false" customHeight="false" outlineLevel="0" collapsed="false">
      <c r="A1947" s="31"/>
      <c r="B1947" s="32"/>
      <c r="C1947" s="32"/>
      <c r="D1947" s="32"/>
      <c r="E1947" s="32"/>
      <c r="F1947" s="32"/>
      <c r="G1947" s="33"/>
      <c r="H1947" s="33"/>
      <c r="I1947" s="34" t="str">
        <f aca="false">IF($A1947="","",$G1947-$H1947)</f>
        <v/>
      </c>
      <c r="J1947" s="35" t="str">
        <f aca="false">IF($A1947="","",IF(Setup!$B$6=1,YEAR($A1947),YEAR($A1947)+IF(MONTH($A1947)&gt;=Setup!$B$6,1,0)))</f>
        <v/>
      </c>
      <c r="K1947" s="35" t="str">
        <f aca="false">IF($A1947="","",MOD(MONTH($A1947)-Setup!$B$6+12,12)+1)</f>
        <v/>
      </c>
      <c r="L1947" s="36" t="str">
        <f aca="false">IF($A1947="","",TEXT($A1947,"MMM-YY"))</f>
        <v/>
      </c>
      <c r="M1947" s="37" t="str">
        <f aca="false">IF($A1947="","",IF($Q1947=0,"UNMAPPED",INDEX(COA_Mapping!$C$7:$C$256,$Q1947)))</f>
        <v/>
      </c>
      <c r="N1947" s="38" t="str">
        <f aca="false">IF($A1947="","",IF($Q1947=0,"",INDEX(COA_Mapping!$E$7:$E$256,$Q1947)))</f>
        <v/>
      </c>
      <c r="O1947" s="38" t="n">
        <f aca="false">IF($A1947="",1,IF($Q1947=0,1,INDEX(COA_Mapping!$F$7:$F$256,$Q1947)))</f>
        <v>1</v>
      </c>
      <c r="P1947" s="34" t="str">
        <f aca="false">IF($A1947="","",$I1947*$O1947)</f>
        <v/>
      </c>
      <c r="Q1947" s="39" t="n">
        <f aca="false">IF($B1947="",0,IFERROR(MATCH($B1947,COA_Mapping!$A$7:$A$256,0),0))</f>
        <v>0</v>
      </c>
      <c r="R1947" s="39" t="n">
        <f aca="false">IF($A1947="",-1,IF($J1947=Setup!$B$7,1,IF($J1947=Setup!$B$9,0,-1)))</f>
        <v>-1</v>
      </c>
      <c r="S1947" s="35" t="n">
        <f aca="false">IF(OR($A1947="",$Q1947=0,$R1947=-1),0,$Q1947*1000+$R1947*100+$K1947)</f>
        <v>0</v>
      </c>
      <c r="T1947" s="37" t="str">
        <f aca="false">IF($A1947="","",IF($B1947="","NO ACCOUNT",IF($Q1947=0,"UNMAPPED",IF($R1947=-1,"OUTSIDE FY RANGE","OK"))))</f>
        <v/>
      </c>
      <c r="U1947" s="40" t="str">
        <f aca="false">IF($A1947="","",$B1947&amp;"|"&amp;TEXT($A1947,"yyyymmdd")&amp;"|"&amp;TEXT($I1947,"0.00"))</f>
        <v/>
      </c>
      <c r="V1947" s="35" t="str">
        <f aca="false">IF($A1947="","",COUNTIF($U$8:$U$5007,$U1947))</f>
        <v/>
      </c>
    </row>
    <row r="1948" customFormat="false" ht="15" hidden="false" customHeight="false" outlineLevel="0" collapsed="false">
      <c r="A1948" s="31"/>
      <c r="B1948" s="32"/>
      <c r="C1948" s="32"/>
      <c r="D1948" s="32"/>
      <c r="E1948" s="32"/>
      <c r="F1948" s="32"/>
      <c r="G1948" s="33"/>
      <c r="H1948" s="33"/>
      <c r="I1948" s="34" t="str">
        <f aca="false">IF($A1948="","",$G1948-$H1948)</f>
        <v/>
      </c>
      <c r="J1948" s="35" t="str">
        <f aca="false">IF($A1948="","",IF(Setup!$B$6=1,YEAR($A1948),YEAR($A1948)+IF(MONTH($A1948)&gt;=Setup!$B$6,1,0)))</f>
        <v/>
      </c>
      <c r="K1948" s="35" t="str">
        <f aca="false">IF($A1948="","",MOD(MONTH($A1948)-Setup!$B$6+12,12)+1)</f>
        <v/>
      </c>
      <c r="L1948" s="36" t="str">
        <f aca="false">IF($A1948="","",TEXT($A1948,"MMM-YY"))</f>
        <v/>
      </c>
      <c r="M1948" s="37" t="str">
        <f aca="false">IF($A1948="","",IF($Q1948=0,"UNMAPPED",INDEX(COA_Mapping!$C$7:$C$256,$Q1948)))</f>
        <v/>
      </c>
      <c r="N1948" s="38" t="str">
        <f aca="false">IF($A1948="","",IF($Q1948=0,"",INDEX(COA_Mapping!$E$7:$E$256,$Q1948)))</f>
        <v/>
      </c>
      <c r="O1948" s="38" t="n">
        <f aca="false">IF($A1948="",1,IF($Q1948=0,1,INDEX(COA_Mapping!$F$7:$F$256,$Q1948)))</f>
        <v>1</v>
      </c>
      <c r="P1948" s="34" t="str">
        <f aca="false">IF($A1948="","",$I1948*$O1948)</f>
        <v/>
      </c>
      <c r="Q1948" s="39" t="n">
        <f aca="false">IF($B1948="",0,IFERROR(MATCH($B1948,COA_Mapping!$A$7:$A$256,0),0))</f>
        <v>0</v>
      </c>
      <c r="R1948" s="39" t="n">
        <f aca="false">IF($A1948="",-1,IF($J1948=Setup!$B$7,1,IF($J1948=Setup!$B$9,0,-1)))</f>
        <v>-1</v>
      </c>
      <c r="S1948" s="35" t="n">
        <f aca="false">IF(OR($A1948="",$Q1948=0,$R1948=-1),0,$Q1948*1000+$R1948*100+$K1948)</f>
        <v>0</v>
      </c>
      <c r="T1948" s="37" t="str">
        <f aca="false">IF($A1948="","",IF($B1948="","NO ACCOUNT",IF($Q1948=0,"UNMAPPED",IF($R1948=-1,"OUTSIDE FY RANGE","OK"))))</f>
        <v/>
      </c>
      <c r="U1948" s="40" t="str">
        <f aca="false">IF($A1948="","",$B1948&amp;"|"&amp;TEXT($A1948,"yyyymmdd")&amp;"|"&amp;TEXT($I1948,"0.00"))</f>
        <v/>
      </c>
      <c r="V1948" s="35" t="str">
        <f aca="false">IF($A1948="","",COUNTIF($U$8:$U$5007,$U1948))</f>
        <v/>
      </c>
    </row>
    <row r="1949" customFormat="false" ht="15" hidden="false" customHeight="false" outlineLevel="0" collapsed="false">
      <c r="A1949" s="31"/>
      <c r="B1949" s="32"/>
      <c r="C1949" s="32"/>
      <c r="D1949" s="32"/>
      <c r="E1949" s="32"/>
      <c r="F1949" s="32"/>
      <c r="G1949" s="33"/>
      <c r="H1949" s="33"/>
      <c r="I1949" s="34" t="str">
        <f aca="false">IF($A1949="","",$G1949-$H1949)</f>
        <v/>
      </c>
      <c r="J1949" s="35" t="str">
        <f aca="false">IF($A1949="","",IF(Setup!$B$6=1,YEAR($A1949),YEAR($A1949)+IF(MONTH($A1949)&gt;=Setup!$B$6,1,0)))</f>
        <v/>
      </c>
      <c r="K1949" s="35" t="str">
        <f aca="false">IF($A1949="","",MOD(MONTH($A1949)-Setup!$B$6+12,12)+1)</f>
        <v/>
      </c>
      <c r="L1949" s="36" t="str">
        <f aca="false">IF($A1949="","",TEXT($A1949,"MMM-YY"))</f>
        <v/>
      </c>
      <c r="M1949" s="37" t="str">
        <f aca="false">IF($A1949="","",IF($Q1949=0,"UNMAPPED",INDEX(COA_Mapping!$C$7:$C$256,$Q1949)))</f>
        <v/>
      </c>
      <c r="N1949" s="38" t="str">
        <f aca="false">IF($A1949="","",IF($Q1949=0,"",INDEX(COA_Mapping!$E$7:$E$256,$Q1949)))</f>
        <v/>
      </c>
      <c r="O1949" s="38" t="n">
        <f aca="false">IF($A1949="",1,IF($Q1949=0,1,INDEX(COA_Mapping!$F$7:$F$256,$Q1949)))</f>
        <v>1</v>
      </c>
      <c r="P1949" s="34" t="str">
        <f aca="false">IF($A1949="","",$I1949*$O1949)</f>
        <v/>
      </c>
      <c r="Q1949" s="39" t="n">
        <f aca="false">IF($B1949="",0,IFERROR(MATCH($B1949,COA_Mapping!$A$7:$A$256,0),0))</f>
        <v>0</v>
      </c>
      <c r="R1949" s="39" t="n">
        <f aca="false">IF($A1949="",-1,IF($J1949=Setup!$B$7,1,IF($J1949=Setup!$B$9,0,-1)))</f>
        <v>-1</v>
      </c>
      <c r="S1949" s="35" t="n">
        <f aca="false">IF(OR($A1949="",$Q1949=0,$R1949=-1),0,$Q1949*1000+$R1949*100+$K1949)</f>
        <v>0</v>
      </c>
      <c r="T1949" s="37" t="str">
        <f aca="false">IF($A1949="","",IF($B1949="","NO ACCOUNT",IF($Q1949=0,"UNMAPPED",IF($R1949=-1,"OUTSIDE FY RANGE","OK"))))</f>
        <v/>
      </c>
      <c r="U1949" s="40" t="str">
        <f aca="false">IF($A1949="","",$B1949&amp;"|"&amp;TEXT($A1949,"yyyymmdd")&amp;"|"&amp;TEXT($I1949,"0.00"))</f>
        <v/>
      </c>
      <c r="V1949" s="35" t="str">
        <f aca="false">IF($A1949="","",COUNTIF($U$8:$U$5007,$U1949))</f>
        <v/>
      </c>
    </row>
    <row r="1950" customFormat="false" ht="15" hidden="false" customHeight="false" outlineLevel="0" collapsed="false">
      <c r="A1950" s="31"/>
      <c r="B1950" s="32"/>
      <c r="C1950" s="32"/>
      <c r="D1950" s="32"/>
      <c r="E1950" s="32"/>
      <c r="F1950" s="32"/>
      <c r="G1950" s="33"/>
      <c r="H1950" s="33"/>
      <c r="I1950" s="34" t="str">
        <f aca="false">IF($A1950="","",$G1950-$H1950)</f>
        <v/>
      </c>
      <c r="J1950" s="35" t="str">
        <f aca="false">IF($A1950="","",IF(Setup!$B$6=1,YEAR($A1950),YEAR($A1950)+IF(MONTH($A1950)&gt;=Setup!$B$6,1,0)))</f>
        <v/>
      </c>
      <c r="K1950" s="35" t="str">
        <f aca="false">IF($A1950="","",MOD(MONTH($A1950)-Setup!$B$6+12,12)+1)</f>
        <v/>
      </c>
      <c r="L1950" s="36" t="str">
        <f aca="false">IF($A1950="","",TEXT($A1950,"MMM-YY"))</f>
        <v/>
      </c>
      <c r="M1950" s="37" t="str">
        <f aca="false">IF($A1950="","",IF($Q1950=0,"UNMAPPED",INDEX(COA_Mapping!$C$7:$C$256,$Q1950)))</f>
        <v/>
      </c>
      <c r="N1950" s="38" t="str">
        <f aca="false">IF($A1950="","",IF($Q1950=0,"",INDEX(COA_Mapping!$E$7:$E$256,$Q1950)))</f>
        <v/>
      </c>
      <c r="O1950" s="38" t="n">
        <f aca="false">IF($A1950="",1,IF($Q1950=0,1,INDEX(COA_Mapping!$F$7:$F$256,$Q1950)))</f>
        <v>1</v>
      </c>
      <c r="P1950" s="34" t="str">
        <f aca="false">IF($A1950="","",$I1950*$O1950)</f>
        <v/>
      </c>
      <c r="Q1950" s="39" t="n">
        <f aca="false">IF($B1950="",0,IFERROR(MATCH($B1950,COA_Mapping!$A$7:$A$256,0),0))</f>
        <v>0</v>
      </c>
      <c r="R1950" s="39" t="n">
        <f aca="false">IF($A1950="",-1,IF($J1950=Setup!$B$7,1,IF($J1950=Setup!$B$9,0,-1)))</f>
        <v>-1</v>
      </c>
      <c r="S1950" s="35" t="n">
        <f aca="false">IF(OR($A1950="",$Q1950=0,$R1950=-1),0,$Q1950*1000+$R1950*100+$K1950)</f>
        <v>0</v>
      </c>
      <c r="T1950" s="37" t="str">
        <f aca="false">IF($A1950="","",IF($B1950="","NO ACCOUNT",IF($Q1950=0,"UNMAPPED",IF($R1950=-1,"OUTSIDE FY RANGE","OK"))))</f>
        <v/>
      </c>
      <c r="U1950" s="40" t="str">
        <f aca="false">IF($A1950="","",$B1950&amp;"|"&amp;TEXT($A1950,"yyyymmdd")&amp;"|"&amp;TEXT($I1950,"0.00"))</f>
        <v/>
      </c>
      <c r="V1950" s="35" t="str">
        <f aca="false">IF($A1950="","",COUNTIF($U$8:$U$5007,$U1950))</f>
        <v/>
      </c>
    </row>
    <row r="1951" customFormat="false" ht="15" hidden="false" customHeight="false" outlineLevel="0" collapsed="false">
      <c r="A1951" s="31"/>
      <c r="B1951" s="32"/>
      <c r="C1951" s="32"/>
      <c r="D1951" s="32"/>
      <c r="E1951" s="32"/>
      <c r="F1951" s="32"/>
      <c r="G1951" s="33"/>
      <c r="H1951" s="33"/>
      <c r="I1951" s="34" t="str">
        <f aca="false">IF($A1951="","",$G1951-$H1951)</f>
        <v/>
      </c>
      <c r="J1951" s="35" t="str">
        <f aca="false">IF($A1951="","",IF(Setup!$B$6=1,YEAR($A1951),YEAR($A1951)+IF(MONTH($A1951)&gt;=Setup!$B$6,1,0)))</f>
        <v/>
      </c>
      <c r="K1951" s="35" t="str">
        <f aca="false">IF($A1951="","",MOD(MONTH($A1951)-Setup!$B$6+12,12)+1)</f>
        <v/>
      </c>
      <c r="L1951" s="36" t="str">
        <f aca="false">IF($A1951="","",TEXT($A1951,"MMM-YY"))</f>
        <v/>
      </c>
      <c r="M1951" s="37" t="str">
        <f aca="false">IF($A1951="","",IF($Q1951=0,"UNMAPPED",INDEX(COA_Mapping!$C$7:$C$256,$Q1951)))</f>
        <v/>
      </c>
      <c r="N1951" s="38" t="str">
        <f aca="false">IF($A1951="","",IF($Q1951=0,"",INDEX(COA_Mapping!$E$7:$E$256,$Q1951)))</f>
        <v/>
      </c>
      <c r="O1951" s="38" t="n">
        <f aca="false">IF($A1951="",1,IF($Q1951=0,1,INDEX(COA_Mapping!$F$7:$F$256,$Q1951)))</f>
        <v>1</v>
      </c>
      <c r="P1951" s="34" t="str">
        <f aca="false">IF($A1951="","",$I1951*$O1951)</f>
        <v/>
      </c>
      <c r="Q1951" s="39" t="n">
        <f aca="false">IF($B1951="",0,IFERROR(MATCH($B1951,COA_Mapping!$A$7:$A$256,0),0))</f>
        <v>0</v>
      </c>
      <c r="R1951" s="39" t="n">
        <f aca="false">IF($A1951="",-1,IF($J1951=Setup!$B$7,1,IF($J1951=Setup!$B$9,0,-1)))</f>
        <v>-1</v>
      </c>
      <c r="S1951" s="35" t="n">
        <f aca="false">IF(OR($A1951="",$Q1951=0,$R1951=-1),0,$Q1951*1000+$R1951*100+$K1951)</f>
        <v>0</v>
      </c>
      <c r="T1951" s="37" t="str">
        <f aca="false">IF($A1951="","",IF($B1951="","NO ACCOUNT",IF($Q1951=0,"UNMAPPED",IF($R1951=-1,"OUTSIDE FY RANGE","OK"))))</f>
        <v/>
      </c>
      <c r="U1951" s="40" t="str">
        <f aca="false">IF($A1951="","",$B1951&amp;"|"&amp;TEXT($A1951,"yyyymmdd")&amp;"|"&amp;TEXT($I1951,"0.00"))</f>
        <v/>
      </c>
      <c r="V1951" s="35" t="str">
        <f aca="false">IF($A1951="","",COUNTIF($U$8:$U$5007,$U1951))</f>
        <v/>
      </c>
    </row>
    <row r="1952" customFormat="false" ht="15" hidden="false" customHeight="false" outlineLevel="0" collapsed="false">
      <c r="A1952" s="31"/>
      <c r="B1952" s="32"/>
      <c r="C1952" s="32"/>
      <c r="D1952" s="32"/>
      <c r="E1952" s="32"/>
      <c r="F1952" s="32"/>
      <c r="G1952" s="33"/>
      <c r="H1952" s="33"/>
      <c r="I1952" s="34" t="str">
        <f aca="false">IF($A1952="","",$G1952-$H1952)</f>
        <v/>
      </c>
      <c r="J1952" s="35" t="str">
        <f aca="false">IF($A1952="","",IF(Setup!$B$6=1,YEAR($A1952),YEAR($A1952)+IF(MONTH($A1952)&gt;=Setup!$B$6,1,0)))</f>
        <v/>
      </c>
      <c r="K1952" s="35" t="str">
        <f aca="false">IF($A1952="","",MOD(MONTH($A1952)-Setup!$B$6+12,12)+1)</f>
        <v/>
      </c>
      <c r="L1952" s="36" t="str">
        <f aca="false">IF($A1952="","",TEXT($A1952,"MMM-YY"))</f>
        <v/>
      </c>
      <c r="M1952" s="37" t="str">
        <f aca="false">IF($A1952="","",IF($Q1952=0,"UNMAPPED",INDEX(COA_Mapping!$C$7:$C$256,$Q1952)))</f>
        <v/>
      </c>
      <c r="N1952" s="38" t="str">
        <f aca="false">IF($A1952="","",IF($Q1952=0,"",INDEX(COA_Mapping!$E$7:$E$256,$Q1952)))</f>
        <v/>
      </c>
      <c r="O1952" s="38" t="n">
        <f aca="false">IF($A1952="",1,IF($Q1952=0,1,INDEX(COA_Mapping!$F$7:$F$256,$Q1952)))</f>
        <v>1</v>
      </c>
      <c r="P1952" s="34" t="str">
        <f aca="false">IF($A1952="","",$I1952*$O1952)</f>
        <v/>
      </c>
      <c r="Q1952" s="39" t="n">
        <f aca="false">IF($B1952="",0,IFERROR(MATCH($B1952,COA_Mapping!$A$7:$A$256,0),0))</f>
        <v>0</v>
      </c>
      <c r="R1952" s="39" t="n">
        <f aca="false">IF($A1952="",-1,IF($J1952=Setup!$B$7,1,IF($J1952=Setup!$B$9,0,-1)))</f>
        <v>-1</v>
      </c>
      <c r="S1952" s="35" t="n">
        <f aca="false">IF(OR($A1952="",$Q1952=0,$R1952=-1),0,$Q1952*1000+$R1952*100+$K1952)</f>
        <v>0</v>
      </c>
      <c r="T1952" s="37" t="str">
        <f aca="false">IF($A1952="","",IF($B1952="","NO ACCOUNT",IF($Q1952=0,"UNMAPPED",IF($R1952=-1,"OUTSIDE FY RANGE","OK"))))</f>
        <v/>
      </c>
      <c r="U1952" s="40" t="str">
        <f aca="false">IF($A1952="","",$B1952&amp;"|"&amp;TEXT($A1952,"yyyymmdd")&amp;"|"&amp;TEXT($I1952,"0.00"))</f>
        <v/>
      </c>
      <c r="V1952" s="35" t="str">
        <f aca="false">IF($A1952="","",COUNTIF($U$8:$U$5007,$U1952))</f>
        <v/>
      </c>
    </row>
    <row r="1953" customFormat="false" ht="15" hidden="false" customHeight="false" outlineLevel="0" collapsed="false">
      <c r="A1953" s="31"/>
      <c r="B1953" s="32"/>
      <c r="C1953" s="32"/>
      <c r="D1953" s="32"/>
      <c r="E1953" s="32"/>
      <c r="F1953" s="32"/>
      <c r="G1953" s="33"/>
      <c r="H1953" s="33"/>
      <c r="I1953" s="34" t="str">
        <f aca="false">IF($A1953="","",$G1953-$H1953)</f>
        <v/>
      </c>
      <c r="J1953" s="35" t="str">
        <f aca="false">IF($A1953="","",IF(Setup!$B$6=1,YEAR($A1953),YEAR($A1953)+IF(MONTH($A1953)&gt;=Setup!$B$6,1,0)))</f>
        <v/>
      </c>
      <c r="K1953" s="35" t="str">
        <f aca="false">IF($A1953="","",MOD(MONTH($A1953)-Setup!$B$6+12,12)+1)</f>
        <v/>
      </c>
      <c r="L1953" s="36" t="str">
        <f aca="false">IF($A1953="","",TEXT($A1953,"MMM-YY"))</f>
        <v/>
      </c>
      <c r="M1953" s="37" t="str">
        <f aca="false">IF($A1953="","",IF($Q1953=0,"UNMAPPED",INDEX(COA_Mapping!$C$7:$C$256,$Q1953)))</f>
        <v/>
      </c>
      <c r="N1953" s="38" t="str">
        <f aca="false">IF($A1953="","",IF($Q1953=0,"",INDEX(COA_Mapping!$E$7:$E$256,$Q1953)))</f>
        <v/>
      </c>
      <c r="O1953" s="38" t="n">
        <f aca="false">IF($A1953="",1,IF($Q1953=0,1,INDEX(COA_Mapping!$F$7:$F$256,$Q1953)))</f>
        <v>1</v>
      </c>
      <c r="P1953" s="34" t="str">
        <f aca="false">IF($A1953="","",$I1953*$O1953)</f>
        <v/>
      </c>
      <c r="Q1953" s="39" t="n">
        <f aca="false">IF($B1953="",0,IFERROR(MATCH($B1953,COA_Mapping!$A$7:$A$256,0),0))</f>
        <v>0</v>
      </c>
      <c r="R1953" s="39" t="n">
        <f aca="false">IF($A1953="",-1,IF($J1953=Setup!$B$7,1,IF($J1953=Setup!$B$9,0,-1)))</f>
        <v>-1</v>
      </c>
      <c r="S1953" s="35" t="n">
        <f aca="false">IF(OR($A1953="",$Q1953=0,$R1953=-1),0,$Q1953*1000+$R1953*100+$K1953)</f>
        <v>0</v>
      </c>
      <c r="T1953" s="37" t="str">
        <f aca="false">IF($A1953="","",IF($B1953="","NO ACCOUNT",IF($Q1953=0,"UNMAPPED",IF($R1953=-1,"OUTSIDE FY RANGE","OK"))))</f>
        <v/>
      </c>
      <c r="U1953" s="40" t="str">
        <f aca="false">IF($A1953="","",$B1953&amp;"|"&amp;TEXT($A1953,"yyyymmdd")&amp;"|"&amp;TEXT($I1953,"0.00"))</f>
        <v/>
      </c>
      <c r="V1953" s="35" t="str">
        <f aca="false">IF($A1953="","",COUNTIF($U$8:$U$5007,$U1953))</f>
        <v/>
      </c>
    </row>
    <row r="1954" customFormat="false" ht="15" hidden="false" customHeight="false" outlineLevel="0" collapsed="false">
      <c r="A1954" s="31"/>
      <c r="B1954" s="32"/>
      <c r="C1954" s="32"/>
      <c r="D1954" s="32"/>
      <c r="E1954" s="32"/>
      <c r="F1954" s="32"/>
      <c r="G1954" s="33"/>
      <c r="H1954" s="33"/>
      <c r="I1954" s="34" t="str">
        <f aca="false">IF($A1954="","",$G1954-$H1954)</f>
        <v/>
      </c>
      <c r="J1954" s="35" t="str">
        <f aca="false">IF($A1954="","",IF(Setup!$B$6=1,YEAR($A1954),YEAR($A1954)+IF(MONTH($A1954)&gt;=Setup!$B$6,1,0)))</f>
        <v/>
      </c>
      <c r="K1954" s="35" t="str">
        <f aca="false">IF($A1954="","",MOD(MONTH($A1954)-Setup!$B$6+12,12)+1)</f>
        <v/>
      </c>
      <c r="L1954" s="36" t="str">
        <f aca="false">IF($A1954="","",TEXT($A1954,"MMM-YY"))</f>
        <v/>
      </c>
      <c r="M1954" s="37" t="str">
        <f aca="false">IF($A1954="","",IF($Q1954=0,"UNMAPPED",INDEX(COA_Mapping!$C$7:$C$256,$Q1954)))</f>
        <v/>
      </c>
      <c r="N1954" s="38" t="str">
        <f aca="false">IF($A1954="","",IF($Q1954=0,"",INDEX(COA_Mapping!$E$7:$E$256,$Q1954)))</f>
        <v/>
      </c>
      <c r="O1954" s="38" t="n">
        <f aca="false">IF($A1954="",1,IF($Q1954=0,1,INDEX(COA_Mapping!$F$7:$F$256,$Q1954)))</f>
        <v>1</v>
      </c>
      <c r="P1954" s="34" t="str">
        <f aca="false">IF($A1954="","",$I1954*$O1954)</f>
        <v/>
      </c>
      <c r="Q1954" s="39" t="n">
        <f aca="false">IF($B1954="",0,IFERROR(MATCH($B1954,COA_Mapping!$A$7:$A$256,0),0))</f>
        <v>0</v>
      </c>
      <c r="R1954" s="39" t="n">
        <f aca="false">IF($A1954="",-1,IF($J1954=Setup!$B$7,1,IF($J1954=Setup!$B$9,0,-1)))</f>
        <v>-1</v>
      </c>
      <c r="S1954" s="35" t="n">
        <f aca="false">IF(OR($A1954="",$Q1954=0,$R1954=-1),0,$Q1954*1000+$R1954*100+$K1954)</f>
        <v>0</v>
      </c>
      <c r="T1954" s="37" t="str">
        <f aca="false">IF($A1954="","",IF($B1954="","NO ACCOUNT",IF($Q1954=0,"UNMAPPED",IF($R1954=-1,"OUTSIDE FY RANGE","OK"))))</f>
        <v/>
      </c>
      <c r="U1954" s="40" t="str">
        <f aca="false">IF($A1954="","",$B1954&amp;"|"&amp;TEXT($A1954,"yyyymmdd")&amp;"|"&amp;TEXT($I1954,"0.00"))</f>
        <v/>
      </c>
      <c r="V1954" s="35" t="str">
        <f aca="false">IF($A1954="","",COUNTIF($U$8:$U$5007,$U1954))</f>
        <v/>
      </c>
    </row>
    <row r="1955" customFormat="false" ht="15" hidden="false" customHeight="false" outlineLevel="0" collapsed="false">
      <c r="A1955" s="31"/>
      <c r="B1955" s="32"/>
      <c r="C1955" s="32"/>
      <c r="D1955" s="32"/>
      <c r="E1955" s="32"/>
      <c r="F1955" s="32"/>
      <c r="G1955" s="33"/>
      <c r="H1955" s="33"/>
      <c r="I1955" s="34" t="str">
        <f aca="false">IF($A1955="","",$G1955-$H1955)</f>
        <v/>
      </c>
      <c r="J1955" s="35" t="str">
        <f aca="false">IF($A1955="","",IF(Setup!$B$6=1,YEAR($A1955),YEAR($A1955)+IF(MONTH($A1955)&gt;=Setup!$B$6,1,0)))</f>
        <v/>
      </c>
      <c r="K1955" s="35" t="str">
        <f aca="false">IF($A1955="","",MOD(MONTH($A1955)-Setup!$B$6+12,12)+1)</f>
        <v/>
      </c>
      <c r="L1955" s="36" t="str">
        <f aca="false">IF($A1955="","",TEXT($A1955,"MMM-YY"))</f>
        <v/>
      </c>
      <c r="M1955" s="37" t="str">
        <f aca="false">IF($A1955="","",IF($Q1955=0,"UNMAPPED",INDEX(COA_Mapping!$C$7:$C$256,$Q1955)))</f>
        <v/>
      </c>
      <c r="N1955" s="38" t="str">
        <f aca="false">IF($A1955="","",IF($Q1955=0,"",INDEX(COA_Mapping!$E$7:$E$256,$Q1955)))</f>
        <v/>
      </c>
      <c r="O1955" s="38" t="n">
        <f aca="false">IF($A1955="",1,IF($Q1955=0,1,INDEX(COA_Mapping!$F$7:$F$256,$Q1955)))</f>
        <v>1</v>
      </c>
      <c r="P1955" s="34" t="str">
        <f aca="false">IF($A1955="","",$I1955*$O1955)</f>
        <v/>
      </c>
      <c r="Q1955" s="39" t="n">
        <f aca="false">IF($B1955="",0,IFERROR(MATCH($B1955,COA_Mapping!$A$7:$A$256,0),0))</f>
        <v>0</v>
      </c>
      <c r="R1955" s="39" t="n">
        <f aca="false">IF($A1955="",-1,IF($J1955=Setup!$B$7,1,IF($J1955=Setup!$B$9,0,-1)))</f>
        <v>-1</v>
      </c>
      <c r="S1955" s="35" t="n">
        <f aca="false">IF(OR($A1955="",$Q1955=0,$R1955=-1),0,$Q1955*1000+$R1955*100+$K1955)</f>
        <v>0</v>
      </c>
      <c r="T1955" s="37" t="str">
        <f aca="false">IF($A1955="","",IF($B1955="","NO ACCOUNT",IF($Q1955=0,"UNMAPPED",IF($R1955=-1,"OUTSIDE FY RANGE","OK"))))</f>
        <v/>
      </c>
      <c r="U1955" s="40" t="str">
        <f aca="false">IF($A1955="","",$B1955&amp;"|"&amp;TEXT($A1955,"yyyymmdd")&amp;"|"&amp;TEXT($I1955,"0.00"))</f>
        <v/>
      </c>
      <c r="V1955" s="35" t="str">
        <f aca="false">IF($A1955="","",COUNTIF($U$8:$U$5007,$U1955))</f>
        <v/>
      </c>
    </row>
    <row r="1956" customFormat="false" ht="15" hidden="false" customHeight="false" outlineLevel="0" collapsed="false">
      <c r="A1956" s="31"/>
      <c r="B1956" s="32"/>
      <c r="C1956" s="32"/>
      <c r="D1956" s="32"/>
      <c r="E1956" s="32"/>
      <c r="F1956" s="32"/>
      <c r="G1956" s="33"/>
      <c r="H1956" s="33"/>
      <c r="I1956" s="34" t="str">
        <f aca="false">IF($A1956="","",$G1956-$H1956)</f>
        <v/>
      </c>
      <c r="J1956" s="35" t="str">
        <f aca="false">IF($A1956="","",IF(Setup!$B$6=1,YEAR($A1956),YEAR($A1956)+IF(MONTH($A1956)&gt;=Setup!$B$6,1,0)))</f>
        <v/>
      </c>
      <c r="K1956" s="35" t="str">
        <f aca="false">IF($A1956="","",MOD(MONTH($A1956)-Setup!$B$6+12,12)+1)</f>
        <v/>
      </c>
      <c r="L1956" s="36" t="str">
        <f aca="false">IF($A1956="","",TEXT($A1956,"MMM-YY"))</f>
        <v/>
      </c>
      <c r="M1956" s="37" t="str">
        <f aca="false">IF($A1956="","",IF($Q1956=0,"UNMAPPED",INDEX(COA_Mapping!$C$7:$C$256,$Q1956)))</f>
        <v/>
      </c>
      <c r="N1956" s="38" t="str">
        <f aca="false">IF($A1956="","",IF($Q1956=0,"",INDEX(COA_Mapping!$E$7:$E$256,$Q1956)))</f>
        <v/>
      </c>
      <c r="O1956" s="38" t="n">
        <f aca="false">IF($A1956="",1,IF($Q1956=0,1,INDEX(COA_Mapping!$F$7:$F$256,$Q1956)))</f>
        <v>1</v>
      </c>
      <c r="P1956" s="34" t="str">
        <f aca="false">IF($A1956="","",$I1956*$O1956)</f>
        <v/>
      </c>
      <c r="Q1956" s="39" t="n">
        <f aca="false">IF($B1956="",0,IFERROR(MATCH($B1956,COA_Mapping!$A$7:$A$256,0),0))</f>
        <v>0</v>
      </c>
      <c r="R1956" s="39" t="n">
        <f aca="false">IF($A1956="",-1,IF($J1956=Setup!$B$7,1,IF($J1956=Setup!$B$9,0,-1)))</f>
        <v>-1</v>
      </c>
      <c r="S1956" s="35" t="n">
        <f aca="false">IF(OR($A1956="",$Q1956=0,$R1956=-1),0,$Q1956*1000+$R1956*100+$K1956)</f>
        <v>0</v>
      </c>
      <c r="T1956" s="37" t="str">
        <f aca="false">IF($A1956="","",IF($B1956="","NO ACCOUNT",IF($Q1956=0,"UNMAPPED",IF($R1956=-1,"OUTSIDE FY RANGE","OK"))))</f>
        <v/>
      </c>
      <c r="U1956" s="40" t="str">
        <f aca="false">IF($A1956="","",$B1956&amp;"|"&amp;TEXT($A1956,"yyyymmdd")&amp;"|"&amp;TEXT($I1956,"0.00"))</f>
        <v/>
      </c>
      <c r="V1956" s="35" t="str">
        <f aca="false">IF($A1956="","",COUNTIF($U$8:$U$5007,$U1956))</f>
        <v/>
      </c>
    </row>
    <row r="1957" customFormat="false" ht="15" hidden="false" customHeight="false" outlineLevel="0" collapsed="false">
      <c r="A1957" s="31"/>
      <c r="B1957" s="32"/>
      <c r="C1957" s="32"/>
      <c r="D1957" s="32"/>
      <c r="E1957" s="32"/>
      <c r="F1957" s="32"/>
      <c r="G1957" s="33"/>
      <c r="H1957" s="33"/>
      <c r="I1957" s="34" t="str">
        <f aca="false">IF($A1957="","",$G1957-$H1957)</f>
        <v/>
      </c>
      <c r="J1957" s="35" t="str">
        <f aca="false">IF($A1957="","",IF(Setup!$B$6=1,YEAR($A1957),YEAR($A1957)+IF(MONTH($A1957)&gt;=Setup!$B$6,1,0)))</f>
        <v/>
      </c>
      <c r="K1957" s="35" t="str">
        <f aca="false">IF($A1957="","",MOD(MONTH($A1957)-Setup!$B$6+12,12)+1)</f>
        <v/>
      </c>
      <c r="L1957" s="36" t="str">
        <f aca="false">IF($A1957="","",TEXT($A1957,"MMM-YY"))</f>
        <v/>
      </c>
      <c r="M1957" s="37" t="str">
        <f aca="false">IF($A1957="","",IF($Q1957=0,"UNMAPPED",INDEX(COA_Mapping!$C$7:$C$256,$Q1957)))</f>
        <v/>
      </c>
      <c r="N1957" s="38" t="str">
        <f aca="false">IF($A1957="","",IF($Q1957=0,"",INDEX(COA_Mapping!$E$7:$E$256,$Q1957)))</f>
        <v/>
      </c>
      <c r="O1957" s="38" t="n">
        <f aca="false">IF($A1957="",1,IF($Q1957=0,1,INDEX(COA_Mapping!$F$7:$F$256,$Q1957)))</f>
        <v>1</v>
      </c>
      <c r="P1957" s="34" t="str">
        <f aca="false">IF($A1957="","",$I1957*$O1957)</f>
        <v/>
      </c>
      <c r="Q1957" s="39" t="n">
        <f aca="false">IF($B1957="",0,IFERROR(MATCH($B1957,COA_Mapping!$A$7:$A$256,0),0))</f>
        <v>0</v>
      </c>
      <c r="R1957" s="39" t="n">
        <f aca="false">IF($A1957="",-1,IF($J1957=Setup!$B$7,1,IF($J1957=Setup!$B$9,0,-1)))</f>
        <v>-1</v>
      </c>
      <c r="S1957" s="35" t="n">
        <f aca="false">IF(OR($A1957="",$Q1957=0,$R1957=-1),0,$Q1957*1000+$R1957*100+$K1957)</f>
        <v>0</v>
      </c>
      <c r="T1957" s="37" t="str">
        <f aca="false">IF($A1957="","",IF($B1957="","NO ACCOUNT",IF($Q1957=0,"UNMAPPED",IF($R1957=-1,"OUTSIDE FY RANGE","OK"))))</f>
        <v/>
      </c>
      <c r="U1957" s="40" t="str">
        <f aca="false">IF($A1957="","",$B1957&amp;"|"&amp;TEXT($A1957,"yyyymmdd")&amp;"|"&amp;TEXT($I1957,"0.00"))</f>
        <v/>
      </c>
      <c r="V1957" s="35" t="str">
        <f aca="false">IF($A1957="","",COUNTIF($U$8:$U$5007,$U1957))</f>
        <v/>
      </c>
    </row>
    <row r="1958" customFormat="false" ht="15" hidden="false" customHeight="false" outlineLevel="0" collapsed="false">
      <c r="A1958" s="31"/>
      <c r="B1958" s="32"/>
      <c r="C1958" s="32"/>
      <c r="D1958" s="32"/>
      <c r="E1958" s="32"/>
      <c r="F1958" s="32"/>
      <c r="G1958" s="33"/>
      <c r="H1958" s="33"/>
      <c r="I1958" s="34" t="str">
        <f aca="false">IF($A1958="","",$G1958-$H1958)</f>
        <v/>
      </c>
      <c r="J1958" s="35" t="str">
        <f aca="false">IF($A1958="","",IF(Setup!$B$6=1,YEAR($A1958),YEAR($A1958)+IF(MONTH($A1958)&gt;=Setup!$B$6,1,0)))</f>
        <v/>
      </c>
      <c r="K1958" s="35" t="str">
        <f aca="false">IF($A1958="","",MOD(MONTH($A1958)-Setup!$B$6+12,12)+1)</f>
        <v/>
      </c>
      <c r="L1958" s="36" t="str">
        <f aca="false">IF($A1958="","",TEXT($A1958,"MMM-YY"))</f>
        <v/>
      </c>
      <c r="M1958" s="37" t="str">
        <f aca="false">IF($A1958="","",IF($Q1958=0,"UNMAPPED",INDEX(COA_Mapping!$C$7:$C$256,$Q1958)))</f>
        <v/>
      </c>
      <c r="N1958" s="38" t="str">
        <f aca="false">IF($A1958="","",IF($Q1958=0,"",INDEX(COA_Mapping!$E$7:$E$256,$Q1958)))</f>
        <v/>
      </c>
      <c r="O1958" s="38" t="n">
        <f aca="false">IF($A1958="",1,IF($Q1958=0,1,INDEX(COA_Mapping!$F$7:$F$256,$Q1958)))</f>
        <v>1</v>
      </c>
      <c r="P1958" s="34" t="str">
        <f aca="false">IF($A1958="","",$I1958*$O1958)</f>
        <v/>
      </c>
      <c r="Q1958" s="39" t="n">
        <f aca="false">IF($B1958="",0,IFERROR(MATCH($B1958,COA_Mapping!$A$7:$A$256,0),0))</f>
        <v>0</v>
      </c>
      <c r="R1958" s="39" t="n">
        <f aca="false">IF($A1958="",-1,IF($J1958=Setup!$B$7,1,IF($J1958=Setup!$B$9,0,-1)))</f>
        <v>-1</v>
      </c>
      <c r="S1958" s="35" t="n">
        <f aca="false">IF(OR($A1958="",$Q1958=0,$R1958=-1),0,$Q1958*1000+$R1958*100+$K1958)</f>
        <v>0</v>
      </c>
      <c r="T1958" s="37" t="str">
        <f aca="false">IF($A1958="","",IF($B1958="","NO ACCOUNT",IF($Q1958=0,"UNMAPPED",IF($R1958=-1,"OUTSIDE FY RANGE","OK"))))</f>
        <v/>
      </c>
      <c r="U1958" s="40" t="str">
        <f aca="false">IF($A1958="","",$B1958&amp;"|"&amp;TEXT($A1958,"yyyymmdd")&amp;"|"&amp;TEXT($I1958,"0.00"))</f>
        <v/>
      </c>
      <c r="V1958" s="35" t="str">
        <f aca="false">IF($A1958="","",COUNTIF($U$8:$U$5007,$U1958))</f>
        <v/>
      </c>
    </row>
    <row r="1959" customFormat="false" ht="15" hidden="false" customHeight="false" outlineLevel="0" collapsed="false">
      <c r="A1959" s="31"/>
      <c r="B1959" s="32"/>
      <c r="C1959" s="32"/>
      <c r="D1959" s="32"/>
      <c r="E1959" s="32"/>
      <c r="F1959" s="32"/>
      <c r="G1959" s="33"/>
      <c r="H1959" s="33"/>
      <c r="I1959" s="34" t="str">
        <f aca="false">IF($A1959="","",$G1959-$H1959)</f>
        <v/>
      </c>
      <c r="J1959" s="35" t="str">
        <f aca="false">IF($A1959="","",IF(Setup!$B$6=1,YEAR($A1959),YEAR($A1959)+IF(MONTH($A1959)&gt;=Setup!$B$6,1,0)))</f>
        <v/>
      </c>
      <c r="K1959" s="35" t="str">
        <f aca="false">IF($A1959="","",MOD(MONTH($A1959)-Setup!$B$6+12,12)+1)</f>
        <v/>
      </c>
      <c r="L1959" s="36" t="str">
        <f aca="false">IF($A1959="","",TEXT($A1959,"MMM-YY"))</f>
        <v/>
      </c>
      <c r="M1959" s="37" t="str">
        <f aca="false">IF($A1959="","",IF($Q1959=0,"UNMAPPED",INDEX(COA_Mapping!$C$7:$C$256,$Q1959)))</f>
        <v/>
      </c>
      <c r="N1959" s="38" t="str">
        <f aca="false">IF($A1959="","",IF($Q1959=0,"",INDEX(COA_Mapping!$E$7:$E$256,$Q1959)))</f>
        <v/>
      </c>
      <c r="O1959" s="38" t="n">
        <f aca="false">IF($A1959="",1,IF($Q1959=0,1,INDEX(COA_Mapping!$F$7:$F$256,$Q1959)))</f>
        <v>1</v>
      </c>
      <c r="P1959" s="34" t="str">
        <f aca="false">IF($A1959="","",$I1959*$O1959)</f>
        <v/>
      </c>
      <c r="Q1959" s="39" t="n">
        <f aca="false">IF($B1959="",0,IFERROR(MATCH($B1959,COA_Mapping!$A$7:$A$256,0),0))</f>
        <v>0</v>
      </c>
      <c r="R1959" s="39" t="n">
        <f aca="false">IF($A1959="",-1,IF($J1959=Setup!$B$7,1,IF($J1959=Setup!$B$9,0,-1)))</f>
        <v>-1</v>
      </c>
      <c r="S1959" s="35" t="n">
        <f aca="false">IF(OR($A1959="",$Q1959=0,$R1959=-1),0,$Q1959*1000+$R1959*100+$K1959)</f>
        <v>0</v>
      </c>
      <c r="T1959" s="37" t="str">
        <f aca="false">IF($A1959="","",IF($B1959="","NO ACCOUNT",IF($Q1959=0,"UNMAPPED",IF($R1959=-1,"OUTSIDE FY RANGE","OK"))))</f>
        <v/>
      </c>
      <c r="U1959" s="40" t="str">
        <f aca="false">IF($A1959="","",$B1959&amp;"|"&amp;TEXT($A1959,"yyyymmdd")&amp;"|"&amp;TEXT($I1959,"0.00"))</f>
        <v/>
      </c>
      <c r="V1959" s="35" t="str">
        <f aca="false">IF($A1959="","",COUNTIF($U$8:$U$5007,$U1959))</f>
        <v/>
      </c>
    </row>
    <row r="1960" customFormat="false" ht="15" hidden="false" customHeight="false" outlineLevel="0" collapsed="false">
      <c r="A1960" s="31"/>
      <c r="B1960" s="32"/>
      <c r="C1960" s="32"/>
      <c r="D1960" s="32"/>
      <c r="E1960" s="32"/>
      <c r="F1960" s="32"/>
      <c r="G1960" s="33"/>
      <c r="H1960" s="33"/>
      <c r="I1960" s="34" t="str">
        <f aca="false">IF($A1960="","",$G1960-$H1960)</f>
        <v/>
      </c>
      <c r="J1960" s="35" t="str">
        <f aca="false">IF($A1960="","",IF(Setup!$B$6=1,YEAR($A1960),YEAR($A1960)+IF(MONTH($A1960)&gt;=Setup!$B$6,1,0)))</f>
        <v/>
      </c>
      <c r="K1960" s="35" t="str">
        <f aca="false">IF($A1960="","",MOD(MONTH($A1960)-Setup!$B$6+12,12)+1)</f>
        <v/>
      </c>
      <c r="L1960" s="36" t="str">
        <f aca="false">IF($A1960="","",TEXT($A1960,"MMM-YY"))</f>
        <v/>
      </c>
      <c r="M1960" s="37" t="str">
        <f aca="false">IF($A1960="","",IF($Q1960=0,"UNMAPPED",INDEX(COA_Mapping!$C$7:$C$256,$Q1960)))</f>
        <v/>
      </c>
      <c r="N1960" s="38" t="str">
        <f aca="false">IF($A1960="","",IF($Q1960=0,"",INDEX(COA_Mapping!$E$7:$E$256,$Q1960)))</f>
        <v/>
      </c>
      <c r="O1960" s="38" t="n">
        <f aca="false">IF($A1960="",1,IF($Q1960=0,1,INDEX(COA_Mapping!$F$7:$F$256,$Q1960)))</f>
        <v>1</v>
      </c>
      <c r="P1960" s="34" t="str">
        <f aca="false">IF($A1960="","",$I1960*$O1960)</f>
        <v/>
      </c>
      <c r="Q1960" s="39" t="n">
        <f aca="false">IF($B1960="",0,IFERROR(MATCH($B1960,COA_Mapping!$A$7:$A$256,0),0))</f>
        <v>0</v>
      </c>
      <c r="R1960" s="39" t="n">
        <f aca="false">IF($A1960="",-1,IF($J1960=Setup!$B$7,1,IF($J1960=Setup!$B$9,0,-1)))</f>
        <v>-1</v>
      </c>
      <c r="S1960" s="35" t="n">
        <f aca="false">IF(OR($A1960="",$Q1960=0,$R1960=-1),0,$Q1960*1000+$R1960*100+$K1960)</f>
        <v>0</v>
      </c>
      <c r="T1960" s="37" t="str">
        <f aca="false">IF($A1960="","",IF($B1960="","NO ACCOUNT",IF($Q1960=0,"UNMAPPED",IF($R1960=-1,"OUTSIDE FY RANGE","OK"))))</f>
        <v/>
      </c>
      <c r="U1960" s="40" t="str">
        <f aca="false">IF($A1960="","",$B1960&amp;"|"&amp;TEXT($A1960,"yyyymmdd")&amp;"|"&amp;TEXT($I1960,"0.00"))</f>
        <v/>
      </c>
      <c r="V1960" s="35" t="str">
        <f aca="false">IF($A1960="","",COUNTIF($U$8:$U$5007,$U1960))</f>
        <v/>
      </c>
    </row>
    <row r="1961" customFormat="false" ht="15" hidden="false" customHeight="false" outlineLevel="0" collapsed="false">
      <c r="A1961" s="31"/>
      <c r="B1961" s="32"/>
      <c r="C1961" s="32"/>
      <c r="D1961" s="32"/>
      <c r="E1961" s="32"/>
      <c r="F1961" s="32"/>
      <c r="G1961" s="33"/>
      <c r="H1961" s="33"/>
      <c r="I1961" s="34" t="str">
        <f aca="false">IF($A1961="","",$G1961-$H1961)</f>
        <v/>
      </c>
      <c r="J1961" s="35" t="str">
        <f aca="false">IF($A1961="","",IF(Setup!$B$6=1,YEAR($A1961),YEAR($A1961)+IF(MONTH($A1961)&gt;=Setup!$B$6,1,0)))</f>
        <v/>
      </c>
      <c r="K1961" s="35" t="str">
        <f aca="false">IF($A1961="","",MOD(MONTH($A1961)-Setup!$B$6+12,12)+1)</f>
        <v/>
      </c>
      <c r="L1961" s="36" t="str">
        <f aca="false">IF($A1961="","",TEXT($A1961,"MMM-YY"))</f>
        <v/>
      </c>
      <c r="M1961" s="37" t="str">
        <f aca="false">IF($A1961="","",IF($Q1961=0,"UNMAPPED",INDEX(COA_Mapping!$C$7:$C$256,$Q1961)))</f>
        <v/>
      </c>
      <c r="N1961" s="38" t="str">
        <f aca="false">IF($A1961="","",IF($Q1961=0,"",INDEX(COA_Mapping!$E$7:$E$256,$Q1961)))</f>
        <v/>
      </c>
      <c r="O1961" s="38" t="n">
        <f aca="false">IF($A1961="",1,IF($Q1961=0,1,INDEX(COA_Mapping!$F$7:$F$256,$Q1961)))</f>
        <v>1</v>
      </c>
      <c r="P1961" s="34" t="str">
        <f aca="false">IF($A1961="","",$I1961*$O1961)</f>
        <v/>
      </c>
      <c r="Q1961" s="39" t="n">
        <f aca="false">IF($B1961="",0,IFERROR(MATCH($B1961,COA_Mapping!$A$7:$A$256,0),0))</f>
        <v>0</v>
      </c>
      <c r="R1961" s="39" t="n">
        <f aca="false">IF($A1961="",-1,IF($J1961=Setup!$B$7,1,IF($J1961=Setup!$B$9,0,-1)))</f>
        <v>-1</v>
      </c>
      <c r="S1961" s="35" t="n">
        <f aca="false">IF(OR($A1961="",$Q1961=0,$R1961=-1),0,$Q1961*1000+$R1961*100+$K1961)</f>
        <v>0</v>
      </c>
      <c r="T1961" s="37" t="str">
        <f aca="false">IF($A1961="","",IF($B1961="","NO ACCOUNT",IF($Q1961=0,"UNMAPPED",IF($R1961=-1,"OUTSIDE FY RANGE","OK"))))</f>
        <v/>
      </c>
      <c r="U1961" s="40" t="str">
        <f aca="false">IF($A1961="","",$B1961&amp;"|"&amp;TEXT($A1961,"yyyymmdd")&amp;"|"&amp;TEXT($I1961,"0.00"))</f>
        <v/>
      </c>
      <c r="V1961" s="35" t="str">
        <f aca="false">IF($A1961="","",COUNTIF($U$8:$U$5007,$U1961))</f>
        <v/>
      </c>
    </row>
    <row r="1962" customFormat="false" ht="15" hidden="false" customHeight="false" outlineLevel="0" collapsed="false">
      <c r="A1962" s="31"/>
      <c r="B1962" s="32"/>
      <c r="C1962" s="32"/>
      <c r="D1962" s="32"/>
      <c r="E1962" s="32"/>
      <c r="F1962" s="32"/>
      <c r="G1962" s="33"/>
      <c r="H1962" s="33"/>
      <c r="I1962" s="34" t="str">
        <f aca="false">IF($A1962="","",$G1962-$H1962)</f>
        <v/>
      </c>
      <c r="J1962" s="35" t="str">
        <f aca="false">IF($A1962="","",IF(Setup!$B$6=1,YEAR($A1962),YEAR($A1962)+IF(MONTH($A1962)&gt;=Setup!$B$6,1,0)))</f>
        <v/>
      </c>
      <c r="K1962" s="35" t="str">
        <f aca="false">IF($A1962="","",MOD(MONTH($A1962)-Setup!$B$6+12,12)+1)</f>
        <v/>
      </c>
      <c r="L1962" s="36" t="str">
        <f aca="false">IF($A1962="","",TEXT($A1962,"MMM-YY"))</f>
        <v/>
      </c>
      <c r="M1962" s="37" t="str">
        <f aca="false">IF($A1962="","",IF($Q1962=0,"UNMAPPED",INDEX(COA_Mapping!$C$7:$C$256,$Q1962)))</f>
        <v/>
      </c>
      <c r="N1962" s="38" t="str">
        <f aca="false">IF($A1962="","",IF($Q1962=0,"",INDEX(COA_Mapping!$E$7:$E$256,$Q1962)))</f>
        <v/>
      </c>
      <c r="O1962" s="38" t="n">
        <f aca="false">IF($A1962="",1,IF($Q1962=0,1,INDEX(COA_Mapping!$F$7:$F$256,$Q1962)))</f>
        <v>1</v>
      </c>
      <c r="P1962" s="34" t="str">
        <f aca="false">IF($A1962="","",$I1962*$O1962)</f>
        <v/>
      </c>
      <c r="Q1962" s="39" t="n">
        <f aca="false">IF($B1962="",0,IFERROR(MATCH($B1962,COA_Mapping!$A$7:$A$256,0),0))</f>
        <v>0</v>
      </c>
      <c r="R1962" s="39" t="n">
        <f aca="false">IF($A1962="",-1,IF($J1962=Setup!$B$7,1,IF($J1962=Setup!$B$9,0,-1)))</f>
        <v>-1</v>
      </c>
      <c r="S1962" s="35" t="n">
        <f aca="false">IF(OR($A1962="",$Q1962=0,$R1962=-1),0,$Q1962*1000+$R1962*100+$K1962)</f>
        <v>0</v>
      </c>
      <c r="T1962" s="37" t="str">
        <f aca="false">IF($A1962="","",IF($B1962="","NO ACCOUNT",IF($Q1962=0,"UNMAPPED",IF($R1962=-1,"OUTSIDE FY RANGE","OK"))))</f>
        <v/>
      </c>
      <c r="U1962" s="40" t="str">
        <f aca="false">IF($A1962="","",$B1962&amp;"|"&amp;TEXT($A1962,"yyyymmdd")&amp;"|"&amp;TEXT($I1962,"0.00"))</f>
        <v/>
      </c>
      <c r="V1962" s="35" t="str">
        <f aca="false">IF($A1962="","",COUNTIF($U$8:$U$5007,$U1962))</f>
        <v/>
      </c>
    </row>
    <row r="1963" customFormat="false" ht="15" hidden="false" customHeight="false" outlineLevel="0" collapsed="false">
      <c r="A1963" s="31"/>
      <c r="B1963" s="32"/>
      <c r="C1963" s="32"/>
      <c r="D1963" s="32"/>
      <c r="E1963" s="32"/>
      <c r="F1963" s="32"/>
      <c r="G1963" s="33"/>
      <c r="H1963" s="33"/>
      <c r="I1963" s="34" t="str">
        <f aca="false">IF($A1963="","",$G1963-$H1963)</f>
        <v/>
      </c>
      <c r="J1963" s="35" t="str">
        <f aca="false">IF($A1963="","",IF(Setup!$B$6=1,YEAR($A1963),YEAR($A1963)+IF(MONTH($A1963)&gt;=Setup!$B$6,1,0)))</f>
        <v/>
      </c>
      <c r="K1963" s="35" t="str">
        <f aca="false">IF($A1963="","",MOD(MONTH($A1963)-Setup!$B$6+12,12)+1)</f>
        <v/>
      </c>
      <c r="L1963" s="36" t="str">
        <f aca="false">IF($A1963="","",TEXT($A1963,"MMM-YY"))</f>
        <v/>
      </c>
      <c r="M1963" s="37" t="str">
        <f aca="false">IF($A1963="","",IF($Q1963=0,"UNMAPPED",INDEX(COA_Mapping!$C$7:$C$256,$Q1963)))</f>
        <v/>
      </c>
      <c r="N1963" s="38" t="str">
        <f aca="false">IF($A1963="","",IF($Q1963=0,"",INDEX(COA_Mapping!$E$7:$E$256,$Q1963)))</f>
        <v/>
      </c>
      <c r="O1963" s="38" t="n">
        <f aca="false">IF($A1963="",1,IF($Q1963=0,1,INDEX(COA_Mapping!$F$7:$F$256,$Q1963)))</f>
        <v>1</v>
      </c>
      <c r="P1963" s="34" t="str">
        <f aca="false">IF($A1963="","",$I1963*$O1963)</f>
        <v/>
      </c>
      <c r="Q1963" s="39" t="n">
        <f aca="false">IF($B1963="",0,IFERROR(MATCH($B1963,COA_Mapping!$A$7:$A$256,0),0))</f>
        <v>0</v>
      </c>
      <c r="R1963" s="39" t="n">
        <f aca="false">IF($A1963="",-1,IF($J1963=Setup!$B$7,1,IF($J1963=Setup!$B$9,0,-1)))</f>
        <v>-1</v>
      </c>
      <c r="S1963" s="35" t="n">
        <f aca="false">IF(OR($A1963="",$Q1963=0,$R1963=-1),0,$Q1963*1000+$R1963*100+$K1963)</f>
        <v>0</v>
      </c>
      <c r="T1963" s="37" t="str">
        <f aca="false">IF($A1963="","",IF($B1963="","NO ACCOUNT",IF($Q1963=0,"UNMAPPED",IF($R1963=-1,"OUTSIDE FY RANGE","OK"))))</f>
        <v/>
      </c>
      <c r="U1963" s="40" t="str">
        <f aca="false">IF($A1963="","",$B1963&amp;"|"&amp;TEXT($A1963,"yyyymmdd")&amp;"|"&amp;TEXT($I1963,"0.00"))</f>
        <v/>
      </c>
      <c r="V1963" s="35" t="str">
        <f aca="false">IF($A1963="","",COUNTIF($U$8:$U$5007,$U1963))</f>
        <v/>
      </c>
    </row>
    <row r="1964" customFormat="false" ht="15" hidden="false" customHeight="false" outlineLevel="0" collapsed="false">
      <c r="A1964" s="31"/>
      <c r="B1964" s="32"/>
      <c r="C1964" s="32"/>
      <c r="D1964" s="32"/>
      <c r="E1964" s="32"/>
      <c r="F1964" s="32"/>
      <c r="G1964" s="33"/>
      <c r="H1964" s="33"/>
      <c r="I1964" s="34" t="str">
        <f aca="false">IF($A1964="","",$G1964-$H1964)</f>
        <v/>
      </c>
      <c r="J1964" s="35" t="str">
        <f aca="false">IF($A1964="","",IF(Setup!$B$6=1,YEAR($A1964),YEAR($A1964)+IF(MONTH($A1964)&gt;=Setup!$B$6,1,0)))</f>
        <v/>
      </c>
      <c r="K1964" s="35" t="str">
        <f aca="false">IF($A1964="","",MOD(MONTH($A1964)-Setup!$B$6+12,12)+1)</f>
        <v/>
      </c>
      <c r="L1964" s="36" t="str">
        <f aca="false">IF($A1964="","",TEXT($A1964,"MMM-YY"))</f>
        <v/>
      </c>
      <c r="M1964" s="37" t="str">
        <f aca="false">IF($A1964="","",IF($Q1964=0,"UNMAPPED",INDEX(COA_Mapping!$C$7:$C$256,$Q1964)))</f>
        <v/>
      </c>
      <c r="N1964" s="38" t="str">
        <f aca="false">IF($A1964="","",IF($Q1964=0,"",INDEX(COA_Mapping!$E$7:$E$256,$Q1964)))</f>
        <v/>
      </c>
      <c r="O1964" s="38" t="n">
        <f aca="false">IF($A1964="",1,IF($Q1964=0,1,INDEX(COA_Mapping!$F$7:$F$256,$Q1964)))</f>
        <v>1</v>
      </c>
      <c r="P1964" s="34" t="str">
        <f aca="false">IF($A1964="","",$I1964*$O1964)</f>
        <v/>
      </c>
      <c r="Q1964" s="39" t="n">
        <f aca="false">IF($B1964="",0,IFERROR(MATCH($B1964,COA_Mapping!$A$7:$A$256,0),0))</f>
        <v>0</v>
      </c>
      <c r="R1964" s="39" t="n">
        <f aca="false">IF($A1964="",-1,IF($J1964=Setup!$B$7,1,IF($J1964=Setup!$B$9,0,-1)))</f>
        <v>-1</v>
      </c>
      <c r="S1964" s="35" t="n">
        <f aca="false">IF(OR($A1964="",$Q1964=0,$R1964=-1),0,$Q1964*1000+$R1964*100+$K1964)</f>
        <v>0</v>
      </c>
      <c r="T1964" s="37" t="str">
        <f aca="false">IF($A1964="","",IF($B1964="","NO ACCOUNT",IF($Q1964=0,"UNMAPPED",IF($R1964=-1,"OUTSIDE FY RANGE","OK"))))</f>
        <v/>
      </c>
      <c r="U1964" s="40" t="str">
        <f aca="false">IF($A1964="","",$B1964&amp;"|"&amp;TEXT($A1964,"yyyymmdd")&amp;"|"&amp;TEXT($I1964,"0.00"))</f>
        <v/>
      </c>
      <c r="V1964" s="35" t="str">
        <f aca="false">IF($A1964="","",COUNTIF($U$8:$U$5007,$U1964))</f>
        <v/>
      </c>
    </row>
    <row r="1965" customFormat="false" ht="15" hidden="false" customHeight="false" outlineLevel="0" collapsed="false">
      <c r="A1965" s="31"/>
      <c r="B1965" s="32"/>
      <c r="C1965" s="32"/>
      <c r="D1965" s="32"/>
      <c r="E1965" s="32"/>
      <c r="F1965" s="32"/>
      <c r="G1965" s="33"/>
      <c r="H1965" s="33"/>
      <c r="I1965" s="34" t="str">
        <f aca="false">IF($A1965="","",$G1965-$H1965)</f>
        <v/>
      </c>
      <c r="J1965" s="35" t="str">
        <f aca="false">IF($A1965="","",IF(Setup!$B$6=1,YEAR($A1965),YEAR($A1965)+IF(MONTH($A1965)&gt;=Setup!$B$6,1,0)))</f>
        <v/>
      </c>
      <c r="K1965" s="35" t="str">
        <f aca="false">IF($A1965="","",MOD(MONTH($A1965)-Setup!$B$6+12,12)+1)</f>
        <v/>
      </c>
      <c r="L1965" s="36" t="str">
        <f aca="false">IF($A1965="","",TEXT($A1965,"MMM-YY"))</f>
        <v/>
      </c>
      <c r="M1965" s="37" t="str">
        <f aca="false">IF($A1965="","",IF($Q1965=0,"UNMAPPED",INDEX(COA_Mapping!$C$7:$C$256,$Q1965)))</f>
        <v/>
      </c>
      <c r="N1965" s="38" t="str">
        <f aca="false">IF($A1965="","",IF($Q1965=0,"",INDEX(COA_Mapping!$E$7:$E$256,$Q1965)))</f>
        <v/>
      </c>
      <c r="O1965" s="38" t="n">
        <f aca="false">IF($A1965="",1,IF($Q1965=0,1,INDEX(COA_Mapping!$F$7:$F$256,$Q1965)))</f>
        <v>1</v>
      </c>
      <c r="P1965" s="34" t="str">
        <f aca="false">IF($A1965="","",$I1965*$O1965)</f>
        <v/>
      </c>
      <c r="Q1965" s="39" t="n">
        <f aca="false">IF($B1965="",0,IFERROR(MATCH($B1965,COA_Mapping!$A$7:$A$256,0),0))</f>
        <v>0</v>
      </c>
      <c r="R1965" s="39" t="n">
        <f aca="false">IF($A1965="",-1,IF($J1965=Setup!$B$7,1,IF($J1965=Setup!$B$9,0,-1)))</f>
        <v>-1</v>
      </c>
      <c r="S1965" s="35" t="n">
        <f aca="false">IF(OR($A1965="",$Q1965=0,$R1965=-1),0,$Q1965*1000+$R1965*100+$K1965)</f>
        <v>0</v>
      </c>
      <c r="T1965" s="37" t="str">
        <f aca="false">IF($A1965="","",IF($B1965="","NO ACCOUNT",IF($Q1965=0,"UNMAPPED",IF($R1965=-1,"OUTSIDE FY RANGE","OK"))))</f>
        <v/>
      </c>
      <c r="U1965" s="40" t="str">
        <f aca="false">IF($A1965="","",$B1965&amp;"|"&amp;TEXT($A1965,"yyyymmdd")&amp;"|"&amp;TEXT($I1965,"0.00"))</f>
        <v/>
      </c>
      <c r="V1965" s="35" t="str">
        <f aca="false">IF($A1965="","",COUNTIF($U$8:$U$5007,$U1965))</f>
        <v/>
      </c>
    </row>
    <row r="1966" customFormat="false" ht="15" hidden="false" customHeight="false" outlineLevel="0" collapsed="false">
      <c r="A1966" s="31"/>
      <c r="B1966" s="32"/>
      <c r="C1966" s="32"/>
      <c r="D1966" s="32"/>
      <c r="E1966" s="32"/>
      <c r="F1966" s="32"/>
      <c r="G1966" s="33"/>
      <c r="H1966" s="33"/>
      <c r="I1966" s="34" t="str">
        <f aca="false">IF($A1966="","",$G1966-$H1966)</f>
        <v/>
      </c>
      <c r="J1966" s="35" t="str">
        <f aca="false">IF($A1966="","",IF(Setup!$B$6=1,YEAR($A1966),YEAR($A1966)+IF(MONTH($A1966)&gt;=Setup!$B$6,1,0)))</f>
        <v/>
      </c>
      <c r="K1966" s="35" t="str">
        <f aca="false">IF($A1966="","",MOD(MONTH($A1966)-Setup!$B$6+12,12)+1)</f>
        <v/>
      </c>
      <c r="L1966" s="36" t="str">
        <f aca="false">IF($A1966="","",TEXT($A1966,"MMM-YY"))</f>
        <v/>
      </c>
      <c r="M1966" s="37" t="str">
        <f aca="false">IF($A1966="","",IF($Q1966=0,"UNMAPPED",INDEX(COA_Mapping!$C$7:$C$256,$Q1966)))</f>
        <v/>
      </c>
      <c r="N1966" s="38" t="str">
        <f aca="false">IF($A1966="","",IF($Q1966=0,"",INDEX(COA_Mapping!$E$7:$E$256,$Q1966)))</f>
        <v/>
      </c>
      <c r="O1966" s="38" t="n">
        <f aca="false">IF($A1966="",1,IF($Q1966=0,1,INDEX(COA_Mapping!$F$7:$F$256,$Q1966)))</f>
        <v>1</v>
      </c>
      <c r="P1966" s="34" t="str">
        <f aca="false">IF($A1966="","",$I1966*$O1966)</f>
        <v/>
      </c>
      <c r="Q1966" s="39" t="n">
        <f aca="false">IF($B1966="",0,IFERROR(MATCH($B1966,COA_Mapping!$A$7:$A$256,0),0))</f>
        <v>0</v>
      </c>
      <c r="R1966" s="39" t="n">
        <f aca="false">IF($A1966="",-1,IF($J1966=Setup!$B$7,1,IF($J1966=Setup!$B$9,0,-1)))</f>
        <v>-1</v>
      </c>
      <c r="S1966" s="35" t="n">
        <f aca="false">IF(OR($A1966="",$Q1966=0,$R1966=-1),0,$Q1966*1000+$R1966*100+$K1966)</f>
        <v>0</v>
      </c>
      <c r="T1966" s="37" t="str">
        <f aca="false">IF($A1966="","",IF($B1966="","NO ACCOUNT",IF($Q1966=0,"UNMAPPED",IF($R1966=-1,"OUTSIDE FY RANGE","OK"))))</f>
        <v/>
      </c>
      <c r="U1966" s="40" t="str">
        <f aca="false">IF($A1966="","",$B1966&amp;"|"&amp;TEXT($A1966,"yyyymmdd")&amp;"|"&amp;TEXT($I1966,"0.00"))</f>
        <v/>
      </c>
      <c r="V1966" s="35" t="str">
        <f aca="false">IF($A1966="","",COUNTIF($U$8:$U$5007,$U1966))</f>
        <v/>
      </c>
    </row>
    <row r="1967" customFormat="false" ht="15" hidden="false" customHeight="false" outlineLevel="0" collapsed="false">
      <c r="A1967" s="31"/>
      <c r="B1967" s="32"/>
      <c r="C1967" s="32"/>
      <c r="D1967" s="32"/>
      <c r="E1967" s="32"/>
      <c r="F1967" s="32"/>
      <c r="G1967" s="33"/>
      <c r="H1967" s="33"/>
      <c r="I1967" s="34" t="str">
        <f aca="false">IF($A1967="","",$G1967-$H1967)</f>
        <v/>
      </c>
      <c r="J1967" s="35" t="str">
        <f aca="false">IF($A1967="","",IF(Setup!$B$6=1,YEAR($A1967),YEAR($A1967)+IF(MONTH($A1967)&gt;=Setup!$B$6,1,0)))</f>
        <v/>
      </c>
      <c r="K1967" s="35" t="str">
        <f aca="false">IF($A1967="","",MOD(MONTH($A1967)-Setup!$B$6+12,12)+1)</f>
        <v/>
      </c>
      <c r="L1967" s="36" t="str">
        <f aca="false">IF($A1967="","",TEXT($A1967,"MMM-YY"))</f>
        <v/>
      </c>
      <c r="M1967" s="37" t="str">
        <f aca="false">IF($A1967="","",IF($Q1967=0,"UNMAPPED",INDEX(COA_Mapping!$C$7:$C$256,$Q1967)))</f>
        <v/>
      </c>
      <c r="N1967" s="38" t="str">
        <f aca="false">IF($A1967="","",IF($Q1967=0,"",INDEX(COA_Mapping!$E$7:$E$256,$Q1967)))</f>
        <v/>
      </c>
      <c r="O1967" s="38" t="n">
        <f aca="false">IF($A1967="",1,IF($Q1967=0,1,INDEX(COA_Mapping!$F$7:$F$256,$Q1967)))</f>
        <v>1</v>
      </c>
      <c r="P1967" s="34" t="str">
        <f aca="false">IF($A1967="","",$I1967*$O1967)</f>
        <v/>
      </c>
      <c r="Q1967" s="39" t="n">
        <f aca="false">IF($B1967="",0,IFERROR(MATCH($B1967,COA_Mapping!$A$7:$A$256,0),0))</f>
        <v>0</v>
      </c>
      <c r="R1967" s="39" t="n">
        <f aca="false">IF($A1967="",-1,IF($J1967=Setup!$B$7,1,IF($J1967=Setup!$B$9,0,-1)))</f>
        <v>-1</v>
      </c>
      <c r="S1967" s="35" t="n">
        <f aca="false">IF(OR($A1967="",$Q1967=0,$R1967=-1),0,$Q1967*1000+$R1967*100+$K1967)</f>
        <v>0</v>
      </c>
      <c r="T1967" s="37" t="str">
        <f aca="false">IF($A1967="","",IF($B1967="","NO ACCOUNT",IF($Q1967=0,"UNMAPPED",IF($R1967=-1,"OUTSIDE FY RANGE","OK"))))</f>
        <v/>
      </c>
      <c r="U1967" s="40" t="str">
        <f aca="false">IF($A1967="","",$B1967&amp;"|"&amp;TEXT($A1967,"yyyymmdd")&amp;"|"&amp;TEXT($I1967,"0.00"))</f>
        <v/>
      </c>
      <c r="V1967" s="35" t="str">
        <f aca="false">IF($A1967="","",COUNTIF($U$8:$U$5007,$U1967))</f>
        <v/>
      </c>
    </row>
    <row r="1968" customFormat="false" ht="15" hidden="false" customHeight="false" outlineLevel="0" collapsed="false">
      <c r="A1968" s="31"/>
      <c r="B1968" s="32"/>
      <c r="C1968" s="32"/>
      <c r="D1968" s="32"/>
      <c r="E1968" s="32"/>
      <c r="F1968" s="32"/>
      <c r="G1968" s="33"/>
      <c r="H1968" s="33"/>
      <c r="I1968" s="34" t="str">
        <f aca="false">IF($A1968="","",$G1968-$H1968)</f>
        <v/>
      </c>
      <c r="J1968" s="35" t="str">
        <f aca="false">IF($A1968="","",IF(Setup!$B$6=1,YEAR($A1968),YEAR($A1968)+IF(MONTH($A1968)&gt;=Setup!$B$6,1,0)))</f>
        <v/>
      </c>
      <c r="K1968" s="35" t="str">
        <f aca="false">IF($A1968="","",MOD(MONTH($A1968)-Setup!$B$6+12,12)+1)</f>
        <v/>
      </c>
      <c r="L1968" s="36" t="str">
        <f aca="false">IF($A1968="","",TEXT($A1968,"MMM-YY"))</f>
        <v/>
      </c>
      <c r="M1968" s="37" t="str">
        <f aca="false">IF($A1968="","",IF($Q1968=0,"UNMAPPED",INDEX(COA_Mapping!$C$7:$C$256,$Q1968)))</f>
        <v/>
      </c>
      <c r="N1968" s="38" t="str">
        <f aca="false">IF($A1968="","",IF($Q1968=0,"",INDEX(COA_Mapping!$E$7:$E$256,$Q1968)))</f>
        <v/>
      </c>
      <c r="O1968" s="38" t="n">
        <f aca="false">IF($A1968="",1,IF($Q1968=0,1,INDEX(COA_Mapping!$F$7:$F$256,$Q1968)))</f>
        <v>1</v>
      </c>
      <c r="P1968" s="34" t="str">
        <f aca="false">IF($A1968="","",$I1968*$O1968)</f>
        <v/>
      </c>
      <c r="Q1968" s="39" t="n">
        <f aca="false">IF($B1968="",0,IFERROR(MATCH($B1968,COA_Mapping!$A$7:$A$256,0),0))</f>
        <v>0</v>
      </c>
      <c r="R1968" s="39" t="n">
        <f aca="false">IF($A1968="",-1,IF($J1968=Setup!$B$7,1,IF($J1968=Setup!$B$9,0,-1)))</f>
        <v>-1</v>
      </c>
      <c r="S1968" s="35" t="n">
        <f aca="false">IF(OR($A1968="",$Q1968=0,$R1968=-1),0,$Q1968*1000+$R1968*100+$K1968)</f>
        <v>0</v>
      </c>
      <c r="T1968" s="37" t="str">
        <f aca="false">IF($A1968="","",IF($B1968="","NO ACCOUNT",IF($Q1968=0,"UNMAPPED",IF($R1968=-1,"OUTSIDE FY RANGE","OK"))))</f>
        <v/>
      </c>
      <c r="U1968" s="40" t="str">
        <f aca="false">IF($A1968="","",$B1968&amp;"|"&amp;TEXT($A1968,"yyyymmdd")&amp;"|"&amp;TEXT($I1968,"0.00"))</f>
        <v/>
      </c>
      <c r="V1968" s="35" t="str">
        <f aca="false">IF($A1968="","",COUNTIF($U$8:$U$5007,$U1968))</f>
        <v/>
      </c>
    </row>
    <row r="1969" customFormat="false" ht="15" hidden="false" customHeight="false" outlineLevel="0" collapsed="false">
      <c r="A1969" s="31"/>
      <c r="B1969" s="32"/>
      <c r="C1969" s="32"/>
      <c r="D1969" s="32"/>
      <c r="E1969" s="32"/>
      <c r="F1969" s="32"/>
      <c r="G1969" s="33"/>
      <c r="H1969" s="33"/>
      <c r="I1969" s="34" t="str">
        <f aca="false">IF($A1969="","",$G1969-$H1969)</f>
        <v/>
      </c>
      <c r="J1969" s="35" t="str">
        <f aca="false">IF($A1969="","",IF(Setup!$B$6=1,YEAR($A1969),YEAR($A1969)+IF(MONTH($A1969)&gt;=Setup!$B$6,1,0)))</f>
        <v/>
      </c>
      <c r="K1969" s="35" t="str">
        <f aca="false">IF($A1969="","",MOD(MONTH($A1969)-Setup!$B$6+12,12)+1)</f>
        <v/>
      </c>
      <c r="L1969" s="36" t="str">
        <f aca="false">IF($A1969="","",TEXT($A1969,"MMM-YY"))</f>
        <v/>
      </c>
      <c r="M1969" s="37" t="str">
        <f aca="false">IF($A1969="","",IF($Q1969=0,"UNMAPPED",INDEX(COA_Mapping!$C$7:$C$256,$Q1969)))</f>
        <v/>
      </c>
      <c r="N1969" s="38" t="str">
        <f aca="false">IF($A1969="","",IF($Q1969=0,"",INDEX(COA_Mapping!$E$7:$E$256,$Q1969)))</f>
        <v/>
      </c>
      <c r="O1969" s="38" t="n">
        <f aca="false">IF($A1969="",1,IF($Q1969=0,1,INDEX(COA_Mapping!$F$7:$F$256,$Q1969)))</f>
        <v>1</v>
      </c>
      <c r="P1969" s="34" t="str">
        <f aca="false">IF($A1969="","",$I1969*$O1969)</f>
        <v/>
      </c>
      <c r="Q1969" s="39" t="n">
        <f aca="false">IF($B1969="",0,IFERROR(MATCH($B1969,COA_Mapping!$A$7:$A$256,0),0))</f>
        <v>0</v>
      </c>
      <c r="R1969" s="39" t="n">
        <f aca="false">IF($A1969="",-1,IF($J1969=Setup!$B$7,1,IF($J1969=Setup!$B$9,0,-1)))</f>
        <v>-1</v>
      </c>
      <c r="S1969" s="35" t="n">
        <f aca="false">IF(OR($A1969="",$Q1969=0,$R1969=-1),0,$Q1969*1000+$R1969*100+$K1969)</f>
        <v>0</v>
      </c>
      <c r="T1969" s="37" t="str">
        <f aca="false">IF($A1969="","",IF($B1969="","NO ACCOUNT",IF($Q1969=0,"UNMAPPED",IF($R1969=-1,"OUTSIDE FY RANGE","OK"))))</f>
        <v/>
      </c>
      <c r="U1969" s="40" t="str">
        <f aca="false">IF($A1969="","",$B1969&amp;"|"&amp;TEXT($A1969,"yyyymmdd")&amp;"|"&amp;TEXT($I1969,"0.00"))</f>
        <v/>
      </c>
      <c r="V1969" s="35" t="str">
        <f aca="false">IF($A1969="","",COUNTIF($U$8:$U$5007,$U1969))</f>
        <v/>
      </c>
    </row>
    <row r="1970" customFormat="false" ht="15" hidden="false" customHeight="false" outlineLevel="0" collapsed="false">
      <c r="A1970" s="31"/>
      <c r="B1970" s="32"/>
      <c r="C1970" s="32"/>
      <c r="D1970" s="32"/>
      <c r="E1970" s="32"/>
      <c r="F1970" s="32"/>
      <c r="G1970" s="33"/>
      <c r="H1970" s="33"/>
      <c r="I1970" s="34" t="str">
        <f aca="false">IF($A1970="","",$G1970-$H1970)</f>
        <v/>
      </c>
      <c r="J1970" s="35" t="str">
        <f aca="false">IF($A1970="","",IF(Setup!$B$6=1,YEAR($A1970),YEAR($A1970)+IF(MONTH($A1970)&gt;=Setup!$B$6,1,0)))</f>
        <v/>
      </c>
      <c r="K1970" s="35" t="str">
        <f aca="false">IF($A1970="","",MOD(MONTH($A1970)-Setup!$B$6+12,12)+1)</f>
        <v/>
      </c>
      <c r="L1970" s="36" t="str">
        <f aca="false">IF($A1970="","",TEXT($A1970,"MMM-YY"))</f>
        <v/>
      </c>
      <c r="M1970" s="37" t="str">
        <f aca="false">IF($A1970="","",IF($Q1970=0,"UNMAPPED",INDEX(COA_Mapping!$C$7:$C$256,$Q1970)))</f>
        <v/>
      </c>
      <c r="N1970" s="38" t="str">
        <f aca="false">IF($A1970="","",IF($Q1970=0,"",INDEX(COA_Mapping!$E$7:$E$256,$Q1970)))</f>
        <v/>
      </c>
      <c r="O1970" s="38" t="n">
        <f aca="false">IF($A1970="",1,IF($Q1970=0,1,INDEX(COA_Mapping!$F$7:$F$256,$Q1970)))</f>
        <v>1</v>
      </c>
      <c r="P1970" s="34" t="str">
        <f aca="false">IF($A1970="","",$I1970*$O1970)</f>
        <v/>
      </c>
      <c r="Q1970" s="39" t="n">
        <f aca="false">IF($B1970="",0,IFERROR(MATCH($B1970,COA_Mapping!$A$7:$A$256,0),0))</f>
        <v>0</v>
      </c>
      <c r="R1970" s="39" t="n">
        <f aca="false">IF($A1970="",-1,IF($J1970=Setup!$B$7,1,IF($J1970=Setup!$B$9,0,-1)))</f>
        <v>-1</v>
      </c>
      <c r="S1970" s="35" t="n">
        <f aca="false">IF(OR($A1970="",$Q1970=0,$R1970=-1),0,$Q1970*1000+$R1970*100+$K1970)</f>
        <v>0</v>
      </c>
      <c r="T1970" s="37" t="str">
        <f aca="false">IF($A1970="","",IF($B1970="","NO ACCOUNT",IF($Q1970=0,"UNMAPPED",IF($R1970=-1,"OUTSIDE FY RANGE","OK"))))</f>
        <v/>
      </c>
      <c r="U1970" s="40" t="str">
        <f aca="false">IF($A1970="","",$B1970&amp;"|"&amp;TEXT($A1970,"yyyymmdd")&amp;"|"&amp;TEXT($I1970,"0.00"))</f>
        <v/>
      </c>
      <c r="V1970" s="35" t="str">
        <f aca="false">IF($A1970="","",COUNTIF($U$8:$U$5007,$U1970))</f>
        <v/>
      </c>
    </row>
    <row r="1971" customFormat="false" ht="15" hidden="false" customHeight="false" outlineLevel="0" collapsed="false">
      <c r="A1971" s="31"/>
      <c r="B1971" s="32"/>
      <c r="C1971" s="32"/>
      <c r="D1971" s="32"/>
      <c r="E1971" s="32"/>
      <c r="F1971" s="32"/>
      <c r="G1971" s="33"/>
      <c r="H1971" s="33"/>
      <c r="I1971" s="34" t="str">
        <f aca="false">IF($A1971="","",$G1971-$H1971)</f>
        <v/>
      </c>
      <c r="J1971" s="35" t="str">
        <f aca="false">IF($A1971="","",IF(Setup!$B$6=1,YEAR($A1971),YEAR($A1971)+IF(MONTH($A1971)&gt;=Setup!$B$6,1,0)))</f>
        <v/>
      </c>
      <c r="K1971" s="35" t="str">
        <f aca="false">IF($A1971="","",MOD(MONTH($A1971)-Setup!$B$6+12,12)+1)</f>
        <v/>
      </c>
      <c r="L1971" s="36" t="str">
        <f aca="false">IF($A1971="","",TEXT($A1971,"MMM-YY"))</f>
        <v/>
      </c>
      <c r="M1971" s="37" t="str">
        <f aca="false">IF($A1971="","",IF($Q1971=0,"UNMAPPED",INDEX(COA_Mapping!$C$7:$C$256,$Q1971)))</f>
        <v/>
      </c>
      <c r="N1971" s="38" t="str">
        <f aca="false">IF($A1971="","",IF($Q1971=0,"",INDEX(COA_Mapping!$E$7:$E$256,$Q1971)))</f>
        <v/>
      </c>
      <c r="O1971" s="38" t="n">
        <f aca="false">IF($A1971="",1,IF($Q1971=0,1,INDEX(COA_Mapping!$F$7:$F$256,$Q1971)))</f>
        <v>1</v>
      </c>
      <c r="P1971" s="34" t="str">
        <f aca="false">IF($A1971="","",$I1971*$O1971)</f>
        <v/>
      </c>
      <c r="Q1971" s="39" t="n">
        <f aca="false">IF($B1971="",0,IFERROR(MATCH($B1971,COA_Mapping!$A$7:$A$256,0),0))</f>
        <v>0</v>
      </c>
      <c r="R1971" s="39" t="n">
        <f aca="false">IF($A1971="",-1,IF($J1971=Setup!$B$7,1,IF($J1971=Setup!$B$9,0,-1)))</f>
        <v>-1</v>
      </c>
      <c r="S1971" s="35" t="n">
        <f aca="false">IF(OR($A1971="",$Q1971=0,$R1971=-1),0,$Q1971*1000+$R1971*100+$K1971)</f>
        <v>0</v>
      </c>
      <c r="T1971" s="37" t="str">
        <f aca="false">IF($A1971="","",IF($B1971="","NO ACCOUNT",IF($Q1971=0,"UNMAPPED",IF($R1971=-1,"OUTSIDE FY RANGE","OK"))))</f>
        <v/>
      </c>
      <c r="U1971" s="40" t="str">
        <f aca="false">IF($A1971="","",$B1971&amp;"|"&amp;TEXT($A1971,"yyyymmdd")&amp;"|"&amp;TEXT($I1971,"0.00"))</f>
        <v/>
      </c>
      <c r="V1971" s="35" t="str">
        <f aca="false">IF($A1971="","",COUNTIF($U$8:$U$5007,$U1971))</f>
        <v/>
      </c>
    </row>
    <row r="1972" customFormat="false" ht="15" hidden="false" customHeight="false" outlineLevel="0" collapsed="false">
      <c r="A1972" s="31"/>
      <c r="B1972" s="32"/>
      <c r="C1972" s="32"/>
      <c r="D1972" s="32"/>
      <c r="E1972" s="32"/>
      <c r="F1972" s="32"/>
      <c r="G1972" s="33"/>
      <c r="H1972" s="33"/>
      <c r="I1972" s="34" t="str">
        <f aca="false">IF($A1972="","",$G1972-$H1972)</f>
        <v/>
      </c>
      <c r="J1972" s="35" t="str">
        <f aca="false">IF($A1972="","",IF(Setup!$B$6=1,YEAR($A1972),YEAR($A1972)+IF(MONTH($A1972)&gt;=Setup!$B$6,1,0)))</f>
        <v/>
      </c>
      <c r="K1972" s="35" t="str">
        <f aca="false">IF($A1972="","",MOD(MONTH($A1972)-Setup!$B$6+12,12)+1)</f>
        <v/>
      </c>
      <c r="L1972" s="36" t="str">
        <f aca="false">IF($A1972="","",TEXT($A1972,"MMM-YY"))</f>
        <v/>
      </c>
      <c r="M1972" s="37" t="str">
        <f aca="false">IF($A1972="","",IF($Q1972=0,"UNMAPPED",INDEX(COA_Mapping!$C$7:$C$256,$Q1972)))</f>
        <v/>
      </c>
      <c r="N1972" s="38" t="str">
        <f aca="false">IF($A1972="","",IF($Q1972=0,"",INDEX(COA_Mapping!$E$7:$E$256,$Q1972)))</f>
        <v/>
      </c>
      <c r="O1972" s="38" t="n">
        <f aca="false">IF($A1972="",1,IF($Q1972=0,1,INDEX(COA_Mapping!$F$7:$F$256,$Q1972)))</f>
        <v>1</v>
      </c>
      <c r="P1972" s="34" t="str">
        <f aca="false">IF($A1972="","",$I1972*$O1972)</f>
        <v/>
      </c>
      <c r="Q1972" s="39" t="n">
        <f aca="false">IF($B1972="",0,IFERROR(MATCH($B1972,COA_Mapping!$A$7:$A$256,0),0))</f>
        <v>0</v>
      </c>
      <c r="R1972" s="39" t="n">
        <f aca="false">IF($A1972="",-1,IF($J1972=Setup!$B$7,1,IF($J1972=Setup!$B$9,0,-1)))</f>
        <v>-1</v>
      </c>
      <c r="S1972" s="35" t="n">
        <f aca="false">IF(OR($A1972="",$Q1972=0,$R1972=-1),0,$Q1972*1000+$R1972*100+$K1972)</f>
        <v>0</v>
      </c>
      <c r="T1972" s="37" t="str">
        <f aca="false">IF($A1972="","",IF($B1972="","NO ACCOUNT",IF($Q1972=0,"UNMAPPED",IF($R1972=-1,"OUTSIDE FY RANGE","OK"))))</f>
        <v/>
      </c>
      <c r="U1972" s="40" t="str">
        <f aca="false">IF($A1972="","",$B1972&amp;"|"&amp;TEXT($A1972,"yyyymmdd")&amp;"|"&amp;TEXT($I1972,"0.00"))</f>
        <v/>
      </c>
      <c r="V1972" s="35" t="str">
        <f aca="false">IF($A1972="","",COUNTIF($U$8:$U$5007,$U1972))</f>
        <v/>
      </c>
    </row>
    <row r="1973" customFormat="false" ht="15" hidden="false" customHeight="false" outlineLevel="0" collapsed="false">
      <c r="A1973" s="31"/>
      <c r="B1973" s="32"/>
      <c r="C1973" s="32"/>
      <c r="D1973" s="32"/>
      <c r="E1973" s="32"/>
      <c r="F1973" s="32"/>
      <c r="G1973" s="33"/>
      <c r="H1973" s="33"/>
      <c r="I1973" s="34" t="str">
        <f aca="false">IF($A1973="","",$G1973-$H1973)</f>
        <v/>
      </c>
      <c r="J1973" s="35" t="str">
        <f aca="false">IF($A1973="","",IF(Setup!$B$6=1,YEAR($A1973),YEAR($A1973)+IF(MONTH($A1973)&gt;=Setup!$B$6,1,0)))</f>
        <v/>
      </c>
      <c r="K1973" s="35" t="str">
        <f aca="false">IF($A1973="","",MOD(MONTH($A1973)-Setup!$B$6+12,12)+1)</f>
        <v/>
      </c>
      <c r="L1973" s="36" t="str">
        <f aca="false">IF($A1973="","",TEXT($A1973,"MMM-YY"))</f>
        <v/>
      </c>
      <c r="M1973" s="37" t="str">
        <f aca="false">IF($A1973="","",IF($Q1973=0,"UNMAPPED",INDEX(COA_Mapping!$C$7:$C$256,$Q1973)))</f>
        <v/>
      </c>
      <c r="N1973" s="38" t="str">
        <f aca="false">IF($A1973="","",IF($Q1973=0,"",INDEX(COA_Mapping!$E$7:$E$256,$Q1973)))</f>
        <v/>
      </c>
      <c r="O1973" s="38" t="n">
        <f aca="false">IF($A1973="",1,IF($Q1973=0,1,INDEX(COA_Mapping!$F$7:$F$256,$Q1973)))</f>
        <v>1</v>
      </c>
      <c r="P1973" s="34" t="str">
        <f aca="false">IF($A1973="","",$I1973*$O1973)</f>
        <v/>
      </c>
      <c r="Q1973" s="39" t="n">
        <f aca="false">IF($B1973="",0,IFERROR(MATCH($B1973,COA_Mapping!$A$7:$A$256,0),0))</f>
        <v>0</v>
      </c>
      <c r="R1973" s="39" t="n">
        <f aca="false">IF($A1973="",-1,IF($J1973=Setup!$B$7,1,IF($J1973=Setup!$B$9,0,-1)))</f>
        <v>-1</v>
      </c>
      <c r="S1973" s="35" t="n">
        <f aca="false">IF(OR($A1973="",$Q1973=0,$R1973=-1),0,$Q1973*1000+$R1973*100+$K1973)</f>
        <v>0</v>
      </c>
      <c r="T1973" s="37" t="str">
        <f aca="false">IF($A1973="","",IF($B1973="","NO ACCOUNT",IF($Q1973=0,"UNMAPPED",IF($R1973=-1,"OUTSIDE FY RANGE","OK"))))</f>
        <v/>
      </c>
      <c r="U1973" s="40" t="str">
        <f aca="false">IF($A1973="","",$B1973&amp;"|"&amp;TEXT($A1973,"yyyymmdd")&amp;"|"&amp;TEXT($I1973,"0.00"))</f>
        <v/>
      </c>
      <c r="V1973" s="35" t="str">
        <f aca="false">IF($A1973="","",COUNTIF($U$8:$U$5007,$U1973))</f>
        <v/>
      </c>
    </row>
    <row r="1974" customFormat="false" ht="15" hidden="false" customHeight="false" outlineLevel="0" collapsed="false">
      <c r="A1974" s="31"/>
      <c r="B1974" s="32"/>
      <c r="C1974" s="32"/>
      <c r="D1974" s="32"/>
      <c r="E1974" s="32"/>
      <c r="F1974" s="32"/>
      <c r="G1974" s="33"/>
      <c r="H1974" s="33"/>
      <c r="I1974" s="34" t="str">
        <f aca="false">IF($A1974="","",$G1974-$H1974)</f>
        <v/>
      </c>
      <c r="J1974" s="35" t="str">
        <f aca="false">IF($A1974="","",IF(Setup!$B$6=1,YEAR($A1974),YEAR($A1974)+IF(MONTH($A1974)&gt;=Setup!$B$6,1,0)))</f>
        <v/>
      </c>
      <c r="K1974" s="35" t="str">
        <f aca="false">IF($A1974="","",MOD(MONTH($A1974)-Setup!$B$6+12,12)+1)</f>
        <v/>
      </c>
      <c r="L1974" s="36" t="str">
        <f aca="false">IF($A1974="","",TEXT($A1974,"MMM-YY"))</f>
        <v/>
      </c>
      <c r="M1974" s="37" t="str">
        <f aca="false">IF($A1974="","",IF($Q1974=0,"UNMAPPED",INDEX(COA_Mapping!$C$7:$C$256,$Q1974)))</f>
        <v/>
      </c>
      <c r="N1974" s="38" t="str">
        <f aca="false">IF($A1974="","",IF($Q1974=0,"",INDEX(COA_Mapping!$E$7:$E$256,$Q1974)))</f>
        <v/>
      </c>
      <c r="O1974" s="38" t="n">
        <f aca="false">IF($A1974="",1,IF($Q1974=0,1,INDEX(COA_Mapping!$F$7:$F$256,$Q1974)))</f>
        <v>1</v>
      </c>
      <c r="P1974" s="34" t="str">
        <f aca="false">IF($A1974="","",$I1974*$O1974)</f>
        <v/>
      </c>
      <c r="Q1974" s="39" t="n">
        <f aca="false">IF($B1974="",0,IFERROR(MATCH($B1974,COA_Mapping!$A$7:$A$256,0),0))</f>
        <v>0</v>
      </c>
      <c r="R1974" s="39" t="n">
        <f aca="false">IF($A1974="",-1,IF($J1974=Setup!$B$7,1,IF($J1974=Setup!$B$9,0,-1)))</f>
        <v>-1</v>
      </c>
      <c r="S1974" s="35" t="n">
        <f aca="false">IF(OR($A1974="",$Q1974=0,$R1974=-1),0,$Q1974*1000+$R1974*100+$K1974)</f>
        <v>0</v>
      </c>
      <c r="T1974" s="37" t="str">
        <f aca="false">IF($A1974="","",IF($B1974="","NO ACCOUNT",IF($Q1974=0,"UNMAPPED",IF($R1974=-1,"OUTSIDE FY RANGE","OK"))))</f>
        <v/>
      </c>
      <c r="U1974" s="40" t="str">
        <f aca="false">IF($A1974="","",$B1974&amp;"|"&amp;TEXT($A1974,"yyyymmdd")&amp;"|"&amp;TEXT($I1974,"0.00"))</f>
        <v/>
      </c>
      <c r="V1974" s="35" t="str">
        <f aca="false">IF($A1974="","",COUNTIF($U$8:$U$5007,$U1974))</f>
        <v/>
      </c>
    </row>
    <row r="1975" customFormat="false" ht="15" hidden="false" customHeight="false" outlineLevel="0" collapsed="false">
      <c r="A1975" s="31"/>
      <c r="B1975" s="32"/>
      <c r="C1975" s="32"/>
      <c r="D1975" s="32"/>
      <c r="E1975" s="32"/>
      <c r="F1975" s="32"/>
      <c r="G1975" s="33"/>
      <c r="H1975" s="33"/>
      <c r="I1975" s="34" t="str">
        <f aca="false">IF($A1975="","",$G1975-$H1975)</f>
        <v/>
      </c>
      <c r="J1975" s="35" t="str">
        <f aca="false">IF($A1975="","",IF(Setup!$B$6=1,YEAR($A1975),YEAR($A1975)+IF(MONTH($A1975)&gt;=Setup!$B$6,1,0)))</f>
        <v/>
      </c>
      <c r="K1975" s="35" t="str">
        <f aca="false">IF($A1975="","",MOD(MONTH($A1975)-Setup!$B$6+12,12)+1)</f>
        <v/>
      </c>
      <c r="L1975" s="36" t="str">
        <f aca="false">IF($A1975="","",TEXT($A1975,"MMM-YY"))</f>
        <v/>
      </c>
      <c r="M1975" s="37" t="str">
        <f aca="false">IF($A1975="","",IF($Q1975=0,"UNMAPPED",INDEX(COA_Mapping!$C$7:$C$256,$Q1975)))</f>
        <v/>
      </c>
      <c r="N1975" s="38" t="str">
        <f aca="false">IF($A1975="","",IF($Q1975=0,"",INDEX(COA_Mapping!$E$7:$E$256,$Q1975)))</f>
        <v/>
      </c>
      <c r="O1975" s="38" t="n">
        <f aca="false">IF($A1975="",1,IF($Q1975=0,1,INDEX(COA_Mapping!$F$7:$F$256,$Q1975)))</f>
        <v>1</v>
      </c>
      <c r="P1975" s="34" t="str">
        <f aca="false">IF($A1975="","",$I1975*$O1975)</f>
        <v/>
      </c>
      <c r="Q1975" s="39" t="n">
        <f aca="false">IF($B1975="",0,IFERROR(MATCH($B1975,COA_Mapping!$A$7:$A$256,0),0))</f>
        <v>0</v>
      </c>
      <c r="R1975" s="39" t="n">
        <f aca="false">IF($A1975="",-1,IF($J1975=Setup!$B$7,1,IF($J1975=Setup!$B$9,0,-1)))</f>
        <v>-1</v>
      </c>
      <c r="S1975" s="35" t="n">
        <f aca="false">IF(OR($A1975="",$Q1975=0,$R1975=-1),0,$Q1975*1000+$R1975*100+$K1975)</f>
        <v>0</v>
      </c>
      <c r="T1975" s="37" t="str">
        <f aca="false">IF($A1975="","",IF($B1975="","NO ACCOUNT",IF($Q1975=0,"UNMAPPED",IF($R1975=-1,"OUTSIDE FY RANGE","OK"))))</f>
        <v/>
      </c>
      <c r="U1975" s="40" t="str">
        <f aca="false">IF($A1975="","",$B1975&amp;"|"&amp;TEXT($A1975,"yyyymmdd")&amp;"|"&amp;TEXT($I1975,"0.00"))</f>
        <v/>
      </c>
      <c r="V1975" s="35" t="str">
        <f aca="false">IF($A1975="","",COUNTIF($U$8:$U$5007,$U1975))</f>
        <v/>
      </c>
    </row>
    <row r="1976" customFormat="false" ht="15" hidden="false" customHeight="false" outlineLevel="0" collapsed="false">
      <c r="A1976" s="31"/>
      <c r="B1976" s="32"/>
      <c r="C1976" s="32"/>
      <c r="D1976" s="32"/>
      <c r="E1976" s="32"/>
      <c r="F1976" s="32"/>
      <c r="G1976" s="33"/>
      <c r="H1976" s="33"/>
      <c r="I1976" s="34" t="str">
        <f aca="false">IF($A1976="","",$G1976-$H1976)</f>
        <v/>
      </c>
      <c r="J1976" s="35" t="str">
        <f aca="false">IF($A1976="","",IF(Setup!$B$6=1,YEAR($A1976),YEAR($A1976)+IF(MONTH($A1976)&gt;=Setup!$B$6,1,0)))</f>
        <v/>
      </c>
      <c r="K1976" s="35" t="str">
        <f aca="false">IF($A1976="","",MOD(MONTH($A1976)-Setup!$B$6+12,12)+1)</f>
        <v/>
      </c>
      <c r="L1976" s="36" t="str">
        <f aca="false">IF($A1976="","",TEXT($A1976,"MMM-YY"))</f>
        <v/>
      </c>
      <c r="M1976" s="37" t="str">
        <f aca="false">IF($A1976="","",IF($Q1976=0,"UNMAPPED",INDEX(COA_Mapping!$C$7:$C$256,$Q1976)))</f>
        <v/>
      </c>
      <c r="N1976" s="38" t="str">
        <f aca="false">IF($A1976="","",IF($Q1976=0,"",INDEX(COA_Mapping!$E$7:$E$256,$Q1976)))</f>
        <v/>
      </c>
      <c r="O1976" s="38" t="n">
        <f aca="false">IF($A1976="",1,IF($Q1976=0,1,INDEX(COA_Mapping!$F$7:$F$256,$Q1976)))</f>
        <v>1</v>
      </c>
      <c r="P1976" s="34" t="str">
        <f aca="false">IF($A1976="","",$I1976*$O1976)</f>
        <v/>
      </c>
      <c r="Q1976" s="39" t="n">
        <f aca="false">IF($B1976="",0,IFERROR(MATCH($B1976,COA_Mapping!$A$7:$A$256,0),0))</f>
        <v>0</v>
      </c>
      <c r="R1976" s="39" t="n">
        <f aca="false">IF($A1976="",-1,IF($J1976=Setup!$B$7,1,IF($J1976=Setup!$B$9,0,-1)))</f>
        <v>-1</v>
      </c>
      <c r="S1976" s="35" t="n">
        <f aca="false">IF(OR($A1976="",$Q1976=0,$R1976=-1),0,$Q1976*1000+$R1976*100+$K1976)</f>
        <v>0</v>
      </c>
      <c r="T1976" s="37" t="str">
        <f aca="false">IF($A1976="","",IF($B1976="","NO ACCOUNT",IF($Q1976=0,"UNMAPPED",IF($R1976=-1,"OUTSIDE FY RANGE","OK"))))</f>
        <v/>
      </c>
      <c r="U1976" s="40" t="str">
        <f aca="false">IF($A1976="","",$B1976&amp;"|"&amp;TEXT($A1976,"yyyymmdd")&amp;"|"&amp;TEXT($I1976,"0.00"))</f>
        <v/>
      </c>
      <c r="V1976" s="35" t="str">
        <f aca="false">IF($A1976="","",COUNTIF($U$8:$U$5007,$U1976))</f>
        <v/>
      </c>
    </row>
    <row r="1977" customFormat="false" ht="15" hidden="false" customHeight="false" outlineLevel="0" collapsed="false">
      <c r="A1977" s="31"/>
      <c r="B1977" s="32"/>
      <c r="C1977" s="32"/>
      <c r="D1977" s="32"/>
      <c r="E1977" s="32"/>
      <c r="F1977" s="32"/>
      <c r="G1977" s="33"/>
      <c r="H1977" s="33"/>
      <c r="I1977" s="34" t="str">
        <f aca="false">IF($A1977="","",$G1977-$H1977)</f>
        <v/>
      </c>
      <c r="J1977" s="35" t="str">
        <f aca="false">IF($A1977="","",IF(Setup!$B$6=1,YEAR($A1977),YEAR($A1977)+IF(MONTH($A1977)&gt;=Setup!$B$6,1,0)))</f>
        <v/>
      </c>
      <c r="K1977" s="35" t="str">
        <f aca="false">IF($A1977="","",MOD(MONTH($A1977)-Setup!$B$6+12,12)+1)</f>
        <v/>
      </c>
      <c r="L1977" s="36" t="str">
        <f aca="false">IF($A1977="","",TEXT($A1977,"MMM-YY"))</f>
        <v/>
      </c>
      <c r="M1977" s="37" t="str">
        <f aca="false">IF($A1977="","",IF($Q1977=0,"UNMAPPED",INDEX(COA_Mapping!$C$7:$C$256,$Q1977)))</f>
        <v/>
      </c>
      <c r="N1977" s="38" t="str">
        <f aca="false">IF($A1977="","",IF($Q1977=0,"",INDEX(COA_Mapping!$E$7:$E$256,$Q1977)))</f>
        <v/>
      </c>
      <c r="O1977" s="38" t="n">
        <f aca="false">IF($A1977="",1,IF($Q1977=0,1,INDEX(COA_Mapping!$F$7:$F$256,$Q1977)))</f>
        <v>1</v>
      </c>
      <c r="P1977" s="34" t="str">
        <f aca="false">IF($A1977="","",$I1977*$O1977)</f>
        <v/>
      </c>
      <c r="Q1977" s="39" t="n">
        <f aca="false">IF($B1977="",0,IFERROR(MATCH($B1977,COA_Mapping!$A$7:$A$256,0),0))</f>
        <v>0</v>
      </c>
      <c r="R1977" s="39" t="n">
        <f aca="false">IF($A1977="",-1,IF($J1977=Setup!$B$7,1,IF($J1977=Setup!$B$9,0,-1)))</f>
        <v>-1</v>
      </c>
      <c r="S1977" s="35" t="n">
        <f aca="false">IF(OR($A1977="",$Q1977=0,$R1977=-1),0,$Q1977*1000+$R1977*100+$K1977)</f>
        <v>0</v>
      </c>
      <c r="T1977" s="37" t="str">
        <f aca="false">IF($A1977="","",IF($B1977="","NO ACCOUNT",IF($Q1977=0,"UNMAPPED",IF($R1977=-1,"OUTSIDE FY RANGE","OK"))))</f>
        <v/>
      </c>
      <c r="U1977" s="40" t="str">
        <f aca="false">IF($A1977="","",$B1977&amp;"|"&amp;TEXT($A1977,"yyyymmdd")&amp;"|"&amp;TEXT($I1977,"0.00"))</f>
        <v/>
      </c>
      <c r="V1977" s="35" t="str">
        <f aca="false">IF($A1977="","",COUNTIF($U$8:$U$5007,$U1977))</f>
        <v/>
      </c>
    </row>
    <row r="1978" customFormat="false" ht="15" hidden="false" customHeight="false" outlineLevel="0" collapsed="false">
      <c r="A1978" s="31"/>
      <c r="B1978" s="32"/>
      <c r="C1978" s="32"/>
      <c r="D1978" s="32"/>
      <c r="E1978" s="32"/>
      <c r="F1978" s="32"/>
      <c r="G1978" s="33"/>
      <c r="H1978" s="33"/>
      <c r="I1978" s="34" t="str">
        <f aca="false">IF($A1978="","",$G1978-$H1978)</f>
        <v/>
      </c>
      <c r="J1978" s="35" t="str">
        <f aca="false">IF($A1978="","",IF(Setup!$B$6=1,YEAR($A1978),YEAR($A1978)+IF(MONTH($A1978)&gt;=Setup!$B$6,1,0)))</f>
        <v/>
      </c>
      <c r="K1978" s="35" t="str">
        <f aca="false">IF($A1978="","",MOD(MONTH($A1978)-Setup!$B$6+12,12)+1)</f>
        <v/>
      </c>
      <c r="L1978" s="36" t="str">
        <f aca="false">IF($A1978="","",TEXT($A1978,"MMM-YY"))</f>
        <v/>
      </c>
      <c r="M1978" s="37" t="str">
        <f aca="false">IF($A1978="","",IF($Q1978=0,"UNMAPPED",INDEX(COA_Mapping!$C$7:$C$256,$Q1978)))</f>
        <v/>
      </c>
      <c r="N1978" s="38" t="str">
        <f aca="false">IF($A1978="","",IF($Q1978=0,"",INDEX(COA_Mapping!$E$7:$E$256,$Q1978)))</f>
        <v/>
      </c>
      <c r="O1978" s="38" t="n">
        <f aca="false">IF($A1978="",1,IF($Q1978=0,1,INDEX(COA_Mapping!$F$7:$F$256,$Q1978)))</f>
        <v>1</v>
      </c>
      <c r="P1978" s="34" t="str">
        <f aca="false">IF($A1978="","",$I1978*$O1978)</f>
        <v/>
      </c>
      <c r="Q1978" s="39" t="n">
        <f aca="false">IF($B1978="",0,IFERROR(MATCH($B1978,COA_Mapping!$A$7:$A$256,0),0))</f>
        <v>0</v>
      </c>
      <c r="R1978" s="39" t="n">
        <f aca="false">IF($A1978="",-1,IF($J1978=Setup!$B$7,1,IF($J1978=Setup!$B$9,0,-1)))</f>
        <v>-1</v>
      </c>
      <c r="S1978" s="35" t="n">
        <f aca="false">IF(OR($A1978="",$Q1978=0,$R1978=-1),0,$Q1978*1000+$R1978*100+$K1978)</f>
        <v>0</v>
      </c>
      <c r="T1978" s="37" t="str">
        <f aca="false">IF($A1978="","",IF($B1978="","NO ACCOUNT",IF($Q1978=0,"UNMAPPED",IF($R1978=-1,"OUTSIDE FY RANGE","OK"))))</f>
        <v/>
      </c>
      <c r="U1978" s="40" t="str">
        <f aca="false">IF($A1978="","",$B1978&amp;"|"&amp;TEXT($A1978,"yyyymmdd")&amp;"|"&amp;TEXT($I1978,"0.00"))</f>
        <v/>
      </c>
      <c r="V1978" s="35" t="str">
        <f aca="false">IF($A1978="","",COUNTIF($U$8:$U$5007,$U1978))</f>
        <v/>
      </c>
    </row>
    <row r="1979" customFormat="false" ht="15" hidden="false" customHeight="false" outlineLevel="0" collapsed="false">
      <c r="A1979" s="31"/>
      <c r="B1979" s="32"/>
      <c r="C1979" s="32"/>
      <c r="D1979" s="32"/>
      <c r="E1979" s="32"/>
      <c r="F1979" s="32"/>
      <c r="G1979" s="33"/>
      <c r="H1979" s="33"/>
      <c r="I1979" s="34" t="str">
        <f aca="false">IF($A1979="","",$G1979-$H1979)</f>
        <v/>
      </c>
      <c r="J1979" s="35" t="str">
        <f aca="false">IF($A1979="","",IF(Setup!$B$6=1,YEAR($A1979),YEAR($A1979)+IF(MONTH($A1979)&gt;=Setup!$B$6,1,0)))</f>
        <v/>
      </c>
      <c r="K1979" s="35" t="str">
        <f aca="false">IF($A1979="","",MOD(MONTH($A1979)-Setup!$B$6+12,12)+1)</f>
        <v/>
      </c>
      <c r="L1979" s="36" t="str">
        <f aca="false">IF($A1979="","",TEXT($A1979,"MMM-YY"))</f>
        <v/>
      </c>
      <c r="M1979" s="37" t="str">
        <f aca="false">IF($A1979="","",IF($Q1979=0,"UNMAPPED",INDEX(COA_Mapping!$C$7:$C$256,$Q1979)))</f>
        <v/>
      </c>
      <c r="N1979" s="38" t="str">
        <f aca="false">IF($A1979="","",IF($Q1979=0,"",INDEX(COA_Mapping!$E$7:$E$256,$Q1979)))</f>
        <v/>
      </c>
      <c r="O1979" s="38" t="n">
        <f aca="false">IF($A1979="",1,IF($Q1979=0,1,INDEX(COA_Mapping!$F$7:$F$256,$Q1979)))</f>
        <v>1</v>
      </c>
      <c r="P1979" s="34" t="str">
        <f aca="false">IF($A1979="","",$I1979*$O1979)</f>
        <v/>
      </c>
      <c r="Q1979" s="39" t="n">
        <f aca="false">IF($B1979="",0,IFERROR(MATCH($B1979,COA_Mapping!$A$7:$A$256,0),0))</f>
        <v>0</v>
      </c>
      <c r="R1979" s="39" t="n">
        <f aca="false">IF($A1979="",-1,IF($J1979=Setup!$B$7,1,IF($J1979=Setup!$B$9,0,-1)))</f>
        <v>-1</v>
      </c>
      <c r="S1979" s="35" t="n">
        <f aca="false">IF(OR($A1979="",$Q1979=0,$R1979=-1),0,$Q1979*1000+$R1979*100+$K1979)</f>
        <v>0</v>
      </c>
      <c r="T1979" s="37" t="str">
        <f aca="false">IF($A1979="","",IF($B1979="","NO ACCOUNT",IF($Q1979=0,"UNMAPPED",IF($R1979=-1,"OUTSIDE FY RANGE","OK"))))</f>
        <v/>
      </c>
      <c r="U1979" s="40" t="str">
        <f aca="false">IF($A1979="","",$B1979&amp;"|"&amp;TEXT($A1979,"yyyymmdd")&amp;"|"&amp;TEXT($I1979,"0.00"))</f>
        <v/>
      </c>
      <c r="V1979" s="35" t="str">
        <f aca="false">IF($A1979="","",COUNTIF($U$8:$U$5007,$U1979))</f>
        <v/>
      </c>
    </row>
    <row r="1980" customFormat="false" ht="15" hidden="false" customHeight="false" outlineLevel="0" collapsed="false">
      <c r="A1980" s="31"/>
      <c r="B1980" s="32"/>
      <c r="C1980" s="32"/>
      <c r="D1980" s="32"/>
      <c r="E1980" s="32"/>
      <c r="F1980" s="32"/>
      <c r="G1980" s="33"/>
      <c r="H1980" s="33"/>
      <c r="I1980" s="34" t="str">
        <f aca="false">IF($A1980="","",$G1980-$H1980)</f>
        <v/>
      </c>
      <c r="J1980" s="35" t="str">
        <f aca="false">IF($A1980="","",IF(Setup!$B$6=1,YEAR($A1980),YEAR($A1980)+IF(MONTH($A1980)&gt;=Setup!$B$6,1,0)))</f>
        <v/>
      </c>
      <c r="K1980" s="35" t="str">
        <f aca="false">IF($A1980="","",MOD(MONTH($A1980)-Setup!$B$6+12,12)+1)</f>
        <v/>
      </c>
      <c r="L1980" s="36" t="str">
        <f aca="false">IF($A1980="","",TEXT($A1980,"MMM-YY"))</f>
        <v/>
      </c>
      <c r="M1980" s="37" t="str">
        <f aca="false">IF($A1980="","",IF($Q1980=0,"UNMAPPED",INDEX(COA_Mapping!$C$7:$C$256,$Q1980)))</f>
        <v/>
      </c>
      <c r="N1980" s="38" t="str">
        <f aca="false">IF($A1980="","",IF($Q1980=0,"",INDEX(COA_Mapping!$E$7:$E$256,$Q1980)))</f>
        <v/>
      </c>
      <c r="O1980" s="38" t="n">
        <f aca="false">IF($A1980="",1,IF($Q1980=0,1,INDEX(COA_Mapping!$F$7:$F$256,$Q1980)))</f>
        <v>1</v>
      </c>
      <c r="P1980" s="34" t="str">
        <f aca="false">IF($A1980="","",$I1980*$O1980)</f>
        <v/>
      </c>
      <c r="Q1980" s="39" t="n">
        <f aca="false">IF($B1980="",0,IFERROR(MATCH($B1980,COA_Mapping!$A$7:$A$256,0),0))</f>
        <v>0</v>
      </c>
      <c r="R1980" s="39" t="n">
        <f aca="false">IF($A1980="",-1,IF($J1980=Setup!$B$7,1,IF($J1980=Setup!$B$9,0,-1)))</f>
        <v>-1</v>
      </c>
      <c r="S1980" s="35" t="n">
        <f aca="false">IF(OR($A1980="",$Q1980=0,$R1980=-1),0,$Q1980*1000+$R1980*100+$K1980)</f>
        <v>0</v>
      </c>
      <c r="T1980" s="37" t="str">
        <f aca="false">IF($A1980="","",IF($B1980="","NO ACCOUNT",IF($Q1980=0,"UNMAPPED",IF($R1980=-1,"OUTSIDE FY RANGE","OK"))))</f>
        <v/>
      </c>
      <c r="U1980" s="40" t="str">
        <f aca="false">IF($A1980="","",$B1980&amp;"|"&amp;TEXT($A1980,"yyyymmdd")&amp;"|"&amp;TEXT($I1980,"0.00"))</f>
        <v/>
      </c>
      <c r="V1980" s="35" t="str">
        <f aca="false">IF($A1980="","",COUNTIF($U$8:$U$5007,$U1980))</f>
        <v/>
      </c>
    </row>
    <row r="1981" customFormat="false" ht="15" hidden="false" customHeight="false" outlineLevel="0" collapsed="false">
      <c r="A1981" s="31"/>
      <c r="B1981" s="32"/>
      <c r="C1981" s="32"/>
      <c r="D1981" s="32"/>
      <c r="E1981" s="32"/>
      <c r="F1981" s="32"/>
      <c r="G1981" s="33"/>
      <c r="H1981" s="33"/>
      <c r="I1981" s="34" t="str">
        <f aca="false">IF($A1981="","",$G1981-$H1981)</f>
        <v/>
      </c>
      <c r="J1981" s="35" t="str">
        <f aca="false">IF($A1981="","",IF(Setup!$B$6=1,YEAR($A1981),YEAR($A1981)+IF(MONTH($A1981)&gt;=Setup!$B$6,1,0)))</f>
        <v/>
      </c>
      <c r="K1981" s="35" t="str">
        <f aca="false">IF($A1981="","",MOD(MONTH($A1981)-Setup!$B$6+12,12)+1)</f>
        <v/>
      </c>
      <c r="L1981" s="36" t="str">
        <f aca="false">IF($A1981="","",TEXT($A1981,"MMM-YY"))</f>
        <v/>
      </c>
      <c r="M1981" s="37" t="str">
        <f aca="false">IF($A1981="","",IF($Q1981=0,"UNMAPPED",INDEX(COA_Mapping!$C$7:$C$256,$Q1981)))</f>
        <v/>
      </c>
      <c r="N1981" s="38" t="str">
        <f aca="false">IF($A1981="","",IF($Q1981=0,"",INDEX(COA_Mapping!$E$7:$E$256,$Q1981)))</f>
        <v/>
      </c>
      <c r="O1981" s="38" t="n">
        <f aca="false">IF($A1981="",1,IF($Q1981=0,1,INDEX(COA_Mapping!$F$7:$F$256,$Q1981)))</f>
        <v>1</v>
      </c>
      <c r="P1981" s="34" t="str">
        <f aca="false">IF($A1981="","",$I1981*$O1981)</f>
        <v/>
      </c>
      <c r="Q1981" s="39" t="n">
        <f aca="false">IF($B1981="",0,IFERROR(MATCH($B1981,COA_Mapping!$A$7:$A$256,0),0))</f>
        <v>0</v>
      </c>
      <c r="R1981" s="39" t="n">
        <f aca="false">IF($A1981="",-1,IF($J1981=Setup!$B$7,1,IF($J1981=Setup!$B$9,0,-1)))</f>
        <v>-1</v>
      </c>
      <c r="S1981" s="35" t="n">
        <f aca="false">IF(OR($A1981="",$Q1981=0,$R1981=-1),0,$Q1981*1000+$R1981*100+$K1981)</f>
        <v>0</v>
      </c>
      <c r="T1981" s="37" t="str">
        <f aca="false">IF($A1981="","",IF($B1981="","NO ACCOUNT",IF($Q1981=0,"UNMAPPED",IF($R1981=-1,"OUTSIDE FY RANGE","OK"))))</f>
        <v/>
      </c>
      <c r="U1981" s="40" t="str">
        <f aca="false">IF($A1981="","",$B1981&amp;"|"&amp;TEXT($A1981,"yyyymmdd")&amp;"|"&amp;TEXT($I1981,"0.00"))</f>
        <v/>
      </c>
      <c r="V1981" s="35" t="str">
        <f aca="false">IF($A1981="","",COUNTIF($U$8:$U$5007,$U1981))</f>
        <v/>
      </c>
    </row>
    <row r="1982" customFormat="false" ht="15" hidden="false" customHeight="false" outlineLevel="0" collapsed="false">
      <c r="A1982" s="31"/>
      <c r="B1982" s="32"/>
      <c r="C1982" s="32"/>
      <c r="D1982" s="32"/>
      <c r="E1982" s="32"/>
      <c r="F1982" s="32"/>
      <c r="G1982" s="33"/>
      <c r="H1982" s="33"/>
      <c r="I1982" s="34" t="str">
        <f aca="false">IF($A1982="","",$G1982-$H1982)</f>
        <v/>
      </c>
      <c r="J1982" s="35" t="str">
        <f aca="false">IF($A1982="","",IF(Setup!$B$6=1,YEAR($A1982),YEAR($A1982)+IF(MONTH($A1982)&gt;=Setup!$B$6,1,0)))</f>
        <v/>
      </c>
      <c r="K1982" s="35" t="str">
        <f aca="false">IF($A1982="","",MOD(MONTH($A1982)-Setup!$B$6+12,12)+1)</f>
        <v/>
      </c>
      <c r="L1982" s="36" t="str">
        <f aca="false">IF($A1982="","",TEXT($A1982,"MMM-YY"))</f>
        <v/>
      </c>
      <c r="M1982" s="37" t="str">
        <f aca="false">IF($A1982="","",IF($Q1982=0,"UNMAPPED",INDEX(COA_Mapping!$C$7:$C$256,$Q1982)))</f>
        <v/>
      </c>
      <c r="N1982" s="38" t="str">
        <f aca="false">IF($A1982="","",IF($Q1982=0,"",INDEX(COA_Mapping!$E$7:$E$256,$Q1982)))</f>
        <v/>
      </c>
      <c r="O1982" s="38" t="n">
        <f aca="false">IF($A1982="",1,IF($Q1982=0,1,INDEX(COA_Mapping!$F$7:$F$256,$Q1982)))</f>
        <v>1</v>
      </c>
      <c r="P1982" s="34" t="str">
        <f aca="false">IF($A1982="","",$I1982*$O1982)</f>
        <v/>
      </c>
      <c r="Q1982" s="39" t="n">
        <f aca="false">IF($B1982="",0,IFERROR(MATCH($B1982,COA_Mapping!$A$7:$A$256,0),0))</f>
        <v>0</v>
      </c>
      <c r="R1982" s="39" t="n">
        <f aca="false">IF($A1982="",-1,IF($J1982=Setup!$B$7,1,IF($J1982=Setup!$B$9,0,-1)))</f>
        <v>-1</v>
      </c>
      <c r="S1982" s="35" t="n">
        <f aca="false">IF(OR($A1982="",$Q1982=0,$R1982=-1),0,$Q1982*1000+$R1982*100+$K1982)</f>
        <v>0</v>
      </c>
      <c r="T1982" s="37" t="str">
        <f aca="false">IF($A1982="","",IF($B1982="","NO ACCOUNT",IF($Q1982=0,"UNMAPPED",IF($R1982=-1,"OUTSIDE FY RANGE","OK"))))</f>
        <v/>
      </c>
      <c r="U1982" s="40" t="str">
        <f aca="false">IF($A1982="","",$B1982&amp;"|"&amp;TEXT($A1982,"yyyymmdd")&amp;"|"&amp;TEXT($I1982,"0.00"))</f>
        <v/>
      </c>
      <c r="V1982" s="35" t="str">
        <f aca="false">IF($A1982="","",COUNTIF($U$8:$U$5007,$U1982))</f>
        <v/>
      </c>
    </row>
    <row r="1983" customFormat="false" ht="15" hidden="false" customHeight="false" outlineLevel="0" collapsed="false">
      <c r="A1983" s="31"/>
      <c r="B1983" s="32"/>
      <c r="C1983" s="32"/>
      <c r="D1983" s="32"/>
      <c r="E1983" s="32"/>
      <c r="F1983" s="32"/>
      <c r="G1983" s="33"/>
      <c r="H1983" s="33"/>
      <c r="I1983" s="34" t="str">
        <f aca="false">IF($A1983="","",$G1983-$H1983)</f>
        <v/>
      </c>
      <c r="J1983" s="35" t="str">
        <f aca="false">IF($A1983="","",IF(Setup!$B$6=1,YEAR($A1983),YEAR($A1983)+IF(MONTH($A1983)&gt;=Setup!$B$6,1,0)))</f>
        <v/>
      </c>
      <c r="K1983" s="35" t="str">
        <f aca="false">IF($A1983="","",MOD(MONTH($A1983)-Setup!$B$6+12,12)+1)</f>
        <v/>
      </c>
      <c r="L1983" s="36" t="str">
        <f aca="false">IF($A1983="","",TEXT($A1983,"MMM-YY"))</f>
        <v/>
      </c>
      <c r="M1983" s="37" t="str">
        <f aca="false">IF($A1983="","",IF($Q1983=0,"UNMAPPED",INDEX(COA_Mapping!$C$7:$C$256,$Q1983)))</f>
        <v/>
      </c>
      <c r="N1983" s="38" t="str">
        <f aca="false">IF($A1983="","",IF($Q1983=0,"",INDEX(COA_Mapping!$E$7:$E$256,$Q1983)))</f>
        <v/>
      </c>
      <c r="O1983" s="38" t="n">
        <f aca="false">IF($A1983="",1,IF($Q1983=0,1,INDEX(COA_Mapping!$F$7:$F$256,$Q1983)))</f>
        <v>1</v>
      </c>
      <c r="P1983" s="34" t="str">
        <f aca="false">IF($A1983="","",$I1983*$O1983)</f>
        <v/>
      </c>
      <c r="Q1983" s="39" t="n">
        <f aca="false">IF($B1983="",0,IFERROR(MATCH($B1983,COA_Mapping!$A$7:$A$256,0),0))</f>
        <v>0</v>
      </c>
      <c r="R1983" s="39" t="n">
        <f aca="false">IF($A1983="",-1,IF($J1983=Setup!$B$7,1,IF($J1983=Setup!$B$9,0,-1)))</f>
        <v>-1</v>
      </c>
      <c r="S1983" s="35" t="n">
        <f aca="false">IF(OR($A1983="",$Q1983=0,$R1983=-1),0,$Q1983*1000+$R1983*100+$K1983)</f>
        <v>0</v>
      </c>
      <c r="T1983" s="37" t="str">
        <f aca="false">IF($A1983="","",IF($B1983="","NO ACCOUNT",IF($Q1983=0,"UNMAPPED",IF($R1983=-1,"OUTSIDE FY RANGE","OK"))))</f>
        <v/>
      </c>
      <c r="U1983" s="40" t="str">
        <f aca="false">IF($A1983="","",$B1983&amp;"|"&amp;TEXT($A1983,"yyyymmdd")&amp;"|"&amp;TEXT($I1983,"0.00"))</f>
        <v/>
      </c>
      <c r="V1983" s="35" t="str">
        <f aca="false">IF($A1983="","",COUNTIF($U$8:$U$5007,$U1983))</f>
        <v/>
      </c>
    </row>
    <row r="1984" customFormat="false" ht="15" hidden="false" customHeight="false" outlineLevel="0" collapsed="false">
      <c r="A1984" s="31"/>
      <c r="B1984" s="32"/>
      <c r="C1984" s="32"/>
      <c r="D1984" s="32"/>
      <c r="E1984" s="32"/>
      <c r="F1984" s="32"/>
      <c r="G1984" s="33"/>
      <c r="H1984" s="33"/>
      <c r="I1984" s="34" t="str">
        <f aca="false">IF($A1984="","",$G1984-$H1984)</f>
        <v/>
      </c>
      <c r="J1984" s="35" t="str">
        <f aca="false">IF($A1984="","",IF(Setup!$B$6=1,YEAR($A1984),YEAR($A1984)+IF(MONTH($A1984)&gt;=Setup!$B$6,1,0)))</f>
        <v/>
      </c>
      <c r="K1984" s="35" t="str">
        <f aca="false">IF($A1984="","",MOD(MONTH($A1984)-Setup!$B$6+12,12)+1)</f>
        <v/>
      </c>
      <c r="L1984" s="36" t="str">
        <f aca="false">IF($A1984="","",TEXT($A1984,"MMM-YY"))</f>
        <v/>
      </c>
      <c r="M1984" s="37" t="str">
        <f aca="false">IF($A1984="","",IF($Q1984=0,"UNMAPPED",INDEX(COA_Mapping!$C$7:$C$256,$Q1984)))</f>
        <v/>
      </c>
      <c r="N1984" s="38" t="str">
        <f aca="false">IF($A1984="","",IF($Q1984=0,"",INDEX(COA_Mapping!$E$7:$E$256,$Q1984)))</f>
        <v/>
      </c>
      <c r="O1984" s="38" t="n">
        <f aca="false">IF($A1984="",1,IF($Q1984=0,1,INDEX(COA_Mapping!$F$7:$F$256,$Q1984)))</f>
        <v>1</v>
      </c>
      <c r="P1984" s="34" t="str">
        <f aca="false">IF($A1984="","",$I1984*$O1984)</f>
        <v/>
      </c>
      <c r="Q1984" s="39" t="n">
        <f aca="false">IF($B1984="",0,IFERROR(MATCH($B1984,COA_Mapping!$A$7:$A$256,0),0))</f>
        <v>0</v>
      </c>
      <c r="R1984" s="39" t="n">
        <f aca="false">IF($A1984="",-1,IF($J1984=Setup!$B$7,1,IF($J1984=Setup!$B$9,0,-1)))</f>
        <v>-1</v>
      </c>
      <c r="S1984" s="35" t="n">
        <f aca="false">IF(OR($A1984="",$Q1984=0,$R1984=-1),0,$Q1984*1000+$R1984*100+$K1984)</f>
        <v>0</v>
      </c>
      <c r="T1984" s="37" t="str">
        <f aca="false">IF($A1984="","",IF($B1984="","NO ACCOUNT",IF($Q1984=0,"UNMAPPED",IF($R1984=-1,"OUTSIDE FY RANGE","OK"))))</f>
        <v/>
      </c>
      <c r="U1984" s="40" t="str">
        <f aca="false">IF($A1984="","",$B1984&amp;"|"&amp;TEXT($A1984,"yyyymmdd")&amp;"|"&amp;TEXT($I1984,"0.00"))</f>
        <v/>
      </c>
      <c r="V1984" s="35" t="str">
        <f aca="false">IF($A1984="","",COUNTIF($U$8:$U$5007,$U1984))</f>
        <v/>
      </c>
    </row>
    <row r="1985" customFormat="false" ht="15" hidden="false" customHeight="false" outlineLevel="0" collapsed="false">
      <c r="A1985" s="31"/>
      <c r="B1985" s="32"/>
      <c r="C1985" s="32"/>
      <c r="D1985" s="32"/>
      <c r="E1985" s="32"/>
      <c r="F1985" s="32"/>
      <c r="G1985" s="33"/>
      <c r="H1985" s="33"/>
      <c r="I1985" s="34" t="str">
        <f aca="false">IF($A1985="","",$G1985-$H1985)</f>
        <v/>
      </c>
      <c r="J1985" s="35" t="str">
        <f aca="false">IF($A1985="","",IF(Setup!$B$6=1,YEAR($A1985),YEAR($A1985)+IF(MONTH($A1985)&gt;=Setup!$B$6,1,0)))</f>
        <v/>
      </c>
      <c r="K1985" s="35" t="str">
        <f aca="false">IF($A1985="","",MOD(MONTH($A1985)-Setup!$B$6+12,12)+1)</f>
        <v/>
      </c>
      <c r="L1985" s="36" t="str">
        <f aca="false">IF($A1985="","",TEXT($A1985,"MMM-YY"))</f>
        <v/>
      </c>
      <c r="M1985" s="37" t="str">
        <f aca="false">IF($A1985="","",IF($Q1985=0,"UNMAPPED",INDEX(COA_Mapping!$C$7:$C$256,$Q1985)))</f>
        <v/>
      </c>
      <c r="N1985" s="38" t="str">
        <f aca="false">IF($A1985="","",IF($Q1985=0,"",INDEX(COA_Mapping!$E$7:$E$256,$Q1985)))</f>
        <v/>
      </c>
      <c r="O1985" s="38" t="n">
        <f aca="false">IF($A1985="",1,IF($Q1985=0,1,INDEX(COA_Mapping!$F$7:$F$256,$Q1985)))</f>
        <v>1</v>
      </c>
      <c r="P1985" s="34" t="str">
        <f aca="false">IF($A1985="","",$I1985*$O1985)</f>
        <v/>
      </c>
      <c r="Q1985" s="39" t="n">
        <f aca="false">IF($B1985="",0,IFERROR(MATCH($B1985,COA_Mapping!$A$7:$A$256,0),0))</f>
        <v>0</v>
      </c>
      <c r="R1985" s="39" t="n">
        <f aca="false">IF($A1985="",-1,IF($J1985=Setup!$B$7,1,IF($J1985=Setup!$B$9,0,-1)))</f>
        <v>-1</v>
      </c>
      <c r="S1985" s="35" t="n">
        <f aca="false">IF(OR($A1985="",$Q1985=0,$R1985=-1),0,$Q1985*1000+$R1985*100+$K1985)</f>
        <v>0</v>
      </c>
      <c r="T1985" s="37" t="str">
        <f aca="false">IF($A1985="","",IF($B1985="","NO ACCOUNT",IF($Q1985=0,"UNMAPPED",IF($R1985=-1,"OUTSIDE FY RANGE","OK"))))</f>
        <v/>
      </c>
      <c r="U1985" s="40" t="str">
        <f aca="false">IF($A1985="","",$B1985&amp;"|"&amp;TEXT($A1985,"yyyymmdd")&amp;"|"&amp;TEXT($I1985,"0.00"))</f>
        <v/>
      </c>
      <c r="V1985" s="35" t="str">
        <f aca="false">IF($A1985="","",COUNTIF($U$8:$U$5007,$U1985))</f>
        <v/>
      </c>
    </row>
    <row r="1986" customFormat="false" ht="15" hidden="false" customHeight="false" outlineLevel="0" collapsed="false">
      <c r="A1986" s="31"/>
      <c r="B1986" s="32"/>
      <c r="C1986" s="32"/>
      <c r="D1986" s="32"/>
      <c r="E1986" s="32"/>
      <c r="F1986" s="32"/>
      <c r="G1986" s="33"/>
      <c r="H1986" s="33"/>
      <c r="I1986" s="34" t="str">
        <f aca="false">IF($A1986="","",$G1986-$H1986)</f>
        <v/>
      </c>
      <c r="J1986" s="35" t="str">
        <f aca="false">IF($A1986="","",IF(Setup!$B$6=1,YEAR($A1986),YEAR($A1986)+IF(MONTH($A1986)&gt;=Setup!$B$6,1,0)))</f>
        <v/>
      </c>
      <c r="K1986" s="35" t="str">
        <f aca="false">IF($A1986="","",MOD(MONTH($A1986)-Setup!$B$6+12,12)+1)</f>
        <v/>
      </c>
      <c r="L1986" s="36" t="str">
        <f aca="false">IF($A1986="","",TEXT($A1986,"MMM-YY"))</f>
        <v/>
      </c>
      <c r="M1986" s="37" t="str">
        <f aca="false">IF($A1986="","",IF($Q1986=0,"UNMAPPED",INDEX(COA_Mapping!$C$7:$C$256,$Q1986)))</f>
        <v/>
      </c>
      <c r="N1986" s="38" t="str">
        <f aca="false">IF($A1986="","",IF($Q1986=0,"",INDEX(COA_Mapping!$E$7:$E$256,$Q1986)))</f>
        <v/>
      </c>
      <c r="O1986" s="38" t="n">
        <f aca="false">IF($A1986="",1,IF($Q1986=0,1,INDEX(COA_Mapping!$F$7:$F$256,$Q1986)))</f>
        <v>1</v>
      </c>
      <c r="P1986" s="34" t="str">
        <f aca="false">IF($A1986="","",$I1986*$O1986)</f>
        <v/>
      </c>
      <c r="Q1986" s="39" t="n">
        <f aca="false">IF($B1986="",0,IFERROR(MATCH($B1986,COA_Mapping!$A$7:$A$256,0),0))</f>
        <v>0</v>
      </c>
      <c r="R1986" s="39" t="n">
        <f aca="false">IF($A1986="",-1,IF($J1986=Setup!$B$7,1,IF($J1986=Setup!$B$9,0,-1)))</f>
        <v>-1</v>
      </c>
      <c r="S1986" s="35" t="n">
        <f aca="false">IF(OR($A1986="",$Q1986=0,$R1986=-1),0,$Q1986*1000+$R1986*100+$K1986)</f>
        <v>0</v>
      </c>
      <c r="T1986" s="37" t="str">
        <f aca="false">IF($A1986="","",IF($B1986="","NO ACCOUNT",IF($Q1986=0,"UNMAPPED",IF($R1986=-1,"OUTSIDE FY RANGE","OK"))))</f>
        <v/>
      </c>
      <c r="U1986" s="40" t="str">
        <f aca="false">IF($A1986="","",$B1986&amp;"|"&amp;TEXT($A1986,"yyyymmdd")&amp;"|"&amp;TEXT($I1986,"0.00"))</f>
        <v/>
      </c>
      <c r="V1986" s="35" t="str">
        <f aca="false">IF($A1986="","",COUNTIF($U$8:$U$5007,$U1986))</f>
        <v/>
      </c>
    </row>
    <row r="1987" customFormat="false" ht="15" hidden="false" customHeight="false" outlineLevel="0" collapsed="false">
      <c r="A1987" s="31"/>
      <c r="B1987" s="32"/>
      <c r="C1987" s="32"/>
      <c r="D1987" s="32"/>
      <c r="E1987" s="32"/>
      <c r="F1987" s="32"/>
      <c r="G1987" s="33"/>
      <c r="H1987" s="33"/>
      <c r="I1987" s="34" t="str">
        <f aca="false">IF($A1987="","",$G1987-$H1987)</f>
        <v/>
      </c>
      <c r="J1987" s="35" t="str">
        <f aca="false">IF($A1987="","",IF(Setup!$B$6=1,YEAR($A1987),YEAR($A1987)+IF(MONTH($A1987)&gt;=Setup!$B$6,1,0)))</f>
        <v/>
      </c>
      <c r="K1987" s="35" t="str">
        <f aca="false">IF($A1987="","",MOD(MONTH($A1987)-Setup!$B$6+12,12)+1)</f>
        <v/>
      </c>
      <c r="L1987" s="36" t="str">
        <f aca="false">IF($A1987="","",TEXT($A1987,"MMM-YY"))</f>
        <v/>
      </c>
      <c r="M1987" s="37" t="str">
        <f aca="false">IF($A1987="","",IF($Q1987=0,"UNMAPPED",INDEX(COA_Mapping!$C$7:$C$256,$Q1987)))</f>
        <v/>
      </c>
      <c r="N1987" s="38" t="str">
        <f aca="false">IF($A1987="","",IF($Q1987=0,"",INDEX(COA_Mapping!$E$7:$E$256,$Q1987)))</f>
        <v/>
      </c>
      <c r="O1987" s="38" t="n">
        <f aca="false">IF($A1987="",1,IF($Q1987=0,1,INDEX(COA_Mapping!$F$7:$F$256,$Q1987)))</f>
        <v>1</v>
      </c>
      <c r="P1987" s="34" t="str">
        <f aca="false">IF($A1987="","",$I1987*$O1987)</f>
        <v/>
      </c>
      <c r="Q1987" s="39" t="n">
        <f aca="false">IF($B1987="",0,IFERROR(MATCH($B1987,COA_Mapping!$A$7:$A$256,0),0))</f>
        <v>0</v>
      </c>
      <c r="R1987" s="39" t="n">
        <f aca="false">IF($A1987="",-1,IF($J1987=Setup!$B$7,1,IF($J1987=Setup!$B$9,0,-1)))</f>
        <v>-1</v>
      </c>
      <c r="S1987" s="35" t="n">
        <f aca="false">IF(OR($A1987="",$Q1987=0,$R1987=-1),0,$Q1987*1000+$R1987*100+$K1987)</f>
        <v>0</v>
      </c>
      <c r="T1987" s="37" t="str">
        <f aca="false">IF($A1987="","",IF($B1987="","NO ACCOUNT",IF($Q1987=0,"UNMAPPED",IF($R1987=-1,"OUTSIDE FY RANGE","OK"))))</f>
        <v/>
      </c>
      <c r="U1987" s="40" t="str">
        <f aca="false">IF($A1987="","",$B1987&amp;"|"&amp;TEXT($A1987,"yyyymmdd")&amp;"|"&amp;TEXT($I1987,"0.00"))</f>
        <v/>
      </c>
      <c r="V1987" s="35" t="str">
        <f aca="false">IF($A1987="","",COUNTIF($U$8:$U$5007,$U1987))</f>
        <v/>
      </c>
    </row>
    <row r="1988" customFormat="false" ht="15" hidden="false" customHeight="false" outlineLevel="0" collapsed="false">
      <c r="A1988" s="31"/>
      <c r="B1988" s="32"/>
      <c r="C1988" s="32"/>
      <c r="D1988" s="32"/>
      <c r="E1988" s="32"/>
      <c r="F1988" s="32"/>
      <c r="G1988" s="33"/>
      <c r="H1988" s="33"/>
      <c r="I1988" s="34" t="str">
        <f aca="false">IF($A1988="","",$G1988-$H1988)</f>
        <v/>
      </c>
      <c r="J1988" s="35" t="str">
        <f aca="false">IF($A1988="","",IF(Setup!$B$6=1,YEAR($A1988),YEAR($A1988)+IF(MONTH($A1988)&gt;=Setup!$B$6,1,0)))</f>
        <v/>
      </c>
      <c r="K1988" s="35" t="str">
        <f aca="false">IF($A1988="","",MOD(MONTH($A1988)-Setup!$B$6+12,12)+1)</f>
        <v/>
      </c>
      <c r="L1988" s="36" t="str">
        <f aca="false">IF($A1988="","",TEXT($A1988,"MMM-YY"))</f>
        <v/>
      </c>
      <c r="M1988" s="37" t="str">
        <f aca="false">IF($A1988="","",IF($Q1988=0,"UNMAPPED",INDEX(COA_Mapping!$C$7:$C$256,$Q1988)))</f>
        <v/>
      </c>
      <c r="N1988" s="38" t="str">
        <f aca="false">IF($A1988="","",IF($Q1988=0,"",INDEX(COA_Mapping!$E$7:$E$256,$Q1988)))</f>
        <v/>
      </c>
      <c r="O1988" s="38" t="n">
        <f aca="false">IF($A1988="",1,IF($Q1988=0,1,INDEX(COA_Mapping!$F$7:$F$256,$Q1988)))</f>
        <v>1</v>
      </c>
      <c r="P1988" s="34" t="str">
        <f aca="false">IF($A1988="","",$I1988*$O1988)</f>
        <v/>
      </c>
      <c r="Q1988" s="39" t="n">
        <f aca="false">IF($B1988="",0,IFERROR(MATCH($B1988,COA_Mapping!$A$7:$A$256,0),0))</f>
        <v>0</v>
      </c>
      <c r="R1988" s="39" t="n">
        <f aca="false">IF($A1988="",-1,IF($J1988=Setup!$B$7,1,IF($J1988=Setup!$B$9,0,-1)))</f>
        <v>-1</v>
      </c>
      <c r="S1988" s="35" t="n">
        <f aca="false">IF(OR($A1988="",$Q1988=0,$R1988=-1),0,$Q1988*1000+$R1988*100+$K1988)</f>
        <v>0</v>
      </c>
      <c r="T1988" s="37" t="str">
        <f aca="false">IF($A1988="","",IF($B1988="","NO ACCOUNT",IF($Q1988=0,"UNMAPPED",IF($R1988=-1,"OUTSIDE FY RANGE","OK"))))</f>
        <v/>
      </c>
      <c r="U1988" s="40" t="str">
        <f aca="false">IF($A1988="","",$B1988&amp;"|"&amp;TEXT($A1988,"yyyymmdd")&amp;"|"&amp;TEXT($I1988,"0.00"))</f>
        <v/>
      </c>
      <c r="V1988" s="35" t="str">
        <f aca="false">IF($A1988="","",COUNTIF($U$8:$U$5007,$U1988))</f>
        <v/>
      </c>
    </row>
    <row r="1989" customFormat="false" ht="15" hidden="false" customHeight="false" outlineLevel="0" collapsed="false">
      <c r="A1989" s="31"/>
      <c r="B1989" s="32"/>
      <c r="C1989" s="32"/>
      <c r="D1989" s="32"/>
      <c r="E1989" s="32"/>
      <c r="F1989" s="32"/>
      <c r="G1989" s="33"/>
      <c r="H1989" s="33"/>
      <c r="I1989" s="34" t="str">
        <f aca="false">IF($A1989="","",$G1989-$H1989)</f>
        <v/>
      </c>
      <c r="J1989" s="35" t="str">
        <f aca="false">IF($A1989="","",IF(Setup!$B$6=1,YEAR($A1989),YEAR($A1989)+IF(MONTH($A1989)&gt;=Setup!$B$6,1,0)))</f>
        <v/>
      </c>
      <c r="K1989" s="35" t="str">
        <f aca="false">IF($A1989="","",MOD(MONTH($A1989)-Setup!$B$6+12,12)+1)</f>
        <v/>
      </c>
      <c r="L1989" s="36" t="str">
        <f aca="false">IF($A1989="","",TEXT($A1989,"MMM-YY"))</f>
        <v/>
      </c>
      <c r="M1989" s="37" t="str">
        <f aca="false">IF($A1989="","",IF($Q1989=0,"UNMAPPED",INDEX(COA_Mapping!$C$7:$C$256,$Q1989)))</f>
        <v/>
      </c>
      <c r="N1989" s="38" t="str">
        <f aca="false">IF($A1989="","",IF($Q1989=0,"",INDEX(COA_Mapping!$E$7:$E$256,$Q1989)))</f>
        <v/>
      </c>
      <c r="O1989" s="38" t="n">
        <f aca="false">IF($A1989="",1,IF($Q1989=0,1,INDEX(COA_Mapping!$F$7:$F$256,$Q1989)))</f>
        <v>1</v>
      </c>
      <c r="P1989" s="34" t="str">
        <f aca="false">IF($A1989="","",$I1989*$O1989)</f>
        <v/>
      </c>
      <c r="Q1989" s="39" t="n">
        <f aca="false">IF($B1989="",0,IFERROR(MATCH($B1989,COA_Mapping!$A$7:$A$256,0),0))</f>
        <v>0</v>
      </c>
      <c r="R1989" s="39" t="n">
        <f aca="false">IF($A1989="",-1,IF($J1989=Setup!$B$7,1,IF($J1989=Setup!$B$9,0,-1)))</f>
        <v>-1</v>
      </c>
      <c r="S1989" s="35" t="n">
        <f aca="false">IF(OR($A1989="",$Q1989=0,$R1989=-1),0,$Q1989*1000+$R1989*100+$K1989)</f>
        <v>0</v>
      </c>
      <c r="T1989" s="37" t="str">
        <f aca="false">IF($A1989="","",IF($B1989="","NO ACCOUNT",IF($Q1989=0,"UNMAPPED",IF($R1989=-1,"OUTSIDE FY RANGE","OK"))))</f>
        <v/>
      </c>
      <c r="U1989" s="40" t="str">
        <f aca="false">IF($A1989="","",$B1989&amp;"|"&amp;TEXT($A1989,"yyyymmdd")&amp;"|"&amp;TEXT($I1989,"0.00"))</f>
        <v/>
      </c>
      <c r="V1989" s="35" t="str">
        <f aca="false">IF($A1989="","",COUNTIF($U$8:$U$5007,$U1989))</f>
        <v/>
      </c>
    </row>
    <row r="1990" customFormat="false" ht="15" hidden="false" customHeight="false" outlineLevel="0" collapsed="false">
      <c r="A1990" s="31"/>
      <c r="B1990" s="32"/>
      <c r="C1990" s="32"/>
      <c r="D1990" s="32"/>
      <c r="E1990" s="32"/>
      <c r="F1990" s="32"/>
      <c r="G1990" s="33"/>
      <c r="H1990" s="33"/>
      <c r="I1990" s="34" t="str">
        <f aca="false">IF($A1990="","",$G1990-$H1990)</f>
        <v/>
      </c>
      <c r="J1990" s="35" t="str">
        <f aca="false">IF($A1990="","",IF(Setup!$B$6=1,YEAR($A1990),YEAR($A1990)+IF(MONTH($A1990)&gt;=Setup!$B$6,1,0)))</f>
        <v/>
      </c>
      <c r="K1990" s="35" t="str">
        <f aca="false">IF($A1990="","",MOD(MONTH($A1990)-Setup!$B$6+12,12)+1)</f>
        <v/>
      </c>
      <c r="L1990" s="36" t="str">
        <f aca="false">IF($A1990="","",TEXT($A1990,"MMM-YY"))</f>
        <v/>
      </c>
      <c r="M1990" s="37" t="str">
        <f aca="false">IF($A1990="","",IF($Q1990=0,"UNMAPPED",INDEX(COA_Mapping!$C$7:$C$256,$Q1990)))</f>
        <v/>
      </c>
      <c r="N1990" s="38" t="str">
        <f aca="false">IF($A1990="","",IF($Q1990=0,"",INDEX(COA_Mapping!$E$7:$E$256,$Q1990)))</f>
        <v/>
      </c>
      <c r="O1990" s="38" t="n">
        <f aca="false">IF($A1990="",1,IF($Q1990=0,1,INDEX(COA_Mapping!$F$7:$F$256,$Q1990)))</f>
        <v>1</v>
      </c>
      <c r="P1990" s="34" t="str">
        <f aca="false">IF($A1990="","",$I1990*$O1990)</f>
        <v/>
      </c>
      <c r="Q1990" s="39" t="n">
        <f aca="false">IF($B1990="",0,IFERROR(MATCH($B1990,COA_Mapping!$A$7:$A$256,0),0))</f>
        <v>0</v>
      </c>
      <c r="R1990" s="39" t="n">
        <f aca="false">IF($A1990="",-1,IF($J1990=Setup!$B$7,1,IF($J1990=Setup!$B$9,0,-1)))</f>
        <v>-1</v>
      </c>
      <c r="S1990" s="35" t="n">
        <f aca="false">IF(OR($A1990="",$Q1990=0,$R1990=-1),0,$Q1990*1000+$R1990*100+$K1990)</f>
        <v>0</v>
      </c>
      <c r="T1990" s="37" t="str">
        <f aca="false">IF($A1990="","",IF($B1990="","NO ACCOUNT",IF($Q1990=0,"UNMAPPED",IF($R1990=-1,"OUTSIDE FY RANGE","OK"))))</f>
        <v/>
      </c>
      <c r="U1990" s="40" t="str">
        <f aca="false">IF($A1990="","",$B1990&amp;"|"&amp;TEXT($A1990,"yyyymmdd")&amp;"|"&amp;TEXT($I1990,"0.00"))</f>
        <v/>
      </c>
      <c r="V1990" s="35" t="str">
        <f aca="false">IF($A1990="","",COUNTIF($U$8:$U$5007,$U1990))</f>
        <v/>
      </c>
    </row>
    <row r="1991" customFormat="false" ht="15" hidden="false" customHeight="false" outlineLevel="0" collapsed="false">
      <c r="A1991" s="31"/>
      <c r="B1991" s="32"/>
      <c r="C1991" s="32"/>
      <c r="D1991" s="32"/>
      <c r="E1991" s="32"/>
      <c r="F1991" s="32"/>
      <c r="G1991" s="33"/>
      <c r="H1991" s="33"/>
      <c r="I1991" s="34" t="str">
        <f aca="false">IF($A1991="","",$G1991-$H1991)</f>
        <v/>
      </c>
      <c r="J1991" s="35" t="str">
        <f aca="false">IF($A1991="","",IF(Setup!$B$6=1,YEAR($A1991),YEAR($A1991)+IF(MONTH($A1991)&gt;=Setup!$B$6,1,0)))</f>
        <v/>
      </c>
      <c r="K1991" s="35" t="str">
        <f aca="false">IF($A1991="","",MOD(MONTH($A1991)-Setup!$B$6+12,12)+1)</f>
        <v/>
      </c>
      <c r="L1991" s="36" t="str">
        <f aca="false">IF($A1991="","",TEXT($A1991,"MMM-YY"))</f>
        <v/>
      </c>
      <c r="M1991" s="37" t="str">
        <f aca="false">IF($A1991="","",IF($Q1991=0,"UNMAPPED",INDEX(COA_Mapping!$C$7:$C$256,$Q1991)))</f>
        <v/>
      </c>
      <c r="N1991" s="38" t="str">
        <f aca="false">IF($A1991="","",IF($Q1991=0,"",INDEX(COA_Mapping!$E$7:$E$256,$Q1991)))</f>
        <v/>
      </c>
      <c r="O1991" s="38" t="n">
        <f aca="false">IF($A1991="",1,IF($Q1991=0,1,INDEX(COA_Mapping!$F$7:$F$256,$Q1991)))</f>
        <v>1</v>
      </c>
      <c r="P1991" s="34" t="str">
        <f aca="false">IF($A1991="","",$I1991*$O1991)</f>
        <v/>
      </c>
      <c r="Q1991" s="39" t="n">
        <f aca="false">IF($B1991="",0,IFERROR(MATCH($B1991,COA_Mapping!$A$7:$A$256,0),0))</f>
        <v>0</v>
      </c>
      <c r="R1991" s="39" t="n">
        <f aca="false">IF($A1991="",-1,IF($J1991=Setup!$B$7,1,IF($J1991=Setup!$B$9,0,-1)))</f>
        <v>-1</v>
      </c>
      <c r="S1991" s="35" t="n">
        <f aca="false">IF(OR($A1991="",$Q1991=0,$R1991=-1),0,$Q1991*1000+$R1991*100+$K1991)</f>
        <v>0</v>
      </c>
      <c r="T1991" s="37" t="str">
        <f aca="false">IF($A1991="","",IF($B1991="","NO ACCOUNT",IF($Q1991=0,"UNMAPPED",IF($R1991=-1,"OUTSIDE FY RANGE","OK"))))</f>
        <v/>
      </c>
      <c r="U1991" s="40" t="str">
        <f aca="false">IF($A1991="","",$B1991&amp;"|"&amp;TEXT($A1991,"yyyymmdd")&amp;"|"&amp;TEXT($I1991,"0.00"))</f>
        <v/>
      </c>
      <c r="V1991" s="35" t="str">
        <f aca="false">IF($A1991="","",COUNTIF($U$8:$U$5007,$U1991))</f>
        <v/>
      </c>
    </row>
    <row r="1992" customFormat="false" ht="15" hidden="false" customHeight="false" outlineLevel="0" collapsed="false">
      <c r="A1992" s="31"/>
      <c r="B1992" s="32"/>
      <c r="C1992" s="32"/>
      <c r="D1992" s="32"/>
      <c r="E1992" s="32"/>
      <c r="F1992" s="32"/>
      <c r="G1992" s="33"/>
      <c r="H1992" s="33"/>
      <c r="I1992" s="34" t="str">
        <f aca="false">IF($A1992="","",$G1992-$H1992)</f>
        <v/>
      </c>
      <c r="J1992" s="35" t="str">
        <f aca="false">IF($A1992="","",IF(Setup!$B$6=1,YEAR($A1992),YEAR($A1992)+IF(MONTH($A1992)&gt;=Setup!$B$6,1,0)))</f>
        <v/>
      </c>
      <c r="K1992" s="35" t="str">
        <f aca="false">IF($A1992="","",MOD(MONTH($A1992)-Setup!$B$6+12,12)+1)</f>
        <v/>
      </c>
      <c r="L1992" s="36" t="str">
        <f aca="false">IF($A1992="","",TEXT($A1992,"MMM-YY"))</f>
        <v/>
      </c>
      <c r="M1992" s="37" t="str">
        <f aca="false">IF($A1992="","",IF($Q1992=0,"UNMAPPED",INDEX(COA_Mapping!$C$7:$C$256,$Q1992)))</f>
        <v/>
      </c>
      <c r="N1992" s="38" t="str">
        <f aca="false">IF($A1992="","",IF($Q1992=0,"",INDEX(COA_Mapping!$E$7:$E$256,$Q1992)))</f>
        <v/>
      </c>
      <c r="O1992" s="38" t="n">
        <f aca="false">IF($A1992="",1,IF($Q1992=0,1,INDEX(COA_Mapping!$F$7:$F$256,$Q1992)))</f>
        <v>1</v>
      </c>
      <c r="P1992" s="34" t="str">
        <f aca="false">IF($A1992="","",$I1992*$O1992)</f>
        <v/>
      </c>
      <c r="Q1992" s="39" t="n">
        <f aca="false">IF($B1992="",0,IFERROR(MATCH($B1992,COA_Mapping!$A$7:$A$256,0),0))</f>
        <v>0</v>
      </c>
      <c r="R1992" s="39" t="n">
        <f aca="false">IF($A1992="",-1,IF($J1992=Setup!$B$7,1,IF($J1992=Setup!$B$9,0,-1)))</f>
        <v>-1</v>
      </c>
      <c r="S1992" s="35" t="n">
        <f aca="false">IF(OR($A1992="",$Q1992=0,$R1992=-1),0,$Q1992*1000+$R1992*100+$K1992)</f>
        <v>0</v>
      </c>
      <c r="T1992" s="37" t="str">
        <f aca="false">IF($A1992="","",IF($B1992="","NO ACCOUNT",IF($Q1992=0,"UNMAPPED",IF($R1992=-1,"OUTSIDE FY RANGE","OK"))))</f>
        <v/>
      </c>
      <c r="U1992" s="40" t="str">
        <f aca="false">IF($A1992="","",$B1992&amp;"|"&amp;TEXT($A1992,"yyyymmdd")&amp;"|"&amp;TEXT($I1992,"0.00"))</f>
        <v/>
      </c>
      <c r="V1992" s="35" t="str">
        <f aca="false">IF($A1992="","",COUNTIF($U$8:$U$5007,$U1992))</f>
        <v/>
      </c>
    </row>
    <row r="1993" customFormat="false" ht="15" hidden="false" customHeight="false" outlineLevel="0" collapsed="false">
      <c r="A1993" s="31"/>
      <c r="B1993" s="32"/>
      <c r="C1993" s="32"/>
      <c r="D1993" s="32"/>
      <c r="E1993" s="32"/>
      <c r="F1993" s="32"/>
      <c r="G1993" s="33"/>
      <c r="H1993" s="33"/>
      <c r="I1993" s="34" t="str">
        <f aca="false">IF($A1993="","",$G1993-$H1993)</f>
        <v/>
      </c>
      <c r="J1993" s="35" t="str">
        <f aca="false">IF($A1993="","",IF(Setup!$B$6=1,YEAR($A1993),YEAR($A1993)+IF(MONTH($A1993)&gt;=Setup!$B$6,1,0)))</f>
        <v/>
      </c>
      <c r="K1993" s="35" t="str">
        <f aca="false">IF($A1993="","",MOD(MONTH($A1993)-Setup!$B$6+12,12)+1)</f>
        <v/>
      </c>
      <c r="L1993" s="36" t="str">
        <f aca="false">IF($A1993="","",TEXT($A1993,"MMM-YY"))</f>
        <v/>
      </c>
      <c r="M1993" s="37" t="str">
        <f aca="false">IF($A1993="","",IF($Q1993=0,"UNMAPPED",INDEX(COA_Mapping!$C$7:$C$256,$Q1993)))</f>
        <v/>
      </c>
      <c r="N1993" s="38" t="str">
        <f aca="false">IF($A1993="","",IF($Q1993=0,"",INDEX(COA_Mapping!$E$7:$E$256,$Q1993)))</f>
        <v/>
      </c>
      <c r="O1993" s="38" t="n">
        <f aca="false">IF($A1993="",1,IF($Q1993=0,1,INDEX(COA_Mapping!$F$7:$F$256,$Q1993)))</f>
        <v>1</v>
      </c>
      <c r="P1993" s="34" t="str">
        <f aca="false">IF($A1993="","",$I1993*$O1993)</f>
        <v/>
      </c>
      <c r="Q1993" s="39" t="n">
        <f aca="false">IF($B1993="",0,IFERROR(MATCH($B1993,COA_Mapping!$A$7:$A$256,0),0))</f>
        <v>0</v>
      </c>
      <c r="R1993" s="39" t="n">
        <f aca="false">IF($A1993="",-1,IF($J1993=Setup!$B$7,1,IF($J1993=Setup!$B$9,0,-1)))</f>
        <v>-1</v>
      </c>
      <c r="S1993" s="35" t="n">
        <f aca="false">IF(OR($A1993="",$Q1993=0,$R1993=-1),0,$Q1993*1000+$R1993*100+$K1993)</f>
        <v>0</v>
      </c>
      <c r="T1993" s="37" t="str">
        <f aca="false">IF($A1993="","",IF($B1993="","NO ACCOUNT",IF($Q1993=0,"UNMAPPED",IF($R1993=-1,"OUTSIDE FY RANGE","OK"))))</f>
        <v/>
      </c>
      <c r="U1993" s="40" t="str">
        <f aca="false">IF($A1993="","",$B1993&amp;"|"&amp;TEXT($A1993,"yyyymmdd")&amp;"|"&amp;TEXT($I1993,"0.00"))</f>
        <v/>
      </c>
      <c r="V1993" s="35" t="str">
        <f aca="false">IF($A1993="","",COUNTIF($U$8:$U$5007,$U1993))</f>
        <v/>
      </c>
    </row>
    <row r="1994" customFormat="false" ht="15" hidden="false" customHeight="false" outlineLevel="0" collapsed="false">
      <c r="A1994" s="31"/>
      <c r="B1994" s="32"/>
      <c r="C1994" s="32"/>
      <c r="D1994" s="32"/>
      <c r="E1994" s="32"/>
      <c r="F1994" s="32"/>
      <c r="G1994" s="33"/>
      <c r="H1994" s="33"/>
      <c r="I1994" s="34" t="str">
        <f aca="false">IF($A1994="","",$G1994-$H1994)</f>
        <v/>
      </c>
      <c r="J1994" s="35" t="str">
        <f aca="false">IF($A1994="","",IF(Setup!$B$6=1,YEAR($A1994),YEAR($A1994)+IF(MONTH($A1994)&gt;=Setup!$B$6,1,0)))</f>
        <v/>
      </c>
      <c r="K1994" s="35" t="str">
        <f aca="false">IF($A1994="","",MOD(MONTH($A1994)-Setup!$B$6+12,12)+1)</f>
        <v/>
      </c>
      <c r="L1994" s="36" t="str">
        <f aca="false">IF($A1994="","",TEXT($A1994,"MMM-YY"))</f>
        <v/>
      </c>
      <c r="M1994" s="37" t="str">
        <f aca="false">IF($A1994="","",IF($Q1994=0,"UNMAPPED",INDEX(COA_Mapping!$C$7:$C$256,$Q1994)))</f>
        <v/>
      </c>
      <c r="N1994" s="38" t="str">
        <f aca="false">IF($A1994="","",IF($Q1994=0,"",INDEX(COA_Mapping!$E$7:$E$256,$Q1994)))</f>
        <v/>
      </c>
      <c r="O1994" s="38" t="n">
        <f aca="false">IF($A1994="",1,IF($Q1994=0,1,INDEX(COA_Mapping!$F$7:$F$256,$Q1994)))</f>
        <v>1</v>
      </c>
      <c r="P1994" s="34" t="str">
        <f aca="false">IF($A1994="","",$I1994*$O1994)</f>
        <v/>
      </c>
      <c r="Q1994" s="39" t="n">
        <f aca="false">IF($B1994="",0,IFERROR(MATCH($B1994,COA_Mapping!$A$7:$A$256,0),0))</f>
        <v>0</v>
      </c>
      <c r="R1994" s="39" t="n">
        <f aca="false">IF($A1994="",-1,IF($J1994=Setup!$B$7,1,IF($J1994=Setup!$B$9,0,-1)))</f>
        <v>-1</v>
      </c>
      <c r="S1994" s="35" t="n">
        <f aca="false">IF(OR($A1994="",$Q1994=0,$R1994=-1),0,$Q1994*1000+$R1994*100+$K1994)</f>
        <v>0</v>
      </c>
      <c r="T1994" s="37" t="str">
        <f aca="false">IF($A1994="","",IF($B1994="","NO ACCOUNT",IF($Q1994=0,"UNMAPPED",IF($R1994=-1,"OUTSIDE FY RANGE","OK"))))</f>
        <v/>
      </c>
      <c r="U1994" s="40" t="str">
        <f aca="false">IF($A1994="","",$B1994&amp;"|"&amp;TEXT($A1994,"yyyymmdd")&amp;"|"&amp;TEXT($I1994,"0.00"))</f>
        <v/>
      </c>
      <c r="V1994" s="35" t="str">
        <f aca="false">IF($A1994="","",COUNTIF($U$8:$U$5007,$U1994))</f>
        <v/>
      </c>
    </row>
    <row r="1995" customFormat="false" ht="15" hidden="false" customHeight="false" outlineLevel="0" collapsed="false">
      <c r="A1995" s="31"/>
      <c r="B1995" s="32"/>
      <c r="C1995" s="32"/>
      <c r="D1995" s="32"/>
      <c r="E1995" s="32"/>
      <c r="F1995" s="32"/>
      <c r="G1995" s="33"/>
      <c r="H1995" s="33"/>
      <c r="I1995" s="34" t="str">
        <f aca="false">IF($A1995="","",$G1995-$H1995)</f>
        <v/>
      </c>
      <c r="J1995" s="35" t="str">
        <f aca="false">IF($A1995="","",IF(Setup!$B$6=1,YEAR($A1995),YEAR($A1995)+IF(MONTH($A1995)&gt;=Setup!$B$6,1,0)))</f>
        <v/>
      </c>
      <c r="K1995" s="35" t="str">
        <f aca="false">IF($A1995="","",MOD(MONTH($A1995)-Setup!$B$6+12,12)+1)</f>
        <v/>
      </c>
      <c r="L1995" s="36" t="str">
        <f aca="false">IF($A1995="","",TEXT($A1995,"MMM-YY"))</f>
        <v/>
      </c>
      <c r="M1995" s="37" t="str">
        <f aca="false">IF($A1995="","",IF($Q1995=0,"UNMAPPED",INDEX(COA_Mapping!$C$7:$C$256,$Q1995)))</f>
        <v/>
      </c>
      <c r="N1995" s="38" t="str">
        <f aca="false">IF($A1995="","",IF($Q1995=0,"",INDEX(COA_Mapping!$E$7:$E$256,$Q1995)))</f>
        <v/>
      </c>
      <c r="O1995" s="38" t="n">
        <f aca="false">IF($A1995="",1,IF($Q1995=0,1,INDEX(COA_Mapping!$F$7:$F$256,$Q1995)))</f>
        <v>1</v>
      </c>
      <c r="P1995" s="34" t="str">
        <f aca="false">IF($A1995="","",$I1995*$O1995)</f>
        <v/>
      </c>
      <c r="Q1995" s="39" t="n">
        <f aca="false">IF($B1995="",0,IFERROR(MATCH($B1995,COA_Mapping!$A$7:$A$256,0),0))</f>
        <v>0</v>
      </c>
      <c r="R1995" s="39" t="n">
        <f aca="false">IF($A1995="",-1,IF($J1995=Setup!$B$7,1,IF($J1995=Setup!$B$9,0,-1)))</f>
        <v>-1</v>
      </c>
      <c r="S1995" s="35" t="n">
        <f aca="false">IF(OR($A1995="",$Q1995=0,$R1995=-1),0,$Q1995*1000+$R1995*100+$K1995)</f>
        <v>0</v>
      </c>
      <c r="T1995" s="37" t="str">
        <f aca="false">IF($A1995="","",IF($B1995="","NO ACCOUNT",IF($Q1995=0,"UNMAPPED",IF($R1995=-1,"OUTSIDE FY RANGE","OK"))))</f>
        <v/>
      </c>
      <c r="U1995" s="40" t="str">
        <f aca="false">IF($A1995="","",$B1995&amp;"|"&amp;TEXT($A1995,"yyyymmdd")&amp;"|"&amp;TEXT($I1995,"0.00"))</f>
        <v/>
      </c>
      <c r="V1995" s="35" t="str">
        <f aca="false">IF($A1995="","",COUNTIF($U$8:$U$5007,$U1995))</f>
        <v/>
      </c>
    </row>
    <row r="1996" customFormat="false" ht="15" hidden="false" customHeight="false" outlineLevel="0" collapsed="false">
      <c r="A1996" s="31"/>
      <c r="B1996" s="32"/>
      <c r="C1996" s="32"/>
      <c r="D1996" s="32"/>
      <c r="E1996" s="32"/>
      <c r="F1996" s="32"/>
      <c r="G1996" s="33"/>
      <c r="H1996" s="33"/>
      <c r="I1996" s="34" t="str">
        <f aca="false">IF($A1996="","",$G1996-$H1996)</f>
        <v/>
      </c>
      <c r="J1996" s="35" t="str">
        <f aca="false">IF($A1996="","",IF(Setup!$B$6=1,YEAR($A1996),YEAR($A1996)+IF(MONTH($A1996)&gt;=Setup!$B$6,1,0)))</f>
        <v/>
      </c>
      <c r="K1996" s="35" t="str">
        <f aca="false">IF($A1996="","",MOD(MONTH($A1996)-Setup!$B$6+12,12)+1)</f>
        <v/>
      </c>
      <c r="L1996" s="36" t="str">
        <f aca="false">IF($A1996="","",TEXT($A1996,"MMM-YY"))</f>
        <v/>
      </c>
      <c r="M1996" s="37" t="str">
        <f aca="false">IF($A1996="","",IF($Q1996=0,"UNMAPPED",INDEX(COA_Mapping!$C$7:$C$256,$Q1996)))</f>
        <v/>
      </c>
      <c r="N1996" s="38" t="str">
        <f aca="false">IF($A1996="","",IF($Q1996=0,"",INDEX(COA_Mapping!$E$7:$E$256,$Q1996)))</f>
        <v/>
      </c>
      <c r="O1996" s="38" t="n">
        <f aca="false">IF($A1996="",1,IF($Q1996=0,1,INDEX(COA_Mapping!$F$7:$F$256,$Q1996)))</f>
        <v>1</v>
      </c>
      <c r="P1996" s="34" t="str">
        <f aca="false">IF($A1996="","",$I1996*$O1996)</f>
        <v/>
      </c>
      <c r="Q1996" s="39" t="n">
        <f aca="false">IF($B1996="",0,IFERROR(MATCH($B1996,COA_Mapping!$A$7:$A$256,0),0))</f>
        <v>0</v>
      </c>
      <c r="R1996" s="39" t="n">
        <f aca="false">IF($A1996="",-1,IF($J1996=Setup!$B$7,1,IF($J1996=Setup!$B$9,0,-1)))</f>
        <v>-1</v>
      </c>
      <c r="S1996" s="35" t="n">
        <f aca="false">IF(OR($A1996="",$Q1996=0,$R1996=-1),0,$Q1996*1000+$R1996*100+$K1996)</f>
        <v>0</v>
      </c>
      <c r="T1996" s="37" t="str">
        <f aca="false">IF($A1996="","",IF($B1996="","NO ACCOUNT",IF($Q1996=0,"UNMAPPED",IF($R1996=-1,"OUTSIDE FY RANGE","OK"))))</f>
        <v/>
      </c>
      <c r="U1996" s="40" t="str">
        <f aca="false">IF($A1996="","",$B1996&amp;"|"&amp;TEXT($A1996,"yyyymmdd")&amp;"|"&amp;TEXT($I1996,"0.00"))</f>
        <v/>
      </c>
      <c r="V1996" s="35" t="str">
        <f aca="false">IF($A1996="","",COUNTIF($U$8:$U$5007,$U1996))</f>
        <v/>
      </c>
    </row>
    <row r="1997" customFormat="false" ht="15" hidden="false" customHeight="false" outlineLevel="0" collapsed="false">
      <c r="A1997" s="31"/>
      <c r="B1997" s="32"/>
      <c r="C1997" s="32"/>
      <c r="D1997" s="32"/>
      <c r="E1997" s="32"/>
      <c r="F1997" s="32"/>
      <c r="G1997" s="33"/>
      <c r="H1997" s="33"/>
      <c r="I1997" s="34" t="str">
        <f aca="false">IF($A1997="","",$G1997-$H1997)</f>
        <v/>
      </c>
      <c r="J1997" s="35" t="str">
        <f aca="false">IF($A1997="","",IF(Setup!$B$6=1,YEAR($A1997),YEAR($A1997)+IF(MONTH($A1997)&gt;=Setup!$B$6,1,0)))</f>
        <v/>
      </c>
      <c r="K1997" s="35" t="str">
        <f aca="false">IF($A1997="","",MOD(MONTH($A1997)-Setup!$B$6+12,12)+1)</f>
        <v/>
      </c>
      <c r="L1997" s="36" t="str">
        <f aca="false">IF($A1997="","",TEXT($A1997,"MMM-YY"))</f>
        <v/>
      </c>
      <c r="M1997" s="37" t="str">
        <f aca="false">IF($A1997="","",IF($Q1997=0,"UNMAPPED",INDEX(COA_Mapping!$C$7:$C$256,$Q1997)))</f>
        <v/>
      </c>
      <c r="N1997" s="38" t="str">
        <f aca="false">IF($A1997="","",IF($Q1997=0,"",INDEX(COA_Mapping!$E$7:$E$256,$Q1997)))</f>
        <v/>
      </c>
      <c r="O1997" s="38" t="n">
        <f aca="false">IF($A1997="",1,IF($Q1997=0,1,INDEX(COA_Mapping!$F$7:$F$256,$Q1997)))</f>
        <v>1</v>
      </c>
      <c r="P1997" s="34" t="str">
        <f aca="false">IF($A1997="","",$I1997*$O1997)</f>
        <v/>
      </c>
      <c r="Q1997" s="39" t="n">
        <f aca="false">IF($B1997="",0,IFERROR(MATCH($B1997,COA_Mapping!$A$7:$A$256,0),0))</f>
        <v>0</v>
      </c>
      <c r="R1997" s="39" t="n">
        <f aca="false">IF($A1997="",-1,IF($J1997=Setup!$B$7,1,IF($J1997=Setup!$B$9,0,-1)))</f>
        <v>-1</v>
      </c>
      <c r="S1997" s="35" t="n">
        <f aca="false">IF(OR($A1997="",$Q1997=0,$R1997=-1),0,$Q1997*1000+$R1997*100+$K1997)</f>
        <v>0</v>
      </c>
      <c r="T1997" s="37" t="str">
        <f aca="false">IF($A1997="","",IF($B1997="","NO ACCOUNT",IF($Q1997=0,"UNMAPPED",IF($R1997=-1,"OUTSIDE FY RANGE","OK"))))</f>
        <v/>
      </c>
      <c r="U1997" s="40" t="str">
        <f aca="false">IF($A1997="","",$B1997&amp;"|"&amp;TEXT($A1997,"yyyymmdd")&amp;"|"&amp;TEXT($I1997,"0.00"))</f>
        <v/>
      </c>
      <c r="V1997" s="35" t="str">
        <f aca="false">IF($A1997="","",COUNTIF($U$8:$U$5007,$U1997))</f>
        <v/>
      </c>
    </row>
    <row r="1998" customFormat="false" ht="15" hidden="false" customHeight="false" outlineLevel="0" collapsed="false">
      <c r="A1998" s="31"/>
      <c r="B1998" s="32"/>
      <c r="C1998" s="32"/>
      <c r="D1998" s="32"/>
      <c r="E1998" s="32"/>
      <c r="F1998" s="32"/>
      <c r="G1998" s="33"/>
      <c r="H1998" s="33"/>
      <c r="I1998" s="34" t="str">
        <f aca="false">IF($A1998="","",$G1998-$H1998)</f>
        <v/>
      </c>
      <c r="J1998" s="35" t="str">
        <f aca="false">IF($A1998="","",IF(Setup!$B$6=1,YEAR($A1998),YEAR($A1998)+IF(MONTH($A1998)&gt;=Setup!$B$6,1,0)))</f>
        <v/>
      </c>
      <c r="K1998" s="35" t="str">
        <f aca="false">IF($A1998="","",MOD(MONTH($A1998)-Setup!$B$6+12,12)+1)</f>
        <v/>
      </c>
      <c r="L1998" s="36" t="str">
        <f aca="false">IF($A1998="","",TEXT($A1998,"MMM-YY"))</f>
        <v/>
      </c>
      <c r="M1998" s="37" t="str">
        <f aca="false">IF($A1998="","",IF($Q1998=0,"UNMAPPED",INDEX(COA_Mapping!$C$7:$C$256,$Q1998)))</f>
        <v/>
      </c>
      <c r="N1998" s="38" t="str">
        <f aca="false">IF($A1998="","",IF($Q1998=0,"",INDEX(COA_Mapping!$E$7:$E$256,$Q1998)))</f>
        <v/>
      </c>
      <c r="O1998" s="38" t="n">
        <f aca="false">IF($A1998="",1,IF($Q1998=0,1,INDEX(COA_Mapping!$F$7:$F$256,$Q1998)))</f>
        <v>1</v>
      </c>
      <c r="P1998" s="34" t="str">
        <f aca="false">IF($A1998="","",$I1998*$O1998)</f>
        <v/>
      </c>
      <c r="Q1998" s="39" t="n">
        <f aca="false">IF($B1998="",0,IFERROR(MATCH($B1998,COA_Mapping!$A$7:$A$256,0),0))</f>
        <v>0</v>
      </c>
      <c r="R1998" s="39" t="n">
        <f aca="false">IF($A1998="",-1,IF($J1998=Setup!$B$7,1,IF($J1998=Setup!$B$9,0,-1)))</f>
        <v>-1</v>
      </c>
      <c r="S1998" s="35" t="n">
        <f aca="false">IF(OR($A1998="",$Q1998=0,$R1998=-1),0,$Q1998*1000+$R1998*100+$K1998)</f>
        <v>0</v>
      </c>
      <c r="T1998" s="37" t="str">
        <f aca="false">IF($A1998="","",IF($B1998="","NO ACCOUNT",IF($Q1998=0,"UNMAPPED",IF($R1998=-1,"OUTSIDE FY RANGE","OK"))))</f>
        <v/>
      </c>
      <c r="U1998" s="40" t="str">
        <f aca="false">IF($A1998="","",$B1998&amp;"|"&amp;TEXT($A1998,"yyyymmdd")&amp;"|"&amp;TEXT($I1998,"0.00"))</f>
        <v/>
      </c>
      <c r="V1998" s="35" t="str">
        <f aca="false">IF($A1998="","",COUNTIF($U$8:$U$5007,$U1998))</f>
        <v/>
      </c>
    </row>
    <row r="1999" customFormat="false" ht="15" hidden="false" customHeight="false" outlineLevel="0" collapsed="false">
      <c r="A1999" s="31"/>
      <c r="B1999" s="32"/>
      <c r="C1999" s="32"/>
      <c r="D1999" s="32"/>
      <c r="E1999" s="32"/>
      <c r="F1999" s="32"/>
      <c r="G1999" s="33"/>
      <c r="H1999" s="33"/>
      <c r="I1999" s="34" t="str">
        <f aca="false">IF($A1999="","",$G1999-$H1999)</f>
        <v/>
      </c>
      <c r="J1999" s="35" t="str">
        <f aca="false">IF($A1999="","",IF(Setup!$B$6=1,YEAR($A1999),YEAR($A1999)+IF(MONTH($A1999)&gt;=Setup!$B$6,1,0)))</f>
        <v/>
      </c>
      <c r="K1999" s="35" t="str">
        <f aca="false">IF($A1999="","",MOD(MONTH($A1999)-Setup!$B$6+12,12)+1)</f>
        <v/>
      </c>
      <c r="L1999" s="36" t="str">
        <f aca="false">IF($A1999="","",TEXT($A1999,"MMM-YY"))</f>
        <v/>
      </c>
      <c r="M1999" s="37" t="str">
        <f aca="false">IF($A1999="","",IF($Q1999=0,"UNMAPPED",INDEX(COA_Mapping!$C$7:$C$256,$Q1999)))</f>
        <v/>
      </c>
      <c r="N1999" s="38" t="str">
        <f aca="false">IF($A1999="","",IF($Q1999=0,"",INDEX(COA_Mapping!$E$7:$E$256,$Q1999)))</f>
        <v/>
      </c>
      <c r="O1999" s="38" t="n">
        <f aca="false">IF($A1999="",1,IF($Q1999=0,1,INDEX(COA_Mapping!$F$7:$F$256,$Q1999)))</f>
        <v>1</v>
      </c>
      <c r="P1999" s="34" t="str">
        <f aca="false">IF($A1999="","",$I1999*$O1999)</f>
        <v/>
      </c>
      <c r="Q1999" s="39" t="n">
        <f aca="false">IF($B1999="",0,IFERROR(MATCH($B1999,COA_Mapping!$A$7:$A$256,0),0))</f>
        <v>0</v>
      </c>
      <c r="R1999" s="39" t="n">
        <f aca="false">IF($A1999="",-1,IF($J1999=Setup!$B$7,1,IF($J1999=Setup!$B$9,0,-1)))</f>
        <v>-1</v>
      </c>
      <c r="S1999" s="35" t="n">
        <f aca="false">IF(OR($A1999="",$Q1999=0,$R1999=-1),0,$Q1999*1000+$R1999*100+$K1999)</f>
        <v>0</v>
      </c>
      <c r="T1999" s="37" t="str">
        <f aca="false">IF($A1999="","",IF($B1999="","NO ACCOUNT",IF($Q1999=0,"UNMAPPED",IF($R1999=-1,"OUTSIDE FY RANGE","OK"))))</f>
        <v/>
      </c>
      <c r="U1999" s="40" t="str">
        <f aca="false">IF($A1999="","",$B1999&amp;"|"&amp;TEXT($A1999,"yyyymmdd")&amp;"|"&amp;TEXT($I1999,"0.00"))</f>
        <v/>
      </c>
      <c r="V1999" s="35" t="str">
        <f aca="false">IF($A1999="","",COUNTIF($U$8:$U$5007,$U1999))</f>
        <v/>
      </c>
    </row>
    <row r="2000" customFormat="false" ht="15" hidden="false" customHeight="false" outlineLevel="0" collapsed="false">
      <c r="A2000" s="31"/>
      <c r="B2000" s="32"/>
      <c r="C2000" s="32"/>
      <c r="D2000" s="32"/>
      <c r="E2000" s="32"/>
      <c r="F2000" s="32"/>
      <c r="G2000" s="33"/>
      <c r="H2000" s="33"/>
      <c r="I2000" s="34" t="str">
        <f aca="false">IF($A2000="","",$G2000-$H2000)</f>
        <v/>
      </c>
      <c r="J2000" s="35" t="str">
        <f aca="false">IF($A2000="","",IF(Setup!$B$6=1,YEAR($A2000),YEAR($A2000)+IF(MONTH($A2000)&gt;=Setup!$B$6,1,0)))</f>
        <v/>
      </c>
      <c r="K2000" s="35" t="str">
        <f aca="false">IF($A2000="","",MOD(MONTH($A2000)-Setup!$B$6+12,12)+1)</f>
        <v/>
      </c>
      <c r="L2000" s="36" t="str">
        <f aca="false">IF($A2000="","",TEXT($A2000,"MMM-YY"))</f>
        <v/>
      </c>
      <c r="M2000" s="37" t="str">
        <f aca="false">IF($A2000="","",IF($Q2000=0,"UNMAPPED",INDEX(COA_Mapping!$C$7:$C$256,$Q2000)))</f>
        <v/>
      </c>
      <c r="N2000" s="38" t="str">
        <f aca="false">IF($A2000="","",IF($Q2000=0,"",INDEX(COA_Mapping!$E$7:$E$256,$Q2000)))</f>
        <v/>
      </c>
      <c r="O2000" s="38" t="n">
        <f aca="false">IF($A2000="",1,IF($Q2000=0,1,INDEX(COA_Mapping!$F$7:$F$256,$Q2000)))</f>
        <v>1</v>
      </c>
      <c r="P2000" s="34" t="str">
        <f aca="false">IF($A2000="","",$I2000*$O2000)</f>
        <v/>
      </c>
      <c r="Q2000" s="39" t="n">
        <f aca="false">IF($B2000="",0,IFERROR(MATCH($B2000,COA_Mapping!$A$7:$A$256,0),0))</f>
        <v>0</v>
      </c>
      <c r="R2000" s="39" t="n">
        <f aca="false">IF($A2000="",-1,IF($J2000=Setup!$B$7,1,IF($J2000=Setup!$B$9,0,-1)))</f>
        <v>-1</v>
      </c>
      <c r="S2000" s="35" t="n">
        <f aca="false">IF(OR($A2000="",$Q2000=0,$R2000=-1),0,$Q2000*1000+$R2000*100+$K2000)</f>
        <v>0</v>
      </c>
      <c r="T2000" s="37" t="str">
        <f aca="false">IF($A2000="","",IF($B2000="","NO ACCOUNT",IF($Q2000=0,"UNMAPPED",IF($R2000=-1,"OUTSIDE FY RANGE","OK"))))</f>
        <v/>
      </c>
      <c r="U2000" s="40" t="str">
        <f aca="false">IF($A2000="","",$B2000&amp;"|"&amp;TEXT($A2000,"yyyymmdd")&amp;"|"&amp;TEXT($I2000,"0.00"))</f>
        <v/>
      </c>
      <c r="V2000" s="35" t="str">
        <f aca="false">IF($A2000="","",COUNTIF($U$8:$U$5007,$U2000))</f>
        <v/>
      </c>
    </row>
    <row r="2001" customFormat="false" ht="15" hidden="false" customHeight="false" outlineLevel="0" collapsed="false">
      <c r="A2001" s="31"/>
      <c r="B2001" s="32"/>
      <c r="C2001" s="32"/>
      <c r="D2001" s="32"/>
      <c r="E2001" s="32"/>
      <c r="F2001" s="32"/>
      <c r="G2001" s="33"/>
      <c r="H2001" s="33"/>
      <c r="I2001" s="34" t="str">
        <f aca="false">IF($A2001="","",$G2001-$H2001)</f>
        <v/>
      </c>
      <c r="J2001" s="35" t="str">
        <f aca="false">IF($A2001="","",IF(Setup!$B$6=1,YEAR($A2001),YEAR($A2001)+IF(MONTH($A2001)&gt;=Setup!$B$6,1,0)))</f>
        <v/>
      </c>
      <c r="K2001" s="35" t="str">
        <f aca="false">IF($A2001="","",MOD(MONTH($A2001)-Setup!$B$6+12,12)+1)</f>
        <v/>
      </c>
      <c r="L2001" s="36" t="str">
        <f aca="false">IF($A2001="","",TEXT($A2001,"MMM-YY"))</f>
        <v/>
      </c>
      <c r="M2001" s="37" t="str">
        <f aca="false">IF($A2001="","",IF($Q2001=0,"UNMAPPED",INDEX(COA_Mapping!$C$7:$C$256,$Q2001)))</f>
        <v/>
      </c>
      <c r="N2001" s="38" t="str">
        <f aca="false">IF($A2001="","",IF($Q2001=0,"",INDEX(COA_Mapping!$E$7:$E$256,$Q2001)))</f>
        <v/>
      </c>
      <c r="O2001" s="38" t="n">
        <f aca="false">IF($A2001="",1,IF($Q2001=0,1,INDEX(COA_Mapping!$F$7:$F$256,$Q2001)))</f>
        <v>1</v>
      </c>
      <c r="P2001" s="34" t="str">
        <f aca="false">IF($A2001="","",$I2001*$O2001)</f>
        <v/>
      </c>
      <c r="Q2001" s="39" t="n">
        <f aca="false">IF($B2001="",0,IFERROR(MATCH($B2001,COA_Mapping!$A$7:$A$256,0),0))</f>
        <v>0</v>
      </c>
      <c r="R2001" s="39" t="n">
        <f aca="false">IF($A2001="",-1,IF($J2001=Setup!$B$7,1,IF($J2001=Setup!$B$9,0,-1)))</f>
        <v>-1</v>
      </c>
      <c r="S2001" s="35" t="n">
        <f aca="false">IF(OR($A2001="",$Q2001=0,$R2001=-1),0,$Q2001*1000+$R2001*100+$K2001)</f>
        <v>0</v>
      </c>
      <c r="T2001" s="37" t="str">
        <f aca="false">IF($A2001="","",IF($B2001="","NO ACCOUNT",IF($Q2001=0,"UNMAPPED",IF($R2001=-1,"OUTSIDE FY RANGE","OK"))))</f>
        <v/>
      </c>
      <c r="U2001" s="40" t="str">
        <f aca="false">IF($A2001="","",$B2001&amp;"|"&amp;TEXT($A2001,"yyyymmdd")&amp;"|"&amp;TEXT($I2001,"0.00"))</f>
        <v/>
      </c>
      <c r="V2001" s="35" t="str">
        <f aca="false">IF($A2001="","",COUNTIF($U$8:$U$5007,$U2001))</f>
        <v/>
      </c>
    </row>
    <row r="2002" customFormat="false" ht="15" hidden="false" customHeight="false" outlineLevel="0" collapsed="false">
      <c r="A2002" s="31"/>
      <c r="B2002" s="32"/>
      <c r="C2002" s="32"/>
      <c r="D2002" s="32"/>
      <c r="E2002" s="32"/>
      <c r="F2002" s="32"/>
      <c r="G2002" s="33"/>
      <c r="H2002" s="33"/>
      <c r="I2002" s="34" t="str">
        <f aca="false">IF($A2002="","",$G2002-$H2002)</f>
        <v/>
      </c>
      <c r="J2002" s="35" t="str">
        <f aca="false">IF($A2002="","",IF(Setup!$B$6=1,YEAR($A2002),YEAR($A2002)+IF(MONTH($A2002)&gt;=Setup!$B$6,1,0)))</f>
        <v/>
      </c>
      <c r="K2002" s="35" t="str">
        <f aca="false">IF($A2002="","",MOD(MONTH($A2002)-Setup!$B$6+12,12)+1)</f>
        <v/>
      </c>
      <c r="L2002" s="36" t="str">
        <f aca="false">IF($A2002="","",TEXT($A2002,"MMM-YY"))</f>
        <v/>
      </c>
      <c r="M2002" s="37" t="str">
        <f aca="false">IF($A2002="","",IF($Q2002=0,"UNMAPPED",INDEX(COA_Mapping!$C$7:$C$256,$Q2002)))</f>
        <v/>
      </c>
      <c r="N2002" s="38" t="str">
        <f aca="false">IF($A2002="","",IF($Q2002=0,"",INDEX(COA_Mapping!$E$7:$E$256,$Q2002)))</f>
        <v/>
      </c>
      <c r="O2002" s="38" t="n">
        <f aca="false">IF($A2002="",1,IF($Q2002=0,1,INDEX(COA_Mapping!$F$7:$F$256,$Q2002)))</f>
        <v>1</v>
      </c>
      <c r="P2002" s="34" t="str">
        <f aca="false">IF($A2002="","",$I2002*$O2002)</f>
        <v/>
      </c>
      <c r="Q2002" s="39" t="n">
        <f aca="false">IF($B2002="",0,IFERROR(MATCH($B2002,COA_Mapping!$A$7:$A$256,0),0))</f>
        <v>0</v>
      </c>
      <c r="R2002" s="39" t="n">
        <f aca="false">IF($A2002="",-1,IF($J2002=Setup!$B$7,1,IF($J2002=Setup!$B$9,0,-1)))</f>
        <v>-1</v>
      </c>
      <c r="S2002" s="35" t="n">
        <f aca="false">IF(OR($A2002="",$Q2002=0,$R2002=-1),0,$Q2002*1000+$R2002*100+$K2002)</f>
        <v>0</v>
      </c>
      <c r="T2002" s="37" t="str">
        <f aca="false">IF($A2002="","",IF($B2002="","NO ACCOUNT",IF($Q2002=0,"UNMAPPED",IF($R2002=-1,"OUTSIDE FY RANGE","OK"))))</f>
        <v/>
      </c>
      <c r="U2002" s="40" t="str">
        <f aca="false">IF($A2002="","",$B2002&amp;"|"&amp;TEXT($A2002,"yyyymmdd")&amp;"|"&amp;TEXT($I2002,"0.00"))</f>
        <v/>
      </c>
      <c r="V2002" s="35" t="str">
        <f aca="false">IF($A2002="","",COUNTIF($U$8:$U$5007,$U2002))</f>
        <v/>
      </c>
    </row>
    <row r="2003" customFormat="false" ht="15" hidden="false" customHeight="false" outlineLevel="0" collapsed="false">
      <c r="A2003" s="31"/>
      <c r="B2003" s="32"/>
      <c r="C2003" s="32"/>
      <c r="D2003" s="32"/>
      <c r="E2003" s="32"/>
      <c r="F2003" s="32"/>
      <c r="G2003" s="33"/>
      <c r="H2003" s="33"/>
      <c r="I2003" s="34" t="str">
        <f aca="false">IF($A2003="","",$G2003-$H2003)</f>
        <v/>
      </c>
      <c r="J2003" s="35" t="str">
        <f aca="false">IF($A2003="","",IF(Setup!$B$6=1,YEAR($A2003),YEAR($A2003)+IF(MONTH($A2003)&gt;=Setup!$B$6,1,0)))</f>
        <v/>
      </c>
      <c r="K2003" s="35" t="str">
        <f aca="false">IF($A2003="","",MOD(MONTH($A2003)-Setup!$B$6+12,12)+1)</f>
        <v/>
      </c>
      <c r="L2003" s="36" t="str">
        <f aca="false">IF($A2003="","",TEXT($A2003,"MMM-YY"))</f>
        <v/>
      </c>
      <c r="M2003" s="37" t="str">
        <f aca="false">IF($A2003="","",IF($Q2003=0,"UNMAPPED",INDEX(COA_Mapping!$C$7:$C$256,$Q2003)))</f>
        <v/>
      </c>
      <c r="N2003" s="38" t="str">
        <f aca="false">IF($A2003="","",IF($Q2003=0,"",INDEX(COA_Mapping!$E$7:$E$256,$Q2003)))</f>
        <v/>
      </c>
      <c r="O2003" s="38" t="n">
        <f aca="false">IF($A2003="",1,IF($Q2003=0,1,INDEX(COA_Mapping!$F$7:$F$256,$Q2003)))</f>
        <v>1</v>
      </c>
      <c r="P2003" s="34" t="str">
        <f aca="false">IF($A2003="","",$I2003*$O2003)</f>
        <v/>
      </c>
      <c r="Q2003" s="39" t="n">
        <f aca="false">IF($B2003="",0,IFERROR(MATCH($B2003,COA_Mapping!$A$7:$A$256,0),0))</f>
        <v>0</v>
      </c>
      <c r="R2003" s="39" t="n">
        <f aca="false">IF($A2003="",-1,IF($J2003=Setup!$B$7,1,IF($J2003=Setup!$B$9,0,-1)))</f>
        <v>-1</v>
      </c>
      <c r="S2003" s="35" t="n">
        <f aca="false">IF(OR($A2003="",$Q2003=0,$R2003=-1),0,$Q2003*1000+$R2003*100+$K2003)</f>
        <v>0</v>
      </c>
      <c r="T2003" s="37" t="str">
        <f aca="false">IF($A2003="","",IF($B2003="","NO ACCOUNT",IF($Q2003=0,"UNMAPPED",IF($R2003=-1,"OUTSIDE FY RANGE","OK"))))</f>
        <v/>
      </c>
      <c r="U2003" s="40" t="str">
        <f aca="false">IF($A2003="","",$B2003&amp;"|"&amp;TEXT($A2003,"yyyymmdd")&amp;"|"&amp;TEXT($I2003,"0.00"))</f>
        <v/>
      </c>
      <c r="V2003" s="35" t="str">
        <f aca="false">IF($A2003="","",COUNTIF($U$8:$U$5007,$U2003))</f>
        <v/>
      </c>
    </row>
    <row r="2004" customFormat="false" ht="15" hidden="false" customHeight="false" outlineLevel="0" collapsed="false">
      <c r="A2004" s="31"/>
      <c r="B2004" s="32"/>
      <c r="C2004" s="32"/>
      <c r="D2004" s="32"/>
      <c r="E2004" s="32"/>
      <c r="F2004" s="32"/>
      <c r="G2004" s="33"/>
      <c r="H2004" s="33"/>
      <c r="I2004" s="34" t="str">
        <f aca="false">IF($A2004="","",$G2004-$H2004)</f>
        <v/>
      </c>
      <c r="J2004" s="35" t="str">
        <f aca="false">IF($A2004="","",IF(Setup!$B$6=1,YEAR($A2004),YEAR($A2004)+IF(MONTH($A2004)&gt;=Setup!$B$6,1,0)))</f>
        <v/>
      </c>
      <c r="K2004" s="35" t="str">
        <f aca="false">IF($A2004="","",MOD(MONTH($A2004)-Setup!$B$6+12,12)+1)</f>
        <v/>
      </c>
      <c r="L2004" s="36" t="str">
        <f aca="false">IF($A2004="","",TEXT($A2004,"MMM-YY"))</f>
        <v/>
      </c>
      <c r="M2004" s="37" t="str">
        <f aca="false">IF($A2004="","",IF($Q2004=0,"UNMAPPED",INDEX(COA_Mapping!$C$7:$C$256,$Q2004)))</f>
        <v/>
      </c>
      <c r="N2004" s="38" t="str">
        <f aca="false">IF($A2004="","",IF($Q2004=0,"",INDEX(COA_Mapping!$E$7:$E$256,$Q2004)))</f>
        <v/>
      </c>
      <c r="O2004" s="38" t="n">
        <f aca="false">IF($A2004="",1,IF($Q2004=0,1,INDEX(COA_Mapping!$F$7:$F$256,$Q2004)))</f>
        <v>1</v>
      </c>
      <c r="P2004" s="34" t="str">
        <f aca="false">IF($A2004="","",$I2004*$O2004)</f>
        <v/>
      </c>
      <c r="Q2004" s="39" t="n">
        <f aca="false">IF($B2004="",0,IFERROR(MATCH($B2004,COA_Mapping!$A$7:$A$256,0),0))</f>
        <v>0</v>
      </c>
      <c r="R2004" s="39" t="n">
        <f aca="false">IF($A2004="",-1,IF($J2004=Setup!$B$7,1,IF($J2004=Setup!$B$9,0,-1)))</f>
        <v>-1</v>
      </c>
      <c r="S2004" s="35" t="n">
        <f aca="false">IF(OR($A2004="",$Q2004=0,$R2004=-1),0,$Q2004*1000+$R2004*100+$K2004)</f>
        <v>0</v>
      </c>
      <c r="T2004" s="37" t="str">
        <f aca="false">IF($A2004="","",IF($B2004="","NO ACCOUNT",IF($Q2004=0,"UNMAPPED",IF($R2004=-1,"OUTSIDE FY RANGE","OK"))))</f>
        <v/>
      </c>
      <c r="U2004" s="40" t="str">
        <f aca="false">IF($A2004="","",$B2004&amp;"|"&amp;TEXT($A2004,"yyyymmdd")&amp;"|"&amp;TEXT($I2004,"0.00"))</f>
        <v/>
      </c>
      <c r="V2004" s="35" t="str">
        <f aca="false">IF($A2004="","",COUNTIF($U$8:$U$5007,$U2004))</f>
        <v/>
      </c>
    </row>
    <row r="2005" customFormat="false" ht="15" hidden="false" customHeight="false" outlineLevel="0" collapsed="false">
      <c r="A2005" s="31"/>
      <c r="B2005" s="32"/>
      <c r="C2005" s="32"/>
      <c r="D2005" s="32"/>
      <c r="E2005" s="32"/>
      <c r="F2005" s="32"/>
      <c r="G2005" s="33"/>
      <c r="H2005" s="33"/>
      <c r="I2005" s="34" t="str">
        <f aca="false">IF($A2005="","",$G2005-$H2005)</f>
        <v/>
      </c>
      <c r="J2005" s="35" t="str">
        <f aca="false">IF($A2005="","",IF(Setup!$B$6=1,YEAR($A2005),YEAR($A2005)+IF(MONTH($A2005)&gt;=Setup!$B$6,1,0)))</f>
        <v/>
      </c>
      <c r="K2005" s="35" t="str">
        <f aca="false">IF($A2005="","",MOD(MONTH($A2005)-Setup!$B$6+12,12)+1)</f>
        <v/>
      </c>
      <c r="L2005" s="36" t="str">
        <f aca="false">IF($A2005="","",TEXT($A2005,"MMM-YY"))</f>
        <v/>
      </c>
      <c r="M2005" s="37" t="str">
        <f aca="false">IF($A2005="","",IF($Q2005=0,"UNMAPPED",INDEX(COA_Mapping!$C$7:$C$256,$Q2005)))</f>
        <v/>
      </c>
      <c r="N2005" s="38" t="str">
        <f aca="false">IF($A2005="","",IF($Q2005=0,"",INDEX(COA_Mapping!$E$7:$E$256,$Q2005)))</f>
        <v/>
      </c>
      <c r="O2005" s="38" t="n">
        <f aca="false">IF($A2005="",1,IF($Q2005=0,1,INDEX(COA_Mapping!$F$7:$F$256,$Q2005)))</f>
        <v>1</v>
      </c>
      <c r="P2005" s="34" t="str">
        <f aca="false">IF($A2005="","",$I2005*$O2005)</f>
        <v/>
      </c>
      <c r="Q2005" s="39" t="n">
        <f aca="false">IF($B2005="",0,IFERROR(MATCH($B2005,COA_Mapping!$A$7:$A$256,0),0))</f>
        <v>0</v>
      </c>
      <c r="R2005" s="39" t="n">
        <f aca="false">IF($A2005="",-1,IF($J2005=Setup!$B$7,1,IF($J2005=Setup!$B$9,0,-1)))</f>
        <v>-1</v>
      </c>
      <c r="S2005" s="35" t="n">
        <f aca="false">IF(OR($A2005="",$Q2005=0,$R2005=-1),0,$Q2005*1000+$R2005*100+$K2005)</f>
        <v>0</v>
      </c>
      <c r="T2005" s="37" t="str">
        <f aca="false">IF($A2005="","",IF($B2005="","NO ACCOUNT",IF($Q2005=0,"UNMAPPED",IF($R2005=-1,"OUTSIDE FY RANGE","OK"))))</f>
        <v/>
      </c>
      <c r="U2005" s="40" t="str">
        <f aca="false">IF($A2005="","",$B2005&amp;"|"&amp;TEXT($A2005,"yyyymmdd")&amp;"|"&amp;TEXT($I2005,"0.00"))</f>
        <v/>
      </c>
      <c r="V2005" s="35" t="str">
        <f aca="false">IF($A2005="","",COUNTIF($U$8:$U$5007,$U2005))</f>
        <v/>
      </c>
    </row>
    <row r="2006" customFormat="false" ht="15" hidden="false" customHeight="false" outlineLevel="0" collapsed="false">
      <c r="A2006" s="31"/>
      <c r="B2006" s="32"/>
      <c r="C2006" s="32"/>
      <c r="D2006" s="32"/>
      <c r="E2006" s="32"/>
      <c r="F2006" s="32"/>
      <c r="G2006" s="33"/>
      <c r="H2006" s="33"/>
      <c r="I2006" s="34" t="str">
        <f aca="false">IF($A2006="","",$G2006-$H2006)</f>
        <v/>
      </c>
      <c r="J2006" s="35" t="str">
        <f aca="false">IF($A2006="","",IF(Setup!$B$6=1,YEAR($A2006),YEAR($A2006)+IF(MONTH($A2006)&gt;=Setup!$B$6,1,0)))</f>
        <v/>
      </c>
      <c r="K2006" s="35" t="str">
        <f aca="false">IF($A2006="","",MOD(MONTH($A2006)-Setup!$B$6+12,12)+1)</f>
        <v/>
      </c>
      <c r="L2006" s="36" t="str">
        <f aca="false">IF($A2006="","",TEXT($A2006,"MMM-YY"))</f>
        <v/>
      </c>
      <c r="M2006" s="37" t="str">
        <f aca="false">IF($A2006="","",IF($Q2006=0,"UNMAPPED",INDEX(COA_Mapping!$C$7:$C$256,$Q2006)))</f>
        <v/>
      </c>
      <c r="N2006" s="38" t="str">
        <f aca="false">IF($A2006="","",IF($Q2006=0,"",INDEX(COA_Mapping!$E$7:$E$256,$Q2006)))</f>
        <v/>
      </c>
      <c r="O2006" s="38" t="n">
        <f aca="false">IF($A2006="",1,IF($Q2006=0,1,INDEX(COA_Mapping!$F$7:$F$256,$Q2006)))</f>
        <v>1</v>
      </c>
      <c r="P2006" s="34" t="str">
        <f aca="false">IF($A2006="","",$I2006*$O2006)</f>
        <v/>
      </c>
      <c r="Q2006" s="39" t="n">
        <f aca="false">IF($B2006="",0,IFERROR(MATCH($B2006,COA_Mapping!$A$7:$A$256,0),0))</f>
        <v>0</v>
      </c>
      <c r="R2006" s="39" t="n">
        <f aca="false">IF($A2006="",-1,IF($J2006=Setup!$B$7,1,IF($J2006=Setup!$B$9,0,-1)))</f>
        <v>-1</v>
      </c>
      <c r="S2006" s="35" t="n">
        <f aca="false">IF(OR($A2006="",$Q2006=0,$R2006=-1),0,$Q2006*1000+$R2006*100+$K2006)</f>
        <v>0</v>
      </c>
      <c r="T2006" s="37" t="str">
        <f aca="false">IF($A2006="","",IF($B2006="","NO ACCOUNT",IF($Q2006=0,"UNMAPPED",IF($R2006=-1,"OUTSIDE FY RANGE","OK"))))</f>
        <v/>
      </c>
      <c r="U2006" s="40" t="str">
        <f aca="false">IF($A2006="","",$B2006&amp;"|"&amp;TEXT($A2006,"yyyymmdd")&amp;"|"&amp;TEXT($I2006,"0.00"))</f>
        <v/>
      </c>
      <c r="V2006" s="35" t="str">
        <f aca="false">IF($A2006="","",COUNTIF($U$8:$U$5007,$U2006))</f>
        <v/>
      </c>
    </row>
    <row r="2007" customFormat="false" ht="15" hidden="false" customHeight="false" outlineLevel="0" collapsed="false">
      <c r="A2007" s="31"/>
      <c r="B2007" s="32"/>
      <c r="C2007" s="32"/>
      <c r="D2007" s="32"/>
      <c r="E2007" s="32"/>
      <c r="F2007" s="32"/>
      <c r="G2007" s="33"/>
      <c r="H2007" s="33"/>
      <c r="I2007" s="34" t="str">
        <f aca="false">IF($A2007="","",$G2007-$H2007)</f>
        <v/>
      </c>
      <c r="J2007" s="35" t="str">
        <f aca="false">IF($A2007="","",IF(Setup!$B$6=1,YEAR($A2007),YEAR($A2007)+IF(MONTH($A2007)&gt;=Setup!$B$6,1,0)))</f>
        <v/>
      </c>
      <c r="K2007" s="35" t="str">
        <f aca="false">IF($A2007="","",MOD(MONTH($A2007)-Setup!$B$6+12,12)+1)</f>
        <v/>
      </c>
      <c r="L2007" s="36" t="str">
        <f aca="false">IF($A2007="","",TEXT($A2007,"MMM-YY"))</f>
        <v/>
      </c>
      <c r="M2007" s="37" t="str">
        <f aca="false">IF($A2007="","",IF($Q2007=0,"UNMAPPED",INDEX(COA_Mapping!$C$7:$C$256,$Q2007)))</f>
        <v/>
      </c>
      <c r="N2007" s="38" t="str">
        <f aca="false">IF($A2007="","",IF($Q2007=0,"",INDEX(COA_Mapping!$E$7:$E$256,$Q2007)))</f>
        <v/>
      </c>
      <c r="O2007" s="38" t="n">
        <f aca="false">IF($A2007="",1,IF($Q2007=0,1,INDEX(COA_Mapping!$F$7:$F$256,$Q2007)))</f>
        <v>1</v>
      </c>
      <c r="P2007" s="34" t="str">
        <f aca="false">IF($A2007="","",$I2007*$O2007)</f>
        <v/>
      </c>
      <c r="Q2007" s="39" t="n">
        <f aca="false">IF($B2007="",0,IFERROR(MATCH($B2007,COA_Mapping!$A$7:$A$256,0),0))</f>
        <v>0</v>
      </c>
      <c r="R2007" s="39" t="n">
        <f aca="false">IF($A2007="",-1,IF($J2007=Setup!$B$7,1,IF($J2007=Setup!$B$9,0,-1)))</f>
        <v>-1</v>
      </c>
      <c r="S2007" s="35" t="n">
        <f aca="false">IF(OR($A2007="",$Q2007=0,$R2007=-1),0,$Q2007*1000+$R2007*100+$K2007)</f>
        <v>0</v>
      </c>
      <c r="T2007" s="37" t="str">
        <f aca="false">IF($A2007="","",IF($B2007="","NO ACCOUNT",IF($Q2007=0,"UNMAPPED",IF($R2007=-1,"OUTSIDE FY RANGE","OK"))))</f>
        <v/>
      </c>
      <c r="U2007" s="40" t="str">
        <f aca="false">IF($A2007="","",$B2007&amp;"|"&amp;TEXT($A2007,"yyyymmdd")&amp;"|"&amp;TEXT($I2007,"0.00"))</f>
        <v/>
      </c>
      <c r="V2007" s="35" t="str">
        <f aca="false">IF($A2007="","",COUNTIF($U$8:$U$5007,$U2007))</f>
        <v/>
      </c>
    </row>
    <row r="2008" customFormat="false" ht="15" hidden="false" customHeight="false" outlineLevel="0" collapsed="false">
      <c r="A2008" s="31"/>
      <c r="B2008" s="32"/>
      <c r="C2008" s="32"/>
      <c r="D2008" s="32"/>
      <c r="E2008" s="32"/>
      <c r="F2008" s="32"/>
      <c r="G2008" s="33"/>
      <c r="H2008" s="33"/>
      <c r="I2008" s="34" t="str">
        <f aca="false">IF($A2008="","",$G2008-$H2008)</f>
        <v/>
      </c>
      <c r="J2008" s="35" t="str">
        <f aca="false">IF($A2008="","",IF(Setup!$B$6=1,YEAR($A2008),YEAR($A2008)+IF(MONTH($A2008)&gt;=Setup!$B$6,1,0)))</f>
        <v/>
      </c>
      <c r="K2008" s="35" t="str">
        <f aca="false">IF($A2008="","",MOD(MONTH($A2008)-Setup!$B$6+12,12)+1)</f>
        <v/>
      </c>
      <c r="L2008" s="36" t="str">
        <f aca="false">IF($A2008="","",TEXT($A2008,"MMM-YY"))</f>
        <v/>
      </c>
      <c r="M2008" s="37" t="str">
        <f aca="false">IF($A2008="","",IF($Q2008=0,"UNMAPPED",INDEX(COA_Mapping!$C$7:$C$256,$Q2008)))</f>
        <v/>
      </c>
      <c r="N2008" s="38" t="str">
        <f aca="false">IF($A2008="","",IF($Q2008=0,"",INDEX(COA_Mapping!$E$7:$E$256,$Q2008)))</f>
        <v/>
      </c>
      <c r="O2008" s="38" t="n">
        <f aca="false">IF($A2008="",1,IF($Q2008=0,1,INDEX(COA_Mapping!$F$7:$F$256,$Q2008)))</f>
        <v>1</v>
      </c>
      <c r="P2008" s="34" t="str">
        <f aca="false">IF($A2008="","",$I2008*$O2008)</f>
        <v/>
      </c>
      <c r="Q2008" s="39" t="n">
        <f aca="false">IF($B2008="",0,IFERROR(MATCH($B2008,COA_Mapping!$A$7:$A$256,0),0))</f>
        <v>0</v>
      </c>
      <c r="R2008" s="39" t="n">
        <f aca="false">IF($A2008="",-1,IF($J2008=Setup!$B$7,1,IF($J2008=Setup!$B$9,0,-1)))</f>
        <v>-1</v>
      </c>
      <c r="S2008" s="35" t="n">
        <f aca="false">IF(OR($A2008="",$Q2008=0,$R2008=-1),0,$Q2008*1000+$R2008*100+$K2008)</f>
        <v>0</v>
      </c>
      <c r="T2008" s="37" t="str">
        <f aca="false">IF($A2008="","",IF($B2008="","NO ACCOUNT",IF($Q2008=0,"UNMAPPED",IF($R2008=-1,"OUTSIDE FY RANGE","OK"))))</f>
        <v/>
      </c>
      <c r="U2008" s="40" t="str">
        <f aca="false">IF($A2008="","",$B2008&amp;"|"&amp;TEXT($A2008,"yyyymmdd")&amp;"|"&amp;TEXT($I2008,"0.00"))</f>
        <v/>
      </c>
      <c r="V2008" s="35" t="str">
        <f aca="false">IF($A2008="","",COUNTIF($U$8:$U$5007,$U2008))</f>
        <v/>
      </c>
    </row>
    <row r="2009" customFormat="false" ht="15" hidden="false" customHeight="false" outlineLevel="0" collapsed="false">
      <c r="A2009" s="31"/>
      <c r="B2009" s="32"/>
      <c r="C2009" s="32"/>
      <c r="D2009" s="32"/>
      <c r="E2009" s="32"/>
      <c r="F2009" s="32"/>
      <c r="G2009" s="33"/>
      <c r="H2009" s="33"/>
      <c r="I2009" s="34" t="str">
        <f aca="false">IF($A2009="","",$G2009-$H2009)</f>
        <v/>
      </c>
      <c r="J2009" s="35" t="str">
        <f aca="false">IF($A2009="","",IF(Setup!$B$6=1,YEAR($A2009),YEAR($A2009)+IF(MONTH($A2009)&gt;=Setup!$B$6,1,0)))</f>
        <v/>
      </c>
      <c r="K2009" s="35" t="str">
        <f aca="false">IF($A2009="","",MOD(MONTH($A2009)-Setup!$B$6+12,12)+1)</f>
        <v/>
      </c>
      <c r="L2009" s="36" t="str">
        <f aca="false">IF($A2009="","",TEXT($A2009,"MMM-YY"))</f>
        <v/>
      </c>
      <c r="M2009" s="37" t="str">
        <f aca="false">IF($A2009="","",IF($Q2009=0,"UNMAPPED",INDEX(COA_Mapping!$C$7:$C$256,$Q2009)))</f>
        <v/>
      </c>
      <c r="N2009" s="38" t="str">
        <f aca="false">IF($A2009="","",IF($Q2009=0,"",INDEX(COA_Mapping!$E$7:$E$256,$Q2009)))</f>
        <v/>
      </c>
      <c r="O2009" s="38" t="n">
        <f aca="false">IF($A2009="",1,IF($Q2009=0,1,INDEX(COA_Mapping!$F$7:$F$256,$Q2009)))</f>
        <v>1</v>
      </c>
      <c r="P2009" s="34" t="str">
        <f aca="false">IF($A2009="","",$I2009*$O2009)</f>
        <v/>
      </c>
      <c r="Q2009" s="39" t="n">
        <f aca="false">IF($B2009="",0,IFERROR(MATCH($B2009,COA_Mapping!$A$7:$A$256,0),0))</f>
        <v>0</v>
      </c>
      <c r="R2009" s="39" t="n">
        <f aca="false">IF($A2009="",-1,IF($J2009=Setup!$B$7,1,IF($J2009=Setup!$B$9,0,-1)))</f>
        <v>-1</v>
      </c>
      <c r="S2009" s="35" t="n">
        <f aca="false">IF(OR($A2009="",$Q2009=0,$R2009=-1),0,$Q2009*1000+$R2009*100+$K2009)</f>
        <v>0</v>
      </c>
      <c r="T2009" s="37" t="str">
        <f aca="false">IF($A2009="","",IF($B2009="","NO ACCOUNT",IF($Q2009=0,"UNMAPPED",IF($R2009=-1,"OUTSIDE FY RANGE","OK"))))</f>
        <v/>
      </c>
      <c r="U2009" s="40" t="str">
        <f aca="false">IF($A2009="","",$B2009&amp;"|"&amp;TEXT($A2009,"yyyymmdd")&amp;"|"&amp;TEXT($I2009,"0.00"))</f>
        <v/>
      </c>
      <c r="V2009" s="35" t="str">
        <f aca="false">IF($A2009="","",COUNTIF($U$8:$U$5007,$U2009))</f>
        <v/>
      </c>
    </row>
    <row r="2010" customFormat="false" ht="15" hidden="false" customHeight="false" outlineLevel="0" collapsed="false">
      <c r="A2010" s="31"/>
      <c r="B2010" s="32"/>
      <c r="C2010" s="32"/>
      <c r="D2010" s="32"/>
      <c r="E2010" s="32"/>
      <c r="F2010" s="32"/>
      <c r="G2010" s="33"/>
      <c r="H2010" s="33"/>
      <c r="I2010" s="34" t="str">
        <f aca="false">IF($A2010="","",$G2010-$H2010)</f>
        <v/>
      </c>
      <c r="J2010" s="35" t="str">
        <f aca="false">IF($A2010="","",IF(Setup!$B$6=1,YEAR($A2010),YEAR($A2010)+IF(MONTH($A2010)&gt;=Setup!$B$6,1,0)))</f>
        <v/>
      </c>
      <c r="K2010" s="35" t="str">
        <f aca="false">IF($A2010="","",MOD(MONTH($A2010)-Setup!$B$6+12,12)+1)</f>
        <v/>
      </c>
      <c r="L2010" s="36" t="str">
        <f aca="false">IF($A2010="","",TEXT($A2010,"MMM-YY"))</f>
        <v/>
      </c>
      <c r="M2010" s="37" t="str">
        <f aca="false">IF($A2010="","",IF($Q2010=0,"UNMAPPED",INDEX(COA_Mapping!$C$7:$C$256,$Q2010)))</f>
        <v/>
      </c>
      <c r="N2010" s="38" t="str">
        <f aca="false">IF($A2010="","",IF($Q2010=0,"",INDEX(COA_Mapping!$E$7:$E$256,$Q2010)))</f>
        <v/>
      </c>
      <c r="O2010" s="38" t="n">
        <f aca="false">IF($A2010="",1,IF($Q2010=0,1,INDEX(COA_Mapping!$F$7:$F$256,$Q2010)))</f>
        <v>1</v>
      </c>
      <c r="P2010" s="34" t="str">
        <f aca="false">IF($A2010="","",$I2010*$O2010)</f>
        <v/>
      </c>
      <c r="Q2010" s="39" t="n">
        <f aca="false">IF($B2010="",0,IFERROR(MATCH($B2010,COA_Mapping!$A$7:$A$256,0),0))</f>
        <v>0</v>
      </c>
      <c r="R2010" s="39" t="n">
        <f aca="false">IF($A2010="",-1,IF($J2010=Setup!$B$7,1,IF($J2010=Setup!$B$9,0,-1)))</f>
        <v>-1</v>
      </c>
      <c r="S2010" s="35" t="n">
        <f aca="false">IF(OR($A2010="",$Q2010=0,$R2010=-1),0,$Q2010*1000+$R2010*100+$K2010)</f>
        <v>0</v>
      </c>
      <c r="T2010" s="37" t="str">
        <f aca="false">IF($A2010="","",IF($B2010="","NO ACCOUNT",IF($Q2010=0,"UNMAPPED",IF($R2010=-1,"OUTSIDE FY RANGE","OK"))))</f>
        <v/>
      </c>
      <c r="U2010" s="40" t="str">
        <f aca="false">IF($A2010="","",$B2010&amp;"|"&amp;TEXT($A2010,"yyyymmdd")&amp;"|"&amp;TEXT($I2010,"0.00"))</f>
        <v/>
      </c>
      <c r="V2010" s="35" t="str">
        <f aca="false">IF($A2010="","",COUNTIF($U$8:$U$5007,$U2010))</f>
        <v/>
      </c>
    </row>
    <row r="2011" customFormat="false" ht="15" hidden="false" customHeight="false" outlineLevel="0" collapsed="false">
      <c r="A2011" s="31"/>
      <c r="B2011" s="32"/>
      <c r="C2011" s="32"/>
      <c r="D2011" s="32"/>
      <c r="E2011" s="32"/>
      <c r="F2011" s="32"/>
      <c r="G2011" s="33"/>
      <c r="H2011" s="33"/>
      <c r="I2011" s="34" t="str">
        <f aca="false">IF($A2011="","",$G2011-$H2011)</f>
        <v/>
      </c>
      <c r="J2011" s="35" t="str">
        <f aca="false">IF($A2011="","",IF(Setup!$B$6=1,YEAR($A2011),YEAR($A2011)+IF(MONTH($A2011)&gt;=Setup!$B$6,1,0)))</f>
        <v/>
      </c>
      <c r="K2011" s="35" t="str">
        <f aca="false">IF($A2011="","",MOD(MONTH($A2011)-Setup!$B$6+12,12)+1)</f>
        <v/>
      </c>
      <c r="L2011" s="36" t="str">
        <f aca="false">IF($A2011="","",TEXT($A2011,"MMM-YY"))</f>
        <v/>
      </c>
      <c r="M2011" s="37" t="str">
        <f aca="false">IF($A2011="","",IF($Q2011=0,"UNMAPPED",INDEX(COA_Mapping!$C$7:$C$256,$Q2011)))</f>
        <v/>
      </c>
      <c r="N2011" s="38" t="str">
        <f aca="false">IF($A2011="","",IF($Q2011=0,"",INDEX(COA_Mapping!$E$7:$E$256,$Q2011)))</f>
        <v/>
      </c>
      <c r="O2011" s="38" t="n">
        <f aca="false">IF($A2011="",1,IF($Q2011=0,1,INDEX(COA_Mapping!$F$7:$F$256,$Q2011)))</f>
        <v>1</v>
      </c>
      <c r="P2011" s="34" t="str">
        <f aca="false">IF($A2011="","",$I2011*$O2011)</f>
        <v/>
      </c>
      <c r="Q2011" s="39" t="n">
        <f aca="false">IF($B2011="",0,IFERROR(MATCH($B2011,COA_Mapping!$A$7:$A$256,0),0))</f>
        <v>0</v>
      </c>
      <c r="R2011" s="39" t="n">
        <f aca="false">IF($A2011="",-1,IF($J2011=Setup!$B$7,1,IF($J2011=Setup!$B$9,0,-1)))</f>
        <v>-1</v>
      </c>
      <c r="S2011" s="35" t="n">
        <f aca="false">IF(OR($A2011="",$Q2011=0,$R2011=-1),0,$Q2011*1000+$R2011*100+$K2011)</f>
        <v>0</v>
      </c>
      <c r="T2011" s="37" t="str">
        <f aca="false">IF($A2011="","",IF($B2011="","NO ACCOUNT",IF($Q2011=0,"UNMAPPED",IF($R2011=-1,"OUTSIDE FY RANGE","OK"))))</f>
        <v/>
      </c>
      <c r="U2011" s="40" t="str">
        <f aca="false">IF($A2011="","",$B2011&amp;"|"&amp;TEXT($A2011,"yyyymmdd")&amp;"|"&amp;TEXT($I2011,"0.00"))</f>
        <v/>
      </c>
      <c r="V2011" s="35" t="str">
        <f aca="false">IF($A2011="","",COUNTIF($U$8:$U$5007,$U2011))</f>
        <v/>
      </c>
    </row>
    <row r="2012" customFormat="false" ht="15" hidden="false" customHeight="false" outlineLevel="0" collapsed="false">
      <c r="A2012" s="31"/>
      <c r="B2012" s="32"/>
      <c r="C2012" s="32"/>
      <c r="D2012" s="32"/>
      <c r="E2012" s="32"/>
      <c r="F2012" s="32"/>
      <c r="G2012" s="33"/>
      <c r="H2012" s="33"/>
      <c r="I2012" s="34" t="str">
        <f aca="false">IF($A2012="","",$G2012-$H2012)</f>
        <v/>
      </c>
      <c r="J2012" s="35" t="str">
        <f aca="false">IF($A2012="","",IF(Setup!$B$6=1,YEAR($A2012),YEAR($A2012)+IF(MONTH($A2012)&gt;=Setup!$B$6,1,0)))</f>
        <v/>
      </c>
      <c r="K2012" s="35" t="str">
        <f aca="false">IF($A2012="","",MOD(MONTH($A2012)-Setup!$B$6+12,12)+1)</f>
        <v/>
      </c>
      <c r="L2012" s="36" t="str">
        <f aca="false">IF($A2012="","",TEXT($A2012,"MMM-YY"))</f>
        <v/>
      </c>
      <c r="M2012" s="37" t="str">
        <f aca="false">IF($A2012="","",IF($Q2012=0,"UNMAPPED",INDEX(COA_Mapping!$C$7:$C$256,$Q2012)))</f>
        <v/>
      </c>
      <c r="N2012" s="38" t="str">
        <f aca="false">IF($A2012="","",IF($Q2012=0,"",INDEX(COA_Mapping!$E$7:$E$256,$Q2012)))</f>
        <v/>
      </c>
      <c r="O2012" s="38" t="n">
        <f aca="false">IF($A2012="",1,IF($Q2012=0,1,INDEX(COA_Mapping!$F$7:$F$256,$Q2012)))</f>
        <v>1</v>
      </c>
      <c r="P2012" s="34" t="str">
        <f aca="false">IF($A2012="","",$I2012*$O2012)</f>
        <v/>
      </c>
      <c r="Q2012" s="39" t="n">
        <f aca="false">IF($B2012="",0,IFERROR(MATCH($B2012,COA_Mapping!$A$7:$A$256,0),0))</f>
        <v>0</v>
      </c>
      <c r="R2012" s="39" t="n">
        <f aca="false">IF($A2012="",-1,IF($J2012=Setup!$B$7,1,IF($J2012=Setup!$B$9,0,-1)))</f>
        <v>-1</v>
      </c>
      <c r="S2012" s="35" t="n">
        <f aca="false">IF(OR($A2012="",$Q2012=0,$R2012=-1),0,$Q2012*1000+$R2012*100+$K2012)</f>
        <v>0</v>
      </c>
      <c r="T2012" s="37" t="str">
        <f aca="false">IF($A2012="","",IF($B2012="","NO ACCOUNT",IF($Q2012=0,"UNMAPPED",IF($R2012=-1,"OUTSIDE FY RANGE","OK"))))</f>
        <v/>
      </c>
      <c r="U2012" s="40" t="str">
        <f aca="false">IF($A2012="","",$B2012&amp;"|"&amp;TEXT($A2012,"yyyymmdd")&amp;"|"&amp;TEXT($I2012,"0.00"))</f>
        <v/>
      </c>
      <c r="V2012" s="35" t="str">
        <f aca="false">IF($A2012="","",COUNTIF($U$8:$U$5007,$U2012))</f>
        <v/>
      </c>
    </row>
    <row r="2013" customFormat="false" ht="15" hidden="false" customHeight="false" outlineLevel="0" collapsed="false">
      <c r="A2013" s="31"/>
      <c r="B2013" s="32"/>
      <c r="C2013" s="32"/>
      <c r="D2013" s="32"/>
      <c r="E2013" s="32"/>
      <c r="F2013" s="32"/>
      <c r="G2013" s="33"/>
      <c r="H2013" s="33"/>
      <c r="I2013" s="34" t="str">
        <f aca="false">IF($A2013="","",$G2013-$H2013)</f>
        <v/>
      </c>
      <c r="J2013" s="35" t="str">
        <f aca="false">IF($A2013="","",IF(Setup!$B$6=1,YEAR($A2013),YEAR($A2013)+IF(MONTH($A2013)&gt;=Setup!$B$6,1,0)))</f>
        <v/>
      </c>
      <c r="K2013" s="35" t="str">
        <f aca="false">IF($A2013="","",MOD(MONTH($A2013)-Setup!$B$6+12,12)+1)</f>
        <v/>
      </c>
      <c r="L2013" s="36" t="str">
        <f aca="false">IF($A2013="","",TEXT($A2013,"MMM-YY"))</f>
        <v/>
      </c>
      <c r="M2013" s="37" t="str">
        <f aca="false">IF($A2013="","",IF($Q2013=0,"UNMAPPED",INDEX(COA_Mapping!$C$7:$C$256,$Q2013)))</f>
        <v/>
      </c>
      <c r="N2013" s="38" t="str">
        <f aca="false">IF($A2013="","",IF($Q2013=0,"",INDEX(COA_Mapping!$E$7:$E$256,$Q2013)))</f>
        <v/>
      </c>
      <c r="O2013" s="38" t="n">
        <f aca="false">IF($A2013="",1,IF($Q2013=0,1,INDEX(COA_Mapping!$F$7:$F$256,$Q2013)))</f>
        <v>1</v>
      </c>
      <c r="P2013" s="34" t="str">
        <f aca="false">IF($A2013="","",$I2013*$O2013)</f>
        <v/>
      </c>
      <c r="Q2013" s="39" t="n">
        <f aca="false">IF($B2013="",0,IFERROR(MATCH($B2013,COA_Mapping!$A$7:$A$256,0),0))</f>
        <v>0</v>
      </c>
      <c r="R2013" s="39" t="n">
        <f aca="false">IF($A2013="",-1,IF($J2013=Setup!$B$7,1,IF($J2013=Setup!$B$9,0,-1)))</f>
        <v>-1</v>
      </c>
      <c r="S2013" s="35" t="n">
        <f aca="false">IF(OR($A2013="",$Q2013=0,$R2013=-1),0,$Q2013*1000+$R2013*100+$K2013)</f>
        <v>0</v>
      </c>
      <c r="T2013" s="37" t="str">
        <f aca="false">IF($A2013="","",IF($B2013="","NO ACCOUNT",IF($Q2013=0,"UNMAPPED",IF($R2013=-1,"OUTSIDE FY RANGE","OK"))))</f>
        <v/>
      </c>
      <c r="U2013" s="40" t="str">
        <f aca="false">IF($A2013="","",$B2013&amp;"|"&amp;TEXT($A2013,"yyyymmdd")&amp;"|"&amp;TEXT($I2013,"0.00"))</f>
        <v/>
      </c>
      <c r="V2013" s="35" t="str">
        <f aca="false">IF($A2013="","",COUNTIF($U$8:$U$5007,$U2013))</f>
        <v/>
      </c>
    </row>
    <row r="2014" customFormat="false" ht="15" hidden="false" customHeight="false" outlineLevel="0" collapsed="false">
      <c r="A2014" s="31"/>
      <c r="B2014" s="32"/>
      <c r="C2014" s="32"/>
      <c r="D2014" s="32"/>
      <c r="E2014" s="32"/>
      <c r="F2014" s="32"/>
      <c r="G2014" s="33"/>
      <c r="H2014" s="33"/>
      <c r="I2014" s="34" t="str">
        <f aca="false">IF($A2014="","",$G2014-$H2014)</f>
        <v/>
      </c>
      <c r="J2014" s="35" t="str">
        <f aca="false">IF($A2014="","",IF(Setup!$B$6=1,YEAR($A2014),YEAR($A2014)+IF(MONTH($A2014)&gt;=Setup!$B$6,1,0)))</f>
        <v/>
      </c>
      <c r="K2014" s="35" t="str">
        <f aca="false">IF($A2014="","",MOD(MONTH($A2014)-Setup!$B$6+12,12)+1)</f>
        <v/>
      </c>
      <c r="L2014" s="36" t="str">
        <f aca="false">IF($A2014="","",TEXT($A2014,"MMM-YY"))</f>
        <v/>
      </c>
      <c r="M2014" s="37" t="str">
        <f aca="false">IF($A2014="","",IF($Q2014=0,"UNMAPPED",INDEX(COA_Mapping!$C$7:$C$256,$Q2014)))</f>
        <v/>
      </c>
      <c r="N2014" s="38" t="str">
        <f aca="false">IF($A2014="","",IF($Q2014=0,"",INDEX(COA_Mapping!$E$7:$E$256,$Q2014)))</f>
        <v/>
      </c>
      <c r="O2014" s="38" t="n">
        <f aca="false">IF($A2014="",1,IF($Q2014=0,1,INDEX(COA_Mapping!$F$7:$F$256,$Q2014)))</f>
        <v>1</v>
      </c>
      <c r="P2014" s="34" t="str">
        <f aca="false">IF($A2014="","",$I2014*$O2014)</f>
        <v/>
      </c>
      <c r="Q2014" s="39" t="n">
        <f aca="false">IF($B2014="",0,IFERROR(MATCH($B2014,COA_Mapping!$A$7:$A$256,0),0))</f>
        <v>0</v>
      </c>
      <c r="R2014" s="39" t="n">
        <f aca="false">IF($A2014="",-1,IF($J2014=Setup!$B$7,1,IF($J2014=Setup!$B$9,0,-1)))</f>
        <v>-1</v>
      </c>
      <c r="S2014" s="35" t="n">
        <f aca="false">IF(OR($A2014="",$Q2014=0,$R2014=-1),0,$Q2014*1000+$R2014*100+$K2014)</f>
        <v>0</v>
      </c>
      <c r="T2014" s="37" t="str">
        <f aca="false">IF($A2014="","",IF($B2014="","NO ACCOUNT",IF($Q2014=0,"UNMAPPED",IF($R2014=-1,"OUTSIDE FY RANGE","OK"))))</f>
        <v/>
      </c>
      <c r="U2014" s="40" t="str">
        <f aca="false">IF($A2014="","",$B2014&amp;"|"&amp;TEXT($A2014,"yyyymmdd")&amp;"|"&amp;TEXT($I2014,"0.00"))</f>
        <v/>
      </c>
      <c r="V2014" s="35" t="str">
        <f aca="false">IF($A2014="","",COUNTIF($U$8:$U$5007,$U2014))</f>
        <v/>
      </c>
    </row>
    <row r="2015" customFormat="false" ht="15" hidden="false" customHeight="false" outlineLevel="0" collapsed="false">
      <c r="A2015" s="31"/>
      <c r="B2015" s="32"/>
      <c r="C2015" s="32"/>
      <c r="D2015" s="32"/>
      <c r="E2015" s="32"/>
      <c r="F2015" s="32"/>
      <c r="G2015" s="33"/>
      <c r="H2015" s="33"/>
      <c r="I2015" s="34" t="str">
        <f aca="false">IF($A2015="","",$G2015-$H2015)</f>
        <v/>
      </c>
      <c r="J2015" s="35" t="str">
        <f aca="false">IF($A2015="","",IF(Setup!$B$6=1,YEAR($A2015),YEAR($A2015)+IF(MONTH($A2015)&gt;=Setup!$B$6,1,0)))</f>
        <v/>
      </c>
      <c r="K2015" s="35" t="str">
        <f aca="false">IF($A2015="","",MOD(MONTH($A2015)-Setup!$B$6+12,12)+1)</f>
        <v/>
      </c>
      <c r="L2015" s="36" t="str">
        <f aca="false">IF($A2015="","",TEXT($A2015,"MMM-YY"))</f>
        <v/>
      </c>
      <c r="M2015" s="37" t="str">
        <f aca="false">IF($A2015="","",IF($Q2015=0,"UNMAPPED",INDEX(COA_Mapping!$C$7:$C$256,$Q2015)))</f>
        <v/>
      </c>
      <c r="N2015" s="38" t="str">
        <f aca="false">IF($A2015="","",IF($Q2015=0,"",INDEX(COA_Mapping!$E$7:$E$256,$Q2015)))</f>
        <v/>
      </c>
      <c r="O2015" s="38" t="n">
        <f aca="false">IF($A2015="",1,IF($Q2015=0,1,INDEX(COA_Mapping!$F$7:$F$256,$Q2015)))</f>
        <v>1</v>
      </c>
      <c r="P2015" s="34" t="str">
        <f aca="false">IF($A2015="","",$I2015*$O2015)</f>
        <v/>
      </c>
      <c r="Q2015" s="39" t="n">
        <f aca="false">IF($B2015="",0,IFERROR(MATCH($B2015,COA_Mapping!$A$7:$A$256,0),0))</f>
        <v>0</v>
      </c>
      <c r="R2015" s="39" t="n">
        <f aca="false">IF($A2015="",-1,IF($J2015=Setup!$B$7,1,IF($J2015=Setup!$B$9,0,-1)))</f>
        <v>-1</v>
      </c>
      <c r="S2015" s="35" t="n">
        <f aca="false">IF(OR($A2015="",$Q2015=0,$R2015=-1),0,$Q2015*1000+$R2015*100+$K2015)</f>
        <v>0</v>
      </c>
      <c r="T2015" s="37" t="str">
        <f aca="false">IF($A2015="","",IF($B2015="","NO ACCOUNT",IF($Q2015=0,"UNMAPPED",IF($R2015=-1,"OUTSIDE FY RANGE","OK"))))</f>
        <v/>
      </c>
      <c r="U2015" s="40" t="str">
        <f aca="false">IF($A2015="","",$B2015&amp;"|"&amp;TEXT($A2015,"yyyymmdd")&amp;"|"&amp;TEXT($I2015,"0.00"))</f>
        <v/>
      </c>
      <c r="V2015" s="35" t="str">
        <f aca="false">IF($A2015="","",COUNTIF($U$8:$U$5007,$U2015))</f>
        <v/>
      </c>
    </row>
    <row r="2016" customFormat="false" ht="15" hidden="false" customHeight="false" outlineLevel="0" collapsed="false">
      <c r="A2016" s="31"/>
      <c r="B2016" s="32"/>
      <c r="C2016" s="32"/>
      <c r="D2016" s="32"/>
      <c r="E2016" s="32"/>
      <c r="F2016" s="32"/>
      <c r="G2016" s="33"/>
      <c r="H2016" s="33"/>
      <c r="I2016" s="34" t="str">
        <f aca="false">IF($A2016="","",$G2016-$H2016)</f>
        <v/>
      </c>
      <c r="J2016" s="35" t="str">
        <f aca="false">IF($A2016="","",IF(Setup!$B$6=1,YEAR($A2016),YEAR($A2016)+IF(MONTH($A2016)&gt;=Setup!$B$6,1,0)))</f>
        <v/>
      </c>
      <c r="K2016" s="35" t="str">
        <f aca="false">IF($A2016="","",MOD(MONTH($A2016)-Setup!$B$6+12,12)+1)</f>
        <v/>
      </c>
      <c r="L2016" s="36" t="str">
        <f aca="false">IF($A2016="","",TEXT($A2016,"MMM-YY"))</f>
        <v/>
      </c>
      <c r="M2016" s="37" t="str">
        <f aca="false">IF($A2016="","",IF($Q2016=0,"UNMAPPED",INDEX(COA_Mapping!$C$7:$C$256,$Q2016)))</f>
        <v/>
      </c>
      <c r="N2016" s="38" t="str">
        <f aca="false">IF($A2016="","",IF($Q2016=0,"",INDEX(COA_Mapping!$E$7:$E$256,$Q2016)))</f>
        <v/>
      </c>
      <c r="O2016" s="38" t="n">
        <f aca="false">IF($A2016="",1,IF($Q2016=0,1,INDEX(COA_Mapping!$F$7:$F$256,$Q2016)))</f>
        <v>1</v>
      </c>
      <c r="P2016" s="34" t="str">
        <f aca="false">IF($A2016="","",$I2016*$O2016)</f>
        <v/>
      </c>
      <c r="Q2016" s="39" t="n">
        <f aca="false">IF($B2016="",0,IFERROR(MATCH($B2016,COA_Mapping!$A$7:$A$256,0),0))</f>
        <v>0</v>
      </c>
      <c r="R2016" s="39" t="n">
        <f aca="false">IF($A2016="",-1,IF($J2016=Setup!$B$7,1,IF($J2016=Setup!$B$9,0,-1)))</f>
        <v>-1</v>
      </c>
      <c r="S2016" s="35" t="n">
        <f aca="false">IF(OR($A2016="",$Q2016=0,$R2016=-1),0,$Q2016*1000+$R2016*100+$K2016)</f>
        <v>0</v>
      </c>
      <c r="T2016" s="37" t="str">
        <f aca="false">IF($A2016="","",IF($B2016="","NO ACCOUNT",IF($Q2016=0,"UNMAPPED",IF($R2016=-1,"OUTSIDE FY RANGE","OK"))))</f>
        <v/>
      </c>
      <c r="U2016" s="40" t="str">
        <f aca="false">IF($A2016="","",$B2016&amp;"|"&amp;TEXT($A2016,"yyyymmdd")&amp;"|"&amp;TEXT($I2016,"0.00"))</f>
        <v/>
      </c>
      <c r="V2016" s="35" t="str">
        <f aca="false">IF($A2016="","",COUNTIF($U$8:$U$5007,$U2016))</f>
        <v/>
      </c>
    </row>
    <row r="2017" customFormat="false" ht="15" hidden="false" customHeight="false" outlineLevel="0" collapsed="false">
      <c r="A2017" s="31"/>
      <c r="B2017" s="32"/>
      <c r="C2017" s="32"/>
      <c r="D2017" s="32"/>
      <c r="E2017" s="32"/>
      <c r="F2017" s="32"/>
      <c r="G2017" s="33"/>
      <c r="H2017" s="33"/>
      <c r="I2017" s="34" t="str">
        <f aca="false">IF($A2017="","",$G2017-$H2017)</f>
        <v/>
      </c>
      <c r="J2017" s="35" t="str">
        <f aca="false">IF($A2017="","",IF(Setup!$B$6=1,YEAR($A2017),YEAR($A2017)+IF(MONTH($A2017)&gt;=Setup!$B$6,1,0)))</f>
        <v/>
      </c>
      <c r="K2017" s="35" t="str">
        <f aca="false">IF($A2017="","",MOD(MONTH($A2017)-Setup!$B$6+12,12)+1)</f>
        <v/>
      </c>
      <c r="L2017" s="36" t="str">
        <f aca="false">IF($A2017="","",TEXT($A2017,"MMM-YY"))</f>
        <v/>
      </c>
      <c r="M2017" s="37" t="str">
        <f aca="false">IF($A2017="","",IF($Q2017=0,"UNMAPPED",INDEX(COA_Mapping!$C$7:$C$256,$Q2017)))</f>
        <v/>
      </c>
      <c r="N2017" s="38" t="str">
        <f aca="false">IF($A2017="","",IF($Q2017=0,"",INDEX(COA_Mapping!$E$7:$E$256,$Q2017)))</f>
        <v/>
      </c>
      <c r="O2017" s="38" t="n">
        <f aca="false">IF($A2017="",1,IF($Q2017=0,1,INDEX(COA_Mapping!$F$7:$F$256,$Q2017)))</f>
        <v>1</v>
      </c>
      <c r="P2017" s="34" t="str">
        <f aca="false">IF($A2017="","",$I2017*$O2017)</f>
        <v/>
      </c>
      <c r="Q2017" s="39" t="n">
        <f aca="false">IF($B2017="",0,IFERROR(MATCH($B2017,COA_Mapping!$A$7:$A$256,0),0))</f>
        <v>0</v>
      </c>
      <c r="R2017" s="39" t="n">
        <f aca="false">IF($A2017="",-1,IF($J2017=Setup!$B$7,1,IF($J2017=Setup!$B$9,0,-1)))</f>
        <v>-1</v>
      </c>
      <c r="S2017" s="35" t="n">
        <f aca="false">IF(OR($A2017="",$Q2017=0,$R2017=-1),0,$Q2017*1000+$R2017*100+$K2017)</f>
        <v>0</v>
      </c>
      <c r="T2017" s="37" t="str">
        <f aca="false">IF($A2017="","",IF($B2017="","NO ACCOUNT",IF($Q2017=0,"UNMAPPED",IF($R2017=-1,"OUTSIDE FY RANGE","OK"))))</f>
        <v/>
      </c>
      <c r="U2017" s="40" t="str">
        <f aca="false">IF($A2017="","",$B2017&amp;"|"&amp;TEXT($A2017,"yyyymmdd")&amp;"|"&amp;TEXT($I2017,"0.00"))</f>
        <v/>
      </c>
      <c r="V2017" s="35" t="str">
        <f aca="false">IF($A2017="","",COUNTIF($U$8:$U$5007,$U2017))</f>
        <v/>
      </c>
    </row>
    <row r="2018" customFormat="false" ht="15" hidden="false" customHeight="false" outlineLevel="0" collapsed="false">
      <c r="A2018" s="31"/>
      <c r="B2018" s="32"/>
      <c r="C2018" s="32"/>
      <c r="D2018" s="32"/>
      <c r="E2018" s="32"/>
      <c r="F2018" s="32"/>
      <c r="G2018" s="33"/>
      <c r="H2018" s="33"/>
      <c r="I2018" s="34" t="str">
        <f aca="false">IF($A2018="","",$G2018-$H2018)</f>
        <v/>
      </c>
      <c r="J2018" s="35" t="str">
        <f aca="false">IF($A2018="","",IF(Setup!$B$6=1,YEAR($A2018),YEAR($A2018)+IF(MONTH($A2018)&gt;=Setup!$B$6,1,0)))</f>
        <v/>
      </c>
      <c r="K2018" s="35" t="str">
        <f aca="false">IF($A2018="","",MOD(MONTH($A2018)-Setup!$B$6+12,12)+1)</f>
        <v/>
      </c>
      <c r="L2018" s="36" t="str">
        <f aca="false">IF($A2018="","",TEXT($A2018,"MMM-YY"))</f>
        <v/>
      </c>
      <c r="M2018" s="37" t="str">
        <f aca="false">IF($A2018="","",IF($Q2018=0,"UNMAPPED",INDEX(COA_Mapping!$C$7:$C$256,$Q2018)))</f>
        <v/>
      </c>
      <c r="N2018" s="38" t="str">
        <f aca="false">IF($A2018="","",IF($Q2018=0,"",INDEX(COA_Mapping!$E$7:$E$256,$Q2018)))</f>
        <v/>
      </c>
      <c r="O2018" s="38" t="n">
        <f aca="false">IF($A2018="",1,IF($Q2018=0,1,INDEX(COA_Mapping!$F$7:$F$256,$Q2018)))</f>
        <v>1</v>
      </c>
      <c r="P2018" s="34" t="str">
        <f aca="false">IF($A2018="","",$I2018*$O2018)</f>
        <v/>
      </c>
      <c r="Q2018" s="39" t="n">
        <f aca="false">IF($B2018="",0,IFERROR(MATCH($B2018,COA_Mapping!$A$7:$A$256,0),0))</f>
        <v>0</v>
      </c>
      <c r="R2018" s="39" t="n">
        <f aca="false">IF($A2018="",-1,IF($J2018=Setup!$B$7,1,IF($J2018=Setup!$B$9,0,-1)))</f>
        <v>-1</v>
      </c>
      <c r="S2018" s="35" t="n">
        <f aca="false">IF(OR($A2018="",$Q2018=0,$R2018=-1),0,$Q2018*1000+$R2018*100+$K2018)</f>
        <v>0</v>
      </c>
      <c r="T2018" s="37" t="str">
        <f aca="false">IF($A2018="","",IF($B2018="","NO ACCOUNT",IF($Q2018=0,"UNMAPPED",IF($R2018=-1,"OUTSIDE FY RANGE","OK"))))</f>
        <v/>
      </c>
      <c r="U2018" s="40" t="str">
        <f aca="false">IF($A2018="","",$B2018&amp;"|"&amp;TEXT($A2018,"yyyymmdd")&amp;"|"&amp;TEXT($I2018,"0.00"))</f>
        <v/>
      </c>
      <c r="V2018" s="35" t="str">
        <f aca="false">IF($A2018="","",COUNTIF($U$8:$U$5007,$U2018))</f>
        <v/>
      </c>
    </row>
    <row r="2019" customFormat="false" ht="15" hidden="false" customHeight="false" outlineLevel="0" collapsed="false">
      <c r="A2019" s="31"/>
      <c r="B2019" s="32"/>
      <c r="C2019" s="32"/>
      <c r="D2019" s="32"/>
      <c r="E2019" s="32"/>
      <c r="F2019" s="32"/>
      <c r="G2019" s="33"/>
      <c r="H2019" s="33"/>
      <c r="I2019" s="34" t="str">
        <f aca="false">IF($A2019="","",$G2019-$H2019)</f>
        <v/>
      </c>
      <c r="J2019" s="35" t="str">
        <f aca="false">IF($A2019="","",IF(Setup!$B$6=1,YEAR($A2019),YEAR($A2019)+IF(MONTH($A2019)&gt;=Setup!$B$6,1,0)))</f>
        <v/>
      </c>
      <c r="K2019" s="35" t="str">
        <f aca="false">IF($A2019="","",MOD(MONTH($A2019)-Setup!$B$6+12,12)+1)</f>
        <v/>
      </c>
      <c r="L2019" s="36" t="str">
        <f aca="false">IF($A2019="","",TEXT($A2019,"MMM-YY"))</f>
        <v/>
      </c>
      <c r="M2019" s="37" t="str">
        <f aca="false">IF($A2019="","",IF($Q2019=0,"UNMAPPED",INDEX(COA_Mapping!$C$7:$C$256,$Q2019)))</f>
        <v/>
      </c>
      <c r="N2019" s="38" t="str">
        <f aca="false">IF($A2019="","",IF($Q2019=0,"",INDEX(COA_Mapping!$E$7:$E$256,$Q2019)))</f>
        <v/>
      </c>
      <c r="O2019" s="38" t="n">
        <f aca="false">IF($A2019="",1,IF($Q2019=0,1,INDEX(COA_Mapping!$F$7:$F$256,$Q2019)))</f>
        <v>1</v>
      </c>
      <c r="P2019" s="34" t="str">
        <f aca="false">IF($A2019="","",$I2019*$O2019)</f>
        <v/>
      </c>
      <c r="Q2019" s="39" t="n">
        <f aca="false">IF($B2019="",0,IFERROR(MATCH($B2019,COA_Mapping!$A$7:$A$256,0),0))</f>
        <v>0</v>
      </c>
      <c r="R2019" s="39" t="n">
        <f aca="false">IF($A2019="",-1,IF($J2019=Setup!$B$7,1,IF($J2019=Setup!$B$9,0,-1)))</f>
        <v>-1</v>
      </c>
      <c r="S2019" s="35" t="n">
        <f aca="false">IF(OR($A2019="",$Q2019=0,$R2019=-1),0,$Q2019*1000+$R2019*100+$K2019)</f>
        <v>0</v>
      </c>
      <c r="T2019" s="37" t="str">
        <f aca="false">IF($A2019="","",IF($B2019="","NO ACCOUNT",IF($Q2019=0,"UNMAPPED",IF($R2019=-1,"OUTSIDE FY RANGE","OK"))))</f>
        <v/>
      </c>
      <c r="U2019" s="40" t="str">
        <f aca="false">IF($A2019="","",$B2019&amp;"|"&amp;TEXT($A2019,"yyyymmdd")&amp;"|"&amp;TEXT($I2019,"0.00"))</f>
        <v/>
      </c>
      <c r="V2019" s="35" t="str">
        <f aca="false">IF($A2019="","",COUNTIF($U$8:$U$5007,$U2019))</f>
        <v/>
      </c>
    </row>
    <row r="2020" customFormat="false" ht="15" hidden="false" customHeight="false" outlineLevel="0" collapsed="false">
      <c r="A2020" s="31"/>
      <c r="B2020" s="32"/>
      <c r="C2020" s="32"/>
      <c r="D2020" s="32"/>
      <c r="E2020" s="32"/>
      <c r="F2020" s="32"/>
      <c r="G2020" s="33"/>
      <c r="H2020" s="33"/>
      <c r="I2020" s="34" t="str">
        <f aca="false">IF($A2020="","",$G2020-$H2020)</f>
        <v/>
      </c>
      <c r="J2020" s="35" t="str">
        <f aca="false">IF($A2020="","",IF(Setup!$B$6=1,YEAR($A2020),YEAR($A2020)+IF(MONTH($A2020)&gt;=Setup!$B$6,1,0)))</f>
        <v/>
      </c>
      <c r="K2020" s="35" t="str">
        <f aca="false">IF($A2020="","",MOD(MONTH($A2020)-Setup!$B$6+12,12)+1)</f>
        <v/>
      </c>
      <c r="L2020" s="36" t="str">
        <f aca="false">IF($A2020="","",TEXT($A2020,"MMM-YY"))</f>
        <v/>
      </c>
      <c r="M2020" s="37" t="str">
        <f aca="false">IF($A2020="","",IF($Q2020=0,"UNMAPPED",INDEX(COA_Mapping!$C$7:$C$256,$Q2020)))</f>
        <v/>
      </c>
      <c r="N2020" s="38" t="str">
        <f aca="false">IF($A2020="","",IF($Q2020=0,"",INDEX(COA_Mapping!$E$7:$E$256,$Q2020)))</f>
        <v/>
      </c>
      <c r="O2020" s="38" t="n">
        <f aca="false">IF($A2020="",1,IF($Q2020=0,1,INDEX(COA_Mapping!$F$7:$F$256,$Q2020)))</f>
        <v>1</v>
      </c>
      <c r="P2020" s="34" t="str">
        <f aca="false">IF($A2020="","",$I2020*$O2020)</f>
        <v/>
      </c>
      <c r="Q2020" s="39" t="n">
        <f aca="false">IF($B2020="",0,IFERROR(MATCH($B2020,COA_Mapping!$A$7:$A$256,0),0))</f>
        <v>0</v>
      </c>
      <c r="R2020" s="39" t="n">
        <f aca="false">IF($A2020="",-1,IF($J2020=Setup!$B$7,1,IF($J2020=Setup!$B$9,0,-1)))</f>
        <v>-1</v>
      </c>
      <c r="S2020" s="35" t="n">
        <f aca="false">IF(OR($A2020="",$Q2020=0,$R2020=-1),0,$Q2020*1000+$R2020*100+$K2020)</f>
        <v>0</v>
      </c>
      <c r="T2020" s="37" t="str">
        <f aca="false">IF($A2020="","",IF($B2020="","NO ACCOUNT",IF($Q2020=0,"UNMAPPED",IF($R2020=-1,"OUTSIDE FY RANGE","OK"))))</f>
        <v/>
      </c>
      <c r="U2020" s="40" t="str">
        <f aca="false">IF($A2020="","",$B2020&amp;"|"&amp;TEXT($A2020,"yyyymmdd")&amp;"|"&amp;TEXT($I2020,"0.00"))</f>
        <v/>
      </c>
      <c r="V2020" s="35" t="str">
        <f aca="false">IF($A2020="","",COUNTIF($U$8:$U$5007,$U2020))</f>
        <v/>
      </c>
    </row>
    <row r="2021" customFormat="false" ht="15" hidden="false" customHeight="false" outlineLevel="0" collapsed="false">
      <c r="A2021" s="31"/>
      <c r="B2021" s="32"/>
      <c r="C2021" s="32"/>
      <c r="D2021" s="32"/>
      <c r="E2021" s="32"/>
      <c r="F2021" s="32"/>
      <c r="G2021" s="33"/>
      <c r="H2021" s="33"/>
      <c r="I2021" s="34" t="str">
        <f aca="false">IF($A2021="","",$G2021-$H2021)</f>
        <v/>
      </c>
      <c r="J2021" s="35" t="str">
        <f aca="false">IF($A2021="","",IF(Setup!$B$6=1,YEAR($A2021),YEAR($A2021)+IF(MONTH($A2021)&gt;=Setup!$B$6,1,0)))</f>
        <v/>
      </c>
      <c r="K2021" s="35" t="str">
        <f aca="false">IF($A2021="","",MOD(MONTH($A2021)-Setup!$B$6+12,12)+1)</f>
        <v/>
      </c>
      <c r="L2021" s="36" t="str">
        <f aca="false">IF($A2021="","",TEXT($A2021,"MMM-YY"))</f>
        <v/>
      </c>
      <c r="M2021" s="37" t="str">
        <f aca="false">IF($A2021="","",IF($Q2021=0,"UNMAPPED",INDEX(COA_Mapping!$C$7:$C$256,$Q2021)))</f>
        <v/>
      </c>
      <c r="N2021" s="38" t="str">
        <f aca="false">IF($A2021="","",IF($Q2021=0,"",INDEX(COA_Mapping!$E$7:$E$256,$Q2021)))</f>
        <v/>
      </c>
      <c r="O2021" s="38" t="n">
        <f aca="false">IF($A2021="",1,IF($Q2021=0,1,INDEX(COA_Mapping!$F$7:$F$256,$Q2021)))</f>
        <v>1</v>
      </c>
      <c r="P2021" s="34" t="str">
        <f aca="false">IF($A2021="","",$I2021*$O2021)</f>
        <v/>
      </c>
      <c r="Q2021" s="39" t="n">
        <f aca="false">IF($B2021="",0,IFERROR(MATCH($B2021,COA_Mapping!$A$7:$A$256,0),0))</f>
        <v>0</v>
      </c>
      <c r="R2021" s="39" t="n">
        <f aca="false">IF($A2021="",-1,IF($J2021=Setup!$B$7,1,IF($J2021=Setup!$B$9,0,-1)))</f>
        <v>-1</v>
      </c>
      <c r="S2021" s="35" t="n">
        <f aca="false">IF(OR($A2021="",$Q2021=0,$R2021=-1),0,$Q2021*1000+$R2021*100+$K2021)</f>
        <v>0</v>
      </c>
      <c r="T2021" s="37" t="str">
        <f aca="false">IF($A2021="","",IF($B2021="","NO ACCOUNT",IF($Q2021=0,"UNMAPPED",IF($R2021=-1,"OUTSIDE FY RANGE","OK"))))</f>
        <v/>
      </c>
      <c r="U2021" s="40" t="str">
        <f aca="false">IF($A2021="","",$B2021&amp;"|"&amp;TEXT($A2021,"yyyymmdd")&amp;"|"&amp;TEXT($I2021,"0.00"))</f>
        <v/>
      </c>
      <c r="V2021" s="35" t="str">
        <f aca="false">IF($A2021="","",COUNTIF($U$8:$U$5007,$U2021))</f>
        <v/>
      </c>
    </row>
    <row r="2022" customFormat="false" ht="15" hidden="false" customHeight="false" outlineLevel="0" collapsed="false">
      <c r="A2022" s="31"/>
      <c r="B2022" s="32"/>
      <c r="C2022" s="32"/>
      <c r="D2022" s="32"/>
      <c r="E2022" s="32"/>
      <c r="F2022" s="32"/>
      <c r="G2022" s="33"/>
      <c r="H2022" s="33"/>
      <c r="I2022" s="34" t="str">
        <f aca="false">IF($A2022="","",$G2022-$H2022)</f>
        <v/>
      </c>
      <c r="J2022" s="35" t="str">
        <f aca="false">IF($A2022="","",IF(Setup!$B$6=1,YEAR($A2022),YEAR($A2022)+IF(MONTH($A2022)&gt;=Setup!$B$6,1,0)))</f>
        <v/>
      </c>
      <c r="K2022" s="35" t="str">
        <f aca="false">IF($A2022="","",MOD(MONTH($A2022)-Setup!$B$6+12,12)+1)</f>
        <v/>
      </c>
      <c r="L2022" s="36" t="str">
        <f aca="false">IF($A2022="","",TEXT($A2022,"MMM-YY"))</f>
        <v/>
      </c>
      <c r="M2022" s="37" t="str">
        <f aca="false">IF($A2022="","",IF($Q2022=0,"UNMAPPED",INDEX(COA_Mapping!$C$7:$C$256,$Q2022)))</f>
        <v/>
      </c>
      <c r="N2022" s="38" t="str">
        <f aca="false">IF($A2022="","",IF($Q2022=0,"",INDEX(COA_Mapping!$E$7:$E$256,$Q2022)))</f>
        <v/>
      </c>
      <c r="O2022" s="38" t="n">
        <f aca="false">IF($A2022="",1,IF($Q2022=0,1,INDEX(COA_Mapping!$F$7:$F$256,$Q2022)))</f>
        <v>1</v>
      </c>
      <c r="P2022" s="34" t="str">
        <f aca="false">IF($A2022="","",$I2022*$O2022)</f>
        <v/>
      </c>
      <c r="Q2022" s="39" t="n">
        <f aca="false">IF($B2022="",0,IFERROR(MATCH($B2022,COA_Mapping!$A$7:$A$256,0),0))</f>
        <v>0</v>
      </c>
      <c r="R2022" s="39" t="n">
        <f aca="false">IF($A2022="",-1,IF($J2022=Setup!$B$7,1,IF($J2022=Setup!$B$9,0,-1)))</f>
        <v>-1</v>
      </c>
      <c r="S2022" s="35" t="n">
        <f aca="false">IF(OR($A2022="",$Q2022=0,$R2022=-1),0,$Q2022*1000+$R2022*100+$K2022)</f>
        <v>0</v>
      </c>
      <c r="T2022" s="37" t="str">
        <f aca="false">IF($A2022="","",IF($B2022="","NO ACCOUNT",IF($Q2022=0,"UNMAPPED",IF($R2022=-1,"OUTSIDE FY RANGE","OK"))))</f>
        <v/>
      </c>
      <c r="U2022" s="40" t="str">
        <f aca="false">IF($A2022="","",$B2022&amp;"|"&amp;TEXT($A2022,"yyyymmdd")&amp;"|"&amp;TEXT($I2022,"0.00"))</f>
        <v/>
      </c>
      <c r="V2022" s="35" t="str">
        <f aca="false">IF($A2022="","",COUNTIF($U$8:$U$5007,$U2022))</f>
        <v/>
      </c>
    </row>
    <row r="2023" customFormat="false" ht="15" hidden="false" customHeight="false" outlineLevel="0" collapsed="false">
      <c r="A2023" s="31"/>
      <c r="B2023" s="32"/>
      <c r="C2023" s="32"/>
      <c r="D2023" s="32"/>
      <c r="E2023" s="32"/>
      <c r="F2023" s="32"/>
      <c r="G2023" s="33"/>
      <c r="H2023" s="33"/>
      <c r="I2023" s="34" t="str">
        <f aca="false">IF($A2023="","",$G2023-$H2023)</f>
        <v/>
      </c>
      <c r="J2023" s="35" t="str">
        <f aca="false">IF($A2023="","",IF(Setup!$B$6=1,YEAR($A2023),YEAR($A2023)+IF(MONTH($A2023)&gt;=Setup!$B$6,1,0)))</f>
        <v/>
      </c>
      <c r="K2023" s="35" t="str">
        <f aca="false">IF($A2023="","",MOD(MONTH($A2023)-Setup!$B$6+12,12)+1)</f>
        <v/>
      </c>
      <c r="L2023" s="36" t="str">
        <f aca="false">IF($A2023="","",TEXT($A2023,"MMM-YY"))</f>
        <v/>
      </c>
      <c r="M2023" s="37" t="str">
        <f aca="false">IF($A2023="","",IF($Q2023=0,"UNMAPPED",INDEX(COA_Mapping!$C$7:$C$256,$Q2023)))</f>
        <v/>
      </c>
      <c r="N2023" s="38" t="str">
        <f aca="false">IF($A2023="","",IF($Q2023=0,"",INDEX(COA_Mapping!$E$7:$E$256,$Q2023)))</f>
        <v/>
      </c>
      <c r="O2023" s="38" t="n">
        <f aca="false">IF($A2023="",1,IF($Q2023=0,1,INDEX(COA_Mapping!$F$7:$F$256,$Q2023)))</f>
        <v>1</v>
      </c>
      <c r="P2023" s="34" t="str">
        <f aca="false">IF($A2023="","",$I2023*$O2023)</f>
        <v/>
      </c>
      <c r="Q2023" s="39" t="n">
        <f aca="false">IF($B2023="",0,IFERROR(MATCH($B2023,COA_Mapping!$A$7:$A$256,0),0))</f>
        <v>0</v>
      </c>
      <c r="R2023" s="39" t="n">
        <f aca="false">IF($A2023="",-1,IF($J2023=Setup!$B$7,1,IF($J2023=Setup!$B$9,0,-1)))</f>
        <v>-1</v>
      </c>
      <c r="S2023" s="35" t="n">
        <f aca="false">IF(OR($A2023="",$Q2023=0,$R2023=-1),0,$Q2023*1000+$R2023*100+$K2023)</f>
        <v>0</v>
      </c>
      <c r="T2023" s="37" t="str">
        <f aca="false">IF($A2023="","",IF($B2023="","NO ACCOUNT",IF($Q2023=0,"UNMAPPED",IF($R2023=-1,"OUTSIDE FY RANGE","OK"))))</f>
        <v/>
      </c>
      <c r="U2023" s="40" t="str">
        <f aca="false">IF($A2023="","",$B2023&amp;"|"&amp;TEXT($A2023,"yyyymmdd")&amp;"|"&amp;TEXT($I2023,"0.00"))</f>
        <v/>
      </c>
      <c r="V2023" s="35" t="str">
        <f aca="false">IF($A2023="","",COUNTIF($U$8:$U$5007,$U2023))</f>
        <v/>
      </c>
    </row>
    <row r="2024" customFormat="false" ht="15" hidden="false" customHeight="false" outlineLevel="0" collapsed="false">
      <c r="A2024" s="31"/>
      <c r="B2024" s="32"/>
      <c r="C2024" s="32"/>
      <c r="D2024" s="32"/>
      <c r="E2024" s="32"/>
      <c r="F2024" s="32"/>
      <c r="G2024" s="33"/>
      <c r="H2024" s="33"/>
      <c r="I2024" s="34" t="str">
        <f aca="false">IF($A2024="","",$G2024-$H2024)</f>
        <v/>
      </c>
      <c r="J2024" s="35" t="str">
        <f aca="false">IF($A2024="","",IF(Setup!$B$6=1,YEAR($A2024),YEAR($A2024)+IF(MONTH($A2024)&gt;=Setup!$B$6,1,0)))</f>
        <v/>
      </c>
      <c r="K2024" s="35" t="str">
        <f aca="false">IF($A2024="","",MOD(MONTH($A2024)-Setup!$B$6+12,12)+1)</f>
        <v/>
      </c>
      <c r="L2024" s="36" t="str">
        <f aca="false">IF($A2024="","",TEXT($A2024,"MMM-YY"))</f>
        <v/>
      </c>
      <c r="M2024" s="37" t="str">
        <f aca="false">IF($A2024="","",IF($Q2024=0,"UNMAPPED",INDEX(COA_Mapping!$C$7:$C$256,$Q2024)))</f>
        <v/>
      </c>
      <c r="N2024" s="38" t="str">
        <f aca="false">IF($A2024="","",IF($Q2024=0,"",INDEX(COA_Mapping!$E$7:$E$256,$Q2024)))</f>
        <v/>
      </c>
      <c r="O2024" s="38" t="n">
        <f aca="false">IF($A2024="",1,IF($Q2024=0,1,INDEX(COA_Mapping!$F$7:$F$256,$Q2024)))</f>
        <v>1</v>
      </c>
      <c r="P2024" s="34" t="str">
        <f aca="false">IF($A2024="","",$I2024*$O2024)</f>
        <v/>
      </c>
      <c r="Q2024" s="39" t="n">
        <f aca="false">IF($B2024="",0,IFERROR(MATCH($B2024,COA_Mapping!$A$7:$A$256,0),0))</f>
        <v>0</v>
      </c>
      <c r="R2024" s="39" t="n">
        <f aca="false">IF($A2024="",-1,IF($J2024=Setup!$B$7,1,IF($J2024=Setup!$B$9,0,-1)))</f>
        <v>-1</v>
      </c>
      <c r="S2024" s="35" t="n">
        <f aca="false">IF(OR($A2024="",$Q2024=0,$R2024=-1),0,$Q2024*1000+$R2024*100+$K2024)</f>
        <v>0</v>
      </c>
      <c r="T2024" s="37" t="str">
        <f aca="false">IF($A2024="","",IF($B2024="","NO ACCOUNT",IF($Q2024=0,"UNMAPPED",IF($R2024=-1,"OUTSIDE FY RANGE","OK"))))</f>
        <v/>
      </c>
      <c r="U2024" s="40" t="str">
        <f aca="false">IF($A2024="","",$B2024&amp;"|"&amp;TEXT($A2024,"yyyymmdd")&amp;"|"&amp;TEXT($I2024,"0.00"))</f>
        <v/>
      </c>
      <c r="V2024" s="35" t="str">
        <f aca="false">IF($A2024="","",COUNTIF($U$8:$U$5007,$U2024))</f>
        <v/>
      </c>
    </row>
    <row r="2025" customFormat="false" ht="15" hidden="false" customHeight="false" outlineLevel="0" collapsed="false">
      <c r="A2025" s="31"/>
      <c r="B2025" s="32"/>
      <c r="C2025" s="32"/>
      <c r="D2025" s="32"/>
      <c r="E2025" s="32"/>
      <c r="F2025" s="32"/>
      <c r="G2025" s="33"/>
      <c r="H2025" s="33"/>
      <c r="I2025" s="34" t="str">
        <f aca="false">IF($A2025="","",$G2025-$H2025)</f>
        <v/>
      </c>
      <c r="J2025" s="35" t="str">
        <f aca="false">IF($A2025="","",IF(Setup!$B$6=1,YEAR($A2025),YEAR($A2025)+IF(MONTH($A2025)&gt;=Setup!$B$6,1,0)))</f>
        <v/>
      </c>
      <c r="K2025" s="35" t="str">
        <f aca="false">IF($A2025="","",MOD(MONTH($A2025)-Setup!$B$6+12,12)+1)</f>
        <v/>
      </c>
      <c r="L2025" s="36" t="str">
        <f aca="false">IF($A2025="","",TEXT($A2025,"MMM-YY"))</f>
        <v/>
      </c>
      <c r="M2025" s="37" t="str">
        <f aca="false">IF($A2025="","",IF($Q2025=0,"UNMAPPED",INDEX(COA_Mapping!$C$7:$C$256,$Q2025)))</f>
        <v/>
      </c>
      <c r="N2025" s="38" t="str">
        <f aca="false">IF($A2025="","",IF($Q2025=0,"",INDEX(COA_Mapping!$E$7:$E$256,$Q2025)))</f>
        <v/>
      </c>
      <c r="O2025" s="38" t="n">
        <f aca="false">IF($A2025="",1,IF($Q2025=0,1,INDEX(COA_Mapping!$F$7:$F$256,$Q2025)))</f>
        <v>1</v>
      </c>
      <c r="P2025" s="34" t="str">
        <f aca="false">IF($A2025="","",$I2025*$O2025)</f>
        <v/>
      </c>
      <c r="Q2025" s="39" t="n">
        <f aca="false">IF($B2025="",0,IFERROR(MATCH($B2025,COA_Mapping!$A$7:$A$256,0),0))</f>
        <v>0</v>
      </c>
      <c r="R2025" s="39" t="n">
        <f aca="false">IF($A2025="",-1,IF($J2025=Setup!$B$7,1,IF($J2025=Setup!$B$9,0,-1)))</f>
        <v>-1</v>
      </c>
      <c r="S2025" s="35" t="n">
        <f aca="false">IF(OR($A2025="",$Q2025=0,$R2025=-1),0,$Q2025*1000+$R2025*100+$K2025)</f>
        <v>0</v>
      </c>
      <c r="T2025" s="37" t="str">
        <f aca="false">IF($A2025="","",IF($B2025="","NO ACCOUNT",IF($Q2025=0,"UNMAPPED",IF($R2025=-1,"OUTSIDE FY RANGE","OK"))))</f>
        <v/>
      </c>
      <c r="U2025" s="40" t="str">
        <f aca="false">IF($A2025="","",$B2025&amp;"|"&amp;TEXT($A2025,"yyyymmdd")&amp;"|"&amp;TEXT($I2025,"0.00"))</f>
        <v/>
      </c>
      <c r="V2025" s="35" t="str">
        <f aca="false">IF($A2025="","",COUNTIF($U$8:$U$5007,$U2025))</f>
        <v/>
      </c>
    </row>
    <row r="2026" customFormat="false" ht="15" hidden="false" customHeight="false" outlineLevel="0" collapsed="false">
      <c r="A2026" s="31"/>
      <c r="B2026" s="32"/>
      <c r="C2026" s="32"/>
      <c r="D2026" s="32"/>
      <c r="E2026" s="32"/>
      <c r="F2026" s="32"/>
      <c r="G2026" s="33"/>
      <c r="H2026" s="33"/>
      <c r="I2026" s="34" t="str">
        <f aca="false">IF($A2026="","",$G2026-$H2026)</f>
        <v/>
      </c>
      <c r="J2026" s="35" t="str">
        <f aca="false">IF($A2026="","",IF(Setup!$B$6=1,YEAR($A2026),YEAR($A2026)+IF(MONTH($A2026)&gt;=Setup!$B$6,1,0)))</f>
        <v/>
      </c>
      <c r="K2026" s="35" t="str">
        <f aca="false">IF($A2026="","",MOD(MONTH($A2026)-Setup!$B$6+12,12)+1)</f>
        <v/>
      </c>
      <c r="L2026" s="36" t="str">
        <f aca="false">IF($A2026="","",TEXT($A2026,"MMM-YY"))</f>
        <v/>
      </c>
      <c r="M2026" s="37" t="str">
        <f aca="false">IF($A2026="","",IF($Q2026=0,"UNMAPPED",INDEX(COA_Mapping!$C$7:$C$256,$Q2026)))</f>
        <v/>
      </c>
      <c r="N2026" s="38" t="str">
        <f aca="false">IF($A2026="","",IF($Q2026=0,"",INDEX(COA_Mapping!$E$7:$E$256,$Q2026)))</f>
        <v/>
      </c>
      <c r="O2026" s="38" t="n">
        <f aca="false">IF($A2026="",1,IF($Q2026=0,1,INDEX(COA_Mapping!$F$7:$F$256,$Q2026)))</f>
        <v>1</v>
      </c>
      <c r="P2026" s="34" t="str">
        <f aca="false">IF($A2026="","",$I2026*$O2026)</f>
        <v/>
      </c>
      <c r="Q2026" s="39" t="n">
        <f aca="false">IF($B2026="",0,IFERROR(MATCH($B2026,COA_Mapping!$A$7:$A$256,0),0))</f>
        <v>0</v>
      </c>
      <c r="R2026" s="39" t="n">
        <f aca="false">IF($A2026="",-1,IF($J2026=Setup!$B$7,1,IF($J2026=Setup!$B$9,0,-1)))</f>
        <v>-1</v>
      </c>
      <c r="S2026" s="35" t="n">
        <f aca="false">IF(OR($A2026="",$Q2026=0,$R2026=-1),0,$Q2026*1000+$R2026*100+$K2026)</f>
        <v>0</v>
      </c>
      <c r="T2026" s="37" t="str">
        <f aca="false">IF($A2026="","",IF($B2026="","NO ACCOUNT",IF($Q2026=0,"UNMAPPED",IF($R2026=-1,"OUTSIDE FY RANGE","OK"))))</f>
        <v/>
      </c>
      <c r="U2026" s="40" t="str">
        <f aca="false">IF($A2026="","",$B2026&amp;"|"&amp;TEXT($A2026,"yyyymmdd")&amp;"|"&amp;TEXT($I2026,"0.00"))</f>
        <v/>
      </c>
      <c r="V2026" s="35" t="str">
        <f aca="false">IF($A2026="","",COUNTIF($U$8:$U$5007,$U2026))</f>
        <v/>
      </c>
    </row>
    <row r="2027" customFormat="false" ht="15" hidden="false" customHeight="false" outlineLevel="0" collapsed="false">
      <c r="A2027" s="31"/>
      <c r="B2027" s="32"/>
      <c r="C2027" s="32"/>
      <c r="D2027" s="32"/>
      <c r="E2027" s="32"/>
      <c r="F2027" s="32"/>
      <c r="G2027" s="33"/>
      <c r="H2027" s="33"/>
      <c r="I2027" s="34" t="str">
        <f aca="false">IF($A2027="","",$G2027-$H2027)</f>
        <v/>
      </c>
      <c r="J2027" s="35" t="str">
        <f aca="false">IF($A2027="","",IF(Setup!$B$6=1,YEAR($A2027),YEAR($A2027)+IF(MONTH($A2027)&gt;=Setup!$B$6,1,0)))</f>
        <v/>
      </c>
      <c r="K2027" s="35" t="str">
        <f aca="false">IF($A2027="","",MOD(MONTH($A2027)-Setup!$B$6+12,12)+1)</f>
        <v/>
      </c>
      <c r="L2027" s="36" t="str">
        <f aca="false">IF($A2027="","",TEXT($A2027,"MMM-YY"))</f>
        <v/>
      </c>
      <c r="M2027" s="37" t="str">
        <f aca="false">IF($A2027="","",IF($Q2027=0,"UNMAPPED",INDEX(COA_Mapping!$C$7:$C$256,$Q2027)))</f>
        <v/>
      </c>
      <c r="N2027" s="38" t="str">
        <f aca="false">IF($A2027="","",IF($Q2027=0,"",INDEX(COA_Mapping!$E$7:$E$256,$Q2027)))</f>
        <v/>
      </c>
      <c r="O2027" s="38" t="n">
        <f aca="false">IF($A2027="",1,IF($Q2027=0,1,INDEX(COA_Mapping!$F$7:$F$256,$Q2027)))</f>
        <v>1</v>
      </c>
      <c r="P2027" s="34" t="str">
        <f aca="false">IF($A2027="","",$I2027*$O2027)</f>
        <v/>
      </c>
      <c r="Q2027" s="39" t="n">
        <f aca="false">IF($B2027="",0,IFERROR(MATCH($B2027,COA_Mapping!$A$7:$A$256,0),0))</f>
        <v>0</v>
      </c>
      <c r="R2027" s="39" t="n">
        <f aca="false">IF($A2027="",-1,IF($J2027=Setup!$B$7,1,IF($J2027=Setup!$B$9,0,-1)))</f>
        <v>-1</v>
      </c>
      <c r="S2027" s="35" t="n">
        <f aca="false">IF(OR($A2027="",$Q2027=0,$R2027=-1),0,$Q2027*1000+$R2027*100+$K2027)</f>
        <v>0</v>
      </c>
      <c r="T2027" s="37" t="str">
        <f aca="false">IF($A2027="","",IF($B2027="","NO ACCOUNT",IF($Q2027=0,"UNMAPPED",IF($R2027=-1,"OUTSIDE FY RANGE","OK"))))</f>
        <v/>
      </c>
      <c r="U2027" s="40" t="str">
        <f aca="false">IF($A2027="","",$B2027&amp;"|"&amp;TEXT($A2027,"yyyymmdd")&amp;"|"&amp;TEXT($I2027,"0.00"))</f>
        <v/>
      </c>
      <c r="V2027" s="35" t="str">
        <f aca="false">IF($A2027="","",COUNTIF($U$8:$U$5007,$U2027))</f>
        <v/>
      </c>
    </row>
    <row r="2028" customFormat="false" ht="15" hidden="false" customHeight="false" outlineLevel="0" collapsed="false">
      <c r="A2028" s="31"/>
      <c r="B2028" s="32"/>
      <c r="C2028" s="32"/>
      <c r="D2028" s="32"/>
      <c r="E2028" s="32"/>
      <c r="F2028" s="32"/>
      <c r="G2028" s="33"/>
      <c r="H2028" s="33"/>
      <c r="I2028" s="34" t="str">
        <f aca="false">IF($A2028="","",$G2028-$H2028)</f>
        <v/>
      </c>
      <c r="J2028" s="35" t="str">
        <f aca="false">IF($A2028="","",IF(Setup!$B$6=1,YEAR($A2028),YEAR($A2028)+IF(MONTH($A2028)&gt;=Setup!$B$6,1,0)))</f>
        <v/>
      </c>
      <c r="K2028" s="35" t="str">
        <f aca="false">IF($A2028="","",MOD(MONTH($A2028)-Setup!$B$6+12,12)+1)</f>
        <v/>
      </c>
      <c r="L2028" s="36" t="str">
        <f aca="false">IF($A2028="","",TEXT($A2028,"MMM-YY"))</f>
        <v/>
      </c>
      <c r="M2028" s="37" t="str">
        <f aca="false">IF($A2028="","",IF($Q2028=0,"UNMAPPED",INDEX(COA_Mapping!$C$7:$C$256,$Q2028)))</f>
        <v/>
      </c>
      <c r="N2028" s="38" t="str">
        <f aca="false">IF($A2028="","",IF($Q2028=0,"",INDEX(COA_Mapping!$E$7:$E$256,$Q2028)))</f>
        <v/>
      </c>
      <c r="O2028" s="38" t="n">
        <f aca="false">IF($A2028="",1,IF($Q2028=0,1,INDEX(COA_Mapping!$F$7:$F$256,$Q2028)))</f>
        <v>1</v>
      </c>
      <c r="P2028" s="34" t="str">
        <f aca="false">IF($A2028="","",$I2028*$O2028)</f>
        <v/>
      </c>
      <c r="Q2028" s="39" t="n">
        <f aca="false">IF($B2028="",0,IFERROR(MATCH($B2028,COA_Mapping!$A$7:$A$256,0),0))</f>
        <v>0</v>
      </c>
      <c r="R2028" s="39" t="n">
        <f aca="false">IF($A2028="",-1,IF($J2028=Setup!$B$7,1,IF($J2028=Setup!$B$9,0,-1)))</f>
        <v>-1</v>
      </c>
      <c r="S2028" s="35" t="n">
        <f aca="false">IF(OR($A2028="",$Q2028=0,$R2028=-1),0,$Q2028*1000+$R2028*100+$K2028)</f>
        <v>0</v>
      </c>
      <c r="T2028" s="37" t="str">
        <f aca="false">IF($A2028="","",IF($B2028="","NO ACCOUNT",IF($Q2028=0,"UNMAPPED",IF($R2028=-1,"OUTSIDE FY RANGE","OK"))))</f>
        <v/>
      </c>
      <c r="U2028" s="40" t="str">
        <f aca="false">IF($A2028="","",$B2028&amp;"|"&amp;TEXT($A2028,"yyyymmdd")&amp;"|"&amp;TEXT($I2028,"0.00"))</f>
        <v/>
      </c>
      <c r="V2028" s="35" t="str">
        <f aca="false">IF($A2028="","",COUNTIF($U$8:$U$5007,$U2028))</f>
        <v/>
      </c>
    </row>
    <row r="2029" customFormat="false" ht="15" hidden="false" customHeight="false" outlineLevel="0" collapsed="false">
      <c r="A2029" s="31"/>
      <c r="B2029" s="32"/>
      <c r="C2029" s="32"/>
      <c r="D2029" s="32"/>
      <c r="E2029" s="32"/>
      <c r="F2029" s="32"/>
      <c r="G2029" s="33"/>
      <c r="H2029" s="33"/>
      <c r="I2029" s="34" t="str">
        <f aca="false">IF($A2029="","",$G2029-$H2029)</f>
        <v/>
      </c>
      <c r="J2029" s="35" t="str">
        <f aca="false">IF($A2029="","",IF(Setup!$B$6=1,YEAR($A2029),YEAR($A2029)+IF(MONTH($A2029)&gt;=Setup!$B$6,1,0)))</f>
        <v/>
      </c>
      <c r="K2029" s="35" t="str">
        <f aca="false">IF($A2029="","",MOD(MONTH($A2029)-Setup!$B$6+12,12)+1)</f>
        <v/>
      </c>
      <c r="L2029" s="36" t="str">
        <f aca="false">IF($A2029="","",TEXT($A2029,"MMM-YY"))</f>
        <v/>
      </c>
      <c r="M2029" s="37" t="str">
        <f aca="false">IF($A2029="","",IF($Q2029=0,"UNMAPPED",INDEX(COA_Mapping!$C$7:$C$256,$Q2029)))</f>
        <v/>
      </c>
      <c r="N2029" s="38" t="str">
        <f aca="false">IF($A2029="","",IF($Q2029=0,"",INDEX(COA_Mapping!$E$7:$E$256,$Q2029)))</f>
        <v/>
      </c>
      <c r="O2029" s="38" t="n">
        <f aca="false">IF($A2029="",1,IF($Q2029=0,1,INDEX(COA_Mapping!$F$7:$F$256,$Q2029)))</f>
        <v>1</v>
      </c>
      <c r="P2029" s="34" t="str">
        <f aca="false">IF($A2029="","",$I2029*$O2029)</f>
        <v/>
      </c>
      <c r="Q2029" s="39" t="n">
        <f aca="false">IF($B2029="",0,IFERROR(MATCH($B2029,COA_Mapping!$A$7:$A$256,0),0))</f>
        <v>0</v>
      </c>
      <c r="R2029" s="39" t="n">
        <f aca="false">IF($A2029="",-1,IF($J2029=Setup!$B$7,1,IF($J2029=Setup!$B$9,0,-1)))</f>
        <v>-1</v>
      </c>
      <c r="S2029" s="35" t="n">
        <f aca="false">IF(OR($A2029="",$Q2029=0,$R2029=-1),0,$Q2029*1000+$R2029*100+$K2029)</f>
        <v>0</v>
      </c>
      <c r="T2029" s="37" t="str">
        <f aca="false">IF($A2029="","",IF($B2029="","NO ACCOUNT",IF($Q2029=0,"UNMAPPED",IF($R2029=-1,"OUTSIDE FY RANGE","OK"))))</f>
        <v/>
      </c>
      <c r="U2029" s="40" t="str">
        <f aca="false">IF($A2029="","",$B2029&amp;"|"&amp;TEXT($A2029,"yyyymmdd")&amp;"|"&amp;TEXT($I2029,"0.00"))</f>
        <v/>
      </c>
      <c r="V2029" s="35" t="str">
        <f aca="false">IF($A2029="","",COUNTIF($U$8:$U$5007,$U2029))</f>
        <v/>
      </c>
    </row>
    <row r="2030" customFormat="false" ht="15" hidden="false" customHeight="false" outlineLevel="0" collapsed="false">
      <c r="A2030" s="31"/>
      <c r="B2030" s="32"/>
      <c r="C2030" s="32"/>
      <c r="D2030" s="32"/>
      <c r="E2030" s="32"/>
      <c r="F2030" s="32"/>
      <c r="G2030" s="33"/>
      <c r="H2030" s="33"/>
      <c r="I2030" s="34" t="str">
        <f aca="false">IF($A2030="","",$G2030-$H2030)</f>
        <v/>
      </c>
      <c r="J2030" s="35" t="str">
        <f aca="false">IF($A2030="","",IF(Setup!$B$6=1,YEAR($A2030),YEAR($A2030)+IF(MONTH($A2030)&gt;=Setup!$B$6,1,0)))</f>
        <v/>
      </c>
      <c r="K2030" s="35" t="str">
        <f aca="false">IF($A2030="","",MOD(MONTH($A2030)-Setup!$B$6+12,12)+1)</f>
        <v/>
      </c>
      <c r="L2030" s="36" t="str">
        <f aca="false">IF($A2030="","",TEXT($A2030,"MMM-YY"))</f>
        <v/>
      </c>
      <c r="M2030" s="37" t="str">
        <f aca="false">IF($A2030="","",IF($Q2030=0,"UNMAPPED",INDEX(COA_Mapping!$C$7:$C$256,$Q2030)))</f>
        <v/>
      </c>
      <c r="N2030" s="38" t="str">
        <f aca="false">IF($A2030="","",IF($Q2030=0,"",INDEX(COA_Mapping!$E$7:$E$256,$Q2030)))</f>
        <v/>
      </c>
      <c r="O2030" s="38" t="n">
        <f aca="false">IF($A2030="",1,IF($Q2030=0,1,INDEX(COA_Mapping!$F$7:$F$256,$Q2030)))</f>
        <v>1</v>
      </c>
      <c r="P2030" s="34" t="str">
        <f aca="false">IF($A2030="","",$I2030*$O2030)</f>
        <v/>
      </c>
      <c r="Q2030" s="39" t="n">
        <f aca="false">IF($B2030="",0,IFERROR(MATCH($B2030,COA_Mapping!$A$7:$A$256,0),0))</f>
        <v>0</v>
      </c>
      <c r="R2030" s="39" t="n">
        <f aca="false">IF($A2030="",-1,IF($J2030=Setup!$B$7,1,IF($J2030=Setup!$B$9,0,-1)))</f>
        <v>-1</v>
      </c>
      <c r="S2030" s="35" t="n">
        <f aca="false">IF(OR($A2030="",$Q2030=0,$R2030=-1),0,$Q2030*1000+$R2030*100+$K2030)</f>
        <v>0</v>
      </c>
      <c r="T2030" s="37" t="str">
        <f aca="false">IF($A2030="","",IF($B2030="","NO ACCOUNT",IF($Q2030=0,"UNMAPPED",IF($R2030=-1,"OUTSIDE FY RANGE","OK"))))</f>
        <v/>
      </c>
      <c r="U2030" s="40" t="str">
        <f aca="false">IF($A2030="","",$B2030&amp;"|"&amp;TEXT($A2030,"yyyymmdd")&amp;"|"&amp;TEXT($I2030,"0.00"))</f>
        <v/>
      </c>
      <c r="V2030" s="35" t="str">
        <f aca="false">IF($A2030="","",COUNTIF($U$8:$U$5007,$U2030))</f>
        <v/>
      </c>
    </row>
    <row r="2031" customFormat="false" ht="15" hidden="false" customHeight="false" outlineLevel="0" collapsed="false">
      <c r="A2031" s="31"/>
      <c r="B2031" s="32"/>
      <c r="C2031" s="32"/>
      <c r="D2031" s="32"/>
      <c r="E2031" s="32"/>
      <c r="F2031" s="32"/>
      <c r="G2031" s="33"/>
      <c r="H2031" s="33"/>
      <c r="I2031" s="34" t="str">
        <f aca="false">IF($A2031="","",$G2031-$H2031)</f>
        <v/>
      </c>
      <c r="J2031" s="35" t="str">
        <f aca="false">IF($A2031="","",IF(Setup!$B$6=1,YEAR($A2031),YEAR($A2031)+IF(MONTH($A2031)&gt;=Setup!$B$6,1,0)))</f>
        <v/>
      </c>
      <c r="K2031" s="35" t="str">
        <f aca="false">IF($A2031="","",MOD(MONTH($A2031)-Setup!$B$6+12,12)+1)</f>
        <v/>
      </c>
      <c r="L2031" s="36" t="str">
        <f aca="false">IF($A2031="","",TEXT($A2031,"MMM-YY"))</f>
        <v/>
      </c>
      <c r="M2031" s="37" t="str">
        <f aca="false">IF($A2031="","",IF($Q2031=0,"UNMAPPED",INDEX(COA_Mapping!$C$7:$C$256,$Q2031)))</f>
        <v/>
      </c>
      <c r="N2031" s="38" t="str">
        <f aca="false">IF($A2031="","",IF($Q2031=0,"",INDEX(COA_Mapping!$E$7:$E$256,$Q2031)))</f>
        <v/>
      </c>
      <c r="O2031" s="38" t="n">
        <f aca="false">IF($A2031="",1,IF($Q2031=0,1,INDEX(COA_Mapping!$F$7:$F$256,$Q2031)))</f>
        <v>1</v>
      </c>
      <c r="P2031" s="34" t="str">
        <f aca="false">IF($A2031="","",$I2031*$O2031)</f>
        <v/>
      </c>
      <c r="Q2031" s="39" t="n">
        <f aca="false">IF($B2031="",0,IFERROR(MATCH($B2031,COA_Mapping!$A$7:$A$256,0),0))</f>
        <v>0</v>
      </c>
      <c r="R2031" s="39" t="n">
        <f aca="false">IF($A2031="",-1,IF($J2031=Setup!$B$7,1,IF($J2031=Setup!$B$9,0,-1)))</f>
        <v>-1</v>
      </c>
      <c r="S2031" s="35" t="n">
        <f aca="false">IF(OR($A2031="",$Q2031=0,$R2031=-1),0,$Q2031*1000+$R2031*100+$K2031)</f>
        <v>0</v>
      </c>
      <c r="T2031" s="37" t="str">
        <f aca="false">IF($A2031="","",IF($B2031="","NO ACCOUNT",IF($Q2031=0,"UNMAPPED",IF($R2031=-1,"OUTSIDE FY RANGE","OK"))))</f>
        <v/>
      </c>
      <c r="U2031" s="40" t="str">
        <f aca="false">IF($A2031="","",$B2031&amp;"|"&amp;TEXT($A2031,"yyyymmdd")&amp;"|"&amp;TEXT($I2031,"0.00"))</f>
        <v/>
      </c>
      <c r="V2031" s="35" t="str">
        <f aca="false">IF($A2031="","",COUNTIF($U$8:$U$5007,$U2031))</f>
        <v/>
      </c>
    </row>
    <row r="2032" customFormat="false" ht="15" hidden="false" customHeight="false" outlineLevel="0" collapsed="false">
      <c r="A2032" s="31"/>
      <c r="B2032" s="32"/>
      <c r="C2032" s="32"/>
      <c r="D2032" s="32"/>
      <c r="E2032" s="32"/>
      <c r="F2032" s="32"/>
      <c r="G2032" s="33"/>
      <c r="H2032" s="33"/>
      <c r="I2032" s="34" t="str">
        <f aca="false">IF($A2032="","",$G2032-$H2032)</f>
        <v/>
      </c>
      <c r="J2032" s="35" t="str">
        <f aca="false">IF($A2032="","",IF(Setup!$B$6=1,YEAR($A2032),YEAR($A2032)+IF(MONTH($A2032)&gt;=Setup!$B$6,1,0)))</f>
        <v/>
      </c>
      <c r="K2032" s="35" t="str">
        <f aca="false">IF($A2032="","",MOD(MONTH($A2032)-Setup!$B$6+12,12)+1)</f>
        <v/>
      </c>
      <c r="L2032" s="36" t="str">
        <f aca="false">IF($A2032="","",TEXT($A2032,"MMM-YY"))</f>
        <v/>
      </c>
      <c r="M2032" s="37" t="str">
        <f aca="false">IF($A2032="","",IF($Q2032=0,"UNMAPPED",INDEX(COA_Mapping!$C$7:$C$256,$Q2032)))</f>
        <v/>
      </c>
      <c r="N2032" s="38" t="str">
        <f aca="false">IF($A2032="","",IF($Q2032=0,"",INDEX(COA_Mapping!$E$7:$E$256,$Q2032)))</f>
        <v/>
      </c>
      <c r="O2032" s="38" t="n">
        <f aca="false">IF($A2032="",1,IF($Q2032=0,1,INDEX(COA_Mapping!$F$7:$F$256,$Q2032)))</f>
        <v>1</v>
      </c>
      <c r="P2032" s="34" t="str">
        <f aca="false">IF($A2032="","",$I2032*$O2032)</f>
        <v/>
      </c>
      <c r="Q2032" s="39" t="n">
        <f aca="false">IF($B2032="",0,IFERROR(MATCH($B2032,COA_Mapping!$A$7:$A$256,0),0))</f>
        <v>0</v>
      </c>
      <c r="R2032" s="39" t="n">
        <f aca="false">IF($A2032="",-1,IF($J2032=Setup!$B$7,1,IF($J2032=Setup!$B$9,0,-1)))</f>
        <v>-1</v>
      </c>
      <c r="S2032" s="35" t="n">
        <f aca="false">IF(OR($A2032="",$Q2032=0,$R2032=-1),0,$Q2032*1000+$R2032*100+$K2032)</f>
        <v>0</v>
      </c>
      <c r="T2032" s="37" t="str">
        <f aca="false">IF($A2032="","",IF($B2032="","NO ACCOUNT",IF($Q2032=0,"UNMAPPED",IF($R2032=-1,"OUTSIDE FY RANGE","OK"))))</f>
        <v/>
      </c>
      <c r="U2032" s="40" t="str">
        <f aca="false">IF($A2032="","",$B2032&amp;"|"&amp;TEXT($A2032,"yyyymmdd")&amp;"|"&amp;TEXT($I2032,"0.00"))</f>
        <v/>
      </c>
      <c r="V2032" s="35" t="str">
        <f aca="false">IF($A2032="","",COUNTIF($U$8:$U$5007,$U2032))</f>
        <v/>
      </c>
    </row>
    <row r="2033" customFormat="false" ht="15" hidden="false" customHeight="false" outlineLevel="0" collapsed="false">
      <c r="A2033" s="31"/>
      <c r="B2033" s="32"/>
      <c r="C2033" s="32"/>
      <c r="D2033" s="32"/>
      <c r="E2033" s="32"/>
      <c r="F2033" s="32"/>
      <c r="G2033" s="33"/>
      <c r="H2033" s="33"/>
      <c r="I2033" s="34" t="str">
        <f aca="false">IF($A2033="","",$G2033-$H2033)</f>
        <v/>
      </c>
      <c r="J2033" s="35" t="str">
        <f aca="false">IF($A2033="","",IF(Setup!$B$6=1,YEAR($A2033),YEAR($A2033)+IF(MONTH($A2033)&gt;=Setup!$B$6,1,0)))</f>
        <v/>
      </c>
      <c r="K2033" s="35" t="str">
        <f aca="false">IF($A2033="","",MOD(MONTH($A2033)-Setup!$B$6+12,12)+1)</f>
        <v/>
      </c>
      <c r="L2033" s="36" t="str">
        <f aca="false">IF($A2033="","",TEXT($A2033,"MMM-YY"))</f>
        <v/>
      </c>
      <c r="M2033" s="37" t="str">
        <f aca="false">IF($A2033="","",IF($Q2033=0,"UNMAPPED",INDEX(COA_Mapping!$C$7:$C$256,$Q2033)))</f>
        <v/>
      </c>
      <c r="N2033" s="38" t="str">
        <f aca="false">IF($A2033="","",IF($Q2033=0,"",INDEX(COA_Mapping!$E$7:$E$256,$Q2033)))</f>
        <v/>
      </c>
      <c r="O2033" s="38" t="n">
        <f aca="false">IF($A2033="",1,IF($Q2033=0,1,INDEX(COA_Mapping!$F$7:$F$256,$Q2033)))</f>
        <v>1</v>
      </c>
      <c r="P2033" s="34" t="str">
        <f aca="false">IF($A2033="","",$I2033*$O2033)</f>
        <v/>
      </c>
      <c r="Q2033" s="39" t="n">
        <f aca="false">IF($B2033="",0,IFERROR(MATCH($B2033,COA_Mapping!$A$7:$A$256,0),0))</f>
        <v>0</v>
      </c>
      <c r="R2033" s="39" t="n">
        <f aca="false">IF($A2033="",-1,IF($J2033=Setup!$B$7,1,IF($J2033=Setup!$B$9,0,-1)))</f>
        <v>-1</v>
      </c>
      <c r="S2033" s="35" t="n">
        <f aca="false">IF(OR($A2033="",$Q2033=0,$R2033=-1),0,$Q2033*1000+$R2033*100+$K2033)</f>
        <v>0</v>
      </c>
      <c r="T2033" s="37" t="str">
        <f aca="false">IF($A2033="","",IF($B2033="","NO ACCOUNT",IF($Q2033=0,"UNMAPPED",IF($R2033=-1,"OUTSIDE FY RANGE","OK"))))</f>
        <v/>
      </c>
      <c r="U2033" s="40" t="str">
        <f aca="false">IF($A2033="","",$B2033&amp;"|"&amp;TEXT($A2033,"yyyymmdd")&amp;"|"&amp;TEXT($I2033,"0.00"))</f>
        <v/>
      </c>
      <c r="V2033" s="35" t="str">
        <f aca="false">IF($A2033="","",COUNTIF($U$8:$U$5007,$U2033))</f>
        <v/>
      </c>
    </row>
    <row r="2034" customFormat="false" ht="15" hidden="false" customHeight="false" outlineLevel="0" collapsed="false">
      <c r="A2034" s="31"/>
      <c r="B2034" s="32"/>
      <c r="C2034" s="32"/>
      <c r="D2034" s="32"/>
      <c r="E2034" s="32"/>
      <c r="F2034" s="32"/>
      <c r="G2034" s="33"/>
      <c r="H2034" s="33"/>
      <c r="I2034" s="34" t="str">
        <f aca="false">IF($A2034="","",$G2034-$H2034)</f>
        <v/>
      </c>
      <c r="J2034" s="35" t="str">
        <f aca="false">IF($A2034="","",IF(Setup!$B$6=1,YEAR($A2034),YEAR($A2034)+IF(MONTH($A2034)&gt;=Setup!$B$6,1,0)))</f>
        <v/>
      </c>
      <c r="K2034" s="35" t="str">
        <f aca="false">IF($A2034="","",MOD(MONTH($A2034)-Setup!$B$6+12,12)+1)</f>
        <v/>
      </c>
      <c r="L2034" s="36" t="str">
        <f aca="false">IF($A2034="","",TEXT($A2034,"MMM-YY"))</f>
        <v/>
      </c>
      <c r="M2034" s="37" t="str">
        <f aca="false">IF($A2034="","",IF($Q2034=0,"UNMAPPED",INDEX(COA_Mapping!$C$7:$C$256,$Q2034)))</f>
        <v/>
      </c>
      <c r="N2034" s="38" t="str">
        <f aca="false">IF($A2034="","",IF($Q2034=0,"",INDEX(COA_Mapping!$E$7:$E$256,$Q2034)))</f>
        <v/>
      </c>
      <c r="O2034" s="38" t="n">
        <f aca="false">IF($A2034="",1,IF($Q2034=0,1,INDEX(COA_Mapping!$F$7:$F$256,$Q2034)))</f>
        <v>1</v>
      </c>
      <c r="P2034" s="34" t="str">
        <f aca="false">IF($A2034="","",$I2034*$O2034)</f>
        <v/>
      </c>
      <c r="Q2034" s="39" t="n">
        <f aca="false">IF($B2034="",0,IFERROR(MATCH($B2034,COA_Mapping!$A$7:$A$256,0),0))</f>
        <v>0</v>
      </c>
      <c r="R2034" s="39" t="n">
        <f aca="false">IF($A2034="",-1,IF($J2034=Setup!$B$7,1,IF($J2034=Setup!$B$9,0,-1)))</f>
        <v>-1</v>
      </c>
      <c r="S2034" s="35" t="n">
        <f aca="false">IF(OR($A2034="",$Q2034=0,$R2034=-1),0,$Q2034*1000+$R2034*100+$K2034)</f>
        <v>0</v>
      </c>
      <c r="T2034" s="37" t="str">
        <f aca="false">IF($A2034="","",IF($B2034="","NO ACCOUNT",IF($Q2034=0,"UNMAPPED",IF($R2034=-1,"OUTSIDE FY RANGE","OK"))))</f>
        <v/>
      </c>
      <c r="U2034" s="40" t="str">
        <f aca="false">IF($A2034="","",$B2034&amp;"|"&amp;TEXT($A2034,"yyyymmdd")&amp;"|"&amp;TEXT($I2034,"0.00"))</f>
        <v/>
      </c>
      <c r="V2034" s="35" t="str">
        <f aca="false">IF($A2034="","",COUNTIF($U$8:$U$5007,$U2034))</f>
        <v/>
      </c>
    </row>
    <row r="2035" customFormat="false" ht="15" hidden="false" customHeight="false" outlineLevel="0" collapsed="false">
      <c r="A2035" s="31"/>
      <c r="B2035" s="32"/>
      <c r="C2035" s="32"/>
      <c r="D2035" s="32"/>
      <c r="E2035" s="32"/>
      <c r="F2035" s="32"/>
      <c r="G2035" s="33"/>
      <c r="H2035" s="33"/>
      <c r="I2035" s="34" t="str">
        <f aca="false">IF($A2035="","",$G2035-$H2035)</f>
        <v/>
      </c>
      <c r="J2035" s="35" t="str">
        <f aca="false">IF($A2035="","",IF(Setup!$B$6=1,YEAR($A2035),YEAR($A2035)+IF(MONTH($A2035)&gt;=Setup!$B$6,1,0)))</f>
        <v/>
      </c>
      <c r="K2035" s="35" t="str">
        <f aca="false">IF($A2035="","",MOD(MONTH($A2035)-Setup!$B$6+12,12)+1)</f>
        <v/>
      </c>
      <c r="L2035" s="36" t="str">
        <f aca="false">IF($A2035="","",TEXT($A2035,"MMM-YY"))</f>
        <v/>
      </c>
      <c r="M2035" s="37" t="str">
        <f aca="false">IF($A2035="","",IF($Q2035=0,"UNMAPPED",INDEX(COA_Mapping!$C$7:$C$256,$Q2035)))</f>
        <v/>
      </c>
      <c r="N2035" s="38" t="str">
        <f aca="false">IF($A2035="","",IF($Q2035=0,"",INDEX(COA_Mapping!$E$7:$E$256,$Q2035)))</f>
        <v/>
      </c>
      <c r="O2035" s="38" t="n">
        <f aca="false">IF($A2035="",1,IF($Q2035=0,1,INDEX(COA_Mapping!$F$7:$F$256,$Q2035)))</f>
        <v>1</v>
      </c>
      <c r="P2035" s="34" t="str">
        <f aca="false">IF($A2035="","",$I2035*$O2035)</f>
        <v/>
      </c>
      <c r="Q2035" s="39" t="n">
        <f aca="false">IF($B2035="",0,IFERROR(MATCH($B2035,COA_Mapping!$A$7:$A$256,0),0))</f>
        <v>0</v>
      </c>
      <c r="R2035" s="39" t="n">
        <f aca="false">IF($A2035="",-1,IF($J2035=Setup!$B$7,1,IF($J2035=Setup!$B$9,0,-1)))</f>
        <v>-1</v>
      </c>
      <c r="S2035" s="35" t="n">
        <f aca="false">IF(OR($A2035="",$Q2035=0,$R2035=-1),0,$Q2035*1000+$R2035*100+$K2035)</f>
        <v>0</v>
      </c>
      <c r="T2035" s="37" t="str">
        <f aca="false">IF($A2035="","",IF($B2035="","NO ACCOUNT",IF($Q2035=0,"UNMAPPED",IF($R2035=-1,"OUTSIDE FY RANGE","OK"))))</f>
        <v/>
      </c>
      <c r="U2035" s="40" t="str">
        <f aca="false">IF($A2035="","",$B2035&amp;"|"&amp;TEXT($A2035,"yyyymmdd")&amp;"|"&amp;TEXT($I2035,"0.00"))</f>
        <v/>
      </c>
      <c r="V2035" s="35" t="str">
        <f aca="false">IF($A2035="","",COUNTIF($U$8:$U$5007,$U2035))</f>
        <v/>
      </c>
    </row>
    <row r="2036" customFormat="false" ht="15" hidden="false" customHeight="false" outlineLevel="0" collapsed="false">
      <c r="A2036" s="31"/>
      <c r="B2036" s="32"/>
      <c r="C2036" s="32"/>
      <c r="D2036" s="32"/>
      <c r="E2036" s="32"/>
      <c r="F2036" s="32"/>
      <c r="G2036" s="33"/>
      <c r="H2036" s="33"/>
      <c r="I2036" s="34" t="str">
        <f aca="false">IF($A2036="","",$G2036-$H2036)</f>
        <v/>
      </c>
      <c r="J2036" s="35" t="str">
        <f aca="false">IF($A2036="","",IF(Setup!$B$6=1,YEAR($A2036),YEAR($A2036)+IF(MONTH($A2036)&gt;=Setup!$B$6,1,0)))</f>
        <v/>
      </c>
      <c r="K2036" s="35" t="str">
        <f aca="false">IF($A2036="","",MOD(MONTH($A2036)-Setup!$B$6+12,12)+1)</f>
        <v/>
      </c>
      <c r="L2036" s="36" t="str">
        <f aca="false">IF($A2036="","",TEXT($A2036,"MMM-YY"))</f>
        <v/>
      </c>
      <c r="M2036" s="37" t="str">
        <f aca="false">IF($A2036="","",IF($Q2036=0,"UNMAPPED",INDEX(COA_Mapping!$C$7:$C$256,$Q2036)))</f>
        <v/>
      </c>
      <c r="N2036" s="38" t="str">
        <f aca="false">IF($A2036="","",IF($Q2036=0,"",INDEX(COA_Mapping!$E$7:$E$256,$Q2036)))</f>
        <v/>
      </c>
      <c r="O2036" s="38" t="n">
        <f aca="false">IF($A2036="",1,IF($Q2036=0,1,INDEX(COA_Mapping!$F$7:$F$256,$Q2036)))</f>
        <v>1</v>
      </c>
      <c r="P2036" s="34" t="str">
        <f aca="false">IF($A2036="","",$I2036*$O2036)</f>
        <v/>
      </c>
      <c r="Q2036" s="39" t="n">
        <f aca="false">IF($B2036="",0,IFERROR(MATCH($B2036,COA_Mapping!$A$7:$A$256,0),0))</f>
        <v>0</v>
      </c>
      <c r="R2036" s="39" t="n">
        <f aca="false">IF($A2036="",-1,IF($J2036=Setup!$B$7,1,IF($J2036=Setup!$B$9,0,-1)))</f>
        <v>-1</v>
      </c>
      <c r="S2036" s="35" t="n">
        <f aca="false">IF(OR($A2036="",$Q2036=0,$R2036=-1),0,$Q2036*1000+$R2036*100+$K2036)</f>
        <v>0</v>
      </c>
      <c r="T2036" s="37" t="str">
        <f aca="false">IF($A2036="","",IF($B2036="","NO ACCOUNT",IF($Q2036=0,"UNMAPPED",IF($R2036=-1,"OUTSIDE FY RANGE","OK"))))</f>
        <v/>
      </c>
      <c r="U2036" s="40" t="str">
        <f aca="false">IF($A2036="","",$B2036&amp;"|"&amp;TEXT($A2036,"yyyymmdd")&amp;"|"&amp;TEXT($I2036,"0.00"))</f>
        <v/>
      </c>
      <c r="V2036" s="35" t="str">
        <f aca="false">IF($A2036="","",COUNTIF($U$8:$U$5007,$U2036))</f>
        <v/>
      </c>
    </row>
    <row r="2037" customFormat="false" ht="15" hidden="false" customHeight="false" outlineLevel="0" collapsed="false">
      <c r="A2037" s="31"/>
      <c r="B2037" s="32"/>
      <c r="C2037" s="32"/>
      <c r="D2037" s="32"/>
      <c r="E2037" s="32"/>
      <c r="F2037" s="32"/>
      <c r="G2037" s="33"/>
      <c r="H2037" s="33"/>
      <c r="I2037" s="34" t="str">
        <f aca="false">IF($A2037="","",$G2037-$H2037)</f>
        <v/>
      </c>
      <c r="J2037" s="35" t="str">
        <f aca="false">IF($A2037="","",IF(Setup!$B$6=1,YEAR($A2037),YEAR($A2037)+IF(MONTH($A2037)&gt;=Setup!$B$6,1,0)))</f>
        <v/>
      </c>
      <c r="K2037" s="35" t="str">
        <f aca="false">IF($A2037="","",MOD(MONTH($A2037)-Setup!$B$6+12,12)+1)</f>
        <v/>
      </c>
      <c r="L2037" s="36" t="str">
        <f aca="false">IF($A2037="","",TEXT($A2037,"MMM-YY"))</f>
        <v/>
      </c>
      <c r="M2037" s="37" t="str">
        <f aca="false">IF($A2037="","",IF($Q2037=0,"UNMAPPED",INDEX(COA_Mapping!$C$7:$C$256,$Q2037)))</f>
        <v/>
      </c>
      <c r="N2037" s="38" t="str">
        <f aca="false">IF($A2037="","",IF($Q2037=0,"",INDEX(COA_Mapping!$E$7:$E$256,$Q2037)))</f>
        <v/>
      </c>
      <c r="O2037" s="38" t="n">
        <f aca="false">IF($A2037="",1,IF($Q2037=0,1,INDEX(COA_Mapping!$F$7:$F$256,$Q2037)))</f>
        <v>1</v>
      </c>
      <c r="P2037" s="34" t="str">
        <f aca="false">IF($A2037="","",$I2037*$O2037)</f>
        <v/>
      </c>
      <c r="Q2037" s="39" t="n">
        <f aca="false">IF($B2037="",0,IFERROR(MATCH($B2037,COA_Mapping!$A$7:$A$256,0),0))</f>
        <v>0</v>
      </c>
      <c r="R2037" s="39" t="n">
        <f aca="false">IF($A2037="",-1,IF($J2037=Setup!$B$7,1,IF($J2037=Setup!$B$9,0,-1)))</f>
        <v>-1</v>
      </c>
      <c r="S2037" s="35" t="n">
        <f aca="false">IF(OR($A2037="",$Q2037=0,$R2037=-1),0,$Q2037*1000+$R2037*100+$K2037)</f>
        <v>0</v>
      </c>
      <c r="T2037" s="37" t="str">
        <f aca="false">IF($A2037="","",IF($B2037="","NO ACCOUNT",IF($Q2037=0,"UNMAPPED",IF($R2037=-1,"OUTSIDE FY RANGE","OK"))))</f>
        <v/>
      </c>
      <c r="U2037" s="40" t="str">
        <f aca="false">IF($A2037="","",$B2037&amp;"|"&amp;TEXT($A2037,"yyyymmdd")&amp;"|"&amp;TEXT($I2037,"0.00"))</f>
        <v/>
      </c>
      <c r="V2037" s="35" t="str">
        <f aca="false">IF($A2037="","",COUNTIF($U$8:$U$5007,$U2037))</f>
        <v/>
      </c>
    </row>
    <row r="2038" customFormat="false" ht="15" hidden="false" customHeight="false" outlineLevel="0" collapsed="false">
      <c r="A2038" s="31"/>
      <c r="B2038" s="32"/>
      <c r="C2038" s="32"/>
      <c r="D2038" s="32"/>
      <c r="E2038" s="32"/>
      <c r="F2038" s="32"/>
      <c r="G2038" s="33"/>
      <c r="H2038" s="33"/>
      <c r="I2038" s="34" t="str">
        <f aca="false">IF($A2038="","",$G2038-$H2038)</f>
        <v/>
      </c>
      <c r="J2038" s="35" t="str">
        <f aca="false">IF($A2038="","",IF(Setup!$B$6=1,YEAR($A2038),YEAR($A2038)+IF(MONTH($A2038)&gt;=Setup!$B$6,1,0)))</f>
        <v/>
      </c>
      <c r="K2038" s="35" t="str">
        <f aca="false">IF($A2038="","",MOD(MONTH($A2038)-Setup!$B$6+12,12)+1)</f>
        <v/>
      </c>
      <c r="L2038" s="36" t="str">
        <f aca="false">IF($A2038="","",TEXT($A2038,"MMM-YY"))</f>
        <v/>
      </c>
      <c r="M2038" s="37" t="str">
        <f aca="false">IF($A2038="","",IF($Q2038=0,"UNMAPPED",INDEX(COA_Mapping!$C$7:$C$256,$Q2038)))</f>
        <v/>
      </c>
      <c r="N2038" s="38" t="str">
        <f aca="false">IF($A2038="","",IF($Q2038=0,"",INDEX(COA_Mapping!$E$7:$E$256,$Q2038)))</f>
        <v/>
      </c>
      <c r="O2038" s="38" t="n">
        <f aca="false">IF($A2038="",1,IF($Q2038=0,1,INDEX(COA_Mapping!$F$7:$F$256,$Q2038)))</f>
        <v>1</v>
      </c>
      <c r="P2038" s="34" t="str">
        <f aca="false">IF($A2038="","",$I2038*$O2038)</f>
        <v/>
      </c>
      <c r="Q2038" s="39" t="n">
        <f aca="false">IF($B2038="",0,IFERROR(MATCH($B2038,COA_Mapping!$A$7:$A$256,0),0))</f>
        <v>0</v>
      </c>
      <c r="R2038" s="39" t="n">
        <f aca="false">IF($A2038="",-1,IF($J2038=Setup!$B$7,1,IF($J2038=Setup!$B$9,0,-1)))</f>
        <v>-1</v>
      </c>
      <c r="S2038" s="35" t="n">
        <f aca="false">IF(OR($A2038="",$Q2038=0,$R2038=-1),0,$Q2038*1000+$R2038*100+$K2038)</f>
        <v>0</v>
      </c>
      <c r="T2038" s="37" t="str">
        <f aca="false">IF($A2038="","",IF($B2038="","NO ACCOUNT",IF($Q2038=0,"UNMAPPED",IF($R2038=-1,"OUTSIDE FY RANGE","OK"))))</f>
        <v/>
      </c>
      <c r="U2038" s="40" t="str">
        <f aca="false">IF($A2038="","",$B2038&amp;"|"&amp;TEXT($A2038,"yyyymmdd")&amp;"|"&amp;TEXT($I2038,"0.00"))</f>
        <v/>
      </c>
      <c r="V2038" s="35" t="str">
        <f aca="false">IF($A2038="","",COUNTIF($U$8:$U$5007,$U2038))</f>
        <v/>
      </c>
    </row>
    <row r="2039" customFormat="false" ht="15" hidden="false" customHeight="false" outlineLevel="0" collapsed="false">
      <c r="A2039" s="31"/>
      <c r="B2039" s="32"/>
      <c r="C2039" s="32"/>
      <c r="D2039" s="32"/>
      <c r="E2039" s="32"/>
      <c r="F2039" s="32"/>
      <c r="G2039" s="33"/>
      <c r="H2039" s="33"/>
      <c r="I2039" s="34" t="str">
        <f aca="false">IF($A2039="","",$G2039-$H2039)</f>
        <v/>
      </c>
      <c r="J2039" s="35" t="str">
        <f aca="false">IF($A2039="","",IF(Setup!$B$6=1,YEAR($A2039),YEAR($A2039)+IF(MONTH($A2039)&gt;=Setup!$B$6,1,0)))</f>
        <v/>
      </c>
      <c r="K2039" s="35" t="str">
        <f aca="false">IF($A2039="","",MOD(MONTH($A2039)-Setup!$B$6+12,12)+1)</f>
        <v/>
      </c>
      <c r="L2039" s="36" t="str">
        <f aca="false">IF($A2039="","",TEXT($A2039,"MMM-YY"))</f>
        <v/>
      </c>
      <c r="M2039" s="37" t="str">
        <f aca="false">IF($A2039="","",IF($Q2039=0,"UNMAPPED",INDEX(COA_Mapping!$C$7:$C$256,$Q2039)))</f>
        <v/>
      </c>
      <c r="N2039" s="38" t="str">
        <f aca="false">IF($A2039="","",IF($Q2039=0,"",INDEX(COA_Mapping!$E$7:$E$256,$Q2039)))</f>
        <v/>
      </c>
      <c r="O2039" s="38" t="n">
        <f aca="false">IF($A2039="",1,IF($Q2039=0,1,INDEX(COA_Mapping!$F$7:$F$256,$Q2039)))</f>
        <v>1</v>
      </c>
      <c r="P2039" s="34" t="str">
        <f aca="false">IF($A2039="","",$I2039*$O2039)</f>
        <v/>
      </c>
      <c r="Q2039" s="39" t="n">
        <f aca="false">IF($B2039="",0,IFERROR(MATCH($B2039,COA_Mapping!$A$7:$A$256,0),0))</f>
        <v>0</v>
      </c>
      <c r="R2039" s="39" t="n">
        <f aca="false">IF($A2039="",-1,IF($J2039=Setup!$B$7,1,IF($J2039=Setup!$B$9,0,-1)))</f>
        <v>-1</v>
      </c>
      <c r="S2039" s="35" t="n">
        <f aca="false">IF(OR($A2039="",$Q2039=0,$R2039=-1),0,$Q2039*1000+$R2039*100+$K2039)</f>
        <v>0</v>
      </c>
      <c r="T2039" s="37" t="str">
        <f aca="false">IF($A2039="","",IF($B2039="","NO ACCOUNT",IF($Q2039=0,"UNMAPPED",IF($R2039=-1,"OUTSIDE FY RANGE","OK"))))</f>
        <v/>
      </c>
      <c r="U2039" s="40" t="str">
        <f aca="false">IF($A2039="","",$B2039&amp;"|"&amp;TEXT($A2039,"yyyymmdd")&amp;"|"&amp;TEXT($I2039,"0.00"))</f>
        <v/>
      </c>
      <c r="V2039" s="35" t="str">
        <f aca="false">IF($A2039="","",COUNTIF($U$8:$U$5007,$U2039))</f>
        <v/>
      </c>
    </row>
    <row r="2040" customFormat="false" ht="15" hidden="false" customHeight="false" outlineLevel="0" collapsed="false">
      <c r="A2040" s="31"/>
      <c r="B2040" s="32"/>
      <c r="C2040" s="32"/>
      <c r="D2040" s="32"/>
      <c r="E2040" s="32"/>
      <c r="F2040" s="32"/>
      <c r="G2040" s="33"/>
      <c r="H2040" s="33"/>
      <c r="I2040" s="34" t="str">
        <f aca="false">IF($A2040="","",$G2040-$H2040)</f>
        <v/>
      </c>
      <c r="J2040" s="35" t="str">
        <f aca="false">IF($A2040="","",IF(Setup!$B$6=1,YEAR($A2040),YEAR($A2040)+IF(MONTH($A2040)&gt;=Setup!$B$6,1,0)))</f>
        <v/>
      </c>
      <c r="K2040" s="35" t="str">
        <f aca="false">IF($A2040="","",MOD(MONTH($A2040)-Setup!$B$6+12,12)+1)</f>
        <v/>
      </c>
      <c r="L2040" s="36" t="str">
        <f aca="false">IF($A2040="","",TEXT($A2040,"MMM-YY"))</f>
        <v/>
      </c>
      <c r="M2040" s="37" t="str">
        <f aca="false">IF($A2040="","",IF($Q2040=0,"UNMAPPED",INDEX(COA_Mapping!$C$7:$C$256,$Q2040)))</f>
        <v/>
      </c>
      <c r="N2040" s="38" t="str">
        <f aca="false">IF($A2040="","",IF($Q2040=0,"",INDEX(COA_Mapping!$E$7:$E$256,$Q2040)))</f>
        <v/>
      </c>
      <c r="O2040" s="38" t="n">
        <f aca="false">IF($A2040="",1,IF($Q2040=0,1,INDEX(COA_Mapping!$F$7:$F$256,$Q2040)))</f>
        <v>1</v>
      </c>
      <c r="P2040" s="34" t="str">
        <f aca="false">IF($A2040="","",$I2040*$O2040)</f>
        <v/>
      </c>
      <c r="Q2040" s="39" t="n">
        <f aca="false">IF($B2040="",0,IFERROR(MATCH($B2040,COA_Mapping!$A$7:$A$256,0),0))</f>
        <v>0</v>
      </c>
      <c r="R2040" s="39" t="n">
        <f aca="false">IF($A2040="",-1,IF($J2040=Setup!$B$7,1,IF($J2040=Setup!$B$9,0,-1)))</f>
        <v>-1</v>
      </c>
      <c r="S2040" s="35" t="n">
        <f aca="false">IF(OR($A2040="",$Q2040=0,$R2040=-1),0,$Q2040*1000+$R2040*100+$K2040)</f>
        <v>0</v>
      </c>
      <c r="T2040" s="37" t="str">
        <f aca="false">IF($A2040="","",IF($B2040="","NO ACCOUNT",IF($Q2040=0,"UNMAPPED",IF($R2040=-1,"OUTSIDE FY RANGE","OK"))))</f>
        <v/>
      </c>
      <c r="U2040" s="40" t="str">
        <f aca="false">IF($A2040="","",$B2040&amp;"|"&amp;TEXT($A2040,"yyyymmdd")&amp;"|"&amp;TEXT($I2040,"0.00"))</f>
        <v/>
      </c>
      <c r="V2040" s="35" t="str">
        <f aca="false">IF($A2040="","",COUNTIF($U$8:$U$5007,$U2040))</f>
        <v/>
      </c>
    </row>
    <row r="2041" customFormat="false" ht="15" hidden="false" customHeight="false" outlineLevel="0" collapsed="false">
      <c r="A2041" s="31"/>
      <c r="B2041" s="32"/>
      <c r="C2041" s="32"/>
      <c r="D2041" s="32"/>
      <c r="E2041" s="32"/>
      <c r="F2041" s="32"/>
      <c r="G2041" s="33"/>
      <c r="H2041" s="33"/>
      <c r="I2041" s="34" t="str">
        <f aca="false">IF($A2041="","",$G2041-$H2041)</f>
        <v/>
      </c>
      <c r="J2041" s="35" t="str">
        <f aca="false">IF($A2041="","",IF(Setup!$B$6=1,YEAR($A2041),YEAR($A2041)+IF(MONTH($A2041)&gt;=Setup!$B$6,1,0)))</f>
        <v/>
      </c>
      <c r="K2041" s="35" t="str">
        <f aca="false">IF($A2041="","",MOD(MONTH($A2041)-Setup!$B$6+12,12)+1)</f>
        <v/>
      </c>
      <c r="L2041" s="36" t="str">
        <f aca="false">IF($A2041="","",TEXT($A2041,"MMM-YY"))</f>
        <v/>
      </c>
      <c r="M2041" s="37" t="str">
        <f aca="false">IF($A2041="","",IF($Q2041=0,"UNMAPPED",INDEX(COA_Mapping!$C$7:$C$256,$Q2041)))</f>
        <v/>
      </c>
      <c r="N2041" s="38" t="str">
        <f aca="false">IF($A2041="","",IF($Q2041=0,"",INDEX(COA_Mapping!$E$7:$E$256,$Q2041)))</f>
        <v/>
      </c>
      <c r="O2041" s="38" t="n">
        <f aca="false">IF($A2041="",1,IF($Q2041=0,1,INDEX(COA_Mapping!$F$7:$F$256,$Q2041)))</f>
        <v>1</v>
      </c>
      <c r="P2041" s="34" t="str">
        <f aca="false">IF($A2041="","",$I2041*$O2041)</f>
        <v/>
      </c>
      <c r="Q2041" s="39" t="n">
        <f aca="false">IF($B2041="",0,IFERROR(MATCH($B2041,COA_Mapping!$A$7:$A$256,0),0))</f>
        <v>0</v>
      </c>
      <c r="R2041" s="39" t="n">
        <f aca="false">IF($A2041="",-1,IF($J2041=Setup!$B$7,1,IF($J2041=Setup!$B$9,0,-1)))</f>
        <v>-1</v>
      </c>
      <c r="S2041" s="35" t="n">
        <f aca="false">IF(OR($A2041="",$Q2041=0,$R2041=-1),0,$Q2041*1000+$R2041*100+$K2041)</f>
        <v>0</v>
      </c>
      <c r="T2041" s="37" t="str">
        <f aca="false">IF($A2041="","",IF($B2041="","NO ACCOUNT",IF($Q2041=0,"UNMAPPED",IF($R2041=-1,"OUTSIDE FY RANGE","OK"))))</f>
        <v/>
      </c>
      <c r="U2041" s="40" t="str">
        <f aca="false">IF($A2041="","",$B2041&amp;"|"&amp;TEXT($A2041,"yyyymmdd")&amp;"|"&amp;TEXT($I2041,"0.00"))</f>
        <v/>
      </c>
      <c r="V2041" s="35" t="str">
        <f aca="false">IF($A2041="","",COUNTIF($U$8:$U$5007,$U2041))</f>
        <v/>
      </c>
    </row>
    <row r="2042" customFormat="false" ht="15" hidden="false" customHeight="false" outlineLevel="0" collapsed="false">
      <c r="A2042" s="31"/>
      <c r="B2042" s="32"/>
      <c r="C2042" s="32"/>
      <c r="D2042" s="32"/>
      <c r="E2042" s="32"/>
      <c r="F2042" s="32"/>
      <c r="G2042" s="33"/>
      <c r="H2042" s="33"/>
      <c r="I2042" s="34" t="str">
        <f aca="false">IF($A2042="","",$G2042-$H2042)</f>
        <v/>
      </c>
      <c r="J2042" s="35" t="str">
        <f aca="false">IF($A2042="","",IF(Setup!$B$6=1,YEAR($A2042),YEAR($A2042)+IF(MONTH($A2042)&gt;=Setup!$B$6,1,0)))</f>
        <v/>
      </c>
      <c r="K2042" s="35" t="str">
        <f aca="false">IF($A2042="","",MOD(MONTH($A2042)-Setup!$B$6+12,12)+1)</f>
        <v/>
      </c>
      <c r="L2042" s="36" t="str">
        <f aca="false">IF($A2042="","",TEXT($A2042,"MMM-YY"))</f>
        <v/>
      </c>
      <c r="M2042" s="37" t="str">
        <f aca="false">IF($A2042="","",IF($Q2042=0,"UNMAPPED",INDEX(COA_Mapping!$C$7:$C$256,$Q2042)))</f>
        <v/>
      </c>
      <c r="N2042" s="38" t="str">
        <f aca="false">IF($A2042="","",IF($Q2042=0,"",INDEX(COA_Mapping!$E$7:$E$256,$Q2042)))</f>
        <v/>
      </c>
      <c r="O2042" s="38" t="n">
        <f aca="false">IF($A2042="",1,IF($Q2042=0,1,INDEX(COA_Mapping!$F$7:$F$256,$Q2042)))</f>
        <v>1</v>
      </c>
      <c r="P2042" s="34" t="str">
        <f aca="false">IF($A2042="","",$I2042*$O2042)</f>
        <v/>
      </c>
      <c r="Q2042" s="39" t="n">
        <f aca="false">IF($B2042="",0,IFERROR(MATCH($B2042,COA_Mapping!$A$7:$A$256,0),0))</f>
        <v>0</v>
      </c>
      <c r="R2042" s="39" t="n">
        <f aca="false">IF($A2042="",-1,IF($J2042=Setup!$B$7,1,IF($J2042=Setup!$B$9,0,-1)))</f>
        <v>-1</v>
      </c>
      <c r="S2042" s="35" t="n">
        <f aca="false">IF(OR($A2042="",$Q2042=0,$R2042=-1),0,$Q2042*1000+$R2042*100+$K2042)</f>
        <v>0</v>
      </c>
      <c r="T2042" s="37" t="str">
        <f aca="false">IF($A2042="","",IF($B2042="","NO ACCOUNT",IF($Q2042=0,"UNMAPPED",IF($R2042=-1,"OUTSIDE FY RANGE","OK"))))</f>
        <v/>
      </c>
      <c r="U2042" s="40" t="str">
        <f aca="false">IF($A2042="","",$B2042&amp;"|"&amp;TEXT($A2042,"yyyymmdd")&amp;"|"&amp;TEXT($I2042,"0.00"))</f>
        <v/>
      </c>
      <c r="V2042" s="35" t="str">
        <f aca="false">IF($A2042="","",COUNTIF($U$8:$U$5007,$U2042))</f>
        <v/>
      </c>
    </row>
    <row r="2043" customFormat="false" ht="15" hidden="false" customHeight="false" outlineLevel="0" collapsed="false">
      <c r="A2043" s="31"/>
      <c r="B2043" s="32"/>
      <c r="C2043" s="32"/>
      <c r="D2043" s="32"/>
      <c r="E2043" s="32"/>
      <c r="F2043" s="32"/>
      <c r="G2043" s="33"/>
      <c r="H2043" s="33"/>
      <c r="I2043" s="34" t="str">
        <f aca="false">IF($A2043="","",$G2043-$H2043)</f>
        <v/>
      </c>
      <c r="J2043" s="35" t="str">
        <f aca="false">IF($A2043="","",IF(Setup!$B$6=1,YEAR($A2043),YEAR($A2043)+IF(MONTH($A2043)&gt;=Setup!$B$6,1,0)))</f>
        <v/>
      </c>
      <c r="K2043" s="35" t="str">
        <f aca="false">IF($A2043="","",MOD(MONTH($A2043)-Setup!$B$6+12,12)+1)</f>
        <v/>
      </c>
      <c r="L2043" s="36" t="str">
        <f aca="false">IF($A2043="","",TEXT($A2043,"MMM-YY"))</f>
        <v/>
      </c>
      <c r="M2043" s="37" t="str">
        <f aca="false">IF($A2043="","",IF($Q2043=0,"UNMAPPED",INDEX(COA_Mapping!$C$7:$C$256,$Q2043)))</f>
        <v/>
      </c>
      <c r="N2043" s="38" t="str">
        <f aca="false">IF($A2043="","",IF($Q2043=0,"",INDEX(COA_Mapping!$E$7:$E$256,$Q2043)))</f>
        <v/>
      </c>
      <c r="O2043" s="38" t="n">
        <f aca="false">IF($A2043="",1,IF($Q2043=0,1,INDEX(COA_Mapping!$F$7:$F$256,$Q2043)))</f>
        <v>1</v>
      </c>
      <c r="P2043" s="34" t="str">
        <f aca="false">IF($A2043="","",$I2043*$O2043)</f>
        <v/>
      </c>
      <c r="Q2043" s="39" t="n">
        <f aca="false">IF($B2043="",0,IFERROR(MATCH($B2043,COA_Mapping!$A$7:$A$256,0),0))</f>
        <v>0</v>
      </c>
      <c r="R2043" s="39" t="n">
        <f aca="false">IF($A2043="",-1,IF($J2043=Setup!$B$7,1,IF($J2043=Setup!$B$9,0,-1)))</f>
        <v>-1</v>
      </c>
      <c r="S2043" s="35" t="n">
        <f aca="false">IF(OR($A2043="",$Q2043=0,$R2043=-1),0,$Q2043*1000+$R2043*100+$K2043)</f>
        <v>0</v>
      </c>
      <c r="T2043" s="37" t="str">
        <f aca="false">IF($A2043="","",IF($B2043="","NO ACCOUNT",IF($Q2043=0,"UNMAPPED",IF($R2043=-1,"OUTSIDE FY RANGE","OK"))))</f>
        <v/>
      </c>
      <c r="U2043" s="40" t="str">
        <f aca="false">IF($A2043="","",$B2043&amp;"|"&amp;TEXT($A2043,"yyyymmdd")&amp;"|"&amp;TEXT($I2043,"0.00"))</f>
        <v/>
      </c>
      <c r="V2043" s="35" t="str">
        <f aca="false">IF($A2043="","",COUNTIF($U$8:$U$5007,$U2043))</f>
        <v/>
      </c>
    </row>
    <row r="2044" customFormat="false" ht="15" hidden="false" customHeight="false" outlineLevel="0" collapsed="false">
      <c r="A2044" s="31"/>
      <c r="B2044" s="32"/>
      <c r="C2044" s="32"/>
      <c r="D2044" s="32"/>
      <c r="E2044" s="32"/>
      <c r="F2044" s="32"/>
      <c r="G2044" s="33"/>
      <c r="H2044" s="33"/>
      <c r="I2044" s="34" t="str">
        <f aca="false">IF($A2044="","",$G2044-$H2044)</f>
        <v/>
      </c>
      <c r="J2044" s="35" t="str">
        <f aca="false">IF($A2044="","",IF(Setup!$B$6=1,YEAR($A2044),YEAR($A2044)+IF(MONTH($A2044)&gt;=Setup!$B$6,1,0)))</f>
        <v/>
      </c>
      <c r="K2044" s="35" t="str">
        <f aca="false">IF($A2044="","",MOD(MONTH($A2044)-Setup!$B$6+12,12)+1)</f>
        <v/>
      </c>
      <c r="L2044" s="36" t="str">
        <f aca="false">IF($A2044="","",TEXT($A2044,"MMM-YY"))</f>
        <v/>
      </c>
      <c r="M2044" s="37" t="str">
        <f aca="false">IF($A2044="","",IF($Q2044=0,"UNMAPPED",INDEX(COA_Mapping!$C$7:$C$256,$Q2044)))</f>
        <v/>
      </c>
      <c r="N2044" s="38" t="str">
        <f aca="false">IF($A2044="","",IF($Q2044=0,"",INDEX(COA_Mapping!$E$7:$E$256,$Q2044)))</f>
        <v/>
      </c>
      <c r="O2044" s="38" t="n">
        <f aca="false">IF($A2044="",1,IF($Q2044=0,1,INDEX(COA_Mapping!$F$7:$F$256,$Q2044)))</f>
        <v>1</v>
      </c>
      <c r="P2044" s="34" t="str">
        <f aca="false">IF($A2044="","",$I2044*$O2044)</f>
        <v/>
      </c>
      <c r="Q2044" s="39" t="n">
        <f aca="false">IF($B2044="",0,IFERROR(MATCH($B2044,COA_Mapping!$A$7:$A$256,0),0))</f>
        <v>0</v>
      </c>
      <c r="R2044" s="39" t="n">
        <f aca="false">IF($A2044="",-1,IF($J2044=Setup!$B$7,1,IF($J2044=Setup!$B$9,0,-1)))</f>
        <v>-1</v>
      </c>
      <c r="S2044" s="35" t="n">
        <f aca="false">IF(OR($A2044="",$Q2044=0,$R2044=-1),0,$Q2044*1000+$R2044*100+$K2044)</f>
        <v>0</v>
      </c>
      <c r="T2044" s="37" t="str">
        <f aca="false">IF($A2044="","",IF($B2044="","NO ACCOUNT",IF($Q2044=0,"UNMAPPED",IF($R2044=-1,"OUTSIDE FY RANGE","OK"))))</f>
        <v/>
      </c>
      <c r="U2044" s="40" t="str">
        <f aca="false">IF($A2044="","",$B2044&amp;"|"&amp;TEXT($A2044,"yyyymmdd")&amp;"|"&amp;TEXT($I2044,"0.00"))</f>
        <v/>
      </c>
      <c r="V2044" s="35" t="str">
        <f aca="false">IF($A2044="","",COUNTIF($U$8:$U$5007,$U2044))</f>
        <v/>
      </c>
    </row>
    <row r="2045" customFormat="false" ht="15" hidden="false" customHeight="false" outlineLevel="0" collapsed="false">
      <c r="A2045" s="31"/>
      <c r="B2045" s="32"/>
      <c r="C2045" s="32"/>
      <c r="D2045" s="32"/>
      <c r="E2045" s="32"/>
      <c r="F2045" s="32"/>
      <c r="G2045" s="33"/>
      <c r="H2045" s="33"/>
      <c r="I2045" s="34" t="str">
        <f aca="false">IF($A2045="","",$G2045-$H2045)</f>
        <v/>
      </c>
      <c r="J2045" s="35" t="str">
        <f aca="false">IF($A2045="","",IF(Setup!$B$6=1,YEAR($A2045),YEAR($A2045)+IF(MONTH($A2045)&gt;=Setup!$B$6,1,0)))</f>
        <v/>
      </c>
      <c r="K2045" s="35" t="str">
        <f aca="false">IF($A2045="","",MOD(MONTH($A2045)-Setup!$B$6+12,12)+1)</f>
        <v/>
      </c>
      <c r="L2045" s="36" t="str">
        <f aca="false">IF($A2045="","",TEXT($A2045,"MMM-YY"))</f>
        <v/>
      </c>
      <c r="M2045" s="37" t="str">
        <f aca="false">IF($A2045="","",IF($Q2045=0,"UNMAPPED",INDEX(COA_Mapping!$C$7:$C$256,$Q2045)))</f>
        <v/>
      </c>
      <c r="N2045" s="38" t="str">
        <f aca="false">IF($A2045="","",IF($Q2045=0,"",INDEX(COA_Mapping!$E$7:$E$256,$Q2045)))</f>
        <v/>
      </c>
      <c r="O2045" s="38" t="n">
        <f aca="false">IF($A2045="",1,IF($Q2045=0,1,INDEX(COA_Mapping!$F$7:$F$256,$Q2045)))</f>
        <v>1</v>
      </c>
      <c r="P2045" s="34" t="str">
        <f aca="false">IF($A2045="","",$I2045*$O2045)</f>
        <v/>
      </c>
      <c r="Q2045" s="39" t="n">
        <f aca="false">IF($B2045="",0,IFERROR(MATCH($B2045,COA_Mapping!$A$7:$A$256,0),0))</f>
        <v>0</v>
      </c>
      <c r="R2045" s="39" t="n">
        <f aca="false">IF($A2045="",-1,IF($J2045=Setup!$B$7,1,IF($J2045=Setup!$B$9,0,-1)))</f>
        <v>-1</v>
      </c>
      <c r="S2045" s="35" t="n">
        <f aca="false">IF(OR($A2045="",$Q2045=0,$R2045=-1),0,$Q2045*1000+$R2045*100+$K2045)</f>
        <v>0</v>
      </c>
      <c r="T2045" s="37" t="str">
        <f aca="false">IF($A2045="","",IF($B2045="","NO ACCOUNT",IF($Q2045=0,"UNMAPPED",IF($R2045=-1,"OUTSIDE FY RANGE","OK"))))</f>
        <v/>
      </c>
      <c r="U2045" s="40" t="str">
        <f aca="false">IF($A2045="","",$B2045&amp;"|"&amp;TEXT($A2045,"yyyymmdd")&amp;"|"&amp;TEXT($I2045,"0.00"))</f>
        <v/>
      </c>
      <c r="V2045" s="35" t="str">
        <f aca="false">IF($A2045="","",COUNTIF($U$8:$U$5007,$U2045))</f>
        <v/>
      </c>
    </row>
    <row r="2046" customFormat="false" ht="15" hidden="false" customHeight="false" outlineLevel="0" collapsed="false">
      <c r="A2046" s="31"/>
      <c r="B2046" s="32"/>
      <c r="C2046" s="32"/>
      <c r="D2046" s="32"/>
      <c r="E2046" s="32"/>
      <c r="F2046" s="32"/>
      <c r="G2046" s="33"/>
      <c r="H2046" s="33"/>
      <c r="I2046" s="34" t="str">
        <f aca="false">IF($A2046="","",$G2046-$H2046)</f>
        <v/>
      </c>
      <c r="J2046" s="35" t="str">
        <f aca="false">IF($A2046="","",IF(Setup!$B$6=1,YEAR($A2046),YEAR($A2046)+IF(MONTH($A2046)&gt;=Setup!$B$6,1,0)))</f>
        <v/>
      </c>
      <c r="K2046" s="35" t="str">
        <f aca="false">IF($A2046="","",MOD(MONTH($A2046)-Setup!$B$6+12,12)+1)</f>
        <v/>
      </c>
      <c r="L2046" s="36" t="str">
        <f aca="false">IF($A2046="","",TEXT($A2046,"MMM-YY"))</f>
        <v/>
      </c>
      <c r="M2046" s="37" t="str">
        <f aca="false">IF($A2046="","",IF($Q2046=0,"UNMAPPED",INDEX(COA_Mapping!$C$7:$C$256,$Q2046)))</f>
        <v/>
      </c>
      <c r="N2046" s="38" t="str">
        <f aca="false">IF($A2046="","",IF($Q2046=0,"",INDEX(COA_Mapping!$E$7:$E$256,$Q2046)))</f>
        <v/>
      </c>
      <c r="O2046" s="38" t="n">
        <f aca="false">IF($A2046="",1,IF($Q2046=0,1,INDEX(COA_Mapping!$F$7:$F$256,$Q2046)))</f>
        <v>1</v>
      </c>
      <c r="P2046" s="34" t="str">
        <f aca="false">IF($A2046="","",$I2046*$O2046)</f>
        <v/>
      </c>
      <c r="Q2046" s="39" t="n">
        <f aca="false">IF($B2046="",0,IFERROR(MATCH($B2046,COA_Mapping!$A$7:$A$256,0),0))</f>
        <v>0</v>
      </c>
      <c r="R2046" s="39" t="n">
        <f aca="false">IF($A2046="",-1,IF($J2046=Setup!$B$7,1,IF($J2046=Setup!$B$9,0,-1)))</f>
        <v>-1</v>
      </c>
      <c r="S2046" s="35" t="n">
        <f aca="false">IF(OR($A2046="",$Q2046=0,$R2046=-1),0,$Q2046*1000+$R2046*100+$K2046)</f>
        <v>0</v>
      </c>
      <c r="T2046" s="37" t="str">
        <f aca="false">IF($A2046="","",IF($B2046="","NO ACCOUNT",IF($Q2046=0,"UNMAPPED",IF($R2046=-1,"OUTSIDE FY RANGE","OK"))))</f>
        <v/>
      </c>
      <c r="U2046" s="40" t="str">
        <f aca="false">IF($A2046="","",$B2046&amp;"|"&amp;TEXT($A2046,"yyyymmdd")&amp;"|"&amp;TEXT($I2046,"0.00"))</f>
        <v/>
      </c>
      <c r="V2046" s="35" t="str">
        <f aca="false">IF($A2046="","",COUNTIF($U$8:$U$5007,$U2046))</f>
        <v/>
      </c>
    </row>
    <row r="2047" customFormat="false" ht="15" hidden="false" customHeight="false" outlineLevel="0" collapsed="false">
      <c r="A2047" s="31"/>
      <c r="B2047" s="32"/>
      <c r="C2047" s="32"/>
      <c r="D2047" s="32"/>
      <c r="E2047" s="32"/>
      <c r="F2047" s="32"/>
      <c r="G2047" s="33"/>
      <c r="H2047" s="33"/>
      <c r="I2047" s="34" t="str">
        <f aca="false">IF($A2047="","",$G2047-$H2047)</f>
        <v/>
      </c>
      <c r="J2047" s="35" t="str">
        <f aca="false">IF($A2047="","",IF(Setup!$B$6=1,YEAR($A2047),YEAR($A2047)+IF(MONTH($A2047)&gt;=Setup!$B$6,1,0)))</f>
        <v/>
      </c>
      <c r="K2047" s="35" t="str">
        <f aca="false">IF($A2047="","",MOD(MONTH($A2047)-Setup!$B$6+12,12)+1)</f>
        <v/>
      </c>
      <c r="L2047" s="36" t="str">
        <f aca="false">IF($A2047="","",TEXT($A2047,"MMM-YY"))</f>
        <v/>
      </c>
      <c r="M2047" s="37" t="str">
        <f aca="false">IF($A2047="","",IF($Q2047=0,"UNMAPPED",INDEX(COA_Mapping!$C$7:$C$256,$Q2047)))</f>
        <v/>
      </c>
      <c r="N2047" s="38" t="str">
        <f aca="false">IF($A2047="","",IF($Q2047=0,"",INDEX(COA_Mapping!$E$7:$E$256,$Q2047)))</f>
        <v/>
      </c>
      <c r="O2047" s="38" t="n">
        <f aca="false">IF($A2047="",1,IF($Q2047=0,1,INDEX(COA_Mapping!$F$7:$F$256,$Q2047)))</f>
        <v>1</v>
      </c>
      <c r="P2047" s="34" t="str">
        <f aca="false">IF($A2047="","",$I2047*$O2047)</f>
        <v/>
      </c>
      <c r="Q2047" s="39" t="n">
        <f aca="false">IF($B2047="",0,IFERROR(MATCH($B2047,COA_Mapping!$A$7:$A$256,0),0))</f>
        <v>0</v>
      </c>
      <c r="R2047" s="39" t="n">
        <f aca="false">IF($A2047="",-1,IF($J2047=Setup!$B$7,1,IF($J2047=Setup!$B$9,0,-1)))</f>
        <v>-1</v>
      </c>
      <c r="S2047" s="35" t="n">
        <f aca="false">IF(OR($A2047="",$Q2047=0,$R2047=-1),0,$Q2047*1000+$R2047*100+$K2047)</f>
        <v>0</v>
      </c>
      <c r="T2047" s="37" t="str">
        <f aca="false">IF($A2047="","",IF($B2047="","NO ACCOUNT",IF($Q2047=0,"UNMAPPED",IF($R2047=-1,"OUTSIDE FY RANGE","OK"))))</f>
        <v/>
      </c>
      <c r="U2047" s="40" t="str">
        <f aca="false">IF($A2047="","",$B2047&amp;"|"&amp;TEXT($A2047,"yyyymmdd")&amp;"|"&amp;TEXT($I2047,"0.00"))</f>
        <v/>
      </c>
      <c r="V2047" s="35" t="str">
        <f aca="false">IF($A2047="","",COUNTIF($U$8:$U$5007,$U2047))</f>
        <v/>
      </c>
    </row>
    <row r="2048" customFormat="false" ht="15" hidden="false" customHeight="false" outlineLevel="0" collapsed="false">
      <c r="A2048" s="31"/>
      <c r="B2048" s="32"/>
      <c r="C2048" s="32"/>
      <c r="D2048" s="32"/>
      <c r="E2048" s="32"/>
      <c r="F2048" s="32"/>
      <c r="G2048" s="33"/>
      <c r="H2048" s="33"/>
      <c r="I2048" s="34" t="str">
        <f aca="false">IF($A2048="","",$G2048-$H2048)</f>
        <v/>
      </c>
      <c r="J2048" s="35" t="str">
        <f aca="false">IF($A2048="","",IF(Setup!$B$6=1,YEAR($A2048),YEAR($A2048)+IF(MONTH($A2048)&gt;=Setup!$B$6,1,0)))</f>
        <v/>
      </c>
      <c r="K2048" s="35" t="str">
        <f aca="false">IF($A2048="","",MOD(MONTH($A2048)-Setup!$B$6+12,12)+1)</f>
        <v/>
      </c>
      <c r="L2048" s="36" t="str">
        <f aca="false">IF($A2048="","",TEXT($A2048,"MMM-YY"))</f>
        <v/>
      </c>
      <c r="M2048" s="37" t="str">
        <f aca="false">IF($A2048="","",IF($Q2048=0,"UNMAPPED",INDEX(COA_Mapping!$C$7:$C$256,$Q2048)))</f>
        <v/>
      </c>
      <c r="N2048" s="38" t="str">
        <f aca="false">IF($A2048="","",IF($Q2048=0,"",INDEX(COA_Mapping!$E$7:$E$256,$Q2048)))</f>
        <v/>
      </c>
      <c r="O2048" s="38" t="n">
        <f aca="false">IF($A2048="",1,IF($Q2048=0,1,INDEX(COA_Mapping!$F$7:$F$256,$Q2048)))</f>
        <v>1</v>
      </c>
      <c r="P2048" s="34" t="str">
        <f aca="false">IF($A2048="","",$I2048*$O2048)</f>
        <v/>
      </c>
      <c r="Q2048" s="39" t="n">
        <f aca="false">IF($B2048="",0,IFERROR(MATCH($B2048,COA_Mapping!$A$7:$A$256,0),0))</f>
        <v>0</v>
      </c>
      <c r="R2048" s="39" t="n">
        <f aca="false">IF($A2048="",-1,IF($J2048=Setup!$B$7,1,IF($J2048=Setup!$B$9,0,-1)))</f>
        <v>-1</v>
      </c>
      <c r="S2048" s="35" t="n">
        <f aca="false">IF(OR($A2048="",$Q2048=0,$R2048=-1),0,$Q2048*1000+$R2048*100+$K2048)</f>
        <v>0</v>
      </c>
      <c r="T2048" s="37" t="str">
        <f aca="false">IF($A2048="","",IF($B2048="","NO ACCOUNT",IF($Q2048=0,"UNMAPPED",IF($R2048=-1,"OUTSIDE FY RANGE","OK"))))</f>
        <v/>
      </c>
      <c r="U2048" s="40" t="str">
        <f aca="false">IF($A2048="","",$B2048&amp;"|"&amp;TEXT($A2048,"yyyymmdd")&amp;"|"&amp;TEXT($I2048,"0.00"))</f>
        <v/>
      </c>
      <c r="V2048" s="35" t="str">
        <f aca="false">IF($A2048="","",COUNTIF($U$8:$U$5007,$U2048))</f>
        <v/>
      </c>
    </row>
    <row r="2049" customFormat="false" ht="15" hidden="false" customHeight="false" outlineLevel="0" collapsed="false">
      <c r="A2049" s="31"/>
      <c r="B2049" s="32"/>
      <c r="C2049" s="32"/>
      <c r="D2049" s="32"/>
      <c r="E2049" s="32"/>
      <c r="F2049" s="32"/>
      <c r="G2049" s="33"/>
      <c r="H2049" s="33"/>
      <c r="I2049" s="34" t="str">
        <f aca="false">IF($A2049="","",$G2049-$H2049)</f>
        <v/>
      </c>
      <c r="J2049" s="35" t="str">
        <f aca="false">IF($A2049="","",IF(Setup!$B$6=1,YEAR($A2049),YEAR($A2049)+IF(MONTH($A2049)&gt;=Setup!$B$6,1,0)))</f>
        <v/>
      </c>
      <c r="K2049" s="35" t="str">
        <f aca="false">IF($A2049="","",MOD(MONTH($A2049)-Setup!$B$6+12,12)+1)</f>
        <v/>
      </c>
      <c r="L2049" s="36" t="str">
        <f aca="false">IF($A2049="","",TEXT($A2049,"MMM-YY"))</f>
        <v/>
      </c>
      <c r="M2049" s="37" t="str">
        <f aca="false">IF($A2049="","",IF($Q2049=0,"UNMAPPED",INDEX(COA_Mapping!$C$7:$C$256,$Q2049)))</f>
        <v/>
      </c>
      <c r="N2049" s="38" t="str">
        <f aca="false">IF($A2049="","",IF($Q2049=0,"",INDEX(COA_Mapping!$E$7:$E$256,$Q2049)))</f>
        <v/>
      </c>
      <c r="O2049" s="38" t="n">
        <f aca="false">IF($A2049="",1,IF($Q2049=0,1,INDEX(COA_Mapping!$F$7:$F$256,$Q2049)))</f>
        <v>1</v>
      </c>
      <c r="P2049" s="34" t="str">
        <f aca="false">IF($A2049="","",$I2049*$O2049)</f>
        <v/>
      </c>
      <c r="Q2049" s="39" t="n">
        <f aca="false">IF($B2049="",0,IFERROR(MATCH($B2049,COA_Mapping!$A$7:$A$256,0),0))</f>
        <v>0</v>
      </c>
      <c r="R2049" s="39" t="n">
        <f aca="false">IF($A2049="",-1,IF($J2049=Setup!$B$7,1,IF($J2049=Setup!$B$9,0,-1)))</f>
        <v>-1</v>
      </c>
      <c r="S2049" s="35" t="n">
        <f aca="false">IF(OR($A2049="",$Q2049=0,$R2049=-1),0,$Q2049*1000+$R2049*100+$K2049)</f>
        <v>0</v>
      </c>
      <c r="T2049" s="37" t="str">
        <f aca="false">IF($A2049="","",IF($B2049="","NO ACCOUNT",IF($Q2049=0,"UNMAPPED",IF($R2049=-1,"OUTSIDE FY RANGE","OK"))))</f>
        <v/>
      </c>
      <c r="U2049" s="40" t="str">
        <f aca="false">IF($A2049="","",$B2049&amp;"|"&amp;TEXT($A2049,"yyyymmdd")&amp;"|"&amp;TEXT($I2049,"0.00"))</f>
        <v/>
      </c>
      <c r="V2049" s="35" t="str">
        <f aca="false">IF($A2049="","",COUNTIF($U$8:$U$5007,$U2049))</f>
        <v/>
      </c>
    </row>
    <row r="2050" customFormat="false" ht="15" hidden="false" customHeight="false" outlineLevel="0" collapsed="false">
      <c r="A2050" s="31"/>
      <c r="B2050" s="32"/>
      <c r="C2050" s="32"/>
      <c r="D2050" s="32"/>
      <c r="E2050" s="32"/>
      <c r="F2050" s="32"/>
      <c r="G2050" s="33"/>
      <c r="H2050" s="33"/>
      <c r="I2050" s="34" t="str">
        <f aca="false">IF($A2050="","",$G2050-$H2050)</f>
        <v/>
      </c>
      <c r="J2050" s="35" t="str">
        <f aca="false">IF($A2050="","",IF(Setup!$B$6=1,YEAR($A2050),YEAR($A2050)+IF(MONTH($A2050)&gt;=Setup!$B$6,1,0)))</f>
        <v/>
      </c>
      <c r="K2050" s="35" t="str">
        <f aca="false">IF($A2050="","",MOD(MONTH($A2050)-Setup!$B$6+12,12)+1)</f>
        <v/>
      </c>
      <c r="L2050" s="36" t="str">
        <f aca="false">IF($A2050="","",TEXT($A2050,"MMM-YY"))</f>
        <v/>
      </c>
      <c r="M2050" s="37" t="str">
        <f aca="false">IF($A2050="","",IF($Q2050=0,"UNMAPPED",INDEX(COA_Mapping!$C$7:$C$256,$Q2050)))</f>
        <v/>
      </c>
      <c r="N2050" s="38" t="str">
        <f aca="false">IF($A2050="","",IF($Q2050=0,"",INDEX(COA_Mapping!$E$7:$E$256,$Q2050)))</f>
        <v/>
      </c>
      <c r="O2050" s="38" t="n">
        <f aca="false">IF($A2050="",1,IF($Q2050=0,1,INDEX(COA_Mapping!$F$7:$F$256,$Q2050)))</f>
        <v>1</v>
      </c>
      <c r="P2050" s="34" t="str">
        <f aca="false">IF($A2050="","",$I2050*$O2050)</f>
        <v/>
      </c>
      <c r="Q2050" s="39" t="n">
        <f aca="false">IF($B2050="",0,IFERROR(MATCH($B2050,COA_Mapping!$A$7:$A$256,0),0))</f>
        <v>0</v>
      </c>
      <c r="R2050" s="39" t="n">
        <f aca="false">IF($A2050="",-1,IF($J2050=Setup!$B$7,1,IF($J2050=Setup!$B$9,0,-1)))</f>
        <v>-1</v>
      </c>
      <c r="S2050" s="35" t="n">
        <f aca="false">IF(OR($A2050="",$Q2050=0,$R2050=-1),0,$Q2050*1000+$R2050*100+$K2050)</f>
        <v>0</v>
      </c>
      <c r="T2050" s="37" t="str">
        <f aca="false">IF($A2050="","",IF($B2050="","NO ACCOUNT",IF($Q2050=0,"UNMAPPED",IF($R2050=-1,"OUTSIDE FY RANGE","OK"))))</f>
        <v/>
      </c>
      <c r="U2050" s="40" t="str">
        <f aca="false">IF($A2050="","",$B2050&amp;"|"&amp;TEXT($A2050,"yyyymmdd")&amp;"|"&amp;TEXT($I2050,"0.00"))</f>
        <v/>
      </c>
      <c r="V2050" s="35" t="str">
        <f aca="false">IF($A2050="","",COUNTIF($U$8:$U$5007,$U2050))</f>
        <v/>
      </c>
    </row>
    <row r="2051" customFormat="false" ht="15" hidden="false" customHeight="false" outlineLevel="0" collapsed="false">
      <c r="A2051" s="31"/>
      <c r="B2051" s="32"/>
      <c r="C2051" s="32"/>
      <c r="D2051" s="32"/>
      <c r="E2051" s="32"/>
      <c r="F2051" s="32"/>
      <c r="G2051" s="33"/>
      <c r="H2051" s="33"/>
      <c r="I2051" s="34" t="str">
        <f aca="false">IF($A2051="","",$G2051-$H2051)</f>
        <v/>
      </c>
      <c r="J2051" s="35" t="str">
        <f aca="false">IF($A2051="","",IF(Setup!$B$6=1,YEAR($A2051),YEAR($A2051)+IF(MONTH($A2051)&gt;=Setup!$B$6,1,0)))</f>
        <v/>
      </c>
      <c r="K2051" s="35" t="str">
        <f aca="false">IF($A2051="","",MOD(MONTH($A2051)-Setup!$B$6+12,12)+1)</f>
        <v/>
      </c>
      <c r="L2051" s="36" t="str">
        <f aca="false">IF($A2051="","",TEXT($A2051,"MMM-YY"))</f>
        <v/>
      </c>
      <c r="M2051" s="37" t="str">
        <f aca="false">IF($A2051="","",IF($Q2051=0,"UNMAPPED",INDEX(COA_Mapping!$C$7:$C$256,$Q2051)))</f>
        <v/>
      </c>
      <c r="N2051" s="38" t="str">
        <f aca="false">IF($A2051="","",IF($Q2051=0,"",INDEX(COA_Mapping!$E$7:$E$256,$Q2051)))</f>
        <v/>
      </c>
      <c r="O2051" s="38" t="n">
        <f aca="false">IF($A2051="",1,IF($Q2051=0,1,INDEX(COA_Mapping!$F$7:$F$256,$Q2051)))</f>
        <v>1</v>
      </c>
      <c r="P2051" s="34" t="str">
        <f aca="false">IF($A2051="","",$I2051*$O2051)</f>
        <v/>
      </c>
      <c r="Q2051" s="39" t="n">
        <f aca="false">IF($B2051="",0,IFERROR(MATCH($B2051,COA_Mapping!$A$7:$A$256,0),0))</f>
        <v>0</v>
      </c>
      <c r="R2051" s="39" t="n">
        <f aca="false">IF($A2051="",-1,IF($J2051=Setup!$B$7,1,IF($J2051=Setup!$B$9,0,-1)))</f>
        <v>-1</v>
      </c>
      <c r="S2051" s="35" t="n">
        <f aca="false">IF(OR($A2051="",$Q2051=0,$R2051=-1),0,$Q2051*1000+$R2051*100+$K2051)</f>
        <v>0</v>
      </c>
      <c r="T2051" s="37" t="str">
        <f aca="false">IF($A2051="","",IF($B2051="","NO ACCOUNT",IF($Q2051=0,"UNMAPPED",IF($R2051=-1,"OUTSIDE FY RANGE","OK"))))</f>
        <v/>
      </c>
      <c r="U2051" s="40" t="str">
        <f aca="false">IF($A2051="","",$B2051&amp;"|"&amp;TEXT($A2051,"yyyymmdd")&amp;"|"&amp;TEXT($I2051,"0.00"))</f>
        <v/>
      </c>
      <c r="V2051" s="35" t="str">
        <f aca="false">IF($A2051="","",COUNTIF($U$8:$U$5007,$U2051))</f>
        <v/>
      </c>
    </row>
    <row r="2052" customFormat="false" ht="15" hidden="false" customHeight="false" outlineLevel="0" collapsed="false">
      <c r="A2052" s="31"/>
      <c r="B2052" s="32"/>
      <c r="C2052" s="32"/>
      <c r="D2052" s="32"/>
      <c r="E2052" s="32"/>
      <c r="F2052" s="32"/>
      <c r="G2052" s="33"/>
      <c r="H2052" s="33"/>
      <c r="I2052" s="34" t="str">
        <f aca="false">IF($A2052="","",$G2052-$H2052)</f>
        <v/>
      </c>
      <c r="J2052" s="35" t="str">
        <f aca="false">IF($A2052="","",IF(Setup!$B$6=1,YEAR($A2052),YEAR($A2052)+IF(MONTH($A2052)&gt;=Setup!$B$6,1,0)))</f>
        <v/>
      </c>
      <c r="K2052" s="35" t="str">
        <f aca="false">IF($A2052="","",MOD(MONTH($A2052)-Setup!$B$6+12,12)+1)</f>
        <v/>
      </c>
      <c r="L2052" s="36" t="str">
        <f aca="false">IF($A2052="","",TEXT($A2052,"MMM-YY"))</f>
        <v/>
      </c>
      <c r="M2052" s="37" t="str">
        <f aca="false">IF($A2052="","",IF($Q2052=0,"UNMAPPED",INDEX(COA_Mapping!$C$7:$C$256,$Q2052)))</f>
        <v/>
      </c>
      <c r="N2052" s="38" t="str">
        <f aca="false">IF($A2052="","",IF($Q2052=0,"",INDEX(COA_Mapping!$E$7:$E$256,$Q2052)))</f>
        <v/>
      </c>
      <c r="O2052" s="38" t="n">
        <f aca="false">IF($A2052="",1,IF($Q2052=0,1,INDEX(COA_Mapping!$F$7:$F$256,$Q2052)))</f>
        <v>1</v>
      </c>
      <c r="P2052" s="34" t="str">
        <f aca="false">IF($A2052="","",$I2052*$O2052)</f>
        <v/>
      </c>
      <c r="Q2052" s="39" t="n">
        <f aca="false">IF($B2052="",0,IFERROR(MATCH($B2052,COA_Mapping!$A$7:$A$256,0),0))</f>
        <v>0</v>
      </c>
      <c r="R2052" s="39" t="n">
        <f aca="false">IF($A2052="",-1,IF($J2052=Setup!$B$7,1,IF($J2052=Setup!$B$9,0,-1)))</f>
        <v>-1</v>
      </c>
      <c r="S2052" s="35" t="n">
        <f aca="false">IF(OR($A2052="",$Q2052=0,$R2052=-1),0,$Q2052*1000+$R2052*100+$K2052)</f>
        <v>0</v>
      </c>
      <c r="T2052" s="37" t="str">
        <f aca="false">IF($A2052="","",IF($B2052="","NO ACCOUNT",IF($Q2052=0,"UNMAPPED",IF($R2052=-1,"OUTSIDE FY RANGE","OK"))))</f>
        <v/>
      </c>
      <c r="U2052" s="40" t="str">
        <f aca="false">IF($A2052="","",$B2052&amp;"|"&amp;TEXT($A2052,"yyyymmdd")&amp;"|"&amp;TEXT($I2052,"0.00"))</f>
        <v/>
      </c>
      <c r="V2052" s="35" t="str">
        <f aca="false">IF($A2052="","",COUNTIF($U$8:$U$5007,$U2052))</f>
        <v/>
      </c>
    </row>
    <row r="2053" customFormat="false" ht="15" hidden="false" customHeight="false" outlineLevel="0" collapsed="false">
      <c r="A2053" s="31"/>
      <c r="B2053" s="32"/>
      <c r="C2053" s="32"/>
      <c r="D2053" s="32"/>
      <c r="E2053" s="32"/>
      <c r="F2053" s="32"/>
      <c r="G2053" s="33"/>
      <c r="H2053" s="33"/>
      <c r="I2053" s="34" t="str">
        <f aca="false">IF($A2053="","",$G2053-$H2053)</f>
        <v/>
      </c>
      <c r="J2053" s="35" t="str">
        <f aca="false">IF($A2053="","",IF(Setup!$B$6=1,YEAR($A2053),YEAR($A2053)+IF(MONTH($A2053)&gt;=Setup!$B$6,1,0)))</f>
        <v/>
      </c>
      <c r="K2053" s="35" t="str">
        <f aca="false">IF($A2053="","",MOD(MONTH($A2053)-Setup!$B$6+12,12)+1)</f>
        <v/>
      </c>
      <c r="L2053" s="36" t="str">
        <f aca="false">IF($A2053="","",TEXT($A2053,"MMM-YY"))</f>
        <v/>
      </c>
      <c r="M2053" s="37" t="str">
        <f aca="false">IF($A2053="","",IF($Q2053=0,"UNMAPPED",INDEX(COA_Mapping!$C$7:$C$256,$Q2053)))</f>
        <v/>
      </c>
      <c r="N2053" s="38" t="str">
        <f aca="false">IF($A2053="","",IF($Q2053=0,"",INDEX(COA_Mapping!$E$7:$E$256,$Q2053)))</f>
        <v/>
      </c>
      <c r="O2053" s="38" t="n">
        <f aca="false">IF($A2053="",1,IF($Q2053=0,1,INDEX(COA_Mapping!$F$7:$F$256,$Q2053)))</f>
        <v>1</v>
      </c>
      <c r="P2053" s="34" t="str">
        <f aca="false">IF($A2053="","",$I2053*$O2053)</f>
        <v/>
      </c>
      <c r="Q2053" s="39" t="n">
        <f aca="false">IF($B2053="",0,IFERROR(MATCH($B2053,COA_Mapping!$A$7:$A$256,0),0))</f>
        <v>0</v>
      </c>
      <c r="R2053" s="39" t="n">
        <f aca="false">IF($A2053="",-1,IF($J2053=Setup!$B$7,1,IF($J2053=Setup!$B$9,0,-1)))</f>
        <v>-1</v>
      </c>
      <c r="S2053" s="35" t="n">
        <f aca="false">IF(OR($A2053="",$Q2053=0,$R2053=-1),0,$Q2053*1000+$R2053*100+$K2053)</f>
        <v>0</v>
      </c>
      <c r="T2053" s="37" t="str">
        <f aca="false">IF($A2053="","",IF($B2053="","NO ACCOUNT",IF($Q2053=0,"UNMAPPED",IF($R2053=-1,"OUTSIDE FY RANGE","OK"))))</f>
        <v/>
      </c>
      <c r="U2053" s="40" t="str">
        <f aca="false">IF($A2053="","",$B2053&amp;"|"&amp;TEXT($A2053,"yyyymmdd")&amp;"|"&amp;TEXT($I2053,"0.00"))</f>
        <v/>
      </c>
      <c r="V2053" s="35" t="str">
        <f aca="false">IF($A2053="","",COUNTIF($U$8:$U$5007,$U2053))</f>
        <v/>
      </c>
    </row>
    <row r="2054" customFormat="false" ht="15" hidden="false" customHeight="false" outlineLevel="0" collapsed="false">
      <c r="A2054" s="31"/>
      <c r="B2054" s="32"/>
      <c r="C2054" s="32"/>
      <c r="D2054" s="32"/>
      <c r="E2054" s="32"/>
      <c r="F2054" s="32"/>
      <c r="G2054" s="33"/>
      <c r="H2054" s="33"/>
      <c r="I2054" s="34" t="str">
        <f aca="false">IF($A2054="","",$G2054-$H2054)</f>
        <v/>
      </c>
      <c r="J2054" s="35" t="str">
        <f aca="false">IF($A2054="","",IF(Setup!$B$6=1,YEAR($A2054),YEAR($A2054)+IF(MONTH($A2054)&gt;=Setup!$B$6,1,0)))</f>
        <v/>
      </c>
      <c r="K2054" s="35" t="str">
        <f aca="false">IF($A2054="","",MOD(MONTH($A2054)-Setup!$B$6+12,12)+1)</f>
        <v/>
      </c>
      <c r="L2054" s="36" t="str">
        <f aca="false">IF($A2054="","",TEXT($A2054,"MMM-YY"))</f>
        <v/>
      </c>
      <c r="M2054" s="37" t="str">
        <f aca="false">IF($A2054="","",IF($Q2054=0,"UNMAPPED",INDEX(COA_Mapping!$C$7:$C$256,$Q2054)))</f>
        <v/>
      </c>
      <c r="N2054" s="38" t="str">
        <f aca="false">IF($A2054="","",IF($Q2054=0,"",INDEX(COA_Mapping!$E$7:$E$256,$Q2054)))</f>
        <v/>
      </c>
      <c r="O2054" s="38" t="n">
        <f aca="false">IF($A2054="",1,IF($Q2054=0,1,INDEX(COA_Mapping!$F$7:$F$256,$Q2054)))</f>
        <v>1</v>
      </c>
      <c r="P2054" s="34" t="str">
        <f aca="false">IF($A2054="","",$I2054*$O2054)</f>
        <v/>
      </c>
      <c r="Q2054" s="39" t="n">
        <f aca="false">IF($B2054="",0,IFERROR(MATCH($B2054,COA_Mapping!$A$7:$A$256,0),0))</f>
        <v>0</v>
      </c>
      <c r="R2054" s="39" t="n">
        <f aca="false">IF($A2054="",-1,IF($J2054=Setup!$B$7,1,IF($J2054=Setup!$B$9,0,-1)))</f>
        <v>-1</v>
      </c>
      <c r="S2054" s="35" t="n">
        <f aca="false">IF(OR($A2054="",$Q2054=0,$R2054=-1),0,$Q2054*1000+$R2054*100+$K2054)</f>
        <v>0</v>
      </c>
      <c r="T2054" s="37" t="str">
        <f aca="false">IF($A2054="","",IF($B2054="","NO ACCOUNT",IF($Q2054=0,"UNMAPPED",IF($R2054=-1,"OUTSIDE FY RANGE","OK"))))</f>
        <v/>
      </c>
      <c r="U2054" s="40" t="str">
        <f aca="false">IF($A2054="","",$B2054&amp;"|"&amp;TEXT($A2054,"yyyymmdd")&amp;"|"&amp;TEXT($I2054,"0.00"))</f>
        <v/>
      </c>
      <c r="V2054" s="35" t="str">
        <f aca="false">IF($A2054="","",COUNTIF($U$8:$U$5007,$U2054))</f>
        <v/>
      </c>
    </row>
    <row r="2055" customFormat="false" ht="15" hidden="false" customHeight="false" outlineLevel="0" collapsed="false">
      <c r="A2055" s="31"/>
      <c r="B2055" s="32"/>
      <c r="C2055" s="32"/>
      <c r="D2055" s="32"/>
      <c r="E2055" s="32"/>
      <c r="F2055" s="32"/>
      <c r="G2055" s="33"/>
      <c r="H2055" s="33"/>
      <c r="I2055" s="34" t="str">
        <f aca="false">IF($A2055="","",$G2055-$H2055)</f>
        <v/>
      </c>
      <c r="J2055" s="35" t="str">
        <f aca="false">IF($A2055="","",IF(Setup!$B$6=1,YEAR($A2055),YEAR($A2055)+IF(MONTH($A2055)&gt;=Setup!$B$6,1,0)))</f>
        <v/>
      </c>
      <c r="K2055" s="35" t="str">
        <f aca="false">IF($A2055="","",MOD(MONTH($A2055)-Setup!$B$6+12,12)+1)</f>
        <v/>
      </c>
      <c r="L2055" s="36" t="str">
        <f aca="false">IF($A2055="","",TEXT($A2055,"MMM-YY"))</f>
        <v/>
      </c>
      <c r="M2055" s="37" t="str">
        <f aca="false">IF($A2055="","",IF($Q2055=0,"UNMAPPED",INDEX(COA_Mapping!$C$7:$C$256,$Q2055)))</f>
        <v/>
      </c>
      <c r="N2055" s="38" t="str">
        <f aca="false">IF($A2055="","",IF($Q2055=0,"",INDEX(COA_Mapping!$E$7:$E$256,$Q2055)))</f>
        <v/>
      </c>
      <c r="O2055" s="38" t="n">
        <f aca="false">IF($A2055="",1,IF($Q2055=0,1,INDEX(COA_Mapping!$F$7:$F$256,$Q2055)))</f>
        <v>1</v>
      </c>
      <c r="P2055" s="34" t="str">
        <f aca="false">IF($A2055="","",$I2055*$O2055)</f>
        <v/>
      </c>
      <c r="Q2055" s="39" t="n">
        <f aca="false">IF($B2055="",0,IFERROR(MATCH($B2055,COA_Mapping!$A$7:$A$256,0),0))</f>
        <v>0</v>
      </c>
      <c r="R2055" s="39" t="n">
        <f aca="false">IF($A2055="",-1,IF($J2055=Setup!$B$7,1,IF($J2055=Setup!$B$9,0,-1)))</f>
        <v>-1</v>
      </c>
      <c r="S2055" s="35" t="n">
        <f aca="false">IF(OR($A2055="",$Q2055=0,$R2055=-1),0,$Q2055*1000+$R2055*100+$K2055)</f>
        <v>0</v>
      </c>
      <c r="T2055" s="37" t="str">
        <f aca="false">IF($A2055="","",IF($B2055="","NO ACCOUNT",IF($Q2055=0,"UNMAPPED",IF($R2055=-1,"OUTSIDE FY RANGE","OK"))))</f>
        <v/>
      </c>
      <c r="U2055" s="40" t="str">
        <f aca="false">IF($A2055="","",$B2055&amp;"|"&amp;TEXT($A2055,"yyyymmdd")&amp;"|"&amp;TEXT($I2055,"0.00"))</f>
        <v/>
      </c>
      <c r="V2055" s="35" t="str">
        <f aca="false">IF($A2055="","",COUNTIF($U$8:$U$5007,$U2055))</f>
        <v/>
      </c>
    </row>
    <row r="2056" customFormat="false" ht="15" hidden="false" customHeight="false" outlineLevel="0" collapsed="false">
      <c r="A2056" s="31"/>
      <c r="B2056" s="32"/>
      <c r="C2056" s="32"/>
      <c r="D2056" s="32"/>
      <c r="E2056" s="32"/>
      <c r="F2056" s="32"/>
      <c r="G2056" s="33"/>
      <c r="H2056" s="33"/>
      <c r="I2056" s="34" t="str">
        <f aca="false">IF($A2056="","",$G2056-$H2056)</f>
        <v/>
      </c>
      <c r="J2056" s="35" t="str">
        <f aca="false">IF($A2056="","",IF(Setup!$B$6=1,YEAR($A2056),YEAR($A2056)+IF(MONTH($A2056)&gt;=Setup!$B$6,1,0)))</f>
        <v/>
      </c>
      <c r="K2056" s="35" t="str">
        <f aca="false">IF($A2056="","",MOD(MONTH($A2056)-Setup!$B$6+12,12)+1)</f>
        <v/>
      </c>
      <c r="L2056" s="36" t="str">
        <f aca="false">IF($A2056="","",TEXT($A2056,"MMM-YY"))</f>
        <v/>
      </c>
      <c r="M2056" s="37" t="str">
        <f aca="false">IF($A2056="","",IF($Q2056=0,"UNMAPPED",INDEX(COA_Mapping!$C$7:$C$256,$Q2056)))</f>
        <v/>
      </c>
      <c r="N2056" s="38" t="str">
        <f aca="false">IF($A2056="","",IF($Q2056=0,"",INDEX(COA_Mapping!$E$7:$E$256,$Q2056)))</f>
        <v/>
      </c>
      <c r="O2056" s="38" t="n">
        <f aca="false">IF($A2056="",1,IF($Q2056=0,1,INDEX(COA_Mapping!$F$7:$F$256,$Q2056)))</f>
        <v>1</v>
      </c>
      <c r="P2056" s="34" t="str">
        <f aca="false">IF($A2056="","",$I2056*$O2056)</f>
        <v/>
      </c>
      <c r="Q2056" s="39" t="n">
        <f aca="false">IF($B2056="",0,IFERROR(MATCH($B2056,COA_Mapping!$A$7:$A$256,0),0))</f>
        <v>0</v>
      </c>
      <c r="R2056" s="39" t="n">
        <f aca="false">IF($A2056="",-1,IF($J2056=Setup!$B$7,1,IF($J2056=Setup!$B$9,0,-1)))</f>
        <v>-1</v>
      </c>
      <c r="S2056" s="35" t="n">
        <f aca="false">IF(OR($A2056="",$Q2056=0,$R2056=-1),0,$Q2056*1000+$R2056*100+$K2056)</f>
        <v>0</v>
      </c>
      <c r="T2056" s="37" t="str">
        <f aca="false">IF($A2056="","",IF($B2056="","NO ACCOUNT",IF($Q2056=0,"UNMAPPED",IF($R2056=-1,"OUTSIDE FY RANGE","OK"))))</f>
        <v/>
      </c>
      <c r="U2056" s="40" t="str">
        <f aca="false">IF($A2056="","",$B2056&amp;"|"&amp;TEXT($A2056,"yyyymmdd")&amp;"|"&amp;TEXT($I2056,"0.00"))</f>
        <v/>
      </c>
      <c r="V2056" s="35" t="str">
        <f aca="false">IF($A2056="","",COUNTIF($U$8:$U$5007,$U2056))</f>
        <v/>
      </c>
    </row>
    <row r="2057" customFormat="false" ht="15" hidden="false" customHeight="false" outlineLevel="0" collapsed="false">
      <c r="A2057" s="31"/>
      <c r="B2057" s="32"/>
      <c r="C2057" s="32"/>
      <c r="D2057" s="32"/>
      <c r="E2057" s="32"/>
      <c r="F2057" s="32"/>
      <c r="G2057" s="33"/>
      <c r="H2057" s="33"/>
      <c r="I2057" s="34" t="str">
        <f aca="false">IF($A2057="","",$G2057-$H2057)</f>
        <v/>
      </c>
      <c r="J2057" s="35" t="str">
        <f aca="false">IF($A2057="","",IF(Setup!$B$6=1,YEAR($A2057),YEAR($A2057)+IF(MONTH($A2057)&gt;=Setup!$B$6,1,0)))</f>
        <v/>
      </c>
      <c r="K2057" s="35" t="str">
        <f aca="false">IF($A2057="","",MOD(MONTH($A2057)-Setup!$B$6+12,12)+1)</f>
        <v/>
      </c>
      <c r="L2057" s="36" t="str">
        <f aca="false">IF($A2057="","",TEXT($A2057,"MMM-YY"))</f>
        <v/>
      </c>
      <c r="M2057" s="37" t="str">
        <f aca="false">IF($A2057="","",IF($Q2057=0,"UNMAPPED",INDEX(COA_Mapping!$C$7:$C$256,$Q2057)))</f>
        <v/>
      </c>
      <c r="N2057" s="38" t="str">
        <f aca="false">IF($A2057="","",IF($Q2057=0,"",INDEX(COA_Mapping!$E$7:$E$256,$Q2057)))</f>
        <v/>
      </c>
      <c r="O2057" s="38" t="n">
        <f aca="false">IF($A2057="",1,IF($Q2057=0,1,INDEX(COA_Mapping!$F$7:$F$256,$Q2057)))</f>
        <v>1</v>
      </c>
      <c r="P2057" s="34" t="str">
        <f aca="false">IF($A2057="","",$I2057*$O2057)</f>
        <v/>
      </c>
      <c r="Q2057" s="39" t="n">
        <f aca="false">IF($B2057="",0,IFERROR(MATCH($B2057,COA_Mapping!$A$7:$A$256,0),0))</f>
        <v>0</v>
      </c>
      <c r="R2057" s="39" t="n">
        <f aca="false">IF($A2057="",-1,IF($J2057=Setup!$B$7,1,IF($J2057=Setup!$B$9,0,-1)))</f>
        <v>-1</v>
      </c>
      <c r="S2057" s="35" t="n">
        <f aca="false">IF(OR($A2057="",$Q2057=0,$R2057=-1),0,$Q2057*1000+$R2057*100+$K2057)</f>
        <v>0</v>
      </c>
      <c r="T2057" s="37" t="str">
        <f aca="false">IF($A2057="","",IF($B2057="","NO ACCOUNT",IF($Q2057=0,"UNMAPPED",IF($R2057=-1,"OUTSIDE FY RANGE","OK"))))</f>
        <v/>
      </c>
      <c r="U2057" s="40" t="str">
        <f aca="false">IF($A2057="","",$B2057&amp;"|"&amp;TEXT($A2057,"yyyymmdd")&amp;"|"&amp;TEXT($I2057,"0.00"))</f>
        <v/>
      </c>
      <c r="V2057" s="35" t="str">
        <f aca="false">IF($A2057="","",COUNTIF($U$8:$U$5007,$U2057))</f>
        <v/>
      </c>
    </row>
    <row r="2058" customFormat="false" ht="15" hidden="false" customHeight="false" outlineLevel="0" collapsed="false">
      <c r="A2058" s="31"/>
      <c r="B2058" s="32"/>
      <c r="C2058" s="32"/>
      <c r="D2058" s="32"/>
      <c r="E2058" s="32"/>
      <c r="F2058" s="32"/>
      <c r="G2058" s="33"/>
      <c r="H2058" s="33"/>
      <c r="I2058" s="34" t="str">
        <f aca="false">IF($A2058="","",$G2058-$H2058)</f>
        <v/>
      </c>
      <c r="J2058" s="35" t="str">
        <f aca="false">IF($A2058="","",IF(Setup!$B$6=1,YEAR($A2058),YEAR($A2058)+IF(MONTH($A2058)&gt;=Setup!$B$6,1,0)))</f>
        <v/>
      </c>
      <c r="K2058" s="35" t="str">
        <f aca="false">IF($A2058="","",MOD(MONTH($A2058)-Setup!$B$6+12,12)+1)</f>
        <v/>
      </c>
      <c r="L2058" s="36" t="str">
        <f aca="false">IF($A2058="","",TEXT($A2058,"MMM-YY"))</f>
        <v/>
      </c>
      <c r="M2058" s="37" t="str">
        <f aca="false">IF($A2058="","",IF($Q2058=0,"UNMAPPED",INDEX(COA_Mapping!$C$7:$C$256,$Q2058)))</f>
        <v/>
      </c>
      <c r="N2058" s="38" t="str">
        <f aca="false">IF($A2058="","",IF($Q2058=0,"",INDEX(COA_Mapping!$E$7:$E$256,$Q2058)))</f>
        <v/>
      </c>
      <c r="O2058" s="38" t="n">
        <f aca="false">IF($A2058="",1,IF($Q2058=0,1,INDEX(COA_Mapping!$F$7:$F$256,$Q2058)))</f>
        <v>1</v>
      </c>
      <c r="P2058" s="34" t="str">
        <f aca="false">IF($A2058="","",$I2058*$O2058)</f>
        <v/>
      </c>
      <c r="Q2058" s="39" t="n">
        <f aca="false">IF($B2058="",0,IFERROR(MATCH($B2058,COA_Mapping!$A$7:$A$256,0),0))</f>
        <v>0</v>
      </c>
      <c r="R2058" s="39" t="n">
        <f aca="false">IF($A2058="",-1,IF($J2058=Setup!$B$7,1,IF($J2058=Setup!$B$9,0,-1)))</f>
        <v>-1</v>
      </c>
      <c r="S2058" s="35" t="n">
        <f aca="false">IF(OR($A2058="",$Q2058=0,$R2058=-1),0,$Q2058*1000+$R2058*100+$K2058)</f>
        <v>0</v>
      </c>
      <c r="T2058" s="37" t="str">
        <f aca="false">IF($A2058="","",IF($B2058="","NO ACCOUNT",IF($Q2058=0,"UNMAPPED",IF($R2058=-1,"OUTSIDE FY RANGE","OK"))))</f>
        <v/>
      </c>
      <c r="U2058" s="40" t="str">
        <f aca="false">IF($A2058="","",$B2058&amp;"|"&amp;TEXT($A2058,"yyyymmdd")&amp;"|"&amp;TEXT($I2058,"0.00"))</f>
        <v/>
      </c>
      <c r="V2058" s="35" t="str">
        <f aca="false">IF($A2058="","",COUNTIF($U$8:$U$5007,$U2058))</f>
        <v/>
      </c>
    </row>
    <row r="2059" customFormat="false" ht="15" hidden="false" customHeight="false" outlineLevel="0" collapsed="false">
      <c r="A2059" s="31"/>
      <c r="B2059" s="32"/>
      <c r="C2059" s="32"/>
      <c r="D2059" s="32"/>
      <c r="E2059" s="32"/>
      <c r="F2059" s="32"/>
      <c r="G2059" s="33"/>
      <c r="H2059" s="33"/>
      <c r="I2059" s="34" t="str">
        <f aca="false">IF($A2059="","",$G2059-$H2059)</f>
        <v/>
      </c>
      <c r="J2059" s="35" t="str">
        <f aca="false">IF($A2059="","",IF(Setup!$B$6=1,YEAR($A2059),YEAR($A2059)+IF(MONTH($A2059)&gt;=Setup!$B$6,1,0)))</f>
        <v/>
      </c>
      <c r="K2059" s="35" t="str">
        <f aca="false">IF($A2059="","",MOD(MONTH($A2059)-Setup!$B$6+12,12)+1)</f>
        <v/>
      </c>
      <c r="L2059" s="36" t="str">
        <f aca="false">IF($A2059="","",TEXT($A2059,"MMM-YY"))</f>
        <v/>
      </c>
      <c r="M2059" s="37" t="str">
        <f aca="false">IF($A2059="","",IF($Q2059=0,"UNMAPPED",INDEX(COA_Mapping!$C$7:$C$256,$Q2059)))</f>
        <v/>
      </c>
      <c r="N2059" s="38" t="str">
        <f aca="false">IF($A2059="","",IF($Q2059=0,"",INDEX(COA_Mapping!$E$7:$E$256,$Q2059)))</f>
        <v/>
      </c>
      <c r="O2059" s="38" t="n">
        <f aca="false">IF($A2059="",1,IF($Q2059=0,1,INDEX(COA_Mapping!$F$7:$F$256,$Q2059)))</f>
        <v>1</v>
      </c>
      <c r="P2059" s="34" t="str">
        <f aca="false">IF($A2059="","",$I2059*$O2059)</f>
        <v/>
      </c>
      <c r="Q2059" s="39" t="n">
        <f aca="false">IF($B2059="",0,IFERROR(MATCH($B2059,COA_Mapping!$A$7:$A$256,0),0))</f>
        <v>0</v>
      </c>
      <c r="R2059" s="39" t="n">
        <f aca="false">IF($A2059="",-1,IF($J2059=Setup!$B$7,1,IF($J2059=Setup!$B$9,0,-1)))</f>
        <v>-1</v>
      </c>
      <c r="S2059" s="35" t="n">
        <f aca="false">IF(OR($A2059="",$Q2059=0,$R2059=-1),0,$Q2059*1000+$R2059*100+$K2059)</f>
        <v>0</v>
      </c>
      <c r="T2059" s="37" t="str">
        <f aca="false">IF($A2059="","",IF($B2059="","NO ACCOUNT",IF($Q2059=0,"UNMAPPED",IF($R2059=-1,"OUTSIDE FY RANGE","OK"))))</f>
        <v/>
      </c>
      <c r="U2059" s="40" t="str">
        <f aca="false">IF($A2059="","",$B2059&amp;"|"&amp;TEXT($A2059,"yyyymmdd")&amp;"|"&amp;TEXT($I2059,"0.00"))</f>
        <v/>
      </c>
      <c r="V2059" s="35" t="str">
        <f aca="false">IF($A2059="","",COUNTIF($U$8:$U$5007,$U2059))</f>
        <v/>
      </c>
    </row>
    <row r="2060" customFormat="false" ht="15" hidden="false" customHeight="false" outlineLevel="0" collapsed="false">
      <c r="A2060" s="31"/>
      <c r="B2060" s="32"/>
      <c r="C2060" s="32"/>
      <c r="D2060" s="32"/>
      <c r="E2060" s="32"/>
      <c r="F2060" s="32"/>
      <c r="G2060" s="33"/>
      <c r="H2060" s="33"/>
      <c r="I2060" s="34" t="str">
        <f aca="false">IF($A2060="","",$G2060-$H2060)</f>
        <v/>
      </c>
      <c r="J2060" s="35" t="str">
        <f aca="false">IF($A2060="","",IF(Setup!$B$6=1,YEAR($A2060),YEAR($A2060)+IF(MONTH($A2060)&gt;=Setup!$B$6,1,0)))</f>
        <v/>
      </c>
      <c r="K2060" s="35" t="str">
        <f aca="false">IF($A2060="","",MOD(MONTH($A2060)-Setup!$B$6+12,12)+1)</f>
        <v/>
      </c>
      <c r="L2060" s="36" t="str">
        <f aca="false">IF($A2060="","",TEXT($A2060,"MMM-YY"))</f>
        <v/>
      </c>
      <c r="M2060" s="37" t="str">
        <f aca="false">IF($A2060="","",IF($Q2060=0,"UNMAPPED",INDEX(COA_Mapping!$C$7:$C$256,$Q2060)))</f>
        <v/>
      </c>
      <c r="N2060" s="38" t="str">
        <f aca="false">IF($A2060="","",IF($Q2060=0,"",INDEX(COA_Mapping!$E$7:$E$256,$Q2060)))</f>
        <v/>
      </c>
      <c r="O2060" s="38" t="n">
        <f aca="false">IF($A2060="",1,IF($Q2060=0,1,INDEX(COA_Mapping!$F$7:$F$256,$Q2060)))</f>
        <v>1</v>
      </c>
      <c r="P2060" s="34" t="str">
        <f aca="false">IF($A2060="","",$I2060*$O2060)</f>
        <v/>
      </c>
      <c r="Q2060" s="39" t="n">
        <f aca="false">IF($B2060="",0,IFERROR(MATCH($B2060,COA_Mapping!$A$7:$A$256,0),0))</f>
        <v>0</v>
      </c>
      <c r="R2060" s="39" t="n">
        <f aca="false">IF($A2060="",-1,IF($J2060=Setup!$B$7,1,IF($J2060=Setup!$B$9,0,-1)))</f>
        <v>-1</v>
      </c>
      <c r="S2060" s="35" t="n">
        <f aca="false">IF(OR($A2060="",$Q2060=0,$R2060=-1),0,$Q2060*1000+$R2060*100+$K2060)</f>
        <v>0</v>
      </c>
      <c r="T2060" s="37" t="str">
        <f aca="false">IF($A2060="","",IF($B2060="","NO ACCOUNT",IF($Q2060=0,"UNMAPPED",IF($R2060=-1,"OUTSIDE FY RANGE","OK"))))</f>
        <v/>
      </c>
      <c r="U2060" s="40" t="str">
        <f aca="false">IF($A2060="","",$B2060&amp;"|"&amp;TEXT($A2060,"yyyymmdd")&amp;"|"&amp;TEXT($I2060,"0.00"))</f>
        <v/>
      </c>
      <c r="V2060" s="35" t="str">
        <f aca="false">IF($A2060="","",COUNTIF($U$8:$U$5007,$U2060))</f>
        <v/>
      </c>
    </row>
    <row r="2061" customFormat="false" ht="15" hidden="false" customHeight="false" outlineLevel="0" collapsed="false">
      <c r="A2061" s="31"/>
      <c r="B2061" s="32"/>
      <c r="C2061" s="32"/>
      <c r="D2061" s="32"/>
      <c r="E2061" s="32"/>
      <c r="F2061" s="32"/>
      <c r="G2061" s="33"/>
      <c r="H2061" s="33"/>
      <c r="I2061" s="34" t="str">
        <f aca="false">IF($A2061="","",$G2061-$H2061)</f>
        <v/>
      </c>
      <c r="J2061" s="35" t="str">
        <f aca="false">IF($A2061="","",IF(Setup!$B$6=1,YEAR($A2061),YEAR($A2061)+IF(MONTH($A2061)&gt;=Setup!$B$6,1,0)))</f>
        <v/>
      </c>
      <c r="K2061" s="35" t="str">
        <f aca="false">IF($A2061="","",MOD(MONTH($A2061)-Setup!$B$6+12,12)+1)</f>
        <v/>
      </c>
      <c r="L2061" s="36" t="str">
        <f aca="false">IF($A2061="","",TEXT($A2061,"MMM-YY"))</f>
        <v/>
      </c>
      <c r="M2061" s="37" t="str">
        <f aca="false">IF($A2061="","",IF($Q2061=0,"UNMAPPED",INDEX(COA_Mapping!$C$7:$C$256,$Q2061)))</f>
        <v/>
      </c>
      <c r="N2061" s="38" t="str">
        <f aca="false">IF($A2061="","",IF($Q2061=0,"",INDEX(COA_Mapping!$E$7:$E$256,$Q2061)))</f>
        <v/>
      </c>
      <c r="O2061" s="38" t="n">
        <f aca="false">IF($A2061="",1,IF($Q2061=0,1,INDEX(COA_Mapping!$F$7:$F$256,$Q2061)))</f>
        <v>1</v>
      </c>
      <c r="P2061" s="34" t="str">
        <f aca="false">IF($A2061="","",$I2061*$O2061)</f>
        <v/>
      </c>
      <c r="Q2061" s="39" t="n">
        <f aca="false">IF($B2061="",0,IFERROR(MATCH($B2061,COA_Mapping!$A$7:$A$256,0),0))</f>
        <v>0</v>
      </c>
      <c r="R2061" s="39" t="n">
        <f aca="false">IF($A2061="",-1,IF($J2061=Setup!$B$7,1,IF($J2061=Setup!$B$9,0,-1)))</f>
        <v>-1</v>
      </c>
      <c r="S2061" s="35" t="n">
        <f aca="false">IF(OR($A2061="",$Q2061=0,$R2061=-1),0,$Q2061*1000+$R2061*100+$K2061)</f>
        <v>0</v>
      </c>
      <c r="T2061" s="37" t="str">
        <f aca="false">IF($A2061="","",IF($B2061="","NO ACCOUNT",IF($Q2061=0,"UNMAPPED",IF($R2061=-1,"OUTSIDE FY RANGE","OK"))))</f>
        <v/>
      </c>
      <c r="U2061" s="40" t="str">
        <f aca="false">IF($A2061="","",$B2061&amp;"|"&amp;TEXT($A2061,"yyyymmdd")&amp;"|"&amp;TEXT($I2061,"0.00"))</f>
        <v/>
      </c>
      <c r="V2061" s="35" t="str">
        <f aca="false">IF($A2061="","",COUNTIF($U$8:$U$5007,$U2061))</f>
        <v/>
      </c>
    </row>
    <row r="2062" customFormat="false" ht="15" hidden="false" customHeight="false" outlineLevel="0" collapsed="false">
      <c r="A2062" s="31"/>
      <c r="B2062" s="32"/>
      <c r="C2062" s="32"/>
      <c r="D2062" s="32"/>
      <c r="E2062" s="32"/>
      <c r="F2062" s="32"/>
      <c r="G2062" s="33"/>
      <c r="H2062" s="33"/>
      <c r="I2062" s="34" t="str">
        <f aca="false">IF($A2062="","",$G2062-$H2062)</f>
        <v/>
      </c>
      <c r="J2062" s="35" t="str">
        <f aca="false">IF($A2062="","",IF(Setup!$B$6=1,YEAR($A2062),YEAR($A2062)+IF(MONTH($A2062)&gt;=Setup!$B$6,1,0)))</f>
        <v/>
      </c>
      <c r="K2062" s="35" t="str">
        <f aca="false">IF($A2062="","",MOD(MONTH($A2062)-Setup!$B$6+12,12)+1)</f>
        <v/>
      </c>
      <c r="L2062" s="36" t="str">
        <f aca="false">IF($A2062="","",TEXT($A2062,"MMM-YY"))</f>
        <v/>
      </c>
      <c r="M2062" s="37" t="str">
        <f aca="false">IF($A2062="","",IF($Q2062=0,"UNMAPPED",INDEX(COA_Mapping!$C$7:$C$256,$Q2062)))</f>
        <v/>
      </c>
      <c r="N2062" s="38" t="str">
        <f aca="false">IF($A2062="","",IF($Q2062=0,"",INDEX(COA_Mapping!$E$7:$E$256,$Q2062)))</f>
        <v/>
      </c>
      <c r="O2062" s="38" t="n">
        <f aca="false">IF($A2062="",1,IF($Q2062=0,1,INDEX(COA_Mapping!$F$7:$F$256,$Q2062)))</f>
        <v>1</v>
      </c>
      <c r="P2062" s="34" t="str">
        <f aca="false">IF($A2062="","",$I2062*$O2062)</f>
        <v/>
      </c>
      <c r="Q2062" s="39" t="n">
        <f aca="false">IF($B2062="",0,IFERROR(MATCH($B2062,COA_Mapping!$A$7:$A$256,0),0))</f>
        <v>0</v>
      </c>
      <c r="R2062" s="39" t="n">
        <f aca="false">IF($A2062="",-1,IF($J2062=Setup!$B$7,1,IF($J2062=Setup!$B$9,0,-1)))</f>
        <v>-1</v>
      </c>
      <c r="S2062" s="35" t="n">
        <f aca="false">IF(OR($A2062="",$Q2062=0,$R2062=-1),0,$Q2062*1000+$R2062*100+$K2062)</f>
        <v>0</v>
      </c>
      <c r="T2062" s="37" t="str">
        <f aca="false">IF($A2062="","",IF($B2062="","NO ACCOUNT",IF($Q2062=0,"UNMAPPED",IF($R2062=-1,"OUTSIDE FY RANGE","OK"))))</f>
        <v/>
      </c>
      <c r="U2062" s="40" t="str">
        <f aca="false">IF($A2062="","",$B2062&amp;"|"&amp;TEXT($A2062,"yyyymmdd")&amp;"|"&amp;TEXT($I2062,"0.00"))</f>
        <v/>
      </c>
      <c r="V2062" s="35" t="str">
        <f aca="false">IF($A2062="","",COUNTIF($U$8:$U$5007,$U2062))</f>
        <v/>
      </c>
    </row>
    <row r="2063" customFormat="false" ht="15" hidden="false" customHeight="false" outlineLevel="0" collapsed="false">
      <c r="A2063" s="31"/>
      <c r="B2063" s="32"/>
      <c r="C2063" s="32"/>
      <c r="D2063" s="32"/>
      <c r="E2063" s="32"/>
      <c r="F2063" s="32"/>
      <c r="G2063" s="33"/>
      <c r="H2063" s="33"/>
      <c r="I2063" s="34" t="str">
        <f aca="false">IF($A2063="","",$G2063-$H2063)</f>
        <v/>
      </c>
      <c r="J2063" s="35" t="str">
        <f aca="false">IF($A2063="","",IF(Setup!$B$6=1,YEAR($A2063),YEAR($A2063)+IF(MONTH($A2063)&gt;=Setup!$B$6,1,0)))</f>
        <v/>
      </c>
      <c r="K2063" s="35" t="str">
        <f aca="false">IF($A2063="","",MOD(MONTH($A2063)-Setup!$B$6+12,12)+1)</f>
        <v/>
      </c>
      <c r="L2063" s="36" t="str">
        <f aca="false">IF($A2063="","",TEXT($A2063,"MMM-YY"))</f>
        <v/>
      </c>
      <c r="M2063" s="37" t="str">
        <f aca="false">IF($A2063="","",IF($Q2063=0,"UNMAPPED",INDEX(COA_Mapping!$C$7:$C$256,$Q2063)))</f>
        <v/>
      </c>
      <c r="N2063" s="38" t="str">
        <f aca="false">IF($A2063="","",IF($Q2063=0,"",INDEX(COA_Mapping!$E$7:$E$256,$Q2063)))</f>
        <v/>
      </c>
      <c r="O2063" s="38" t="n">
        <f aca="false">IF($A2063="",1,IF($Q2063=0,1,INDEX(COA_Mapping!$F$7:$F$256,$Q2063)))</f>
        <v>1</v>
      </c>
      <c r="P2063" s="34" t="str">
        <f aca="false">IF($A2063="","",$I2063*$O2063)</f>
        <v/>
      </c>
      <c r="Q2063" s="39" t="n">
        <f aca="false">IF($B2063="",0,IFERROR(MATCH($B2063,COA_Mapping!$A$7:$A$256,0),0))</f>
        <v>0</v>
      </c>
      <c r="R2063" s="39" t="n">
        <f aca="false">IF($A2063="",-1,IF($J2063=Setup!$B$7,1,IF($J2063=Setup!$B$9,0,-1)))</f>
        <v>-1</v>
      </c>
      <c r="S2063" s="35" t="n">
        <f aca="false">IF(OR($A2063="",$Q2063=0,$R2063=-1),0,$Q2063*1000+$R2063*100+$K2063)</f>
        <v>0</v>
      </c>
      <c r="T2063" s="37" t="str">
        <f aca="false">IF($A2063="","",IF($B2063="","NO ACCOUNT",IF($Q2063=0,"UNMAPPED",IF($R2063=-1,"OUTSIDE FY RANGE","OK"))))</f>
        <v/>
      </c>
      <c r="U2063" s="40" t="str">
        <f aca="false">IF($A2063="","",$B2063&amp;"|"&amp;TEXT($A2063,"yyyymmdd")&amp;"|"&amp;TEXT($I2063,"0.00"))</f>
        <v/>
      </c>
      <c r="V2063" s="35" t="str">
        <f aca="false">IF($A2063="","",COUNTIF($U$8:$U$5007,$U2063))</f>
        <v/>
      </c>
    </row>
    <row r="2064" customFormat="false" ht="15" hidden="false" customHeight="false" outlineLevel="0" collapsed="false">
      <c r="A2064" s="31"/>
      <c r="B2064" s="32"/>
      <c r="C2064" s="32"/>
      <c r="D2064" s="32"/>
      <c r="E2064" s="32"/>
      <c r="F2064" s="32"/>
      <c r="G2064" s="33"/>
      <c r="H2064" s="33"/>
      <c r="I2064" s="34" t="str">
        <f aca="false">IF($A2064="","",$G2064-$H2064)</f>
        <v/>
      </c>
      <c r="J2064" s="35" t="str">
        <f aca="false">IF($A2064="","",IF(Setup!$B$6=1,YEAR($A2064),YEAR($A2064)+IF(MONTH($A2064)&gt;=Setup!$B$6,1,0)))</f>
        <v/>
      </c>
      <c r="K2064" s="35" t="str">
        <f aca="false">IF($A2064="","",MOD(MONTH($A2064)-Setup!$B$6+12,12)+1)</f>
        <v/>
      </c>
      <c r="L2064" s="36" t="str">
        <f aca="false">IF($A2064="","",TEXT($A2064,"MMM-YY"))</f>
        <v/>
      </c>
      <c r="M2064" s="37" t="str">
        <f aca="false">IF($A2064="","",IF($Q2064=0,"UNMAPPED",INDEX(COA_Mapping!$C$7:$C$256,$Q2064)))</f>
        <v/>
      </c>
      <c r="N2064" s="38" t="str">
        <f aca="false">IF($A2064="","",IF($Q2064=0,"",INDEX(COA_Mapping!$E$7:$E$256,$Q2064)))</f>
        <v/>
      </c>
      <c r="O2064" s="38" t="n">
        <f aca="false">IF($A2064="",1,IF($Q2064=0,1,INDEX(COA_Mapping!$F$7:$F$256,$Q2064)))</f>
        <v>1</v>
      </c>
      <c r="P2064" s="34" t="str">
        <f aca="false">IF($A2064="","",$I2064*$O2064)</f>
        <v/>
      </c>
      <c r="Q2064" s="39" t="n">
        <f aca="false">IF($B2064="",0,IFERROR(MATCH($B2064,COA_Mapping!$A$7:$A$256,0),0))</f>
        <v>0</v>
      </c>
      <c r="R2064" s="39" t="n">
        <f aca="false">IF($A2064="",-1,IF($J2064=Setup!$B$7,1,IF($J2064=Setup!$B$9,0,-1)))</f>
        <v>-1</v>
      </c>
      <c r="S2064" s="35" t="n">
        <f aca="false">IF(OR($A2064="",$Q2064=0,$R2064=-1),0,$Q2064*1000+$R2064*100+$K2064)</f>
        <v>0</v>
      </c>
      <c r="T2064" s="37" t="str">
        <f aca="false">IF($A2064="","",IF($B2064="","NO ACCOUNT",IF($Q2064=0,"UNMAPPED",IF($R2064=-1,"OUTSIDE FY RANGE","OK"))))</f>
        <v/>
      </c>
      <c r="U2064" s="40" t="str">
        <f aca="false">IF($A2064="","",$B2064&amp;"|"&amp;TEXT($A2064,"yyyymmdd")&amp;"|"&amp;TEXT($I2064,"0.00"))</f>
        <v/>
      </c>
      <c r="V2064" s="35" t="str">
        <f aca="false">IF($A2064="","",COUNTIF($U$8:$U$5007,$U2064))</f>
        <v/>
      </c>
    </row>
    <row r="2065" customFormat="false" ht="15" hidden="false" customHeight="false" outlineLevel="0" collapsed="false">
      <c r="A2065" s="31"/>
      <c r="B2065" s="32"/>
      <c r="C2065" s="32"/>
      <c r="D2065" s="32"/>
      <c r="E2065" s="32"/>
      <c r="F2065" s="32"/>
      <c r="G2065" s="33"/>
      <c r="H2065" s="33"/>
      <c r="I2065" s="34" t="str">
        <f aca="false">IF($A2065="","",$G2065-$H2065)</f>
        <v/>
      </c>
      <c r="J2065" s="35" t="str">
        <f aca="false">IF($A2065="","",IF(Setup!$B$6=1,YEAR($A2065),YEAR($A2065)+IF(MONTH($A2065)&gt;=Setup!$B$6,1,0)))</f>
        <v/>
      </c>
      <c r="K2065" s="35" t="str">
        <f aca="false">IF($A2065="","",MOD(MONTH($A2065)-Setup!$B$6+12,12)+1)</f>
        <v/>
      </c>
      <c r="L2065" s="36" t="str">
        <f aca="false">IF($A2065="","",TEXT($A2065,"MMM-YY"))</f>
        <v/>
      </c>
      <c r="M2065" s="37" t="str">
        <f aca="false">IF($A2065="","",IF($Q2065=0,"UNMAPPED",INDEX(COA_Mapping!$C$7:$C$256,$Q2065)))</f>
        <v/>
      </c>
      <c r="N2065" s="38" t="str">
        <f aca="false">IF($A2065="","",IF($Q2065=0,"",INDEX(COA_Mapping!$E$7:$E$256,$Q2065)))</f>
        <v/>
      </c>
      <c r="O2065" s="38" t="n">
        <f aca="false">IF($A2065="",1,IF($Q2065=0,1,INDEX(COA_Mapping!$F$7:$F$256,$Q2065)))</f>
        <v>1</v>
      </c>
      <c r="P2065" s="34" t="str">
        <f aca="false">IF($A2065="","",$I2065*$O2065)</f>
        <v/>
      </c>
      <c r="Q2065" s="39" t="n">
        <f aca="false">IF($B2065="",0,IFERROR(MATCH($B2065,COA_Mapping!$A$7:$A$256,0),0))</f>
        <v>0</v>
      </c>
      <c r="R2065" s="39" t="n">
        <f aca="false">IF($A2065="",-1,IF($J2065=Setup!$B$7,1,IF($J2065=Setup!$B$9,0,-1)))</f>
        <v>-1</v>
      </c>
      <c r="S2065" s="35" t="n">
        <f aca="false">IF(OR($A2065="",$Q2065=0,$R2065=-1),0,$Q2065*1000+$R2065*100+$K2065)</f>
        <v>0</v>
      </c>
      <c r="T2065" s="37" t="str">
        <f aca="false">IF($A2065="","",IF($B2065="","NO ACCOUNT",IF($Q2065=0,"UNMAPPED",IF($R2065=-1,"OUTSIDE FY RANGE","OK"))))</f>
        <v/>
      </c>
      <c r="U2065" s="40" t="str">
        <f aca="false">IF($A2065="","",$B2065&amp;"|"&amp;TEXT($A2065,"yyyymmdd")&amp;"|"&amp;TEXT($I2065,"0.00"))</f>
        <v/>
      </c>
      <c r="V2065" s="35" t="str">
        <f aca="false">IF($A2065="","",COUNTIF($U$8:$U$5007,$U2065))</f>
        <v/>
      </c>
    </row>
    <row r="2066" customFormat="false" ht="15" hidden="false" customHeight="false" outlineLevel="0" collapsed="false">
      <c r="A2066" s="31"/>
      <c r="B2066" s="32"/>
      <c r="C2066" s="32"/>
      <c r="D2066" s="32"/>
      <c r="E2066" s="32"/>
      <c r="F2066" s="32"/>
      <c r="G2066" s="33"/>
      <c r="H2066" s="33"/>
      <c r="I2066" s="34" t="str">
        <f aca="false">IF($A2066="","",$G2066-$H2066)</f>
        <v/>
      </c>
      <c r="J2066" s="35" t="str">
        <f aca="false">IF($A2066="","",IF(Setup!$B$6=1,YEAR($A2066),YEAR($A2066)+IF(MONTH($A2066)&gt;=Setup!$B$6,1,0)))</f>
        <v/>
      </c>
      <c r="K2066" s="35" t="str">
        <f aca="false">IF($A2066="","",MOD(MONTH($A2066)-Setup!$B$6+12,12)+1)</f>
        <v/>
      </c>
      <c r="L2066" s="36" t="str">
        <f aca="false">IF($A2066="","",TEXT($A2066,"MMM-YY"))</f>
        <v/>
      </c>
      <c r="M2066" s="37" t="str">
        <f aca="false">IF($A2066="","",IF($Q2066=0,"UNMAPPED",INDEX(COA_Mapping!$C$7:$C$256,$Q2066)))</f>
        <v/>
      </c>
      <c r="N2066" s="38" t="str">
        <f aca="false">IF($A2066="","",IF($Q2066=0,"",INDEX(COA_Mapping!$E$7:$E$256,$Q2066)))</f>
        <v/>
      </c>
      <c r="O2066" s="38" t="n">
        <f aca="false">IF($A2066="",1,IF($Q2066=0,1,INDEX(COA_Mapping!$F$7:$F$256,$Q2066)))</f>
        <v>1</v>
      </c>
      <c r="P2066" s="34" t="str">
        <f aca="false">IF($A2066="","",$I2066*$O2066)</f>
        <v/>
      </c>
      <c r="Q2066" s="39" t="n">
        <f aca="false">IF($B2066="",0,IFERROR(MATCH($B2066,COA_Mapping!$A$7:$A$256,0),0))</f>
        <v>0</v>
      </c>
      <c r="R2066" s="39" t="n">
        <f aca="false">IF($A2066="",-1,IF($J2066=Setup!$B$7,1,IF($J2066=Setup!$B$9,0,-1)))</f>
        <v>-1</v>
      </c>
      <c r="S2066" s="35" t="n">
        <f aca="false">IF(OR($A2066="",$Q2066=0,$R2066=-1),0,$Q2066*1000+$R2066*100+$K2066)</f>
        <v>0</v>
      </c>
      <c r="T2066" s="37" t="str">
        <f aca="false">IF($A2066="","",IF($B2066="","NO ACCOUNT",IF($Q2066=0,"UNMAPPED",IF($R2066=-1,"OUTSIDE FY RANGE","OK"))))</f>
        <v/>
      </c>
      <c r="U2066" s="40" t="str">
        <f aca="false">IF($A2066="","",$B2066&amp;"|"&amp;TEXT($A2066,"yyyymmdd")&amp;"|"&amp;TEXT($I2066,"0.00"))</f>
        <v/>
      </c>
      <c r="V2066" s="35" t="str">
        <f aca="false">IF($A2066="","",COUNTIF($U$8:$U$5007,$U2066))</f>
        <v/>
      </c>
    </row>
    <row r="2067" customFormat="false" ht="15" hidden="false" customHeight="false" outlineLevel="0" collapsed="false">
      <c r="A2067" s="31"/>
      <c r="B2067" s="32"/>
      <c r="C2067" s="32"/>
      <c r="D2067" s="32"/>
      <c r="E2067" s="32"/>
      <c r="F2067" s="32"/>
      <c r="G2067" s="33"/>
      <c r="H2067" s="33"/>
      <c r="I2067" s="34" t="str">
        <f aca="false">IF($A2067="","",$G2067-$H2067)</f>
        <v/>
      </c>
      <c r="J2067" s="35" t="str">
        <f aca="false">IF($A2067="","",IF(Setup!$B$6=1,YEAR($A2067),YEAR($A2067)+IF(MONTH($A2067)&gt;=Setup!$B$6,1,0)))</f>
        <v/>
      </c>
      <c r="K2067" s="35" t="str">
        <f aca="false">IF($A2067="","",MOD(MONTH($A2067)-Setup!$B$6+12,12)+1)</f>
        <v/>
      </c>
      <c r="L2067" s="36" t="str">
        <f aca="false">IF($A2067="","",TEXT($A2067,"MMM-YY"))</f>
        <v/>
      </c>
      <c r="M2067" s="37" t="str">
        <f aca="false">IF($A2067="","",IF($Q2067=0,"UNMAPPED",INDEX(COA_Mapping!$C$7:$C$256,$Q2067)))</f>
        <v/>
      </c>
      <c r="N2067" s="38" t="str">
        <f aca="false">IF($A2067="","",IF($Q2067=0,"",INDEX(COA_Mapping!$E$7:$E$256,$Q2067)))</f>
        <v/>
      </c>
      <c r="O2067" s="38" t="n">
        <f aca="false">IF($A2067="",1,IF($Q2067=0,1,INDEX(COA_Mapping!$F$7:$F$256,$Q2067)))</f>
        <v>1</v>
      </c>
      <c r="P2067" s="34" t="str">
        <f aca="false">IF($A2067="","",$I2067*$O2067)</f>
        <v/>
      </c>
      <c r="Q2067" s="39" t="n">
        <f aca="false">IF($B2067="",0,IFERROR(MATCH($B2067,COA_Mapping!$A$7:$A$256,0),0))</f>
        <v>0</v>
      </c>
      <c r="R2067" s="39" t="n">
        <f aca="false">IF($A2067="",-1,IF($J2067=Setup!$B$7,1,IF($J2067=Setup!$B$9,0,-1)))</f>
        <v>-1</v>
      </c>
      <c r="S2067" s="35" t="n">
        <f aca="false">IF(OR($A2067="",$Q2067=0,$R2067=-1),0,$Q2067*1000+$R2067*100+$K2067)</f>
        <v>0</v>
      </c>
      <c r="T2067" s="37" t="str">
        <f aca="false">IF($A2067="","",IF($B2067="","NO ACCOUNT",IF($Q2067=0,"UNMAPPED",IF($R2067=-1,"OUTSIDE FY RANGE","OK"))))</f>
        <v/>
      </c>
      <c r="U2067" s="40" t="str">
        <f aca="false">IF($A2067="","",$B2067&amp;"|"&amp;TEXT($A2067,"yyyymmdd")&amp;"|"&amp;TEXT($I2067,"0.00"))</f>
        <v/>
      </c>
      <c r="V2067" s="35" t="str">
        <f aca="false">IF($A2067="","",COUNTIF($U$8:$U$5007,$U2067))</f>
        <v/>
      </c>
    </row>
    <row r="2068" customFormat="false" ht="15" hidden="false" customHeight="false" outlineLevel="0" collapsed="false">
      <c r="A2068" s="31"/>
      <c r="B2068" s="32"/>
      <c r="C2068" s="32"/>
      <c r="D2068" s="32"/>
      <c r="E2068" s="32"/>
      <c r="F2068" s="32"/>
      <c r="G2068" s="33"/>
      <c r="H2068" s="33"/>
      <c r="I2068" s="34" t="str">
        <f aca="false">IF($A2068="","",$G2068-$H2068)</f>
        <v/>
      </c>
      <c r="J2068" s="35" t="str">
        <f aca="false">IF($A2068="","",IF(Setup!$B$6=1,YEAR($A2068),YEAR($A2068)+IF(MONTH($A2068)&gt;=Setup!$B$6,1,0)))</f>
        <v/>
      </c>
      <c r="K2068" s="35" t="str">
        <f aca="false">IF($A2068="","",MOD(MONTH($A2068)-Setup!$B$6+12,12)+1)</f>
        <v/>
      </c>
      <c r="L2068" s="36" t="str">
        <f aca="false">IF($A2068="","",TEXT($A2068,"MMM-YY"))</f>
        <v/>
      </c>
      <c r="M2068" s="37" t="str">
        <f aca="false">IF($A2068="","",IF($Q2068=0,"UNMAPPED",INDEX(COA_Mapping!$C$7:$C$256,$Q2068)))</f>
        <v/>
      </c>
      <c r="N2068" s="38" t="str">
        <f aca="false">IF($A2068="","",IF($Q2068=0,"",INDEX(COA_Mapping!$E$7:$E$256,$Q2068)))</f>
        <v/>
      </c>
      <c r="O2068" s="38" t="n">
        <f aca="false">IF($A2068="",1,IF($Q2068=0,1,INDEX(COA_Mapping!$F$7:$F$256,$Q2068)))</f>
        <v>1</v>
      </c>
      <c r="P2068" s="34" t="str">
        <f aca="false">IF($A2068="","",$I2068*$O2068)</f>
        <v/>
      </c>
      <c r="Q2068" s="39" t="n">
        <f aca="false">IF($B2068="",0,IFERROR(MATCH($B2068,COA_Mapping!$A$7:$A$256,0),0))</f>
        <v>0</v>
      </c>
      <c r="R2068" s="39" t="n">
        <f aca="false">IF($A2068="",-1,IF($J2068=Setup!$B$7,1,IF($J2068=Setup!$B$9,0,-1)))</f>
        <v>-1</v>
      </c>
      <c r="S2068" s="35" t="n">
        <f aca="false">IF(OR($A2068="",$Q2068=0,$R2068=-1),0,$Q2068*1000+$R2068*100+$K2068)</f>
        <v>0</v>
      </c>
      <c r="T2068" s="37" t="str">
        <f aca="false">IF($A2068="","",IF($B2068="","NO ACCOUNT",IF($Q2068=0,"UNMAPPED",IF($R2068=-1,"OUTSIDE FY RANGE","OK"))))</f>
        <v/>
      </c>
      <c r="U2068" s="40" t="str">
        <f aca="false">IF($A2068="","",$B2068&amp;"|"&amp;TEXT($A2068,"yyyymmdd")&amp;"|"&amp;TEXT($I2068,"0.00"))</f>
        <v/>
      </c>
      <c r="V2068" s="35" t="str">
        <f aca="false">IF($A2068="","",COUNTIF($U$8:$U$5007,$U2068))</f>
        <v/>
      </c>
    </row>
    <row r="2069" customFormat="false" ht="15" hidden="false" customHeight="false" outlineLevel="0" collapsed="false">
      <c r="A2069" s="31"/>
      <c r="B2069" s="32"/>
      <c r="C2069" s="32"/>
      <c r="D2069" s="32"/>
      <c r="E2069" s="32"/>
      <c r="F2069" s="32"/>
      <c r="G2069" s="33"/>
      <c r="H2069" s="33"/>
      <c r="I2069" s="34" t="str">
        <f aca="false">IF($A2069="","",$G2069-$H2069)</f>
        <v/>
      </c>
      <c r="J2069" s="35" t="str">
        <f aca="false">IF($A2069="","",IF(Setup!$B$6=1,YEAR($A2069),YEAR($A2069)+IF(MONTH($A2069)&gt;=Setup!$B$6,1,0)))</f>
        <v/>
      </c>
      <c r="K2069" s="35" t="str">
        <f aca="false">IF($A2069="","",MOD(MONTH($A2069)-Setup!$B$6+12,12)+1)</f>
        <v/>
      </c>
      <c r="L2069" s="36" t="str">
        <f aca="false">IF($A2069="","",TEXT($A2069,"MMM-YY"))</f>
        <v/>
      </c>
      <c r="M2069" s="37" t="str">
        <f aca="false">IF($A2069="","",IF($Q2069=0,"UNMAPPED",INDEX(COA_Mapping!$C$7:$C$256,$Q2069)))</f>
        <v/>
      </c>
      <c r="N2069" s="38" t="str">
        <f aca="false">IF($A2069="","",IF($Q2069=0,"",INDEX(COA_Mapping!$E$7:$E$256,$Q2069)))</f>
        <v/>
      </c>
      <c r="O2069" s="38" t="n">
        <f aca="false">IF($A2069="",1,IF($Q2069=0,1,INDEX(COA_Mapping!$F$7:$F$256,$Q2069)))</f>
        <v>1</v>
      </c>
      <c r="P2069" s="34" t="str">
        <f aca="false">IF($A2069="","",$I2069*$O2069)</f>
        <v/>
      </c>
      <c r="Q2069" s="39" t="n">
        <f aca="false">IF($B2069="",0,IFERROR(MATCH($B2069,COA_Mapping!$A$7:$A$256,0),0))</f>
        <v>0</v>
      </c>
      <c r="R2069" s="39" t="n">
        <f aca="false">IF($A2069="",-1,IF($J2069=Setup!$B$7,1,IF($J2069=Setup!$B$9,0,-1)))</f>
        <v>-1</v>
      </c>
      <c r="S2069" s="35" t="n">
        <f aca="false">IF(OR($A2069="",$Q2069=0,$R2069=-1),0,$Q2069*1000+$R2069*100+$K2069)</f>
        <v>0</v>
      </c>
      <c r="T2069" s="37" t="str">
        <f aca="false">IF($A2069="","",IF($B2069="","NO ACCOUNT",IF($Q2069=0,"UNMAPPED",IF($R2069=-1,"OUTSIDE FY RANGE","OK"))))</f>
        <v/>
      </c>
      <c r="U2069" s="40" t="str">
        <f aca="false">IF($A2069="","",$B2069&amp;"|"&amp;TEXT($A2069,"yyyymmdd")&amp;"|"&amp;TEXT($I2069,"0.00"))</f>
        <v/>
      </c>
      <c r="V2069" s="35" t="str">
        <f aca="false">IF($A2069="","",COUNTIF($U$8:$U$5007,$U2069))</f>
        <v/>
      </c>
    </row>
    <row r="2070" customFormat="false" ht="15" hidden="false" customHeight="false" outlineLevel="0" collapsed="false">
      <c r="A2070" s="31"/>
      <c r="B2070" s="32"/>
      <c r="C2070" s="32"/>
      <c r="D2070" s="32"/>
      <c r="E2070" s="32"/>
      <c r="F2070" s="32"/>
      <c r="G2070" s="33"/>
      <c r="H2070" s="33"/>
      <c r="I2070" s="34" t="str">
        <f aca="false">IF($A2070="","",$G2070-$H2070)</f>
        <v/>
      </c>
      <c r="J2070" s="35" t="str">
        <f aca="false">IF($A2070="","",IF(Setup!$B$6=1,YEAR($A2070),YEAR($A2070)+IF(MONTH($A2070)&gt;=Setup!$B$6,1,0)))</f>
        <v/>
      </c>
      <c r="K2070" s="35" t="str">
        <f aca="false">IF($A2070="","",MOD(MONTH($A2070)-Setup!$B$6+12,12)+1)</f>
        <v/>
      </c>
      <c r="L2070" s="36" t="str">
        <f aca="false">IF($A2070="","",TEXT($A2070,"MMM-YY"))</f>
        <v/>
      </c>
      <c r="M2070" s="37" t="str">
        <f aca="false">IF($A2070="","",IF($Q2070=0,"UNMAPPED",INDEX(COA_Mapping!$C$7:$C$256,$Q2070)))</f>
        <v/>
      </c>
      <c r="N2070" s="38" t="str">
        <f aca="false">IF($A2070="","",IF($Q2070=0,"",INDEX(COA_Mapping!$E$7:$E$256,$Q2070)))</f>
        <v/>
      </c>
      <c r="O2070" s="38" t="n">
        <f aca="false">IF($A2070="",1,IF($Q2070=0,1,INDEX(COA_Mapping!$F$7:$F$256,$Q2070)))</f>
        <v>1</v>
      </c>
      <c r="P2070" s="34" t="str">
        <f aca="false">IF($A2070="","",$I2070*$O2070)</f>
        <v/>
      </c>
      <c r="Q2070" s="39" t="n">
        <f aca="false">IF($B2070="",0,IFERROR(MATCH($B2070,COA_Mapping!$A$7:$A$256,0),0))</f>
        <v>0</v>
      </c>
      <c r="R2070" s="39" t="n">
        <f aca="false">IF($A2070="",-1,IF($J2070=Setup!$B$7,1,IF($J2070=Setup!$B$9,0,-1)))</f>
        <v>-1</v>
      </c>
      <c r="S2070" s="35" t="n">
        <f aca="false">IF(OR($A2070="",$Q2070=0,$R2070=-1),0,$Q2070*1000+$R2070*100+$K2070)</f>
        <v>0</v>
      </c>
      <c r="T2070" s="37" t="str">
        <f aca="false">IF($A2070="","",IF($B2070="","NO ACCOUNT",IF($Q2070=0,"UNMAPPED",IF($R2070=-1,"OUTSIDE FY RANGE","OK"))))</f>
        <v/>
      </c>
      <c r="U2070" s="40" t="str">
        <f aca="false">IF($A2070="","",$B2070&amp;"|"&amp;TEXT($A2070,"yyyymmdd")&amp;"|"&amp;TEXT($I2070,"0.00"))</f>
        <v/>
      </c>
      <c r="V2070" s="35" t="str">
        <f aca="false">IF($A2070="","",COUNTIF($U$8:$U$5007,$U2070))</f>
        <v/>
      </c>
    </row>
    <row r="2071" customFormat="false" ht="15" hidden="false" customHeight="false" outlineLevel="0" collapsed="false">
      <c r="A2071" s="31"/>
      <c r="B2071" s="32"/>
      <c r="C2071" s="32"/>
      <c r="D2071" s="32"/>
      <c r="E2071" s="32"/>
      <c r="F2071" s="32"/>
      <c r="G2071" s="33"/>
      <c r="H2071" s="33"/>
      <c r="I2071" s="34" t="str">
        <f aca="false">IF($A2071="","",$G2071-$H2071)</f>
        <v/>
      </c>
      <c r="J2071" s="35" t="str">
        <f aca="false">IF($A2071="","",IF(Setup!$B$6=1,YEAR($A2071),YEAR($A2071)+IF(MONTH($A2071)&gt;=Setup!$B$6,1,0)))</f>
        <v/>
      </c>
      <c r="K2071" s="35" t="str">
        <f aca="false">IF($A2071="","",MOD(MONTH($A2071)-Setup!$B$6+12,12)+1)</f>
        <v/>
      </c>
      <c r="L2071" s="36" t="str">
        <f aca="false">IF($A2071="","",TEXT($A2071,"MMM-YY"))</f>
        <v/>
      </c>
      <c r="M2071" s="37" t="str">
        <f aca="false">IF($A2071="","",IF($Q2071=0,"UNMAPPED",INDEX(COA_Mapping!$C$7:$C$256,$Q2071)))</f>
        <v/>
      </c>
      <c r="N2071" s="38" t="str">
        <f aca="false">IF($A2071="","",IF($Q2071=0,"",INDEX(COA_Mapping!$E$7:$E$256,$Q2071)))</f>
        <v/>
      </c>
      <c r="O2071" s="38" t="n">
        <f aca="false">IF($A2071="",1,IF($Q2071=0,1,INDEX(COA_Mapping!$F$7:$F$256,$Q2071)))</f>
        <v>1</v>
      </c>
      <c r="P2071" s="34" t="str">
        <f aca="false">IF($A2071="","",$I2071*$O2071)</f>
        <v/>
      </c>
      <c r="Q2071" s="39" t="n">
        <f aca="false">IF($B2071="",0,IFERROR(MATCH($B2071,COA_Mapping!$A$7:$A$256,0),0))</f>
        <v>0</v>
      </c>
      <c r="R2071" s="39" t="n">
        <f aca="false">IF($A2071="",-1,IF($J2071=Setup!$B$7,1,IF($J2071=Setup!$B$9,0,-1)))</f>
        <v>-1</v>
      </c>
      <c r="S2071" s="35" t="n">
        <f aca="false">IF(OR($A2071="",$Q2071=0,$R2071=-1),0,$Q2071*1000+$R2071*100+$K2071)</f>
        <v>0</v>
      </c>
      <c r="T2071" s="37" t="str">
        <f aca="false">IF($A2071="","",IF($B2071="","NO ACCOUNT",IF($Q2071=0,"UNMAPPED",IF($R2071=-1,"OUTSIDE FY RANGE","OK"))))</f>
        <v/>
      </c>
      <c r="U2071" s="40" t="str">
        <f aca="false">IF($A2071="","",$B2071&amp;"|"&amp;TEXT($A2071,"yyyymmdd")&amp;"|"&amp;TEXT($I2071,"0.00"))</f>
        <v/>
      </c>
      <c r="V2071" s="35" t="str">
        <f aca="false">IF($A2071="","",COUNTIF($U$8:$U$5007,$U2071))</f>
        <v/>
      </c>
    </row>
    <row r="2072" customFormat="false" ht="15" hidden="false" customHeight="false" outlineLevel="0" collapsed="false">
      <c r="A2072" s="31"/>
      <c r="B2072" s="32"/>
      <c r="C2072" s="32"/>
      <c r="D2072" s="32"/>
      <c r="E2072" s="32"/>
      <c r="F2072" s="32"/>
      <c r="G2072" s="33"/>
      <c r="H2072" s="33"/>
      <c r="I2072" s="34" t="str">
        <f aca="false">IF($A2072="","",$G2072-$H2072)</f>
        <v/>
      </c>
      <c r="J2072" s="35" t="str">
        <f aca="false">IF($A2072="","",IF(Setup!$B$6=1,YEAR($A2072),YEAR($A2072)+IF(MONTH($A2072)&gt;=Setup!$B$6,1,0)))</f>
        <v/>
      </c>
      <c r="K2072" s="35" t="str">
        <f aca="false">IF($A2072="","",MOD(MONTH($A2072)-Setup!$B$6+12,12)+1)</f>
        <v/>
      </c>
      <c r="L2072" s="36" t="str">
        <f aca="false">IF($A2072="","",TEXT($A2072,"MMM-YY"))</f>
        <v/>
      </c>
      <c r="M2072" s="37" t="str">
        <f aca="false">IF($A2072="","",IF($Q2072=0,"UNMAPPED",INDEX(COA_Mapping!$C$7:$C$256,$Q2072)))</f>
        <v/>
      </c>
      <c r="N2072" s="38" t="str">
        <f aca="false">IF($A2072="","",IF($Q2072=0,"",INDEX(COA_Mapping!$E$7:$E$256,$Q2072)))</f>
        <v/>
      </c>
      <c r="O2072" s="38" t="n">
        <f aca="false">IF($A2072="",1,IF($Q2072=0,1,INDEX(COA_Mapping!$F$7:$F$256,$Q2072)))</f>
        <v>1</v>
      </c>
      <c r="P2072" s="34" t="str">
        <f aca="false">IF($A2072="","",$I2072*$O2072)</f>
        <v/>
      </c>
      <c r="Q2072" s="39" t="n">
        <f aca="false">IF($B2072="",0,IFERROR(MATCH($B2072,COA_Mapping!$A$7:$A$256,0),0))</f>
        <v>0</v>
      </c>
      <c r="R2072" s="39" t="n">
        <f aca="false">IF($A2072="",-1,IF($J2072=Setup!$B$7,1,IF($J2072=Setup!$B$9,0,-1)))</f>
        <v>-1</v>
      </c>
      <c r="S2072" s="35" t="n">
        <f aca="false">IF(OR($A2072="",$Q2072=0,$R2072=-1),0,$Q2072*1000+$R2072*100+$K2072)</f>
        <v>0</v>
      </c>
      <c r="T2072" s="37" t="str">
        <f aca="false">IF($A2072="","",IF($B2072="","NO ACCOUNT",IF($Q2072=0,"UNMAPPED",IF($R2072=-1,"OUTSIDE FY RANGE","OK"))))</f>
        <v/>
      </c>
      <c r="U2072" s="40" t="str">
        <f aca="false">IF($A2072="","",$B2072&amp;"|"&amp;TEXT($A2072,"yyyymmdd")&amp;"|"&amp;TEXT($I2072,"0.00"))</f>
        <v/>
      </c>
      <c r="V2072" s="35" t="str">
        <f aca="false">IF($A2072="","",COUNTIF($U$8:$U$5007,$U2072))</f>
        <v/>
      </c>
    </row>
    <row r="2073" customFormat="false" ht="15" hidden="false" customHeight="false" outlineLevel="0" collapsed="false">
      <c r="A2073" s="31"/>
      <c r="B2073" s="32"/>
      <c r="C2073" s="32"/>
      <c r="D2073" s="32"/>
      <c r="E2073" s="32"/>
      <c r="F2073" s="32"/>
      <c r="G2073" s="33"/>
      <c r="H2073" s="33"/>
      <c r="I2073" s="34" t="str">
        <f aca="false">IF($A2073="","",$G2073-$H2073)</f>
        <v/>
      </c>
      <c r="J2073" s="35" t="str">
        <f aca="false">IF($A2073="","",IF(Setup!$B$6=1,YEAR($A2073),YEAR($A2073)+IF(MONTH($A2073)&gt;=Setup!$B$6,1,0)))</f>
        <v/>
      </c>
      <c r="K2073" s="35" t="str">
        <f aca="false">IF($A2073="","",MOD(MONTH($A2073)-Setup!$B$6+12,12)+1)</f>
        <v/>
      </c>
      <c r="L2073" s="36" t="str">
        <f aca="false">IF($A2073="","",TEXT($A2073,"MMM-YY"))</f>
        <v/>
      </c>
      <c r="M2073" s="37" t="str">
        <f aca="false">IF($A2073="","",IF($Q2073=0,"UNMAPPED",INDEX(COA_Mapping!$C$7:$C$256,$Q2073)))</f>
        <v/>
      </c>
      <c r="N2073" s="38" t="str">
        <f aca="false">IF($A2073="","",IF($Q2073=0,"",INDEX(COA_Mapping!$E$7:$E$256,$Q2073)))</f>
        <v/>
      </c>
      <c r="O2073" s="38" t="n">
        <f aca="false">IF($A2073="",1,IF($Q2073=0,1,INDEX(COA_Mapping!$F$7:$F$256,$Q2073)))</f>
        <v>1</v>
      </c>
      <c r="P2073" s="34" t="str">
        <f aca="false">IF($A2073="","",$I2073*$O2073)</f>
        <v/>
      </c>
      <c r="Q2073" s="39" t="n">
        <f aca="false">IF($B2073="",0,IFERROR(MATCH($B2073,COA_Mapping!$A$7:$A$256,0),0))</f>
        <v>0</v>
      </c>
      <c r="R2073" s="39" t="n">
        <f aca="false">IF($A2073="",-1,IF($J2073=Setup!$B$7,1,IF($J2073=Setup!$B$9,0,-1)))</f>
        <v>-1</v>
      </c>
      <c r="S2073" s="35" t="n">
        <f aca="false">IF(OR($A2073="",$Q2073=0,$R2073=-1),0,$Q2073*1000+$R2073*100+$K2073)</f>
        <v>0</v>
      </c>
      <c r="T2073" s="37" t="str">
        <f aca="false">IF($A2073="","",IF($B2073="","NO ACCOUNT",IF($Q2073=0,"UNMAPPED",IF($R2073=-1,"OUTSIDE FY RANGE","OK"))))</f>
        <v/>
      </c>
      <c r="U2073" s="40" t="str">
        <f aca="false">IF($A2073="","",$B2073&amp;"|"&amp;TEXT($A2073,"yyyymmdd")&amp;"|"&amp;TEXT($I2073,"0.00"))</f>
        <v/>
      </c>
      <c r="V2073" s="35" t="str">
        <f aca="false">IF($A2073="","",COUNTIF($U$8:$U$5007,$U2073))</f>
        <v/>
      </c>
    </row>
    <row r="2074" customFormat="false" ht="15" hidden="false" customHeight="false" outlineLevel="0" collapsed="false">
      <c r="A2074" s="31"/>
      <c r="B2074" s="32"/>
      <c r="C2074" s="32"/>
      <c r="D2074" s="32"/>
      <c r="E2074" s="32"/>
      <c r="F2074" s="32"/>
      <c r="G2074" s="33"/>
      <c r="H2074" s="33"/>
      <c r="I2074" s="34" t="str">
        <f aca="false">IF($A2074="","",$G2074-$H2074)</f>
        <v/>
      </c>
      <c r="J2074" s="35" t="str">
        <f aca="false">IF($A2074="","",IF(Setup!$B$6=1,YEAR($A2074),YEAR($A2074)+IF(MONTH($A2074)&gt;=Setup!$B$6,1,0)))</f>
        <v/>
      </c>
      <c r="K2074" s="35" t="str">
        <f aca="false">IF($A2074="","",MOD(MONTH($A2074)-Setup!$B$6+12,12)+1)</f>
        <v/>
      </c>
      <c r="L2074" s="36" t="str">
        <f aca="false">IF($A2074="","",TEXT($A2074,"MMM-YY"))</f>
        <v/>
      </c>
      <c r="M2074" s="37" t="str">
        <f aca="false">IF($A2074="","",IF($Q2074=0,"UNMAPPED",INDEX(COA_Mapping!$C$7:$C$256,$Q2074)))</f>
        <v/>
      </c>
      <c r="N2074" s="38" t="str">
        <f aca="false">IF($A2074="","",IF($Q2074=0,"",INDEX(COA_Mapping!$E$7:$E$256,$Q2074)))</f>
        <v/>
      </c>
      <c r="O2074" s="38" t="n">
        <f aca="false">IF($A2074="",1,IF($Q2074=0,1,INDEX(COA_Mapping!$F$7:$F$256,$Q2074)))</f>
        <v>1</v>
      </c>
      <c r="P2074" s="34" t="str">
        <f aca="false">IF($A2074="","",$I2074*$O2074)</f>
        <v/>
      </c>
      <c r="Q2074" s="39" t="n">
        <f aca="false">IF($B2074="",0,IFERROR(MATCH($B2074,COA_Mapping!$A$7:$A$256,0),0))</f>
        <v>0</v>
      </c>
      <c r="R2074" s="39" t="n">
        <f aca="false">IF($A2074="",-1,IF($J2074=Setup!$B$7,1,IF($J2074=Setup!$B$9,0,-1)))</f>
        <v>-1</v>
      </c>
      <c r="S2074" s="35" t="n">
        <f aca="false">IF(OR($A2074="",$Q2074=0,$R2074=-1),0,$Q2074*1000+$R2074*100+$K2074)</f>
        <v>0</v>
      </c>
      <c r="T2074" s="37" t="str">
        <f aca="false">IF($A2074="","",IF($B2074="","NO ACCOUNT",IF($Q2074=0,"UNMAPPED",IF($R2074=-1,"OUTSIDE FY RANGE","OK"))))</f>
        <v/>
      </c>
      <c r="U2074" s="40" t="str">
        <f aca="false">IF($A2074="","",$B2074&amp;"|"&amp;TEXT($A2074,"yyyymmdd")&amp;"|"&amp;TEXT($I2074,"0.00"))</f>
        <v/>
      </c>
      <c r="V2074" s="35" t="str">
        <f aca="false">IF($A2074="","",COUNTIF($U$8:$U$5007,$U2074))</f>
        <v/>
      </c>
    </row>
    <row r="2075" customFormat="false" ht="15" hidden="false" customHeight="false" outlineLevel="0" collapsed="false">
      <c r="A2075" s="31"/>
      <c r="B2075" s="32"/>
      <c r="C2075" s="32"/>
      <c r="D2075" s="32"/>
      <c r="E2075" s="32"/>
      <c r="F2075" s="32"/>
      <c r="G2075" s="33"/>
      <c r="H2075" s="33"/>
      <c r="I2075" s="34" t="str">
        <f aca="false">IF($A2075="","",$G2075-$H2075)</f>
        <v/>
      </c>
      <c r="J2075" s="35" t="str">
        <f aca="false">IF($A2075="","",IF(Setup!$B$6=1,YEAR($A2075),YEAR($A2075)+IF(MONTH($A2075)&gt;=Setup!$B$6,1,0)))</f>
        <v/>
      </c>
      <c r="K2075" s="35" t="str">
        <f aca="false">IF($A2075="","",MOD(MONTH($A2075)-Setup!$B$6+12,12)+1)</f>
        <v/>
      </c>
      <c r="L2075" s="36" t="str">
        <f aca="false">IF($A2075="","",TEXT($A2075,"MMM-YY"))</f>
        <v/>
      </c>
      <c r="M2075" s="37" t="str">
        <f aca="false">IF($A2075="","",IF($Q2075=0,"UNMAPPED",INDEX(COA_Mapping!$C$7:$C$256,$Q2075)))</f>
        <v/>
      </c>
      <c r="N2075" s="38" t="str">
        <f aca="false">IF($A2075="","",IF($Q2075=0,"",INDEX(COA_Mapping!$E$7:$E$256,$Q2075)))</f>
        <v/>
      </c>
      <c r="O2075" s="38" t="n">
        <f aca="false">IF($A2075="",1,IF($Q2075=0,1,INDEX(COA_Mapping!$F$7:$F$256,$Q2075)))</f>
        <v>1</v>
      </c>
      <c r="P2075" s="34" t="str">
        <f aca="false">IF($A2075="","",$I2075*$O2075)</f>
        <v/>
      </c>
      <c r="Q2075" s="39" t="n">
        <f aca="false">IF($B2075="",0,IFERROR(MATCH($B2075,COA_Mapping!$A$7:$A$256,0),0))</f>
        <v>0</v>
      </c>
      <c r="R2075" s="39" t="n">
        <f aca="false">IF($A2075="",-1,IF($J2075=Setup!$B$7,1,IF($J2075=Setup!$B$9,0,-1)))</f>
        <v>-1</v>
      </c>
      <c r="S2075" s="35" t="n">
        <f aca="false">IF(OR($A2075="",$Q2075=0,$R2075=-1),0,$Q2075*1000+$R2075*100+$K2075)</f>
        <v>0</v>
      </c>
      <c r="T2075" s="37" t="str">
        <f aca="false">IF($A2075="","",IF($B2075="","NO ACCOUNT",IF($Q2075=0,"UNMAPPED",IF($R2075=-1,"OUTSIDE FY RANGE","OK"))))</f>
        <v/>
      </c>
      <c r="U2075" s="40" t="str">
        <f aca="false">IF($A2075="","",$B2075&amp;"|"&amp;TEXT($A2075,"yyyymmdd")&amp;"|"&amp;TEXT($I2075,"0.00"))</f>
        <v/>
      </c>
      <c r="V2075" s="35" t="str">
        <f aca="false">IF($A2075="","",COUNTIF($U$8:$U$5007,$U2075))</f>
        <v/>
      </c>
    </row>
    <row r="2076" customFormat="false" ht="15" hidden="false" customHeight="false" outlineLevel="0" collapsed="false">
      <c r="A2076" s="31"/>
      <c r="B2076" s="32"/>
      <c r="C2076" s="32"/>
      <c r="D2076" s="32"/>
      <c r="E2076" s="32"/>
      <c r="F2076" s="32"/>
      <c r="G2076" s="33"/>
      <c r="H2076" s="33"/>
      <c r="I2076" s="34" t="str">
        <f aca="false">IF($A2076="","",$G2076-$H2076)</f>
        <v/>
      </c>
      <c r="J2076" s="35" t="str">
        <f aca="false">IF($A2076="","",IF(Setup!$B$6=1,YEAR($A2076),YEAR($A2076)+IF(MONTH($A2076)&gt;=Setup!$B$6,1,0)))</f>
        <v/>
      </c>
      <c r="K2076" s="35" t="str">
        <f aca="false">IF($A2076="","",MOD(MONTH($A2076)-Setup!$B$6+12,12)+1)</f>
        <v/>
      </c>
      <c r="L2076" s="36" t="str">
        <f aca="false">IF($A2076="","",TEXT($A2076,"MMM-YY"))</f>
        <v/>
      </c>
      <c r="M2076" s="37" t="str">
        <f aca="false">IF($A2076="","",IF($Q2076=0,"UNMAPPED",INDEX(COA_Mapping!$C$7:$C$256,$Q2076)))</f>
        <v/>
      </c>
      <c r="N2076" s="38" t="str">
        <f aca="false">IF($A2076="","",IF($Q2076=0,"",INDEX(COA_Mapping!$E$7:$E$256,$Q2076)))</f>
        <v/>
      </c>
      <c r="O2076" s="38" t="n">
        <f aca="false">IF($A2076="",1,IF($Q2076=0,1,INDEX(COA_Mapping!$F$7:$F$256,$Q2076)))</f>
        <v>1</v>
      </c>
      <c r="P2076" s="34" t="str">
        <f aca="false">IF($A2076="","",$I2076*$O2076)</f>
        <v/>
      </c>
      <c r="Q2076" s="39" t="n">
        <f aca="false">IF($B2076="",0,IFERROR(MATCH($B2076,COA_Mapping!$A$7:$A$256,0),0))</f>
        <v>0</v>
      </c>
      <c r="R2076" s="39" t="n">
        <f aca="false">IF($A2076="",-1,IF($J2076=Setup!$B$7,1,IF($J2076=Setup!$B$9,0,-1)))</f>
        <v>-1</v>
      </c>
      <c r="S2076" s="35" t="n">
        <f aca="false">IF(OR($A2076="",$Q2076=0,$R2076=-1),0,$Q2076*1000+$R2076*100+$K2076)</f>
        <v>0</v>
      </c>
      <c r="T2076" s="37" t="str">
        <f aca="false">IF($A2076="","",IF($B2076="","NO ACCOUNT",IF($Q2076=0,"UNMAPPED",IF($R2076=-1,"OUTSIDE FY RANGE","OK"))))</f>
        <v/>
      </c>
      <c r="U2076" s="40" t="str">
        <f aca="false">IF($A2076="","",$B2076&amp;"|"&amp;TEXT($A2076,"yyyymmdd")&amp;"|"&amp;TEXT($I2076,"0.00"))</f>
        <v/>
      </c>
      <c r="V2076" s="35" t="str">
        <f aca="false">IF($A2076="","",COUNTIF($U$8:$U$5007,$U2076))</f>
        <v/>
      </c>
    </row>
    <row r="2077" customFormat="false" ht="15" hidden="false" customHeight="false" outlineLevel="0" collapsed="false">
      <c r="A2077" s="31"/>
      <c r="B2077" s="32"/>
      <c r="C2077" s="32"/>
      <c r="D2077" s="32"/>
      <c r="E2077" s="32"/>
      <c r="F2077" s="32"/>
      <c r="G2077" s="33"/>
      <c r="H2077" s="33"/>
      <c r="I2077" s="34" t="str">
        <f aca="false">IF($A2077="","",$G2077-$H2077)</f>
        <v/>
      </c>
      <c r="J2077" s="35" t="str">
        <f aca="false">IF($A2077="","",IF(Setup!$B$6=1,YEAR($A2077),YEAR($A2077)+IF(MONTH($A2077)&gt;=Setup!$B$6,1,0)))</f>
        <v/>
      </c>
      <c r="K2077" s="35" t="str">
        <f aca="false">IF($A2077="","",MOD(MONTH($A2077)-Setup!$B$6+12,12)+1)</f>
        <v/>
      </c>
      <c r="L2077" s="36" t="str">
        <f aca="false">IF($A2077="","",TEXT($A2077,"MMM-YY"))</f>
        <v/>
      </c>
      <c r="M2077" s="37" t="str">
        <f aca="false">IF($A2077="","",IF($Q2077=0,"UNMAPPED",INDEX(COA_Mapping!$C$7:$C$256,$Q2077)))</f>
        <v/>
      </c>
      <c r="N2077" s="38" t="str">
        <f aca="false">IF($A2077="","",IF($Q2077=0,"",INDEX(COA_Mapping!$E$7:$E$256,$Q2077)))</f>
        <v/>
      </c>
      <c r="O2077" s="38" t="n">
        <f aca="false">IF($A2077="",1,IF($Q2077=0,1,INDEX(COA_Mapping!$F$7:$F$256,$Q2077)))</f>
        <v>1</v>
      </c>
      <c r="P2077" s="34" t="str">
        <f aca="false">IF($A2077="","",$I2077*$O2077)</f>
        <v/>
      </c>
      <c r="Q2077" s="39" t="n">
        <f aca="false">IF($B2077="",0,IFERROR(MATCH($B2077,COA_Mapping!$A$7:$A$256,0),0))</f>
        <v>0</v>
      </c>
      <c r="R2077" s="39" t="n">
        <f aca="false">IF($A2077="",-1,IF($J2077=Setup!$B$7,1,IF($J2077=Setup!$B$9,0,-1)))</f>
        <v>-1</v>
      </c>
      <c r="S2077" s="35" t="n">
        <f aca="false">IF(OR($A2077="",$Q2077=0,$R2077=-1),0,$Q2077*1000+$R2077*100+$K2077)</f>
        <v>0</v>
      </c>
      <c r="T2077" s="37" t="str">
        <f aca="false">IF($A2077="","",IF($B2077="","NO ACCOUNT",IF($Q2077=0,"UNMAPPED",IF($R2077=-1,"OUTSIDE FY RANGE","OK"))))</f>
        <v/>
      </c>
      <c r="U2077" s="40" t="str">
        <f aca="false">IF($A2077="","",$B2077&amp;"|"&amp;TEXT($A2077,"yyyymmdd")&amp;"|"&amp;TEXT($I2077,"0.00"))</f>
        <v/>
      </c>
      <c r="V2077" s="35" t="str">
        <f aca="false">IF($A2077="","",COUNTIF($U$8:$U$5007,$U2077))</f>
        <v/>
      </c>
    </row>
    <row r="2078" customFormat="false" ht="15" hidden="false" customHeight="false" outlineLevel="0" collapsed="false">
      <c r="A2078" s="31"/>
      <c r="B2078" s="32"/>
      <c r="C2078" s="32"/>
      <c r="D2078" s="32"/>
      <c r="E2078" s="32"/>
      <c r="F2078" s="32"/>
      <c r="G2078" s="33"/>
      <c r="H2078" s="33"/>
      <c r="I2078" s="34" t="str">
        <f aca="false">IF($A2078="","",$G2078-$H2078)</f>
        <v/>
      </c>
      <c r="J2078" s="35" t="str">
        <f aca="false">IF($A2078="","",IF(Setup!$B$6=1,YEAR($A2078),YEAR($A2078)+IF(MONTH($A2078)&gt;=Setup!$B$6,1,0)))</f>
        <v/>
      </c>
      <c r="K2078" s="35" t="str">
        <f aca="false">IF($A2078="","",MOD(MONTH($A2078)-Setup!$B$6+12,12)+1)</f>
        <v/>
      </c>
      <c r="L2078" s="36" t="str">
        <f aca="false">IF($A2078="","",TEXT($A2078,"MMM-YY"))</f>
        <v/>
      </c>
      <c r="M2078" s="37" t="str">
        <f aca="false">IF($A2078="","",IF($Q2078=0,"UNMAPPED",INDEX(COA_Mapping!$C$7:$C$256,$Q2078)))</f>
        <v/>
      </c>
      <c r="N2078" s="38" t="str">
        <f aca="false">IF($A2078="","",IF($Q2078=0,"",INDEX(COA_Mapping!$E$7:$E$256,$Q2078)))</f>
        <v/>
      </c>
      <c r="O2078" s="38" t="n">
        <f aca="false">IF($A2078="",1,IF($Q2078=0,1,INDEX(COA_Mapping!$F$7:$F$256,$Q2078)))</f>
        <v>1</v>
      </c>
      <c r="P2078" s="34" t="str">
        <f aca="false">IF($A2078="","",$I2078*$O2078)</f>
        <v/>
      </c>
      <c r="Q2078" s="39" t="n">
        <f aca="false">IF($B2078="",0,IFERROR(MATCH($B2078,COA_Mapping!$A$7:$A$256,0),0))</f>
        <v>0</v>
      </c>
      <c r="R2078" s="39" t="n">
        <f aca="false">IF($A2078="",-1,IF($J2078=Setup!$B$7,1,IF($J2078=Setup!$B$9,0,-1)))</f>
        <v>-1</v>
      </c>
      <c r="S2078" s="35" t="n">
        <f aca="false">IF(OR($A2078="",$Q2078=0,$R2078=-1),0,$Q2078*1000+$R2078*100+$K2078)</f>
        <v>0</v>
      </c>
      <c r="T2078" s="37" t="str">
        <f aca="false">IF($A2078="","",IF($B2078="","NO ACCOUNT",IF($Q2078=0,"UNMAPPED",IF($R2078=-1,"OUTSIDE FY RANGE","OK"))))</f>
        <v/>
      </c>
      <c r="U2078" s="40" t="str">
        <f aca="false">IF($A2078="","",$B2078&amp;"|"&amp;TEXT($A2078,"yyyymmdd")&amp;"|"&amp;TEXT($I2078,"0.00"))</f>
        <v/>
      </c>
      <c r="V2078" s="35" t="str">
        <f aca="false">IF($A2078="","",COUNTIF($U$8:$U$5007,$U2078))</f>
        <v/>
      </c>
    </row>
    <row r="2079" customFormat="false" ht="15" hidden="false" customHeight="false" outlineLevel="0" collapsed="false">
      <c r="A2079" s="31"/>
      <c r="B2079" s="32"/>
      <c r="C2079" s="32"/>
      <c r="D2079" s="32"/>
      <c r="E2079" s="32"/>
      <c r="F2079" s="32"/>
      <c r="G2079" s="33"/>
      <c r="H2079" s="33"/>
      <c r="I2079" s="34" t="str">
        <f aca="false">IF($A2079="","",$G2079-$H2079)</f>
        <v/>
      </c>
      <c r="J2079" s="35" t="str">
        <f aca="false">IF($A2079="","",IF(Setup!$B$6=1,YEAR($A2079),YEAR($A2079)+IF(MONTH($A2079)&gt;=Setup!$B$6,1,0)))</f>
        <v/>
      </c>
      <c r="K2079" s="35" t="str">
        <f aca="false">IF($A2079="","",MOD(MONTH($A2079)-Setup!$B$6+12,12)+1)</f>
        <v/>
      </c>
      <c r="L2079" s="36" t="str">
        <f aca="false">IF($A2079="","",TEXT($A2079,"MMM-YY"))</f>
        <v/>
      </c>
      <c r="M2079" s="37" t="str">
        <f aca="false">IF($A2079="","",IF($Q2079=0,"UNMAPPED",INDEX(COA_Mapping!$C$7:$C$256,$Q2079)))</f>
        <v/>
      </c>
      <c r="N2079" s="38" t="str">
        <f aca="false">IF($A2079="","",IF($Q2079=0,"",INDEX(COA_Mapping!$E$7:$E$256,$Q2079)))</f>
        <v/>
      </c>
      <c r="O2079" s="38" t="n">
        <f aca="false">IF($A2079="",1,IF($Q2079=0,1,INDEX(COA_Mapping!$F$7:$F$256,$Q2079)))</f>
        <v>1</v>
      </c>
      <c r="P2079" s="34" t="str">
        <f aca="false">IF($A2079="","",$I2079*$O2079)</f>
        <v/>
      </c>
      <c r="Q2079" s="39" t="n">
        <f aca="false">IF($B2079="",0,IFERROR(MATCH($B2079,COA_Mapping!$A$7:$A$256,0),0))</f>
        <v>0</v>
      </c>
      <c r="R2079" s="39" t="n">
        <f aca="false">IF($A2079="",-1,IF($J2079=Setup!$B$7,1,IF($J2079=Setup!$B$9,0,-1)))</f>
        <v>-1</v>
      </c>
      <c r="S2079" s="35" t="n">
        <f aca="false">IF(OR($A2079="",$Q2079=0,$R2079=-1),0,$Q2079*1000+$R2079*100+$K2079)</f>
        <v>0</v>
      </c>
      <c r="T2079" s="37" t="str">
        <f aca="false">IF($A2079="","",IF($B2079="","NO ACCOUNT",IF($Q2079=0,"UNMAPPED",IF($R2079=-1,"OUTSIDE FY RANGE","OK"))))</f>
        <v/>
      </c>
      <c r="U2079" s="40" t="str">
        <f aca="false">IF($A2079="","",$B2079&amp;"|"&amp;TEXT($A2079,"yyyymmdd")&amp;"|"&amp;TEXT($I2079,"0.00"))</f>
        <v/>
      </c>
      <c r="V2079" s="35" t="str">
        <f aca="false">IF($A2079="","",COUNTIF($U$8:$U$5007,$U2079))</f>
        <v/>
      </c>
    </row>
    <row r="2080" customFormat="false" ht="15" hidden="false" customHeight="false" outlineLevel="0" collapsed="false">
      <c r="A2080" s="31"/>
      <c r="B2080" s="32"/>
      <c r="C2080" s="32"/>
      <c r="D2080" s="32"/>
      <c r="E2080" s="32"/>
      <c r="F2080" s="32"/>
      <c r="G2080" s="33"/>
      <c r="H2080" s="33"/>
      <c r="I2080" s="34" t="str">
        <f aca="false">IF($A2080="","",$G2080-$H2080)</f>
        <v/>
      </c>
      <c r="J2080" s="35" t="str">
        <f aca="false">IF($A2080="","",IF(Setup!$B$6=1,YEAR($A2080),YEAR($A2080)+IF(MONTH($A2080)&gt;=Setup!$B$6,1,0)))</f>
        <v/>
      </c>
      <c r="K2080" s="35" t="str">
        <f aca="false">IF($A2080="","",MOD(MONTH($A2080)-Setup!$B$6+12,12)+1)</f>
        <v/>
      </c>
      <c r="L2080" s="36" t="str">
        <f aca="false">IF($A2080="","",TEXT($A2080,"MMM-YY"))</f>
        <v/>
      </c>
      <c r="M2080" s="37" t="str">
        <f aca="false">IF($A2080="","",IF($Q2080=0,"UNMAPPED",INDEX(COA_Mapping!$C$7:$C$256,$Q2080)))</f>
        <v/>
      </c>
      <c r="N2080" s="38" t="str">
        <f aca="false">IF($A2080="","",IF($Q2080=0,"",INDEX(COA_Mapping!$E$7:$E$256,$Q2080)))</f>
        <v/>
      </c>
      <c r="O2080" s="38" t="n">
        <f aca="false">IF($A2080="",1,IF($Q2080=0,1,INDEX(COA_Mapping!$F$7:$F$256,$Q2080)))</f>
        <v>1</v>
      </c>
      <c r="P2080" s="34" t="str">
        <f aca="false">IF($A2080="","",$I2080*$O2080)</f>
        <v/>
      </c>
      <c r="Q2080" s="39" t="n">
        <f aca="false">IF($B2080="",0,IFERROR(MATCH($B2080,COA_Mapping!$A$7:$A$256,0),0))</f>
        <v>0</v>
      </c>
      <c r="R2080" s="39" t="n">
        <f aca="false">IF($A2080="",-1,IF($J2080=Setup!$B$7,1,IF($J2080=Setup!$B$9,0,-1)))</f>
        <v>-1</v>
      </c>
      <c r="S2080" s="35" t="n">
        <f aca="false">IF(OR($A2080="",$Q2080=0,$R2080=-1),0,$Q2080*1000+$R2080*100+$K2080)</f>
        <v>0</v>
      </c>
      <c r="T2080" s="37" t="str">
        <f aca="false">IF($A2080="","",IF($B2080="","NO ACCOUNT",IF($Q2080=0,"UNMAPPED",IF($R2080=-1,"OUTSIDE FY RANGE","OK"))))</f>
        <v/>
      </c>
      <c r="U2080" s="40" t="str">
        <f aca="false">IF($A2080="","",$B2080&amp;"|"&amp;TEXT($A2080,"yyyymmdd")&amp;"|"&amp;TEXT($I2080,"0.00"))</f>
        <v/>
      </c>
      <c r="V2080" s="35" t="str">
        <f aca="false">IF($A2080="","",COUNTIF($U$8:$U$5007,$U2080))</f>
        <v/>
      </c>
    </row>
    <row r="2081" customFormat="false" ht="15" hidden="false" customHeight="false" outlineLevel="0" collapsed="false">
      <c r="A2081" s="31"/>
      <c r="B2081" s="32"/>
      <c r="C2081" s="32"/>
      <c r="D2081" s="32"/>
      <c r="E2081" s="32"/>
      <c r="F2081" s="32"/>
      <c r="G2081" s="33"/>
      <c r="H2081" s="33"/>
      <c r="I2081" s="34" t="str">
        <f aca="false">IF($A2081="","",$G2081-$H2081)</f>
        <v/>
      </c>
      <c r="J2081" s="35" t="str">
        <f aca="false">IF($A2081="","",IF(Setup!$B$6=1,YEAR($A2081),YEAR($A2081)+IF(MONTH($A2081)&gt;=Setup!$B$6,1,0)))</f>
        <v/>
      </c>
      <c r="K2081" s="35" t="str">
        <f aca="false">IF($A2081="","",MOD(MONTH($A2081)-Setup!$B$6+12,12)+1)</f>
        <v/>
      </c>
      <c r="L2081" s="36" t="str">
        <f aca="false">IF($A2081="","",TEXT($A2081,"MMM-YY"))</f>
        <v/>
      </c>
      <c r="M2081" s="37" t="str">
        <f aca="false">IF($A2081="","",IF($Q2081=0,"UNMAPPED",INDEX(COA_Mapping!$C$7:$C$256,$Q2081)))</f>
        <v/>
      </c>
      <c r="N2081" s="38" t="str">
        <f aca="false">IF($A2081="","",IF($Q2081=0,"",INDEX(COA_Mapping!$E$7:$E$256,$Q2081)))</f>
        <v/>
      </c>
      <c r="O2081" s="38" t="n">
        <f aca="false">IF($A2081="",1,IF($Q2081=0,1,INDEX(COA_Mapping!$F$7:$F$256,$Q2081)))</f>
        <v>1</v>
      </c>
      <c r="P2081" s="34" t="str">
        <f aca="false">IF($A2081="","",$I2081*$O2081)</f>
        <v/>
      </c>
      <c r="Q2081" s="39" t="n">
        <f aca="false">IF($B2081="",0,IFERROR(MATCH($B2081,COA_Mapping!$A$7:$A$256,0),0))</f>
        <v>0</v>
      </c>
      <c r="R2081" s="39" t="n">
        <f aca="false">IF($A2081="",-1,IF($J2081=Setup!$B$7,1,IF($J2081=Setup!$B$9,0,-1)))</f>
        <v>-1</v>
      </c>
      <c r="S2081" s="35" t="n">
        <f aca="false">IF(OR($A2081="",$Q2081=0,$R2081=-1),0,$Q2081*1000+$R2081*100+$K2081)</f>
        <v>0</v>
      </c>
      <c r="T2081" s="37" t="str">
        <f aca="false">IF($A2081="","",IF($B2081="","NO ACCOUNT",IF($Q2081=0,"UNMAPPED",IF($R2081=-1,"OUTSIDE FY RANGE","OK"))))</f>
        <v/>
      </c>
      <c r="U2081" s="40" t="str">
        <f aca="false">IF($A2081="","",$B2081&amp;"|"&amp;TEXT($A2081,"yyyymmdd")&amp;"|"&amp;TEXT($I2081,"0.00"))</f>
        <v/>
      </c>
      <c r="V2081" s="35" t="str">
        <f aca="false">IF($A2081="","",COUNTIF($U$8:$U$5007,$U2081))</f>
        <v/>
      </c>
    </row>
    <row r="2082" customFormat="false" ht="15" hidden="false" customHeight="false" outlineLevel="0" collapsed="false">
      <c r="A2082" s="31"/>
      <c r="B2082" s="32"/>
      <c r="C2082" s="32"/>
      <c r="D2082" s="32"/>
      <c r="E2082" s="32"/>
      <c r="F2082" s="32"/>
      <c r="G2082" s="33"/>
      <c r="H2082" s="33"/>
      <c r="I2082" s="34" t="str">
        <f aca="false">IF($A2082="","",$G2082-$H2082)</f>
        <v/>
      </c>
      <c r="J2082" s="35" t="str">
        <f aca="false">IF($A2082="","",IF(Setup!$B$6=1,YEAR($A2082),YEAR($A2082)+IF(MONTH($A2082)&gt;=Setup!$B$6,1,0)))</f>
        <v/>
      </c>
      <c r="K2082" s="35" t="str">
        <f aca="false">IF($A2082="","",MOD(MONTH($A2082)-Setup!$B$6+12,12)+1)</f>
        <v/>
      </c>
      <c r="L2082" s="36" t="str">
        <f aca="false">IF($A2082="","",TEXT($A2082,"MMM-YY"))</f>
        <v/>
      </c>
      <c r="M2082" s="37" t="str">
        <f aca="false">IF($A2082="","",IF($Q2082=0,"UNMAPPED",INDEX(COA_Mapping!$C$7:$C$256,$Q2082)))</f>
        <v/>
      </c>
      <c r="N2082" s="38" t="str">
        <f aca="false">IF($A2082="","",IF($Q2082=0,"",INDEX(COA_Mapping!$E$7:$E$256,$Q2082)))</f>
        <v/>
      </c>
      <c r="O2082" s="38" t="n">
        <f aca="false">IF($A2082="",1,IF($Q2082=0,1,INDEX(COA_Mapping!$F$7:$F$256,$Q2082)))</f>
        <v>1</v>
      </c>
      <c r="P2082" s="34" t="str">
        <f aca="false">IF($A2082="","",$I2082*$O2082)</f>
        <v/>
      </c>
      <c r="Q2082" s="39" t="n">
        <f aca="false">IF($B2082="",0,IFERROR(MATCH($B2082,COA_Mapping!$A$7:$A$256,0),0))</f>
        <v>0</v>
      </c>
      <c r="R2082" s="39" t="n">
        <f aca="false">IF($A2082="",-1,IF($J2082=Setup!$B$7,1,IF($J2082=Setup!$B$9,0,-1)))</f>
        <v>-1</v>
      </c>
      <c r="S2082" s="35" t="n">
        <f aca="false">IF(OR($A2082="",$Q2082=0,$R2082=-1),0,$Q2082*1000+$R2082*100+$K2082)</f>
        <v>0</v>
      </c>
      <c r="T2082" s="37" t="str">
        <f aca="false">IF($A2082="","",IF($B2082="","NO ACCOUNT",IF($Q2082=0,"UNMAPPED",IF($R2082=-1,"OUTSIDE FY RANGE","OK"))))</f>
        <v/>
      </c>
      <c r="U2082" s="40" t="str">
        <f aca="false">IF($A2082="","",$B2082&amp;"|"&amp;TEXT($A2082,"yyyymmdd")&amp;"|"&amp;TEXT($I2082,"0.00"))</f>
        <v/>
      </c>
      <c r="V2082" s="35" t="str">
        <f aca="false">IF($A2082="","",COUNTIF($U$8:$U$5007,$U2082))</f>
        <v/>
      </c>
    </row>
    <row r="2083" customFormat="false" ht="15" hidden="false" customHeight="false" outlineLevel="0" collapsed="false">
      <c r="A2083" s="31"/>
      <c r="B2083" s="32"/>
      <c r="C2083" s="32"/>
      <c r="D2083" s="32"/>
      <c r="E2083" s="32"/>
      <c r="F2083" s="32"/>
      <c r="G2083" s="33"/>
      <c r="H2083" s="33"/>
      <c r="I2083" s="34" t="str">
        <f aca="false">IF($A2083="","",$G2083-$H2083)</f>
        <v/>
      </c>
      <c r="J2083" s="35" t="str">
        <f aca="false">IF($A2083="","",IF(Setup!$B$6=1,YEAR($A2083),YEAR($A2083)+IF(MONTH($A2083)&gt;=Setup!$B$6,1,0)))</f>
        <v/>
      </c>
      <c r="K2083" s="35" t="str">
        <f aca="false">IF($A2083="","",MOD(MONTH($A2083)-Setup!$B$6+12,12)+1)</f>
        <v/>
      </c>
      <c r="L2083" s="36" t="str">
        <f aca="false">IF($A2083="","",TEXT($A2083,"MMM-YY"))</f>
        <v/>
      </c>
      <c r="M2083" s="37" t="str">
        <f aca="false">IF($A2083="","",IF($Q2083=0,"UNMAPPED",INDEX(COA_Mapping!$C$7:$C$256,$Q2083)))</f>
        <v/>
      </c>
      <c r="N2083" s="38" t="str">
        <f aca="false">IF($A2083="","",IF($Q2083=0,"",INDEX(COA_Mapping!$E$7:$E$256,$Q2083)))</f>
        <v/>
      </c>
      <c r="O2083" s="38" t="n">
        <f aca="false">IF($A2083="",1,IF($Q2083=0,1,INDEX(COA_Mapping!$F$7:$F$256,$Q2083)))</f>
        <v>1</v>
      </c>
      <c r="P2083" s="34" t="str">
        <f aca="false">IF($A2083="","",$I2083*$O2083)</f>
        <v/>
      </c>
      <c r="Q2083" s="39" t="n">
        <f aca="false">IF($B2083="",0,IFERROR(MATCH($B2083,COA_Mapping!$A$7:$A$256,0),0))</f>
        <v>0</v>
      </c>
      <c r="R2083" s="39" t="n">
        <f aca="false">IF($A2083="",-1,IF($J2083=Setup!$B$7,1,IF($J2083=Setup!$B$9,0,-1)))</f>
        <v>-1</v>
      </c>
      <c r="S2083" s="35" t="n">
        <f aca="false">IF(OR($A2083="",$Q2083=0,$R2083=-1),0,$Q2083*1000+$R2083*100+$K2083)</f>
        <v>0</v>
      </c>
      <c r="T2083" s="37" t="str">
        <f aca="false">IF($A2083="","",IF($B2083="","NO ACCOUNT",IF($Q2083=0,"UNMAPPED",IF($R2083=-1,"OUTSIDE FY RANGE","OK"))))</f>
        <v/>
      </c>
      <c r="U2083" s="40" t="str">
        <f aca="false">IF($A2083="","",$B2083&amp;"|"&amp;TEXT($A2083,"yyyymmdd")&amp;"|"&amp;TEXT($I2083,"0.00"))</f>
        <v/>
      </c>
      <c r="V2083" s="35" t="str">
        <f aca="false">IF($A2083="","",COUNTIF($U$8:$U$5007,$U2083))</f>
        <v/>
      </c>
    </row>
    <row r="2084" customFormat="false" ht="15" hidden="false" customHeight="false" outlineLevel="0" collapsed="false">
      <c r="A2084" s="31"/>
      <c r="B2084" s="32"/>
      <c r="C2084" s="32"/>
      <c r="D2084" s="32"/>
      <c r="E2084" s="32"/>
      <c r="F2084" s="32"/>
      <c r="G2084" s="33"/>
      <c r="H2084" s="33"/>
      <c r="I2084" s="34" t="str">
        <f aca="false">IF($A2084="","",$G2084-$H2084)</f>
        <v/>
      </c>
      <c r="J2084" s="35" t="str">
        <f aca="false">IF($A2084="","",IF(Setup!$B$6=1,YEAR($A2084),YEAR($A2084)+IF(MONTH($A2084)&gt;=Setup!$B$6,1,0)))</f>
        <v/>
      </c>
      <c r="K2084" s="35" t="str">
        <f aca="false">IF($A2084="","",MOD(MONTH($A2084)-Setup!$B$6+12,12)+1)</f>
        <v/>
      </c>
      <c r="L2084" s="36" t="str">
        <f aca="false">IF($A2084="","",TEXT($A2084,"MMM-YY"))</f>
        <v/>
      </c>
      <c r="M2084" s="37" t="str">
        <f aca="false">IF($A2084="","",IF($Q2084=0,"UNMAPPED",INDEX(COA_Mapping!$C$7:$C$256,$Q2084)))</f>
        <v/>
      </c>
      <c r="N2084" s="38" t="str">
        <f aca="false">IF($A2084="","",IF($Q2084=0,"",INDEX(COA_Mapping!$E$7:$E$256,$Q2084)))</f>
        <v/>
      </c>
      <c r="O2084" s="38" t="n">
        <f aca="false">IF($A2084="",1,IF($Q2084=0,1,INDEX(COA_Mapping!$F$7:$F$256,$Q2084)))</f>
        <v>1</v>
      </c>
      <c r="P2084" s="34" t="str">
        <f aca="false">IF($A2084="","",$I2084*$O2084)</f>
        <v/>
      </c>
      <c r="Q2084" s="39" t="n">
        <f aca="false">IF($B2084="",0,IFERROR(MATCH($B2084,COA_Mapping!$A$7:$A$256,0),0))</f>
        <v>0</v>
      </c>
      <c r="R2084" s="39" t="n">
        <f aca="false">IF($A2084="",-1,IF($J2084=Setup!$B$7,1,IF($J2084=Setup!$B$9,0,-1)))</f>
        <v>-1</v>
      </c>
      <c r="S2084" s="35" t="n">
        <f aca="false">IF(OR($A2084="",$Q2084=0,$R2084=-1),0,$Q2084*1000+$R2084*100+$K2084)</f>
        <v>0</v>
      </c>
      <c r="T2084" s="37" t="str">
        <f aca="false">IF($A2084="","",IF($B2084="","NO ACCOUNT",IF($Q2084=0,"UNMAPPED",IF($R2084=-1,"OUTSIDE FY RANGE","OK"))))</f>
        <v/>
      </c>
      <c r="U2084" s="40" t="str">
        <f aca="false">IF($A2084="","",$B2084&amp;"|"&amp;TEXT($A2084,"yyyymmdd")&amp;"|"&amp;TEXT($I2084,"0.00"))</f>
        <v/>
      </c>
      <c r="V2084" s="35" t="str">
        <f aca="false">IF($A2084="","",COUNTIF($U$8:$U$5007,$U2084))</f>
        <v/>
      </c>
    </row>
    <row r="2085" customFormat="false" ht="15" hidden="false" customHeight="false" outlineLevel="0" collapsed="false">
      <c r="A2085" s="31"/>
      <c r="B2085" s="32"/>
      <c r="C2085" s="32"/>
      <c r="D2085" s="32"/>
      <c r="E2085" s="32"/>
      <c r="F2085" s="32"/>
      <c r="G2085" s="33"/>
      <c r="H2085" s="33"/>
      <c r="I2085" s="34" t="str">
        <f aca="false">IF($A2085="","",$G2085-$H2085)</f>
        <v/>
      </c>
      <c r="J2085" s="35" t="str">
        <f aca="false">IF($A2085="","",IF(Setup!$B$6=1,YEAR($A2085),YEAR($A2085)+IF(MONTH($A2085)&gt;=Setup!$B$6,1,0)))</f>
        <v/>
      </c>
      <c r="K2085" s="35" t="str">
        <f aca="false">IF($A2085="","",MOD(MONTH($A2085)-Setup!$B$6+12,12)+1)</f>
        <v/>
      </c>
      <c r="L2085" s="36" t="str">
        <f aca="false">IF($A2085="","",TEXT($A2085,"MMM-YY"))</f>
        <v/>
      </c>
      <c r="M2085" s="37" t="str">
        <f aca="false">IF($A2085="","",IF($Q2085=0,"UNMAPPED",INDEX(COA_Mapping!$C$7:$C$256,$Q2085)))</f>
        <v/>
      </c>
      <c r="N2085" s="38" t="str">
        <f aca="false">IF($A2085="","",IF($Q2085=0,"",INDEX(COA_Mapping!$E$7:$E$256,$Q2085)))</f>
        <v/>
      </c>
      <c r="O2085" s="38" t="n">
        <f aca="false">IF($A2085="",1,IF($Q2085=0,1,INDEX(COA_Mapping!$F$7:$F$256,$Q2085)))</f>
        <v>1</v>
      </c>
      <c r="P2085" s="34" t="str">
        <f aca="false">IF($A2085="","",$I2085*$O2085)</f>
        <v/>
      </c>
      <c r="Q2085" s="39" t="n">
        <f aca="false">IF($B2085="",0,IFERROR(MATCH($B2085,COA_Mapping!$A$7:$A$256,0),0))</f>
        <v>0</v>
      </c>
      <c r="R2085" s="39" t="n">
        <f aca="false">IF($A2085="",-1,IF($J2085=Setup!$B$7,1,IF($J2085=Setup!$B$9,0,-1)))</f>
        <v>-1</v>
      </c>
      <c r="S2085" s="35" t="n">
        <f aca="false">IF(OR($A2085="",$Q2085=0,$R2085=-1),0,$Q2085*1000+$R2085*100+$K2085)</f>
        <v>0</v>
      </c>
      <c r="T2085" s="37" t="str">
        <f aca="false">IF($A2085="","",IF($B2085="","NO ACCOUNT",IF($Q2085=0,"UNMAPPED",IF($R2085=-1,"OUTSIDE FY RANGE","OK"))))</f>
        <v/>
      </c>
      <c r="U2085" s="40" t="str">
        <f aca="false">IF($A2085="","",$B2085&amp;"|"&amp;TEXT($A2085,"yyyymmdd")&amp;"|"&amp;TEXT($I2085,"0.00"))</f>
        <v/>
      </c>
      <c r="V2085" s="35" t="str">
        <f aca="false">IF($A2085="","",COUNTIF($U$8:$U$5007,$U2085))</f>
        <v/>
      </c>
    </row>
    <row r="2086" customFormat="false" ht="15" hidden="false" customHeight="false" outlineLevel="0" collapsed="false">
      <c r="A2086" s="31"/>
      <c r="B2086" s="32"/>
      <c r="C2086" s="32"/>
      <c r="D2086" s="32"/>
      <c r="E2086" s="32"/>
      <c r="F2086" s="32"/>
      <c r="G2086" s="33"/>
      <c r="H2086" s="33"/>
      <c r="I2086" s="34" t="str">
        <f aca="false">IF($A2086="","",$G2086-$H2086)</f>
        <v/>
      </c>
      <c r="J2086" s="35" t="str">
        <f aca="false">IF($A2086="","",IF(Setup!$B$6=1,YEAR($A2086),YEAR($A2086)+IF(MONTH($A2086)&gt;=Setup!$B$6,1,0)))</f>
        <v/>
      </c>
      <c r="K2086" s="35" t="str">
        <f aca="false">IF($A2086="","",MOD(MONTH($A2086)-Setup!$B$6+12,12)+1)</f>
        <v/>
      </c>
      <c r="L2086" s="36" t="str">
        <f aca="false">IF($A2086="","",TEXT($A2086,"MMM-YY"))</f>
        <v/>
      </c>
      <c r="M2086" s="37" t="str">
        <f aca="false">IF($A2086="","",IF($Q2086=0,"UNMAPPED",INDEX(COA_Mapping!$C$7:$C$256,$Q2086)))</f>
        <v/>
      </c>
      <c r="N2086" s="38" t="str">
        <f aca="false">IF($A2086="","",IF($Q2086=0,"",INDEX(COA_Mapping!$E$7:$E$256,$Q2086)))</f>
        <v/>
      </c>
      <c r="O2086" s="38" t="n">
        <f aca="false">IF($A2086="",1,IF($Q2086=0,1,INDEX(COA_Mapping!$F$7:$F$256,$Q2086)))</f>
        <v>1</v>
      </c>
      <c r="P2086" s="34" t="str">
        <f aca="false">IF($A2086="","",$I2086*$O2086)</f>
        <v/>
      </c>
      <c r="Q2086" s="39" t="n">
        <f aca="false">IF($B2086="",0,IFERROR(MATCH($B2086,COA_Mapping!$A$7:$A$256,0),0))</f>
        <v>0</v>
      </c>
      <c r="R2086" s="39" t="n">
        <f aca="false">IF($A2086="",-1,IF($J2086=Setup!$B$7,1,IF($J2086=Setup!$B$9,0,-1)))</f>
        <v>-1</v>
      </c>
      <c r="S2086" s="35" t="n">
        <f aca="false">IF(OR($A2086="",$Q2086=0,$R2086=-1),0,$Q2086*1000+$R2086*100+$K2086)</f>
        <v>0</v>
      </c>
      <c r="T2086" s="37" t="str">
        <f aca="false">IF($A2086="","",IF($B2086="","NO ACCOUNT",IF($Q2086=0,"UNMAPPED",IF($R2086=-1,"OUTSIDE FY RANGE","OK"))))</f>
        <v/>
      </c>
      <c r="U2086" s="40" t="str">
        <f aca="false">IF($A2086="","",$B2086&amp;"|"&amp;TEXT($A2086,"yyyymmdd")&amp;"|"&amp;TEXT($I2086,"0.00"))</f>
        <v/>
      </c>
      <c r="V2086" s="35" t="str">
        <f aca="false">IF($A2086="","",COUNTIF($U$8:$U$5007,$U2086))</f>
        <v/>
      </c>
    </row>
    <row r="2087" customFormat="false" ht="15" hidden="false" customHeight="false" outlineLevel="0" collapsed="false">
      <c r="A2087" s="31"/>
      <c r="B2087" s="32"/>
      <c r="C2087" s="32"/>
      <c r="D2087" s="32"/>
      <c r="E2087" s="32"/>
      <c r="F2087" s="32"/>
      <c r="G2087" s="33"/>
      <c r="H2087" s="33"/>
      <c r="I2087" s="34" t="str">
        <f aca="false">IF($A2087="","",$G2087-$H2087)</f>
        <v/>
      </c>
      <c r="J2087" s="35" t="str">
        <f aca="false">IF($A2087="","",IF(Setup!$B$6=1,YEAR($A2087),YEAR($A2087)+IF(MONTH($A2087)&gt;=Setup!$B$6,1,0)))</f>
        <v/>
      </c>
      <c r="K2087" s="35" t="str">
        <f aca="false">IF($A2087="","",MOD(MONTH($A2087)-Setup!$B$6+12,12)+1)</f>
        <v/>
      </c>
      <c r="L2087" s="36" t="str">
        <f aca="false">IF($A2087="","",TEXT($A2087,"MMM-YY"))</f>
        <v/>
      </c>
      <c r="M2087" s="37" t="str">
        <f aca="false">IF($A2087="","",IF($Q2087=0,"UNMAPPED",INDEX(COA_Mapping!$C$7:$C$256,$Q2087)))</f>
        <v/>
      </c>
      <c r="N2087" s="38" t="str">
        <f aca="false">IF($A2087="","",IF($Q2087=0,"",INDEX(COA_Mapping!$E$7:$E$256,$Q2087)))</f>
        <v/>
      </c>
      <c r="O2087" s="38" t="n">
        <f aca="false">IF($A2087="",1,IF($Q2087=0,1,INDEX(COA_Mapping!$F$7:$F$256,$Q2087)))</f>
        <v>1</v>
      </c>
      <c r="P2087" s="34" t="str">
        <f aca="false">IF($A2087="","",$I2087*$O2087)</f>
        <v/>
      </c>
      <c r="Q2087" s="39" t="n">
        <f aca="false">IF($B2087="",0,IFERROR(MATCH($B2087,COA_Mapping!$A$7:$A$256,0),0))</f>
        <v>0</v>
      </c>
      <c r="R2087" s="39" t="n">
        <f aca="false">IF($A2087="",-1,IF($J2087=Setup!$B$7,1,IF($J2087=Setup!$B$9,0,-1)))</f>
        <v>-1</v>
      </c>
      <c r="S2087" s="35" t="n">
        <f aca="false">IF(OR($A2087="",$Q2087=0,$R2087=-1),0,$Q2087*1000+$R2087*100+$K2087)</f>
        <v>0</v>
      </c>
      <c r="T2087" s="37" t="str">
        <f aca="false">IF($A2087="","",IF($B2087="","NO ACCOUNT",IF($Q2087=0,"UNMAPPED",IF($R2087=-1,"OUTSIDE FY RANGE","OK"))))</f>
        <v/>
      </c>
      <c r="U2087" s="40" t="str">
        <f aca="false">IF($A2087="","",$B2087&amp;"|"&amp;TEXT($A2087,"yyyymmdd")&amp;"|"&amp;TEXT($I2087,"0.00"))</f>
        <v/>
      </c>
      <c r="V2087" s="35" t="str">
        <f aca="false">IF($A2087="","",COUNTIF($U$8:$U$5007,$U2087))</f>
        <v/>
      </c>
    </row>
    <row r="2088" customFormat="false" ht="15" hidden="false" customHeight="false" outlineLevel="0" collapsed="false">
      <c r="A2088" s="31"/>
      <c r="B2088" s="32"/>
      <c r="C2088" s="32"/>
      <c r="D2088" s="32"/>
      <c r="E2088" s="32"/>
      <c r="F2088" s="32"/>
      <c r="G2088" s="33"/>
      <c r="H2088" s="33"/>
      <c r="I2088" s="34" t="str">
        <f aca="false">IF($A2088="","",$G2088-$H2088)</f>
        <v/>
      </c>
      <c r="J2088" s="35" t="str">
        <f aca="false">IF($A2088="","",IF(Setup!$B$6=1,YEAR($A2088),YEAR($A2088)+IF(MONTH($A2088)&gt;=Setup!$B$6,1,0)))</f>
        <v/>
      </c>
      <c r="K2088" s="35" t="str">
        <f aca="false">IF($A2088="","",MOD(MONTH($A2088)-Setup!$B$6+12,12)+1)</f>
        <v/>
      </c>
      <c r="L2088" s="36" t="str">
        <f aca="false">IF($A2088="","",TEXT($A2088,"MMM-YY"))</f>
        <v/>
      </c>
      <c r="M2088" s="37" t="str">
        <f aca="false">IF($A2088="","",IF($Q2088=0,"UNMAPPED",INDEX(COA_Mapping!$C$7:$C$256,$Q2088)))</f>
        <v/>
      </c>
      <c r="N2088" s="38" t="str">
        <f aca="false">IF($A2088="","",IF($Q2088=0,"",INDEX(COA_Mapping!$E$7:$E$256,$Q2088)))</f>
        <v/>
      </c>
      <c r="O2088" s="38" t="n">
        <f aca="false">IF($A2088="",1,IF($Q2088=0,1,INDEX(COA_Mapping!$F$7:$F$256,$Q2088)))</f>
        <v>1</v>
      </c>
      <c r="P2088" s="34" t="str">
        <f aca="false">IF($A2088="","",$I2088*$O2088)</f>
        <v/>
      </c>
      <c r="Q2088" s="39" t="n">
        <f aca="false">IF($B2088="",0,IFERROR(MATCH($B2088,COA_Mapping!$A$7:$A$256,0),0))</f>
        <v>0</v>
      </c>
      <c r="R2088" s="39" t="n">
        <f aca="false">IF($A2088="",-1,IF($J2088=Setup!$B$7,1,IF($J2088=Setup!$B$9,0,-1)))</f>
        <v>-1</v>
      </c>
      <c r="S2088" s="35" t="n">
        <f aca="false">IF(OR($A2088="",$Q2088=0,$R2088=-1),0,$Q2088*1000+$R2088*100+$K2088)</f>
        <v>0</v>
      </c>
      <c r="T2088" s="37" t="str">
        <f aca="false">IF($A2088="","",IF($B2088="","NO ACCOUNT",IF($Q2088=0,"UNMAPPED",IF($R2088=-1,"OUTSIDE FY RANGE","OK"))))</f>
        <v/>
      </c>
      <c r="U2088" s="40" t="str">
        <f aca="false">IF($A2088="","",$B2088&amp;"|"&amp;TEXT($A2088,"yyyymmdd")&amp;"|"&amp;TEXT($I2088,"0.00"))</f>
        <v/>
      </c>
      <c r="V2088" s="35" t="str">
        <f aca="false">IF($A2088="","",COUNTIF($U$8:$U$5007,$U2088))</f>
        <v/>
      </c>
    </row>
    <row r="2089" customFormat="false" ht="15" hidden="false" customHeight="false" outlineLevel="0" collapsed="false">
      <c r="A2089" s="31"/>
      <c r="B2089" s="32"/>
      <c r="C2089" s="32"/>
      <c r="D2089" s="32"/>
      <c r="E2089" s="32"/>
      <c r="F2089" s="32"/>
      <c r="G2089" s="33"/>
      <c r="H2089" s="33"/>
      <c r="I2089" s="34" t="str">
        <f aca="false">IF($A2089="","",$G2089-$H2089)</f>
        <v/>
      </c>
      <c r="J2089" s="35" t="str">
        <f aca="false">IF($A2089="","",IF(Setup!$B$6=1,YEAR($A2089),YEAR($A2089)+IF(MONTH($A2089)&gt;=Setup!$B$6,1,0)))</f>
        <v/>
      </c>
      <c r="K2089" s="35" t="str">
        <f aca="false">IF($A2089="","",MOD(MONTH($A2089)-Setup!$B$6+12,12)+1)</f>
        <v/>
      </c>
      <c r="L2089" s="36" t="str">
        <f aca="false">IF($A2089="","",TEXT($A2089,"MMM-YY"))</f>
        <v/>
      </c>
      <c r="M2089" s="37" t="str">
        <f aca="false">IF($A2089="","",IF($Q2089=0,"UNMAPPED",INDEX(COA_Mapping!$C$7:$C$256,$Q2089)))</f>
        <v/>
      </c>
      <c r="N2089" s="38" t="str">
        <f aca="false">IF($A2089="","",IF($Q2089=0,"",INDEX(COA_Mapping!$E$7:$E$256,$Q2089)))</f>
        <v/>
      </c>
      <c r="O2089" s="38" t="n">
        <f aca="false">IF($A2089="",1,IF($Q2089=0,1,INDEX(COA_Mapping!$F$7:$F$256,$Q2089)))</f>
        <v>1</v>
      </c>
      <c r="P2089" s="34" t="str">
        <f aca="false">IF($A2089="","",$I2089*$O2089)</f>
        <v/>
      </c>
      <c r="Q2089" s="39" t="n">
        <f aca="false">IF($B2089="",0,IFERROR(MATCH($B2089,COA_Mapping!$A$7:$A$256,0),0))</f>
        <v>0</v>
      </c>
      <c r="R2089" s="39" t="n">
        <f aca="false">IF($A2089="",-1,IF($J2089=Setup!$B$7,1,IF($J2089=Setup!$B$9,0,-1)))</f>
        <v>-1</v>
      </c>
      <c r="S2089" s="35" t="n">
        <f aca="false">IF(OR($A2089="",$Q2089=0,$R2089=-1),0,$Q2089*1000+$R2089*100+$K2089)</f>
        <v>0</v>
      </c>
      <c r="T2089" s="37" t="str">
        <f aca="false">IF($A2089="","",IF($B2089="","NO ACCOUNT",IF($Q2089=0,"UNMAPPED",IF($R2089=-1,"OUTSIDE FY RANGE","OK"))))</f>
        <v/>
      </c>
      <c r="U2089" s="40" t="str">
        <f aca="false">IF($A2089="","",$B2089&amp;"|"&amp;TEXT($A2089,"yyyymmdd")&amp;"|"&amp;TEXT($I2089,"0.00"))</f>
        <v/>
      </c>
      <c r="V2089" s="35" t="str">
        <f aca="false">IF($A2089="","",COUNTIF($U$8:$U$5007,$U2089))</f>
        <v/>
      </c>
    </row>
    <row r="2090" customFormat="false" ht="15" hidden="false" customHeight="false" outlineLevel="0" collapsed="false">
      <c r="A2090" s="31"/>
      <c r="B2090" s="32"/>
      <c r="C2090" s="32"/>
      <c r="D2090" s="32"/>
      <c r="E2090" s="32"/>
      <c r="F2090" s="32"/>
      <c r="G2090" s="33"/>
      <c r="H2090" s="33"/>
      <c r="I2090" s="34" t="str">
        <f aca="false">IF($A2090="","",$G2090-$H2090)</f>
        <v/>
      </c>
      <c r="J2090" s="35" t="str">
        <f aca="false">IF($A2090="","",IF(Setup!$B$6=1,YEAR($A2090),YEAR($A2090)+IF(MONTH($A2090)&gt;=Setup!$B$6,1,0)))</f>
        <v/>
      </c>
      <c r="K2090" s="35" t="str">
        <f aca="false">IF($A2090="","",MOD(MONTH($A2090)-Setup!$B$6+12,12)+1)</f>
        <v/>
      </c>
      <c r="L2090" s="36" t="str">
        <f aca="false">IF($A2090="","",TEXT($A2090,"MMM-YY"))</f>
        <v/>
      </c>
      <c r="M2090" s="37" t="str">
        <f aca="false">IF($A2090="","",IF($Q2090=0,"UNMAPPED",INDEX(COA_Mapping!$C$7:$C$256,$Q2090)))</f>
        <v/>
      </c>
      <c r="N2090" s="38" t="str">
        <f aca="false">IF($A2090="","",IF($Q2090=0,"",INDEX(COA_Mapping!$E$7:$E$256,$Q2090)))</f>
        <v/>
      </c>
      <c r="O2090" s="38" t="n">
        <f aca="false">IF($A2090="",1,IF($Q2090=0,1,INDEX(COA_Mapping!$F$7:$F$256,$Q2090)))</f>
        <v>1</v>
      </c>
      <c r="P2090" s="34" t="str">
        <f aca="false">IF($A2090="","",$I2090*$O2090)</f>
        <v/>
      </c>
      <c r="Q2090" s="39" t="n">
        <f aca="false">IF($B2090="",0,IFERROR(MATCH($B2090,COA_Mapping!$A$7:$A$256,0),0))</f>
        <v>0</v>
      </c>
      <c r="R2090" s="39" t="n">
        <f aca="false">IF($A2090="",-1,IF($J2090=Setup!$B$7,1,IF($J2090=Setup!$B$9,0,-1)))</f>
        <v>-1</v>
      </c>
      <c r="S2090" s="35" t="n">
        <f aca="false">IF(OR($A2090="",$Q2090=0,$R2090=-1),0,$Q2090*1000+$R2090*100+$K2090)</f>
        <v>0</v>
      </c>
      <c r="T2090" s="37" t="str">
        <f aca="false">IF($A2090="","",IF($B2090="","NO ACCOUNT",IF($Q2090=0,"UNMAPPED",IF($R2090=-1,"OUTSIDE FY RANGE","OK"))))</f>
        <v/>
      </c>
      <c r="U2090" s="40" t="str">
        <f aca="false">IF($A2090="","",$B2090&amp;"|"&amp;TEXT($A2090,"yyyymmdd")&amp;"|"&amp;TEXT($I2090,"0.00"))</f>
        <v/>
      </c>
      <c r="V2090" s="35" t="str">
        <f aca="false">IF($A2090="","",COUNTIF($U$8:$U$5007,$U2090))</f>
        <v/>
      </c>
    </row>
    <row r="2091" customFormat="false" ht="15" hidden="false" customHeight="false" outlineLevel="0" collapsed="false">
      <c r="A2091" s="31"/>
      <c r="B2091" s="32"/>
      <c r="C2091" s="32"/>
      <c r="D2091" s="32"/>
      <c r="E2091" s="32"/>
      <c r="F2091" s="32"/>
      <c r="G2091" s="33"/>
      <c r="H2091" s="33"/>
      <c r="I2091" s="34" t="str">
        <f aca="false">IF($A2091="","",$G2091-$H2091)</f>
        <v/>
      </c>
      <c r="J2091" s="35" t="str">
        <f aca="false">IF($A2091="","",IF(Setup!$B$6=1,YEAR($A2091),YEAR($A2091)+IF(MONTH($A2091)&gt;=Setup!$B$6,1,0)))</f>
        <v/>
      </c>
      <c r="K2091" s="35" t="str">
        <f aca="false">IF($A2091="","",MOD(MONTH($A2091)-Setup!$B$6+12,12)+1)</f>
        <v/>
      </c>
      <c r="L2091" s="36" t="str">
        <f aca="false">IF($A2091="","",TEXT($A2091,"MMM-YY"))</f>
        <v/>
      </c>
      <c r="M2091" s="37" t="str">
        <f aca="false">IF($A2091="","",IF($Q2091=0,"UNMAPPED",INDEX(COA_Mapping!$C$7:$C$256,$Q2091)))</f>
        <v/>
      </c>
      <c r="N2091" s="38" t="str">
        <f aca="false">IF($A2091="","",IF($Q2091=0,"",INDEX(COA_Mapping!$E$7:$E$256,$Q2091)))</f>
        <v/>
      </c>
      <c r="O2091" s="38" t="n">
        <f aca="false">IF($A2091="",1,IF($Q2091=0,1,INDEX(COA_Mapping!$F$7:$F$256,$Q2091)))</f>
        <v>1</v>
      </c>
      <c r="P2091" s="34" t="str">
        <f aca="false">IF($A2091="","",$I2091*$O2091)</f>
        <v/>
      </c>
      <c r="Q2091" s="39" t="n">
        <f aca="false">IF($B2091="",0,IFERROR(MATCH($B2091,COA_Mapping!$A$7:$A$256,0),0))</f>
        <v>0</v>
      </c>
      <c r="R2091" s="39" t="n">
        <f aca="false">IF($A2091="",-1,IF($J2091=Setup!$B$7,1,IF($J2091=Setup!$B$9,0,-1)))</f>
        <v>-1</v>
      </c>
      <c r="S2091" s="35" t="n">
        <f aca="false">IF(OR($A2091="",$Q2091=0,$R2091=-1),0,$Q2091*1000+$R2091*100+$K2091)</f>
        <v>0</v>
      </c>
      <c r="T2091" s="37" t="str">
        <f aca="false">IF($A2091="","",IF($B2091="","NO ACCOUNT",IF($Q2091=0,"UNMAPPED",IF($R2091=-1,"OUTSIDE FY RANGE","OK"))))</f>
        <v/>
      </c>
      <c r="U2091" s="40" t="str">
        <f aca="false">IF($A2091="","",$B2091&amp;"|"&amp;TEXT($A2091,"yyyymmdd")&amp;"|"&amp;TEXT($I2091,"0.00"))</f>
        <v/>
      </c>
      <c r="V2091" s="35" t="str">
        <f aca="false">IF($A2091="","",COUNTIF($U$8:$U$5007,$U2091))</f>
        <v/>
      </c>
    </row>
    <row r="2092" customFormat="false" ht="15" hidden="false" customHeight="false" outlineLevel="0" collapsed="false">
      <c r="A2092" s="31"/>
      <c r="B2092" s="32"/>
      <c r="C2092" s="32"/>
      <c r="D2092" s="32"/>
      <c r="E2092" s="32"/>
      <c r="F2092" s="32"/>
      <c r="G2092" s="33"/>
      <c r="H2092" s="33"/>
      <c r="I2092" s="34" t="str">
        <f aca="false">IF($A2092="","",$G2092-$H2092)</f>
        <v/>
      </c>
      <c r="J2092" s="35" t="str">
        <f aca="false">IF($A2092="","",IF(Setup!$B$6=1,YEAR($A2092),YEAR($A2092)+IF(MONTH($A2092)&gt;=Setup!$B$6,1,0)))</f>
        <v/>
      </c>
      <c r="K2092" s="35" t="str">
        <f aca="false">IF($A2092="","",MOD(MONTH($A2092)-Setup!$B$6+12,12)+1)</f>
        <v/>
      </c>
      <c r="L2092" s="36" t="str">
        <f aca="false">IF($A2092="","",TEXT($A2092,"MMM-YY"))</f>
        <v/>
      </c>
      <c r="M2092" s="37" t="str">
        <f aca="false">IF($A2092="","",IF($Q2092=0,"UNMAPPED",INDEX(COA_Mapping!$C$7:$C$256,$Q2092)))</f>
        <v/>
      </c>
      <c r="N2092" s="38" t="str">
        <f aca="false">IF($A2092="","",IF($Q2092=0,"",INDEX(COA_Mapping!$E$7:$E$256,$Q2092)))</f>
        <v/>
      </c>
      <c r="O2092" s="38" t="n">
        <f aca="false">IF($A2092="",1,IF($Q2092=0,1,INDEX(COA_Mapping!$F$7:$F$256,$Q2092)))</f>
        <v>1</v>
      </c>
      <c r="P2092" s="34" t="str">
        <f aca="false">IF($A2092="","",$I2092*$O2092)</f>
        <v/>
      </c>
      <c r="Q2092" s="39" t="n">
        <f aca="false">IF($B2092="",0,IFERROR(MATCH($B2092,COA_Mapping!$A$7:$A$256,0),0))</f>
        <v>0</v>
      </c>
      <c r="R2092" s="39" t="n">
        <f aca="false">IF($A2092="",-1,IF($J2092=Setup!$B$7,1,IF($J2092=Setup!$B$9,0,-1)))</f>
        <v>-1</v>
      </c>
      <c r="S2092" s="35" t="n">
        <f aca="false">IF(OR($A2092="",$Q2092=0,$R2092=-1),0,$Q2092*1000+$R2092*100+$K2092)</f>
        <v>0</v>
      </c>
      <c r="T2092" s="37" t="str">
        <f aca="false">IF($A2092="","",IF($B2092="","NO ACCOUNT",IF($Q2092=0,"UNMAPPED",IF($R2092=-1,"OUTSIDE FY RANGE","OK"))))</f>
        <v/>
      </c>
      <c r="U2092" s="40" t="str">
        <f aca="false">IF($A2092="","",$B2092&amp;"|"&amp;TEXT($A2092,"yyyymmdd")&amp;"|"&amp;TEXT($I2092,"0.00"))</f>
        <v/>
      </c>
      <c r="V2092" s="35" t="str">
        <f aca="false">IF($A2092="","",COUNTIF($U$8:$U$5007,$U2092))</f>
        <v/>
      </c>
    </row>
    <row r="2093" customFormat="false" ht="15" hidden="false" customHeight="false" outlineLevel="0" collapsed="false">
      <c r="A2093" s="31"/>
      <c r="B2093" s="32"/>
      <c r="C2093" s="32"/>
      <c r="D2093" s="32"/>
      <c r="E2093" s="32"/>
      <c r="F2093" s="32"/>
      <c r="G2093" s="33"/>
      <c r="H2093" s="33"/>
      <c r="I2093" s="34" t="str">
        <f aca="false">IF($A2093="","",$G2093-$H2093)</f>
        <v/>
      </c>
      <c r="J2093" s="35" t="str">
        <f aca="false">IF($A2093="","",IF(Setup!$B$6=1,YEAR($A2093),YEAR($A2093)+IF(MONTH($A2093)&gt;=Setup!$B$6,1,0)))</f>
        <v/>
      </c>
      <c r="K2093" s="35" t="str">
        <f aca="false">IF($A2093="","",MOD(MONTH($A2093)-Setup!$B$6+12,12)+1)</f>
        <v/>
      </c>
      <c r="L2093" s="36" t="str">
        <f aca="false">IF($A2093="","",TEXT($A2093,"MMM-YY"))</f>
        <v/>
      </c>
      <c r="M2093" s="37" t="str">
        <f aca="false">IF($A2093="","",IF($Q2093=0,"UNMAPPED",INDEX(COA_Mapping!$C$7:$C$256,$Q2093)))</f>
        <v/>
      </c>
      <c r="N2093" s="38" t="str">
        <f aca="false">IF($A2093="","",IF($Q2093=0,"",INDEX(COA_Mapping!$E$7:$E$256,$Q2093)))</f>
        <v/>
      </c>
      <c r="O2093" s="38" t="n">
        <f aca="false">IF($A2093="",1,IF($Q2093=0,1,INDEX(COA_Mapping!$F$7:$F$256,$Q2093)))</f>
        <v>1</v>
      </c>
      <c r="P2093" s="34" t="str">
        <f aca="false">IF($A2093="","",$I2093*$O2093)</f>
        <v/>
      </c>
      <c r="Q2093" s="39" t="n">
        <f aca="false">IF($B2093="",0,IFERROR(MATCH($B2093,COA_Mapping!$A$7:$A$256,0),0))</f>
        <v>0</v>
      </c>
      <c r="R2093" s="39" t="n">
        <f aca="false">IF($A2093="",-1,IF($J2093=Setup!$B$7,1,IF($J2093=Setup!$B$9,0,-1)))</f>
        <v>-1</v>
      </c>
      <c r="S2093" s="35" t="n">
        <f aca="false">IF(OR($A2093="",$Q2093=0,$R2093=-1),0,$Q2093*1000+$R2093*100+$K2093)</f>
        <v>0</v>
      </c>
      <c r="T2093" s="37" t="str">
        <f aca="false">IF($A2093="","",IF($B2093="","NO ACCOUNT",IF($Q2093=0,"UNMAPPED",IF($R2093=-1,"OUTSIDE FY RANGE","OK"))))</f>
        <v/>
      </c>
      <c r="U2093" s="40" t="str">
        <f aca="false">IF($A2093="","",$B2093&amp;"|"&amp;TEXT($A2093,"yyyymmdd")&amp;"|"&amp;TEXT($I2093,"0.00"))</f>
        <v/>
      </c>
      <c r="V2093" s="35" t="str">
        <f aca="false">IF($A2093="","",COUNTIF($U$8:$U$5007,$U2093))</f>
        <v/>
      </c>
    </row>
    <row r="2094" customFormat="false" ht="15" hidden="false" customHeight="false" outlineLevel="0" collapsed="false">
      <c r="A2094" s="31"/>
      <c r="B2094" s="32"/>
      <c r="C2094" s="32"/>
      <c r="D2094" s="32"/>
      <c r="E2094" s="32"/>
      <c r="F2094" s="32"/>
      <c r="G2094" s="33"/>
      <c r="H2094" s="33"/>
      <c r="I2094" s="34" t="str">
        <f aca="false">IF($A2094="","",$G2094-$H2094)</f>
        <v/>
      </c>
      <c r="J2094" s="35" t="str">
        <f aca="false">IF($A2094="","",IF(Setup!$B$6=1,YEAR($A2094),YEAR($A2094)+IF(MONTH($A2094)&gt;=Setup!$B$6,1,0)))</f>
        <v/>
      </c>
      <c r="K2094" s="35" t="str">
        <f aca="false">IF($A2094="","",MOD(MONTH($A2094)-Setup!$B$6+12,12)+1)</f>
        <v/>
      </c>
      <c r="L2094" s="36" t="str">
        <f aca="false">IF($A2094="","",TEXT($A2094,"MMM-YY"))</f>
        <v/>
      </c>
      <c r="M2094" s="37" t="str">
        <f aca="false">IF($A2094="","",IF($Q2094=0,"UNMAPPED",INDEX(COA_Mapping!$C$7:$C$256,$Q2094)))</f>
        <v/>
      </c>
      <c r="N2094" s="38" t="str">
        <f aca="false">IF($A2094="","",IF($Q2094=0,"",INDEX(COA_Mapping!$E$7:$E$256,$Q2094)))</f>
        <v/>
      </c>
      <c r="O2094" s="38" t="n">
        <f aca="false">IF($A2094="",1,IF($Q2094=0,1,INDEX(COA_Mapping!$F$7:$F$256,$Q2094)))</f>
        <v>1</v>
      </c>
      <c r="P2094" s="34" t="str">
        <f aca="false">IF($A2094="","",$I2094*$O2094)</f>
        <v/>
      </c>
      <c r="Q2094" s="39" t="n">
        <f aca="false">IF($B2094="",0,IFERROR(MATCH($B2094,COA_Mapping!$A$7:$A$256,0),0))</f>
        <v>0</v>
      </c>
      <c r="R2094" s="39" t="n">
        <f aca="false">IF($A2094="",-1,IF($J2094=Setup!$B$7,1,IF($J2094=Setup!$B$9,0,-1)))</f>
        <v>-1</v>
      </c>
      <c r="S2094" s="35" t="n">
        <f aca="false">IF(OR($A2094="",$Q2094=0,$R2094=-1),0,$Q2094*1000+$R2094*100+$K2094)</f>
        <v>0</v>
      </c>
      <c r="T2094" s="37" t="str">
        <f aca="false">IF($A2094="","",IF($B2094="","NO ACCOUNT",IF($Q2094=0,"UNMAPPED",IF($R2094=-1,"OUTSIDE FY RANGE","OK"))))</f>
        <v/>
      </c>
      <c r="U2094" s="40" t="str">
        <f aca="false">IF($A2094="","",$B2094&amp;"|"&amp;TEXT($A2094,"yyyymmdd")&amp;"|"&amp;TEXT($I2094,"0.00"))</f>
        <v/>
      </c>
      <c r="V2094" s="35" t="str">
        <f aca="false">IF($A2094="","",COUNTIF($U$8:$U$5007,$U2094))</f>
        <v/>
      </c>
    </row>
    <row r="2095" customFormat="false" ht="15" hidden="false" customHeight="false" outlineLevel="0" collapsed="false">
      <c r="A2095" s="31"/>
      <c r="B2095" s="32"/>
      <c r="C2095" s="32"/>
      <c r="D2095" s="32"/>
      <c r="E2095" s="32"/>
      <c r="F2095" s="32"/>
      <c r="G2095" s="33"/>
      <c r="H2095" s="33"/>
      <c r="I2095" s="34" t="str">
        <f aca="false">IF($A2095="","",$G2095-$H2095)</f>
        <v/>
      </c>
      <c r="J2095" s="35" t="str">
        <f aca="false">IF($A2095="","",IF(Setup!$B$6=1,YEAR($A2095),YEAR($A2095)+IF(MONTH($A2095)&gt;=Setup!$B$6,1,0)))</f>
        <v/>
      </c>
      <c r="K2095" s="35" t="str">
        <f aca="false">IF($A2095="","",MOD(MONTH($A2095)-Setup!$B$6+12,12)+1)</f>
        <v/>
      </c>
      <c r="L2095" s="36" t="str">
        <f aca="false">IF($A2095="","",TEXT($A2095,"MMM-YY"))</f>
        <v/>
      </c>
      <c r="M2095" s="37" t="str">
        <f aca="false">IF($A2095="","",IF($Q2095=0,"UNMAPPED",INDEX(COA_Mapping!$C$7:$C$256,$Q2095)))</f>
        <v/>
      </c>
      <c r="N2095" s="38" t="str">
        <f aca="false">IF($A2095="","",IF($Q2095=0,"",INDEX(COA_Mapping!$E$7:$E$256,$Q2095)))</f>
        <v/>
      </c>
      <c r="O2095" s="38" t="n">
        <f aca="false">IF($A2095="",1,IF($Q2095=0,1,INDEX(COA_Mapping!$F$7:$F$256,$Q2095)))</f>
        <v>1</v>
      </c>
      <c r="P2095" s="34" t="str">
        <f aca="false">IF($A2095="","",$I2095*$O2095)</f>
        <v/>
      </c>
      <c r="Q2095" s="39" t="n">
        <f aca="false">IF($B2095="",0,IFERROR(MATCH($B2095,COA_Mapping!$A$7:$A$256,0),0))</f>
        <v>0</v>
      </c>
      <c r="R2095" s="39" t="n">
        <f aca="false">IF($A2095="",-1,IF($J2095=Setup!$B$7,1,IF($J2095=Setup!$B$9,0,-1)))</f>
        <v>-1</v>
      </c>
      <c r="S2095" s="35" t="n">
        <f aca="false">IF(OR($A2095="",$Q2095=0,$R2095=-1),0,$Q2095*1000+$R2095*100+$K2095)</f>
        <v>0</v>
      </c>
      <c r="T2095" s="37" t="str">
        <f aca="false">IF($A2095="","",IF($B2095="","NO ACCOUNT",IF($Q2095=0,"UNMAPPED",IF($R2095=-1,"OUTSIDE FY RANGE","OK"))))</f>
        <v/>
      </c>
      <c r="U2095" s="40" t="str">
        <f aca="false">IF($A2095="","",$B2095&amp;"|"&amp;TEXT($A2095,"yyyymmdd")&amp;"|"&amp;TEXT($I2095,"0.00"))</f>
        <v/>
      </c>
      <c r="V2095" s="35" t="str">
        <f aca="false">IF($A2095="","",COUNTIF($U$8:$U$5007,$U2095))</f>
        <v/>
      </c>
    </row>
    <row r="2096" customFormat="false" ht="15" hidden="false" customHeight="false" outlineLevel="0" collapsed="false">
      <c r="A2096" s="31"/>
      <c r="B2096" s="32"/>
      <c r="C2096" s="32"/>
      <c r="D2096" s="32"/>
      <c r="E2096" s="32"/>
      <c r="F2096" s="32"/>
      <c r="G2096" s="33"/>
      <c r="H2096" s="33"/>
      <c r="I2096" s="34" t="str">
        <f aca="false">IF($A2096="","",$G2096-$H2096)</f>
        <v/>
      </c>
      <c r="J2096" s="35" t="str">
        <f aca="false">IF($A2096="","",IF(Setup!$B$6=1,YEAR($A2096),YEAR($A2096)+IF(MONTH($A2096)&gt;=Setup!$B$6,1,0)))</f>
        <v/>
      </c>
      <c r="K2096" s="35" t="str">
        <f aca="false">IF($A2096="","",MOD(MONTH($A2096)-Setup!$B$6+12,12)+1)</f>
        <v/>
      </c>
      <c r="L2096" s="36" t="str">
        <f aca="false">IF($A2096="","",TEXT($A2096,"MMM-YY"))</f>
        <v/>
      </c>
      <c r="M2096" s="37" t="str">
        <f aca="false">IF($A2096="","",IF($Q2096=0,"UNMAPPED",INDEX(COA_Mapping!$C$7:$C$256,$Q2096)))</f>
        <v/>
      </c>
      <c r="N2096" s="38" t="str">
        <f aca="false">IF($A2096="","",IF($Q2096=0,"",INDEX(COA_Mapping!$E$7:$E$256,$Q2096)))</f>
        <v/>
      </c>
      <c r="O2096" s="38" t="n">
        <f aca="false">IF($A2096="",1,IF($Q2096=0,1,INDEX(COA_Mapping!$F$7:$F$256,$Q2096)))</f>
        <v>1</v>
      </c>
      <c r="P2096" s="34" t="str">
        <f aca="false">IF($A2096="","",$I2096*$O2096)</f>
        <v/>
      </c>
      <c r="Q2096" s="39" t="n">
        <f aca="false">IF($B2096="",0,IFERROR(MATCH($B2096,COA_Mapping!$A$7:$A$256,0),0))</f>
        <v>0</v>
      </c>
      <c r="R2096" s="39" t="n">
        <f aca="false">IF($A2096="",-1,IF($J2096=Setup!$B$7,1,IF($J2096=Setup!$B$9,0,-1)))</f>
        <v>-1</v>
      </c>
      <c r="S2096" s="35" t="n">
        <f aca="false">IF(OR($A2096="",$Q2096=0,$R2096=-1),0,$Q2096*1000+$R2096*100+$K2096)</f>
        <v>0</v>
      </c>
      <c r="T2096" s="37" t="str">
        <f aca="false">IF($A2096="","",IF($B2096="","NO ACCOUNT",IF($Q2096=0,"UNMAPPED",IF($R2096=-1,"OUTSIDE FY RANGE","OK"))))</f>
        <v/>
      </c>
      <c r="U2096" s="40" t="str">
        <f aca="false">IF($A2096="","",$B2096&amp;"|"&amp;TEXT($A2096,"yyyymmdd")&amp;"|"&amp;TEXT($I2096,"0.00"))</f>
        <v/>
      </c>
      <c r="V2096" s="35" t="str">
        <f aca="false">IF($A2096="","",COUNTIF($U$8:$U$5007,$U2096))</f>
        <v/>
      </c>
    </row>
    <row r="2097" customFormat="false" ht="15" hidden="false" customHeight="false" outlineLevel="0" collapsed="false">
      <c r="A2097" s="31"/>
      <c r="B2097" s="32"/>
      <c r="C2097" s="32"/>
      <c r="D2097" s="32"/>
      <c r="E2097" s="32"/>
      <c r="F2097" s="32"/>
      <c r="G2097" s="33"/>
      <c r="H2097" s="33"/>
      <c r="I2097" s="34" t="str">
        <f aca="false">IF($A2097="","",$G2097-$H2097)</f>
        <v/>
      </c>
      <c r="J2097" s="35" t="str">
        <f aca="false">IF($A2097="","",IF(Setup!$B$6=1,YEAR($A2097),YEAR($A2097)+IF(MONTH($A2097)&gt;=Setup!$B$6,1,0)))</f>
        <v/>
      </c>
      <c r="K2097" s="35" t="str">
        <f aca="false">IF($A2097="","",MOD(MONTH($A2097)-Setup!$B$6+12,12)+1)</f>
        <v/>
      </c>
      <c r="L2097" s="36" t="str">
        <f aca="false">IF($A2097="","",TEXT($A2097,"MMM-YY"))</f>
        <v/>
      </c>
      <c r="M2097" s="37" t="str">
        <f aca="false">IF($A2097="","",IF($Q2097=0,"UNMAPPED",INDEX(COA_Mapping!$C$7:$C$256,$Q2097)))</f>
        <v/>
      </c>
      <c r="N2097" s="38" t="str">
        <f aca="false">IF($A2097="","",IF($Q2097=0,"",INDEX(COA_Mapping!$E$7:$E$256,$Q2097)))</f>
        <v/>
      </c>
      <c r="O2097" s="38" t="n">
        <f aca="false">IF($A2097="",1,IF($Q2097=0,1,INDEX(COA_Mapping!$F$7:$F$256,$Q2097)))</f>
        <v>1</v>
      </c>
      <c r="P2097" s="34" t="str">
        <f aca="false">IF($A2097="","",$I2097*$O2097)</f>
        <v/>
      </c>
      <c r="Q2097" s="39" t="n">
        <f aca="false">IF($B2097="",0,IFERROR(MATCH($B2097,COA_Mapping!$A$7:$A$256,0),0))</f>
        <v>0</v>
      </c>
      <c r="R2097" s="39" t="n">
        <f aca="false">IF($A2097="",-1,IF($J2097=Setup!$B$7,1,IF($J2097=Setup!$B$9,0,-1)))</f>
        <v>-1</v>
      </c>
      <c r="S2097" s="35" t="n">
        <f aca="false">IF(OR($A2097="",$Q2097=0,$R2097=-1),0,$Q2097*1000+$R2097*100+$K2097)</f>
        <v>0</v>
      </c>
      <c r="T2097" s="37" t="str">
        <f aca="false">IF($A2097="","",IF($B2097="","NO ACCOUNT",IF($Q2097=0,"UNMAPPED",IF($R2097=-1,"OUTSIDE FY RANGE","OK"))))</f>
        <v/>
      </c>
      <c r="U2097" s="40" t="str">
        <f aca="false">IF($A2097="","",$B2097&amp;"|"&amp;TEXT($A2097,"yyyymmdd")&amp;"|"&amp;TEXT($I2097,"0.00"))</f>
        <v/>
      </c>
      <c r="V2097" s="35" t="str">
        <f aca="false">IF($A2097="","",COUNTIF($U$8:$U$5007,$U2097))</f>
        <v/>
      </c>
    </row>
    <row r="2098" customFormat="false" ht="15" hidden="false" customHeight="false" outlineLevel="0" collapsed="false">
      <c r="A2098" s="31"/>
      <c r="B2098" s="32"/>
      <c r="C2098" s="32"/>
      <c r="D2098" s="32"/>
      <c r="E2098" s="32"/>
      <c r="F2098" s="32"/>
      <c r="G2098" s="33"/>
      <c r="H2098" s="33"/>
      <c r="I2098" s="34" t="str">
        <f aca="false">IF($A2098="","",$G2098-$H2098)</f>
        <v/>
      </c>
      <c r="J2098" s="35" t="str">
        <f aca="false">IF($A2098="","",IF(Setup!$B$6=1,YEAR($A2098),YEAR($A2098)+IF(MONTH($A2098)&gt;=Setup!$B$6,1,0)))</f>
        <v/>
      </c>
      <c r="K2098" s="35" t="str">
        <f aca="false">IF($A2098="","",MOD(MONTH($A2098)-Setup!$B$6+12,12)+1)</f>
        <v/>
      </c>
      <c r="L2098" s="36" t="str">
        <f aca="false">IF($A2098="","",TEXT($A2098,"MMM-YY"))</f>
        <v/>
      </c>
      <c r="M2098" s="37" t="str">
        <f aca="false">IF($A2098="","",IF($Q2098=0,"UNMAPPED",INDEX(COA_Mapping!$C$7:$C$256,$Q2098)))</f>
        <v/>
      </c>
      <c r="N2098" s="38" t="str">
        <f aca="false">IF($A2098="","",IF($Q2098=0,"",INDEX(COA_Mapping!$E$7:$E$256,$Q2098)))</f>
        <v/>
      </c>
      <c r="O2098" s="38" t="n">
        <f aca="false">IF($A2098="",1,IF($Q2098=0,1,INDEX(COA_Mapping!$F$7:$F$256,$Q2098)))</f>
        <v>1</v>
      </c>
      <c r="P2098" s="34" t="str">
        <f aca="false">IF($A2098="","",$I2098*$O2098)</f>
        <v/>
      </c>
      <c r="Q2098" s="39" t="n">
        <f aca="false">IF($B2098="",0,IFERROR(MATCH($B2098,COA_Mapping!$A$7:$A$256,0),0))</f>
        <v>0</v>
      </c>
      <c r="R2098" s="39" t="n">
        <f aca="false">IF($A2098="",-1,IF($J2098=Setup!$B$7,1,IF($J2098=Setup!$B$9,0,-1)))</f>
        <v>-1</v>
      </c>
      <c r="S2098" s="35" t="n">
        <f aca="false">IF(OR($A2098="",$Q2098=0,$R2098=-1),0,$Q2098*1000+$R2098*100+$K2098)</f>
        <v>0</v>
      </c>
      <c r="T2098" s="37" t="str">
        <f aca="false">IF($A2098="","",IF($B2098="","NO ACCOUNT",IF($Q2098=0,"UNMAPPED",IF($R2098=-1,"OUTSIDE FY RANGE","OK"))))</f>
        <v/>
      </c>
      <c r="U2098" s="40" t="str">
        <f aca="false">IF($A2098="","",$B2098&amp;"|"&amp;TEXT($A2098,"yyyymmdd")&amp;"|"&amp;TEXT($I2098,"0.00"))</f>
        <v/>
      </c>
      <c r="V2098" s="35" t="str">
        <f aca="false">IF($A2098="","",COUNTIF($U$8:$U$5007,$U2098))</f>
        <v/>
      </c>
    </row>
    <row r="2099" customFormat="false" ht="15" hidden="false" customHeight="false" outlineLevel="0" collapsed="false">
      <c r="A2099" s="31"/>
      <c r="B2099" s="32"/>
      <c r="C2099" s="32"/>
      <c r="D2099" s="32"/>
      <c r="E2099" s="32"/>
      <c r="F2099" s="32"/>
      <c r="G2099" s="33"/>
      <c r="H2099" s="33"/>
      <c r="I2099" s="34" t="str">
        <f aca="false">IF($A2099="","",$G2099-$H2099)</f>
        <v/>
      </c>
      <c r="J2099" s="35" t="str">
        <f aca="false">IF($A2099="","",IF(Setup!$B$6=1,YEAR($A2099),YEAR($A2099)+IF(MONTH($A2099)&gt;=Setup!$B$6,1,0)))</f>
        <v/>
      </c>
      <c r="K2099" s="35" t="str">
        <f aca="false">IF($A2099="","",MOD(MONTH($A2099)-Setup!$B$6+12,12)+1)</f>
        <v/>
      </c>
      <c r="L2099" s="36" t="str">
        <f aca="false">IF($A2099="","",TEXT($A2099,"MMM-YY"))</f>
        <v/>
      </c>
      <c r="M2099" s="37" t="str">
        <f aca="false">IF($A2099="","",IF($Q2099=0,"UNMAPPED",INDEX(COA_Mapping!$C$7:$C$256,$Q2099)))</f>
        <v/>
      </c>
      <c r="N2099" s="38" t="str">
        <f aca="false">IF($A2099="","",IF($Q2099=0,"",INDEX(COA_Mapping!$E$7:$E$256,$Q2099)))</f>
        <v/>
      </c>
      <c r="O2099" s="38" t="n">
        <f aca="false">IF($A2099="",1,IF($Q2099=0,1,INDEX(COA_Mapping!$F$7:$F$256,$Q2099)))</f>
        <v>1</v>
      </c>
      <c r="P2099" s="34" t="str">
        <f aca="false">IF($A2099="","",$I2099*$O2099)</f>
        <v/>
      </c>
      <c r="Q2099" s="39" t="n">
        <f aca="false">IF($B2099="",0,IFERROR(MATCH($B2099,COA_Mapping!$A$7:$A$256,0),0))</f>
        <v>0</v>
      </c>
      <c r="R2099" s="39" t="n">
        <f aca="false">IF($A2099="",-1,IF($J2099=Setup!$B$7,1,IF($J2099=Setup!$B$9,0,-1)))</f>
        <v>-1</v>
      </c>
      <c r="S2099" s="35" t="n">
        <f aca="false">IF(OR($A2099="",$Q2099=0,$R2099=-1),0,$Q2099*1000+$R2099*100+$K2099)</f>
        <v>0</v>
      </c>
      <c r="T2099" s="37" t="str">
        <f aca="false">IF($A2099="","",IF($B2099="","NO ACCOUNT",IF($Q2099=0,"UNMAPPED",IF($R2099=-1,"OUTSIDE FY RANGE","OK"))))</f>
        <v/>
      </c>
      <c r="U2099" s="40" t="str">
        <f aca="false">IF($A2099="","",$B2099&amp;"|"&amp;TEXT($A2099,"yyyymmdd")&amp;"|"&amp;TEXT($I2099,"0.00"))</f>
        <v/>
      </c>
      <c r="V2099" s="35" t="str">
        <f aca="false">IF($A2099="","",COUNTIF($U$8:$U$5007,$U2099))</f>
        <v/>
      </c>
    </row>
    <row r="2100" customFormat="false" ht="15" hidden="false" customHeight="false" outlineLevel="0" collapsed="false">
      <c r="A2100" s="31"/>
      <c r="B2100" s="32"/>
      <c r="C2100" s="32"/>
      <c r="D2100" s="32"/>
      <c r="E2100" s="32"/>
      <c r="F2100" s="32"/>
      <c r="G2100" s="33"/>
      <c r="H2100" s="33"/>
      <c r="I2100" s="34" t="str">
        <f aca="false">IF($A2100="","",$G2100-$H2100)</f>
        <v/>
      </c>
      <c r="J2100" s="35" t="str">
        <f aca="false">IF($A2100="","",IF(Setup!$B$6=1,YEAR($A2100),YEAR($A2100)+IF(MONTH($A2100)&gt;=Setup!$B$6,1,0)))</f>
        <v/>
      </c>
      <c r="K2100" s="35" t="str">
        <f aca="false">IF($A2100="","",MOD(MONTH($A2100)-Setup!$B$6+12,12)+1)</f>
        <v/>
      </c>
      <c r="L2100" s="36" t="str">
        <f aca="false">IF($A2100="","",TEXT($A2100,"MMM-YY"))</f>
        <v/>
      </c>
      <c r="M2100" s="37" t="str">
        <f aca="false">IF($A2100="","",IF($Q2100=0,"UNMAPPED",INDEX(COA_Mapping!$C$7:$C$256,$Q2100)))</f>
        <v/>
      </c>
      <c r="N2100" s="38" t="str">
        <f aca="false">IF($A2100="","",IF($Q2100=0,"",INDEX(COA_Mapping!$E$7:$E$256,$Q2100)))</f>
        <v/>
      </c>
      <c r="O2100" s="38" t="n">
        <f aca="false">IF($A2100="",1,IF($Q2100=0,1,INDEX(COA_Mapping!$F$7:$F$256,$Q2100)))</f>
        <v>1</v>
      </c>
      <c r="P2100" s="34" t="str">
        <f aca="false">IF($A2100="","",$I2100*$O2100)</f>
        <v/>
      </c>
      <c r="Q2100" s="39" t="n">
        <f aca="false">IF($B2100="",0,IFERROR(MATCH($B2100,COA_Mapping!$A$7:$A$256,0),0))</f>
        <v>0</v>
      </c>
      <c r="R2100" s="39" t="n">
        <f aca="false">IF($A2100="",-1,IF($J2100=Setup!$B$7,1,IF($J2100=Setup!$B$9,0,-1)))</f>
        <v>-1</v>
      </c>
      <c r="S2100" s="35" t="n">
        <f aca="false">IF(OR($A2100="",$Q2100=0,$R2100=-1),0,$Q2100*1000+$R2100*100+$K2100)</f>
        <v>0</v>
      </c>
      <c r="T2100" s="37" t="str">
        <f aca="false">IF($A2100="","",IF($B2100="","NO ACCOUNT",IF($Q2100=0,"UNMAPPED",IF($R2100=-1,"OUTSIDE FY RANGE","OK"))))</f>
        <v/>
      </c>
      <c r="U2100" s="40" t="str">
        <f aca="false">IF($A2100="","",$B2100&amp;"|"&amp;TEXT($A2100,"yyyymmdd")&amp;"|"&amp;TEXT($I2100,"0.00"))</f>
        <v/>
      </c>
      <c r="V2100" s="35" t="str">
        <f aca="false">IF($A2100="","",COUNTIF($U$8:$U$5007,$U2100))</f>
        <v/>
      </c>
    </row>
    <row r="2101" customFormat="false" ht="15" hidden="false" customHeight="false" outlineLevel="0" collapsed="false">
      <c r="A2101" s="31"/>
      <c r="B2101" s="32"/>
      <c r="C2101" s="32"/>
      <c r="D2101" s="32"/>
      <c r="E2101" s="32"/>
      <c r="F2101" s="32"/>
      <c r="G2101" s="33"/>
      <c r="H2101" s="33"/>
      <c r="I2101" s="34" t="str">
        <f aca="false">IF($A2101="","",$G2101-$H2101)</f>
        <v/>
      </c>
      <c r="J2101" s="35" t="str">
        <f aca="false">IF($A2101="","",IF(Setup!$B$6=1,YEAR($A2101),YEAR($A2101)+IF(MONTH($A2101)&gt;=Setup!$B$6,1,0)))</f>
        <v/>
      </c>
      <c r="K2101" s="35" t="str">
        <f aca="false">IF($A2101="","",MOD(MONTH($A2101)-Setup!$B$6+12,12)+1)</f>
        <v/>
      </c>
      <c r="L2101" s="36" t="str">
        <f aca="false">IF($A2101="","",TEXT($A2101,"MMM-YY"))</f>
        <v/>
      </c>
      <c r="M2101" s="37" t="str">
        <f aca="false">IF($A2101="","",IF($Q2101=0,"UNMAPPED",INDEX(COA_Mapping!$C$7:$C$256,$Q2101)))</f>
        <v/>
      </c>
      <c r="N2101" s="38" t="str">
        <f aca="false">IF($A2101="","",IF($Q2101=0,"",INDEX(COA_Mapping!$E$7:$E$256,$Q2101)))</f>
        <v/>
      </c>
      <c r="O2101" s="38" t="n">
        <f aca="false">IF($A2101="",1,IF($Q2101=0,1,INDEX(COA_Mapping!$F$7:$F$256,$Q2101)))</f>
        <v>1</v>
      </c>
      <c r="P2101" s="34" t="str">
        <f aca="false">IF($A2101="","",$I2101*$O2101)</f>
        <v/>
      </c>
      <c r="Q2101" s="39" t="n">
        <f aca="false">IF($B2101="",0,IFERROR(MATCH($B2101,COA_Mapping!$A$7:$A$256,0),0))</f>
        <v>0</v>
      </c>
      <c r="R2101" s="39" t="n">
        <f aca="false">IF($A2101="",-1,IF($J2101=Setup!$B$7,1,IF($J2101=Setup!$B$9,0,-1)))</f>
        <v>-1</v>
      </c>
      <c r="S2101" s="35" t="n">
        <f aca="false">IF(OR($A2101="",$Q2101=0,$R2101=-1),0,$Q2101*1000+$R2101*100+$K2101)</f>
        <v>0</v>
      </c>
      <c r="T2101" s="37" t="str">
        <f aca="false">IF($A2101="","",IF($B2101="","NO ACCOUNT",IF($Q2101=0,"UNMAPPED",IF($R2101=-1,"OUTSIDE FY RANGE","OK"))))</f>
        <v/>
      </c>
      <c r="U2101" s="40" t="str">
        <f aca="false">IF($A2101="","",$B2101&amp;"|"&amp;TEXT($A2101,"yyyymmdd")&amp;"|"&amp;TEXT($I2101,"0.00"))</f>
        <v/>
      </c>
      <c r="V2101" s="35" t="str">
        <f aca="false">IF($A2101="","",COUNTIF($U$8:$U$5007,$U2101))</f>
        <v/>
      </c>
    </row>
    <row r="2102" customFormat="false" ht="15" hidden="false" customHeight="false" outlineLevel="0" collapsed="false">
      <c r="A2102" s="31"/>
      <c r="B2102" s="32"/>
      <c r="C2102" s="32"/>
      <c r="D2102" s="32"/>
      <c r="E2102" s="32"/>
      <c r="F2102" s="32"/>
      <c r="G2102" s="33"/>
      <c r="H2102" s="33"/>
      <c r="I2102" s="34" t="str">
        <f aca="false">IF($A2102="","",$G2102-$H2102)</f>
        <v/>
      </c>
      <c r="J2102" s="35" t="str">
        <f aca="false">IF($A2102="","",IF(Setup!$B$6=1,YEAR($A2102),YEAR($A2102)+IF(MONTH($A2102)&gt;=Setup!$B$6,1,0)))</f>
        <v/>
      </c>
      <c r="K2102" s="35" t="str">
        <f aca="false">IF($A2102="","",MOD(MONTH($A2102)-Setup!$B$6+12,12)+1)</f>
        <v/>
      </c>
      <c r="L2102" s="36" t="str">
        <f aca="false">IF($A2102="","",TEXT($A2102,"MMM-YY"))</f>
        <v/>
      </c>
      <c r="M2102" s="37" t="str">
        <f aca="false">IF($A2102="","",IF($Q2102=0,"UNMAPPED",INDEX(COA_Mapping!$C$7:$C$256,$Q2102)))</f>
        <v/>
      </c>
      <c r="N2102" s="38" t="str">
        <f aca="false">IF($A2102="","",IF($Q2102=0,"",INDEX(COA_Mapping!$E$7:$E$256,$Q2102)))</f>
        <v/>
      </c>
      <c r="O2102" s="38" t="n">
        <f aca="false">IF($A2102="",1,IF($Q2102=0,1,INDEX(COA_Mapping!$F$7:$F$256,$Q2102)))</f>
        <v>1</v>
      </c>
      <c r="P2102" s="34" t="str">
        <f aca="false">IF($A2102="","",$I2102*$O2102)</f>
        <v/>
      </c>
      <c r="Q2102" s="39" t="n">
        <f aca="false">IF($B2102="",0,IFERROR(MATCH($B2102,COA_Mapping!$A$7:$A$256,0),0))</f>
        <v>0</v>
      </c>
      <c r="R2102" s="39" t="n">
        <f aca="false">IF($A2102="",-1,IF($J2102=Setup!$B$7,1,IF($J2102=Setup!$B$9,0,-1)))</f>
        <v>-1</v>
      </c>
      <c r="S2102" s="35" t="n">
        <f aca="false">IF(OR($A2102="",$Q2102=0,$R2102=-1),0,$Q2102*1000+$R2102*100+$K2102)</f>
        <v>0</v>
      </c>
      <c r="T2102" s="37" t="str">
        <f aca="false">IF($A2102="","",IF($B2102="","NO ACCOUNT",IF($Q2102=0,"UNMAPPED",IF($R2102=-1,"OUTSIDE FY RANGE","OK"))))</f>
        <v/>
      </c>
      <c r="U2102" s="40" t="str">
        <f aca="false">IF($A2102="","",$B2102&amp;"|"&amp;TEXT($A2102,"yyyymmdd")&amp;"|"&amp;TEXT($I2102,"0.00"))</f>
        <v/>
      </c>
      <c r="V2102" s="35" t="str">
        <f aca="false">IF($A2102="","",COUNTIF($U$8:$U$5007,$U2102))</f>
        <v/>
      </c>
    </row>
    <row r="2103" customFormat="false" ht="15" hidden="false" customHeight="false" outlineLevel="0" collapsed="false">
      <c r="A2103" s="31"/>
      <c r="B2103" s="32"/>
      <c r="C2103" s="32"/>
      <c r="D2103" s="32"/>
      <c r="E2103" s="32"/>
      <c r="F2103" s="32"/>
      <c r="G2103" s="33"/>
      <c r="H2103" s="33"/>
      <c r="I2103" s="34" t="str">
        <f aca="false">IF($A2103="","",$G2103-$H2103)</f>
        <v/>
      </c>
      <c r="J2103" s="35" t="str">
        <f aca="false">IF($A2103="","",IF(Setup!$B$6=1,YEAR($A2103),YEAR($A2103)+IF(MONTH($A2103)&gt;=Setup!$B$6,1,0)))</f>
        <v/>
      </c>
      <c r="K2103" s="35" t="str">
        <f aca="false">IF($A2103="","",MOD(MONTH($A2103)-Setup!$B$6+12,12)+1)</f>
        <v/>
      </c>
      <c r="L2103" s="36" t="str">
        <f aca="false">IF($A2103="","",TEXT($A2103,"MMM-YY"))</f>
        <v/>
      </c>
      <c r="M2103" s="37" t="str">
        <f aca="false">IF($A2103="","",IF($Q2103=0,"UNMAPPED",INDEX(COA_Mapping!$C$7:$C$256,$Q2103)))</f>
        <v/>
      </c>
      <c r="N2103" s="38" t="str">
        <f aca="false">IF($A2103="","",IF($Q2103=0,"",INDEX(COA_Mapping!$E$7:$E$256,$Q2103)))</f>
        <v/>
      </c>
      <c r="O2103" s="38" t="n">
        <f aca="false">IF($A2103="",1,IF($Q2103=0,1,INDEX(COA_Mapping!$F$7:$F$256,$Q2103)))</f>
        <v>1</v>
      </c>
      <c r="P2103" s="34" t="str">
        <f aca="false">IF($A2103="","",$I2103*$O2103)</f>
        <v/>
      </c>
      <c r="Q2103" s="39" t="n">
        <f aca="false">IF($B2103="",0,IFERROR(MATCH($B2103,COA_Mapping!$A$7:$A$256,0),0))</f>
        <v>0</v>
      </c>
      <c r="R2103" s="39" t="n">
        <f aca="false">IF($A2103="",-1,IF($J2103=Setup!$B$7,1,IF($J2103=Setup!$B$9,0,-1)))</f>
        <v>-1</v>
      </c>
      <c r="S2103" s="35" t="n">
        <f aca="false">IF(OR($A2103="",$Q2103=0,$R2103=-1),0,$Q2103*1000+$R2103*100+$K2103)</f>
        <v>0</v>
      </c>
      <c r="T2103" s="37" t="str">
        <f aca="false">IF($A2103="","",IF($B2103="","NO ACCOUNT",IF($Q2103=0,"UNMAPPED",IF($R2103=-1,"OUTSIDE FY RANGE","OK"))))</f>
        <v/>
      </c>
      <c r="U2103" s="40" t="str">
        <f aca="false">IF($A2103="","",$B2103&amp;"|"&amp;TEXT($A2103,"yyyymmdd")&amp;"|"&amp;TEXT($I2103,"0.00"))</f>
        <v/>
      </c>
      <c r="V2103" s="35" t="str">
        <f aca="false">IF($A2103="","",COUNTIF($U$8:$U$5007,$U2103))</f>
        <v/>
      </c>
    </row>
    <row r="2104" customFormat="false" ht="15" hidden="false" customHeight="false" outlineLevel="0" collapsed="false">
      <c r="A2104" s="31"/>
      <c r="B2104" s="32"/>
      <c r="C2104" s="32"/>
      <c r="D2104" s="32"/>
      <c r="E2104" s="32"/>
      <c r="F2104" s="32"/>
      <c r="G2104" s="33"/>
      <c r="H2104" s="33"/>
      <c r="I2104" s="34" t="str">
        <f aca="false">IF($A2104="","",$G2104-$H2104)</f>
        <v/>
      </c>
      <c r="J2104" s="35" t="str">
        <f aca="false">IF($A2104="","",IF(Setup!$B$6=1,YEAR($A2104),YEAR($A2104)+IF(MONTH($A2104)&gt;=Setup!$B$6,1,0)))</f>
        <v/>
      </c>
      <c r="K2104" s="35" t="str">
        <f aca="false">IF($A2104="","",MOD(MONTH($A2104)-Setup!$B$6+12,12)+1)</f>
        <v/>
      </c>
      <c r="L2104" s="36" t="str">
        <f aca="false">IF($A2104="","",TEXT($A2104,"MMM-YY"))</f>
        <v/>
      </c>
      <c r="M2104" s="37" t="str">
        <f aca="false">IF($A2104="","",IF($Q2104=0,"UNMAPPED",INDEX(COA_Mapping!$C$7:$C$256,$Q2104)))</f>
        <v/>
      </c>
      <c r="N2104" s="38" t="str">
        <f aca="false">IF($A2104="","",IF($Q2104=0,"",INDEX(COA_Mapping!$E$7:$E$256,$Q2104)))</f>
        <v/>
      </c>
      <c r="O2104" s="38" t="n">
        <f aca="false">IF($A2104="",1,IF($Q2104=0,1,INDEX(COA_Mapping!$F$7:$F$256,$Q2104)))</f>
        <v>1</v>
      </c>
      <c r="P2104" s="34" t="str">
        <f aca="false">IF($A2104="","",$I2104*$O2104)</f>
        <v/>
      </c>
      <c r="Q2104" s="39" t="n">
        <f aca="false">IF($B2104="",0,IFERROR(MATCH($B2104,COA_Mapping!$A$7:$A$256,0),0))</f>
        <v>0</v>
      </c>
      <c r="R2104" s="39" t="n">
        <f aca="false">IF($A2104="",-1,IF($J2104=Setup!$B$7,1,IF($J2104=Setup!$B$9,0,-1)))</f>
        <v>-1</v>
      </c>
      <c r="S2104" s="35" t="n">
        <f aca="false">IF(OR($A2104="",$Q2104=0,$R2104=-1),0,$Q2104*1000+$R2104*100+$K2104)</f>
        <v>0</v>
      </c>
      <c r="T2104" s="37" t="str">
        <f aca="false">IF($A2104="","",IF($B2104="","NO ACCOUNT",IF($Q2104=0,"UNMAPPED",IF($R2104=-1,"OUTSIDE FY RANGE","OK"))))</f>
        <v/>
      </c>
      <c r="U2104" s="40" t="str">
        <f aca="false">IF($A2104="","",$B2104&amp;"|"&amp;TEXT($A2104,"yyyymmdd")&amp;"|"&amp;TEXT($I2104,"0.00"))</f>
        <v/>
      </c>
      <c r="V2104" s="35" t="str">
        <f aca="false">IF($A2104="","",COUNTIF($U$8:$U$5007,$U2104))</f>
        <v/>
      </c>
    </row>
    <row r="2105" customFormat="false" ht="15" hidden="false" customHeight="false" outlineLevel="0" collapsed="false">
      <c r="A2105" s="31"/>
      <c r="B2105" s="32"/>
      <c r="C2105" s="32"/>
      <c r="D2105" s="32"/>
      <c r="E2105" s="32"/>
      <c r="F2105" s="32"/>
      <c r="G2105" s="33"/>
      <c r="H2105" s="33"/>
      <c r="I2105" s="34" t="str">
        <f aca="false">IF($A2105="","",$G2105-$H2105)</f>
        <v/>
      </c>
      <c r="J2105" s="35" t="str">
        <f aca="false">IF($A2105="","",IF(Setup!$B$6=1,YEAR($A2105),YEAR($A2105)+IF(MONTH($A2105)&gt;=Setup!$B$6,1,0)))</f>
        <v/>
      </c>
      <c r="K2105" s="35" t="str">
        <f aca="false">IF($A2105="","",MOD(MONTH($A2105)-Setup!$B$6+12,12)+1)</f>
        <v/>
      </c>
      <c r="L2105" s="36" t="str">
        <f aca="false">IF($A2105="","",TEXT($A2105,"MMM-YY"))</f>
        <v/>
      </c>
      <c r="M2105" s="37" t="str">
        <f aca="false">IF($A2105="","",IF($Q2105=0,"UNMAPPED",INDEX(COA_Mapping!$C$7:$C$256,$Q2105)))</f>
        <v/>
      </c>
      <c r="N2105" s="38" t="str">
        <f aca="false">IF($A2105="","",IF($Q2105=0,"",INDEX(COA_Mapping!$E$7:$E$256,$Q2105)))</f>
        <v/>
      </c>
      <c r="O2105" s="38" t="n">
        <f aca="false">IF($A2105="",1,IF($Q2105=0,1,INDEX(COA_Mapping!$F$7:$F$256,$Q2105)))</f>
        <v>1</v>
      </c>
      <c r="P2105" s="34" t="str">
        <f aca="false">IF($A2105="","",$I2105*$O2105)</f>
        <v/>
      </c>
      <c r="Q2105" s="39" t="n">
        <f aca="false">IF($B2105="",0,IFERROR(MATCH($B2105,COA_Mapping!$A$7:$A$256,0),0))</f>
        <v>0</v>
      </c>
      <c r="R2105" s="39" t="n">
        <f aca="false">IF($A2105="",-1,IF($J2105=Setup!$B$7,1,IF($J2105=Setup!$B$9,0,-1)))</f>
        <v>-1</v>
      </c>
      <c r="S2105" s="35" t="n">
        <f aca="false">IF(OR($A2105="",$Q2105=0,$R2105=-1),0,$Q2105*1000+$R2105*100+$K2105)</f>
        <v>0</v>
      </c>
      <c r="T2105" s="37" t="str">
        <f aca="false">IF($A2105="","",IF($B2105="","NO ACCOUNT",IF($Q2105=0,"UNMAPPED",IF($R2105=-1,"OUTSIDE FY RANGE","OK"))))</f>
        <v/>
      </c>
      <c r="U2105" s="40" t="str">
        <f aca="false">IF($A2105="","",$B2105&amp;"|"&amp;TEXT($A2105,"yyyymmdd")&amp;"|"&amp;TEXT($I2105,"0.00"))</f>
        <v/>
      </c>
      <c r="V2105" s="35" t="str">
        <f aca="false">IF($A2105="","",COUNTIF($U$8:$U$5007,$U2105))</f>
        <v/>
      </c>
    </row>
    <row r="2106" customFormat="false" ht="15" hidden="false" customHeight="false" outlineLevel="0" collapsed="false">
      <c r="A2106" s="31"/>
      <c r="B2106" s="32"/>
      <c r="C2106" s="32"/>
      <c r="D2106" s="32"/>
      <c r="E2106" s="32"/>
      <c r="F2106" s="32"/>
      <c r="G2106" s="33"/>
      <c r="H2106" s="33"/>
      <c r="I2106" s="34" t="str">
        <f aca="false">IF($A2106="","",$G2106-$H2106)</f>
        <v/>
      </c>
      <c r="J2106" s="35" t="str">
        <f aca="false">IF($A2106="","",IF(Setup!$B$6=1,YEAR($A2106),YEAR($A2106)+IF(MONTH($A2106)&gt;=Setup!$B$6,1,0)))</f>
        <v/>
      </c>
      <c r="K2106" s="35" t="str">
        <f aca="false">IF($A2106="","",MOD(MONTH($A2106)-Setup!$B$6+12,12)+1)</f>
        <v/>
      </c>
      <c r="L2106" s="36" t="str">
        <f aca="false">IF($A2106="","",TEXT($A2106,"MMM-YY"))</f>
        <v/>
      </c>
      <c r="M2106" s="37" t="str">
        <f aca="false">IF($A2106="","",IF($Q2106=0,"UNMAPPED",INDEX(COA_Mapping!$C$7:$C$256,$Q2106)))</f>
        <v/>
      </c>
      <c r="N2106" s="38" t="str">
        <f aca="false">IF($A2106="","",IF($Q2106=0,"",INDEX(COA_Mapping!$E$7:$E$256,$Q2106)))</f>
        <v/>
      </c>
      <c r="O2106" s="38" t="n">
        <f aca="false">IF($A2106="",1,IF($Q2106=0,1,INDEX(COA_Mapping!$F$7:$F$256,$Q2106)))</f>
        <v>1</v>
      </c>
      <c r="P2106" s="34" t="str">
        <f aca="false">IF($A2106="","",$I2106*$O2106)</f>
        <v/>
      </c>
      <c r="Q2106" s="39" t="n">
        <f aca="false">IF($B2106="",0,IFERROR(MATCH($B2106,COA_Mapping!$A$7:$A$256,0),0))</f>
        <v>0</v>
      </c>
      <c r="R2106" s="39" t="n">
        <f aca="false">IF($A2106="",-1,IF($J2106=Setup!$B$7,1,IF($J2106=Setup!$B$9,0,-1)))</f>
        <v>-1</v>
      </c>
      <c r="S2106" s="35" t="n">
        <f aca="false">IF(OR($A2106="",$Q2106=0,$R2106=-1),0,$Q2106*1000+$R2106*100+$K2106)</f>
        <v>0</v>
      </c>
      <c r="T2106" s="37" t="str">
        <f aca="false">IF($A2106="","",IF($B2106="","NO ACCOUNT",IF($Q2106=0,"UNMAPPED",IF($R2106=-1,"OUTSIDE FY RANGE","OK"))))</f>
        <v/>
      </c>
      <c r="U2106" s="40" t="str">
        <f aca="false">IF($A2106="","",$B2106&amp;"|"&amp;TEXT($A2106,"yyyymmdd")&amp;"|"&amp;TEXT($I2106,"0.00"))</f>
        <v/>
      </c>
      <c r="V2106" s="35" t="str">
        <f aca="false">IF($A2106="","",COUNTIF($U$8:$U$5007,$U2106))</f>
        <v/>
      </c>
    </row>
    <row r="2107" customFormat="false" ht="15" hidden="false" customHeight="false" outlineLevel="0" collapsed="false">
      <c r="A2107" s="31"/>
      <c r="B2107" s="32"/>
      <c r="C2107" s="32"/>
      <c r="D2107" s="32"/>
      <c r="E2107" s="32"/>
      <c r="F2107" s="32"/>
      <c r="G2107" s="33"/>
      <c r="H2107" s="33"/>
      <c r="I2107" s="34" t="str">
        <f aca="false">IF($A2107="","",$G2107-$H2107)</f>
        <v/>
      </c>
      <c r="J2107" s="35" t="str">
        <f aca="false">IF($A2107="","",IF(Setup!$B$6=1,YEAR($A2107),YEAR($A2107)+IF(MONTH($A2107)&gt;=Setup!$B$6,1,0)))</f>
        <v/>
      </c>
      <c r="K2107" s="35" t="str">
        <f aca="false">IF($A2107="","",MOD(MONTH($A2107)-Setup!$B$6+12,12)+1)</f>
        <v/>
      </c>
      <c r="L2107" s="36" t="str">
        <f aca="false">IF($A2107="","",TEXT($A2107,"MMM-YY"))</f>
        <v/>
      </c>
      <c r="M2107" s="37" t="str">
        <f aca="false">IF($A2107="","",IF($Q2107=0,"UNMAPPED",INDEX(COA_Mapping!$C$7:$C$256,$Q2107)))</f>
        <v/>
      </c>
      <c r="N2107" s="38" t="str">
        <f aca="false">IF($A2107="","",IF($Q2107=0,"",INDEX(COA_Mapping!$E$7:$E$256,$Q2107)))</f>
        <v/>
      </c>
      <c r="O2107" s="38" t="n">
        <f aca="false">IF($A2107="",1,IF($Q2107=0,1,INDEX(COA_Mapping!$F$7:$F$256,$Q2107)))</f>
        <v>1</v>
      </c>
      <c r="P2107" s="34" t="str">
        <f aca="false">IF($A2107="","",$I2107*$O2107)</f>
        <v/>
      </c>
      <c r="Q2107" s="39" t="n">
        <f aca="false">IF($B2107="",0,IFERROR(MATCH($B2107,COA_Mapping!$A$7:$A$256,0),0))</f>
        <v>0</v>
      </c>
      <c r="R2107" s="39" t="n">
        <f aca="false">IF($A2107="",-1,IF($J2107=Setup!$B$7,1,IF($J2107=Setup!$B$9,0,-1)))</f>
        <v>-1</v>
      </c>
      <c r="S2107" s="35" t="n">
        <f aca="false">IF(OR($A2107="",$Q2107=0,$R2107=-1),0,$Q2107*1000+$R2107*100+$K2107)</f>
        <v>0</v>
      </c>
      <c r="T2107" s="37" t="str">
        <f aca="false">IF($A2107="","",IF($B2107="","NO ACCOUNT",IF($Q2107=0,"UNMAPPED",IF($R2107=-1,"OUTSIDE FY RANGE","OK"))))</f>
        <v/>
      </c>
      <c r="U2107" s="40" t="str">
        <f aca="false">IF($A2107="","",$B2107&amp;"|"&amp;TEXT($A2107,"yyyymmdd")&amp;"|"&amp;TEXT($I2107,"0.00"))</f>
        <v/>
      </c>
      <c r="V2107" s="35" t="str">
        <f aca="false">IF($A2107="","",COUNTIF($U$8:$U$5007,$U2107))</f>
        <v/>
      </c>
    </row>
    <row r="2108" customFormat="false" ht="15" hidden="false" customHeight="false" outlineLevel="0" collapsed="false">
      <c r="A2108" s="31"/>
      <c r="B2108" s="32"/>
      <c r="C2108" s="32"/>
      <c r="D2108" s="32"/>
      <c r="E2108" s="32"/>
      <c r="F2108" s="32"/>
      <c r="G2108" s="33"/>
      <c r="H2108" s="33"/>
      <c r="I2108" s="34" t="str">
        <f aca="false">IF($A2108="","",$G2108-$H2108)</f>
        <v/>
      </c>
      <c r="J2108" s="35" t="str">
        <f aca="false">IF($A2108="","",IF(Setup!$B$6=1,YEAR($A2108),YEAR($A2108)+IF(MONTH($A2108)&gt;=Setup!$B$6,1,0)))</f>
        <v/>
      </c>
      <c r="K2108" s="35" t="str">
        <f aca="false">IF($A2108="","",MOD(MONTH($A2108)-Setup!$B$6+12,12)+1)</f>
        <v/>
      </c>
      <c r="L2108" s="36" t="str">
        <f aca="false">IF($A2108="","",TEXT($A2108,"MMM-YY"))</f>
        <v/>
      </c>
      <c r="M2108" s="37" t="str">
        <f aca="false">IF($A2108="","",IF($Q2108=0,"UNMAPPED",INDEX(COA_Mapping!$C$7:$C$256,$Q2108)))</f>
        <v/>
      </c>
      <c r="N2108" s="38" t="str">
        <f aca="false">IF($A2108="","",IF($Q2108=0,"",INDEX(COA_Mapping!$E$7:$E$256,$Q2108)))</f>
        <v/>
      </c>
      <c r="O2108" s="38" t="n">
        <f aca="false">IF($A2108="",1,IF($Q2108=0,1,INDEX(COA_Mapping!$F$7:$F$256,$Q2108)))</f>
        <v>1</v>
      </c>
      <c r="P2108" s="34" t="str">
        <f aca="false">IF($A2108="","",$I2108*$O2108)</f>
        <v/>
      </c>
      <c r="Q2108" s="39" t="n">
        <f aca="false">IF($B2108="",0,IFERROR(MATCH($B2108,COA_Mapping!$A$7:$A$256,0),0))</f>
        <v>0</v>
      </c>
      <c r="R2108" s="39" t="n">
        <f aca="false">IF($A2108="",-1,IF($J2108=Setup!$B$7,1,IF($J2108=Setup!$B$9,0,-1)))</f>
        <v>-1</v>
      </c>
      <c r="S2108" s="35" t="n">
        <f aca="false">IF(OR($A2108="",$Q2108=0,$R2108=-1),0,$Q2108*1000+$R2108*100+$K2108)</f>
        <v>0</v>
      </c>
      <c r="T2108" s="37" t="str">
        <f aca="false">IF($A2108="","",IF($B2108="","NO ACCOUNT",IF($Q2108=0,"UNMAPPED",IF($R2108=-1,"OUTSIDE FY RANGE","OK"))))</f>
        <v/>
      </c>
      <c r="U2108" s="40" t="str">
        <f aca="false">IF($A2108="","",$B2108&amp;"|"&amp;TEXT($A2108,"yyyymmdd")&amp;"|"&amp;TEXT($I2108,"0.00"))</f>
        <v/>
      </c>
      <c r="V2108" s="35" t="str">
        <f aca="false">IF($A2108="","",COUNTIF($U$8:$U$5007,$U2108))</f>
        <v/>
      </c>
    </row>
    <row r="2109" customFormat="false" ht="15" hidden="false" customHeight="false" outlineLevel="0" collapsed="false">
      <c r="A2109" s="31"/>
      <c r="B2109" s="32"/>
      <c r="C2109" s="32"/>
      <c r="D2109" s="32"/>
      <c r="E2109" s="32"/>
      <c r="F2109" s="32"/>
      <c r="G2109" s="33"/>
      <c r="H2109" s="33"/>
      <c r="I2109" s="34" t="str">
        <f aca="false">IF($A2109="","",$G2109-$H2109)</f>
        <v/>
      </c>
      <c r="J2109" s="35" t="str">
        <f aca="false">IF($A2109="","",IF(Setup!$B$6=1,YEAR($A2109),YEAR($A2109)+IF(MONTH($A2109)&gt;=Setup!$B$6,1,0)))</f>
        <v/>
      </c>
      <c r="K2109" s="35" t="str">
        <f aca="false">IF($A2109="","",MOD(MONTH($A2109)-Setup!$B$6+12,12)+1)</f>
        <v/>
      </c>
      <c r="L2109" s="36" t="str">
        <f aca="false">IF($A2109="","",TEXT($A2109,"MMM-YY"))</f>
        <v/>
      </c>
      <c r="M2109" s="37" t="str">
        <f aca="false">IF($A2109="","",IF($Q2109=0,"UNMAPPED",INDEX(COA_Mapping!$C$7:$C$256,$Q2109)))</f>
        <v/>
      </c>
      <c r="N2109" s="38" t="str">
        <f aca="false">IF($A2109="","",IF($Q2109=0,"",INDEX(COA_Mapping!$E$7:$E$256,$Q2109)))</f>
        <v/>
      </c>
      <c r="O2109" s="38" t="n">
        <f aca="false">IF($A2109="",1,IF($Q2109=0,1,INDEX(COA_Mapping!$F$7:$F$256,$Q2109)))</f>
        <v>1</v>
      </c>
      <c r="P2109" s="34" t="str">
        <f aca="false">IF($A2109="","",$I2109*$O2109)</f>
        <v/>
      </c>
      <c r="Q2109" s="39" t="n">
        <f aca="false">IF($B2109="",0,IFERROR(MATCH($B2109,COA_Mapping!$A$7:$A$256,0),0))</f>
        <v>0</v>
      </c>
      <c r="R2109" s="39" t="n">
        <f aca="false">IF($A2109="",-1,IF($J2109=Setup!$B$7,1,IF($J2109=Setup!$B$9,0,-1)))</f>
        <v>-1</v>
      </c>
      <c r="S2109" s="35" t="n">
        <f aca="false">IF(OR($A2109="",$Q2109=0,$R2109=-1),0,$Q2109*1000+$R2109*100+$K2109)</f>
        <v>0</v>
      </c>
      <c r="T2109" s="37" t="str">
        <f aca="false">IF($A2109="","",IF($B2109="","NO ACCOUNT",IF($Q2109=0,"UNMAPPED",IF($R2109=-1,"OUTSIDE FY RANGE","OK"))))</f>
        <v/>
      </c>
      <c r="U2109" s="40" t="str">
        <f aca="false">IF($A2109="","",$B2109&amp;"|"&amp;TEXT($A2109,"yyyymmdd")&amp;"|"&amp;TEXT($I2109,"0.00"))</f>
        <v/>
      </c>
      <c r="V2109" s="35" t="str">
        <f aca="false">IF($A2109="","",COUNTIF($U$8:$U$5007,$U2109))</f>
        <v/>
      </c>
    </row>
    <row r="2110" customFormat="false" ht="15" hidden="false" customHeight="false" outlineLevel="0" collapsed="false">
      <c r="A2110" s="31"/>
      <c r="B2110" s="32"/>
      <c r="C2110" s="32"/>
      <c r="D2110" s="32"/>
      <c r="E2110" s="32"/>
      <c r="F2110" s="32"/>
      <c r="G2110" s="33"/>
      <c r="H2110" s="33"/>
      <c r="I2110" s="34" t="str">
        <f aca="false">IF($A2110="","",$G2110-$H2110)</f>
        <v/>
      </c>
      <c r="J2110" s="35" t="str">
        <f aca="false">IF($A2110="","",IF(Setup!$B$6=1,YEAR($A2110),YEAR($A2110)+IF(MONTH($A2110)&gt;=Setup!$B$6,1,0)))</f>
        <v/>
      </c>
      <c r="K2110" s="35" t="str">
        <f aca="false">IF($A2110="","",MOD(MONTH($A2110)-Setup!$B$6+12,12)+1)</f>
        <v/>
      </c>
      <c r="L2110" s="36" t="str">
        <f aca="false">IF($A2110="","",TEXT($A2110,"MMM-YY"))</f>
        <v/>
      </c>
      <c r="M2110" s="37" t="str">
        <f aca="false">IF($A2110="","",IF($Q2110=0,"UNMAPPED",INDEX(COA_Mapping!$C$7:$C$256,$Q2110)))</f>
        <v/>
      </c>
      <c r="N2110" s="38" t="str">
        <f aca="false">IF($A2110="","",IF($Q2110=0,"",INDEX(COA_Mapping!$E$7:$E$256,$Q2110)))</f>
        <v/>
      </c>
      <c r="O2110" s="38" t="n">
        <f aca="false">IF($A2110="",1,IF($Q2110=0,1,INDEX(COA_Mapping!$F$7:$F$256,$Q2110)))</f>
        <v>1</v>
      </c>
      <c r="P2110" s="34" t="str">
        <f aca="false">IF($A2110="","",$I2110*$O2110)</f>
        <v/>
      </c>
      <c r="Q2110" s="39" t="n">
        <f aca="false">IF($B2110="",0,IFERROR(MATCH($B2110,COA_Mapping!$A$7:$A$256,0),0))</f>
        <v>0</v>
      </c>
      <c r="R2110" s="39" t="n">
        <f aca="false">IF($A2110="",-1,IF($J2110=Setup!$B$7,1,IF($J2110=Setup!$B$9,0,-1)))</f>
        <v>-1</v>
      </c>
      <c r="S2110" s="35" t="n">
        <f aca="false">IF(OR($A2110="",$Q2110=0,$R2110=-1),0,$Q2110*1000+$R2110*100+$K2110)</f>
        <v>0</v>
      </c>
      <c r="T2110" s="37" t="str">
        <f aca="false">IF($A2110="","",IF($B2110="","NO ACCOUNT",IF($Q2110=0,"UNMAPPED",IF($R2110=-1,"OUTSIDE FY RANGE","OK"))))</f>
        <v/>
      </c>
      <c r="U2110" s="40" t="str">
        <f aca="false">IF($A2110="","",$B2110&amp;"|"&amp;TEXT($A2110,"yyyymmdd")&amp;"|"&amp;TEXT($I2110,"0.00"))</f>
        <v/>
      </c>
      <c r="V2110" s="35" t="str">
        <f aca="false">IF($A2110="","",COUNTIF($U$8:$U$5007,$U2110))</f>
        <v/>
      </c>
    </row>
    <row r="2111" customFormat="false" ht="15" hidden="false" customHeight="false" outlineLevel="0" collapsed="false">
      <c r="A2111" s="31"/>
      <c r="B2111" s="32"/>
      <c r="C2111" s="32"/>
      <c r="D2111" s="32"/>
      <c r="E2111" s="32"/>
      <c r="F2111" s="32"/>
      <c r="G2111" s="33"/>
      <c r="H2111" s="33"/>
      <c r="I2111" s="34" t="str">
        <f aca="false">IF($A2111="","",$G2111-$H2111)</f>
        <v/>
      </c>
      <c r="J2111" s="35" t="str">
        <f aca="false">IF($A2111="","",IF(Setup!$B$6=1,YEAR($A2111),YEAR($A2111)+IF(MONTH($A2111)&gt;=Setup!$B$6,1,0)))</f>
        <v/>
      </c>
      <c r="K2111" s="35" t="str">
        <f aca="false">IF($A2111="","",MOD(MONTH($A2111)-Setup!$B$6+12,12)+1)</f>
        <v/>
      </c>
      <c r="L2111" s="36" t="str">
        <f aca="false">IF($A2111="","",TEXT($A2111,"MMM-YY"))</f>
        <v/>
      </c>
      <c r="M2111" s="37" t="str">
        <f aca="false">IF($A2111="","",IF($Q2111=0,"UNMAPPED",INDEX(COA_Mapping!$C$7:$C$256,$Q2111)))</f>
        <v/>
      </c>
      <c r="N2111" s="38" t="str">
        <f aca="false">IF($A2111="","",IF($Q2111=0,"",INDEX(COA_Mapping!$E$7:$E$256,$Q2111)))</f>
        <v/>
      </c>
      <c r="O2111" s="38" t="n">
        <f aca="false">IF($A2111="",1,IF($Q2111=0,1,INDEX(COA_Mapping!$F$7:$F$256,$Q2111)))</f>
        <v>1</v>
      </c>
      <c r="P2111" s="34" t="str">
        <f aca="false">IF($A2111="","",$I2111*$O2111)</f>
        <v/>
      </c>
      <c r="Q2111" s="39" t="n">
        <f aca="false">IF($B2111="",0,IFERROR(MATCH($B2111,COA_Mapping!$A$7:$A$256,0),0))</f>
        <v>0</v>
      </c>
      <c r="R2111" s="39" t="n">
        <f aca="false">IF($A2111="",-1,IF($J2111=Setup!$B$7,1,IF($J2111=Setup!$B$9,0,-1)))</f>
        <v>-1</v>
      </c>
      <c r="S2111" s="35" t="n">
        <f aca="false">IF(OR($A2111="",$Q2111=0,$R2111=-1),0,$Q2111*1000+$R2111*100+$K2111)</f>
        <v>0</v>
      </c>
      <c r="T2111" s="37" t="str">
        <f aca="false">IF($A2111="","",IF($B2111="","NO ACCOUNT",IF($Q2111=0,"UNMAPPED",IF($R2111=-1,"OUTSIDE FY RANGE","OK"))))</f>
        <v/>
      </c>
      <c r="U2111" s="40" t="str">
        <f aca="false">IF($A2111="","",$B2111&amp;"|"&amp;TEXT($A2111,"yyyymmdd")&amp;"|"&amp;TEXT($I2111,"0.00"))</f>
        <v/>
      </c>
      <c r="V2111" s="35" t="str">
        <f aca="false">IF($A2111="","",COUNTIF($U$8:$U$5007,$U2111))</f>
        <v/>
      </c>
    </row>
    <row r="2112" customFormat="false" ht="15" hidden="false" customHeight="false" outlineLevel="0" collapsed="false">
      <c r="A2112" s="31"/>
      <c r="B2112" s="32"/>
      <c r="C2112" s="32"/>
      <c r="D2112" s="32"/>
      <c r="E2112" s="32"/>
      <c r="F2112" s="32"/>
      <c r="G2112" s="33"/>
      <c r="H2112" s="33"/>
      <c r="I2112" s="34" t="str">
        <f aca="false">IF($A2112="","",$G2112-$H2112)</f>
        <v/>
      </c>
      <c r="J2112" s="35" t="str">
        <f aca="false">IF($A2112="","",IF(Setup!$B$6=1,YEAR($A2112),YEAR($A2112)+IF(MONTH($A2112)&gt;=Setup!$B$6,1,0)))</f>
        <v/>
      </c>
      <c r="K2112" s="35" t="str">
        <f aca="false">IF($A2112="","",MOD(MONTH($A2112)-Setup!$B$6+12,12)+1)</f>
        <v/>
      </c>
      <c r="L2112" s="36" t="str">
        <f aca="false">IF($A2112="","",TEXT($A2112,"MMM-YY"))</f>
        <v/>
      </c>
      <c r="M2112" s="37" t="str">
        <f aca="false">IF($A2112="","",IF($Q2112=0,"UNMAPPED",INDEX(COA_Mapping!$C$7:$C$256,$Q2112)))</f>
        <v/>
      </c>
      <c r="N2112" s="38" t="str">
        <f aca="false">IF($A2112="","",IF($Q2112=0,"",INDEX(COA_Mapping!$E$7:$E$256,$Q2112)))</f>
        <v/>
      </c>
      <c r="O2112" s="38" t="n">
        <f aca="false">IF($A2112="",1,IF($Q2112=0,1,INDEX(COA_Mapping!$F$7:$F$256,$Q2112)))</f>
        <v>1</v>
      </c>
      <c r="P2112" s="34" t="str">
        <f aca="false">IF($A2112="","",$I2112*$O2112)</f>
        <v/>
      </c>
      <c r="Q2112" s="39" t="n">
        <f aca="false">IF($B2112="",0,IFERROR(MATCH($B2112,COA_Mapping!$A$7:$A$256,0),0))</f>
        <v>0</v>
      </c>
      <c r="R2112" s="39" t="n">
        <f aca="false">IF($A2112="",-1,IF($J2112=Setup!$B$7,1,IF($J2112=Setup!$B$9,0,-1)))</f>
        <v>-1</v>
      </c>
      <c r="S2112" s="35" t="n">
        <f aca="false">IF(OR($A2112="",$Q2112=0,$R2112=-1),0,$Q2112*1000+$R2112*100+$K2112)</f>
        <v>0</v>
      </c>
      <c r="T2112" s="37" t="str">
        <f aca="false">IF($A2112="","",IF($B2112="","NO ACCOUNT",IF($Q2112=0,"UNMAPPED",IF($R2112=-1,"OUTSIDE FY RANGE","OK"))))</f>
        <v/>
      </c>
      <c r="U2112" s="40" t="str">
        <f aca="false">IF($A2112="","",$B2112&amp;"|"&amp;TEXT($A2112,"yyyymmdd")&amp;"|"&amp;TEXT($I2112,"0.00"))</f>
        <v/>
      </c>
      <c r="V2112" s="35" t="str">
        <f aca="false">IF($A2112="","",COUNTIF($U$8:$U$5007,$U2112))</f>
        <v/>
      </c>
    </row>
    <row r="2113" customFormat="false" ht="15" hidden="false" customHeight="false" outlineLevel="0" collapsed="false">
      <c r="A2113" s="31"/>
      <c r="B2113" s="32"/>
      <c r="C2113" s="32"/>
      <c r="D2113" s="32"/>
      <c r="E2113" s="32"/>
      <c r="F2113" s="32"/>
      <c r="G2113" s="33"/>
      <c r="H2113" s="33"/>
      <c r="I2113" s="34" t="str">
        <f aca="false">IF($A2113="","",$G2113-$H2113)</f>
        <v/>
      </c>
      <c r="J2113" s="35" t="str">
        <f aca="false">IF($A2113="","",IF(Setup!$B$6=1,YEAR($A2113),YEAR($A2113)+IF(MONTH($A2113)&gt;=Setup!$B$6,1,0)))</f>
        <v/>
      </c>
      <c r="K2113" s="35" t="str">
        <f aca="false">IF($A2113="","",MOD(MONTH($A2113)-Setup!$B$6+12,12)+1)</f>
        <v/>
      </c>
      <c r="L2113" s="36" t="str">
        <f aca="false">IF($A2113="","",TEXT($A2113,"MMM-YY"))</f>
        <v/>
      </c>
      <c r="M2113" s="37" t="str">
        <f aca="false">IF($A2113="","",IF($Q2113=0,"UNMAPPED",INDEX(COA_Mapping!$C$7:$C$256,$Q2113)))</f>
        <v/>
      </c>
      <c r="N2113" s="38" t="str">
        <f aca="false">IF($A2113="","",IF($Q2113=0,"",INDEX(COA_Mapping!$E$7:$E$256,$Q2113)))</f>
        <v/>
      </c>
      <c r="O2113" s="38" t="n">
        <f aca="false">IF($A2113="",1,IF($Q2113=0,1,INDEX(COA_Mapping!$F$7:$F$256,$Q2113)))</f>
        <v>1</v>
      </c>
      <c r="P2113" s="34" t="str">
        <f aca="false">IF($A2113="","",$I2113*$O2113)</f>
        <v/>
      </c>
      <c r="Q2113" s="39" t="n">
        <f aca="false">IF($B2113="",0,IFERROR(MATCH($B2113,COA_Mapping!$A$7:$A$256,0),0))</f>
        <v>0</v>
      </c>
      <c r="R2113" s="39" t="n">
        <f aca="false">IF($A2113="",-1,IF($J2113=Setup!$B$7,1,IF($J2113=Setup!$B$9,0,-1)))</f>
        <v>-1</v>
      </c>
      <c r="S2113" s="35" t="n">
        <f aca="false">IF(OR($A2113="",$Q2113=0,$R2113=-1),0,$Q2113*1000+$R2113*100+$K2113)</f>
        <v>0</v>
      </c>
      <c r="T2113" s="37" t="str">
        <f aca="false">IF($A2113="","",IF($B2113="","NO ACCOUNT",IF($Q2113=0,"UNMAPPED",IF($R2113=-1,"OUTSIDE FY RANGE","OK"))))</f>
        <v/>
      </c>
      <c r="U2113" s="40" t="str">
        <f aca="false">IF($A2113="","",$B2113&amp;"|"&amp;TEXT($A2113,"yyyymmdd")&amp;"|"&amp;TEXT($I2113,"0.00"))</f>
        <v/>
      </c>
      <c r="V2113" s="35" t="str">
        <f aca="false">IF($A2113="","",COUNTIF($U$8:$U$5007,$U2113))</f>
        <v/>
      </c>
    </row>
    <row r="2114" customFormat="false" ht="15" hidden="false" customHeight="false" outlineLevel="0" collapsed="false">
      <c r="A2114" s="31"/>
      <c r="B2114" s="32"/>
      <c r="C2114" s="32"/>
      <c r="D2114" s="32"/>
      <c r="E2114" s="32"/>
      <c r="F2114" s="32"/>
      <c r="G2114" s="33"/>
      <c r="H2114" s="33"/>
      <c r="I2114" s="34" t="str">
        <f aca="false">IF($A2114="","",$G2114-$H2114)</f>
        <v/>
      </c>
      <c r="J2114" s="35" t="str">
        <f aca="false">IF($A2114="","",IF(Setup!$B$6=1,YEAR($A2114),YEAR($A2114)+IF(MONTH($A2114)&gt;=Setup!$B$6,1,0)))</f>
        <v/>
      </c>
      <c r="K2114" s="35" t="str">
        <f aca="false">IF($A2114="","",MOD(MONTH($A2114)-Setup!$B$6+12,12)+1)</f>
        <v/>
      </c>
      <c r="L2114" s="36" t="str">
        <f aca="false">IF($A2114="","",TEXT($A2114,"MMM-YY"))</f>
        <v/>
      </c>
      <c r="M2114" s="37" t="str">
        <f aca="false">IF($A2114="","",IF($Q2114=0,"UNMAPPED",INDEX(COA_Mapping!$C$7:$C$256,$Q2114)))</f>
        <v/>
      </c>
      <c r="N2114" s="38" t="str">
        <f aca="false">IF($A2114="","",IF($Q2114=0,"",INDEX(COA_Mapping!$E$7:$E$256,$Q2114)))</f>
        <v/>
      </c>
      <c r="O2114" s="38" t="n">
        <f aca="false">IF($A2114="",1,IF($Q2114=0,1,INDEX(COA_Mapping!$F$7:$F$256,$Q2114)))</f>
        <v>1</v>
      </c>
      <c r="P2114" s="34" t="str">
        <f aca="false">IF($A2114="","",$I2114*$O2114)</f>
        <v/>
      </c>
      <c r="Q2114" s="39" t="n">
        <f aca="false">IF($B2114="",0,IFERROR(MATCH($B2114,COA_Mapping!$A$7:$A$256,0),0))</f>
        <v>0</v>
      </c>
      <c r="R2114" s="39" t="n">
        <f aca="false">IF($A2114="",-1,IF($J2114=Setup!$B$7,1,IF($J2114=Setup!$B$9,0,-1)))</f>
        <v>-1</v>
      </c>
      <c r="S2114" s="35" t="n">
        <f aca="false">IF(OR($A2114="",$Q2114=0,$R2114=-1),0,$Q2114*1000+$R2114*100+$K2114)</f>
        <v>0</v>
      </c>
      <c r="T2114" s="37" t="str">
        <f aca="false">IF($A2114="","",IF($B2114="","NO ACCOUNT",IF($Q2114=0,"UNMAPPED",IF($R2114=-1,"OUTSIDE FY RANGE","OK"))))</f>
        <v/>
      </c>
      <c r="U2114" s="40" t="str">
        <f aca="false">IF($A2114="","",$B2114&amp;"|"&amp;TEXT($A2114,"yyyymmdd")&amp;"|"&amp;TEXT($I2114,"0.00"))</f>
        <v/>
      </c>
      <c r="V2114" s="35" t="str">
        <f aca="false">IF($A2114="","",COUNTIF($U$8:$U$5007,$U2114))</f>
        <v/>
      </c>
    </row>
    <row r="2115" customFormat="false" ht="15" hidden="false" customHeight="false" outlineLevel="0" collapsed="false">
      <c r="A2115" s="31"/>
      <c r="B2115" s="32"/>
      <c r="C2115" s="32"/>
      <c r="D2115" s="32"/>
      <c r="E2115" s="32"/>
      <c r="F2115" s="32"/>
      <c r="G2115" s="33"/>
      <c r="H2115" s="33"/>
      <c r="I2115" s="34" t="str">
        <f aca="false">IF($A2115="","",$G2115-$H2115)</f>
        <v/>
      </c>
      <c r="J2115" s="35" t="str">
        <f aca="false">IF($A2115="","",IF(Setup!$B$6=1,YEAR($A2115),YEAR($A2115)+IF(MONTH($A2115)&gt;=Setup!$B$6,1,0)))</f>
        <v/>
      </c>
      <c r="K2115" s="35" t="str">
        <f aca="false">IF($A2115="","",MOD(MONTH($A2115)-Setup!$B$6+12,12)+1)</f>
        <v/>
      </c>
      <c r="L2115" s="36" t="str">
        <f aca="false">IF($A2115="","",TEXT($A2115,"MMM-YY"))</f>
        <v/>
      </c>
      <c r="M2115" s="37" t="str">
        <f aca="false">IF($A2115="","",IF($Q2115=0,"UNMAPPED",INDEX(COA_Mapping!$C$7:$C$256,$Q2115)))</f>
        <v/>
      </c>
      <c r="N2115" s="38" t="str">
        <f aca="false">IF($A2115="","",IF($Q2115=0,"",INDEX(COA_Mapping!$E$7:$E$256,$Q2115)))</f>
        <v/>
      </c>
      <c r="O2115" s="38" t="n">
        <f aca="false">IF($A2115="",1,IF($Q2115=0,1,INDEX(COA_Mapping!$F$7:$F$256,$Q2115)))</f>
        <v>1</v>
      </c>
      <c r="P2115" s="34" t="str">
        <f aca="false">IF($A2115="","",$I2115*$O2115)</f>
        <v/>
      </c>
      <c r="Q2115" s="39" t="n">
        <f aca="false">IF($B2115="",0,IFERROR(MATCH($B2115,COA_Mapping!$A$7:$A$256,0),0))</f>
        <v>0</v>
      </c>
      <c r="R2115" s="39" t="n">
        <f aca="false">IF($A2115="",-1,IF($J2115=Setup!$B$7,1,IF($J2115=Setup!$B$9,0,-1)))</f>
        <v>-1</v>
      </c>
      <c r="S2115" s="35" t="n">
        <f aca="false">IF(OR($A2115="",$Q2115=0,$R2115=-1),0,$Q2115*1000+$R2115*100+$K2115)</f>
        <v>0</v>
      </c>
      <c r="T2115" s="37" t="str">
        <f aca="false">IF($A2115="","",IF($B2115="","NO ACCOUNT",IF($Q2115=0,"UNMAPPED",IF($R2115=-1,"OUTSIDE FY RANGE","OK"))))</f>
        <v/>
      </c>
      <c r="U2115" s="40" t="str">
        <f aca="false">IF($A2115="","",$B2115&amp;"|"&amp;TEXT($A2115,"yyyymmdd")&amp;"|"&amp;TEXT($I2115,"0.00"))</f>
        <v/>
      </c>
      <c r="V2115" s="35" t="str">
        <f aca="false">IF($A2115="","",COUNTIF($U$8:$U$5007,$U2115))</f>
        <v/>
      </c>
    </row>
    <row r="2116" customFormat="false" ht="15" hidden="false" customHeight="false" outlineLevel="0" collapsed="false">
      <c r="A2116" s="31"/>
      <c r="B2116" s="32"/>
      <c r="C2116" s="32"/>
      <c r="D2116" s="32"/>
      <c r="E2116" s="32"/>
      <c r="F2116" s="32"/>
      <c r="G2116" s="33"/>
      <c r="H2116" s="33"/>
      <c r="I2116" s="34" t="str">
        <f aca="false">IF($A2116="","",$G2116-$H2116)</f>
        <v/>
      </c>
      <c r="J2116" s="35" t="str">
        <f aca="false">IF($A2116="","",IF(Setup!$B$6=1,YEAR($A2116),YEAR($A2116)+IF(MONTH($A2116)&gt;=Setup!$B$6,1,0)))</f>
        <v/>
      </c>
      <c r="K2116" s="35" t="str">
        <f aca="false">IF($A2116="","",MOD(MONTH($A2116)-Setup!$B$6+12,12)+1)</f>
        <v/>
      </c>
      <c r="L2116" s="36" t="str">
        <f aca="false">IF($A2116="","",TEXT($A2116,"MMM-YY"))</f>
        <v/>
      </c>
      <c r="M2116" s="37" t="str">
        <f aca="false">IF($A2116="","",IF($Q2116=0,"UNMAPPED",INDEX(COA_Mapping!$C$7:$C$256,$Q2116)))</f>
        <v/>
      </c>
      <c r="N2116" s="38" t="str">
        <f aca="false">IF($A2116="","",IF($Q2116=0,"",INDEX(COA_Mapping!$E$7:$E$256,$Q2116)))</f>
        <v/>
      </c>
      <c r="O2116" s="38" t="n">
        <f aca="false">IF($A2116="",1,IF($Q2116=0,1,INDEX(COA_Mapping!$F$7:$F$256,$Q2116)))</f>
        <v>1</v>
      </c>
      <c r="P2116" s="34" t="str">
        <f aca="false">IF($A2116="","",$I2116*$O2116)</f>
        <v/>
      </c>
      <c r="Q2116" s="39" t="n">
        <f aca="false">IF($B2116="",0,IFERROR(MATCH($B2116,COA_Mapping!$A$7:$A$256,0),0))</f>
        <v>0</v>
      </c>
      <c r="R2116" s="39" t="n">
        <f aca="false">IF($A2116="",-1,IF($J2116=Setup!$B$7,1,IF($J2116=Setup!$B$9,0,-1)))</f>
        <v>-1</v>
      </c>
      <c r="S2116" s="35" t="n">
        <f aca="false">IF(OR($A2116="",$Q2116=0,$R2116=-1),0,$Q2116*1000+$R2116*100+$K2116)</f>
        <v>0</v>
      </c>
      <c r="T2116" s="37" t="str">
        <f aca="false">IF($A2116="","",IF($B2116="","NO ACCOUNT",IF($Q2116=0,"UNMAPPED",IF($R2116=-1,"OUTSIDE FY RANGE","OK"))))</f>
        <v/>
      </c>
      <c r="U2116" s="40" t="str">
        <f aca="false">IF($A2116="","",$B2116&amp;"|"&amp;TEXT($A2116,"yyyymmdd")&amp;"|"&amp;TEXT($I2116,"0.00"))</f>
        <v/>
      </c>
      <c r="V2116" s="35" t="str">
        <f aca="false">IF($A2116="","",COUNTIF($U$8:$U$5007,$U2116))</f>
        <v/>
      </c>
    </row>
    <row r="2117" customFormat="false" ht="15" hidden="false" customHeight="false" outlineLevel="0" collapsed="false">
      <c r="A2117" s="31"/>
      <c r="B2117" s="32"/>
      <c r="C2117" s="32"/>
      <c r="D2117" s="32"/>
      <c r="E2117" s="32"/>
      <c r="F2117" s="32"/>
      <c r="G2117" s="33"/>
      <c r="H2117" s="33"/>
      <c r="I2117" s="34" t="str">
        <f aca="false">IF($A2117="","",$G2117-$H2117)</f>
        <v/>
      </c>
      <c r="J2117" s="35" t="str">
        <f aca="false">IF($A2117="","",IF(Setup!$B$6=1,YEAR($A2117),YEAR($A2117)+IF(MONTH($A2117)&gt;=Setup!$B$6,1,0)))</f>
        <v/>
      </c>
      <c r="K2117" s="35" t="str">
        <f aca="false">IF($A2117="","",MOD(MONTH($A2117)-Setup!$B$6+12,12)+1)</f>
        <v/>
      </c>
      <c r="L2117" s="36" t="str">
        <f aca="false">IF($A2117="","",TEXT($A2117,"MMM-YY"))</f>
        <v/>
      </c>
      <c r="M2117" s="37" t="str">
        <f aca="false">IF($A2117="","",IF($Q2117=0,"UNMAPPED",INDEX(COA_Mapping!$C$7:$C$256,$Q2117)))</f>
        <v/>
      </c>
      <c r="N2117" s="38" t="str">
        <f aca="false">IF($A2117="","",IF($Q2117=0,"",INDEX(COA_Mapping!$E$7:$E$256,$Q2117)))</f>
        <v/>
      </c>
      <c r="O2117" s="38" t="n">
        <f aca="false">IF($A2117="",1,IF($Q2117=0,1,INDEX(COA_Mapping!$F$7:$F$256,$Q2117)))</f>
        <v>1</v>
      </c>
      <c r="P2117" s="34" t="str">
        <f aca="false">IF($A2117="","",$I2117*$O2117)</f>
        <v/>
      </c>
      <c r="Q2117" s="39" t="n">
        <f aca="false">IF($B2117="",0,IFERROR(MATCH($B2117,COA_Mapping!$A$7:$A$256,0),0))</f>
        <v>0</v>
      </c>
      <c r="R2117" s="39" t="n">
        <f aca="false">IF($A2117="",-1,IF($J2117=Setup!$B$7,1,IF($J2117=Setup!$B$9,0,-1)))</f>
        <v>-1</v>
      </c>
      <c r="S2117" s="35" t="n">
        <f aca="false">IF(OR($A2117="",$Q2117=0,$R2117=-1),0,$Q2117*1000+$R2117*100+$K2117)</f>
        <v>0</v>
      </c>
      <c r="T2117" s="37" t="str">
        <f aca="false">IF($A2117="","",IF($B2117="","NO ACCOUNT",IF($Q2117=0,"UNMAPPED",IF($R2117=-1,"OUTSIDE FY RANGE","OK"))))</f>
        <v/>
      </c>
      <c r="U2117" s="40" t="str">
        <f aca="false">IF($A2117="","",$B2117&amp;"|"&amp;TEXT($A2117,"yyyymmdd")&amp;"|"&amp;TEXT($I2117,"0.00"))</f>
        <v/>
      </c>
      <c r="V2117" s="35" t="str">
        <f aca="false">IF($A2117="","",COUNTIF($U$8:$U$5007,$U2117))</f>
        <v/>
      </c>
    </row>
    <row r="2118" customFormat="false" ht="15" hidden="false" customHeight="false" outlineLevel="0" collapsed="false">
      <c r="A2118" s="31"/>
      <c r="B2118" s="32"/>
      <c r="C2118" s="32"/>
      <c r="D2118" s="32"/>
      <c r="E2118" s="32"/>
      <c r="F2118" s="32"/>
      <c r="G2118" s="33"/>
      <c r="H2118" s="33"/>
      <c r="I2118" s="34" t="str">
        <f aca="false">IF($A2118="","",$G2118-$H2118)</f>
        <v/>
      </c>
      <c r="J2118" s="35" t="str">
        <f aca="false">IF($A2118="","",IF(Setup!$B$6=1,YEAR($A2118),YEAR($A2118)+IF(MONTH($A2118)&gt;=Setup!$B$6,1,0)))</f>
        <v/>
      </c>
      <c r="K2118" s="35" t="str">
        <f aca="false">IF($A2118="","",MOD(MONTH($A2118)-Setup!$B$6+12,12)+1)</f>
        <v/>
      </c>
      <c r="L2118" s="36" t="str">
        <f aca="false">IF($A2118="","",TEXT($A2118,"MMM-YY"))</f>
        <v/>
      </c>
      <c r="M2118" s="37" t="str">
        <f aca="false">IF($A2118="","",IF($Q2118=0,"UNMAPPED",INDEX(COA_Mapping!$C$7:$C$256,$Q2118)))</f>
        <v/>
      </c>
      <c r="N2118" s="38" t="str">
        <f aca="false">IF($A2118="","",IF($Q2118=0,"",INDEX(COA_Mapping!$E$7:$E$256,$Q2118)))</f>
        <v/>
      </c>
      <c r="O2118" s="38" t="n">
        <f aca="false">IF($A2118="",1,IF($Q2118=0,1,INDEX(COA_Mapping!$F$7:$F$256,$Q2118)))</f>
        <v>1</v>
      </c>
      <c r="P2118" s="34" t="str">
        <f aca="false">IF($A2118="","",$I2118*$O2118)</f>
        <v/>
      </c>
      <c r="Q2118" s="39" t="n">
        <f aca="false">IF($B2118="",0,IFERROR(MATCH($B2118,COA_Mapping!$A$7:$A$256,0),0))</f>
        <v>0</v>
      </c>
      <c r="R2118" s="39" t="n">
        <f aca="false">IF($A2118="",-1,IF($J2118=Setup!$B$7,1,IF($J2118=Setup!$B$9,0,-1)))</f>
        <v>-1</v>
      </c>
      <c r="S2118" s="35" t="n">
        <f aca="false">IF(OR($A2118="",$Q2118=0,$R2118=-1),0,$Q2118*1000+$R2118*100+$K2118)</f>
        <v>0</v>
      </c>
      <c r="T2118" s="37" t="str">
        <f aca="false">IF($A2118="","",IF($B2118="","NO ACCOUNT",IF($Q2118=0,"UNMAPPED",IF($R2118=-1,"OUTSIDE FY RANGE","OK"))))</f>
        <v/>
      </c>
      <c r="U2118" s="40" t="str">
        <f aca="false">IF($A2118="","",$B2118&amp;"|"&amp;TEXT($A2118,"yyyymmdd")&amp;"|"&amp;TEXT($I2118,"0.00"))</f>
        <v/>
      </c>
      <c r="V2118" s="35" t="str">
        <f aca="false">IF($A2118="","",COUNTIF($U$8:$U$5007,$U2118))</f>
        <v/>
      </c>
    </row>
    <row r="2119" customFormat="false" ht="15" hidden="false" customHeight="false" outlineLevel="0" collapsed="false">
      <c r="A2119" s="31"/>
      <c r="B2119" s="32"/>
      <c r="C2119" s="32"/>
      <c r="D2119" s="32"/>
      <c r="E2119" s="32"/>
      <c r="F2119" s="32"/>
      <c r="G2119" s="33"/>
      <c r="H2119" s="33"/>
      <c r="I2119" s="34" t="str">
        <f aca="false">IF($A2119="","",$G2119-$H2119)</f>
        <v/>
      </c>
      <c r="J2119" s="35" t="str">
        <f aca="false">IF($A2119="","",IF(Setup!$B$6=1,YEAR($A2119),YEAR($A2119)+IF(MONTH($A2119)&gt;=Setup!$B$6,1,0)))</f>
        <v/>
      </c>
      <c r="K2119" s="35" t="str">
        <f aca="false">IF($A2119="","",MOD(MONTH($A2119)-Setup!$B$6+12,12)+1)</f>
        <v/>
      </c>
      <c r="L2119" s="36" t="str">
        <f aca="false">IF($A2119="","",TEXT($A2119,"MMM-YY"))</f>
        <v/>
      </c>
      <c r="M2119" s="37" t="str">
        <f aca="false">IF($A2119="","",IF($Q2119=0,"UNMAPPED",INDEX(COA_Mapping!$C$7:$C$256,$Q2119)))</f>
        <v/>
      </c>
      <c r="N2119" s="38" t="str">
        <f aca="false">IF($A2119="","",IF($Q2119=0,"",INDEX(COA_Mapping!$E$7:$E$256,$Q2119)))</f>
        <v/>
      </c>
      <c r="O2119" s="38" t="n">
        <f aca="false">IF($A2119="",1,IF($Q2119=0,1,INDEX(COA_Mapping!$F$7:$F$256,$Q2119)))</f>
        <v>1</v>
      </c>
      <c r="P2119" s="34" t="str">
        <f aca="false">IF($A2119="","",$I2119*$O2119)</f>
        <v/>
      </c>
      <c r="Q2119" s="39" t="n">
        <f aca="false">IF($B2119="",0,IFERROR(MATCH($B2119,COA_Mapping!$A$7:$A$256,0),0))</f>
        <v>0</v>
      </c>
      <c r="R2119" s="39" t="n">
        <f aca="false">IF($A2119="",-1,IF($J2119=Setup!$B$7,1,IF($J2119=Setup!$B$9,0,-1)))</f>
        <v>-1</v>
      </c>
      <c r="S2119" s="35" t="n">
        <f aca="false">IF(OR($A2119="",$Q2119=0,$R2119=-1),0,$Q2119*1000+$R2119*100+$K2119)</f>
        <v>0</v>
      </c>
      <c r="T2119" s="37" t="str">
        <f aca="false">IF($A2119="","",IF($B2119="","NO ACCOUNT",IF($Q2119=0,"UNMAPPED",IF($R2119=-1,"OUTSIDE FY RANGE","OK"))))</f>
        <v/>
      </c>
      <c r="U2119" s="40" t="str">
        <f aca="false">IF($A2119="","",$B2119&amp;"|"&amp;TEXT($A2119,"yyyymmdd")&amp;"|"&amp;TEXT($I2119,"0.00"))</f>
        <v/>
      </c>
      <c r="V2119" s="35" t="str">
        <f aca="false">IF($A2119="","",COUNTIF($U$8:$U$5007,$U2119))</f>
        <v/>
      </c>
    </row>
    <row r="2120" customFormat="false" ht="15" hidden="false" customHeight="false" outlineLevel="0" collapsed="false">
      <c r="A2120" s="31"/>
      <c r="B2120" s="32"/>
      <c r="C2120" s="32"/>
      <c r="D2120" s="32"/>
      <c r="E2120" s="32"/>
      <c r="F2120" s="32"/>
      <c r="G2120" s="33"/>
      <c r="H2120" s="33"/>
      <c r="I2120" s="34" t="str">
        <f aca="false">IF($A2120="","",$G2120-$H2120)</f>
        <v/>
      </c>
      <c r="J2120" s="35" t="str">
        <f aca="false">IF($A2120="","",IF(Setup!$B$6=1,YEAR($A2120),YEAR($A2120)+IF(MONTH($A2120)&gt;=Setup!$B$6,1,0)))</f>
        <v/>
      </c>
      <c r="K2120" s="35" t="str">
        <f aca="false">IF($A2120="","",MOD(MONTH($A2120)-Setup!$B$6+12,12)+1)</f>
        <v/>
      </c>
      <c r="L2120" s="36" t="str">
        <f aca="false">IF($A2120="","",TEXT($A2120,"MMM-YY"))</f>
        <v/>
      </c>
      <c r="M2120" s="37" t="str">
        <f aca="false">IF($A2120="","",IF($Q2120=0,"UNMAPPED",INDEX(COA_Mapping!$C$7:$C$256,$Q2120)))</f>
        <v/>
      </c>
      <c r="N2120" s="38" t="str">
        <f aca="false">IF($A2120="","",IF($Q2120=0,"",INDEX(COA_Mapping!$E$7:$E$256,$Q2120)))</f>
        <v/>
      </c>
      <c r="O2120" s="38" t="n">
        <f aca="false">IF($A2120="",1,IF($Q2120=0,1,INDEX(COA_Mapping!$F$7:$F$256,$Q2120)))</f>
        <v>1</v>
      </c>
      <c r="P2120" s="34" t="str">
        <f aca="false">IF($A2120="","",$I2120*$O2120)</f>
        <v/>
      </c>
      <c r="Q2120" s="39" t="n">
        <f aca="false">IF($B2120="",0,IFERROR(MATCH($B2120,COA_Mapping!$A$7:$A$256,0),0))</f>
        <v>0</v>
      </c>
      <c r="R2120" s="39" t="n">
        <f aca="false">IF($A2120="",-1,IF($J2120=Setup!$B$7,1,IF($J2120=Setup!$B$9,0,-1)))</f>
        <v>-1</v>
      </c>
      <c r="S2120" s="35" t="n">
        <f aca="false">IF(OR($A2120="",$Q2120=0,$R2120=-1),0,$Q2120*1000+$R2120*100+$K2120)</f>
        <v>0</v>
      </c>
      <c r="T2120" s="37" t="str">
        <f aca="false">IF($A2120="","",IF($B2120="","NO ACCOUNT",IF($Q2120=0,"UNMAPPED",IF($R2120=-1,"OUTSIDE FY RANGE","OK"))))</f>
        <v/>
      </c>
      <c r="U2120" s="40" t="str">
        <f aca="false">IF($A2120="","",$B2120&amp;"|"&amp;TEXT($A2120,"yyyymmdd")&amp;"|"&amp;TEXT($I2120,"0.00"))</f>
        <v/>
      </c>
      <c r="V2120" s="35" t="str">
        <f aca="false">IF($A2120="","",COUNTIF($U$8:$U$5007,$U2120))</f>
        <v/>
      </c>
    </row>
    <row r="2121" customFormat="false" ht="15" hidden="false" customHeight="false" outlineLevel="0" collapsed="false">
      <c r="A2121" s="31"/>
      <c r="B2121" s="32"/>
      <c r="C2121" s="32"/>
      <c r="D2121" s="32"/>
      <c r="E2121" s="32"/>
      <c r="F2121" s="32"/>
      <c r="G2121" s="33"/>
      <c r="H2121" s="33"/>
      <c r="I2121" s="34" t="str">
        <f aca="false">IF($A2121="","",$G2121-$H2121)</f>
        <v/>
      </c>
      <c r="J2121" s="35" t="str">
        <f aca="false">IF($A2121="","",IF(Setup!$B$6=1,YEAR($A2121),YEAR($A2121)+IF(MONTH($A2121)&gt;=Setup!$B$6,1,0)))</f>
        <v/>
      </c>
      <c r="K2121" s="35" t="str">
        <f aca="false">IF($A2121="","",MOD(MONTH($A2121)-Setup!$B$6+12,12)+1)</f>
        <v/>
      </c>
      <c r="L2121" s="36" t="str">
        <f aca="false">IF($A2121="","",TEXT($A2121,"MMM-YY"))</f>
        <v/>
      </c>
      <c r="M2121" s="37" t="str">
        <f aca="false">IF($A2121="","",IF($Q2121=0,"UNMAPPED",INDEX(COA_Mapping!$C$7:$C$256,$Q2121)))</f>
        <v/>
      </c>
      <c r="N2121" s="38" t="str">
        <f aca="false">IF($A2121="","",IF($Q2121=0,"",INDEX(COA_Mapping!$E$7:$E$256,$Q2121)))</f>
        <v/>
      </c>
      <c r="O2121" s="38" t="n">
        <f aca="false">IF($A2121="",1,IF($Q2121=0,1,INDEX(COA_Mapping!$F$7:$F$256,$Q2121)))</f>
        <v>1</v>
      </c>
      <c r="P2121" s="34" t="str">
        <f aca="false">IF($A2121="","",$I2121*$O2121)</f>
        <v/>
      </c>
      <c r="Q2121" s="39" t="n">
        <f aca="false">IF($B2121="",0,IFERROR(MATCH($B2121,COA_Mapping!$A$7:$A$256,0),0))</f>
        <v>0</v>
      </c>
      <c r="R2121" s="39" t="n">
        <f aca="false">IF($A2121="",-1,IF($J2121=Setup!$B$7,1,IF($J2121=Setup!$B$9,0,-1)))</f>
        <v>-1</v>
      </c>
      <c r="S2121" s="35" t="n">
        <f aca="false">IF(OR($A2121="",$Q2121=0,$R2121=-1),0,$Q2121*1000+$R2121*100+$K2121)</f>
        <v>0</v>
      </c>
      <c r="T2121" s="37" t="str">
        <f aca="false">IF($A2121="","",IF($B2121="","NO ACCOUNT",IF($Q2121=0,"UNMAPPED",IF($R2121=-1,"OUTSIDE FY RANGE","OK"))))</f>
        <v/>
      </c>
      <c r="U2121" s="40" t="str">
        <f aca="false">IF($A2121="","",$B2121&amp;"|"&amp;TEXT($A2121,"yyyymmdd")&amp;"|"&amp;TEXT($I2121,"0.00"))</f>
        <v/>
      </c>
      <c r="V2121" s="35" t="str">
        <f aca="false">IF($A2121="","",COUNTIF($U$8:$U$5007,$U2121))</f>
        <v/>
      </c>
    </row>
    <row r="2122" customFormat="false" ht="15" hidden="false" customHeight="false" outlineLevel="0" collapsed="false">
      <c r="A2122" s="31"/>
      <c r="B2122" s="32"/>
      <c r="C2122" s="32"/>
      <c r="D2122" s="32"/>
      <c r="E2122" s="32"/>
      <c r="F2122" s="32"/>
      <c r="G2122" s="33"/>
      <c r="H2122" s="33"/>
      <c r="I2122" s="34" t="str">
        <f aca="false">IF($A2122="","",$G2122-$H2122)</f>
        <v/>
      </c>
      <c r="J2122" s="35" t="str">
        <f aca="false">IF($A2122="","",IF(Setup!$B$6=1,YEAR($A2122),YEAR($A2122)+IF(MONTH($A2122)&gt;=Setup!$B$6,1,0)))</f>
        <v/>
      </c>
      <c r="K2122" s="35" t="str">
        <f aca="false">IF($A2122="","",MOD(MONTH($A2122)-Setup!$B$6+12,12)+1)</f>
        <v/>
      </c>
      <c r="L2122" s="36" t="str">
        <f aca="false">IF($A2122="","",TEXT($A2122,"MMM-YY"))</f>
        <v/>
      </c>
      <c r="M2122" s="37" t="str">
        <f aca="false">IF($A2122="","",IF($Q2122=0,"UNMAPPED",INDEX(COA_Mapping!$C$7:$C$256,$Q2122)))</f>
        <v/>
      </c>
      <c r="N2122" s="38" t="str">
        <f aca="false">IF($A2122="","",IF($Q2122=0,"",INDEX(COA_Mapping!$E$7:$E$256,$Q2122)))</f>
        <v/>
      </c>
      <c r="O2122" s="38" t="n">
        <f aca="false">IF($A2122="",1,IF($Q2122=0,1,INDEX(COA_Mapping!$F$7:$F$256,$Q2122)))</f>
        <v>1</v>
      </c>
      <c r="P2122" s="34" t="str">
        <f aca="false">IF($A2122="","",$I2122*$O2122)</f>
        <v/>
      </c>
      <c r="Q2122" s="39" t="n">
        <f aca="false">IF($B2122="",0,IFERROR(MATCH($B2122,COA_Mapping!$A$7:$A$256,0),0))</f>
        <v>0</v>
      </c>
      <c r="R2122" s="39" t="n">
        <f aca="false">IF($A2122="",-1,IF($J2122=Setup!$B$7,1,IF($J2122=Setup!$B$9,0,-1)))</f>
        <v>-1</v>
      </c>
      <c r="S2122" s="35" t="n">
        <f aca="false">IF(OR($A2122="",$Q2122=0,$R2122=-1),0,$Q2122*1000+$R2122*100+$K2122)</f>
        <v>0</v>
      </c>
      <c r="T2122" s="37" t="str">
        <f aca="false">IF($A2122="","",IF($B2122="","NO ACCOUNT",IF($Q2122=0,"UNMAPPED",IF($R2122=-1,"OUTSIDE FY RANGE","OK"))))</f>
        <v/>
      </c>
      <c r="U2122" s="40" t="str">
        <f aca="false">IF($A2122="","",$B2122&amp;"|"&amp;TEXT($A2122,"yyyymmdd")&amp;"|"&amp;TEXT($I2122,"0.00"))</f>
        <v/>
      </c>
      <c r="V2122" s="35" t="str">
        <f aca="false">IF($A2122="","",COUNTIF($U$8:$U$5007,$U2122))</f>
        <v/>
      </c>
    </row>
    <row r="2123" customFormat="false" ht="15" hidden="false" customHeight="false" outlineLevel="0" collapsed="false">
      <c r="A2123" s="31"/>
      <c r="B2123" s="32"/>
      <c r="C2123" s="32"/>
      <c r="D2123" s="32"/>
      <c r="E2123" s="32"/>
      <c r="F2123" s="32"/>
      <c r="G2123" s="33"/>
      <c r="H2123" s="33"/>
      <c r="I2123" s="34" t="str">
        <f aca="false">IF($A2123="","",$G2123-$H2123)</f>
        <v/>
      </c>
      <c r="J2123" s="35" t="str">
        <f aca="false">IF($A2123="","",IF(Setup!$B$6=1,YEAR($A2123),YEAR($A2123)+IF(MONTH($A2123)&gt;=Setup!$B$6,1,0)))</f>
        <v/>
      </c>
      <c r="K2123" s="35" t="str">
        <f aca="false">IF($A2123="","",MOD(MONTH($A2123)-Setup!$B$6+12,12)+1)</f>
        <v/>
      </c>
      <c r="L2123" s="36" t="str">
        <f aca="false">IF($A2123="","",TEXT($A2123,"MMM-YY"))</f>
        <v/>
      </c>
      <c r="M2123" s="37" t="str">
        <f aca="false">IF($A2123="","",IF($Q2123=0,"UNMAPPED",INDEX(COA_Mapping!$C$7:$C$256,$Q2123)))</f>
        <v/>
      </c>
      <c r="N2123" s="38" t="str">
        <f aca="false">IF($A2123="","",IF($Q2123=0,"",INDEX(COA_Mapping!$E$7:$E$256,$Q2123)))</f>
        <v/>
      </c>
      <c r="O2123" s="38" t="n">
        <f aca="false">IF($A2123="",1,IF($Q2123=0,1,INDEX(COA_Mapping!$F$7:$F$256,$Q2123)))</f>
        <v>1</v>
      </c>
      <c r="P2123" s="34" t="str">
        <f aca="false">IF($A2123="","",$I2123*$O2123)</f>
        <v/>
      </c>
      <c r="Q2123" s="39" t="n">
        <f aca="false">IF($B2123="",0,IFERROR(MATCH($B2123,COA_Mapping!$A$7:$A$256,0),0))</f>
        <v>0</v>
      </c>
      <c r="R2123" s="39" t="n">
        <f aca="false">IF($A2123="",-1,IF($J2123=Setup!$B$7,1,IF($J2123=Setup!$B$9,0,-1)))</f>
        <v>-1</v>
      </c>
      <c r="S2123" s="35" t="n">
        <f aca="false">IF(OR($A2123="",$Q2123=0,$R2123=-1),0,$Q2123*1000+$R2123*100+$K2123)</f>
        <v>0</v>
      </c>
      <c r="T2123" s="37" t="str">
        <f aca="false">IF($A2123="","",IF($B2123="","NO ACCOUNT",IF($Q2123=0,"UNMAPPED",IF($R2123=-1,"OUTSIDE FY RANGE","OK"))))</f>
        <v/>
      </c>
      <c r="U2123" s="40" t="str">
        <f aca="false">IF($A2123="","",$B2123&amp;"|"&amp;TEXT($A2123,"yyyymmdd")&amp;"|"&amp;TEXT($I2123,"0.00"))</f>
        <v/>
      </c>
      <c r="V2123" s="35" t="str">
        <f aca="false">IF($A2123="","",COUNTIF($U$8:$U$5007,$U2123))</f>
        <v/>
      </c>
    </row>
    <row r="2124" customFormat="false" ht="15" hidden="false" customHeight="false" outlineLevel="0" collapsed="false">
      <c r="A2124" s="31"/>
      <c r="B2124" s="32"/>
      <c r="C2124" s="32"/>
      <c r="D2124" s="32"/>
      <c r="E2124" s="32"/>
      <c r="F2124" s="32"/>
      <c r="G2124" s="33"/>
      <c r="H2124" s="33"/>
      <c r="I2124" s="34" t="str">
        <f aca="false">IF($A2124="","",$G2124-$H2124)</f>
        <v/>
      </c>
      <c r="J2124" s="35" t="str">
        <f aca="false">IF($A2124="","",IF(Setup!$B$6=1,YEAR($A2124),YEAR($A2124)+IF(MONTH($A2124)&gt;=Setup!$B$6,1,0)))</f>
        <v/>
      </c>
      <c r="K2124" s="35" t="str">
        <f aca="false">IF($A2124="","",MOD(MONTH($A2124)-Setup!$B$6+12,12)+1)</f>
        <v/>
      </c>
      <c r="L2124" s="36" t="str">
        <f aca="false">IF($A2124="","",TEXT($A2124,"MMM-YY"))</f>
        <v/>
      </c>
      <c r="M2124" s="37" t="str">
        <f aca="false">IF($A2124="","",IF($Q2124=0,"UNMAPPED",INDEX(COA_Mapping!$C$7:$C$256,$Q2124)))</f>
        <v/>
      </c>
      <c r="N2124" s="38" t="str">
        <f aca="false">IF($A2124="","",IF($Q2124=0,"",INDEX(COA_Mapping!$E$7:$E$256,$Q2124)))</f>
        <v/>
      </c>
      <c r="O2124" s="38" t="n">
        <f aca="false">IF($A2124="",1,IF($Q2124=0,1,INDEX(COA_Mapping!$F$7:$F$256,$Q2124)))</f>
        <v>1</v>
      </c>
      <c r="P2124" s="34" t="str">
        <f aca="false">IF($A2124="","",$I2124*$O2124)</f>
        <v/>
      </c>
      <c r="Q2124" s="39" t="n">
        <f aca="false">IF($B2124="",0,IFERROR(MATCH($B2124,COA_Mapping!$A$7:$A$256,0),0))</f>
        <v>0</v>
      </c>
      <c r="R2124" s="39" t="n">
        <f aca="false">IF($A2124="",-1,IF($J2124=Setup!$B$7,1,IF($J2124=Setup!$B$9,0,-1)))</f>
        <v>-1</v>
      </c>
      <c r="S2124" s="35" t="n">
        <f aca="false">IF(OR($A2124="",$Q2124=0,$R2124=-1),0,$Q2124*1000+$R2124*100+$K2124)</f>
        <v>0</v>
      </c>
      <c r="T2124" s="37" t="str">
        <f aca="false">IF($A2124="","",IF($B2124="","NO ACCOUNT",IF($Q2124=0,"UNMAPPED",IF($R2124=-1,"OUTSIDE FY RANGE","OK"))))</f>
        <v/>
      </c>
      <c r="U2124" s="40" t="str">
        <f aca="false">IF($A2124="","",$B2124&amp;"|"&amp;TEXT($A2124,"yyyymmdd")&amp;"|"&amp;TEXT($I2124,"0.00"))</f>
        <v/>
      </c>
      <c r="V2124" s="35" t="str">
        <f aca="false">IF($A2124="","",COUNTIF($U$8:$U$5007,$U2124))</f>
        <v/>
      </c>
    </row>
    <row r="2125" customFormat="false" ht="15" hidden="false" customHeight="false" outlineLevel="0" collapsed="false">
      <c r="A2125" s="31"/>
      <c r="B2125" s="32"/>
      <c r="C2125" s="32"/>
      <c r="D2125" s="32"/>
      <c r="E2125" s="32"/>
      <c r="F2125" s="32"/>
      <c r="G2125" s="33"/>
      <c r="H2125" s="33"/>
      <c r="I2125" s="34" t="str">
        <f aca="false">IF($A2125="","",$G2125-$H2125)</f>
        <v/>
      </c>
      <c r="J2125" s="35" t="str">
        <f aca="false">IF($A2125="","",IF(Setup!$B$6=1,YEAR($A2125),YEAR($A2125)+IF(MONTH($A2125)&gt;=Setup!$B$6,1,0)))</f>
        <v/>
      </c>
      <c r="K2125" s="35" t="str">
        <f aca="false">IF($A2125="","",MOD(MONTH($A2125)-Setup!$B$6+12,12)+1)</f>
        <v/>
      </c>
      <c r="L2125" s="36" t="str">
        <f aca="false">IF($A2125="","",TEXT($A2125,"MMM-YY"))</f>
        <v/>
      </c>
      <c r="M2125" s="37" t="str">
        <f aca="false">IF($A2125="","",IF($Q2125=0,"UNMAPPED",INDEX(COA_Mapping!$C$7:$C$256,$Q2125)))</f>
        <v/>
      </c>
      <c r="N2125" s="38" t="str">
        <f aca="false">IF($A2125="","",IF($Q2125=0,"",INDEX(COA_Mapping!$E$7:$E$256,$Q2125)))</f>
        <v/>
      </c>
      <c r="O2125" s="38" t="n">
        <f aca="false">IF($A2125="",1,IF($Q2125=0,1,INDEX(COA_Mapping!$F$7:$F$256,$Q2125)))</f>
        <v>1</v>
      </c>
      <c r="P2125" s="34" t="str">
        <f aca="false">IF($A2125="","",$I2125*$O2125)</f>
        <v/>
      </c>
      <c r="Q2125" s="39" t="n">
        <f aca="false">IF($B2125="",0,IFERROR(MATCH($B2125,COA_Mapping!$A$7:$A$256,0),0))</f>
        <v>0</v>
      </c>
      <c r="R2125" s="39" t="n">
        <f aca="false">IF($A2125="",-1,IF($J2125=Setup!$B$7,1,IF($J2125=Setup!$B$9,0,-1)))</f>
        <v>-1</v>
      </c>
      <c r="S2125" s="35" t="n">
        <f aca="false">IF(OR($A2125="",$Q2125=0,$R2125=-1),0,$Q2125*1000+$R2125*100+$K2125)</f>
        <v>0</v>
      </c>
      <c r="T2125" s="37" t="str">
        <f aca="false">IF($A2125="","",IF($B2125="","NO ACCOUNT",IF($Q2125=0,"UNMAPPED",IF($R2125=-1,"OUTSIDE FY RANGE","OK"))))</f>
        <v/>
      </c>
      <c r="U2125" s="40" t="str">
        <f aca="false">IF($A2125="","",$B2125&amp;"|"&amp;TEXT($A2125,"yyyymmdd")&amp;"|"&amp;TEXT($I2125,"0.00"))</f>
        <v/>
      </c>
      <c r="V2125" s="35" t="str">
        <f aca="false">IF($A2125="","",COUNTIF($U$8:$U$5007,$U2125))</f>
        <v/>
      </c>
    </row>
    <row r="2126" customFormat="false" ht="15" hidden="false" customHeight="false" outlineLevel="0" collapsed="false">
      <c r="A2126" s="31"/>
      <c r="B2126" s="32"/>
      <c r="C2126" s="32"/>
      <c r="D2126" s="32"/>
      <c r="E2126" s="32"/>
      <c r="F2126" s="32"/>
      <c r="G2126" s="33"/>
      <c r="H2126" s="33"/>
      <c r="I2126" s="34" t="str">
        <f aca="false">IF($A2126="","",$G2126-$H2126)</f>
        <v/>
      </c>
      <c r="J2126" s="35" t="str">
        <f aca="false">IF($A2126="","",IF(Setup!$B$6=1,YEAR($A2126),YEAR($A2126)+IF(MONTH($A2126)&gt;=Setup!$B$6,1,0)))</f>
        <v/>
      </c>
      <c r="K2126" s="35" t="str">
        <f aca="false">IF($A2126="","",MOD(MONTH($A2126)-Setup!$B$6+12,12)+1)</f>
        <v/>
      </c>
      <c r="L2126" s="36" t="str">
        <f aca="false">IF($A2126="","",TEXT($A2126,"MMM-YY"))</f>
        <v/>
      </c>
      <c r="M2126" s="37" t="str">
        <f aca="false">IF($A2126="","",IF($Q2126=0,"UNMAPPED",INDEX(COA_Mapping!$C$7:$C$256,$Q2126)))</f>
        <v/>
      </c>
      <c r="N2126" s="38" t="str">
        <f aca="false">IF($A2126="","",IF($Q2126=0,"",INDEX(COA_Mapping!$E$7:$E$256,$Q2126)))</f>
        <v/>
      </c>
      <c r="O2126" s="38" t="n">
        <f aca="false">IF($A2126="",1,IF($Q2126=0,1,INDEX(COA_Mapping!$F$7:$F$256,$Q2126)))</f>
        <v>1</v>
      </c>
      <c r="P2126" s="34" t="str">
        <f aca="false">IF($A2126="","",$I2126*$O2126)</f>
        <v/>
      </c>
      <c r="Q2126" s="39" t="n">
        <f aca="false">IF($B2126="",0,IFERROR(MATCH($B2126,COA_Mapping!$A$7:$A$256,0),0))</f>
        <v>0</v>
      </c>
      <c r="R2126" s="39" t="n">
        <f aca="false">IF($A2126="",-1,IF($J2126=Setup!$B$7,1,IF($J2126=Setup!$B$9,0,-1)))</f>
        <v>-1</v>
      </c>
      <c r="S2126" s="35" t="n">
        <f aca="false">IF(OR($A2126="",$Q2126=0,$R2126=-1),0,$Q2126*1000+$R2126*100+$K2126)</f>
        <v>0</v>
      </c>
      <c r="T2126" s="37" t="str">
        <f aca="false">IF($A2126="","",IF($B2126="","NO ACCOUNT",IF($Q2126=0,"UNMAPPED",IF($R2126=-1,"OUTSIDE FY RANGE","OK"))))</f>
        <v/>
      </c>
      <c r="U2126" s="40" t="str">
        <f aca="false">IF($A2126="","",$B2126&amp;"|"&amp;TEXT($A2126,"yyyymmdd")&amp;"|"&amp;TEXT($I2126,"0.00"))</f>
        <v/>
      </c>
      <c r="V2126" s="35" t="str">
        <f aca="false">IF($A2126="","",COUNTIF($U$8:$U$5007,$U2126))</f>
        <v/>
      </c>
    </row>
    <row r="2127" customFormat="false" ht="15" hidden="false" customHeight="false" outlineLevel="0" collapsed="false">
      <c r="A2127" s="31"/>
      <c r="B2127" s="32"/>
      <c r="C2127" s="32"/>
      <c r="D2127" s="32"/>
      <c r="E2127" s="32"/>
      <c r="F2127" s="32"/>
      <c r="G2127" s="33"/>
      <c r="H2127" s="33"/>
      <c r="I2127" s="34" t="str">
        <f aca="false">IF($A2127="","",$G2127-$H2127)</f>
        <v/>
      </c>
      <c r="J2127" s="35" t="str">
        <f aca="false">IF($A2127="","",IF(Setup!$B$6=1,YEAR($A2127),YEAR($A2127)+IF(MONTH($A2127)&gt;=Setup!$B$6,1,0)))</f>
        <v/>
      </c>
      <c r="K2127" s="35" t="str">
        <f aca="false">IF($A2127="","",MOD(MONTH($A2127)-Setup!$B$6+12,12)+1)</f>
        <v/>
      </c>
      <c r="L2127" s="36" t="str">
        <f aca="false">IF($A2127="","",TEXT($A2127,"MMM-YY"))</f>
        <v/>
      </c>
      <c r="M2127" s="37" t="str">
        <f aca="false">IF($A2127="","",IF($Q2127=0,"UNMAPPED",INDEX(COA_Mapping!$C$7:$C$256,$Q2127)))</f>
        <v/>
      </c>
      <c r="N2127" s="38" t="str">
        <f aca="false">IF($A2127="","",IF($Q2127=0,"",INDEX(COA_Mapping!$E$7:$E$256,$Q2127)))</f>
        <v/>
      </c>
      <c r="O2127" s="38" t="n">
        <f aca="false">IF($A2127="",1,IF($Q2127=0,1,INDEX(COA_Mapping!$F$7:$F$256,$Q2127)))</f>
        <v>1</v>
      </c>
      <c r="P2127" s="34" t="str">
        <f aca="false">IF($A2127="","",$I2127*$O2127)</f>
        <v/>
      </c>
      <c r="Q2127" s="39" t="n">
        <f aca="false">IF($B2127="",0,IFERROR(MATCH($B2127,COA_Mapping!$A$7:$A$256,0),0))</f>
        <v>0</v>
      </c>
      <c r="R2127" s="39" t="n">
        <f aca="false">IF($A2127="",-1,IF($J2127=Setup!$B$7,1,IF($J2127=Setup!$B$9,0,-1)))</f>
        <v>-1</v>
      </c>
      <c r="S2127" s="35" t="n">
        <f aca="false">IF(OR($A2127="",$Q2127=0,$R2127=-1),0,$Q2127*1000+$R2127*100+$K2127)</f>
        <v>0</v>
      </c>
      <c r="T2127" s="37" t="str">
        <f aca="false">IF($A2127="","",IF($B2127="","NO ACCOUNT",IF($Q2127=0,"UNMAPPED",IF($R2127=-1,"OUTSIDE FY RANGE","OK"))))</f>
        <v/>
      </c>
      <c r="U2127" s="40" t="str">
        <f aca="false">IF($A2127="","",$B2127&amp;"|"&amp;TEXT($A2127,"yyyymmdd")&amp;"|"&amp;TEXT($I2127,"0.00"))</f>
        <v/>
      </c>
      <c r="V2127" s="35" t="str">
        <f aca="false">IF($A2127="","",COUNTIF($U$8:$U$5007,$U2127))</f>
        <v/>
      </c>
    </row>
    <row r="2128" customFormat="false" ht="15" hidden="false" customHeight="false" outlineLevel="0" collapsed="false">
      <c r="A2128" s="31"/>
      <c r="B2128" s="32"/>
      <c r="C2128" s="32"/>
      <c r="D2128" s="32"/>
      <c r="E2128" s="32"/>
      <c r="F2128" s="32"/>
      <c r="G2128" s="33"/>
      <c r="H2128" s="33"/>
      <c r="I2128" s="34" t="str">
        <f aca="false">IF($A2128="","",$G2128-$H2128)</f>
        <v/>
      </c>
      <c r="J2128" s="35" t="str">
        <f aca="false">IF($A2128="","",IF(Setup!$B$6=1,YEAR($A2128),YEAR($A2128)+IF(MONTH($A2128)&gt;=Setup!$B$6,1,0)))</f>
        <v/>
      </c>
      <c r="K2128" s="35" t="str">
        <f aca="false">IF($A2128="","",MOD(MONTH($A2128)-Setup!$B$6+12,12)+1)</f>
        <v/>
      </c>
      <c r="L2128" s="36" t="str">
        <f aca="false">IF($A2128="","",TEXT($A2128,"MMM-YY"))</f>
        <v/>
      </c>
      <c r="M2128" s="37" t="str">
        <f aca="false">IF($A2128="","",IF($Q2128=0,"UNMAPPED",INDEX(COA_Mapping!$C$7:$C$256,$Q2128)))</f>
        <v/>
      </c>
      <c r="N2128" s="38" t="str">
        <f aca="false">IF($A2128="","",IF($Q2128=0,"",INDEX(COA_Mapping!$E$7:$E$256,$Q2128)))</f>
        <v/>
      </c>
      <c r="O2128" s="38" t="n">
        <f aca="false">IF($A2128="",1,IF($Q2128=0,1,INDEX(COA_Mapping!$F$7:$F$256,$Q2128)))</f>
        <v>1</v>
      </c>
      <c r="P2128" s="34" t="str">
        <f aca="false">IF($A2128="","",$I2128*$O2128)</f>
        <v/>
      </c>
      <c r="Q2128" s="39" t="n">
        <f aca="false">IF($B2128="",0,IFERROR(MATCH($B2128,COA_Mapping!$A$7:$A$256,0),0))</f>
        <v>0</v>
      </c>
      <c r="R2128" s="39" t="n">
        <f aca="false">IF($A2128="",-1,IF($J2128=Setup!$B$7,1,IF($J2128=Setup!$B$9,0,-1)))</f>
        <v>-1</v>
      </c>
      <c r="S2128" s="35" t="n">
        <f aca="false">IF(OR($A2128="",$Q2128=0,$R2128=-1),0,$Q2128*1000+$R2128*100+$K2128)</f>
        <v>0</v>
      </c>
      <c r="T2128" s="37" t="str">
        <f aca="false">IF($A2128="","",IF($B2128="","NO ACCOUNT",IF($Q2128=0,"UNMAPPED",IF($R2128=-1,"OUTSIDE FY RANGE","OK"))))</f>
        <v/>
      </c>
      <c r="U2128" s="40" t="str">
        <f aca="false">IF($A2128="","",$B2128&amp;"|"&amp;TEXT($A2128,"yyyymmdd")&amp;"|"&amp;TEXT($I2128,"0.00"))</f>
        <v/>
      </c>
      <c r="V2128" s="35" t="str">
        <f aca="false">IF($A2128="","",COUNTIF($U$8:$U$5007,$U2128))</f>
        <v/>
      </c>
    </row>
    <row r="2129" customFormat="false" ht="15" hidden="false" customHeight="false" outlineLevel="0" collapsed="false">
      <c r="A2129" s="31"/>
      <c r="B2129" s="32"/>
      <c r="C2129" s="32"/>
      <c r="D2129" s="32"/>
      <c r="E2129" s="32"/>
      <c r="F2129" s="32"/>
      <c r="G2129" s="33"/>
      <c r="H2129" s="33"/>
      <c r="I2129" s="34" t="str">
        <f aca="false">IF($A2129="","",$G2129-$H2129)</f>
        <v/>
      </c>
      <c r="J2129" s="35" t="str">
        <f aca="false">IF($A2129="","",IF(Setup!$B$6=1,YEAR($A2129),YEAR($A2129)+IF(MONTH($A2129)&gt;=Setup!$B$6,1,0)))</f>
        <v/>
      </c>
      <c r="K2129" s="35" t="str">
        <f aca="false">IF($A2129="","",MOD(MONTH($A2129)-Setup!$B$6+12,12)+1)</f>
        <v/>
      </c>
      <c r="L2129" s="36" t="str">
        <f aca="false">IF($A2129="","",TEXT($A2129,"MMM-YY"))</f>
        <v/>
      </c>
      <c r="M2129" s="37" t="str">
        <f aca="false">IF($A2129="","",IF($Q2129=0,"UNMAPPED",INDEX(COA_Mapping!$C$7:$C$256,$Q2129)))</f>
        <v/>
      </c>
      <c r="N2129" s="38" t="str">
        <f aca="false">IF($A2129="","",IF($Q2129=0,"",INDEX(COA_Mapping!$E$7:$E$256,$Q2129)))</f>
        <v/>
      </c>
      <c r="O2129" s="38" t="n">
        <f aca="false">IF($A2129="",1,IF($Q2129=0,1,INDEX(COA_Mapping!$F$7:$F$256,$Q2129)))</f>
        <v>1</v>
      </c>
      <c r="P2129" s="34" t="str">
        <f aca="false">IF($A2129="","",$I2129*$O2129)</f>
        <v/>
      </c>
      <c r="Q2129" s="39" t="n">
        <f aca="false">IF($B2129="",0,IFERROR(MATCH($B2129,COA_Mapping!$A$7:$A$256,0),0))</f>
        <v>0</v>
      </c>
      <c r="R2129" s="39" t="n">
        <f aca="false">IF($A2129="",-1,IF($J2129=Setup!$B$7,1,IF($J2129=Setup!$B$9,0,-1)))</f>
        <v>-1</v>
      </c>
      <c r="S2129" s="35" t="n">
        <f aca="false">IF(OR($A2129="",$Q2129=0,$R2129=-1),0,$Q2129*1000+$R2129*100+$K2129)</f>
        <v>0</v>
      </c>
      <c r="T2129" s="37" t="str">
        <f aca="false">IF($A2129="","",IF($B2129="","NO ACCOUNT",IF($Q2129=0,"UNMAPPED",IF($R2129=-1,"OUTSIDE FY RANGE","OK"))))</f>
        <v/>
      </c>
      <c r="U2129" s="40" t="str">
        <f aca="false">IF($A2129="","",$B2129&amp;"|"&amp;TEXT($A2129,"yyyymmdd")&amp;"|"&amp;TEXT($I2129,"0.00"))</f>
        <v/>
      </c>
      <c r="V2129" s="35" t="str">
        <f aca="false">IF($A2129="","",COUNTIF($U$8:$U$5007,$U2129))</f>
        <v/>
      </c>
    </row>
    <row r="2130" customFormat="false" ht="15" hidden="false" customHeight="false" outlineLevel="0" collapsed="false">
      <c r="A2130" s="31"/>
      <c r="B2130" s="32"/>
      <c r="C2130" s="32"/>
      <c r="D2130" s="32"/>
      <c r="E2130" s="32"/>
      <c r="F2130" s="32"/>
      <c r="G2130" s="33"/>
      <c r="H2130" s="33"/>
      <c r="I2130" s="34" t="str">
        <f aca="false">IF($A2130="","",$G2130-$H2130)</f>
        <v/>
      </c>
      <c r="J2130" s="35" t="str">
        <f aca="false">IF($A2130="","",IF(Setup!$B$6=1,YEAR($A2130),YEAR($A2130)+IF(MONTH($A2130)&gt;=Setup!$B$6,1,0)))</f>
        <v/>
      </c>
      <c r="K2130" s="35" t="str">
        <f aca="false">IF($A2130="","",MOD(MONTH($A2130)-Setup!$B$6+12,12)+1)</f>
        <v/>
      </c>
      <c r="L2130" s="36" t="str">
        <f aca="false">IF($A2130="","",TEXT($A2130,"MMM-YY"))</f>
        <v/>
      </c>
      <c r="M2130" s="37" t="str">
        <f aca="false">IF($A2130="","",IF($Q2130=0,"UNMAPPED",INDEX(COA_Mapping!$C$7:$C$256,$Q2130)))</f>
        <v/>
      </c>
      <c r="N2130" s="38" t="str">
        <f aca="false">IF($A2130="","",IF($Q2130=0,"",INDEX(COA_Mapping!$E$7:$E$256,$Q2130)))</f>
        <v/>
      </c>
      <c r="O2130" s="38" t="n">
        <f aca="false">IF($A2130="",1,IF($Q2130=0,1,INDEX(COA_Mapping!$F$7:$F$256,$Q2130)))</f>
        <v>1</v>
      </c>
      <c r="P2130" s="34" t="str">
        <f aca="false">IF($A2130="","",$I2130*$O2130)</f>
        <v/>
      </c>
      <c r="Q2130" s="39" t="n">
        <f aca="false">IF($B2130="",0,IFERROR(MATCH($B2130,COA_Mapping!$A$7:$A$256,0),0))</f>
        <v>0</v>
      </c>
      <c r="R2130" s="39" t="n">
        <f aca="false">IF($A2130="",-1,IF($J2130=Setup!$B$7,1,IF($J2130=Setup!$B$9,0,-1)))</f>
        <v>-1</v>
      </c>
      <c r="S2130" s="35" t="n">
        <f aca="false">IF(OR($A2130="",$Q2130=0,$R2130=-1),0,$Q2130*1000+$R2130*100+$K2130)</f>
        <v>0</v>
      </c>
      <c r="T2130" s="37" t="str">
        <f aca="false">IF($A2130="","",IF($B2130="","NO ACCOUNT",IF($Q2130=0,"UNMAPPED",IF($R2130=-1,"OUTSIDE FY RANGE","OK"))))</f>
        <v/>
      </c>
      <c r="U2130" s="40" t="str">
        <f aca="false">IF($A2130="","",$B2130&amp;"|"&amp;TEXT($A2130,"yyyymmdd")&amp;"|"&amp;TEXT($I2130,"0.00"))</f>
        <v/>
      </c>
      <c r="V2130" s="35" t="str">
        <f aca="false">IF($A2130="","",COUNTIF($U$8:$U$5007,$U2130))</f>
        <v/>
      </c>
    </row>
    <row r="2131" customFormat="false" ht="15" hidden="false" customHeight="false" outlineLevel="0" collapsed="false">
      <c r="A2131" s="31"/>
      <c r="B2131" s="32"/>
      <c r="C2131" s="32"/>
      <c r="D2131" s="32"/>
      <c r="E2131" s="32"/>
      <c r="F2131" s="32"/>
      <c r="G2131" s="33"/>
      <c r="H2131" s="33"/>
      <c r="I2131" s="34" t="str">
        <f aca="false">IF($A2131="","",$G2131-$H2131)</f>
        <v/>
      </c>
      <c r="J2131" s="35" t="str">
        <f aca="false">IF($A2131="","",IF(Setup!$B$6=1,YEAR($A2131),YEAR($A2131)+IF(MONTH($A2131)&gt;=Setup!$B$6,1,0)))</f>
        <v/>
      </c>
      <c r="K2131" s="35" t="str">
        <f aca="false">IF($A2131="","",MOD(MONTH($A2131)-Setup!$B$6+12,12)+1)</f>
        <v/>
      </c>
      <c r="L2131" s="36" t="str">
        <f aca="false">IF($A2131="","",TEXT($A2131,"MMM-YY"))</f>
        <v/>
      </c>
      <c r="M2131" s="37" t="str">
        <f aca="false">IF($A2131="","",IF($Q2131=0,"UNMAPPED",INDEX(COA_Mapping!$C$7:$C$256,$Q2131)))</f>
        <v/>
      </c>
      <c r="N2131" s="38" t="str">
        <f aca="false">IF($A2131="","",IF($Q2131=0,"",INDEX(COA_Mapping!$E$7:$E$256,$Q2131)))</f>
        <v/>
      </c>
      <c r="O2131" s="38" t="n">
        <f aca="false">IF($A2131="",1,IF($Q2131=0,1,INDEX(COA_Mapping!$F$7:$F$256,$Q2131)))</f>
        <v>1</v>
      </c>
      <c r="P2131" s="34" t="str">
        <f aca="false">IF($A2131="","",$I2131*$O2131)</f>
        <v/>
      </c>
      <c r="Q2131" s="39" t="n">
        <f aca="false">IF($B2131="",0,IFERROR(MATCH($B2131,COA_Mapping!$A$7:$A$256,0),0))</f>
        <v>0</v>
      </c>
      <c r="R2131" s="39" t="n">
        <f aca="false">IF($A2131="",-1,IF($J2131=Setup!$B$7,1,IF($J2131=Setup!$B$9,0,-1)))</f>
        <v>-1</v>
      </c>
      <c r="S2131" s="35" t="n">
        <f aca="false">IF(OR($A2131="",$Q2131=0,$R2131=-1),0,$Q2131*1000+$R2131*100+$K2131)</f>
        <v>0</v>
      </c>
      <c r="T2131" s="37" t="str">
        <f aca="false">IF($A2131="","",IF($B2131="","NO ACCOUNT",IF($Q2131=0,"UNMAPPED",IF($R2131=-1,"OUTSIDE FY RANGE","OK"))))</f>
        <v/>
      </c>
      <c r="U2131" s="40" t="str">
        <f aca="false">IF($A2131="","",$B2131&amp;"|"&amp;TEXT($A2131,"yyyymmdd")&amp;"|"&amp;TEXT($I2131,"0.00"))</f>
        <v/>
      </c>
      <c r="V2131" s="35" t="str">
        <f aca="false">IF($A2131="","",COUNTIF($U$8:$U$5007,$U2131))</f>
        <v/>
      </c>
    </row>
    <row r="2132" customFormat="false" ht="15" hidden="false" customHeight="false" outlineLevel="0" collapsed="false">
      <c r="A2132" s="31"/>
      <c r="B2132" s="32"/>
      <c r="C2132" s="32"/>
      <c r="D2132" s="32"/>
      <c r="E2132" s="32"/>
      <c r="F2132" s="32"/>
      <c r="G2132" s="33"/>
      <c r="H2132" s="33"/>
      <c r="I2132" s="34" t="str">
        <f aca="false">IF($A2132="","",$G2132-$H2132)</f>
        <v/>
      </c>
      <c r="J2132" s="35" t="str">
        <f aca="false">IF($A2132="","",IF(Setup!$B$6=1,YEAR($A2132),YEAR($A2132)+IF(MONTH($A2132)&gt;=Setup!$B$6,1,0)))</f>
        <v/>
      </c>
      <c r="K2132" s="35" t="str">
        <f aca="false">IF($A2132="","",MOD(MONTH($A2132)-Setup!$B$6+12,12)+1)</f>
        <v/>
      </c>
      <c r="L2132" s="36" t="str">
        <f aca="false">IF($A2132="","",TEXT($A2132,"MMM-YY"))</f>
        <v/>
      </c>
      <c r="M2132" s="37" t="str">
        <f aca="false">IF($A2132="","",IF($Q2132=0,"UNMAPPED",INDEX(COA_Mapping!$C$7:$C$256,$Q2132)))</f>
        <v/>
      </c>
      <c r="N2132" s="38" t="str">
        <f aca="false">IF($A2132="","",IF($Q2132=0,"",INDEX(COA_Mapping!$E$7:$E$256,$Q2132)))</f>
        <v/>
      </c>
      <c r="O2132" s="38" t="n">
        <f aca="false">IF($A2132="",1,IF($Q2132=0,1,INDEX(COA_Mapping!$F$7:$F$256,$Q2132)))</f>
        <v>1</v>
      </c>
      <c r="P2132" s="34" t="str">
        <f aca="false">IF($A2132="","",$I2132*$O2132)</f>
        <v/>
      </c>
      <c r="Q2132" s="39" t="n">
        <f aca="false">IF($B2132="",0,IFERROR(MATCH($B2132,COA_Mapping!$A$7:$A$256,0),0))</f>
        <v>0</v>
      </c>
      <c r="R2132" s="39" t="n">
        <f aca="false">IF($A2132="",-1,IF($J2132=Setup!$B$7,1,IF($J2132=Setup!$B$9,0,-1)))</f>
        <v>-1</v>
      </c>
      <c r="S2132" s="35" t="n">
        <f aca="false">IF(OR($A2132="",$Q2132=0,$R2132=-1),0,$Q2132*1000+$R2132*100+$K2132)</f>
        <v>0</v>
      </c>
      <c r="T2132" s="37" t="str">
        <f aca="false">IF($A2132="","",IF($B2132="","NO ACCOUNT",IF($Q2132=0,"UNMAPPED",IF($R2132=-1,"OUTSIDE FY RANGE","OK"))))</f>
        <v/>
      </c>
      <c r="U2132" s="40" t="str">
        <f aca="false">IF($A2132="","",$B2132&amp;"|"&amp;TEXT($A2132,"yyyymmdd")&amp;"|"&amp;TEXT($I2132,"0.00"))</f>
        <v/>
      </c>
      <c r="V2132" s="35" t="str">
        <f aca="false">IF($A2132="","",COUNTIF($U$8:$U$5007,$U2132))</f>
        <v/>
      </c>
    </row>
    <row r="2133" customFormat="false" ht="15" hidden="false" customHeight="false" outlineLevel="0" collapsed="false">
      <c r="A2133" s="31"/>
      <c r="B2133" s="32"/>
      <c r="C2133" s="32"/>
      <c r="D2133" s="32"/>
      <c r="E2133" s="32"/>
      <c r="F2133" s="32"/>
      <c r="G2133" s="33"/>
      <c r="H2133" s="33"/>
      <c r="I2133" s="34" t="str">
        <f aca="false">IF($A2133="","",$G2133-$H2133)</f>
        <v/>
      </c>
      <c r="J2133" s="35" t="str">
        <f aca="false">IF($A2133="","",IF(Setup!$B$6=1,YEAR($A2133),YEAR($A2133)+IF(MONTH($A2133)&gt;=Setup!$B$6,1,0)))</f>
        <v/>
      </c>
      <c r="K2133" s="35" t="str">
        <f aca="false">IF($A2133="","",MOD(MONTH($A2133)-Setup!$B$6+12,12)+1)</f>
        <v/>
      </c>
      <c r="L2133" s="36" t="str">
        <f aca="false">IF($A2133="","",TEXT($A2133,"MMM-YY"))</f>
        <v/>
      </c>
      <c r="M2133" s="37" t="str">
        <f aca="false">IF($A2133="","",IF($Q2133=0,"UNMAPPED",INDEX(COA_Mapping!$C$7:$C$256,$Q2133)))</f>
        <v/>
      </c>
      <c r="N2133" s="38" t="str">
        <f aca="false">IF($A2133="","",IF($Q2133=0,"",INDEX(COA_Mapping!$E$7:$E$256,$Q2133)))</f>
        <v/>
      </c>
      <c r="O2133" s="38" t="n">
        <f aca="false">IF($A2133="",1,IF($Q2133=0,1,INDEX(COA_Mapping!$F$7:$F$256,$Q2133)))</f>
        <v>1</v>
      </c>
      <c r="P2133" s="34" t="str">
        <f aca="false">IF($A2133="","",$I2133*$O2133)</f>
        <v/>
      </c>
      <c r="Q2133" s="39" t="n">
        <f aca="false">IF($B2133="",0,IFERROR(MATCH($B2133,COA_Mapping!$A$7:$A$256,0),0))</f>
        <v>0</v>
      </c>
      <c r="R2133" s="39" t="n">
        <f aca="false">IF($A2133="",-1,IF($J2133=Setup!$B$7,1,IF($J2133=Setup!$B$9,0,-1)))</f>
        <v>-1</v>
      </c>
      <c r="S2133" s="35" t="n">
        <f aca="false">IF(OR($A2133="",$Q2133=0,$R2133=-1),0,$Q2133*1000+$R2133*100+$K2133)</f>
        <v>0</v>
      </c>
      <c r="T2133" s="37" t="str">
        <f aca="false">IF($A2133="","",IF($B2133="","NO ACCOUNT",IF($Q2133=0,"UNMAPPED",IF($R2133=-1,"OUTSIDE FY RANGE","OK"))))</f>
        <v/>
      </c>
      <c r="U2133" s="40" t="str">
        <f aca="false">IF($A2133="","",$B2133&amp;"|"&amp;TEXT($A2133,"yyyymmdd")&amp;"|"&amp;TEXT($I2133,"0.00"))</f>
        <v/>
      </c>
      <c r="V2133" s="35" t="str">
        <f aca="false">IF($A2133="","",COUNTIF($U$8:$U$5007,$U2133))</f>
        <v/>
      </c>
    </row>
    <row r="2134" customFormat="false" ht="15" hidden="false" customHeight="false" outlineLevel="0" collapsed="false">
      <c r="A2134" s="31"/>
      <c r="B2134" s="32"/>
      <c r="C2134" s="32"/>
      <c r="D2134" s="32"/>
      <c r="E2134" s="32"/>
      <c r="F2134" s="32"/>
      <c r="G2134" s="33"/>
      <c r="H2134" s="33"/>
      <c r="I2134" s="34" t="str">
        <f aca="false">IF($A2134="","",$G2134-$H2134)</f>
        <v/>
      </c>
      <c r="J2134" s="35" t="str">
        <f aca="false">IF($A2134="","",IF(Setup!$B$6=1,YEAR($A2134),YEAR($A2134)+IF(MONTH($A2134)&gt;=Setup!$B$6,1,0)))</f>
        <v/>
      </c>
      <c r="K2134" s="35" t="str">
        <f aca="false">IF($A2134="","",MOD(MONTH($A2134)-Setup!$B$6+12,12)+1)</f>
        <v/>
      </c>
      <c r="L2134" s="36" t="str">
        <f aca="false">IF($A2134="","",TEXT($A2134,"MMM-YY"))</f>
        <v/>
      </c>
      <c r="M2134" s="37" t="str">
        <f aca="false">IF($A2134="","",IF($Q2134=0,"UNMAPPED",INDEX(COA_Mapping!$C$7:$C$256,$Q2134)))</f>
        <v/>
      </c>
      <c r="N2134" s="38" t="str">
        <f aca="false">IF($A2134="","",IF($Q2134=0,"",INDEX(COA_Mapping!$E$7:$E$256,$Q2134)))</f>
        <v/>
      </c>
      <c r="O2134" s="38" t="n">
        <f aca="false">IF($A2134="",1,IF($Q2134=0,1,INDEX(COA_Mapping!$F$7:$F$256,$Q2134)))</f>
        <v>1</v>
      </c>
      <c r="P2134" s="34" t="str">
        <f aca="false">IF($A2134="","",$I2134*$O2134)</f>
        <v/>
      </c>
      <c r="Q2134" s="39" t="n">
        <f aca="false">IF($B2134="",0,IFERROR(MATCH($B2134,COA_Mapping!$A$7:$A$256,0),0))</f>
        <v>0</v>
      </c>
      <c r="R2134" s="39" t="n">
        <f aca="false">IF($A2134="",-1,IF($J2134=Setup!$B$7,1,IF($J2134=Setup!$B$9,0,-1)))</f>
        <v>-1</v>
      </c>
      <c r="S2134" s="35" t="n">
        <f aca="false">IF(OR($A2134="",$Q2134=0,$R2134=-1),0,$Q2134*1000+$R2134*100+$K2134)</f>
        <v>0</v>
      </c>
      <c r="T2134" s="37" t="str">
        <f aca="false">IF($A2134="","",IF($B2134="","NO ACCOUNT",IF($Q2134=0,"UNMAPPED",IF($R2134=-1,"OUTSIDE FY RANGE","OK"))))</f>
        <v/>
      </c>
      <c r="U2134" s="40" t="str">
        <f aca="false">IF($A2134="","",$B2134&amp;"|"&amp;TEXT($A2134,"yyyymmdd")&amp;"|"&amp;TEXT($I2134,"0.00"))</f>
        <v/>
      </c>
      <c r="V2134" s="35" t="str">
        <f aca="false">IF($A2134="","",COUNTIF($U$8:$U$5007,$U2134))</f>
        <v/>
      </c>
    </row>
    <row r="2135" customFormat="false" ht="15" hidden="false" customHeight="false" outlineLevel="0" collapsed="false">
      <c r="A2135" s="31"/>
      <c r="B2135" s="32"/>
      <c r="C2135" s="32"/>
      <c r="D2135" s="32"/>
      <c r="E2135" s="32"/>
      <c r="F2135" s="32"/>
      <c r="G2135" s="33"/>
      <c r="H2135" s="33"/>
      <c r="I2135" s="34" t="str">
        <f aca="false">IF($A2135="","",$G2135-$H2135)</f>
        <v/>
      </c>
      <c r="J2135" s="35" t="str">
        <f aca="false">IF($A2135="","",IF(Setup!$B$6=1,YEAR($A2135),YEAR($A2135)+IF(MONTH($A2135)&gt;=Setup!$B$6,1,0)))</f>
        <v/>
      </c>
      <c r="K2135" s="35" t="str">
        <f aca="false">IF($A2135="","",MOD(MONTH($A2135)-Setup!$B$6+12,12)+1)</f>
        <v/>
      </c>
      <c r="L2135" s="36" t="str">
        <f aca="false">IF($A2135="","",TEXT($A2135,"MMM-YY"))</f>
        <v/>
      </c>
      <c r="M2135" s="37" t="str">
        <f aca="false">IF($A2135="","",IF($Q2135=0,"UNMAPPED",INDEX(COA_Mapping!$C$7:$C$256,$Q2135)))</f>
        <v/>
      </c>
      <c r="N2135" s="38" t="str">
        <f aca="false">IF($A2135="","",IF($Q2135=0,"",INDEX(COA_Mapping!$E$7:$E$256,$Q2135)))</f>
        <v/>
      </c>
      <c r="O2135" s="38" t="n">
        <f aca="false">IF($A2135="",1,IF($Q2135=0,1,INDEX(COA_Mapping!$F$7:$F$256,$Q2135)))</f>
        <v>1</v>
      </c>
      <c r="P2135" s="34" t="str">
        <f aca="false">IF($A2135="","",$I2135*$O2135)</f>
        <v/>
      </c>
      <c r="Q2135" s="39" t="n">
        <f aca="false">IF($B2135="",0,IFERROR(MATCH($B2135,COA_Mapping!$A$7:$A$256,0),0))</f>
        <v>0</v>
      </c>
      <c r="R2135" s="39" t="n">
        <f aca="false">IF($A2135="",-1,IF($J2135=Setup!$B$7,1,IF($J2135=Setup!$B$9,0,-1)))</f>
        <v>-1</v>
      </c>
      <c r="S2135" s="35" t="n">
        <f aca="false">IF(OR($A2135="",$Q2135=0,$R2135=-1),0,$Q2135*1000+$R2135*100+$K2135)</f>
        <v>0</v>
      </c>
      <c r="T2135" s="37" t="str">
        <f aca="false">IF($A2135="","",IF($B2135="","NO ACCOUNT",IF($Q2135=0,"UNMAPPED",IF($R2135=-1,"OUTSIDE FY RANGE","OK"))))</f>
        <v/>
      </c>
      <c r="U2135" s="40" t="str">
        <f aca="false">IF($A2135="","",$B2135&amp;"|"&amp;TEXT($A2135,"yyyymmdd")&amp;"|"&amp;TEXT($I2135,"0.00"))</f>
        <v/>
      </c>
      <c r="V2135" s="35" t="str">
        <f aca="false">IF($A2135="","",COUNTIF($U$8:$U$5007,$U2135))</f>
        <v/>
      </c>
    </row>
    <row r="2136" customFormat="false" ht="15" hidden="false" customHeight="false" outlineLevel="0" collapsed="false">
      <c r="A2136" s="31"/>
      <c r="B2136" s="32"/>
      <c r="C2136" s="32"/>
      <c r="D2136" s="32"/>
      <c r="E2136" s="32"/>
      <c r="F2136" s="32"/>
      <c r="G2136" s="33"/>
      <c r="H2136" s="33"/>
      <c r="I2136" s="34" t="str">
        <f aca="false">IF($A2136="","",$G2136-$H2136)</f>
        <v/>
      </c>
      <c r="J2136" s="35" t="str">
        <f aca="false">IF($A2136="","",IF(Setup!$B$6=1,YEAR($A2136),YEAR($A2136)+IF(MONTH($A2136)&gt;=Setup!$B$6,1,0)))</f>
        <v/>
      </c>
      <c r="K2136" s="35" t="str">
        <f aca="false">IF($A2136="","",MOD(MONTH($A2136)-Setup!$B$6+12,12)+1)</f>
        <v/>
      </c>
      <c r="L2136" s="36" t="str">
        <f aca="false">IF($A2136="","",TEXT($A2136,"MMM-YY"))</f>
        <v/>
      </c>
      <c r="M2136" s="37" t="str">
        <f aca="false">IF($A2136="","",IF($Q2136=0,"UNMAPPED",INDEX(COA_Mapping!$C$7:$C$256,$Q2136)))</f>
        <v/>
      </c>
      <c r="N2136" s="38" t="str">
        <f aca="false">IF($A2136="","",IF($Q2136=0,"",INDEX(COA_Mapping!$E$7:$E$256,$Q2136)))</f>
        <v/>
      </c>
      <c r="O2136" s="38" t="n">
        <f aca="false">IF($A2136="",1,IF($Q2136=0,1,INDEX(COA_Mapping!$F$7:$F$256,$Q2136)))</f>
        <v>1</v>
      </c>
      <c r="P2136" s="34" t="str">
        <f aca="false">IF($A2136="","",$I2136*$O2136)</f>
        <v/>
      </c>
      <c r="Q2136" s="39" t="n">
        <f aca="false">IF($B2136="",0,IFERROR(MATCH($B2136,COA_Mapping!$A$7:$A$256,0),0))</f>
        <v>0</v>
      </c>
      <c r="R2136" s="39" t="n">
        <f aca="false">IF($A2136="",-1,IF($J2136=Setup!$B$7,1,IF($J2136=Setup!$B$9,0,-1)))</f>
        <v>-1</v>
      </c>
      <c r="S2136" s="35" t="n">
        <f aca="false">IF(OR($A2136="",$Q2136=0,$R2136=-1),0,$Q2136*1000+$R2136*100+$K2136)</f>
        <v>0</v>
      </c>
      <c r="T2136" s="37" t="str">
        <f aca="false">IF($A2136="","",IF($B2136="","NO ACCOUNT",IF($Q2136=0,"UNMAPPED",IF($R2136=-1,"OUTSIDE FY RANGE","OK"))))</f>
        <v/>
      </c>
      <c r="U2136" s="40" t="str">
        <f aca="false">IF($A2136="","",$B2136&amp;"|"&amp;TEXT($A2136,"yyyymmdd")&amp;"|"&amp;TEXT($I2136,"0.00"))</f>
        <v/>
      </c>
      <c r="V2136" s="35" t="str">
        <f aca="false">IF($A2136="","",COUNTIF($U$8:$U$5007,$U2136))</f>
        <v/>
      </c>
    </row>
    <row r="2137" customFormat="false" ht="15" hidden="false" customHeight="false" outlineLevel="0" collapsed="false">
      <c r="A2137" s="31"/>
      <c r="B2137" s="32"/>
      <c r="C2137" s="32"/>
      <c r="D2137" s="32"/>
      <c r="E2137" s="32"/>
      <c r="F2137" s="32"/>
      <c r="G2137" s="33"/>
      <c r="H2137" s="33"/>
      <c r="I2137" s="34" t="str">
        <f aca="false">IF($A2137="","",$G2137-$H2137)</f>
        <v/>
      </c>
      <c r="J2137" s="35" t="str">
        <f aca="false">IF($A2137="","",IF(Setup!$B$6=1,YEAR($A2137),YEAR($A2137)+IF(MONTH($A2137)&gt;=Setup!$B$6,1,0)))</f>
        <v/>
      </c>
      <c r="K2137" s="35" t="str">
        <f aca="false">IF($A2137="","",MOD(MONTH($A2137)-Setup!$B$6+12,12)+1)</f>
        <v/>
      </c>
      <c r="L2137" s="36" t="str">
        <f aca="false">IF($A2137="","",TEXT($A2137,"MMM-YY"))</f>
        <v/>
      </c>
      <c r="M2137" s="37" t="str">
        <f aca="false">IF($A2137="","",IF($Q2137=0,"UNMAPPED",INDEX(COA_Mapping!$C$7:$C$256,$Q2137)))</f>
        <v/>
      </c>
      <c r="N2137" s="38" t="str">
        <f aca="false">IF($A2137="","",IF($Q2137=0,"",INDEX(COA_Mapping!$E$7:$E$256,$Q2137)))</f>
        <v/>
      </c>
      <c r="O2137" s="38" t="n">
        <f aca="false">IF($A2137="",1,IF($Q2137=0,1,INDEX(COA_Mapping!$F$7:$F$256,$Q2137)))</f>
        <v>1</v>
      </c>
      <c r="P2137" s="34" t="str">
        <f aca="false">IF($A2137="","",$I2137*$O2137)</f>
        <v/>
      </c>
      <c r="Q2137" s="39" t="n">
        <f aca="false">IF($B2137="",0,IFERROR(MATCH($B2137,COA_Mapping!$A$7:$A$256,0),0))</f>
        <v>0</v>
      </c>
      <c r="R2137" s="39" t="n">
        <f aca="false">IF($A2137="",-1,IF($J2137=Setup!$B$7,1,IF($J2137=Setup!$B$9,0,-1)))</f>
        <v>-1</v>
      </c>
      <c r="S2137" s="35" t="n">
        <f aca="false">IF(OR($A2137="",$Q2137=0,$R2137=-1),0,$Q2137*1000+$R2137*100+$K2137)</f>
        <v>0</v>
      </c>
      <c r="T2137" s="37" t="str">
        <f aca="false">IF($A2137="","",IF($B2137="","NO ACCOUNT",IF($Q2137=0,"UNMAPPED",IF($R2137=-1,"OUTSIDE FY RANGE","OK"))))</f>
        <v/>
      </c>
      <c r="U2137" s="40" t="str">
        <f aca="false">IF($A2137="","",$B2137&amp;"|"&amp;TEXT($A2137,"yyyymmdd")&amp;"|"&amp;TEXT($I2137,"0.00"))</f>
        <v/>
      </c>
      <c r="V2137" s="35" t="str">
        <f aca="false">IF($A2137="","",COUNTIF($U$8:$U$5007,$U2137))</f>
        <v/>
      </c>
    </row>
    <row r="2138" customFormat="false" ht="15" hidden="false" customHeight="false" outlineLevel="0" collapsed="false">
      <c r="A2138" s="31"/>
      <c r="B2138" s="32"/>
      <c r="C2138" s="32"/>
      <c r="D2138" s="32"/>
      <c r="E2138" s="32"/>
      <c r="F2138" s="32"/>
      <c r="G2138" s="33"/>
      <c r="H2138" s="33"/>
      <c r="I2138" s="34" t="str">
        <f aca="false">IF($A2138="","",$G2138-$H2138)</f>
        <v/>
      </c>
      <c r="J2138" s="35" t="str">
        <f aca="false">IF($A2138="","",IF(Setup!$B$6=1,YEAR($A2138),YEAR($A2138)+IF(MONTH($A2138)&gt;=Setup!$B$6,1,0)))</f>
        <v/>
      </c>
      <c r="K2138" s="35" t="str">
        <f aca="false">IF($A2138="","",MOD(MONTH($A2138)-Setup!$B$6+12,12)+1)</f>
        <v/>
      </c>
      <c r="L2138" s="36" t="str">
        <f aca="false">IF($A2138="","",TEXT($A2138,"MMM-YY"))</f>
        <v/>
      </c>
      <c r="M2138" s="37" t="str">
        <f aca="false">IF($A2138="","",IF($Q2138=0,"UNMAPPED",INDEX(COA_Mapping!$C$7:$C$256,$Q2138)))</f>
        <v/>
      </c>
      <c r="N2138" s="38" t="str">
        <f aca="false">IF($A2138="","",IF($Q2138=0,"",INDEX(COA_Mapping!$E$7:$E$256,$Q2138)))</f>
        <v/>
      </c>
      <c r="O2138" s="38" t="n">
        <f aca="false">IF($A2138="",1,IF($Q2138=0,1,INDEX(COA_Mapping!$F$7:$F$256,$Q2138)))</f>
        <v>1</v>
      </c>
      <c r="P2138" s="34" t="str">
        <f aca="false">IF($A2138="","",$I2138*$O2138)</f>
        <v/>
      </c>
      <c r="Q2138" s="39" t="n">
        <f aca="false">IF($B2138="",0,IFERROR(MATCH($B2138,COA_Mapping!$A$7:$A$256,0),0))</f>
        <v>0</v>
      </c>
      <c r="R2138" s="39" t="n">
        <f aca="false">IF($A2138="",-1,IF($J2138=Setup!$B$7,1,IF($J2138=Setup!$B$9,0,-1)))</f>
        <v>-1</v>
      </c>
      <c r="S2138" s="35" t="n">
        <f aca="false">IF(OR($A2138="",$Q2138=0,$R2138=-1),0,$Q2138*1000+$R2138*100+$K2138)</f>
        <v>0</v>
      </c>
      <c r="T2138" s="37" t="str">
        <f aca="false">IF($A2138="","",IF($B2138="","NO ACCOUNT",IF($Q2138=0,"UNMAPPED",IF($R2138=-1,"OUTSIDE FY RANGE","OK"))))</f>
        <v/>
      </c>
      <c r="U2138" s="40" t="str">
        <f aca="false">IF($A2138="","",$B2138&amp;"|"&amp;TEXT($A2138,"yyyymmdd")&amp;"|"&amp;TEXT($I2138,"0.00"))</f>
        <v/>
      </c>
      <c r="V2138" s="35" t="str">
        <f aca="false">IF($A2138="","",COUNTIF($U$8:$U$5007,$U2138))</f>
        <v/>
      </c>
    </row>
    <row r="2139" customFormat="false" ht="15" hidden="false" customHeight="false" outlineLevel="0" collapsed="false">
      <c r="A2139" s="31"/>
      <c r="B2139" s="32"/>
      <c r="C2139" s="32"/>
      <c r="D2139" s="32"/>
      <c r="E2139" s="32"/>
      <c r="F2139" s="32"/>
      <c r="G2139" s="33"/>
      <c r="H2139" s="33"/>
      <c r="I2139" s="34" t="str">
        <f aca="false">IF($A2139="","",$G2139-$H2139)</f>
        <v/>
      </c>
      <c r="J2139" s="35" t="str">
        <f aca="false">IF($A2139="","",IF(Setup!$B$6=1,YEAR($A2139),YEAR($A2139)+IF(MONTH($A2139)&gt;=Setup!$B$6,1,0)))</f>
        <v/>
      </c>
      <c r="K2139" s="35" t="str">
        <f aca="false">IF($A2139="","",MOD(MONTH($A2139)-Setup!$B$6+12,12)+1)</f>
        <v/>
      </c>
      <c r="L2139" s="36" t="str">
        <f aca="false">IF($A2139="","",TEXT($A2139,"MMM-YY"))</f>
        <v/>
      </c>
      <c r="M2139" s="37" t="str">
        <f aca="false">IF($A2139="","",IF($Q2139=0,"UNMAPPED",INDEX(COA_Mapping!$C$7:$C$256,$Q2139)))</f>
        <v/>
      </c>
      <c r="N2139" s="38" t="str">
        <f aca="false">IF($A2139="","",IF($Q2139=0,"",INDEX(COA_Mapping!$E$7:$E$256,$Q2139)))</f>
        <v/>
      </c>
      <c r="O2139" s="38" t="n">
        <f aca="false">IF($A2139="",1,IF($Q2139=0,1,INDEX(COA_Mapping!$F$7:$F$256,$Q2139)))</f>
        <v>1</v>
      </c>
      <c r="P2139" s="34" t="str">
        <f aca="false">IF($A2139="","",$I2139*$O2139)</f>
        <v/>
      </c>
      <c r="Q2139" s="39" t="n">
        <f aca="false">IF($B2139="",0,IFERROR(MATCH($B2139,COA_Mapping!$A$7:$A$256,0),0))</f>
        <v>0</v>
      </c>
      <c r="R2139" s="39" t="n">
        <f aca="false">IF($A2139="",-1,IF($J2139=Setup!$B$7,1,IF($J2139=Setup!$B$9,0,-1)))</f>
        <v>-1</v>
      </c>
      <c r="S2139" s="35" t="n">
        <f aca="false">IF(OR($A2139="",$Q2139=0,$R2139=-1),0,$Q2139*1000+$R2139*100+$K2139)</f>
        <v>0</v>
      </c>
      <c r="T2139" s="37" t="str">
        <f aca="false">IF($A2139="","",IF($B2139="","NO ACCOUNT",IF($Q2139=0,"UNMAPPED",IF($R2139=-1,"OUTSIDE FY RANGE","OK"))))</f>
        <v/>
      </c>
      <c r="U2139" s="40" t="str">
        <f aca="false">IF($A2139="","",$B2139&amp;"|"&amp;TEXT($A2139,"yyyymmdd")&amp;"|"&amp;TEXT($I2139,"0.00"))</f>
        <v/>
      </c>
      <c r="V2139" s="35" t="str">
        <f aca="false">IF($A2139="","",COUNTIF($U$8:$U$5007,$U2139))</f>
        <v/>
      </c>
    </row>
    <row r="2140" customFormat="false" ht="15" hidden="false" customHeight="false" outlineLevel="0" collapsed="false">
      <c r="A2140" s="31"/>
      <c r="B2140" s="32"/>
      <c r="C2140" s="32"/>
      <c r="D2140" s="32"/>
      <c r="E2140" s="32"/>
      <c r="F2140" s="32"/>
      <c r="G2140" s="33"/>
      <c r="H2140" s="33"/>
      <c r="I2140" s="34" t="str">
        <f aca="false">IF($A2140="","",$G2140-$H2140)</f>
        <v/>
      </c>
      <c r="J2140" s="35" t="str">
        <f aca="false">IF($A2140="","",IF(Setup!$B$6=1,YEAR($A2140),YEAR($A2140)+IF(MONTH($A2140)&gt;=Setup!$B$6,1,0)))</f>
        <v/>
      </c>
      <c r="K2140" s="35" t="str">
        <f aca="false">IF($A2140="","",MOD(MONTH($A2140)-Setup!$B$6+12,12)+1)</f>
        <v/>
      </c>
      <c r="L2140" s="36" t="str">
        <f aca="false">IF($A2140="","",TEXT($A2140,"MMM-YY"))</f>
        <v/>
      </c>
      <c r="M2140" s="37" t="str">
        <f aca="false">IF($A2140="","",IF($Q2140=0,"UNMAPPED",INDEX(COA_Mapping!$C$7:$C$256,$Q2140)))</f>
        <v/>
      </c>
      <c r="N2140" s="38" t="str">
        <f aca="false">IF($A2140="","",IF($Q2140=0,"",INDEX(COA_Mapping!$E$7:$E$256,$Q2140)))</f>
        <v/>
      </c>
      <c r="O2140" s="38" t="n">
        <f aca="false">IF($A2140="",1,IF($Q2140=0,1,INDEX(COA_Mapping!$F$7:$F$256,$Q2140)))</f>
        <v>1</v>
      </c>
      <c r="P2140" s="34" t="str">
        <f aca="false">IF($A2140="","",$I2140*$O2140)</f>
        <v/>
      </c>
      <c r="Q2140" s="39" t="n">
        <f aca="false">IF($B2140="",0,IFERROR(MATCH($B2140,COA_Mapping!$A$7:$A$256,0),0))</f>
        <v>0</v>
      </c>
      <c r="R2140" s="39" t="n">
        <f aca="false">IF($A2140="",-1,IF($J2140=Setup!$B$7,1,IF($J2140=Setup!$B$9,0,-1)))</f>
        <v>-1</v>
      </c>
      <c r="S2140" s="35" t="n">
        <f aca="false">IF(OR($A2140="",$Q2140=0,$R2140=-1),0,$Q2140*1000+$R2140*100+$K2140)</f>
        <v>0</v>
      </c>
      <c r="T2140" s="37" t="str">
        <f aca="false">IF($A2140="","",IF($B2140="","NO ACCOUNT",IF($Q2140=0,"UNMAPPED",IF($R2140=-1,"OUTSIDE FY RANGE","OK"))))</f>
        <v/>
      </c>
      <c r="U2140" s="40" t="str">
        <f aca="false">IF($A2140="","",$B2140&amp;"|"&amp;TEXT($A2140,"yyyymmdd")&amp;"|"&amp;TEXT($I2140,"0.00"))</f>
        <v/>
      </c>
      <c r="V2140" s="35" t="str">
        <f aca="false">IF($A2140="","",COUNTIF($U$8:$U$5007,$U2140))</f>
        <v/>
      </c>
    </row>
    <row r="2141" customFormat="false" ht="15" hidden="false" customHeight="false" outlineLevel="0" collapsed="false">
      <c r="A2141" s="31"/>
      <c r="B2141" s="32"/>
      <c r="C2141" s="32"/>
      <c r="D2141" s="32"/>
      <c r="E2141" s="32"/>
      <c r="F2141" s="32"/>
      <c r="G2141" s="33"/>
      <c r="H2141" s="33"/>
      <c r="I2141" s="34" t="str">
        <f aca="false">IF($A2141="","",$G2141-$H2141)</f>
        <v/>
      </c>
      <c r="J2141" s="35" t="str">
        <f aca="false">IF($A2141="","",IF(Setup!$B$6=1,YEAR($A2141),YEAR($A2141)+IF(MONTH($A2141)&gt;=Setup!$B$6,1,0)))</f>
        <v/>
      </c>
      <c r="K2141" s="35" t="str">
        <f aca="false">IF($A2141="","",MOD(MONTH($A2141)-Setup!$B$6+12,12)+1)</f>
        <v/>
      </c>
      <c r="L2141" s="36" t="str">
        <f aca="false">IF($A2141="","",TEXT($A2141,"MMM-YY"))</f>
        <v/>
      </c>
      <c r="M2141" s="37" t="str">
        <f aca="false">IF($A2141="","",IF($Q2141=0,"UNMAPPED",INDEX(COA_Mapping!$C$7:$C$256,$Q2141)))</f>
        <v/>
      </c>
      <c r="N2141" s="38" t="str">
        <f aca="false">IF($A2141="","",IF($Q2141=0,"",INDEX(COA_Mapping!$E$7:$E$256,$Q2141)))</f>
        <v/>
      </c>
      <c r="O2141" s="38" t="n">
        <f aca="false">IF($A2141="",1,IF($Q2141=0,1,INDEX(COA_Mapping!$F$7:$F$256,$Q2141)))</f>
        <v>1</v>
      </c>
      <c r="P2141" s="34" t="str">
        <f aca="false">IF($A2141="","",$I2141*$O2141)</f>
        <v/>
      </c>
      <c r="Q2141" s="39" t="n">
        <f aca="false">IF($B2141="",0,IFERROR(MATCH($B2141,COA_Mapping!$A$7:$A$256,0),0))</f>
        <v>0</v>
      </c>
      <c r="R2141" s="39" t="n">
        <f aca="false">IF($A2141="",-1,IF($J2141=Setup!$B$7,1,IF($J2141=Setup!$B$9,0,-1)))</f>
        <v>-1</v>
      </c>
      <c r="S2141" s="35" t="n">
        <f aca="false">IF(OR($A2141="",$Q2141=0,$R2141=-1),0,$Q2141*1000+$R2141*100+$K2141)</f>
        <v>0</v>
      </c>
      <c r="T2141" s="37" t="str">
        <f aca="false">IF($A2141="","",IF($B2141="","NO ACCOUNT",IF($Q2141=0,"UNMAPPED",IF($R2141=-1,"OUTSIDE FY RANGE","OK"))))</f>
        <v/>
      </c>
      <c r="U2141" s="40" t="str">
        <f aca="false">IF($A2141="","",$B2141&amp;"|"&amp;TEXT($A2141,"yyyymmdd")&amp;"|"&amp;TEXT($I2141,"0.00"))</f>
        <v/>
      </c>
      <c r="V2141" s="35" t="str">
        <f aca="false">IF($A2141="","",COUNTIF($U$8:$U$5007,$U2141))</f>
        <v/>
      </c>
    </row>
    <row r="2142" customFormat="false" ht="15" hidden="false" customHeight="false" outlineLevel="0" collapsed="false">
      <c r="A2142" s="31"/>
      <c r="B2142" s="32"/>
      <c r="C2142" s="32"/>
      <c r="D2142" s="32"/>
      <c r="E2142" s="32"/>
      <c r="F2142" s="32"/>
      <c r="G2142" s="33"/>
      <c r="H2142" s="33"/>
      <c r="I2142" s="34" t="str">
        <f aca="false">IF($A2142="","",$G2142-$H2142)</f>
        <v/>
      </c>
      <c r="J2142" s="35" t="str">
        <f aca="false">IF($A2142="","",IF(Setup!$B$6=1,YEAR($A2142),YEAR($A2142)+IF(MONTH($A2142)&gt;=Setup!$B$6,1,0)))</f>
        <v/>
      </c>
      <c r="K2142" s="35" t="str">
        <f aca="false">IF($A2142="","",MOD(MONTH($A2142)-Setup!$B$6+12,12)+1)</f>
        <v/>
      </c>
      <c r="L2142" s="36" t="str">
        <f aca="false">IF($A2142="","",TEXT($A2142,"MMM-YY"))</f>
        <v/>
      </c>
      <c r="M2142" s="37" t="str">
        <f aca="false">IF($A2142="","",IF($Q2142=0,"UNMAPPED",INDEX(COA_Mapping!$C$7:$C$256,$Q2142)))</f>
        <v/>
      </c>
      <c r="N2142" s="38" t="str">
        <f aca="false">IF($A2142="","",IF($Q2142=0,"",INDEX(COA_Mapping!$E$7:$E$256,$Q2142)))</f>
        <v/>
      </c>
      <c r="O2142" s="38" t="n">
        <f aca="false">IF($A2142="",1,IF($Q2142=0,1,INDEX(COA_Mapping!$F$7:$F$256,$Q2142)))</f>
        <v>1</v>
      </c>
      <c r="P2142" s="34" t="str">
        <f aca="false">IF($A2142="","",$I2142*$O2142)</f>
        <v/>
      </c>
      <c r="Q2142" s="39" t="n">
        <f aca="false">IF($B2142="",0,IFERROR(MATCH($B2142,COA_Mapping!$A$7:$A$256,0),0))</f>
        <v>0</v>
      </c>
      <c r="R2142" s="39" t="n">
        <f aca="false">IF($A2142="",-1,IF($J2142=Setup!$B$7,1,IF($J2142=Setup!$B$9,0,-1)))</f>
        <v>-1</v>
      </c>
      <c r="S2142" s="35" t="n">
        <f aca="false">IF(OR($A2142="",$Q2142=0,$R2142=-1),0,$Q2142*1000+$R2142*100+$K2142)</f>
        <v>0</v>
      </c>
      <c r="T2142" s="37" t="str">
        <f aca="false">IF($A2142="","",IF($B2142="","NO ACCOUNT",IF($Q2142=0,"UNMAPPED",IF($R2142=-1,"OUTSIDE FY RANGE","OK"))))</f>
        <v/>
      </c>
      <c r="U2142" s="40" t="str">
        <f aca="false">IF($A2142="","",$B2142&amp;"|"&amp;TEXT($A2142,"yyyymmdd")&amp;"|"&amp;TEXT($I2142,"0.00"))</f>
        <v/>
      </c>
      <c r="V2142" s="35" t="str">
        <f aca="false">IF($A2142="","",COUNTIF($U$8:$U$5007,$U2142))</f>
        <v/>
      </c>
    </row>
    <row r="2143" customFormat="false" ht="15" hidden="false" customHeight="false" outlineLevel="0" collapsed="false">
      <c r="A2143" s="31"/>
      <c r="B2143" s="32"/>
      <c r="C2143" s="32"/>
      <c r="D2143" s="32"/>
      <c r="E2143" s="32"/>
      <c r="F2143" s="32"/>
      <c r="G2143" s="33"/>
      <c r="H2143" s="33"/>
      <c r="I2143" s="34" t="str">
        <f aca="false">IF($A2143="","",$G2143-$H2143)</f>
        <v/>
      </c>
      <c r="J2143" s="35" t="str">
        <f aca="false">IF($A2143="","",IF(Setup!$B$6=1,YEAR($A2143),YEAR($A2143)+IF(MONTH($A2143)&gt;=Setup!$B$6,1,0)))</f>
        <v/>
      </c>
      <c r="K2143" s="35" t="str">
        <f aca="false">IF($A2143="","",MOD(MONTH($A2143)-Setup!$B$6+12,12)+1)</f>
        <v/>
      </c>
      <c r="L2143" s="36" t="str">
        <f aca="false">IF($A2143="","",TEXT($A2143,"MMM-YY"))</f>
        <v/>
      </c>
      <c r="M2143" s="37" t="str">
        <f aca="false">IF($A2143="","",IF($Q2143=0,"UNMAPPED",INDEX(COA_Mapping!$C$7:$C$256,$Q2143)))</f>
        <v/>
      </c>
      <c r="N2143" s="38" t="str">
        <f aca="false">IF($A2143="","",IF($Q2143=0,"",INDEX(COA_Mapping!$E$7:$E$256,$Q2143)))</f>
        <v/>
      </c>
      <c r="O2143" s="38" t="n">
        <f aca="false">IF($A2143="",1,IF($Q2143=0,1,INDEX(COA_Mapping!$F$7:$F$256,$Q2143)))</f>
        <v>1</v>
      </c>
      <c r="P2143" s="34" t="str">
        <f aca="false">IF($A2143="","",$I2143*$O2143)</f>
        <v/>
      </c>
      <c r="Q2143" s="39" t="n">
        <f aca="false">IF($B2143="",0,IFERROR(MATCH($B2143,COA_Mapping!$A$7:$A$256,0),0))</f>
        <v>0</v>
      </c>
      <c r="R2143" s="39" t="n">
        <f aca="false">IF($A2143="",-1,IF($J2143=Setup!$B$7,1,IF($J2143=Setup!$B$9,0,-1)))</f>
        <v>-1</v>
      </c>
      <c r="S2143" s="35" t="n">
        <f aca="false">IF(OR($A2143="",$Q2143=0,$R2143=-1),0,$Q2143*1000+$R2143*100+$K2143)</f>
        <v>0</v>
      </c>
      <c r="T2143" s="37" t="str">
        <f aca="false">IF($A2143="","",IF($B2143="","NO ACCOUNT",IF($Q2143=0,"UNMAPPED",IF($R2143=-1,"OUTSIDE FY RANGE","OK"))))</f>
        <v/>
      </c>
      <c r="U2143" s="40" t="str">
        <f aca="false">IF($A2143="","",$B2143&amp;"|"&amp;TEXT($A2143,"yyyymmdd")&amp;"|"&amp;TEXT($I2143,"0.00"))</f>
        <v/>
      </c>
      <c r="V2143" s="35" t="str">
        <f aca="false">IF($A2143="","",COUNTIF($U$8:$U$5007,$U2143))</f>
        <v/>
      </c>
    </row>
    <row r="2144" customFormat="false" ht="15" hidden="false" customHeight="false" outlineLevel="0" collapsed="false">
      <c r="A2144" s="31"/>
      <c r="B2144" s="32"/>
      <c r="C2144" s="32"/>
      <c r="D2144" s="32"/>
      <c r="E2144" s="32"/>
      <c r="F2144" s="32"/>
      <c r="G2144" s="33"/>
      <c r="H2144" s="33"/>
      <c r="I2144" s="34" t="str">
        <f aca="false">IF($A2144="","",$G2144-$H2144)</f>
        <v/>
      </c>
      <c r="J2144" s="35" t="str">
        <f aca="false">IF($A2144="","",IF(Setup!$B$6=1,YEAR($A2144),YEAR($A2144)+IF(MONTH($A2144)&gt;=Setup!$B$6,1,0)))</f>
        <v/>
      </c>
      <c r="K2144" s="35" t="str">
        <f aca="false">IF($A2144="","",MOD(MONTH($A2144)-Setup!$B$6+12,12)+1)</f>
        <v/>
      </c>
      <c r="L2144" s="36" t="str">
        <f aca="false">IF($A2144="","",TEXT($A2144,"MMM-YY"))</f>
        <v/>
      </c>
      <c r="M2144" s="37" t="str">
        <f aca="false">IF($A2144="","",IF($Q2144=0,"UNMAPPED",INDEX(COA_Mapping!$C$7:$C$256,$Q2144)))</f>
        <v/>
      </c>
      <c r="N2144" s="38" t="str">
        <f aca="false">IF($A2144="","",IF($Q2144=0,"",INDEX(COA_Mapping!$E$7:$E$256,$Q2144)))</f>
        <v/>
      </c>
      <c r="O2144" s="38" t="n">
        <f aca="false">IF($A2144="",1,IF($Q2144=0,1,INDEX(COA_Mapping!$F$7:$F$256,$Q2144)))</f>
        <v>1</v>
      </c>
      <c r="P2144" s="34" t="str">
        <f aca="false">IF($A2144="","",$I2144*$O2144)</f>
        <v/>
      </c>
      <c r="Q2144" s="39" t="n">
        <f aca="false">IF($B2144="",0,IFERROR(MATCH($B2144,COA_Mapping!$A$7:$A$256,0),0))</f>
        <v>0</v>
      </c>
      <c r="R2144" s="39" t="n">
        <f aca="false">IF($A2144="",-1,IF($J2144=Setup!$B$7,1,IF($J2144=Setup!$B$9,0,-1)))</f>
        <v>-1</v>
      </c>
      <c r="S2144" s="35" t="n">
        <f aca="false">IF(OR($A2144="",$Q2144=0,$R2144=-1),0,$Q2144*1000+$R2144*100+$K2144)</f>
        <v>0</v>
      </c>
      <c r="T2144" s="37" t="str">
        <f aca="false">IF($A2144="","",IF($B2144="","NO ACCOUNT",IF($Q2144=0,"UNMAPPED",IF($R2144=-1,"OUTSIDE FY RANGE","OK"))))</f>
        <v/>
      </c>
      <c r="U2144" s="40" t="str">
        <f aca="false">IF($A2144="","",$B2144&amp;"|"&amp;TEXT($A2144,"yyyymmdd")&amp;"|"&amp;TEXT($I2144,"0.00"))</f>
        <v/>
      </c>
      <c r="V2144" s="35" t="str">
        <f aca="false">IF($A2144="","",COUNTIF($U$8:$U$5007,$U2144))</f>
        <v/>
      </c>
    </row>
    <row r="2145" customFormat="false" ht="15" hidden="false" customHeight="false" outlineLevel="0" collapsed="false">
      <c r="A2145" s="31"/>
      <c r="B2145" s="32"/>
      <c r="C2145" s="32"/>
      <c r="D2145" s="32"/>
      <c r="E2145" s="32"/>
      <c r="F2145" s="32"/>
      <c r="G2145" s="33"/>
      <c r="H2145" s="33"/>
      <c r="I2145" s="34" t="str">
        <f aca="false">IF($A2145="","",$G2145-$H2145)</f>
        <v/>
      </c>
      <c r="J2145" s="35" t="str">
        <f aca="false">IF($A2145="","",IF(Setup!$B$6=1,YEAR($A2145),YEAR($A2145)+IF(MONTH($A2145)&gt;=Setup!$B$6,1,0)))</f>
        <v/>
      </c>
      <c r="K2145" s="35" t="str">
        <f aca="false">IF($A2145="","",MOD(MONTH($A2145)-Setup!$B$6+12,12)+1)</f>
        <v/>
      </c>
      <c r="L2145" s="36" t="str">
        <f aca="false">IF($A2145="","",TEXT($A2145,"MMM-YY"))</f>
        <v/>
      </c>
      <c r="M2145" s="37" t="str">
        <f aca="false">IF($A2145="","",IF($Q2145=0,"UNMAPPED",INDEX(COA_Mapping!$C$7:$C$256,$Q2145)))</f>
        <v/>
      </c>
      <c r="N2145" s="38" t="str">
        <f aca="false">IF($A2145="","",IF($Q2145=0,"",INDEX(COA_Mapping!$E$7:$E$256,$Q2145)))</f>
        <v/>
      </c>
      <c r="O2145" s="38" t="n">
        <f aca="false">IF($A2145="",1,IF($Q2145=0,1,INDEX(COA_Mapping!$F$7:$F$256,$Q2145)))</f>
        <v>1</v>
      </c>
      <c r="P2145" s="34" t="str">
        <f aca="false">IF($A2145="","",$I2145*$O2145)</f>
        <v/>
      </c>
      <c r="Q2145" s="39" t="n">
        <f aca="false">IF($B2145="",0,IFERROR(MATCH($B2145,COA_Mapping!$A$7:$A$256,0),0))</f>
        <v>0</v>
      </c>
      <c r="R2145" s="39" t="n">
        <f aca="false">IF($A2145="",-1,IF($J2145=Setup!$B$7,1,IF($J2145=Setup!$B$9,0,-1)))</f>
        <v>-1</v>
      </c>
      <c r="S2145" s="35" t="n">
        <f aca="false">IF(OR($A2145="",$Q2145=0,$R2145=-1),0,$Q2145*1000+$R2145*100+$K2145)</f>
        <v>0</v>
      </c>
      <c r="T2145" s="37" t="str">
        <f aca="false">IF($A2145="","",IF($B2145="","NO ACCOUNT",IF($Q2145=0,"UNMAPPED",IF($R2145=-1,"OUTSIDE FY RANGE","OK"))))</f>
        <v/>
      </c>
      <c r="U2145" s="40" t="str">
        <f aca="false">IF($A2145="","",$B2145&amp;"|"&amp;TEXT($A2145,"yyyymmdd")&amp;"|"&amp;TEXT($I2145,"0.00"))</f>
        <v/>
      </c>
      <c r="V2145" s="35" t="str">
        <f aca="false">IF($A2145="","",COUNTIF($U$8:$U$5007,$U2145))</f>
        <v/>
      </c>
    </row>
    <row r="2146" customFormat="false" ht="15" hidden="false" customHeight="false" outlineLevel="0" collapsed="false">
      <c r="A2146" s="31"/>
      <c r="B2146" s="32"/>
      <c r="C2146" s="32"/>
      <c r="D2146" s="32"/>
      <c r="E2146" s="32"/>
      <c r="F2146" s="32"/>
      <c r="G2146" s="33"/>
      <c r="H2146" s="33"/>
      <c r="I2146" s="34" t="str">
        <f aca="false">IF($A2146="","",$G2146-$H2146)</f>
        <v/>
      </c>
      <c r="J2146" s="35" t="str">
        <f aca="false">IF($A2146="","",IF(Setup!$B$6=1,YEAR($A2146),YEAR($A2146)+IF(MONTH($A2146)&gt;=Setup!$B$6,1,0)))</f>
        <v/>
      </c>
      <c r="K2146" s="35" t="str">
        <f aca="false">IF($A2146="","",MOD(MONTH($A2146)-Setup!$B$6+12,12)+1)</f>
        <v/>
      </c>
      <c r="L2146" s="36" t="str">
        <f aca="false">IF($A2146="","",TEXT($A2146,"MMM-YY"))</f>
        <v/>
      </c>
      <c r="M2146" s="37" t="str">
        <f aca="false">IF($A2146="","",IF($Q2146=0,"UNMAPPED",INDEX(COA_Mapping!$C$7:$C$256,$Q2146)))</f>
        <v/>
      </c>
      <c r="N2146" s="38" t="str">
        <f aca="false">IF($A2146="","",IF($Q2146=0,"",INDEX(COA_Mapping!$E$7:$E$256,$Q2146)))</f>
        <v/>
      </c>
      <c r="O2146" s="38" t="n">
        <f aca="false">IF($A2146="",1,IF($Q2146=0,1,INDEX(COA_Mapping!$F$7:$F$256,$Q2146)))</f>
        <v>1</v>
      </c>
      <c r="P2146" s="34" t="str">
        <f aca="false">IF($A2146="","",$I2146*$O2146)</f>
        <v/>
      </c>
      <c r="Q2146" s="39" t="n">
        <f aca="false">IF($B2146="",0,IFERROR(MATCH($B2146,COA_Mapping!$A$7:$A$256,0),0))</f>
        <v>0</v>
      </c>
      <c r="R2146" s="39" t="n">
        <f aca="false">IF($A2146="",-1,IF($J2146=Setup!$B$7,1,IF($J2146=Setup!$B$9,0,-1)))</f>
        <v>-1</v>
      </c>
      <c r="S2146" s="35" t="n">
        <f aca="false">IF(OR($A2146="",$Q2146=0,$R2146=-1),0,$Q2146*1000+$R2146*100+$K2146)</f>
        <v>0</v>
      </c>
      <c r="T2146" s="37" t="str">
        <f aca="false">IF($A2146="","",IF($B2146="","NO ACCOUNT",IF($Q2146=0,"UNMAPPED",IF($R2146=-1,"OUTSIDE FY RANGE","OK"))))</f>
        <v/>
      </c>
      <c r="U2146" s="40" t="str">
        <f aca="false">IF($A2146="","",$B2146&amp;"|"&amp;TEXT($A2146,"yyyymmdd")&amp;"|"&amp;TEXT($I2146,"0.00"))</f>
        <v/>
      </c>
      <c r="V2146" s="35" t="str">
        <f aca="false">IF($A2146="","",COUNTIF($U$8:$U$5007,$U2146))</f>
        <v/>
      </c>
    </row>
    <row r="2147" customFormat="false" ht="15" hidden="false" customHeight="false" outlineLevel="0" collapsed="false">
      <c r="A2147" s="31"/>
      <c r="B2147" s="32"/>
      <c r="C2147" s="32"/>
      <c r="D2147" s="32"/>
      <c r="E2147" s="32"/>
      <c r="F2147" s="32"/>
      <c r="G2147" s="33"/>
      <c r="H2147" s="33"/>
      <c r="I2147" s="34" t="str">
        <f aca="false">IF($A2147="","",$G2147-$H2147)</f>
        <v/>
      </c>
      <c r="J2147" s="35" t="str">
        <f aca="false">IF($A2147="","",IF(Setup!$B$6=1,YEAR($A2147),YEAR($A2147)+IF(MONTH($A2147)&gt;=Setup!$B$6,1,0)))</f>
        <v/>
      </c>
      <c r="K2147" s="35" t="str">
        <f aca="false">IF($A2147="","",MOD(MONTH($A2147)-Setup!$B$6+12,12)+1)</f>
        <v/>
      </c>
      <c r="L2147" s="36" t="str">
        <f aca="false">IF($A2147="","",TEXT($A2147,"MMM-YY"))</f>
        <v/>
      </c>
      <c r="M2147" s="37" t="str">
        <f aca="false">IF($A2147="","",IF($Q2147=0,"UNMAPPED",INDEX(COA_Mapping!$C$7:$C$256,$Q2147)))</f>
        <v/>
      </c>
      <c r="N2147" s="38" t="str">
        <f aca="false">IF($A2147="","",IF($Q2147=0,"",INDEX(COA_Mapping!$E$7:$E$256,$Q2147)))</f>
        <v/>
      </c>
      <c r="O2147" s="38" t="n">
        <f aca="false">IF($A2147="",1,IF($Q2147=0,1,INDEX(COA_Mapping!$F$7:$F$256,$Q2147)))</f>
        <v>1</v>
      </c>
      <c r="P2147" s="34" t="str">
        <f aca="false">IF($A2147="","",$I2147*$O2147)</f>
        <v/>
      </c>
      <c r="Q2147" s="39" t="n">
        <f aca="false">IF($B2147="",0,IFERROR(MATCH($B2147,COA_Mapping!$A$7:$A$256,0),0))</f>
        <v>0</v>
      </c>
      <c r="R2147" s="39" t="n">
        <f aca="false">IF($A2147="",-1,IF($J2147=Setup!$B$7,1,IF($J2147=Setup!$B$9,0,-1)))</f>
        <v>-1</v>
      </c>
      <c r="S2147" s="35" t="n">
        <f aca="false">IF(OR($A2147="",$Q2147=0,$R2147=-1),0,$Q2147*1000+$R2147*100+$K2147)</f>
        <v>0</v>
      </c>
      <c r="T2147" s="37" t="str">
        <f aca="false">IF($A2147="","",IF($B2147="","NO ACCOUNT",IF($Q2147=0,"UNMAPPED",IF($R2147=-1,"OUTSIDE FY RANGE","OK"))))</f>
        <v/>
      </c>
      <c r="U2147" s="40" t="str">
        <f aca="false">IF($A2147="","",$B2147&amp;"|"&amp;TEXT($A2147,"yyyymmdd")&amp;"|"&amp;TEXT($I2147,"0.00"))</f>
        <v/>
      </c>
      <c r="V2147" s="35" t="str">
        <f aca="false">IF($A2147="","",COUNTIF($U$8:$U$5007,$U2147))</f>
        <v/>
      </c>
    </row>
    <row r="2148" customFormat="false" ht="15" hidden="false" customHeight="false" outlineLevel="0" collapsed="false">
      <c r="A2148" s="31"/>
      <c r="B2148" s="32"/>
      <c r="C2148" s="32"/>
      <c r="D2148" s="32"/>
      <c r="E2148" s="32"/>
      <c r="F2148" s="32"/>
      <c r="G2148" s="33"/>
      <c r="H2148" s="33"/>
      <c r="I2148" s="34" t="str">
        <f aca="false">IF($A2148="","",$G2148-$H2148)</f>
        <v/>
      </c>
      <c r="J2148" s="35" t="str">
        <f aca="false">IF($A2148="","",IF(Setup!$B$6=1,YEAR($A2148),YEAR($A2148)+IF(MONTH($A2148)&gt;=Setup!$B$6,1,0)))</f>
        <v/>
      </c>
      <c r="K2148" s="35" t="str">
        <f aca="false">IF($A2148="","",MOD(MONTH($A2148)-Setup!$B$6+12,12)+1)</f>
        <v/>
      </c>
      <c r="L2148" s="36" t="str">
        <f aca="false">IF($A2148="","",TEXT($A2148,"MMM-YY"))</f>
        <v/>
      </c>
      <c r="M2148" s="37" t="str">
        <f aca="false">IF($A2148="","",IF($Q2148=0,"UNMAPPED",INDEX(COA_Mapping!$C$7:$C$256,$Q2148)))</f>
        <v/>
      </c>
      <c r="N2148" s="38" t="str">
        <f aca="false">IF($A2148="","",IF($Q2148=0,"",INDEX(COA_Mapping!$E$7:$E$256,$Q2148)))</f>
        <v/>
      </c>
      <c r="O2148" s="38" t="n">
        <f aca="false">IF($A2148="",1,IF($Q2148=0,1,INDEX(COA_Mapping!$F$7:$F$256,$Q2148)))</f>
        <v>1</v>
      </c>
      <c r="P2148" s="34" t="str">
        <f aca="false">IF($A2148="","",$I2148*$O2148)</f>
        <v/>
      </c>
      <c r="Q2148" s="39" t="n">
        <f aca="false">IF($B2148="",0,IFERROR(MATCH($B2148,COA_Mapping!$A$7:$A$256,0),0))</f>
        <v>0</v>
      </c>
      <c r="R2148" s="39" t="n">
        <f aca="false">IF($A2148="",-1,IF($J2148=Setup!$B$7,1,IF($J2148=Setup!$B$9,0,-1)))</f>
        <v>-1</v>
      </c>
      <c r="S2148" s="35" t="n">
        <f aca="false">IF(OR($A2148="",$Q2148=0,$R2148=-1),0,$Q2148*1000+$R2148*100+$K2148)</f>
        <v>0</v>
      </c>
      <c r="T2148" s="37" t="str">
        <f aca="false">IF($A2148="","",IF($B2148="","NO ACCOUNT",IF($Q2148=0,"UNMAPPED",IF($R2148=-1,"OUTSIDE FY RANGE","OK"))))</f>
        <v/>
      </c>
      <c r="U2148" s="40" t="str">
        <f aca="false">IF($A2148="","",$B2148&amp;"|"&amp;TEXT($A2148,"yyyymmdd")&amp;"|"&amp;TEXT($I2148,"0.00"))</f>
        <v/>
      </c>
      <c r="V2148" s="35" t="str">
        <f aca="false">IF($A2148="","",COUNTIF($U$8:$U$5007,$U2148))</f>
        <v/>
      </c>
    </row>
    <row r="2149" customFormat="false" ht="15" hidden="false" customHeight="false" outlineLevel="0" collapsed="false">
      <c r="A2149" s="31"/>
      <c r="B2149" s="32"/>
      <c r="C2149" s="32"/>
      <c r="D2149" s="32"/>
      <c r="E2149" s="32"/>
      <c r="F2149" s="32"/>
      <c r="G2149" s="33"/>
      <c r="H2149" s="33"/>
      <c r="I2149" s="34" t="str">
        <f aca="false">IF($A2149="","",$G2149-$H2149)</f>
        <v/>
      </c>
      <c r="J2149" s="35" t="str">
        <f aca="false">IF($A2149="","",IF(Setup!$B$6=1,YEAR($A2149),YEAR($A2149)+IF(MONTH($A2149)&gt;=Setup!$B$6,1,0)))</f>
        <v/>
      </c>
      <c r="K2149" s="35" t="str">
        <f aca="false">IF($A2149="","",MOD(MONTH($A2149)-Setup!$B$6+12,12)+1)</f>
        <v/>
      </c>
      <c r="L2149" s="36" t="str">
        <f aca="false">IF($A2149="","",TEXT($A2149,"MMM-YY"))</f>
        <v/>
      </c>
      <c r="M2149" s="37" t="str">
        <f aca="false">IF($A2149="","",IF($Q2149=0,"UNMAPPED",INDEX(COA_Mapping!$C$7:$C$256,$Q2149)))</f>
        <v/>
      </c>
      <c r="N2149" s="38" t="str">
        <f aca="false">IF($A2149="","",IF($Q2149=0,"",INDEX(COA_Mapping!$E$7:$E$256,$Q2149)))</f>
        <v/>
      </c>
      <c r="O2149" s="38" t="n">
        <f aca="false">IF($A2149="",1,IF($Q2149=0,1,INDEX(COA_Mapping!$F$7:$F$256,$Q2149)))</f>
        <v>1</v>
      </c>
      <c r="P2149" s="34" t="str">
        <f aca="false">IF($A2149="","",$I2149*$O2149)</f>
        <v/>
      </c>
      <c r="Q2149" s="39" t="n">
        <f aca="false">IF($B2149="",0,IFERROR(MATCH($B2149,COA_Mapping!$A$7:$A$256,0),0))</f>
        <v>0</v>
      </c>
      <c r="R2149" s="39" t="n">
        <f aca="false">IF($A2149="",-1,IF($J2149=Setup!$B$7,1,IF($J2149=Setup!$B$9,0,-1)))</f>
        <v>-1</v>
      </c>
      <c r="S2149" s="35" t="n">
        <f aca="false">IF(OR($A2149="",$Q2149=0,$R2149=-1),0,$Q2149*1000+$R2149*100+$K2149)</f>
        <v>0</v>
      </c>
      <c r="T2149" s="37" t="str">
        <f aca="false">IF($A2149="","",IF($B2149="","NO ACCOUNT",IF($Q2149=0,"UNMAPPED",IF($R2149=-1,"OUTSIDE FY RANGE","OK"))))</f>
        <v/>
      </c>
      <c r="U2149" s="40" t="str">
        <f aca="false">IF($A2149="","",$B2149&amp;"|"&amp;TEXT($A2149,"yyyymmdd")&amp;"|"&amp;TEXT($I2149,"0.00"))</f>
        <v/>
      </c>
      <c r="V2149" s="35" t="str">
        <f aca="false">IF($A2149="","",COUNTIF($U$8:$U$5007,$U2149))</f>
        <v/>
      </c>
    </row>
    <row r="2150" customFormat="false" ht="15" hidden="false" customHeight="false" outlineLevel="0" collapsed="false">
      <c r="A2150" s="31"/>
      <c r="B2150" s="32"/>
      <c r="C2150" s="32"/>
      <c r="D2150" s="32"/>
      <c r="E2150" s="32"/>
      <c r="F2150" s="32"/>
      <c r="G2150" s="33"/>
      <c r="H2150" s="33"/>
      <c r="I2150" s="34" t="str">
        <f aca="false">IF($A2150="","",$G2150-$H2150)</f>
        <v/>
      </c>
      <c r="J2150" s="35" t="str">
        <f aca="false">IF($A2150="","",IF(Setup!$B$6=1,YEAR($A2150),YEAR($A2150)+IF(MONTH($A2150)&gt;=Setup!$B$6,1,0)))</f>
        <v/>
      </c>
      <c r="K2150" s="35" t="str">
        <f aca="false">IF($A2150="","",MOD(MONTH($A2150)-Setup!$B$6+12,12)+1)</f>
        <v/>
      </c>
      <c r="L2150" s="36" t="str">
        <f aca="false">IF($A2150="","",TEXT($A2150,"MMM-YY"))</f>
        <v/>
      </c>
      <c r="M2150" s="37" t="str">
        <f aca="false">IF($A2150="","",IF($Q2150=0,"UNMAPPED",INDEX(COA_Mapping!$C$7:$C$256,$Q2150)))</f>
        <v/>
      </c>
      <c r="N2150" s="38" t="str">
        <f aca="false">IF($A2150="","",IF($Q2150=0,"",INDEX(COA_Mapping!$E$7:$E$256,$Q2150)))</f>
        <v/>
      </c>
      <c r="O2150" s="38" t="n">
        <f aca="false">IF($A2150="",1,IF($Q2150=0,1,INDEX(COA_Mapping!$F$7:$F$256,$Q2150)))</f>
        <v>1</v>
      </c>
      <c r="P2150" s="34" t="str">
        <f aca="false">IF($A2150="","",$I2150*$O2150)</f>
        <v/>
      </c>
      <c r="Q2150" s="39" t="n">
        <f aca="false">IF($B2150="",0,IFERROR(MATCH($B2150,COA_Mapping!$A$7:$A$256,0),0))</f>
        <v>0</v>
      </c>
      <c r="R2150" s="39" t="n">
        <f aca="false">IF($A2150="",-1,IF($J2150=Setup!$B$7,1,IF($J2150=Setup!$B$9,0,-1)))</f>
        <v>-1</v>
      </c>
      <c r="S2150" s="35" t="n">
        <f aca="false">IF(OR($A2150="",$Q2150=0,$R2150=-1),0,$Q2150*1000+$R2150*100+$K2150)</f>
        <v>0</v>
      </c>
      <c r="T2150" s="37" t="str">
        <f aca="false">IF($A2150="","",IF($B2150="","NO ACCOUNT",IF($Q2150=0,"UNMAPPED",IF($R2150=-1,"OUTSIDE FY RANGE","OK"))))</f>
        <v/>
      </c>
      <c r="U2150" s="40" t="str">
        <f aca="false">IF($A2150="","",$B2150&amp;"|"&amp;TEXT($A2150,"yyyymmdd")&amp;"|"&amp;TEXT($I2150,"0.00"))</f>
        <v/>
      </c>
      <c r="V2150" s="35" t="str">
        <f aca="false">IF($A2150="","",COUNTIF($U$8:$U$5007,$U2150))</f>
        <v/>
      </c>
    </row>
    <row r="2151" customFormat="false" ht="15" hidden="false" customHeight="false" outlineLevel="0" collapsed="false">
      <c r="A2151" s="31"/>
      <c r="B2151" s="32"/>
      <c r="C2151" s="32"/>
      <c r="D2151" s="32"/>
      <c r="E2151" s="32"/>
      <c r="F2151" s="32"/>
      <c r="G2151" s="33"/>
      <c r="H2151" s="33"/>
      <c r="I2151" s="34" t="str">
        <f aca="false">IF($A2151="","",$G2151-$H2151)</f>
        <v/>
      </c>
      <c r="J2151" s="35" t="str">
        <f aca="false">IF($A2151="","",IF(Setup!$B$6=1,YEAR($A2151),YEAR($A2151)+IF(MONTH($A2151)&gt;=Setup!$B$6,1,0)))</f>
        <v/>
      </c>
      <c r="K2151" s="35" t="str">
        <f aca="false">IF($A2151="","",MOD(MONTH($A2151)-Setup!$B$6+12,12)+1)</f>
        <v/>
      </c>
      <c r="L2151" s="36" t="str">
        <f aca="false">IF($A2151="","",TEXT($A2151,"MMM-YY"))</f>
        <v/>
      </c>
      <c r="M2151" s="37" t="str">
        <f aca="false">IF($A2151="","",IF($Q2151=0,"UNMAPPED",INDEX(COA_Mapping!$C$7:$C$256,$Q2151)))</f>
        <v/>
      </c>
      <c r="N2151" s="38" t="str">
        <f aca="false">IF($A2151="","",IF($Q2151=0,"",INDEX(COA_Mapping!$E$7:$E$256,$Q2151)))</f>
        <v/>
      </c>
      <c r="O2151" s="38" t="n">
        <f aca="false">IF($A2151="",1,IF($Q2151=0,1,INDEX(COA_Mapping!$F$7:$F$256,$Q2151)))</f>
        <v>1</v>
      </c>
      <c r="P2151" s="34" t="str">
        <f aca="false">IF($A2151="","",$I2151*$O2151)</f>
        <v/>
      </c>
      <c r="Q2151" s="39" t="n">
        <f aca="false">IF($B2151="",0,IFERROR(MATCH($B2151,COA_Mapping!$A$7:$A$256,0),0))</f>
        <v>0</v>
      </c>
      <c r="R2151" s="39" t="n">
        <f aca="false">IF($A2151="",-1,IF($J2151=Setup!$B$7,1,IF($J2151=Setup!$B$9,0,-1)))</f>
        <v>-1</v>
      </c>
      <c r="S2151" s="35" t="n">
        <f aca="false">IF(OR($A2151="",$Q2151=0,$R2151=-1),0,$Q2151*1000+$R2151*100+$K2151)</f>
        <v>0</v>
      </c>
      <c r="T2151" s="37" t="str">
        <f aca="false">IF($A2151="","",IF($B2151="","NO ACCOUNT",IF($Q2151=0,"UNMAPPED",IF($R2151=-1,"OUTSIDE FY RANGE","OK"))))</f>
        <v/>
      </c>
      <c r="U2151" s="40" t="str">
        <f aca="false">IF($A2151="","",$B2151&amp;"|"&amp;TEXT($A2151,"yyyymmdd")&amp;"|"&amp;TEXT($I2151,"0.00"))</f>
        <v/>
      </c>
      <c r="V2151" s="35" t="str">
        <f aca="false">IF($A2151="","",COUNTIF($U$8:$U$5007,$U2151))</f>
        <v/>
      </c>
    </row>
    <row r="2152" customFormat="false" ht="15" hidden="false" customHeight="false" outlineLevel="0" collapsed="false">
      <c r="A2152" s="31"/>
      <c r="B2152" s="32"/>
      <c r="C2152" s="32"/>
      <c r="D2152" s="32"/>
      <c r="E2152" s="32"/>
      <c r="F2152" s="32"/>
      <c r="G2152" s="33"/>
      <c r="H2152" s="33"/>
      <c r="I2152" s="34" t="str">
        <f aca="false">IF($A2152="","",$G2152-$H2152)</f>
        <v/>
      </c>
      <c r="J2152" s="35" t="str">
        <f aca="false">IF($A2152="","",IF(Setup!$B$6=1,YEAR($A2152),YEAR($A2152)+IF(MONTH($A2152)&gt;=Setup!$B$6,1,0)))</f>
        <v/>
      </c>
      <c r="K2152" s="35" t="str">
        <f aca="false">IF($A2152="","",MOD(MONTH($A2152)-Setup!$B$6+12,12)+1)</f>
        <v/>
      </c>
      <c r="L2152" s="36" t="str">
        <f aca="false">IF($A2152="","",TEXT($A2152,"MMM-YY"))</f>
        <v/>
      </c>
      <c r="M2152" s="37" t="str">
        <f aca="false">IF($A2152="","",IF($Q2152=0,"UNMAPPED",INDEX(COA_Mapping!$C$7:$C$256,$Q2152)))</f>
        <v/>
      </c>
      <c r="N2152" s="38" t="str">
        <f aca="false">IF($A2152="","",IF($Q2152=0,"",INDEX(COA_Mapping!$E$7:$E$256,$Q2152)))</f>
        <v/>
      </c>
      <c r="O2152" s="38" t="n">
        <f aca="false">IF($A2152="",1,IF($Q2152=0,1,INDEX(COA_Mapping!$F$7:$F$256,$Q2152)))</f>
        <v>1</v>
      </c>
      <c r="P2152" s="34" t="str">
        <f aca="false">IF($A2152="","",$I2152*$O2152)</f>
        <v/>
      </c>
      <c r="Q2152" s="39" t="n">
        <f aca="false">IF($B2152="",0,IFERROR(MATCH($B2152,COA_Mapping!$A$7:$A$256,0),0))</f>
        <v>0</v>
      </c>
      <c r="R2152" s="39" t="n">
        <f aca="false">IF($A2152="",-1,IF($J2152=Setup!$B$7,1,IF($J2152=Setup!$B$9,0,-1)))</f>
        <v>-1</v>
      </c>
      <c r="S2152" s="35" t="n">
        <f aca="false">IF(OR($A2152="",$Q2152=0,$R2152=-1),0,$Q2152*1000+$R2152*100+$K2152)</f>
        <v>0</v>
      </c>
      <c r="T2152" s="37" t="str">
        <f aca="false">IF($A2152="","",IF($B2152="","NO ACCOUNT",IF($Q2152=0,"UNMAPPED",IF($R2152=-1,"OUTSIDE FY RANGE","OK"))))</f>
        <v/>
      </c>
      <c r="U2152" s="40" t="str">
        <f aca="false">IF($A2152="","",$B2152&amp;"|"&amp;TEXT($A2152,"yyyymmdd")&amp;"|"&amp;TEXT($I2152,"0.00"))</f>
        <v/>
      </c>
      <c r="V2152" s="35" t="str">
        <f aca="false">IF($A2152="","",COUNTIF($U$8:$U$5007,$U2152))</f>
        <v/>
      </c>
    </row>
    <row r="2153" customFormat="false" ht="15" hidden="false" customHeight="false" outlineLevel="0" collapsed="false">
      <c r="A2153" s="31"/>
      <c r="B2153" s="32"/>
      <c r="C2153" s="32"/>
      <c r="D2153" s="32"/>
      <c r="E2153" s="32"/>
      <c r="F2153" s="32"/>
      <c r="G2153" s="33"/>
      <c r="H2153" s="33"/>
      <c r="I2153" s="34" t="str">
        <f aca="false">IF($A2153="","",$G2153-$H2153)</f>
        <v/>
      </c>
      <c r="J2153" s="35" t="str">
        <f aca="false">IF($A2153="","",IF(Setup!$B$6=1,YEAR($A2153),YEAR($A2153)+IF(MONTH($A2153)&gt;=Setup!$B$6,1,0)))</f>
        <v/>
      </c>
      <c r="K2153" s="35" t="str">
        <f aca="false">IF($A2153="","",MOD(MONTH($A2153)-Setup!$B$6+12,12)+1)</f>
        <v/>
      </c>
      <c r="L2153" s="36" t="str">
        <f aca="false">IF($A2153="","",TEXT($A2153,"MMM-YY"))</f>
        <v/>
      </c>
      <c r="M2153" s="37" t="str">
        <f aca="false">IF($A2153="","",IF($Q2153=0,"UNMAPPED",INDEX(COA_Mapping!$C$7:$C$256,$Q2153)))</f>
        <v/>
      </c>
      <c r="N2153" s="38" t="str">
        <f aca="false">IF($A2153="","",IF($Q2153=0,"",INDEX(COA_Mapping!$E$7:$E$256,$Q2153)))</f>
        <v/>
      </c>
      <c r="O2153" s="38" t="n">
        <f aca="false">IF($A2153="",1,IF($Q2153=0,1,INDEX(COA_Mapping!$F$7:$F$256,$Q2153)))</f>
        <v>1</v>
      </c>
      <c r="P2153" s="34" t="str">
        <f aca="false">IF($A2153="","",$I2153*$O2153)</f>
        <v/>
      </c>
      <c r="Q2153" s="39" t="n">
        <f aca="false">IF($B2153="",0,IFERROR(MATCH($B2153,COA_Mapping!$A$7:$A$256,0),0))</f>
        <v>0</v>
      </c>
      <c r="R2153" s="39" t="n">
        <f aca="false">IF($A2153="",-1,IF($J2153=Setup!$B$7,1,IF($J2153=Setup!$B$9,0,-1)))</f>
        <v>-1</v>
      </c>
      <c r="S2153" s="35" t="n">
        <f aca="false">IF(OR($A2153="",$Q2153=0,$R2153=-1),0,$Q2153*1000+$R2153*100+$K2153)</f>
        <v>0</v>
      </c>
      <c r="T2153" s="37" t="str">
        <f aca="false">IF($A2153="","",IF($B2153="","NO ACCOUNT",IF($Q2153=0,"UNMAPPED",IF($R2153=-1,"OUTSIDE FY RANGE","OK"))))</f>
        <v/>
      </c>
      <c r="U2153" s="40" t="str">
        <f aca="false">IF($A2153="","",$B2153&amp;"|"&amp;TEXT($A2153,"yyyymmdd")&amp;"|"&amp;TEXT($I2153,"0.00"))</f>
        <v/>
      </c>
      <c r="V2153" s="35" t="str">
        <f aca="false">IF($A2153="","",COUNTIF($U$8:$U$5007,$U2153))</f>
        <v/>
      </c>
    </row>
    <row r="2154" customFormat="false" ht="15" hidden="false" customHeight="false" outlineLevel="0" collapsed="false">
      <c r="A2154" s="31"/>
      <c r="B2154" s="32"/>
      <c r="C2154" s="32"/>
      <c r="D2154" s="32"/>
      <c r="E2154" s="32"/>
      <c r="F2154" s="32"/>
      <c r="G2154" s="33"/>
      <c r="H2154" s="33"/>
      <c r="I2154" s="34" t="str">
        <f aca="false">IF($A2154="","",$G2154-$H2154)</f>
        <v/>
      </c>
      <c r="J2154" s="35" t="str">
        <f aca="false">IF($A2154="","",IF(Setup!$B$6=1,YEAR($A2154),YEAR($A2154)+IF(MONTH($A2154)&gt;=Setup!$B$6,1,0)))</f>
        <v/>
      </c>
      <c r="K2154" s="35" t="str">
        <f aca="false">IF($A2154="","",MOD(MONTH($A2154)-Setup!$B$6+12,12)+1)</f>
        <v/>
      </c>
      <c r="L2154" s="36" t="str">
        <f aca="false">IF($A2154="","",TEXT($A2154,"MMM-YY"))</f>
        <v/>
      </c>
      <c r="M2154" s="37" t="str">
        <f aca="false">IF($A2154="","",IF($Q2154=0,"UNMAPPED",INDEX(COA_Mapping!$C$7:$C$256,$Q2154)))</f>
        <v/>
      </c>
      <c r="N2154" s="38" t="str">
        <f aca="false">IF($A2154="","",IF($Q2154=0,"",INDEX(COA_Mapping!$E$7:$E$256,$Q2154)))</f>
        <v/>
      </c>
      <c r="O2154" s="38" t="n">
        <f aca="false">IF($A2154="",1,IF($Q2154=0,1,INDEX(COA_Mapping!$F$7:$F$256,$Q2154)))</f>
        <v>1</v>
      </c>
      <c r="P2154" s="34" t="str">
        <f aca="false">IF($A2154="","",$I2154*$O2154)</f>
        <v/>
      </c>
      <c r="Q2154" s="39" t="n">
        <f aca="false">IF($B2154="",0,IFERROR(MATCH($B2154,COA_Mapping!$A$7:$A$256,0),0))</f>
        <v>0</v>
      </c>
      <c r="R2154" s="39" t="n">
        <f aca="false">IF($A2154="",-1,IF($J2154=Setup!$B$7,1,IF($J2154=Setup!$B$9,0,-1)))</f>
        <v>-1</v>
      </c>
      <c r="S2154" s="35" t="n">
        <f aca="false">IF(OR($A2154="",$Q2154=0,$R2154=-1),0,$Q2154*1000+$R2154*100+$K2154)</f>
        <v>0</v>
      </c>
      <c r="T2154" s="37" t="str">
        <f aca="false">IF($A2154="","",IF($B2154="","NO ACCOUNT",IF($Q2154=0,"UNMAPPED",IF($R2154=-1,"OUTSIDE FY RANGE","OK"))))</f>
        <v/>
      </c>
      <c r="U2154" s="40" t="str">
        <f aca="false">IF($A2154="","",$B2154&amp;"|"&amp;TEXT($A2154,"yyyymmdd")&amp;"|"&amp;TEXT($I2154,"0.00"))</f>
        <v/>
      </c>
      <c r="V2154" s="35" t="str">
        <f aca="false">IF($A2154="","",COUNTIF($U$8:$U$5007,$U2154))</f>
        <v/>
      </c>
    </row>
    <row r="2155" customFormat="false" ht="15" hidden="false" customHeight="false" outlineLevel="0" collapsed="false">
      <c r="A2155" s="31"/>
      <c r="B2155" s="32"/>
      <c r="C2155" s="32"/>
      <c r="D2155" s="32"/>
      <c r="E2155" s="32"/>
      <c r="F2155" s="32"/>
      <c r="G2155" s="33"/>
      <c r="H2155" s="33"/>
      <c r="I2155" s="34" t="str">
        <f aca="false">IF($A2155="","",$G2155-$H2155)</f>
        <v/>
      </c>
      <c r="J2155" s="35" t="str">
        <f aca="false">IF($A2155="","",IF(Setup!$B$6=1,YEAR($A2155),YEAR($A2155)+IF(MONTH($A2155)&gt;=Setup!$B$6,1,0)))</f>
        <v/>
      </c>
      <c r="K2155" s="35" t="str">
        <f aca="false">IF($A2155="","",MOD(MONTH($A2155)-Setup!$B$6+12,12)+1)</f>
        <v/>
      </c>
      <c r="L2155" s="36" t="str">
        <f aca="false">IF($A2155="","",TEXT($A2155,"MMM-YY"))</f>
        <v/>
      </c>
      <c r="M2155" s="37" t="str">
        <f aca="false">IF($A2155="","",IF($Q2155=0,"UNMAPPED",INDEX(COA_Mapping!$C$7:$C$256,$Q2155)))</f>
        <v/>
      </c>
      <c r="N2155" s="38" t="str">
        <f aca="false">IF($A2155="","",IF($Q2155=0,"",INDEX(COA_Mapping!$E$7:$E$256,$Q2155)))</f>
        <v/>
      </c>
      <c r="O2155" s="38" t="n">
        <f aca="false">IF($A2155="",1,IF($Q2155=0,1,INDEX(COA_Mapping!$F$7:$F$256,$Q2155)))</f>
        <v>1</v>
      </c>
      <c r="P2155" s="34" t="str">
        <f aca="false">IF($A2155="","",$I2155*$O2155)</f>
        <v/>
      </c>
      <c r="Q2155" s="39" t="n">
        <f aca="false">IF($B2155="",0,IFERROR(MATCH($B2155,COA_Mapping!$A$7:$A$256,0),0))</f>
        <v>0</v>
      </c>
      <c r="R2155" s="39" t="n">
        <f aca="false">IF($A2155="",-1,IF($J2155=Setup!$B$7,1,IF($J2155=Setup!$B$9,0,-1)))</f>
        <v>-1</v>
      </c>
      <c r="S2155" s="35" t="n">
        <f aca="false">IF(OR($A2155="",$Q2155=0,$R2155=-1),0,$Q2155*1000+$R2155*100+$K2155)</f>
        <v>0</v>
      </c>
      <c r="T2155" s="37" t="str">
        <f aca="false">IF($A2155="","",IF($B2155="","NO ACCOUNT",IF($Q2155=0,"UNMAPPED",IF($R2155=-1,"OUTSIDE FY RANGE","OK"))))</f>
        <v/>
      </c>
      <c r="U2155" s="40" t="str">
        <f aca="false">IF($A2155="","",$B2155&amp;"|"&amp;TEXT($A2155,"yyyymmdd")&amp;"|"&amp;TEXT($I2155,"0.00"))</f>
        <v/>
      </c>
      <c r="V2155" s="35" t="str">
        <f aca="false">IF($A2155="","",COUNTIF($U$8:$U$5007,$U2155))</f>
        <v/>
      </c>
    </row>
    <row r="2156" customFormat="false" ht="15" hidden="false" customHeight="false" outlineLevel="0" collapsed="false">
      <c r="A2156" s="31"/>
      <c r="B2156" s="32"/>
      <c r="C2156" s="32"/>
      <c r="D2156" s="32"/>
      <c r="E2156" s="32"/>
      <c r="F2156" s="32"/>
      <c r="G2156" s="33"/>
      <c r="H2156" s="33"/>
      <c r="I2156" s="34" t="str">
        <f aca="false">IF($A2156="","",$G2156-$H2156)</f>
        <v/>
      </c>
      <c r="J2156" s="35" t="str">
        <f aca="false">IF($A2156="","",IF(Setup!$B$6=1,YEAR($A2156),YEAR($A2156)+IF(MONTH($A2156)&gt;=Setup!$B$6,1,0)))</f>
        <v/>
      </c>
      <c r="K2156" s="35" t="str">
        <f aca="false">IF($A2156="","",MOD(MONTH($A2156)-Setup!$B$6+12,12)+1)</f>
        <v/>
      </c>
      <c r="L2156" s="36" t="str">
        <f aca="false">IF($A2156="","",TEXT($A2156,"MMM-YY"))</f>
        <v/>
      </c>
      <c r="M2156" s="37" t="str">
        <f aca="false">IF($A2156="","",IF($Q2156=0,"UNMAPPED",INDEX(COA_Mapping!$C$7:$C$256,$Q2156)))</f>
        <v/>
      </c>
      <c r="N2156" s="38" t="str">
        <f aca="false">IF($A2156="","",IF($Q2156=0,"",INDEX(COA_Mapping!$E$7:$E$256,$Q2156)))</f>
        <v/>
      </c>
      <c r="O2156" s="38" t="n">
        <f aca="false">IF($A2156="",1,IF($Q2156=0,1,INDEX(COA_Mapping!$F$7:$F$256,$Q2156)))</f>
        <v>1</v>
      </c>
      <c r="P2156" s="34" t="str">
        <f aca="false">IF($A2156="","",$I2156*$O2156)</f>
        <v/>
      </c>
      <c r="Q2156" s="39" t="n">
        <f aca="false">IF($B2156="",0,IFERROR(MATCH($B2156,COA_Mapping!$A$7:$A$256,0),0))</f>
        <v>0</v>
      </c>
      <c r="R2156" s="39" t="n">
        <f aca="false">IF($A2156="",-1,IF($J2156=Setup!$B$7,1,IF($J2156=Setup!$B$9,0,-1)))</f>
        <v>-1</v>
      </c>
      <c r="S2156" s="35" t="n">
        <f aca="false">IF(OR($A2156="",$Q2156=0,$R2156=-1),0,$Q2156*1000+$R2156*100+$K2156)</f>
        <v>0</v>
      </c>
      <c r="T2156" s="37" t="str">
        <f aca="false">IF($A2156="","",IF($B2156="","NO ACCOUNT",IF($Q2156=0,"UNMAPPED",IF($R2156=-1,"OUTSIDE FY RANGE","OK"))))</f>
        <v/>
      </c>
      <c r="U2156" s="40" t="str">
        <f aca="false">IF($A2156="","",$B2156&amp;"|"&amp;TEXT($A2156,"yyyymmdd")&amp;"|"&amp;TEXT($I2156,"0.00"))</f>
        <v/>
      </c>
      <c r="V2156" s="35" t="str">
        <f aca="false">IF($A2156="","",COUNTIF($U$8:$U$5007,$U2156))</f>
        <v/>
      </c>
    </row>
    <row r="2157" customFormat="false" ht="15" hidden="false" customHeight="false" outlineLevel="0" collapsed="false">
      <c r="A2157" s="31"/>
      <c r="B2157" s="32"/>
      <c r="C2157" s="32"/>
      <c r="D2157" s="32"/>
      <c r="E2157" s="32"/>
      <c r="F2157" s="32"/>
      <c r="G2157" s="33"/>
      <c r="H2157" s="33"/>
      <c r="I2157" s="34" t="str">
        <f aca="false">IF($A2157="","",$G2157-$H2157)</f>
        <v/>
      </c>
      <c r="J2157" s="35" t="str">
        <f aca="false">IF($A2157="","",IF(Setup!$B$6=1,YEAR($A2157),YEAR($A2157)+IF(MONTH($A2157)&gt;=Setup!$B$6,1,0)))</f>
        <v/>
      </c>
      <c r="K2157" s="35" t="str">
        <f aca="false">IF($A2157="","",MOD(MONTH($A2157)-Setup!$B$6+12,12)+1)</f>
        <v/>
      </c>
      <c r="L2157" s="36" t="str">
        <f aca="false">IF($A2157="","",TEXT($A2157,"MMM-YY"))</f>
        <v/>
      </c>
      <c r="M2157" s="37" t="str">
        <f aca="false">IF($A2157="","",IF($Q2157=0,"UNMAPPED",INDEX(COA_Mapping!$C$7:$C$256,$Q2157)))</f>
        <v/>
      </c>
      <c r="N2157" s="38" t="str">
        <f aca="false">IF($A2157="","",IF($Q2157=0,"",INDEX(COA_Mapping!$E$7:$E$256,$Q2157)))</f>
        <v/>
      </c>
      <c r="O2157" s="38" t="n">
        <f aca="false">IF($A2157="",1,IF($Q2157=0,1,INDEX(COA_Mapping!$F$7:$F$256,$Q2157)))</f>
        <v>1</v>
      </c>
      <c r="P2157" s="34" t="str">
        <f aca="false">IF($A2157="","",$I2157*$O2157)</f>
        <v/>
      </c>
      <c r="Q2157" s="39" t="n">
        <f aca="false">IF($B2157="",0,IFERROR(MATCH($B2157,COA_Mapping!$A$7:$A$256,0),0))</f>
        <v>0</v>
      </c>
      <c r="R2157" s="39" t="n">
        <f aca="false">IF($A2157="",-1,IF($J2157=Setup!$B$7,1,IF($J2157=Setup!$B$9,0,-1)))</f>
        <v>-1</v>
      </c>
      <c r="S2157" s="35" t="n">
        <f aca="false">IF(OR($A2157="",$Q2157=0,$R2157=-1),0,$Q2157*1000+$R2157*100+$K2157)</f>
        <v>0</v>
      </c>
      <c r="T2157" s="37" t="str">
        <f aca="false">IF($A2157="","",IF($B2157="","NO ACCOUNT",IF($Q2157=0,"UNMAPPED",IF($R2157=-1,"OUTSIDE FY RANGE","OK"))))</f>
        <v/>
      </c>
      <c r="U2157" s="40" t="str">
        <f aca="false">IF($A2157="","",$B2157&amp;"|"&amp;TEXT($A2157,"yyyymmdd")&amp;"|"&amp;TEXT($I2157,"0.00"))</f>
        <v/>
      </c>
      <c r="V2157" s="35" t="str">
        <f aca="false">IF($A2157="","",COUNTIF($U$8:$U$5007,$U2157))</f>
        <v/>
      </c>
    </row>
    <row r="2158" customFormat="false" ht="15" hidden="false" customHeight="false" outlineLevel="0" collapsed="false">
      <c r="A2158" s="31"/>
      <c r="B2158" s="32"/>
      <c r="C2158" s="32"/>
      <c r="D2158" s="32"/>
      <c r="E2158" s="32"/>
      <c r="F2158" s="32"/>
      <c r="G2158" s="33"/>
      <c r="H2158" s="33"/>
      <c r="I2158" s="34" t="str">
        <f aca="false">IF($A2158="","",$G2158-$H2158)</f>
        <v/>
      </c>
      <c r="J2158" s="35" t="str">
        <f aca="false">IF($A2158="","",IF(Setup!$B$6=1,YEAR($A2158),YEAR($A2158)+IF(MONTH($A2158)&gt;=Setup!$B$6,1,0)))</f>
        <v/>
      </c>
      <c r="K2158" s="35" t="str">
        <f aca="false">IF($A2158="","",MOD(MONTH($A2158)-Setup!$B$6+12,12)+1)</f>
        <v/>
      </c>
      <c r="L2158" s="36" t="str">
        <f aca="false">IF($A2158="","",TEXT($A2158,"MMM-YY"))</f>
        <v/>
      </c>
      <c r="M2158" s="37" t="str">
        <f aca="false">IF($A2158="","",IF($Q2158=0,"UNMAPPED",INDEX(COA_Mapping!$C$7:$C$256,$Q2158)))</f>
        <v/>
      </c>
      <c r="N2158" s="38" t="str">
        <f aca="false">IF($A2158="","",IF($Q2158=0,"",INDEX(COA_Mapping!$E$7:$E$256,$Q2158)))</f>
        <v/>
      </c>
      <c r="O2158" s="38" t="n">
        <f aca="false">IF($A2158="",1,IF($Q2158=0,1,INDEX(COA_Mapping!$F$7:$F$256,$Q2158)))</f>
        <v>1</v>
      </c>
      <c r="P2158" s="34" t="str">
        <f aca="false">IF($A2158="","",$I2158*$O2158)</f>
        <v/>
      </c>
      <c r="Q2158" s="39" t="n">
        <f aca="false">IF($B2158="",0,IFERROR(MATCH($B2158,COA_Mapping!$A$7:$A$256,0),0))</f>
        <v>0</v>
      </c>
      <c r="R2158" s="39" t="n">
        <f aca="false">IF($A2158="",-1,IF($J2158=Setup!$B$7,1,IF($J2158=Setup!$B$9,0,-1)))</f>
        <v>-1</v>
      </c>
      <c r="S2158" s="35" t="n">
        <f aca="false">IF(OR($A2158="",$Q2158=0,$R2158=-1),0,$Q2158*1000+$R2158*100+$K2158)</f>
        <v>0</v>
      </c>
      <c r="T2158" s="37" t="str">
        <f aca="false">IF($A2158="","",IF($B2158="","NO ACCOUNT",IF($Q2158=0,"UNMAPPED",IF($R2158=-1,"OUTSIDE FY RANGE","OK"))))</f>
        <v/>
      </c>
      <c r="U2158" s="40" t="str">
        <f aca="false">IF($A2158="","",$B2158&amp;"|"&amp;TEXT($A2158,"yyyymmdd")&amp;"|"&amp;TEXT($I2158,"0.00"))</f>
        <v/>
      </c>
      <c r="V2158" s="35" t="str">
        <f aca="false">IF($A2158="","",COUNTIF($U$8:$U$5007,$U2158))</f>
        <v/>
      </c>
    </row>
    <row r="2159" customFormat="false" ht="15" hidden="false" customHeight="false" outlineLevel="0" collapsed="false">
      <c r="A2159" s="31"/>
      <c r="B2159" s="32"/>
      <c r="C2159" s="32"/>
      <c r="D2159" s="32"/>
      <c r="E2159" s="32"/>
      <c r="F2159" s="32"/>
      <c r="G2159" s="33"/>
      <c r="H2159" s="33"/>
      <c r="I2159" s="34" t="str">
        <f aca="false">IF($A2159="","",$G2159-$H2159)</f>
        <v/>
      </c>
      <c r="J2159" s="35" t="str">
        <f aca="false">IF($A2159="","",IF(Setup!$B$6=1,YEAR($A2159),YEAR($A2159)+IF(MONTH($A2159)&gt;=Setup!$B$6,1,0)))</f>
        <v/>
      </c>
      <c r="K2159" s="35" t="str">
        <f aca="false">IF($A2159="","",MOD(MONTH($A2159)-Setup!$B$6+12,12)+1)</f>
        <v/>
      </c>
      <c r="L2159" s="36" t="str">
        <f aca="false">IF($A2159="","",TEXT($A2159,"MMM-YY"))</f>
        <v/>
      </c>
      <c r="M2159" s="37" t="str">
        <f aca="false">IF($A2159="","",IF($Q2159=0,"UNMAPPED",INDEX(COA_Mapping!$C$7:$C$256,$Q2159)))</f>
        <v/>
      </c>
      <c r="N2159" s="38" t="str">
        <f aca="false">IF($A2159="","",IF($Q2159=0,"",INDEX(COA_Mapping!$E$7:$E$256,$Q2159)))</f>
        <v/>
      </c>
      <c r="O2159" s="38" t="n">
        <f aca="false">IF($A2159="",1,IF($Q2159=0,1,INDEX(COA_Mapping!$F$7:$F$256,$Q2159)))</f>
        <v>1</v>
      </c>
      <c r="P2159" s="34" t="str">
        <f aca="false">IF($A2159="","",$I2159*$O2159)</f>
        <v/>
      </c>
      <c r="Q2159" s="39" t="n">
        <f aca="false">IF($B2159="",0,IFERROR(MATCH($B2159,COA_Mapping!$A$7:$A$256,0),0))</f>
        <v>0</v>
      </c>
      <c r="R2159" s="39" t="n">
        <f aca="false">IF($A2159="",-1,IF($J2159=Setup!$B$7,1,IF($J2159=Setup!$B$9,0,-1)))</f>
        <v>-1</v>
      </c>
      <c r="S2159" s="35" t="n">
        <f aca="false">IF(OR($A2159="",$Q2159=0,$R2159=-1),0,$Q2159*1000+$R2159*100+$K2159)</f>
        <v>0</v>
      </c>
      <c r="T2159" s="37" t="str">
        <f aca="false">IF($A2159="","",IF($B2159="","NO ACCOUNT",IF($Q2159=0,"UNMAPPED",IF($R2159=-1,"OUTSIDE FY RANGE","OK"))))</f>
        <v/>
      </c>
      <c r="U2159" s="40" t="str">
        <f aca="false">IF($A2159="","",$B2159&amp;"|"&amp;TEXT($A2159,"yyyymmdd")&amp;"|"&amp;TEXT($I2159,"0.00"))</f>
        <v/>
      </c>
      <c r="V2159" s="35" t="str">
        <f aca="false">IF($A2159="","",COUNTIF($U$8:$U$5007,$U2159))</f>
        <v/>
      </c>
    </row>
    <row r="2160" customFormat="false" ht="15" hidden="false" customHeight="false" outlineLevel="0" collapsed="false">
      <c r="A2160" s="31"/>
      <c r="B2160" s="32"/>
      <c r="C2160" s="32"/>
      <c r="D2160" s="32"/>
      <c r="E2160" s="32"/>
      <c r="F2160" s="32"/>
      <c r="G2160" s="33"/>
      <c r="H2160" s="33"/>
      <c r="I2160" s="34" t="str">
        <f aca="false">IF($A2160="","",$G2160-$H2160)</f>
        <v/>
      </c>
      <c r="J2160" s="35" t="str">
        <f aca="false">IF($A2160="","",IF(Setup!$B$6=1,YEAR($A2160),YEAR($A2160)+IF(MONTH($A2160)&gt;=Setup!$B$6,1,0)))</f>
        <v/>
      </c>
      <c r="K2160" s="35" t="str">
        <f aca="false">IF($A2160="","",MOD(MONTH($A2160)-Setup!$B$6+12,12)+1)</f>
        <v/>
      </c>
      <c r="L2160" s="36" t="str">
        <f aca="false">IF($A2160="","",TEXT($A2160,"MMM-YY"))</f>
        <v/>
      </c>
      <c r="M2160" s="37" t="str">
        <f aca="false">IF($A2160="","",IF($Q2160=0,"UNMAPPED",INDEX(COA_Mapping!$C$7:$C$256,$Q2160)))</f>
        <v/>
      </c>
      <c r="N2160" s="38" t="str">
        <f aca="false">IF($A2160="","",IF($Q2160=0,"",INDEX(COA_Mapping!$E$7:$E$256,$Q2160)))</f>
        <v/>
      </c>
      <c r="O2160" s="38" t="n">
        <f aca="false">IF($A2160="",1,IF($Q2160=0,1,INDEX(COA_Mapping!$F$7:$F$256,$Q2160)))</f>
        <v>1</v>
      </c>
      <c r="P2160" s="34" t="str">
        <f aca="false">IF($A2160="","",$I2160*$O2160)</f>
        <v/>
      </c>
      <c r="Q2160" s="39" t="n">
        <f aca="false">IF($B2160="",0,IFERROR(MATCH($B2160,COA_Mapping!$A$7:$A$256,0),0))</f>
        <v>0</v>
      </c>
      <c r="R2160" s="39" t="n">
        <f aca="false">IF($A2160="",-1,IF($J2160=Setup!$B$7,1,IF($J2160=Setup!$B$9,0,-1)))</f>
        <v>-1</v>
      </c>
      <c r="S2160" s="35" t="n">
        <f aca="false">IF(OR($A2160="",$Q2160=0,$R2160=-1),0,$Q2160*1000+$R2160*100+$K2160)</f>
        <v>0</v>
      </c>
      <c r="T2160" s="37" t="str">
        <f aca="false">IF($A2160="","",IF($B2160="","NO ACCOUNT",IF($Q2160=0,"UNMAPPED",IF($R2160=-1,"OUTSIDE FY RANGE","OK"))))</f>
        <v/>
      </c>
      <c r="U2160" s="40" t="str">
        <f aca="false">IF($A2160="","",$B2160&amp;"|"&amp;TEXT($A2160,"yyyymmdd")&amp;"|"&amp;TEXT($I2160,"0.00"))</f>
        <v/>
      </c>
      <c r="V2160" s="35" t="str">
        <f aca="false">IF($A2160="","",COUNTIF($U$8:$U$5007,$U2160))</f>
        <v/>
      </c>
    </row>
    <row r="2161" customFormat="false" ht="15" hidden="false" customHeight="false" outlineLevel="0" collapsed="false">
      <c r="A2161" s="31"/>
      <c r="B2161" s="32"/>
      <c r="C2161" s="32"/>
      <c r="D2161" s="32"/>
      <c r="E2161" s="32"/>
      <c r="F2161" s="32"/>
      <c r="G2161" s="33"/>
      <c r="H2161" s="33"/>
      <c r="I2161" s="34" t="str">
        <f aca="false">IF($A2161="","",$G2161-$H2161)</f>
        <v/>
      </c>
      <c r="J2161" s="35" t="str">
        <f aca="false">IF($A2161="","",IF(Setup!$B$6=1,YEAR($A2161),YEAR($A2161)+IF(MONTH($A2161)&gt;=Setup!$B$6,1,0)))</f>
        <v/>
      </c>
      <c r="K2161" s="35" t="str">
        <f aca="false">IF($A2161="","",MOD(MONTH($A2161)-Setup!$B$6+12,12)+1)</f>
        <v/>
      </c>
      <c r="L2161" s="36" t="str">
        <f aca="false">IF($A2161="","",TEXT($A2161,"MMM-YY"))</f>
        <v/>
      </c>
      <c r="M2161" s="37" t="str">
        <f aca="false">IF($A2161="","",IF($Q2161=0,"UNMAPPED",INDEX(COA_Mapping!$C$7:$C$256,$Q2161)))</f>
        <v/>
      </c>
      <c r="N2161" s="38" t="str">
        <f aca="false">IF($A2161="","",IF($Q2161=0,"",INDEX(COA_Mapping!$E$7:$E$256,$Q2161)))</f>
        <v/>
      </c>
      <c r="O2161" s="38" t="n">
        <f aca="false">IF($A2161="",1,IF($Q2161=0,1,INDEX(COA_Mapping!$F$7:$F$256,$Q2161)))</f>
        <v>1</v>
      </c>
      <c r="P2161" s="34" t="str">
        <f aca="false">IF($A2161="","",$I2161*$O2161)</f>
        <v/>
      </c>
      <c r="Q2161" s="39" t="n">
        <f aca="false">IF($B2161="",0,IFERROR(MATCH($B2161,COA_Mapping!$A$7:$A$256,0),0))</f>
        <v>0</v>
      </c>
      <c r="R2161" s="39" t="n">
        <f aca="false">IF($A2161="",-1,IF($J2161=Setup!$B$7,1,IF($J2161=Setup!$B$9,0,-1)))</f>
        <v>-1</v>
      </c>
      <c r="S2161" s="35" t="n">
        <f aca="false">IF(OR($A2161="",$Q2161=0,$R2161=-1),0,$Q2161*1000+$R2161*100+$K2161)</f>
        <v>0</v>
      </c>
      <c r="T2161" s="37" t="str">
        <f aca="false">IF($A2161="","",IF($B2161="","NO ACCOUNT",IF($Q2161=0,"UNMAPPED",IF($R2161=-1,"OUTSIDE FY RANGE","OK"))))</f>
        <v/>
      </c>
      <c r="U2161" s="40" t="str">
        <f aca="false">IF($A2161="","",$B2161&amp;"|"&amp;TEXT($A2161,"yyyymmdd")&amp;"|"&amp;TEXT($I2161,"0.00"))</f>
        <v/>
      </c>
      <c r="V2161" s="35" t="str">
        <f aca="false">IF($A2161="","",COUNTIF($U$8:$U$5007,$U2161))</f>
        <v/>
      </c>
    </row>
    <row r="2162" customFormat="false" ht="15" hidden="false" customHeight="false" outlineLevel="0" collapsed="false">
      <c r="A2162" s="31"/>
      <c r="B2162" s="32"/>
      <c r="C2162" s="32"/>
      <c r="D2162" s="32"/>
      <c r="E2162" s="32"/>
      <c r="F2162" s="32"/>
      <c r="G2162" s="33"/>
      <c r="H2162" s="33"/>
      <c r="I2162" s="34" t="str">
        <f aca="false">IF($A2162="","",$G2162-$H2162)</f>
        <v/>
      </c>
      <c r="J2162" s="35" t="str">
        <f aca="false">IF($A2162="","",IF(Setup!$B$6=1,YEAR($A2162),YEAR($A2162)+IF(MONTH($A2162)&gt;=Setup!$B$6,1,0)))</f>
        <v/>
      </c>
      <c r="K2162" s="35" t="str">
        <f aca="false">IF($A2162="","",MOD(MONTH($A2162)-Setup!$B$6+12,12)+1)</f>
        <v/>
      </c>
      <c r="L2162" s="36" t="str">
        <f aca="false">IF($A2162="","",TEXT($A2162,"MMM-YY"))</f>
        <v/>
      </c>
      <c r="M2162" s="37" t="str">
        <f aca="false">IF($A2162="","",IF($Q2162=0,"UNMAPPED",INDEX(COA_Mapping!$C$7:$C$256,$Q2162)))</f>
        <v/>
      </c>
      <c r="N2162" s="38" t="str">
        <f aca="false">IF($A2162="","",IF($Q2162=0,"",INDEX(COA_Mapping!$E$7:$E$256,$Q2162)))</f>
        <v/>
      </c>
      <c r="O2162" s="38" t="n">
        <f aca="false">IF($A2162="",1,IF($Q2162=0,1,INDEX(COA_Mapping!$F$7:$F$256,$Q2162)))</f>
        <v>1</v>
      </c>
      <c r="P2162" s="34" t="str">
        <f aca="false">IF($A2162="","",$I2162*$O2162)</f>
        <v/>
      </c>
      <c r="Q2162" s="39" t="n">
        <f aca="false">IF($B2162="",0,IFERROR(MATCH($B2162,COA_Mapping!$A$7:$A$256,0),0))</f>
        <v>0</v>
      </c>
      <c r="R2162" s="39" t="n">
        <f aca="false">IF($A2162="",-1,IF($J2162=Setup!$B$7,1,IF($J2162=Setup!$B$9,0,-1)))</f>
        <v>-1</v>
      </c>
      <c r="S2162" s="35" t="n">
        <f aca="false">IF(OR($A2162="",$Q2162=0,$R2162=-1),0,$Q2162*1000+$R2162*100+$K2162)</f>
        <v>0</v>
      </c>
      <c r="T2162" s="37" t="str">
        <f aca="false">IF($A2162="","",IF($B2162="","NO ACCOUNT",IF($Q2162=0,"UNMAPPED",IF($R2162=-1,"OUTSIDE FY RANGE","OK"))))</f>
        <v/>
      </c>
      <c r="U2162" s="40" t="str">
        <f aca="false">IF($A2162="","",$B2162&amp;"|"&amp;TEXT($A2162,"yyyymmdd")&amp;"|"&amp;TEXT($I2162,"0.00"))</f>
        <v/>
      </c>
      <c r="V2162" s="35" t="str">
        <f aca="false">IF($A2162="","",COUNTIF($U$8:$U$5007,$U2162))</f>
        <v/>
      </c>
    </row>
    <row r="2163" customFormat="false" ht="15" hidden="false" customHeight="false" outlineLevel="0" collapsed="false">
      <c r="A2163" s="31"/>
      <c r="B2163" s="32"/>
      <c r="C2163" s="32"/>
      <c r="D2163" s="32"/>
      <c r="E2163" s="32"/>
      <c r="F2163" s="32"/>
      <c r="G2163" s="33"/>
      <c r="H2163" s="33"/>
      <c r="I2163" s="34" t="str">
        <f aca="false">IF($A2163="","",$G2163-$H2163)</f>
        <v/>
      </c>
      <c r="J2163" s="35" t="str">
        <f aca="false">IF($A2163="","",IF(Setup!$B$6=1,YEAR($A2163),YEAR($A2163)+IF(MONTH($A2163)&gt;=Setup!$B$6,1,0)))</f>
        <v/>
      </c>
      <c r="K2163" s="35" t="str">
        <f aca="false">IF($A2163="","",MOD(MONTH($A2163)-Setup!$B$6+12,12)+1)</f>
        <v/>
      </c>
      <c r="L2163" s="36" t="str">
        <f aca="false">IF($A2163="","",TEXT($A2163,"MMM-YY"))</f>
        <v/>
      </c>
      <c r="M2163" s="37" t="str">
        <f aca="false">IF($A2163="","",IF($Q2163=0,"UNMAPPED",INDEX(COA_Mapping!$C$7:$C$256,$Q2163)))</f>
        <v/>
      </c>
      <c r="N2163" s="38" t="str">
        <f aca="false">IF($A2163="","",IF($Q2163=0,"",INDEX(COA_Mapping!$E$7:$E$256,$Q2163)))</f>
        <v/>
      </c>
      <c r="O2163" s="38" t="n">
        <f aca="false">IF($A2163="",1,IF($Q2163=0,1,INDEX(COA_Mapping!$F$7:$F$256,$Q2163)))</f>
        <v>1</v>
      </c>
      <c r="P2163" s="34" t="str">
        <f aca="false">IF($A2163="","",$I2163*$O2163)</f>
        <v/>
      </c>
      <c r="Q2163" s="39" t="n">
        <f aca="false">IF($B2163="",0,IFERROR(MATCH($B2163,COA_Mapping!$A$7:$A$256,0),0))</f>
        <v>0</v>
      </c>
      <c r="R2163" s="39" t="n">
        <f aca="false">IF($A2163="",-1,IF($J2163=Setup!$B$7,1,IF($J2163=Setup!$B$9,0,-1)))</f>
        <v>-1</v>
      </c>
      <c r="S2163" s="35" t="n">
        <f aca="false">IF(OR($A2163="",$Q2163=0,$R2163=-1),0,$Q2163*1000+$R2163*100+$K2163)</f>
        <v>0</v>
      </c>
      <c r="T2163" s="37" t="str">
        <f aca="false">IF($A2163="","",IF($B2163="","NO ACCOUNT",IF($Q2163=0,"UNMAPPED",IF($R2163=-1,"OUTSIDE FY RANGE","OK"))))</f>
        <v/>
      </c>
      <c r="U2163" s="40" t="str">
        <f aca="false">IF($A2163="","",$B2163&amp;"|"&amp;TEXT($A2163,"yyyymmdd")&amp;"|"&amp;TEXT($I2163,"0.00"))</f>
        <v/>
      </c>
      <c r="V2163" s="35" t="str">
        <f aca="false">IF($A2163="","",COUNTIF($U$8:$U$5007,$U2163))</f>
        <v/>
      </c>
    </row>
    <row r="2164" customFormat="false" ht="15" hidden="false" customHeight="false" outlineLevel="0" collapsed="false">
      <c r="A2164" s="31"/>
      <c r="B2164" s="32"/>
      <c r="C2164" s="32"/>
      <c r="D2164" s="32"/>
      <c r="E2164" s="32"/>
      <c r="F2164" s="32"/>
      <c r="G2164" s="33"/>
      <c r="H2164" s="33"/>
      <c r="I2164" s="34" t="str">
        <f aca="false">IF($A2164="","",$G2164-$H2164)</f>
        <v/>
      </c>
      <c r="J2164" s="35" t="str">
        <f aca="false">IF($A2164="","",IF(Setup!$B$6=1,YEAR($A2164),YEAR($A2164)+IF(MONTH($A2164)&gt;=Setup!$B$6,1,0)))</f>
        <v/>
      </c>
      <c r="K2164" s="35" t="str">
        <f aca="false">IF($A2164="","",MOD(MONTH($A2164)-Setup!$B$6+12,12)+1)</f>
        <v/>
      </c>
      <c r="L2164" s="36" t="str">
        <f aca="false">IF($A2164="","",TEXT($A2164,"MMM-YY"))</f>
        <v/>
      </c>
      <c r="M2164" s="37" t="str">
        <f aca="false">IF($A2164="","",IF($Q2164=0,"UNMAPPED",INDEX(COA_Mapping!$C$7:$C$256,$Q2164)))</f>
        <v/>
      </c>
      <c r="N2164" s="38" t="str">
        <f aca="false">IF($A2164="","",IF($Q2164=0,"",INDEX(COA_Mapping!$E$7:$E$256,$Q2164)))</f>
        <v/>
      </c>
      <c r="O2164" s="38" t="n">
        <f aca="false">IF($A2164="",1,IF($Q2164=0,1,INDEX(COA_Mapping!$F$7:$F$256,$Q2164)))</f>
        <v>1</v>
      </c>
      <c r="P2164" s="34" t="str">
        <f aca="false">IF($A2164="","",$I2164*$O2164)</f>
        <v/>
      </c>
      <c r="Q2164" s="39" t="n">
        <f aca="false">IF($B2164="",0,IFERROR(MATCH($B2164,COA_Mapping!$A$7:$A$256,0),0))</f>
        <v>0</v>
      </c>
      <c r="R2164" s="39" t="n">
        <f aca="false">IF($A2164="",-1,IF($J2164=Setup!$B$7,1,IF($J2164=Setup!$B$9,0,-1)))</f>
        <v>-1</v>
      </c>
      <c r="S2164" s="35" t="n">
        <f aca="false">IF(OR($A2164="",$Q2164=0,$R2164=-1),0,$Q2164*1000+$R2164*100+$K2164)</f>
        <v>0</v>
      </c>
      <c r="T2164" s="37" t="str">
        <f aca="false">IF($A2164="","",IF($B2164="","NO ACCOUNT",IF($Q2164=0,"UNMAPPED",IF($R2164=-1,"OUTSIDE FY RANGE","OK"))))</f>
        <v/>
      </c>
      <c r="U2164" s="40" t="str">
        <f aca="false">IF($A2164="","",$B2164&amp;"|"&amp;TEXT($A2164,"yyyymmdd")&amp;"|"&amp;TEXT($I2164,"0.00"))</f>
        <v/>
      </c>
      <c r="V2164" s="35" t="str">
        <f aca="false">IF($A2164="","",COUNTIF($U$8:$U$5007,$U2164))</f>
        <v/>
      </c>
    </row>
    <row r="2165" customFormat="false" ht="15" hidden="false" customHeight="false" outlineLevel="0" collapsed="false">
      <c r="A2165" s="31"/>
      <c r="B2165" s="32"/>
      <c r="C2165" s="32"/>
      <c r="D2165" s="32"/>
      <c r="E2165" s="32"/>
      <c r="F2165" s="32"/>
      <c r="G2165" s="33"/>
      <c r="H2165" s="33"/>
      <c r="I2165" s="34" t="str">
        <f aca="false">IF($A2165="","",$G2165-$H2165)</f>
        <v/>
      </c>
      <c r="J2165" s="35" t="str">
        <f aca="false">IF($A2165="","",IF(Setup!$B$6=1,YEAR($A2165),YEAR($A2165)+IF(MONTH($A2165)&gt;=Setup!$B$6,1,0)))</f>
        <v/>
      </c>
      <c r="K2165" s="35" t="str">
        <f aca="false">IF($A2165="","",MOD(MONTH($A2165)-Setup!$B$6+12,12)+1)</f>
        <v/>
      </c>
      <c r="L2165" s="36" t="str">
        <f aca="false">IF($A2165="","",TEXT($A2165,"MMM-YY"))</f>
        <v/>
      </c>
      <c r="M2165" s="37" t="str">
        <f aca="false">IF($A2165="","",IF($Q2165=0,"UNMAPPED",INDEX(COA_Mapping!$C$7:$C$256,$Q2165)))</f>
        <v/>
      </c>
      <c r="N2165" s="38" t="str">
        <f aca="false">IF($A2165="","",IF($Q2165=0,"",INDEX(COA_Mapping!$E$7:$E$256,$Q2165)))</f>
        <v/>
      </c>
      <c r="O2165" s="38" t="n">
        <f aca="false">IF($A2165="",1,IF($Q2165=0,1,INDEX(COA_Mapping!$F$7:$F$256,$Q2165)))</f>
        <v>1</v>
      </c>
      <c r="P2165" s="34" t="str">
        <f aca="false">IF($A2165="","",$I2165*$O2165)</f>
        <v/>
      </c>
      <c r="Q2165" s="39" t="n">
        <f aca="false">IF($B2165="",0,IFERROR(MATCH($B2165,COA_Mapping!$A$7:$A$256,0),0))</f>
        <v>0</v>
      </c>
      <c r="R2165" s="39" t="n">
        <f aca="false">IF($A2165="",-1,IF($J2165=Setup!$B$7,1,IF($J2165=Setup!$B$9,0,-1)))</f>
        <v>-1</v>
      </c>
      <c r="S2165" s="35" t="n">
        <f aca="false">IF(OR($A2165="",$Q2165=0,$R2165=-1),0,$Q2165*1000+$R2165*100+$K2165)</f>
        <v>0</v>
      </c>
      <c r="T2165" s="37" t="str">
        <f aca="false">IF($A2165="","",IF($B2165="","NO ACCOUNT",IF($Q2165=0,"UNMAPPED",IF($R2165=-1,"OUTSIDE FY RANGE","OK"))))</f>
        <v/>
      </c>
      <c r="U2165" s="40" t="str">
        <f aca="false">IF($A2165="","",$B2165&amp;"|"&amp;TEXT($A2165,"yyyymmdd")&amp;"|"&amp;TEXT($I2165,"0.00"))</f>
        <v/>
      </c>
      <c r="V2165" s="35" t="str">
        <f aca="false">IF($A2165="","",COUNTIF($U$8:$U$5007,$U2165))</f>
        <v/>
      </c>
    </row>
    <row r="2166" customFormat="false" ht="15" hidden="false" customHeight="false" outlineLevel="0" collapsed="false">
      <c r="A2166" s="31"/>
      <c r="B2166" s="32"/>
      <c r="C2166" s="32"/>
      <c r="D2166" s="32"/>
      <c r="E2166" s="32"/>
      <c r="F2166" s="32"/>
      <c r="G2166" s="33"/>
      <c r="H2166" s="33"/>
      <c r="I2166" s="34" t="str">
        <f aca="false">IF($A2166="","",$G2166-$H2166)</f>
        <v/>
      </c>
      <c r="J2166" s="35" t="str">
        <f aca="false">IF($A2166="","",IF(Setup!$B$6=1,YEAR($A2166),YEAR($A2166)+IF(MONTH($A2166)&gt;=Setup!$B$6,1,0)))</f>
        <v/>
      </c>
      <c r="K2166" s="35" t="str">
        <f aca="false">IF($A2166="","",MOD(MONTH($A2166)-Setup!$B$6+12,12)+1)</f>
        <v/>
      </c>
      <c r="L2166" s="36" t="str">
        <f aca="false">IF($A2166="","",TEXT($A2166,"MMM-YY"))</f>
        <v/>
      </c>
      <c r="M2166" s="37" t="str">
        <f aca="false">IF($A2166="","",IF($Q2166=0,"UNMAPPED",INDEX(COA_Mapping!$C$7:$C$256,$Q2166)))</f>
        <v/>
      </c>
      <c r="N2166" s="38" t="str">
        <f aca="false">IF($A2166="","",IF($Q2166=0,"",INDEX(COA_Mapping!$E$7:$E$256,$Q2166)))</f>
        <v/>
      </c>
      <c r="O2166" s="38" t="n">
        <f aca="false">IF($A2166="",1,IF($Q2166=0,1,INDEX(COA_Mapping!$F$7:$F$256,$Q2166)))</f>
        <v>1</v>
      </c>
      <c r="P2166" s="34" t="str">
        <f aca="false">IF($A2166="","",$I2166*$O2166)</f>
        <v/>
      </c>
      <c r="Q2166" s="39" t="n">
        <f aca="false">IF($B2166="",0,IFERROR(MATCH($B2166,COA_Mapping!$A$7:$A$256,0),0))</f>
        <v>0</v>
      </c>
      <c r="R2166" s="39" t="n">
        <f aca="false">IF($A2166="",-1,IF($J2166=Setup!$B$7,1,IF($J2166=Setup!$B$9,0,-1)))</f>
        <v>-1</v>
      </c>
      <c r="S2166" s="35" t="n">
        <f aca="false">IF(OR($A2166="",$Q2166=0,$R2166=-1),0,$Q2166*1000+$R2166*100+$K2166)</f>
        <v>0</v>
      </c>
      <c r="T2166" s="37" t="str">
        <f aca="false">IF($A2166="","",IF($B2166="","NO ACCOUNT",IF($Q2166=0,"UNMAPPED",IF($R2166=-1,"OUTSIDE FY RANGE","OK"))))</f>
        <v/>
      </c>
      <c r="U2166" s="40" t="str">
        <f aca="false">IF($A2166="","",$B2166&amp;"|"&amp;TEXT($A2166,"yyyymmdd")&amp;"|"&amp;TEXT($I2166,"0.00"))</f>
        <v/>
      </c>
      <c r="V2166" s="35" t="str">
        <f aca="false">IF($A2166="","",COUNTIF($U$8:$U$5007,$U2166))</f>
        <v/>
      </c>
    </row>
    <row r="2167" customFormat="false" ht="15" hidden="false" customHeight="false" outlineLevel="0" collapsed="false">
      <c r="A2167" s="31"/>
      <c r="B2167" s="32"/>
      <c r="C2167" s="32"/>
      <c r="D2167" s="32"/>
      <c r="E2167" s="32"/>
      <c r="F2167" s="32"/>
      <c r="G2167" s="33"/>
      <c r="H2167" s="33"/>
      <c r="I2167" s="34" t="str">
        <f aca="false">IF($A2167="","",$G2167-$H2167)</f>
        <v/>
      </c>
      <c r="J2167" s="35" t="str">
        <f aca="false">IF($A2167="","",IF(Setup!$B$6=1,YEAR($A2167),YEAR($A2167)+IF(MONTH($A2167)&gt;=Setup!$B$6,1,0)))</f>
        <v/>
      </c>
      <c r="K2167" s="35" t="str">
        <f aca="false">IF($A2167="","",MOD(MONTH($A2167)-Setup!$B$6+12,12)+1)</f>
        <v/>
      </c>
      <c r="L2167" s="36" t="str">
        <f aca="false">IF($A2167="","",TEXT($A2167,"MMM-YY"))</f>
        <v/>
      </c>
      <c r="M2167" s="37" t="str">
        <f aca="false">IF($A2167="","",IF($Q2167=0,"UNMAPPED",INDEX(COA_Mapping!$C$7:$C$256,$Q2167)))</f>
        <v/>
      </c>
      <c r="N2167" s="38" t="str">
        <f aca="false">IF($A2167="","",IF($Q2167=0,"",INDEX(COA_Mapping!$E$7:$E$256,$Q2167)))</f>
        <v/>
      </c>
      <c r="O2167" s="38" t="n">
        <f aca="false">IF($A2167="",1,IF($Q2167=0,1,INDEX(COA_Mapping!$F$7:$F$256,$Q2167)))</f>
        <v>1</v>
      </c>
      <c r="P2167" s="34" t="str">
        <f aca="false">IF($A2167="","",$I2167*$O2167)</f>
        <v/>
      </c>
      <c r="Q2167" s="39" t="n">
        <f aca="false">IF($B2167="",0,IFERROR(MATCH($B2167,COA_Mapping!$A$7:$A$256,0),0))</f>
        <v>0</v>
      </c>
      <c r="R2167" s="39" t="n">
        <f aca="false">IF($A2167="",-1,IF($J2167=Setup!$B$7,1,IF($J2167=Setup!$B$9,0,-1)))</f>
        <v>-1</v>
      </c>
      <c r="S2167" s="35" t="n">
        <f aca="false">IF(OR($A2167="",$Q2167=0,$R2167=-1),0,$Q2167*1000+$R2167*100+$K2167)</f>
        <v>0</v>
      </c>
      <c r="T2167" s="37" t="str">
        <f aca="false">IF($A2167="","",IF($B2167="","NO ACCOUNT",IF($Q2167=0,"UNMAPPED",IF($R2167=-1,"OUTSIDE FY RANGE","OK"))))</f>
        <v/>
      </c>
      <c r="U2167" s="40" t="str">
        <f aca="false">IF($A2167="","",$B2167&amp;"|"&amp;TEXT($A2167,"yyyymmdd")&amp;"|"&amp;TEXT($I2167,"0.00"))</f>
        <v/>
      </c>
      <c r="V2167" s="35" t="str">
        <f aca="false">IF($A2167="","",COUNTIF($U$8:$U$5007,$U2167))</f>
        <v/>
      </c>
    </row>
    <row r="2168" customFormat="false" ht="15" hidden="false" customHeight="false" outlineLevel="0" collapsed="false">
      <c r="A2168" s="31"/>
      <c r="B2168" s="32"/>
      <c r="C2168" s="32"/>
      <c r="D2168" s="32"/>
      <c r="E2168" s="32"/>
      <c r="F2168" s="32"/>
      <c r="G2168" s="33"/>
      <c r="H2168" s="33"/>
      <c r="I2168" s="34" t="str">
        <f aca="false">IF($A2168="","",$G2168-$H2168)</f>
        <v/>
      </c>
      <c r="J2168" s="35" t="str">
        <f aca="false">IF($A2168="","",IF(Setup!$B$6=1,YEAR($A2168),YEAR($A2168)+IF(MONTH($A2168)&gt;=Setup!$B$6,1,0)))</f>
        <v/>
      </c>
      <c r="K2168" s="35" t="str">
        <f aca="false">IF($A2168="","",MOD(MONTH($A2168)-Setup!$B$6+12,12)+1)</f>
        <v/>
      </c>
      <c r="L2168" s="36" t="str">
        <f aca="false">IF($A2168="","",TEXT($A2168,"MMM-YY"))</f>
        <v/>
      </c>
      <c r="M2168" s="37" t="str">
        <f aca="false">IF($A2168="","",IF($Q2168=0,"UNMAPPED",INDEX(COA_Mapping!$C$7:$C$256,$Q2168)))</f>
        <v/>
      </c>
      <c r="N2168" s="38" t="str">
        <f aca="false">IF($A2168="","",IF($Q2168=0,"",INDEX(COA_Mapping!$E$7:$E$256,$Q2168)))</f>
        <v/>
      </c>
      <c r="O2168" s="38" t="n">
        <f aca="false">IF($A2168="",1,IF($Q2168=0,1,INDEX(COA_Mapping!$F$7:$F$256,$Q2168)))</f>
        <v>1</v>
      </c>
      <c r="P2168" s="34" t="str">
        <f aca="false">IF($A2168="","",$I2168*$O2168)</f>
        <v/>
      </c>
      <c r="Q2168" s="39" t="n">
        <f aca="false">IF($B2168="",0,IFERROR(MATCH($B2168,COA_Mapping!$A$7:$A$256,0),0))</f>
        <v>0</v>
      </c>
      <c r="R2168" s="39" t="n">
        <f aca="false">IF($A2168="",-1,IF($J2168=Setup!$B$7,1,IF($J2168=Setup!$B$9,0,-1)))</f>
        <v>-1</v>
      </c>
      <c r="S2168" s="35" t="n">
        <f aca="false">IF(OR($A2168="",$Q2168=0,$R2168=-1),0,$Q2168*1000+$R2168*100+$K2168)</f>
        <v>0</v>
      </c>
      <c r="T2168" s="37" t="str">
        <f aca="false">IF($A2168="","",IF($B2168="","NO ACCOUNT",IF($Q2168=0,"UNMAPPED",IF($R2168=-1,"OUTSIDE FY RANGE","OK"))))</f>
        <v/>
      </c>
      <c r="U2168" s="40" t="str">
        <f aca="false">IF($A2168="","",$B2168&amp;"|"&amp;TEXT($A2168,"yyyymmdd")&amp;"|"&amp;TEXT($I2168,"0.00"))</f>
        <v/>
      </c>
      <c r="V2168" s="35" t="str">
        <f aca="false">IF($A2168="","",COUNTIF($U$8:$U$5007,$U2168))</f>
        <v/>
      </c>
    </row>
    <row r="2169" customFormat="false" ht="15" hidden="false" customHeight="false" outlineLevel="0" collapsed="false">
      <c r="A2169" s="31"/>
      <c r="B2169" s="32"/>
      <c r="C2169" s="32"/>
      <c r="D2169" s="32"/>
      <c r="E2169" s="32"/>
      <c r="F2169" s="32"/>
      <c r="G2169" s="33"/>
      <c r="H2169" s="33"/>
      <c r="I2169" s="34" t="str">
        <f aca="false">IF($A2169="","",$G2169-$H2169)</f>
        <v/>
      </c>
      <c r="J2169" s="35" t="str">
        <f aca="false">IF($A2169="","",IF(Setup!$B$6=1,YEAR($A2169),YEAR($A2169)+IF(MONTH($A2169)&gt;=Setup!$B$6,1,0)))</f>
        <v/>
      </c>
      <c r="K2169" s="35" t="str">
        <f aca="false">IF($A2169="","",MOD(MONTH($A2169)-Setup!$B$6+12,12)+1)</f>
        <v/>
      </c>
      <c r="L2169" s="36" t="str">
        <f aca="false">IF($A2169="","",TEXT($A2169,"MMM-YY"))</f>
        <v/>
      </c>
      <c r="M2169" s="37" t="str">
        <f aca="false">IF($A2169="","",IF($Q2169=0,"UNMAPPED",INDEX(COA_Mapping!$C$7:$C$256,$Q2169)))</f>
        <v/>
      </c>
      <c r="N2169" s="38" t="str">
        <f aca="false">IF($A2169="","",IF($Q2169=0,"",INDEX(COA_Mapping!$E$7:$E$256,$Q2169)))</f>
        <v/>
      </c>
      <c r="O2169" s="38" t="n">
        <f aca="false">IF($A2169="",1,IF($Q2169=0,1,INDEX(COA_Mapping!$F$7:$F$256,$Q2169)))</f>
        <v>1</v>
      </c>
      <c r="P2169" s="34" t="str">
        <f aca="false">IF($A2169="","",$I2169*$O2169)</f>
        <v/>
      </c>
      <c r="Q2169" s="39" t="n">
        <f aca="false">IF($B2169="",0,IFERROR(MATCH($B2169,COA_Mapping!$A$7:$A$256,0),0))</f>
        <v>0</v>
      </c>
      <c r="R2169" s="39" t="n">
        <f aca="false">IF($A2169="",-1,IF($J2169=Setup!$B$7,1,IF($J2169=Setup!$B$9,0,-1)))</f>
        <v>-1</v>
      </c>
      <c r="S2169" s="35" t="n">
        <f aca="false">IF(OR($A2169="",$Q2169=0,$R2169=-1),0,$Q2169*1000+$R2169*100+$K2169)</f>
        <v>0</v>
      </c>
      <c r="T2169" s="37" t="str">
        <f aca="false">IF($A2169="","",IF($B2169="","NO ACCOUNT",IF($Q2169=0,"UNMAPPED",IF($R2169=-1,"OUTSIDE FY RANGE","OK"))))</f>
        <v/>
      </c>
      <c r="U2169" s="40" t="str">
        <f aca="false">IF($A2169="","",$B2169&amp;"|"&amp;TEXT($A2169,"yyyymmdd")&amp;"|"&amp;TEXT($I2169,"0.00"))</f>
        <v/>
      </c>
      <c r="V2169" s="35" t="str">
        <f aca="false">IF($A2169="","",COUNTIF($U$8:$U$5007,$U2169))</f>
        <v/>
      </c>
    </row>
    <row r="2170" customFormat="false" ht="15" hidden="false" customHeight="false" outlineLevel="0" collapsed="false">
      <c r="A2170" s="31"/>
      <c r="B2170" s="32"/>
      <c r="C2170" s="32"/>
      <c r="D2170" s="32"/>
      <c r="E2170" s="32"/>
      <c r="F2170" s="32"/>
      <c r="G2170" s="33"/>
      <c r="H2170" s="33"/>
      <c r="I2170" s="34" t="str">
        <f aca="false">IF($A2170="","",$G2170-$H2170)</f>
        <v/>
      </c>
      <c r="J2170" s="35" t="str">
        <f aca="false">IF($A2170="","",IF(Setup!$B$6=1,YEAR($A2170),YEAR($A2170)+IF(MONTH($A2170)&gt;=Setup!$B$6,1,0)))</f>
        <v/>
      </c>
      <c r="K2170" s="35" t="str">
        <f aca="false">IF($A2170="","",MOD(MONTH($A2170)-Setup!$B$6+12,12)+1)</f>
        <v/>
      </c>
      <c r="L2170" s="36" t="str">
        <f aca="false">IF($A2170="","",TEXT($A2170,"MMM-YY"))</f>
        <v/>
      </c>
      <c r="M2170" s="37" t="str">
        <f aca="false">IF($A2170="","",IF($Q2170=0,"UNMAPPED",INDEX(COA_Mapping!$C$7:$C$256,$Q2170)))</f>
        <v/>
      </c>
      <c r="N2170" s="38" t="str">
        <f aca="false">IF($A2170="","",IF($Q2170=0,"",INDEX(COA_Mapping!$E$7:$E$256,$Q2170)))</f>
        <v/>
      </c>
      <c r="O2170" s="38" t="n">
        <f aca="false">IF($A2170="",1,IF($Q2170=0,1,INDEX(COA_Mapping!$F$7:$F$256,$Q2170)))</f>
        <v>1</v>
      </c>
      <c r="P2170" s="34" t="str">
        <f aca="false">IF($A2170="","",$I2170*$O2170)</f>
        <v/>
      </c>
      <c r="Q2170" s="39" t="n">
        <f aca="false">IF($B2170="",0,IFERROR(MATCH($B2170,COA_Mapping!$A$7:$A$256,0),0))</f>
        <v>0</v>
      </c>
      <c r="R2170" s="39" t="n">
        <f aca="false">IF($A2170="",-1,IF($J2170=Setup!$B$7,1,IF($J2170=Setup!$B$9,0,-1)))</f>
        <v>-1</v>
      </c>
      <c r="S2170" s="35" t="n">
        <f aca="false">IF(OR($A2170="",$Q2170=0,$R2170=-1),0,$Q2170*1000+$R2170*100+$K2170)</f>
        <v>0</v>
      </c>
      <c r="T2170" s="37" t="str">
        <f aca="false">IF($A2170="","",IF($B2170="","NO ACCOUNT",IF($Q2170=0,"UNMAPPED",IF($R2170=-1,"OUTSIDE FY RANGE","OK"))))</f>
        <v/>
      </c>
      <c r="U2170" s="40" t="str">
        <f aca="false">IF($A2170="","",$B2170&amp;"|"&amp;TEXT($A2170,"yyyymmdd")&amp;"|"&amp;TEXT($I2170,"0.00"))</f>
        <v/>
      </c>
      <c r="V2170" s="35" t="str">
        <f aca="false">IF($A2170="","",COUNTIF($U$8:$U$5007,$U2170))</f>
        <v/>
      </c>
    </row>
    <row r="2171" customFormat="false" ht="15" hidden="false" customHeight="false" outlineLevel="0" collapsed="false">
      <c r="A2171" s="31"/>
      <c r="B2171" s="32"/>
      <c r="C2171" s="32"/>
      <c r="D2171" s="32"/>
      <c r="E2171" s="32"/>
      <c r="F2171" s="32"/>
      <c r="G2171" s="33"/>
      <c r="H2171" s="33"/>
      <c r="I2171" s="34" t="str">
        <f aca="false">IF($A2171="","",$G2171-$H2171)</f>
        <v/>
      </c>
      <c r="J2171" s="35" t="str">
        <f aca="false">IF($A2171="","",IF(Setup!$B$6=1,YEAR($A2171),YEAR($A2171)+IF(MONTH($A2171)&gt;=Setup!$B$6,1,0)))</f>
        <v/>
      </c>
      <c r="K2171" s="35" t="str">
        <f aca="false">IF($A2171="","",MOD(MONTH($A2171)-Setup!$B$6+12,12)+1)</f>
        <v/>
      </c>
      <c r="L2171" s="36" t="str">
        <f aca="false">IF($A2171="","",TEXT($A2171,"MMM-YY"))</f>
        <v/>
      </c>
      <c r="M2171" s="37" t="str">
        <f aca="false">IF($A2171="","",IF($Q2171=0,"UNMAPPED",INDEX(COA_Mapping!$C$7:$C$256,$Q2171)))</f>
        <v/>
      </c>
      <c r="N2171" s="38" t="str">
        <f aca="false">IF($A2171="","",IF($Q2171=0,"",INDEX(COA_Mapping!$E$7:$E$256,$Q2171)))</f>
        <v/>
      </c>
      <c r="O2171" s="38" t="n">
        <f aca="false">IF($A2171="",1,IF($Q2171=0,1,INDEX(COA_Mapping!$F$7:$F$256,$Q2171)))</f>
        <v>1</v>
      </c>
      <c r="P2171" s="34" t="str">
        <f aca="false">IF($A2171="","",$I2171*$O2171)</f>
        <v/>
      </c>
      <c r="Q2171" s="39" t="n">
        <f aca="false">IF($B2171="",0,IFERROR(MATCH($B2171,COA_Mapping!$A$7:$A$256,0),0))</f>
        <v>0</v>
      </c>
      <c r="R2171" s="39" t="n">
        <f aca="false">IF($A2171="",-1,IF($J2171=Setup!$B$7,1,IF($J2171=Setup!$B$9,0,-1)))</f>
        <v>-1</v>
      </c>
      <c r="S2171" s="35" t="n">
        <f aca="false">IF(OR($A2171="",$Q2171=0,$R2171=-1),0,$Q2171*1000+$R2171*100+$K2171)</f>
        <v>0</v>
      </c>
      <c r="T2171" s="37" t="str">
        <f aca="false">IF($A2171="","",IF($B2171="","NO ACCOUNT",IF($Q2171=0,"UNMAPPED",IF($R2171=-1,"OUTSIDE FY RANGE","OK"))))</f>
        <v/>
      </c>
      <c r="U2171" s="40" t="str">
        <f aca="false">IF($A2171="","",$B2171&amp;"|"&amp;TEXT($A2171,"yyyymmdd")&amp;"|"&amp;TEXT($I2171,"0.00"))</f>
        <v/>
      </c>
      <c r="V2171" s="35" t="str">
        <f aca="false">IF($A2171="","",COUNTIF($U$8:$U$5007,$U2171))</f>
        <v/>
      </c>
    </row>
    <row r="2172" customFormat="false" ht="15" hidden="false" customHeight="false" outlineLevel="0" collapsed="false">
      <c r="A2172" s="31"/>
      <c r="B2172" s="32"/>
      <c r="C2172" s="32"/>
      <c r="D2172" s="32"/>
      <c r="E2172" s="32"/>
      <c r="F2172" s="32"/>
      <c r="G2172" s="33"/>
      <c r="H2172" s="33"/>
      <c r="I2172" s="34" t="str">
        <f aca="false">IF($A2172="","",$G2172-$H2172)</f>
        <v/>
      </c>
      <c r="J2172" s="35" t="str">
        <f aca="false">IF($A2172="","",IF(Setup!$B$6=1,YEAR($A2172),YEAR($A2172)+IF(MONTH($A2172)&gt;=Setup!$B$6,1,0)))</f>
        <v/>
      </c>
      <c r="K2172" s="35" t="str">
        <f aca="false">IF($A2172="","",MOD(MONTH($A2172)-Setup!$B$6+12,12)+1)</f>
        <v/>
      </c>
      <c r="L2172" s="36" t="str">
        <f aca="false">IF($A2172="","",TEXT($A2172,"MMM-YY"))</f>
        <v/>
      </c>
      <c r="M2172" s="37" t="str">
        <f aca="false">IF($A2172="","",IF($Q2172=0,"UNMAPPED",INDEX(COA_Mapping!$C$7:$C$256,$Q2172)))</f>
        <v/>
      </c>
      <c r="N2172" s="38" t="str">
        <f aca="false">IF($A2172="","",IF($Q2172=0,"",INDEX(COA_Mapping!$E$7:$E$256,$Q2172)))</f>
        <v/>
      </c>
      <c r="O2172" s="38" t="n">
        <f aca="false">IF($A2172="",1,IF($Q2172=0,1,INDEX(COA_Mapping!$F$7:$F$256,$Q2172)))</f>
        <v>1</v>
      </c>
      <c r="P2172" s="34" t="str">
        <f aca="false">IF($A2172="","",$I2172*$O2172)</f>
        <v/>
      </c>
      <c r="Q2172" s="39" t="n">
        <f aca="false">IF($B2172="",0,IFERROR(MATCH($B2172,COA_Mapping!$A$7:$A$256,0),0))</f>
        <v>0</v>
      </c>
      <c r="R2172" s="39" t="n">
        <f aca="false">IF($A2172="",-1,IF($J2172=Setup!$B$7,1,IF($J2172=Setup!$B$9,0,-1)))</f>
        <v>-1</v>
      </c>
      <c r="S2172" s="35" t="n">
        <f aca="false">IF(OR($A2172="",$Q2172=0,$R2172=-1),0,$Q2172*1000+$R2172*100+$K2172)</f>
        <v>0</v>
      </c>
      <c r="T2172" s="37" t="str">
        <f aca="false">IF($A2172="","",IF($B2172="","NO ACCOUNT",IF($Q2172=0,"UNMAPPED",IF($R2172=-1,"OUTSIDE FY RANGE","OK"))))</f>
        <v/>
      </c>
      <c r="U2172" s="40" t="str">
        <f aca="false">IF($A2172="","",$B2172&amp;"|"&amp;TEXT($A2172,"yyyymmdd")&amp;"|"&amp;TEXT($I2172,"0.00"))</f>
        <v/>
      </c>
      <c r="V2172" s="35" t="str">
        <f aca="false">IF($A2172="","",COUNTIF($U$8:$U$5007,$U2172))</f>
        <v/>
      </c>
    </row>
    <row r="2173" customFormat="false" ht="15" hidden="false" customHeight="false" outlineLevel="0" collapsed="false">
      <c r="A2173" s="31"/>
      <c r="B2173" s="32"/>
      <c r="C2173" s="32"/>
      <c r="D2173" s="32"/>
      <c r="E2173" s="32"/>
      <c r="F2173" s="32"/>
      <c r="G2173" s="33"/>
      <c r="H2173" s="33"/>
      <c r="I2173" s="34" t="str">
        <f aca="false">IF($A2173="","",$G2173-$H2173)</f>
        <v/>
      </c>
      <c r="J2173" s="35" t="str">
        <f aca="false">IF($A2173="","",IF(Setup!$B$6=1,YEAR($A2173),YEAR($A2173)+IF(MONTH($A2173)&gt;=Setup!$B$6,1,0)))</f>
        <v/>
      </c>
      <c r="K2173" s="35" t="str">
        <f aca="false">IF($A2173="","",MOD(MONTH($A2173)-Setup!$B$6+12,12)+1)</f>
        <v/>
      </c>
      <c r="L2173" s="36" t="str">
        <f aca="false">IF($A2173="","",TEXT($A2173,"MMM-YY"))</f>
        <v/>
      </c>
      <c r="M2173" s="37" t="str">
        <f aca="false">IF($A2173="","",IF($Q2173=0,"UNMAPPED",INDEX(COA_Mapping!$C$7:$C$256,$Q2173)))</f>
        <v/>
      </c>
      <c r="N2173" s="38" t="str">
        <f aca="false">IF($A2173="","",IF($Q2173=0,"",INDEX(COA_Mapping!$E$7:$E$256,$Q2173)))</f>
        <v/>
      </c>
      <c r="O2173" s="38" t="n">
        <f aca="false">IF($A2173="",1,IF($Q2173=0,1,INDEX(COA_Mapping!$F$7:$F$256,$Q2173)))</f>
        <v>1</v>
      </c>
      <c r="P2173" s="34" t="str">
        <f aca="false">IF($A2173="","",$I2173*$O2173)</f>
        <v/>
      </c>
      <c r="Q2173" s="39" t="n">
        <f aca="false">IF($B2173="",0,IFERROR(MATCH($B2173,COA_Mapping!$A$7:$A$256,0),0))</f>
        <v>0</v>
      </c>
      <c r="R2173" s="39" t="n">
        <f aca="false">IF($A2173="",-1,IF($J2173=Setup!$B$7,1,IF($J2173=Setup!$B$9,0,-1)))</f>
        <v>-1</v>
      </c>
      <c r="S2173" s="35" t="n">
        <f aca="false">IF(OR($A2173="",$Q2173=0,$R2173=-1),0,$Q2173*1000+$R2173*100+$K2173)</f>
        <v>0</v>
      </c>
      <c r="T2173" s="37" t="str">
        <f aca="false">IF($A2173="","",IF($B2173="","NO ACCOUNT",IF($Q2173=0,"UNMAPPED",IF($R2173=-1,"OUTSIDE FY RANGE","OK"))))</f>
        <v/>
      </c>
      <c r="U2173" s="40" t="str">
        <f aca="false">IF($A2173="","",$B2173&amp;"|"&amp;TEXT($A2173,"yyyymmdd")&amp;"|"&amp;TEXT($I2173,"0.00"))</f>
        <v/>
      </c>
      <c r="V2173" s="35" t="str">
        <f aca="false">IF($A2173="","",COUNTIF($U$8:$U$5007,$U2173))</f>
        <v/>
      </c>
    </row>
    <row r="2174" customFormat="false" ht="15" hidden="false" customHeight="false" outlineLevel="0" collapsed="false">
      <c r="A2174" s="31"/>
      <c r="B2174" s="32"/>
      <c r="C2174" s="32"/>
      <c r="D2174" s="32"/>
      <c r="E2174" s="32"/>
      <c r="F2174" s="32"/>
      <c r="G2174" s="33"/>
      <c r="H2174" s="33"/>
      <c r="I2174" s="34" t="str">
        <f aca="false">IF($A2174="","",$G2174-$H2174)</f>
        <v/>
      </c>
      <c r="J2174" s="35" t="str">
        <f aca="false">IF($A2174="","",IF(Setup!$B$6=1,YEAR($A2174),YEAR($A2174)+IF(MONTH($A2174)&gt;=Setup!$B$6,1,0)))</f>
        <v/>
      </c>
      <c r="K2174" s="35" t="str">
        <f aca="false">IF($A2174="","",MOD(MONTH($A2174)-Setup!$B$6+12,12)+1)</f>
        <v/>
      </c>
      <c r="L2174" s="36" t="str">
        <f aca="false">IF($A2174="","",TEXT($A2174,"MMM-YY"))</f>
        <v/>
      </c>
      <c r="M2174" s="37" t="str">
        <f aca="false">IF($A2174="","",IF($Q2174=0,"UNMAPPED",INDEX(COA_Mapping!$C$7:$C$256,$Q2174)))</f>
        <v/>
      </c>
      <c r="N2174" s="38" t="str">
        <f aca="false">IF($A2174="","",IF($Q2174=0,"",INDEX(COA_Mapping!$E$7:$E$256,$Q2174)))</f>
        <v/>
      </c>
      <c r="O2174" s="38" t="n">
        <f aca="false">IF($A2174="",1,IF($Q2174=0,1,INDEX(COA_Mapping!$F$7:$F$256,$Q2174)))</f>
        <v>1</v>
      </c>
      <c r="P2174" s="34" t="str">
        <f aca="false">IF($A2174="","",$I2174*$O2174)</f>
        <v/>
      </c>
      <c r="Q2174" s="39" t="n">
        <f aca="false">IF($B2174="",0,IFERROR(MATCH($B2174,COA_Mapping!$A$7:$A$256,0),0))</f>
        <v>0</v>
      </c>
      <c r="R2174" s="39" t="n">
        <f aca="false">IF($A2174="",-1,IF($J2174=Setup!$B$7,1,IF($J2174=Setup!$B$9,0,-1)))</f>
        <v>-1</v>
      </c>
      <c r="S2174" s="35" t="n">
        <f aca="false">IF(OR($A2174="",$Q2174=0,$R2174=-1),0,$Q2174*1000+$R2174*100+$K2174)</f>
        <v>0</v>
      </c>
      <c r="T2174" s="37" t="str">
        <f aca="false">IF($A2174="","",IF($B2174="","NO ACCOUNT",IF($Q2174=0,"UNMAPPED",IF($R2174=-1,"OUTSIDE FY RANGE","OK"))))</f>
        <v/>
      </c>
      <c r="U2174" s="40" t="str">
        <f aca="false">IF($A2174="","",$B2174&amp;"|"&amp;TEXT($A2174,"yyyymmdd")&amp;"|"&amp;TEXT($I2174,"0.00"))</f>
        <v/>
      </c>
      <c r="V2174" s="35" t="str">
        <f aca="false">IF($A2174="","",COUNTIF($U$8:$U$5007,$U2174))</f>
        <v/>
      </c>
    </row>
    <row r="2175" customFormat="false" ht="15" hidden="false" customHeight="false" outlineLevel="0" collapsed="false">
      <c r="A2175" s="31"/>
      <c r="B2175" s="32"/>
      <c r="C2175" s="32"/>
      <c r="D2175" s="32"/>
      <c r="E2175" s="32"/>
      <c r="F2175" s="32"/>
      <c r="G2175" s="33"/>
      <c r="H2175" s="33"/>
      <c r="I2175" s="34" t="str">
        <f aca="false">IF($A2175="","",$G2175-$H2175)</f>
        <v/>
      </c>
      <c r="J2175" s="35" t="str">
        <f aca="false">IF($A2175="","",IF(Setup!$B$6=1,YEAR($A2175),YEAR($A2175)+IF(MONTH($A2175)&gt;=Setup!$B$6,1,0)))</f>
        <v/>
      </c>
      <c r="K2175" s="35" t="str">
        <f aca="false">IF($A2175="","",MOD(MONTH($A2175)-Setup!$B$6+12,12)+1)</f>
        <v/>
      </c>
      <c r="L2175" s="36" t="str">
        <f aca="false">IF($A2175="","",TEXT($A2175,"MMM-YY"))</f>
        <v/>
      </c>
      <c r="M2175" s="37" t="str">
        <f aca="false">IF($A2175="","",IF($Q2175=0,"UNMAPPED",INDEX(COA_Mapping!$C$7:$C$256,$Q2175)))</f>
        <v/>
      </c>
      <c r="N2175" s="38" t="str">
        <f aca="false">IF($A2175="","",IF($Q2175=0,"",INDEX(COA_Mapping!$E$7:$E$256,$Q2175)))</f>
        <v/>
      </c>
      <c r="O2175" s="38" t="n">
        <f aca="false">IF($A2175="",1,IF($Q2175=0,1,INDEX(COA_Mapping!$F$7:$F$256,$Q2175)))</f>
        <v>1</v>
      </c>
      <c r="P2175" s="34" t="str">
        <f aca="false">IF($A2175="","",$I2175*$O2175)</f>
        <v/>
      </c>
      <c r="Q2175" s="39" t="n">
        <f aca="false">IF($B2175="",0,IFERROR(MATCH($B2175,COA_Mapping!$A$7:$A$256,0),0))</f>
        <v>0</v>
      </c>
      <c r="R2175" s="39" t="n">
        <f aca="false">IF($A2175="",-1,IF($J2175=Setup!$B$7,1,IF($J2175=Setup!$B$9,0,-1)))</f>
        <v>-1</v>
      </c>
      <c r="S2175" s="35" t="n">
        <f aca="false">IF(OR($A2175="",$Q2175=0,$R2175=-1),0,$Q2175*1000+$R2175*100+$K2175)</f>
        <v>0</v>
      </c>
      <c r="T2175" s="37" t="str">
        <f aca="false">IF($A2175="","",IF($B2175="","NO ACCOUNT",IF($Q2175=0,"UNMAPPED",IF($R2175=-1,"OUTSIDE FY RANGE","OK"))))</f>
        <v/>
      </c>
      <c r="U2175" s="40" t="str">
        <f aca="false">IF($A2175="","",$B2175&amp;"|"&amp;TEXT($A2175,"yyyymmdd")&amp;"|"&amp;TEXT($I2175,"0.00"))</f>
        <v/>
      </c>
      <c r="V2175" s="35" t="str">
        <f aca="false">IF($A2175="","",COUNTIF($U$8:$U$5007,$U2175))</f>
        <v/>
      </c>
    </row>
    <row r="2176" customFormat="false" ht="15" hidden="false" customHeight="false" outlineLevel="0" collapsed="false">
      <c r="A2176" s="31"/>
      <c r="B2176" s="32"/>
      <c r="C2176" s="32"/>
      <c r="D2176" s="32"/>
      <c r="E2176" s="32"/>
      <c r="F2176" s="32"/>
      <c r="G2176" s="33"/>
      <c r="H2176" s="33"/>
      <c r="I2176" s="34" t="str">
        <f aca="false">IF($A2176="","",$G2176-$H2176)</f>
        <v/>
      </c>
      <c r="J2176" s="35" t="str">
        <f aca="false">IF($A2176="","",IF(Setup!$B$6=1,YEAR($A2176),YEAR($A2176)+IF(MONTH($A2176)&gt;=Setup!$B$6,1,0)))</f>
        <v/>
      </c>
      <c r="K2176" s="35" t="str">
        <f aca="false">IF($A2176="","",MOD(MONTH($A2176)-Setup!$B$6+12,12)+1)</f>
        <v/>
      </c>
      <c r="L2176" s="36" t="str">
        <f aca="false">IF($A2176="","",TEXT($A2176,"MMM-YY"))</f>
        <v/>
      </c>
      <c r="M2176" s="37" t="str">
        <f aca="false">IF($A2176="","",IF($Q2176=0,"UNMAPPED",INDEX(COA_Mapping!$C$7:$C$256,$Q2176)))</f>
        <v/>
      </c>
      <c r="N2176" s="38" t="str">
        <f aca="false">IF($A2176="","",IF($Q2176=0,"",INDEX(COA_Mapping!$E$7:$E$256,$Q2176)))</f>
        <v/>
      </c>
      <c r="O2176" s="38" t="n">
        <f aca="false">IF($A2176="",1,IF($Q2176=0,1,INDEX(COA_Mapping!$F$7:$F$256,$Q2176)))</f>
        <v>1</v>
      </c>
      <c r="P2176" s="34" t="str">
        <f aca="false">IF($A2176="","",$I2176*$O2176)</f>
        <v/>
      </c>
      <c r="Q2176" s="39" t="n">
        <f aca="false">IF($B2176="",0,IFERROR(MATCH($B2176,COA_Mapping!$A$7:$A$256,0),0))</f>
        <v>0</v>
      </c>
      <c r="R2176" s="39" t="n">
        <f aca="false">IF($A2176="",-1,IF($J2176=Setup!$B$7,1,IF($J2176=Setup!$B$9,0,-1)))</f>
        <v>-1</v>
      </c>
      <c r="S2176" s="35" t="n">
        <f aca="false">IF(OR($A2176="",$Q2176=0,$R2176=-1),0,$Q2176*1000+$R2176*100+$K2176)</f>
        <v>0</v>
      </c>
      <c r="T2176" s="37" t="str">
        <f aca="false">IF($A2176="","",IF($B2176="","NO ACCOUNT",IF($Q2176=0,"UNMAPPED",IF($R2176=-1,"OUTSIDE FY RANGE","OK"))))</f>
        <v/>
      </c>
      <c r="U2176" s="40" t="str">
        <f aca="false">IF($A2176="","",$B2176&amp;"|"&amp;TEXT($A2176,"yyyymmdd")&amp;"|"&amp;TEXT($I2176,"0.00"))</f>
        <v/>
      </c>
      <c r="V2176" s="35" t="str">
        <f aca="false">IF($A2176="","",COUNTIF($U$8:$U$5007,$U2176))</f>
        <v/>
      </c>
    </row>
    <row r="2177" customFormat="false" ht="15" hidden="false" customHeight="false" outlineLevel="0" collapsed="false">
      <c r="A2177" s="31"/>
      <c r="B2177" s="32"/>
      <c r="C2177" s="32"/>
      <c r="D2177" s="32"/>
      <c r="E2177" s="32"/>
      <c r="F2177" s="32"/>
      <c r="G2177" s="33"/>
      <c r="H2177" s="33"/>
      <c r="I2177" s="34" t="str">
        <f aca="false">IF($A2177="","",$G2177-$H2177)</f>
        <v/>
      </c>
      <c r="J2177" s="35" t="str">
        <f aca="false">IF($A2177="","",IF(Setup!$B$6=1,YEAR($A2177),YEAR($A2177)+IF(MONTH($A2177)&gt;=Setup!$B$6,1,0)))</f>
        <v/>
      </c>
      <c r="K2177" s="35" t="str">
        <f aca="false">IF($A2177="","",MOD(MONTH($A2177)-Setup!$B$6+12,12)+1)</f>
        <v/>
      </c>
      <c r="L2177" s="36" t="str">
        <f aca="false">IF($A2177="","",TEXT($A2177,"MMM-YY"))</f>
        <v/>
      </c>
      <c r="M2177" s="37" t="str">
        <f aca="false">IF($A2177="","",IF($Q2177=0,"UNMAPPED",INDEX(COA_Mapping!$C$7:$C$256,$Q2177)))</f>
        <v/>
      </c>
      <c r="N2177" s="38" t="str">
        <f aca="false">IF($A2177="","",IF($Q2177=0,"",INDEX(COA_Mapping!$E$7:$E$256,$Q2177)))</f>
        <v/>
      </c>
      <c r="O2177" s="38" t="n">
        <f aca="false">IF($A2177="",1,IF($Q2177=0,1,INDEX(COA_Mapping!$F$7:$F$256,$Q2177)))</f>
        <v>1</v>
      </c>
      <c r="P2177" s="34" t="str">
        <f aca="false">IF($A2177="","",$I2177*$O2177)</f>
        <v/>
      </c>
      <c r="Q2177" s="39" t="n">
        <f aca="false">IF($B2177="",0,IFERROR(MATCH($B2177,COA_Mapping!$A$7:$A$256,0),0))</f>
        <v>0</v>
      </c>
      <c r="R2177" s="39" t="n">
        <f aca="false">IF($A2177="",-1,IF($J2177=Setup!$B$7,1,IF($J2177=Setup!$B$9,0,-1)))</f>
        <v>-1</v>
      </c>
      <c r="S2177" s="35" t="n">
        <f aca="false">IF(OR($A2177="",$Q2177=0,$R2177=-1),0,$Q2177*1000+$R2177*100+$K2177)</f>
        <v>0</v>
      </c>
      <c r="T2177" s="37" t="str">
        <f aca="false">IF($A2177="","",IF($B2177="","NO ACCOUNT",IF($Q2177=0,"UNMAPPED",IF($R2177=-1,"OUTSIDE FY RANGE","OK"))))</f>
        <v/>
      </c>
      <c r="U2177" s="40" t="str">
        <f aca="false">IF($A2177="","",$B2177&amp;"|"&amp;TEXT($A2177,"yyyymmdd")&amp;"|"&amp;TEXT($I2177,"0.00"))</f>
        <v/>
      </c>
      <c r="V2177" s="35" t="str">
        <f aca="false">IF($A2177="","",COUNTIF($U$8:$U$5007,$U2177))</f>
        <v/>
      </c>
    </row>
    <row r="2178" customFormat="false" ht="15" hidden="false" customHeight="false" outlineLevel="0" collapsed="false">
      <c r="A2178" s="31"/>
      <c r="B2178" s="32"/>
      <c r="C2178" s="32"/>
      <c r="D2178" s="32"/>
      <c r="E2178" s="32"/>
      <c r="F2178" s="32"/>
      <c r="G2178" s="33"/>
      <c r="H2178" s="33"/>
      <c r="I2178" s="34" t="str">
        <f aca="false">IF($A2178="","",$G2178-$H2178)</f>
        <v/>
      </c>
      <c r="J2178" s="35" t="str">
        <f aca="false">IF($A2178="","",IF(Setup!$B$6=1,YEAR($A2178),YEAR($A2178)+IF(MONTH($A2178)&gt;=Setup!$B$6,1,0)))</f>
        <v/>
      </c>
      <c r="K2178" s="35" t="str">
        <f aca="false">IF($A2178="","",MOD(MONTH($A2178)-Setup!$B$6+12,12)+1)</f>
        <v/>
      </c>
      <c r="L2178" s="36" t="str">
        <f aca="false">IF($A2178="","",TEXT($A2178,"MMM-YY"))</f>
        <v/>
      </c>
      <c r="M2178" s="37" t="str">
        <f aca="false">IF($A2178="","",IF($Q2178=0,"UNMAPPED",INDEX(COA_Mapping!$C$7:$C$256,$Q2178)))</f>
        <v/>
      </c>
      <c r="N2178" s="38" t="str">
        <f aca="false">IF($A2178="","",IF($Q2178=0,"",INDEX(COA_Mapping!$E$7:$E$256,$Q2178)))</f>
        <v/>
      </c>
      <c r="O2178" s="38" t="n">
        <f aca="false">IF($A2178="",1,IF($Q2178=0,1,INDEX(COA_Mapping!$F$7:$F$256,$Q2178)))</f>
        <v>1</v>
      </c>
      <c r="P2178" s="34" t="str">
        <f aca="false">IF($A2178="","",$I2178*$O2178)</f>
        <v/>
      </c>
      <c r="Q2178" s="39" t="n">
        <f aca="false">IF($B2178="",0,IFERROR(MATCH($B2178,COA_Mapping!$A$7:$A$256,0),0))</f>
        <v>0</v>
      </c>
      <c r="R2178" s="39" t="n">
        <f aca="false">IF($A2178="",-1,IF($J2178=Setup!$B$7,1,IF($J2178=Setup!$B$9,0,-1)))</f>
        <v>-1</v>
      </c>
      <c r="S2178" s="35" t="n">
        <f aca="false">IF(OR($A2178="",$Q2178=0,$R2178=-1),0,$Q2178*1000+$R2178*100+$K2178)</f>
        <v>0</v>
      </c>
      <c r="T2178" s="37" t="str">
        <f aca="false">IF($A2178="","",IF($B2178="","NO ACCOUNT",IF($Q2178=0,"UNMAPPED",IF($R2178=-1,"OUTSIDE FY RANGE","OK"))))</f>
        <v/>
      </c>
      <c r="U2178" s="40" t="str">
        <f aca="false">IF($A2178="","",$B2178&amp;"|"&amp;TEXT($A2178,"yyyymmdd")&amp;"|"&amp;TEXT($I2178,"0.00"))</f>
        <v/>
      </c>
      <c r="V2178" s="35" t="str">
        <f aca="false">IF($A2178="","",COUNTIF($U$8:$U$5007,$U2178))</f>
        <v/>
      </c>
    </row>
    <row r="2179" customFormat="false" ht="15" hidden="false" customHeight="false" outlineLevel="0" collapsed="false">
      <c r="A2179" s="31"/>
      <c r="B2179" s="32"/>
      <c r="C2179" s="32"/>
      <c r="D2179" s="32"/>
      <c r="E2179" s="32"/>
      <c r="F2179" s="32"/>
      <c r="G2179" s="33"/>
      <c r="H2179" s="33"/>
      <c r="I2179" s="34" t="str">
        <f aca="false">IF($A2179="","",$G2179-$H2179)</f>
        <v/>
      </c>
      <c r="J2179" s="35" t="str">
        <f aca="false">IF($A2179="","",IF(Setup!$B$6=1,YEAR($A2179),YEAR($A2179)+IF(MONTH($A2179)&gt;=Setup!$B$6,1,0)))</f>
        <v/>
      </c>
      <c r="K2179" s="35" t="str">
        <f aca="false">IF($A2179="","",MOD(MONTH($A2179)-Setup!$B$6+12,12)+1)</f>
        <v/>
      </c>
      <c r="L2179" s="36" t="str">
        <f aca="false">IF($A2179="","",TEXT($A2179,"MMM-YY"))</f>
        <v/>
      </c>
      <c r="M2179" s="37" t="str">
        <f aca="false">IF($A2179="","",IF($Q2179=0,"UNMAPPED",INDEX(COA_Mapping!$C$7:$C$256,$Q2179)))</f>
        <v/>
      </c>
      <c r="N2179" s="38" t="str">
        <f aca="false">IF($A2179="","",IF($Q2179=0,"",INDEX(COA_Mapping!$E$7:$E$256,$Q2179)))</f>
        <v/>
      </c>
      <c r="O2179" s="38" t="n">
        <f aca="false">IF($A2179="",1,IF($Q2179=0,1,INDEX(COA_Mapping!$F$7:$F$256,$Q2179)))</f>
        <v>1</v>
      </c>
      <c r="P2179" s="34" t="str">
        <f aca="false">IF($A2179="","",$I2179*$O2179)</f>
        <v/>
      </c>
      <c r="Q2179" s="39" t="n">
        <f aca="false">IF($B2179="",0,IFERROR(MATCH($B2179,COA_Mapping!$A$7:$A$256,0),0))</f>
        <v>0</v>
      </c>
      <c r="R2179" s="39" t="n">
        <f aca="false">IF($A2179="",-1,IF($J2179=Setup!$B$7,1,IF($J2179=Setup!$B$9,0,-1)))</f>
        <v>-1</v>
      </c>
      <c r="S2179" s="35" t="n">
        <f aca="false">IF(OR($A2179="",$Q2179=0,$R2179=-1),0,$Q2179*1000+$R2179*100+$K2179)</f>
        <v>0</v>
      </c>
      <c r="T2179" s="37" t="str">
        <f aca="false">IF($A2179="","",IF($B2179="","NO ACCOUNT",IF($Q2179=0,"UNMAPPED",IF($R2179=-1,"OUTSIDE FY RANGE","OK"))))</f>
        <v/>
      </c>
      <c r="U2179" s="40" t="str">
        <f aca="false">IF($A2179="","",$B2179&amp;"|"&amp;TEXT($A2179,"yyyymmdd")&amp;"|"&amp;TEXT($I2179,"0.00"))</f>
        <v/>
      </c>
      <c r="V2179" s="35" t="str">
        <f aca="false">IF($A2179="","",COUNTIF($U$8:$U$5007,$U2179))</f>
        <v/>
      </c>
    </row>
    <row r="2180" customFormat="false" ht="15" hidden="false" customHeight="false" outlineLevel="0" collapsed="false">
      <c r="A2180" s="31"/>
      <c r="B2180" s="32"/>
      <c r="C2180" s="32"/>
      <c r="D2180" s="32"/>
      <c r="E2180" s="32"/>
      <c r="F2180" s="32"/>
      <c r="G2180" s="33"/>
      <c r="H2180" s="33"/>
      <c r="I2180" s="34" t="str">
        <f aca="false">IF($A2180="","",$G2180-$H2180)</f>
        <v/>
      </c>
      <c r="J2180" s="35" t="str">
        <f aca="false">IF($A2180="","",IF(Setup!$B$6=1,YEAR($A2180),YEAR($A2180)+IF(MONTH($A2180)&gt;=Setup!$B$6,1,0)))</f>
        <v/>
      </c>
      <c r="K2180" s="35" t="str">
        <f aca="false">IF($A2180="","",MOD(MONTH($A2180)-Setup!$B$6+12,12)+1)</f>
        <v/>
      </c>
      <c r="L2180" s="36" t="str">
        <f aca="false">IF($A2180="","",TEXT($A2180,"MMM-YY"))</f>
        <v/>
      </c>
      <c r="M2180" s="37" t="str">
        <f aca="false">IF($A2180="","",IF($Q2180=0,"UNMAPPED",INDEX(COA_Mapping!$C$7:$C$256,$Q2180)))</f>
        <v/>
      </c>
      <c r="N2180" s="38" t="str">
        <f aca="false">IF($A2180="","",IF($Q2180=0,"",INDEX(COA_Mapping!$E$7:$E$256,$Q2180)))</f>
        <v/>
      </c>
      <c r="O2180" s="38" t="n">
        <f aca="false">IF($A2180="",1,IF($Q2180=0,1,INDEX(COA_Mapping!$F$7:$F$256,$Q2180)))</f>
        <v>1</v>
      </c>
      <c r="P2180" s="34" t="str">
        <f aca="false">IF($A2180="","",$I2180*$O2180)</f>
        <v/>
      </c>
      <c r="Q2180" s="39" t="n">
        <f aca="false">IF($B2180="",0,IFERROR(MATCH($B2180,COA_Mapping!$A$7:$A$256,0),0))</f>
        <v>0</v>
      </c>
      <c r="R2180" s="39" t="n">
        <f aca="false">IF($A2180="",-1,IF($J2180=Setup!$B$7,1,IF($J2180=Setup!$B$9,0,-1)))</f>
        <v>-1</v>
      </c>
      <c r="S2180" s="35" t="n">
        <f aca="false">IF(OR($A2180="",$Q2180=0,$R2180=-1),0,$Q2180*1000+$R2180*100+$K2180)</f>
        <v>0</v>
      </c>
      <c r="T2180" s="37" t="str">
        <f aca="false">IF($A2180="","",IF($B2180="","NO ACCOUNT",IF($Q2180=0,"UNMAPPED",IF($R2180=-1,"OUTSIDE FY RANGE","OK"))))</f>
        <v/>
      </c>
      <c r="U2180" s="40" t="str">
        <f aca="false">IF($A2180="","",$B2180&amp;"|"&amp;TEXT($A2180,"yyyymmdd")&amp;"|"&amp;TEXT($I2180,"0.00"))</f>
        <v/>
      </c>
      <c r="V2180" s="35" t="str">
        <f aca="false">IF($A2180="","",COUNTIF($U$8:$U$5007,$U2180))</f>
        <v/>
      </c>
    </row>
    <row r="2181" customFormat="false" ht="15" hidden="false" customHeight="false" outlineLevel="0" collapsed="false">
      <c r="A2181" s="31"/>
      <c r="B2181" s="32"/>
      <c r="C2181" s="32"/>
      <c r="D2181" s="32"/>
      <c r="E2181" s="32"/>
      <c r="F2181" s="32"/>
      <c r="G2181" s="33"/>
      <c r="H2181" s="33"/>
      <c r="I2181" s="34" t="str">
        <f aca="false">IF($A2181="","",$G2181-$H2181)</f>
        <v/>
      </c>
      <c r="J2181" s="35" t="str">
        <f aca="false">IF($A2181="","",IF(Setup!$B$6=1,YEAR($A2181),YEAR($A2181)+IF(MONTH($A2181)&gt;=Setup!$B$6,1,0)))</f>
        <v/>
      </c>
      <c r="K2181" s="35" t="str">
        <f aca="false">IF($A2181="","",MOD(MONTH($A2181)-Setup!$B$6+12,12)+1)</f>
        <v/>
      </c>
      <c r="L2181" s="36" t="str">
        <f aca="false">IF($A2181="","",TEXT($A2181,"MMM-YY"))</f>
        <v/>
      </c>
      <c r="M2181" s="37" t="str">
        <f aca="false">IF($A2181="","",IF($Q2181=0,"UNMAPPED",INDEX(COA_Mapping!$C$7:$C$256,$Q2181)))</f>
        <v/>
      </c>
      <c r="N2181" s="38" t="str">
        <f aca="false">IF($A2181="","",IF($Q2181=0,"",INDEX(COA_Mapping!$E$7:$E$256,$Q2181)))</f>
        <v/>
      </c>
      <c r="O2181" s="38" t="n">
        <f aca="false">IF($A2181="",1,IF($Q2181=0,1,INDEX(COA_Mapping!$F$7:$F$256,$Q2181)))</f>
        <v>1</v>
      </c>
      <c r="P2181" s="34" t="str">
        <f aca="false">IF($A2181="","",$I2181*$O2181)</f>
        <v/>
      </c>
      <c r="Q2181" s="39" t="n">
        <f aca="false">IF($B2181="",0,IFERROR(MATCH($B2181,COA_Mapping!$A$7:$A$256,0),0))</f>
        <v>0</v>
      </c>
      <c r="R2181" s="39" t="n">
        <f aca="false">IF($A2181="",-1,IF($J2181=Setup!$B$7,1,IF($J2181=Setup!$B$9,0,-1)))</f>
        <v>-1</v>
      </c>
      <c r="S2181" s="35" t="n">
        <f aca="false">IF(OR($A2181="",$Q2181=0,$R2181=-1),0,$Q2181*1000+$R2181*100+$K2181)</f>
        <v>0</v>
      </c>
      <c r="T2181" s="37" t="str">
        <f aca="false">IF($A2181="","",IF($B2181="","NO ACCOUNT",IF($Q2181=0,"UNMAPPED",IF($R2181=-1,"OUTSIDE FY RANGE","OK"))))</f>
        <v/>
      </c>
      <c r="U2181" s="40" t="str">
        <f aca="false">IF($A2181="","",$B2181&amp;"|"&amp;TEXT($A2181,"yyyymmdd")&amp;"|"&amp;TEXT($I2181,"0.00"))</f>
        <v/>
      </c>
      <c r="V2181" s="35" t="str">
        <f aca="false">IF($A2181="","",COUNTIF($U$8:$U$5007,$U2181))</f>
        <v/>
      </c>
    </row>
    <row r="2182" customFormat="false" ht="15" hidden="false" customHeight="false" outlineLevel="0" collapsed="false">
      <c r="A2182" s="31"/>
      <c r="B2182" s="32"/>
      <c r="C2182" s="32"/>
      <c r="D2182" s="32"/>
      <c r="E2182" s="32"/>
      <c r="F2182" s="32"/>
      <c r="G2182" s="33"/>
      <c r="H2182" s="33"/>
      <c r="I2182" s="34" t="str">
        <f aca="false">IF($A2182="","",$G2182-$H2182)</f>
        <v/>
      </c>
      <c r="J2182" s="35" t="str">
        <f aca="false">IF($A2182="","",IF(Setup!$B$6=1,YEAR($A2182),YEAR($A2182)+IF(MONTH($A2182)&gt;=Setup!$B$6,1,0)))</f>
        <v/>
      </c>
      <c r="K2182" s="35" t="str">
        <f aca="false">IF($A2182="","",MOD(MONTH($A2182)-Setup!$B$6+12,12)+1)</f>
        <v/>
      </c>
      <c r="L2182" s="36" t="str">
        <f aca="false">IF($A2182="","",TEXT($A2182,"MMM-YY"))</f>
        <v/>
      </c>
      <c r="M2182" s="37" t="str">
        <f aca="false">IF($A2182="","",IF($Q2182=0,"UNMAPPED",INDEX(COA_Mapping!$C$7:$C$256,$Q2182)))</f>
        <v/>
      </c>
      <c r="N2182" s="38" t="str">
        <f aca="false">IF($A2182="","",IF($Q2182=0,"",INDEX(COA_Mapping!$E$7:$E$256,$Q2182)))</f>
        <v/>
      </c>
      <c r="O2182" s="38" t="n">
        <f aca="false">IF($A2182="",1,IF($Q2182=0,1,INDEX(COA_Mapping!$F$7:$F$256,$Q2182)))</f>
        <v>1</v>
      </c>
      <c r="P2182" s="34" t="str">
        <f aca="false">IF($A2182="","",$I2182*$O2182)</f>
        <v/>
      </c>
      <c r="Q2182" s="39" t="n">
        <f aca="false">IF($B2182="",0,IFERROR(MATCH($B2182,COA_Mapping!$A$7:$A$256,0),0))</f>
        <v>0</v>
      </c>
      <c r="R2182" s="39" t="n">
        <f aca="false">IF($A2182="",-1,IF($J2182=Setup!$B$7,1,IF($J2182=Setup!$B$9,0,-1)))</f>
        <v>-1</v>
      </c>
      <c r="S2182" s="35" t="n">
        <f aca="false">IF(OR($A2182="",$Q2182=0,$R2182=-1),0,$Q2182*1000+$R2182*100+$K2182)</f>
        <v>0</v>
      </c>
      <c r="T2182" s="37" t="str">
        <f aca="false">IF($A2182="","",IF($B2182="","NO ACCOUNT",IF($Q2182=0,"UNMAPPED",IF($R2182=-1,"OUTSIDE FY RANGE","OK"))))</f>
        <v/>
      </c>
      <c r="U2182" s="40" t="str">
        <f aca="false">IF($A2182="","",$B2182&amp;"|"&amp;TEXT($A2182,"yyyymmdd")&amp;"|"&amp;TEXT($I2182,"0.00"))</f>
        <v/>
      </c>
      <c r="V2182" s="35" t="str">
        <f aca="false">IF($A2182="","",COUNTIF($U$8:$U$5007,$U2182))</f>
        <v/>
      </c>
    </row>
    <row r="2183" customFormat="false" ht="15" hidden="false" customHeight="false" outlineLevel="0" collapsed="false">
      <c r="A2183" s="31"/>
      <c r="B2183" s="32"/>
      <c r="C2183" s="32"/>
      <c r="D2183" s="32"/>
      <c r="E2183" s="32"/>
      <c r="F2183" s="32"/>
      <c r="G2183" s="33"/>
      <c r="H2183" s="33"/>
      <c r="I2183" s="34" t="str">
        <f aca="false">IF($A2183="","",$G2183-$H2183)</f>
        <v/>
      </c>
      <c r="J2183" s="35" t="str">
        <f aca="false">IF($A2183="","",IF(Setup!$B$6=1,YEAR($A2183),YEAR($A2183)+IF(MONTH($A2183)&gt;=Setup!$B$6,1,0)))</f>
        <v/>
      </c>
      <c r="K2183" s="35" t="str">
        <f aca="false">IF($A2183="","",MOD(MONTH($A2183)-Setup!$B$6+12,12)+1)</f>
        <v/>
      </c>
      <c r="L2183" s="36" t="str">
        <f aca="false">IF($A2183="","",TEXT($A2183,"MMM-YY"))</f>
        <v/>
      </c>
      <c r="M2183" s="37" t="str">
        <f aca="false">IF($A2183="","",IF($Q2183=0,"UNMAPPED",INDEX(COA_Mapping!$C$7:$C$256,$Q2183)))</f>
        <v/>
      </c>
      <c r="N2183" s="38" t="str">
        <f aca="false">IF($A2183="","",IF($Q2183=0,"",INDEX(COA_Mapping!$E$7:$E$256,$Q2183)))</f>
        <v/>
      </c>
      <c r="O2183" s="38" t="n">
        <f aca="false">IF($A2183="",1,IF($Q2183=0,1,INDEX(COA_Mapping!$F$7:$F$256,$Q2183)))</f>
        <v>1</v>
      </c>
      <c r="P2183" s="34" t="str">
        <f aca="false">IF($A2183="","",$I2183*$O2183)</f>
        <v/>
      </c>
      <c r="Q2183" s="39" t="n">
        <f aca="false">IF($B2183="",0,IFERROR(MATCH($B2183,COA_Mapping!$A$7:$A$256,0),0))</f>
        <v>0</v>
      </c>
      <c r="R2183" s="39" t="n">
        <f aca="false">IF($A2183="",-1,IF($J2183=Setup!$B$7,1,IF($J2183=Setup!$B$9,0,-1)))</f>
        <v>-1</v>
      </c>
      <c r="S2183" s="35" t="n">
        <f aca="false">IF(OR($A2183="",$Q2183=0,$R2183=-1),0,$Q2183*1000+$R2183*100+$K2183)</f>
        <v>0</v>
      </c>
      <c r="T2183" s="37" t="str">
        <f aca="false">IF($A2183="","",IF($B2183="","NO ACCOUNT",IF($Q2183=0,"UNMAPPED",IF($R2183=-1,"OUTSIDE FY RANGE","OK"))))</f>
        <v/>
      </c>
      <c r="U2183" s="40" t="str">
        <f aca="false">IF($A2183="","",$B2183&amp;"|"&amp;TEXT($A2183,"yyyymmdd")&amp;"|"&amp;TEXT($I2183,"0.00"))</f>
        <v/>
      </c>
      <c r="V2183" s="35" t="str">
        <f aca="false">IF($A2183="","",COUNTIF($U$8:$U$5007,$U2183))</f>
        <v/>
      </c>
    </row>
    <row r="2184" customFormat="false" ht="15" hidden="false" customHeight="false" outlineLevel="0" collapsed="false">
      <c r="A2184" s="31"/>
      <c r="B2184" s="32"/>
      <c r="C2184" s="32"/>
      <c r="D2184" s="32"/>
      <c r="E2184" s="32"/>
      <c r="F2184" s="32"/>
      <c r="G2184" s="33"/>
      <c r="H2184" s="33"/>
      <c r="I2184" s="34" t="str">
        <f aca="false">IF($A2184="","",$G2184-$H2184)</f>
        <v/>
      </c>
      <c r="J2184" s="35" t="str">
        <f aca="false">IF($A2184="","",IF(Setup!$B$6=1,YEAR($A2184),YEAR($A2184)+IF(MONTH($A2184)&gt;=Setup!$B$6,1,0)))</f>
        <v/>
      </c>
      <c r="K2184" s="35" t="str">
        <f aca="false">IF($A2184="","",MOD(MONTH($A2184)-Setup!$B$6+12,12)+1)</f>
        <v/>
      </c>
      <c r="L2184" s="36" t="str">
        <f aca="false">IF($A2184="","",TEXT($A2184,"MMM-YY"))</f>
        <v/>
      </c>
      <c r="M2184" s="37" t="str">
        <f aca="false">IF($A2184="","",IF($Q2184=0,"UNMAPPED",INDEX(COA_Mapping!$C$7:$C$256,$Q2184)))</f>
        <v/>
      </c>
      <c r="N2184" s="38" t="str">
        <f aca="false">IF($A2184="","",IF($Q2184=0,"",INDEX(COA_Mapping!$E$7:$E$256,$Q2184)))</f>
        <v/>
      </c>
      <c r="O2184" s="38" t="n">
        <f aca="false">IF($A2184="",1,IF($Q2184=0,1,INDEX(COA_Mapping!$F$7:$F$256,$Q2184)))</f>
        <v>1</v>
      </c>
      <c r="P2184" s="34" t="str">
        <f aca="false">IF($A2184="","",$I2184*$O2184)</f>
        <v/>
      </c>
      <c r="Q2184" s="39" t="n">
        <f aca="false">IF($B2184="",0,IFERROR(MATCH($B2184,COA_Mapping!$A$7:$A$256,0),0))</f>
        <v>0</v>
      </c>
      <c r="R2184" s="39" t="n">
        <f aca="false">IF($A2184="",-1,IF($J2184=Setup!$B$7,1,IF($J2184=Setup!$B$9,0,-1)))</f>
        <v>-1</v>
      </c>
      <c r="S2184" s="35" t="n">
        <f aca="false">IF(OR($A2184="",$Q2184=0,$R2184=-1),0,$Q2184*1000+$R2184*100+$K2184)</f>
        <v>0</v>
      </c>
      <c r="T2184" s="37" t="str">
        <f aca="false">IF($A2184="","",IF($B2184="","NO ACCOUNT",IF($Q2184=0,"UNMAPPED",IF($R2184=-1,"OUTSIDE FY RANGE","OK"))))</f>
        <v/>
      </c>
      <c r="U2184" s="40" t="str">
        <f aca="false">IF($A2184="","",$B2184&amp;"|"&amp;TEXT($A2184,"yyyymmdd")&amp;"|"&amp;TEXT($I2184,"0.00"))</f>
        <v/>
      </c>
      <c r="V2184" s="35" t="str">
        <f aca="false">IF($A2184="","",COUNTIF($U$8:$U$5007,$U2184))</f>
        <v/>
      </c>
    </row>
    <row r="2185" customFormat="false" ht="15" hidden="false" customHeight="false" outlineLevel="0" collapsed="false">
      <c r="A2185" s="31"/>
      <c r="B2185" s="32"/>
      <c r="C2185" s="32"/>
      <c r="D2185" s="32"/>
      <c r="E2185" s="32"/>
      <c r="F2185" s="32"/>
      <c r="G2185" s="33"/>
      <c r="H2185" s="33"/>
      <c r="I2185" s="34" t="str">
        <f aca="false">IF($A2185="","",$G2185-$H2185)</f>
        <v/>
      </c>
      <c r="J2185" s="35" t="str">
        <f aca="false">IF($A2185="","",IF(Setup!$B$6=1,YEAR($A2185),YEAR($A2185)+IF(MONTH($A2185)&gt;=Setup!$B$6,1,0)))</f>
        <v/>
      </c>
      <c r="K2185" s="35" t="str">
        <f aca="false">IF($A2185="","",MOD(MONTH($A2185)-Setup!$B$6+12,12)+1)</f>
        <v/>
      </c>
      <c r="L2185" s="36" t="str">
        <f aca="false">IF($A2185="","",TEXT($A2185,"MMM-YY"))</f>
        <v/>
      </c>
      <c r="M2185" s="37" t="str">
        <f aca="false">IF($A2185="","",IF($Q2185=0,"UNMAPPED",INDEX(COA_Mapping!$C$7:$C$256,$Q2185)))</f>
        <v/>
      </c>
      <c r="N2185" s="38" t="str">
        <f aca="false">IF($A2185="","",IF($Q2185=0,"",INDEX(COA_Mapping!$E$7:$E$256,$Q2185)))</f>
        <v/>
      </c>
      <c r="O2185" s="38" t="n">
        <f aca="false">IF($A2185="",1,IF($Q2185=0,1,INDEX(COA_Mapping!$F$7:$F$256,$Q2185)))</f>
        <v>1</v>
      </c>
      <c r="P2185" s="34" t="str">
        <f aca="false">IF($A2185="","",$I2185*$O2185)</f>
        <v/>
      </c>
      <c r="Q2185" s="39" t="n">
        <f aca="false">IF($B2185="",0,IFERROR(MATCH($B2185,COA_Mapping!$A$7:$A$256,0),0))</f>
        <v>0</v>
      </c>
      <c r="R2185" s="39" t="n">
        <f aca="false">IF($A2185="",-1,IF($J2185=Setup!$B$7,1,IF($J2185=Setup!$B$9,0,-1)))</f>
        <v>-1</v>
      </c>
      <c r="S2185" s="35" t="n">
        <f aca="false">IF(OR($A2185="",$Q2185=0,$R2185=-1),0,$Q2185*1000+$R2185*100+$K2185)</f>
        <v>0</v>
      </c>
      <c r="T2185" s="37" t="str">
        <f aca="false">IF($A2185="","",IF($B2185="","NO ACCOUNT",IF($Q2185=0,"UNMAPPED",IF($R2185=-1,"OUTSIDE FY RANGE","OK"))))</f>
        <v/>
      </c>
      <c r="U2185" s="40" t="str">
        <f aca="false">IF($A2185="","",$B2185&amp;"|"&amp;TEXT($A2185,"yyyymmdd")&amp;"|"&amp;TEXT($I2185,"0.00"))</f>
        <v/>
      </c>
      <c r="V2185" s="35" t="str">
        <f aca="false">IF($A2185="","",COUNTIF($U$8:$U$5007,$U2185))</f>
        <v/>
      </c>
    </row>
    <row r="2186" customFormat="false" ht="15" hidden="false" customHeight="false" outlineLevel="0" collapsed="false">
      <c r="A2186" s="31"/>
      <c r="B2186" s="32"/>
      <c r="C2186" s="32"/>
      <c r="D2186" s="32"/>
      <c r="E2186" s="32"/>
      <c r="F2186" s="32"/>
      <c r="G2186" s="33"/>
      <c r="H2186" s="33"/>
      <c r="I2186" s="34" t="str">
        <f aca="false">IF($A2186="","",$G2186-$H2186)</f>
        <v/>
      </c>
      <c r="J2186" s="35" t="str">
        <f aca="false">IF($A2186="","",IF(Setup!$B$6=1,YEAR($A2186),YEAR($A2186)+IF(MONTH($A2186)&gt;=Setup!$B$6,1,0)))</f>
        <v/>
      </c>
      <c r="K2186" s="35" t="str">
        <f aca="false">IF($A2186="","",MOD(MONTH($A2186)-Setup!$B$6+12,12)+1)</f>
        <v/>
      </c>
      <c r="L2186" s="36" t="str">
        <f aca="false">IF($A2186="","",TEXT($A2186,"MMM-YY"))</f>
        <v/>
      </c>
      <c r="M2186" s="37" t="str">
        <f aca="false">IF($A2186="","",IF($Q2186=0,"UNMAPPED",INDEX(COA_Mapping!$C$7:$C$256,$Q2186)))</f>
        <v/>
      </c>
      <c r="N2186" s="38" t="str">
        <f aca="false">IF($A2186="","",IF($Q2186=0,"",INDEX(COA_Mapping!$E$7:$E$256,$Q2186)))</f>
        <v/>
      </c>
      <c r="O2186" s="38" t="n">
        <f aca="false">IF($A2186="",1,IF($Q2186=0,1,INDEX(COA_Mapping!$F$7:$F$256,$Q2186)))</f>
        <v>1</v>
      </c>
      <c r="P2186" s="34" t="str">
        <f aca="false">IF($A2186="","",$I2186*$O2186)</f>
        <v/>
      </c>
      <c r="Q2186" s="39" t="n">
        <f aca="false">IF($B2186="",0,IFERROR(MATCH($B2186,COA_Mapping!$A$7:$A$256,0),0))</f>
        <v>0</v>
      </c>
      <c r="R2186" s="39" t="n">
        <f aca="false">IF($A2186="",-1,IF($J2186=Setup!$B$7,1,IF($J2186=Setup!$B$9,0,-1)))</f>
        <v>-1</v>
      </c>
      <c r="S2186" s="35" t="n">
        <f aca="false">IF(OR($A2186="",$Q2186=0,$R2186=-1),0,$Q2186*1000+$R2186*100+$K2186)</f>
        <v>0</v>
      </c>
      <c r="T2186" s="37" t="str">
        <f aca="false">IF($A2186="","",IF($B2186="","NO ACCOUNT",IF($Q2186=0,"UNMAPPED",IF($R2186=-1,"OUTSIDE FY RANGE","OK"))))</f>
        <v/>
      </c>
      <c r="U2186" s="40" t="str">
        <f aca="false">IF($A2186="","",$B2186&amp;"|"&amp;TEXT($A2186,"yyyymmdd")&amp;"|"&amp;TEXT($I2186,"0.00"))</f>
        <v/>
      </c>
      <c r="V2186" s="35" t="str">
        <f aca="false">IF($A2186="","",COUNTIF($U$8:$U$5007,$U2186))</f>
        <v/>
      </c>
    </row>
    <row r="2187" customFormat="false" ht="15" hidden="false" customHeight="false" outlineLevel="0" collapsed="false">
      <c r="A2187" s="31"/>
      <c r="B2187" s="32"/>
      <c r="C2187" s="32"/>
      <c r="D2187" s="32"/>
      <c r="E2187" s="32"/>
      <c r="F2187" s="32"/>
      <c r="G2187" s="33"/>
      <c r="H2187" s="33"/>
      <c r="I2187" s="34" t="str">
        <f aca="false">IF($A2187="","",$G2187-$H2187)</f>
        <v/>
      </c>
      <c r="J2187" s="35" t="str">
        <f aca="false">IF($A2187="","",IF(Setup!$B$6=1,YEAR($A2187),YEAR($A2187)+IF(MONTH($A2187)&gt;=Setup!$B$6,1,0)))</f>
        <v/>
      </c>
      <c r="K2187" s="35" t="str">
        <f aca="false">IF($A2187="","",MOD(MONTH($A2187)-Setup!$B$6+12,12)+1)</f>
        <v/>
      </c>
      <c r="L2187" s="36" t="str">
        <f aca="false">IF($A2187="","",TEXT($A2187,"MMM-YY"))</f>
        <v/>
      </c>
      <c r="M2187" s="37" t="str">
        <f aca="false">IF($A2187="","",IF($Q2187=0,"UNMAPPED",INDEX(COA_Mapping!$C$7:$C$256,$Q2187)))</f>
        <v/>
      </c>
      <c r="N2187" s="38" t="str">
        <f aca="false">IF($A2187="","",IF($Q2187=0,"",INDEX(COA_Mapping!$E$7:$E$256,$Q2187)))</f>
        <v/>
      </c>
      <c r="O2187" s="38" t="n">
        <f aca="false">IF($A2187="",1,IF($Q2187=0,1,INDEX(COA_Mapping!$F$7:$F$256,$Q2187)))</f>
        <v>1</v>
      </c>
      <c r="P2187" s="34" t="str">
        <f aca="false">IF($A2187="","",$I2187*$O2187)</f>
        <v/>
      </c>
      <c r="Q2187" s="39" t="n">
        <f aca="false">IF($B2187="",0,IFERROR(MATCH($B2187,COA_Mapping!$A$7:$A$256,0),0))</f>
        <v>0</v>
      </c>
      <c r="R2187" s="39" t="n">
        <f aca="false">IF($A2187="",-1,IF($J2187=Setup!$B$7,1,IF($J2187=Setup!$B$9,0,-1)))</f>
        <v>-1</v>
      </c>
      <c r="S2187" s="35" t="n">
        <f aca="false">IF(OR($A2187="",$Q2187=0,$R2187=-1),0,$Q2187*1000+$R2187*100+$K2187)</f>
        <v>0</v>
      </c>
      <c r="T2187" s="37" t="str">
        <f aca="false">IF($A2187="","",IF($B2187="","NO ACCOUNT",IF($Q2187=0,"UNMAPPED",IF($R2187=-1,"OUTSIDE FY RANGE","OK"))))</f>
        <v/>
      </c>
      <c r="U2187" s="40" t="str">
        <f aca="false">IF($A2187="","",$B2187&amp;"|"&amp;TEXT($A2187,"yyyymmdd")&amp;"|"&amp;TEXT($I2187,"0.00"))</f>
        <v/>
      </c>
      <c r="V2187" s="35" t="str">
        <f aca="false">IF($A2187="","",COUNTIF($U$8:$U$5007,$U2187))</f>
        <v/>
      </c>
    </row>
    <row r="2188" customFormat="false" ht="15" hidden="false" customHeight="false" outlineLevel="0" collapsed="false">
      <c r="A2188" s="31"/>
      <c r="B2188" s="32"/>
      <c r="C2188" s="32"/>
      <c r="D2188" s="32"/>
      <c r="E2188" s="32"/>
      <c r="F2188" s="32"/>
      <c r="G2188" s="33"/>
      <c r="H2188" s="33"/>
      <c r="I2188" s="34" t="str">
        <f aca="false">IF($A2188="","",$G2188-$H2188)</f>
        <v/>
      </c>
      <c r="J2188" s="35" t="str">
        <f aca="false">IF($A2188="","",IF(Setup!$B$6=1,YEAR($A2188),YEAR($A2188)+IF(MONTH($A2188)&gt;=Setup!$B$6,1,0)))</f>
        <v/>
      </c>
      <c r="K2188" s="35" t="str">
        <f aca="false">IF($A2188="","",MOD(MONTH($A2188)-Setup!$B$6+12,12)+1)</f>
        <v/>
      </c>
      <c r="L2188" s="36" t="str">
        <f aca="false">IF($A2188="","",TEXT($A2188,"MMM-YY"))</f>
        <v/>
      </c>
      <c r="M2188" s="37" t="str">
        <f aca="false">IF($A2188="","",IF($Q2188=0,"UNMAPPED",INDEX(COA_Mapping!$C$7:$C$256,$Q2188)))</f>
        <v/>
      </c>
      <c r="N2188" s="38" t="str">
        <f aca="false">IF($A2188="","",IF($Q2188=0,"",INDEX(COA_Mapping!$E$7:$E$256,$Q2188)))</f>
        <v/>
      </c>
      <c r="O2188" s="38" t="n">
        <f aca="false">IF($A2188="",1,IF($Q2188=0,1,INDEX(COA_Mapping!$F$7:$F$256,$Q2188)))</f>
        <v>1</v>
      </c>
      <c r="P2188" s="34" t="str">
        <f aca="false">IF($A2188="","",$I2188*$O2188)</f>
        <v/>
      </c>
      <c r="Q2188" s="39" t="n">
        <f aca="false">IF($B2188="",0,IFERROR(MATCH($B2188,COA_Mapping!$A$7:$A$256,0),0))</f>
        <v>0</v>
      </c>
      <c r="R2188" s="39" t="n">
        <f aca="false">IF($A2188="",-1,IF($J2188=Setup!$B$7,1,IF($J2188=Setup!$B$9,0,-1)))</f>
        <v>-1</v>
      </c>
      <c r="S2188" s="35" t="n">
        <f aca="false">IF(OR($A2188="",$Q2188=0,$R2188=-1),0,$Q2188*1000+$R2188*100+$K2188)</f>
        <v>0</v>
      </c>
      <c r="T2188" s="37" t="str">
        <f aca="false">IF($A2188="","",IF($B2188="","NO ACCOUNT",IF($Q2188=0,"UNMAPPED",IF($R2188=-1,"OUTSIDE FY RANGE","OK"))))</f>
        <v/>
      </c>
      <c r="U2188" s="40" t="str">
        <f aca="false">IF($A2188="","",$B2188&amp;"|"&amp;TEXT($A2188,"yyyymmdd")&amp;"|"&amp;TEXT($I2188,"0.00"))</f>
        <v/>
      </c>
      <c r="V2188" s="35" t="str">
        <f aca="false">IF($A2188="","",COUNTIF($U$8:$U$5007,$U2188))</f>
        <v/>
      </c>
    </row>
    <row r="2189" customFormat="false" ht="15" hidden="false" customHeight="false" outlineLevel="0" collapsed="false">
      <c r="A2189" s="31"/>
      <c r="B2189" s="32"/>
      <c r="C2189" s="32"/>
      <c r="D2189" s="32"/>
      <c r="E2189" s="32"/>
      <c r="F2189" s="32"/>
      <c r="G2189" s="33"/>
      <c r="H2189" s="33"/>
      <c r="I2189" s="34" t="str">
        <f aca="false">IF($A2189="","",$G2189-$H2189)</f>
        <v/>
      </c>
      <c r="J2189" s="35" t="str">
        <f aca="false">IF($A2189="","",IF(Setup!$B$6=1,YEAR($A2189),YEAR($A2189)+IF(MONTH($A2189)&gt;=Setup!$B$6,1,0)))</f>
        <v/>
      </c>
      <c r="K2189" s="35" t="str">
        <f aca="false">IF($A2189="","",MOD(MONTH($A2189)-Setup!$B$6+12,12)+1)</f>
        <v/>
      </c>
      <c r="L2189" s="36" t="str">
        <f aca="false">IF($A2189="","",TEXT($A2189,"MMM-YY"))</f>
        <v/>
      </c>
      <c r="M2189" s="37" t="str">
        <f aca="false">IF($A2189="","",IF($Q2189=0,"UNMAPPED",INDEX(COA_Mapping!$C$7:$C$256,$Q2189)))</f>
        <v/>
      </c>
      <c r="N2189" s="38" t="str">
        <f aca="false">IF($A2189="","",IF($Q2189=0,"",INDEX(COA_Mapping!$E$7:$E$256,$Q2189)))</f>
        <v/>
      </c>
      <c r="O2189" s="38" t="n">
        <f aca="false">IF($A2189="",1,IF($Q2189=0,1,INDEX(COA_Mapping!$F$7:$F$256,$Q2189)))</f>
        <v>1</v>
      </c>
      <c r="P2189" s="34" t="str">
        <f aca="false">IF($A2189="","",$I2189*$O2189)</f>
        <v/>
      </c>
      <c r="Q2189" s="39" t="n">
        <f aca="false">IF($B2189="",0,IFERROR(MATCH($B2189,COA_Mapping!$A$7:$A$256,0),0))</f>
        <v>0</v>
      </c>
      <c r="R2189" s="39" t="n">
        <f aca="false">IF($A2189="",-1,IF($J2189=Setup!$B$7,1,IF($J2189=Setup!$B$9,0,-1)))</f>
        <v>-1</v>
      </c>
      <c r="S2189" s="35" t="n">
        <f aca="false">IF(OR($A2189="",$Q2189=0,$R2189=-1),0,$Q2189*1000+$R2189*100+$K2189)</f>
        <v>0</v>
      </c>
      <c r="T2189" s="37" t="str">
        <f aca="false">IF($A2189="","",IF($B2189="","NO ACCOUNT",IF($Q2189=0,"UNMAPPED",IF($R2189=-1,"OUTSIDE FY RANGE","OK"))))</f>
        <v/>
      </c>
      <c r="U2189" s="40" t="str">
        <f aca="false">IF($A2189="","",$B2189&amp;"|"&amp;TEXT($A2189,"yyyymmdd")&amp;"|"&amp;TEXT($I2189,"0.00"))</f>
        <v/>
      </c>
      <c r="V2189" s="35" t="str">
        <f aca="false">IF($A2189="","",COUNTIF($U$8:$U$5007,$U2189))</f>
        <v/>
      </c>
    </row>
    <row r="2190" customFormat="false" ht="15" hidden="false" customHeight="false" outlineLevel="0" collapsed="false">
      <c r="A2190" s="31"/>
      <c r="B2190" s="32"/>
      <c r="C2190" s="32"/>
      <c r="D2190" s="32"/>
      <c r="E2190" s="32"/>
      <c r="F2190" s="32"/>
      <c r="G2190" s="33"/>
      <c r="H2190" s="33"/>
      <c r="I2190" s="34" t="str">
        <f aca="false">IF($A2190="","",$G2190-$H2190)</f>
        <v/>
      </c>
      <c r="J2190" s="35" t="str">
        <f aca="false">IF($A2190="","",IF(Setup!$B$6=1,YEAR($A2190),YEAR($A2190)+IF(MONTH($A2190)&gt;=Setup!$B$6,1,0)))</f>
        <v/>
      </c>
      <c r="K2190" s="35" t="str">
        <f aca="false">IF($A2190="","",MOD(MONTH($A2190)-Setup!$B$6+12,12)+1)</f>
        <v/>
      </c>
      <c r="L2190" s="36" t="str">
        <f aca="false">IF($A2190="","",TEXT($A2190,"MMM-YY"))</f>
        <v/>
      </c>
      <c r="M2190" s="37" t="str">
        <f aca="false">IF($A2190="","",IF($Q2190=0,"UNMAPPED",INDEX(COA_Mapping!$C$7:$C$256,$Q2190)))</f>
        <v/>
      </c>
      <c r="N2190" s="38" t="str">
        <f aca="false">IF($A2190="","",IF($Q2190=0,"",INDEX(COA_Mapping!$E$7:$E$256,$Q2190)))</f>
        <v/>
      </c>
      <c r="O2190" s="38" t="n">
        <f aca="false">IF($A2190="",1,IF($Q2190=0,1,INDEX(COA_Mapping!$F$7:$F$256,$Q2190)))</f>
        <v>1</v>
      </c>
      <c r="P2190" s="34" t="str">
        <f aca="false">IF($A2190="","",$I2190*$O2190)</f>
        <v/>
      </c>
      <c r="Q2190" s="39" t="n">
        <f aca="false">IF($B2190="",0,IFERROR(MATCH($B2190,COA_Mapping!$A$7:$A$256,0),0))</f>
        <v>0</v>
      </c>
      <c r="R2190" s="39" t="n">
        <f aca="false">IF($A2190="",-1,IF($J2190=Setup!$B$7,1,IF($J2190=Setup!$B$9,0,-1)))</f>
        <v>-1</v>
      </c>
      <c r="S2190" s="35" t="n">
        <f aca="false">IF(OR($A2190="",$Q2190=0,$R2190=-1),0,$Q2190*1000+$R2190*100+$K2190)</f>
        <v>0</v>
      </c>
      <c r="T2190" s="37" t="str">
        <f aca="false">IF($A2190="","",IF($B2190="","NO ACCOUNT",IF($Q2190=0,"UNMAPPED",IF($R2190=-1,"OUTSIDE FY RANGE","OK"))))</f>
        <v/>
      </c>
      <c r="U2190" s="40" t="str">
        <f aca="false">IF($A2190="","",$B2190&amp;"|"&amp;TEXT($A2190,"yyyymmdd")&amp;"|"&amp;TEXT($I2190,"0.00"))</f>
        <v/>
      </c>
      <c r="V2190" s="35" t="str">
        <f aca="false">IF($A2190="","",COUNTIF($U$8:$U$5007,$U2190))</f>
        <v/>
      </c>
    </row>
    <row r="2191" customFormat="false" ht="15" hidden="false" customHeight="false" outlineLevel="0" collapsed="false">
      <c r="A2191" s="31"/>
      <c r="B2191" s="32"/>
      <c r="C2191" s="32"/>
      <c r="D2191" s="32"/>
      <c r="E2191" s="32"/>
      <c r="F2191" s="32"/>
      <c r="G2191" s="33"/>
      <c r="H2191" s="33"/>
      <c r="I2191" s="34" t="str">
        <f aca="false">IF($A2191="","",$G2191-$H2191)</f>
        <v/>
      </c>
      <c r="J2191" s="35" t="str">
        <f aca="false">IF($A2191="","",IF(Setup!$B$6=1,YEAR($A2191),YEAR($A2191)+IF(MONTH($A2191)&gt;=Setup!$B$6,1,0)))</f>
        <v/>
      </c>
      <c r="K2191" s="35" t="str">
        <f aca="false">IF($A2191="","",MOD(MONTH($A2191)-Setup!$B$6+12,12)+1)</f>
        <v/>
      </c>
      <c r="L2191" s="36" t="str">
        <f aca="false">IF($A2191="","",TEXT($A2191,"MMM-YY"))</f>
        <v/>
      </c>
      <c r="M2191" s="37" t="str">
        <f aca="false">IF($A2191="","",IF($Q2191=0,"UNMAPPED",INDEX(COA_Mapping!$C$7:$C$256,$Q2191)))</f>
        <v/>
      </c>
      <c r="N2191" s="38" t="str">
        <f aca="false">IF($A2191="","",IF($Q2191=0,"",INDEX(COA_Mapping!$E$7:$E$256,$Q2191)))</f>
        <v/>
      </c>
      <c r="O2191" s="38" t="n">
        <f aca="false">IF($A2191="",1,IF($Q2191=0,1,INDEX(COA_Mapping!$F$7:$F$256,$Q2191)))</f>
        <v>1</v>
      </c>
      <c r="P2191" s="34" t="str">
        <f aca="false">IF($A2191="","",$I2191*$O2191)</f>
        <v/>
      </c>
      <c r="Q2191" s="39" t="n">
        <f aca="false">IF($B2191="",0,IFERROR(MATCH($B2191,COA_Mapping!$A$7:$A$256,0),0))</f>
        <v>0</v>
      </c>
      <c r="R2191" s="39" t="n">
        <f aca="false">IF($A2191="",-1,IF($J2191=Setup!$B$7,1,IF($J2191=Setup!$B$9,0,-1)))</f>
        <v>-1</v>
      </c>
      <c r="S2191" s="35" t="n">
        <f aca="false">IF(OR($A2191="",$Q2191=0,$R2191=-1),0,$Q2191*1000+$R2191*100+$K2191)</f>
        <v>0</v>
      </c>
      <c r="T2191" s="37" t="str">
        <f aca="false">IF($A2191="","",IF($B2191="","NO ACCOUNT",IF($Q2191=0,"UNMAPPED",IF($R2191=-1,"OUTSIDE FY RANGE","OK"))))</f>
        <v/>
      </c>
      <c r="U2191" s="40" t="str">
        <f aca="false">IF($A2191="","",$B2191&amp;"|"&amp;TEXT($A2191,"yyyymmdd")&amp;"|"&amp;TEXT($I2191,"0.00"))</f>
        <v/>
      </c>
      <c r="V2191" s="35" t="str">
        <f aca="false">IF($A2191="","",COUNTIF($U$8:$U$5007,$U2191))</f>
        <v/>
      </c>
    </row>
    <row r="2192" customFormat="false" ht="15" hidden="false" customHeight="false" outlineLevel="0" collapsed="false">
      <c r="A2192" s="31"/>
      <c r="B2192" s="32"/>
      <c r="C2192" s="32"/>
      <c r="D2192" s="32"/>
      <c r="E2192" s="32"/>
      <c r="F2192" s="32"/>
      <c r="G2192" s="33"/>
      <c r="H2192" s="33"/>
      <c r="I2192" s="34" t="str">
        <f aca="false">IF($A2192="","",$G2192-$H2192)</f>
        <v/>
      </c>
      <c r="J2192" s="35" t="str">
        <f aca="false">IF($A2192="","",IF(Setup!$B$6=1,YEAR($A2192),YEAR($A2192)+IF(MONTH($A2192)&gt;=Setup!$B$6,1,0)))</f>
        <v/>
      </c>
      <c r="K2192" s="35" t="str">
        <f aca="false">IF($A2192="","",MOD(MONTH($A2192)-Setup!$B$6+12,12)+1)</f>
        <v/>
      </c>
      <c r="L2192" s="36" t="str">
        <f aca="false">IF($A2192="","",TEXT($A2192,"MMM-YY"))</f>
        <v/>
      </c>
      <c r="M2192" s="37" t="str">
        <f aca="false">IF($A2192="","",IF($Q2192=0,"UNMAPPED",INDEX(COA_Mapping!$C$7:$C$256,$Q2192)))</f>
        <v/>
      </c>
      <c r="N2192" s="38" t="str">
        <f aca="false">IF($A2192="","",IF($Q2192=0,"",INDEX(COA_Mapping!$E$7:$E$256,$Q2192)))</f>
        <v/>
      </c>
      <c r="O2192" s="38" t="n">
        <f aca="false">IF($A2192="",1,IF($Q2192=0,1,INDEX(COA_Mapping!$F$7:$F$256,$Q2192)))</f>
        <v>1</v>
      </c>
      <c r="P2192" s="34" t="str">
        <f aca="false">IF($A2192="","",$I2192*$O2192)</f>
        <v/>
      </c>
      <c r="Q2192" s="39" t="n">
        <f aca="false">IF($B2192="",0,IFERROR(MATCH($B2192,COA_Mapping!$A$7:$A$256,0),0))</f>
        <v>0</v>
      </c>
      <c r="R2192" s="39" t="n">
        <f aca="false">IF($A2192="",-1,IF($J2192=Setup!$B$7,1,IF($J2192=Setup!$B$9,0,-1)))</f>
        <v>-1</v>
      </c>
      <c r="S2192" s="35" t="n">
        <f aca="false">IF(OR($A2192="",$Q2192=0,$R2192=-1),0,$Q2192*1000+$R2192*100+$K2192)</f>
        <v>0</v>
      </c>
      <c r="T2192" s="37" t="str">
        <f aca="false">IF($A2192="","",IF($B2192="","NO ACCOUNT",IF($Q2192=0,"UNMAPPED",IF($R2192=-1,"OUTSIDE FY RANGE","OK"))))</f>
        <v/>
      </c>
      <c r="U2192" s="40" t="str">
        <f aca="false">IF($A2192="","",$B2192&amp;"|"&amp;TEXT($A2192,"yyyymmdd")&amp;"|"&amp;TEXT($I2192,"0.00"))</f>
        <v/>
      </c>
      <c r="V2192" s="35" t="str">
        <f aca="false">IF($A2192="","",COUNTIF($U$8:$U$5007,$U2192))</f>
        <v/>
      </c>
    </row>
    <row r="2193" customFormat="false" ht="15" hidden="false" customHeight="false" outlineLevel="0" collapsed="false">
      <c r="A2193" s="31"/>
      <c r="B2193" s="32"/>
      <c r="C2193" s="32"/>
      <c r="D2193" s="32"/>
      <c r="E2193" s="32"/>
      <c r="F2193" s="32"/>
      <c r="G2193" s="33"/>
      <c r="H2193" s="33"/>
      <c r="I2193" s="34" t="str">
        <f aca="false">IF($A2193="","",$G2193-$H2193)</f>
        <v/>
      </c>
      <c r="J2193" s="35" t="str">
        <f aca="false">IF($A2193="","",IF(Setup!$B$6=1,YEAR($A2193),YEAR($A2193)+IF(MONTH($A2193)&gt;=Setup!$B$6,1,0)))</f>
        <v/>
      </c>
      <c r="K2193" s="35" t="str">
        <f aca="false">IF($A2193="","",MOD(MONTH($A2193)-Setup!$B$6+12,12)+1)</f>
        <v/>
      </c>
      <c r="L2193" s="36" t="str">
        <f aca="false">IF($A2193="","",TEXT($A2193,"MMM-YY"))</f>
        <v/>
      </c>
      <c r="M2193" s="37" t="str">
        <f aca="false">IF($A2193="","",IF($Q2193=0,"UNMAPPED",INDEX(COA_Mapping!$C$7:$C$256,$Q2193)))</f>
        <v/>
      </c>
      <c r="N2193" s="38" t="str">
        <f aca="false">IF($A2193="","",IF($Q2193=0,"",INDEX(COA_Mapping!$E$7:$E$256,$Q2193)))</f>
        <v/>
      </c>
      <c r="O2193" s="38" t="n">
        <f aca="false">IF($A2193="",1,IF($Q2193=0,1,INDEX(COA_Mapping!$F$7:$F$256,$Q2193)))</f>
        <v>1</v>
      </c>
      <c r="P2193" s="34" t="str">
        <f aca="false">IF($A2193="","",$I2193*$O2193)</f>
        <v/>
      </c>
      <c r="Q2193" s="39" t="n">
        <f aca="false">IF($B2193="",0,IFERROR(MATCH($B2193,COA_Mapping!$A$7:$A$256,0),0))</f>
        <v>0</v>
      </c>
      <c r="R2193" s="39" t="n">
        <f aca="false">IF($A2193="",-1,IF($J2193=Setup!$B$7,1,IF($J2193=Setup!$B$9,0,-1)))</f>
        <v>-1</v>
      </c>
      <c r="S2193" s="35" t="n">
        <f aca="false">IF(OR($A2193="",$Q2193=0,$R2193=-1),0,$Q2193*1000+$R2193*100+$K2193)</f>
        <v>0</v>
      </c>
      <c r="T2193" s="37" t="str">
        <f aca="false">IF($A2193="","",IF($B2193="","NO ACCOUNT",IF($Q2193=0,"UNMAPPED",IF($R2193=-1,"OUTSIDE FY RANGE","OK"))))</f>
        <v/>
      </c>
      <c r="U2193" s="40" t="str">
        <f aca="false">IF($A2193="","",$B2193&amp;"|"&amp;TEXT($A2193,"yyyymmdd")&amp;"|"&amp;TEXT($I2193,"0.00"))</f>
        <v/>
      </c>
      <c r="V2193" s="35" t="str">
        <f aca="false">IF($A2193="","",COUNTIF($U$8:$U$5007,$U2193))</f>
        <v/>
      </c>
    </row>
    <row r="2194" customFormat="false" ht="15" hidden="false" customHeight="false" outlineLevel="0" collapsed="false">
      <c r="A2194" s="31"/>
      <c r="B2194" s="32"/>
      <c r="C2194" s="32"/>
      <c r="D2194" s="32"/>
      <c r="E2194" s="32"/>
      <c r="F2194" s="32"/>
      <c r="G2194" s="33"/>
      <c r="H2194" s="33"/>
      <c r="I2194" s="34" t="str">
        <f aca="false">IF($A2194="","",$G2194-$H2194)</f>
        <v/>
      </c>
      <c r="J2194" s="35" t="str">
        <f aca="false">IF($A2194="","",IF(Setup!$B$6=1,YEAR($A2194),YEAR($A2194)+IF(MONTH($A2194)&gt;=Setup!$B$6,1,0)))</f>
        <v/>
      </c>
      <c r="K2194" s="35" t="str">
        <f aca="false">IF($A2194="","",MOD(MONTH($A2194)-Setup!$B$6+12,12)+1)</f>
        <v/>
      </c>
      <c r="L2194" s="36" t="str">
        <f aca="false">IF($A2194="","",TEXT($A2194,"MMM-YY"))</f>
        <v/>
      </c>
      <c r="M2194" s="37" t="str">
        <f aca="false">IF($A2194="","",IF($Q2194=0,"UNMAPPED",INDEX(COA_Mapping!$C$7:$C$256,$Q2194)))</f>
        <v/>
      </c>
      <c r="N2194" s="38" t="str">
        <f aca="false">IF($A2194="","",IF($Q2194=0,"",INDEX(COA_Mapping!$E$7:$E$256,$Q2194)))</f>
        <v/>
      </c>
      <c r="O2194" s="38" t="n">
        <f aca="false">IF($A2194="",1,IF($Q2194=0,1,INDEX(COA_Mapping!$F$7:$F$256,$Q2194)))</f>
        <v>1</v>
      </c>
      <c r="P2194" s="34" t="str">
        <f aca="false">IF($A2194="","",$I2194*$O2194)</f>
        <v/>
      </c>
      <c r="Q2194" s="39" t="n">
        <f aca="false">IF($B2194="",0,IFERROR(MATCH($B2194,COA_Mapping!$A$7:$A$256,0),0))</f>
        <v>0</v>
      </c>
      <c r="R2194" s="39" t="n">
        <f aca="false">IF($A2194="",-1,IF($J2194=Setup!$B$7,1,IF($J2194=Setup!$B$9,0,-1)))</f>
        <v>-1</v>
      </c>
      <c r="S2194" s="35" t="n">
        <f aca="false">IF(OR($A2194="",$Q2194=0,$R2194=-1),0,$Q2194*1000+$R2194*100+$K2194)</f>
        <v>0</v>
      </c>
      <c r="T2194" s="37" t="str">
        <f aca="false">IF($A2194="","",IF($B2194="","NO ACCOUNT",IF($Q2194=0,"UNMAPPED",IF($R2194=-1,"OUTSIDE FY RANGE","OK"))))</f>
        <v/>
      </c>
      <c r="U2194" s="40" t="str">
        <f aca="false">IF($A2194="","",$B2194&amp;"|"&amp;TEXT($A2194,"yyyymmdd")&amp;"|"&amp;TEXT($I2194,"0.00"))</f>
        <v/>
      </c>
      <c r="V2194" s="35" t="str">
        <f aca="false">IF($A2194="","",COUNTIF($U$8:$U$5007,$U2194))</f>
        <v/>
      </c>
    </row>
    <row r="2195" customFormat="false" ht="15" hidden="false" customHeight="false" outlineLevel="0" collapsed="false">
      <c r="A2195" s="31"/>
      <c r="B2195" s="32"/>
      <c r="C2195" s="32"/>
      <c r="D2195" s="32"/>
      <c r="E2195" s="32"/>
      <c r="F2195" s="32"/>
      <c r="G2195" s="33"/>
      <c r="H2195" s="33"/>
      <c r="I2195" s="34" t="str">
        <f aca="false">IF($A2195="","",$G2195-$H2195)</f>
        <v/>
      </c>
      <c r="J2195" s="35" t="str">
        <f aca="false">IF($A2195="","",IF(Setup!$B$6=1,YEAR($A2195),YEAR($A2195)+IF(MONTH($A2195)&gt;=Setup!$B$6,1,0)))</f>
        <v/>
      </c>
      <c r="K2195" s="35" t="str">
        <f aca="false">IF($A2195="","",MOD(MONTH($A2195)-Setup!$B$6+12,12)+1)</f>
        <v/>
      </c>
      <c r="L2195" s="36" t="str">
        <f aca="false">IF($A2195="","",TEXT($A2195,"MMM-YY"))</f>
        <v/>
      </c>
      <c r="M2195" s="37" t="str">
        <f aca="false">IF($A2195="","",IF($Q2195=0,"UNMAPPED",INDEX(COA_Mapping!$C$7:$C$256,$Q2195)))</f>
        <v/>
      </c>
      <c r="N2195" s="38" t="str">
        <f aca="false">IF($A2195="","",IF($Q2195=0,"",INDEX(COA_Mapping!$E$7:$E$256,$Q2195)))</f>
        <v/>
      </c>
      <c r="O2195" s="38" t="n">
        <f aca="false">IF($A2195="",1,IF($Q2195=0,1,INDEX(COA_Mapping!$F$7:$F$256,$Q2195)))</f>
        <v>1</v>
      </c>
      <c r="P2195" s="34" t="str">
        <f aca="false">IF($A2195="","",$I2195*$O2195)</f>
        <v/>
      </c>
      <c r="Q2195" s="39" t="n">
        <f aca="false">IF($B2195="",0,IFERROR(MATCH($B2195,COA_Mapping!$A$7:$A$256,0),0))</f>
        <v>0</v>
      </c>
      <c r="R2195" s="39" t="n">
        <f aca="false">IF($A2195="",-1,IF($J2195=Setup!$B$7,1,IF($J2195=Setup!$B$9,0,-1)))</f>
        <v>-1</v>
      </c>
      <c r="S2195" s="35" t="n">
        <f aca="false">IF(OR($A2195="",$Q2195=0,$R2195=-1),0,$Q2195*1000+$R2195*100+$K2195)</f>
        <v>0</v>
      </c>
      <c r="T2195" s="37" t="str">
        <f aca="false">IF($A2195="","",IF($B2195="","NO ACCOUNT",IF($Q2195=0,"UNMAPPED",IF($R2195=-1,"OUTSIDE FY RANGE","OK"))))</f>
        <v/>
      </c>
      <c r="U2195" s="40" t="str">
        <f aca="false">IF($A2195="","",$B2195&amp;"|"&amp;TEXT($A2195,"yyyymmdd")&amp;"|"&amp;TEXT($I2195,"0.00"))</f>
        <v/>
      </c>
      <c r="V2195" s="35" t="str">
        <f aca="false">IF($A2195="","",COUNTIF($U$8:$U$5007,$U2195))</f>
        <v/>
      </c>
    </row>
    <row r="2196" customFormat="false" ht="15" hidden="false" customHeight="false" outlineLevel="0" collapsed="false">
      <c r="A2196" s="31"/>
      <c r="B2196" s="32"/>
      <c r="C2196" s="32"/>
      <c r="D2196" s="32"/>
      <c r="E2196" s="32"/>
      <c r="F2196" s="32"/>
      <c r="G2196" s="33"/>
      <c r="H2196" s="33"/>
      <c r="I2196" s="34" t="str">
        <f aca="false">IF($A2196="","",$G2196-$H2196)</f>
        <v/>
      </c>
      <c r="J2196" s="35" t="str">
        <f aca="false">IF($A2196="","",IF(Setup!$B$6=1,YEAR($A2196),YEAR($A2196)+IF(MONTH($A2196)&gt;=Setup!$B$6,1,0)))</f>
        <v/>
      </c>
      <c r="K2196" s="35" t="str">
        <f aca="false">IF($A2196="","",MOD(MONTH($A2196)-Setup!$B$6+12,12)+1)</f>
        <v/>
      </c>
      <c r="L2196" s="36" t="str">
        <f aca="false">IF($A2196="","",TEXT($A2196,"MMM-YY"))</f>
        <v/>
      </c>
      <c r="M2196" s="37" t="str">
        <f aca="false">IF($A2196="","",IF($Q2196=0,"UNMAPPED",INDEX(COA_Mapping!$C$7:$C$256,$Q2196)))</f>
        <v/>
      </c>
      <c r="N2196" s="38" t="str">
        <f aca="false">IF($A2196="","",IF($Q2196=0,"",INDEX(COA_Mapping!$E$7:$E$256,$Q2196)))</f>
        <v/>
      </c>
      <c r="O2196" s="38" t="n">
        <f aca="false">IF($A2196="",1,IF($Q2196=0,1,INDEX(COA_Mapping!$F$7:$F$256,$Q2196)))</f>
        <v>1</v>
      </c>
      <c r="P2196" s="34" t="str">
        <f aca="false">IF($A2196="","",$I2196*$O2196)</f>
        <v/>
      </c>
      <c r="Q2196" s="39" t="n">
        <f aca="false">IF($B2196="",0,IFERROR(MATCH($B2196,COA_Mapping!$A$7:$A$256,0),0))</f>
        <v>0</v>
      </c>
      <c r="R2196" s="39" t="n">
        <f aca="false">IF($A2196="",-1,IF($J2196=Setup!$B$7,1,IF($J2196=Setup!$B$9,0,-1)))</f>
        <v>-1</v>
      </c>
      <c r="S2196" s="35" t="n">
        <f aca="false">IF(OR($A2196="",$Q2196=0,$R2196=-1),0,$Q2196*1000+$R2196*100+$K2196)</f>
        <v>0</v>
      </c>
      <c r="T2196" s="37" t="str">
        <f aca="false">IF($A2196="","",IF($B2196="","NO ACCOUNT",IF($Q2196=0,"UNMAPPED",IF($R2196=-1,"OUTSIDE FY RANGE","OK"))))</f>
        <v/>
      </c>
      <c r="U2196" s="40" t="str">
        <f aca="false">IF($A2196="","",$B2196&amp;"|"&amp;TEXT($A2196,"yyyymmdd")&amp;"|"&amp;TEXT($I2196,"0.00"))</f>
        <v/>
      </c>
      <c r="V2196" s="35" t="str">
        <f aca="false">IF($A2196="","",COUNTIF($U$8:$U$5007,$U2196))</f>
        <v/>
      </c>
    </row>
    <row r="2197" customFormat="false" ht="15" hidden="false" customHeight="false" outlineLevel="0" collapsed="false">
      <c r="A2197" s="31"/>
      <c r="B2197" s="32"/>
      <c r="C2197" s="32"/>
      <c r="D2197" s="32"/>
      <c r="E2197" s="32"/>
      <c r="F2197" s="32"/>
      <c r="G2197" s="33"/>
      <c r="H2197" s="33"/>
      <c r="I2197" s="34" t="str">
        <f aca="false">IF($A2197="","",$G2197-$H2197)</f>
        <v/>
      </c>
      <c r="J2197" s="35" t="str">
        <f aca="false">IF($A2197="","",IF(Setup!$B$6=1,YEAR($A2197),YEAR($A2197)+IF(MONTH($A2197)&gt;=Setup!$B$6,1,0)))</f>
        <v/>
      </c>
      <c r="K2197" s="35" t="str">
        <f aca="false">IF($A2197="","",MOD(MONTH($A2197)-Setup!$B$6+12,12)+1)</f>
        <v/>
      </c>
      <c r="L2197" s="36" t="str">
        <f aca="false">IF($A2197="","",TEXT($A2197,"MMM-YY"))</f>
        <v/>
      </c>
      <c r="M2197" s="37" t="str">
        <f aca="false">IF($A2197="","",IF($Q2197=0,"UNMAPPED",INDEX(COA_Mapping!$C$7:$C$256,$Q2197)))</f>
        <v/>
      </c>
      <c r="N2197" s="38" t="str">
        <f aca="false">IF($A2197="","",IF($Q2197=0,"",INDEX(COA_Mapping!$E$7:$E$256,$Q2197)))</f>
        <v/>
      </c>
      <c r="O2197" s="38" t="n">
        <f aca="false">IF($A2197="",1,IF($Q2197=0,1,INDEX(COA_Mapping!$F$7:$F$256,$Q2197)))</f>
        <v>1</v>
      </c>
      <c r="P2197" s="34" t="str">
        <f aca="false">IF($A2197="","",$I2197*$O2197)</f>
        <v/>
      </c>
      <c r="Q2197" s="39" t="n">
        <f aca="false">IF($B2197="",0,IFERROR(MATCH($B2197,COA_Mapping!$A$7:$A$256,0),0))</f>
        <v>0</v>
      </c>
      <c r="R2197" s="39" t="n">
        <f aca="false">IF($A2197="",-1,IF($J2197=Setup!$B$7,1,IF($J2197=Setup!$B$9,0,-1)))</f>
        <v>-1</v>
      </c>
      <c r="S2197" s="35" t="n">
        <f aca="false">IF(OR($A2197="",$Q2197=0,$R2197=-1),0,$Q2197*1000+$R2197*100+$K2197)</f>
        <v>0</v>
      </c>
      <c r="T2197" s="37" t="str">
        <f aca="false">IF($A2197="","",IF($B2197="","NO ACCOUNT",IF($Q2197=0,"UNMAPPED",IF($R2197=-1,"OUTSIDE FY RANGE","OK"))))</f>
        <v/>
      </c>
      <c r="U2197" s="40" t="str">
        <f aca="false">IF($A2197="","",$B2197&amp;"|"&amp;TEXT($A2197,"yyyymmdd")&amp;"|"&amp;TEXT($I2197,"0.00"))</f>
        <v/>
      </c>
      <c r="V2197" s="35" t="str">
        <f aca="false">IF($A2197="","",COUNTIF($U$8:$U$5007,$U2197))</f>
        <v/>
      </c>
    </row>
    <row r="2198" customFormat="false" ht="15" hidden="false" customHeight="false" outlineLevel="0" collapsed="false">
      <c r="A2198" s="31"/>
      <c r="B2198" s="32"/>
      <c r="C2198" s="32"/>
      <c r="D2198" s="32"/>
      <c r="E2198" s="32"/>
      <c r="F2198" s="32"/>
      <c r="G2198" s="33"/>
      <c r="H2198" s="33"/>
      <c r="I2198" s="34" t="str">
        <f aca="false">IF($A2198="","",$G2198-$H2198)</f>
        <v/>
      </c>
      <c r="J2198" s="35" t="str">
        <f aca="false">IF($A2198="","",IF(Setup!$B$6=1,YEAR($A2198),YEAR($A2198)+IF(MONTH($A2198)&gt;=Setup!$B$6,1,0)))</f>
        <v/>
      </c>
      <c r="K2198" s="35" t="str">
        <f aca="false">IF($A2198="","",MOD(MONTH($A2198)-Setup!$B$6+12,12)+1)</f>
        <v/>
      </c>
      <c r="L2198" s="36" t="str">
        <f aca="false">IF($A2198="","",TEXT($A2198,"MMM-YY"))</f>
        <v/>
      </c>
      <c r="M2198" s="37" t="str">
        <f aca="false">IF($A2198="","",IF($Q2198=0,"UNMAPPED",INDEX(COA_Mapping!$C$7:$C$256,$Q2198)))</f>
        <v/>
      </c>
      <c r="N2198" s="38" t="str">
        <f aca="false">IF($A2198="","",IF($Q2198=0,"",INDEX(COA_Mapping!$E$7:$E$256,$Q2198)))</f>
        <v/>
      </c>
      <c r="O2198" s="38" t="n">
        <f aca="false">IF($A2198="",1,IF($Q2198=0,1,INDEX(COA_Mapping!$F$7:$F$256,$Q2198)))</f>
        <v>1</v>
      </c>
      <c r="P2198" s="34" t="str">
        <f aca="false">IF($A2198="","",$I2198*$O2198)</f>
        <v/>
      </c>
      <c r="Q2198" s="39" t="n">
        <f aca="false">IF($B2198="",0,IFERROR(MATCH($B2198,COA_Mapping!$A$7:$A$256,0),0))</f>
        <v>0</v>
      </c>
      <c r="R2198" s="39" t="n">
        <f aca="false">IF($A2198="",-1,IF($J2198=Setup!$B$7,1,IF($J2198=Setup!$B$9,0,-1)))</f>
        <v>-1</v>
      </c>
      <c r="S2198" s="35" t="n">
        <f aca="false">IF(OR($A2198="",$Q2198=0,$R2198=-1),0,$Q2198*1000+$R2198*100+$K2198)</f>
        <v>0</v>
      </c>
      <c r="T2198" s="37" t="str">
        <f aca="false">IF($A2198="","",IF($B2198="","NO ACCOUNT",IF($Q2198=0,"UNMAPPED",IF($R2198=-1,"OUTSIDE FY RANGE","OK"))))</f>
        <v/>
      </c>
      <c r="U2198" s="40" t="str">
        <f aca="false">IF($A2198="","",$B2198&amp;"|"&amp;TEXT($A2198,"yyyymmdd")&amp;"|"&amp;TEXT($I2198,"0.00"))</f>
        <v/>
      </c>
      <c r="V2198" s="35" t="str">
        <f aca="false">IF($A2198="","",COUNTIF($U$8:$U$5007,$U2198))</f>
        <v/>
      </c>
    </row>
    <row r="2199" customFormat="false" ht="15" hidden="false" customHeight="false" outlineLevel="0" collapsed="false">
      <c r="A2199" s="31"/>
      <c r="B2199" s="32"/>
      <c r="C2199" s="32"/>
      <c r="D2199" s="32"/>
      <c r="E2199" s="32"/>
      <c r="F2199" s="32"/>
      <c r="G2199" s="33"/>
      <c r="H2199" s="33"/>
      <c r="I2199" s="34" t="str">
        <f aca="false">IF($A2199="","",$G2199-$H2199)</f>
        <v/>
      </c>
      <c r="J2199" s="35" t="str">
        <f aca="false">IF($A2199="","",IF(Setup!$B$6=1,YEAR($A2199),YEAR($A2199)+IF(MONTH($A2199)&gt;=Setup!$B$6,1,0)))</f>
        <v/>
      </c>
      <c r="K2199" s="35" t="str">
        <f aca="false">IF($A2199="","",MOD(MONTH($A2199)-Setup!$B$6+12,12)+1)</f>
        <v/>
      </c>
      <c r="L2199" s="36" t="str">
        <f aca="false">IF($A2199="","",TEXT($A2199,"MMM-YY"))</f>
        <v/>
      </c>
      <c r="M2199" s="37" t="str">
        <f aca="false">IF($A2199="","",IF($Q2199=0,"UNMAPPED",INDEX(COA_Mapping!$C$7:$C$256,$Q2199)))</f>
        <v/>
      </c>
      <c r="N2199" s="38" t="str">
        <f aca="false">IF($A2199="","",IF($Q2199=0,"",INDEX(COA_Mapping!$E$7:$E$256,$Q2199)))</f>
        <v/>
      </c>
      <c r="O2199" s="38" t="n">
        <f aca="false">IF($A2199="",1,IF($Q2199=0,1,INDEX(COA_Mapping!$F$7:$F$256,$Q2199)))</f>
        <v>1</v>
      </c>
      <c r="P2199" s="34" t="str">
        <f aca="false">IF($A2199="","",$I2199*$O2199)</f>
        <v/>
      </c>
      <c r="Q2199" s="39" t="n">
        <f aca="false">IF($B2199="",0,IFERROR(MATCH($B2199,COA_Mapping!$A$7:$A$256,0),0))</f>
        <v>0</v>
      </c>
      <c r="R2199" s="39" t="n">
        <f aca="false">IF($A2199="",-1,IF($J2199=Setup!$B$7,1,IF($J2199=Setup!$B$9,0,-1)))</f>
        <v>-1</v>
      </c>
      <c r="S2199" s="35" t="n">
        <f aca="false">IF(OR($A2199="",$Q2199=0,$R2199=-1),0,$Q2199*1000+$R2199*100+$K2199)</f>
        <v>0</v>
      </c>
      <c r="T2199" s="37" t="str">
        <f aca="false">IF($A2199="","",IF($B2199="","NO ACCOUNT",IF($Q2199=0,"UNMAPPED",IF($R2199=-1,"OUTSIDE FY RANGE","OK"))))</f>
        <v/>
      </c>
      <c r="U2199" s="40" t="str">
        <f aca="false">IF($A2199="","",$B2199&amp;"|"&amp;TEXT($A2199,"yyyymmdd")&amp;"|"&amp;TEXT($I2199,"0.00"))</f>
        <v/>
      </c>
      <c r="V2199" s="35" t="str">
        <f aca="false">IF($A2199="","",COUNTIF($U$8:$U$5007,$U2199))</f>
        <v/>
      </c>
    </row>
    <row r="2200" customFormat="false" ht="15" hidden="false" customHeight="false" outlineLevel="0" collapsed="false">
      <c r="A2200" s="31"/>
      <c r="B2200" s="32"/>
      <c r="C2200" s="32"/>
      <c r="D2200" s="32"/>
      <c r="E2200" s="32"/>
      <c r="F2200" s="32"/>
      <c r="G2200" s="33"/>
      <c r="H2200" s="33"/>
      <c r="I2200" s="34" t="str">
        <f aca="false">IF($A2200="","",$G2200-$H2200)</f>
        <v/>
      </c>
      <c r="J2200" s="35" t="str">
        <f aca="false">IF($A2200="","",IF(Setup!$B$6=1,YEAR($A2200),YEAR($A2200)+IF(MONTH($A2200)&gt;=Setup!$B$6,1,0)))</f>
        <v/>
      </c>
      <c r="K2200" s="35" t="str">
        <f aca="false">IF($A2200="","",MOD(MONTH($A2200)-Setup!$B$6+12,12)+1)</f>
        <v/>
      </c>
      <c r="L2200" s="36" t="str">
        <f aca="false">IF($A2200="","",TEXT($A2200,"MMM-YY"))</f>
        <v/>
      </c>
      <c r="M2200" s="37" t="str">
        <f aca="false">IF($A2200="","",IF($Q2200=0,"UNMAPPED",INDEX(COA_Mapping!$C$7:$C$256,$Q2200)))</f>
        <v/>
      </c>
      <c r="N2200" s="38" t="str">
        <f aca="false">IF($A2200="","",IF($Q2200=0,"",INDEX(COA_Mapping!$E$7:$E$256,$Q2200)))</f>
        <v/>
      </c>
      <c r="O2200" s="38" t="n">
        <f aca="false">IF($A2200="",1,IF($Q2200=0,1,INDEX(COA_Mapping!$F$7:$F$256,$Q2200)))</f>
        <v>1</v>
      </c>
      <c r="P2200" s="34" t="str">
        <f aca="false">IF($A2200="","",$I2200*$O2200)</f>
        <v/>
      </c>
      <c r="Q2200" s="39" t="n">
        <f aca="false">IF($B2200="",0,IFERROR(MATCH($B2200,COA_Mapping!$A$7:$A$256,0),0))</f>
        <v>0</v>
      </c>
      <c r="R2200" s="39" t="n">
        <f aca="false">IF($A2200="",-1,IF($J2200=Setup!$B$7,1,IF($J2200=Setup!$B$9,0,-1)))</f>
        <v>-1</v>
      </c>
      <c r="S2200" s="35" t="n">
        <f aca="false">IF(OR($A2200="",$Q2200=0,$R2200=-1),0,$Q2200*1000+$R2200*100+$K2200)</f>
        <v>0</v>
      </c>
      <c r="T2200" s="37" t="str">
        <f aca="false">IF($A2200="","",IF($B2200="","NO ACCOUNT",IF($Q2200=0,"UNMAPPED",IF($R2200=-1,"OUTSIDE FY RANGE","OK"))))</f>
        <v/>
      </c>
      <c r="U2200" s="40" t="str">
        <f aca="false">IF($A2200="","",$B2200&amp;"|"&amp;TEXT($A2200,"yyyymmdd")&amp;"|"&amp;TEXT($I2200,"0.00"))</f>
        <v/>
      </c>
      <c r="V2200" s="35" t="str">
        <f aca="false">IF($A2200="","",COUNTIF($U$8:$U$5007,$U2200))</f>
        <v/>
      </c>
    </row>
    <row r="2201" customFormat="false" ht="15" hidden="false" customHeight="false" outlineLevel="0" collapsed="false">
      <c r="A2201" s="31"/>
      <c r="B2201" s="32"/>
      <c r="C2201" s="32"/>
      <c r="D2201" s="32"/>
      <c r="E2201" s="32"/>
      <c r="F2201" s="32"/>
      <c r="G2201" s="33"/>
      <c r="H2201" s="33"/>
      <c r="I2201" s="34" t="str">
        <f aca="false">IF($A2201="","",$G2201-$H2201)</f>
        <v/>
      </c>
      <c r="J2201" s="35" t="str">
        <f aca="false">IF($A2201="","",IF(Setup!$B$6=1,YEAR($A2201),YEAR($A2201)+IF(MONTH($A2201)&gt;=Setup!$B$6,1,0)))</f>
        <v/>
      </c>
      <c r="K2201" s="35" t="str">
        <f aca="false">IF($A2201="","",MOD(MONTH($A2201)-Setup!$B$6+12,12)+1)</f>
        <v/>
      </c>
      <c r="L2201" s="36" t="str">
        <f aca="false">IF($A2201="","",TEXT($A2201,"MMM-YY"))</f>
        <v/>
      </c>
      <c r="M2201" s="37" t="str">
        <f aca="false">IF($A2201="","",IF($Q2201=0,"UNMAPPED",INDEX(COA_Mapping!$C$7:$C$256,$Q2201)))</f>
        <v/>
      </c>
      <c r="N2201" s="38" t="str">
        <f aca="false">IF($A2201="","",IF($Q2201=0,"",INDEX(COA_Mapping!$E$7:$E$256,$Q2201)))</f>
        <v/>
      </c>
      <c r="O2201" s="38" t="n">
        <f aca="false">IF($A2201="",1,IF($Q2201=0,1,INDEX(COA_Mapping!$F$7:$F$256,$Q2201)))</f>
        <v>1</v>
      </c>
      <c r="P2201" s="34" t="str">
        <f aca="false">IF($A2201="","",$I2201*$O2201)</f>
        <v/>
      </c>
      <c r="Q2201" s="39" t="n">
        <f aca="false">IF($B2201="",0,IFERROR(MATCH($B2201,COA_Mapping!$A$7:$A$256,0),0))</f>
        <v>0</v>
      </c>
      <c r="R2201" s="39" t="n">
        <f aca="false">IF($A2201="",-1,IF($J2201=Setup!$B$7,1,IF($J2201=Setup!$B$9,0,-1)))</f>
        <v>-1</v>
      </c>
      <c r="S2201" s="35" t="n">
        <f aca="false">IF(OR($A2201="",$Q2201=0,$R2201=-1),0,$Q2201*1000+$R2201*100+$K2201)</f>
        <v>0</v>
      </c>
      <c r="T2201" s="37" t="str">
        <f aca="false">IF($A2201="","",IF($B2201="","NO ACCOUNT",IF($Q2201=0,"UNMAPPED",IF($R2201=-1,"OUTSIDE FY RANGE","OK"))))</f>
        <v/>
      </c>
      <c r="U2201" s="40" t="str">
        <f aca="false">IF($A2201="","",$B2201&amp;"|"&amp;TEXT($A2201,"yyyymmdd")&amp;"|"&amp;TEXT($I2201,"0.00"))</f>
        <v/>
      </c>
      <c r="V2201" s="35" t="str">
        <f aca="false">IF($A2201="","",COUNTIF($U$8:$U$5007,$U2201))</f>
        <v/>
      </c>
    </row>
    <row r="2202" customFormat="false" ht="15" hidden="false" customHeight="false" outlineLevel="0" collapsed="false">
      <c r="A2202" s="31"/>
      <c r="B2202" s="32"/>
      <c r="C2202" s="32"/>
      <c r="D2202" s="32"/>
      <c r="E2202" s="32"/>
      <c r="F2202" s="32"/>
      <c r="G2202" s="33"/>
      <c r="H2202" s="33"/>
      <c r="I2202" s="34" t="str">
        <f aca="false">IF($A2202="","",$G2202-$H2202)</f>
        <v/>
      </c>
      <c r="J2202" s="35" t="str">
        <f aca="false">IF($A2202="","",IF(Setup!$B$6=1,YEAR($A2202),YEAR($A2202)+IF(MONTH($A2202)&gt;=Setup!$B$6,1,0)))</f>
        <v/>
      </c>
      <c r="K2202" s="35" t="str">
        <f aca="false">IF($A2202="","",MOD(MONTH($A2202)-Setup!$B$6+12,12)+1)</f>
        <v/>
      </c>
      <c r="L2202" s="36" t="str">
        <f aca="false">IF($A2202="","",TEXT($A2202,"MMM-YY"))</f>
        <v/>
      </c>
      <c r="M2202" s="37" t="str">
        <f aca="false">IF($A2202="","",IF($Q2202=0,"UNMAPPED",INDEX(COA_Mapping!$C$7:$C$256,$Q2202)))</f>
        <v/>
      </c>
      <c r="N2202" s="38" t="str">
        <f aca="false">IF($A2202="","",IF($Q2202=0,"",INDEX(COA_Mapping!$E$7:$E$256,$Q2202)))</f>
        <v/>
      </c>
      <c r="O2202" s="38" t="n">
        <f aca="false">IF($A2202="",1,IF($Q2202=0,1,INDEX(COA_Mapping!$F$7:$F$256,$Q2202)))</f>
        <v>1</v>
      </c>
      <c r="P2202" s="34" t="str">
        <f aca="false">IF($A2202="","",$I2202*$O2202)</f>
        <v/>
      </c>
      <c r="Q2202" s="39" t="n">
        <f aca="false">IF($B2202="",0,IFERROR(MATCH($B2202,COA_Mapping!$A$7:$A$256,0),0))</f>
        <v>0</v>
      </c>
      <c r="R2202" s="39" t="n">
        <f aca="false">IF($A2202="",-1,IF($J2202=Setup!$B$7,1,IF($J2202=Setup!$B$9,0,-1)))</f>
        <v>-1</v>
      </c>
      <c r="S2202" s="35" t="n">
        <f aca="false">IF(OR($A2202="",$Q2202=0,$R2202=-1),0,$Q2202*1000+$R2202*100+$K2202)</f>
        <v>0</v>
      </c>
      <c r="T2202" s="37" t="str">
        <f aca="false">IF($A2202="","",IF($B2202="","NO ACCOUNT",IF($Q2202=0,"UNMAPPED",IF($R2202=-1,"OUTSIDE FY RANGE","OK"))))</f>
        <v/>
      </c>
      <c r="U2202" s="40" t="str">
        <f aca="false">IF($A2202="","",$B2202&amp;"|"&amp;TEXT($A2202,"yyyymmdd")&amp;"|"&amp;TEXT($I2202,"0.00"))</f>
        <v/>
      </c>
      <c r="V2202" s="35" t="str">
        <f aca="false">IF($A2202="","",COUNTIF($U$8:$U$5007,$U2202))</f>
        <v/>
      </c>
    </row>
    <row r="2203" customFormat="false" ht="15" hidden="false" customHeight="false" outlineLevel="0" collapsed="false">
      <c r="A2203" s="31"/>
      <c r="B2203" s="32"/>
      <c r="C2203" s="32"/>
      <c r="D2203" s="32"/>
      <c r="E2203" s="32"/>
      <c r="F2203" s="32"/>
      <c r="G2203" s="33"/>
      <c r="H2203" s="33"/>
      <c r="I2203" s="34" t="str">
        <f aca="false">IF($A2203="","",$G2203-$H2203)</f>
        <v/>
      </c>
      <c r="J2203" s="35" t="str">
        <f aca="false">IF($A2203="","",IF(Setup!$B$6=1,YEAR($A2203),YEAR($A2203)+IF(MONTH($A2203)&gt;=Setup!$B$6,1,0)))</f>
        <v/>
      </c>
      <c r="K2203" s="35" t="str">
        <f aca="false">IF($A2203="","",MOD(MONTH($A2203)-Setup!$B$6+12,12)+1)</f>
        <v/>
      </c>
      <c r="L2203" s="36" t="str">
        <f aca="false">IF($A2203="","",TEXT($A2203,"MMM-YY"))</f>
        <v/>
      </c>
      <c r="M2203" s="37" t="str">
        <f aca="false">IF($A2203="","",IF($Q2203=0,"UNMAPPED",INDEX(COA_Mapping!$C$7:$C$256,$Q2203)))</f>
        <v/>
      </c>
      <c r="N2203" s="38" t="str">
        <f aca="false">IF($A2203="","",IF($Q2203=0,"",INDEX(COA_Mapping!$E$7:$E$256,$Q2203)))</f>
        <v/>
      </c>
      <c r="O2203" s="38" t="n">
        <f aca="false">IF($A2203="",1,IF($Q2203=0,1,INDEX(COA_Mapping!$F$7:$F$256,$Q2203)))</f>
        <v>1</v>
      </c>
      <c r="P2203" s="34" t="str">
        <f aca="false">IF($A2203="","",$I2203*$O2203)</f>
        <v/>
      </c>
      <c r="Q2203" s="39" t="n">
        <f aca="false">IF($B2203="",0,IFERROR(MATCH($B2203,COA_Mapping!$A$7:$A$256,0),0))</f>
        <v>0</v>
      </c>
      <c r="R2203" s="39" t="n">
        <f aca="false">IF($A2203="",-1,IF($J2203=Setup!$B$7,1,IF($J2203=Setup!$B$9,0,-1)))</f>
        <v>-1</v>
      </c>
      <c r="S2203" s="35" t="n">
        <f aca="false">IF(OR($A2203="",$Q2203=0,$R2203=-1),0,$Q2203*1000+$R2203*100+$K2203)</f>
        <v>0</v>
      </c>
      <c r="T2203" s="37" t="str">
        <f aca="false">IF($A2203="","",IF($B2203="","NO ACCOUNT",IF($Q2203=0,"UNMAPPED",IF($R2203=-1,"OUTSIDE FY RANGE","OK"))))</f>
        <v/>
      </c>
      <c r="U2203" s="40" t="str">
        <f aca="false">IF($A2203="","",$B2203&amp;"|"&amp;TEXT($A2203,"yyyymmdd")&amp;"|"&amp;TEXT($I2203,"0.00"))</f>
        <v/>
      </c>
      <c r="V2203" s="35" t="str">
        <f aca="false">IF($A2203="","",COUNTIF($U$8:$U$5007,$U2203))</f>
        <v/>
      </c>
    </row>
    <row r="2204" customFormat="false" ht="15" hidden="false" customHeight="false" outlineLevel="0" collapsed="false">
      <c r="A2204" s="31"/>
      <c r="B2204" s="32"/>
      <c r="C2204" s="32"/>
      <c r="D2204" s="32"/>
      <c r="E2204" s="32"/>
      <c r="F2204" s="32"/>
      <c r="G2204" s="33"/>
      <c r="H2204" s="33"/>
      <c r="I2204" s="34" t="str">
        <f aca="false">IF($A2204="","",$G2204-$H2204)</f>
        <v/>
      </c>
      <c r="J2204" s="35" t="str">
        <f aca="false">IF($A2204="","",IF(Setup!$B$6=1,YEAR($A2204),YEAR($A2204)+IF(MONTH($A2204)&gt;=Setup!$B$6,1,0)))</f>
        <v/>
      </c>
      <c r="K2204" s="35" t="str">
        <f aca="false">IF($A2204="","",MOD(MONTH($A2204)-Setup!$B$6+12,12)+1)</f>
        <v/>
      </c>
      <c r="L2204" s="36" t="str">
        <f aca="false">IF($A2204="","",TEXT($A2204,"MMM-YY"))</f>
        <v/>
      </c>
      <c r="M2204" s="37" t="str">
        <f aca="false">IF($A2204="","",IF($Q2204=0,"UNMAPPED",INDEX(COA_Mapping!$C$7:$C$256,$Q2204)))</f>
        <v/>
      </c>
      <c r="N2204" s="38" t="str">
        <f aca="false">IF($A2204="","",IF($Q2204=0,"",INDEX(COA_Mapping!$E$7:$E$256,$Q2204)))</f>
        <v/>
      </c>
      <c r="O2204" s="38" t="n">
        <f aca="false">IF($A2204="",1,IF($Q2204=0,1,INDEX(COA_Mapping!$F$7:$F$256,$Q2204)))</f>
        <v>1</v>
      </c>
      <c r="P2204" s="34" t="str">
        <f aca="false">IF($A2204="","",$I2204*$O2204)</f>
        <v/>
      </c>
      <c r="Q2204" s="39" t="n">
        <f aca="false">IF($B2204="",0,IFERROR(MATCH($B2204,COA_Mapping!$A$7:$A$256,0),0))</f>
        <v>0</v>
      </c>
      <c r="R2204" s="39" t="n">
        <f aca="false">IF($A2204="",-1,IF($J2204=Setup!$B$7,1,IF($J2204=Setup!$B$9,0,-1)))</f>
        <v>-1</v>
      </c>
      <c r="S2204" s="35" t="n">
        <f aca="false">IF(OR($A2204="",$Q2204=0,$R2204=-1),0,$Q2204*1000+$R2204*100+$K2204)</f>
        <v>0</v>
      </c>
      <c r="T2204" s="37" t="str">
        <f aca="false">IF($A2204="","",IF($B2204="","NO ACCOUNT",IF($Q2204=0,"UNMAPPED",IF($R2204=-1,"OUTSIDE FY RANGE","OK"))))</f>
        <v/>
      </c>
      <c r="U2204" s="40" t="str">
        <f aca="false">IF($A2204="","",$B2204&amp;"|"&amp;TEXT($A2204,"yyyymmdd")&amp;"|"&amp;TEXT($I2204,"0.00"))</f>
        <v/>
      </c>
      <c r="V2204" s="35" t="str">
        <f aca="false">IF($A2204="","",COUNTIF($U$8:$U$5007,$U2204))</f>
        <v/>
      </c>
    </row>
    <row r="2205" customFormat="false" ht="15" hidden="false" customHeight="false" outlineLevel="0" collapsed="false">
      <c r="A2205" s="31"/>
      <c r="B2205" s="32"/>
      <c r="C2205" s="32"/>
      <c r="D2205" s="32"/>
      <c r="E2205" s="32"/>
      <c r="F2205" s="32"/>
      <c r="G2205" s="33"/>
      <c r="H2205" s="33"/>
      <c r="I2205" s="34" t="str">
        <f aca="false">IF($A2205="","",$G2205-$H2205)</f>
        <v/>
      </c>
      <c r="J2205" s="35" t="str">
        <f aca="false">IF($A2205="","",IF(Setup!$B$6=1,YEAR($A2205),YEAR($A2205)+IF(MONTH($A2205)&gt;=Setup!$B$6,1,0)))</f>
        <v/>
      </c>
      <c r="K2205" s="35" t="str">
        <f aca="false">IF($A2205="","",MOD(MONTH($A2205)-Setup!$B$6+12,12)+1)</f>
        <v/>
      </c>
      <c r="L2205" s="36" t="str">
        <f aca="false">IF($A2205="","",TEXT($A2205,"MMM-YY"))</f>
        <v/>
      </c>
      <c r="M2205" s="37" t="str">
        <f aca="false">IF($A2205="","",IF($Q2205=0,"UNMAPPED",INDEX(COA_Mapping!$C$7:$C$256,$Q2205)))</f>
        <v/>
      </c>
      <c r="N2205" s="38" t="str">
        <f aca="false">IF($A2205="","",IF($Q2205=0,"",INDEX(COA_Mapping!$E$7:$E$256,$Q2205)))</f>
        <v/>
      </c>
      <c r="O2205" s="38" t="n">
        <f aca="false">IF($A2205="",1,IF($Q2205=0,1,INDEX(COA_Mapping!$F$7:$F$256,$Q2205)))</f>
        <v>1</v>
      </c>
      <c r="P2205" s="34" t="str">
        <f aca="false">IF($A2205="","",$I2205*$O2205)</f>
        <v/>
      </c>
      <c r="Q2205" s="39" t="n">
        <f aca="false">IF($B2205="",0,IFERROR(MATCH($B2205,COA_Mapping!$A$7:$A$256,0),0))</f>
        <v>0</v>
      </c>
      <c r="R2205" s="39" t="n">
        <f aca="false">IF($A2205="",-1,IF($J2205=Setup!$B$7,1,IF($J2205=Setup!$B$9,0,-1)))</f>
        <v>-1</v>
      </c>
      <c r="S2205" s="35" t="n">
        <f aca="false">IF(OR($A2205="",$Q2205=0,$R2205=-1),0,$Q2205*1000+$R2205*100+$K2205)</f>
        <v>0</v>
      </c>
      <c r="T2205" s="37" t="str">
        <f aca="false">IF($A2205="","",IF($B2205="","NO ACCOUNT",IF($Q2205=0,"UNMAPPED",IF($R2205=-1,"OUTSIDE FY RANGE","OK"))))</f>
        <v/>
      </c>
      <c r="U2205" s="40" t="str">
        <f aca="false">IF($A2205="","",$B2205&amp;"|"&amp;TEXT($A2205,"yyyymmdd")&amp;"|"&amp;TEXT($I2205,"0.00"))</f>
        <v/>
      </c>
      <c r="V2205" s="35" t="str">
        <f aca="false">IF($A2205="","",COUNTIF($U$8:$U$5007,$U2205))</f>
        <v/>
      </c>
    </row>
    <row r="2206" customFormat="false" ht="15" hidden="false" customHeight="false" outlineLevel="0" collapsed="false">
      <c r="A2206" s="31"/>
      <c r="B2206" s="32"/>
      <c r="C2206" s="32"/>
      <c r="D2206" s="32"/>
      <c r="E2206" s="32"/>
      <c r="F2206" s="32"/>
      <c r="G2206" s="33"/>
      <c r="H2206" s="33"/>
      <c r="I2206" s="34" t="str">
        <f aca="false">IF($A2206="","",$G2206-$H2206)</f>
        <v/>
      </c>
      <c r="J2206" s="35" t="str">
        <f aca="false">IF($A2206="","",IF(Setup!$B$6=1,YEAR($A2206),YEAR($A2206)+IF(MONTH($A2206)&gt;=Setup!$B$6,1,0)))</f>
        <v/>
      </c>
      <c r="K2206" s="35" t="str">
        <f aca="false">IF($A2206="","",MOD(MONTH($A2206)-Setup!$B$6+12,12)+1)</f>
        <v/>
      </c>
      <c r="L2206" s="36" t="str">
        <f aca="false">IF($A2206="","",TEXT($A2206,"MMM-YY"))</f>
        <v/>
      </c>
      <c r="M2206" s="37" t="str">
        <f aca="false">IF($A2206="","",IF($Q2206=0,"UNMAPPED",INDEX(COA_Mapping!$C$7:$C$256,$Q2206)))</f>
        <v/>
      </c>
      <c r="N2206" s="38" t="str">
        <f aca="false">IF($A2206="","",IF($Q2206=0,"",INDEX(COA_Mapping!$E$7:$E$256,$Q2206)))</f>
        <v/>
      </c>
      <c r="O2206" s="38" t="n">
        <f aca="false">IF($A2206="",1,IF($Q2206=0,1,INDEX(COA_Mapping!$F$7:$F$256,$Q2206)))</f>
        <v>1</v>
      </c>
      <c r="P2206" s="34" t="str">
        <f aca="false">IF($A2206="","",$I2206*$O2206)</f>
        <v/>
      </c>
      <c r="Q2206" s="39" t="n">
        <f aca="false">IF($B2206="",0,IFERROR(MATCH($B2206,COA_Mapping!$A$7:$A$256,0),0))</f>
        <v>0</v>
      </c>
      <c r="R2206" s="39" t="n">
        <f aca="false">IF($A2206="",-1,IF($J2206=Setup!$B$7,1,IF($J2206=Setup!$B$9,0,-1)))</f>
        <v>-1</v>
      </c>
      <c r="S2206" s="35" t="n">
        <f aca="false">IF(OR($A2206="",$Q2206=0,$R2206=-1),0,$Q2206*1000+$R2206*100+$K2206)</f>
        <v>0</v>
      </c>
      <c r="T2206" s="37" t="str">
        <f aca="false">IF($A2206="","",IF($B2206="","NO ACCOUNT",IF($Q2206=0,"UNMAPPED",IF($R2206=-1,"OUTSIDE FY RANGE","OK"))))</f>
        <v/>
      </c>
      <c r="U2206" s="40" t="str">
        <f aca="false">IF($A2206="","",$B2206&amp;"|"&amp;TEXT($A2206,"yyyymmdd")&amp;"|"&amp;TEXT($I2206,"0.00"))</f>
        <v/>
      </c>
      <c r="V2206" s="35" t="str">
        <f aca="false">IF($A2206="","",COUNTIF($U$8:$U$5007,$U2206))</f>
        <v/>
      </c>
    </row>
    <row r="2207" customFormat="false" ht="15" hidden="false" customHeight="false" outlineLevel="0" collapsed="false">
      <c r="A2207" s="31"/>
      <c r="B2207" s="32"/>
      <c r="C2207" s="32"/>
      <c r="D2207" s="32"/>
      <c r="E2207" s="32"/>
      <c r="F2207" s="32"/>
      <c r="G2207" s="33"/>
      <c r="H2207" s="33"/>
      <c r="I2207" s="34" t="str">
        <f aca="false">IF($A2207="","",$G2207-$H2207)</f>
        <v/>
      </c>
      <c r="J2207" s="35" t="str">
        <f aca="false">IF($A2207="","",IF(Setup!$B$6=1,YEAR($A2207),YEAR($A2207)+IF(MONTH($A2207)&gt;=Setup!$B$6,1,0)))</f>
        <v/>
      </c>
      <c r="K2207" s="35" t="str">
        <f aca="false">IF($A2207="","",MOD(MONTH($A2207)-Setup!$B$6+12,12)+1)</f>
        <v/>
      </c>
      <c r="L2207" s="36" t="str">
        <f aca="false">IF($A2207="","",TEXT($A2207,"MMM-YY"))</f>
        <v/>
      </c>
      <c r="M2207" s="37" t="str">
        <f aca="false">IF($A2207="","",IF($Q2207=0,"UNMAPPED",INDEX(COA_Mapping!$C$7:$C$256,$Q2207)))</f>
        <v/>
      </c>
      <c r="N2207" s="38" t="str">
        <f aca="false">IF($A2207="","",IF($Q2207=0,"",INDEX(COA_Mapping!$E$7:$E$256,$Q2207)))</f>
        <v/>
      </c>
      <c r="O2207" s="38" t="n">
        <f aca="false">IF($A2207="",1,IF($Q2207=0,1,INDEX(COA_Mapping!$F$7:$F$256,$Q2207)))</f>
        <v>1</v>
      </c>
      <c r="P2207" s="34" t="str">
        <f aca="false">IF($A2207="","",$I2207*$O2207)</f>
        <v/>
      </c>
      <c r="Q2207" s="39" t="n">
        <f aca="false">IF($B2207="",0,IFERROR(MATCH($B2207,COA_Mapping!$A$7:$A$256,0),0))</f>
        <v>0</v>
      </c>
      <c r="R2207" s="39" t="n">
        <f aca="false">IF($A2207="",-1,IF($J2207=Setup!$B$7,1,IF($J2207=Setup!$B$9,0,-1)))</f>
        <v>-1</v>
      </c>
      <c r="S2207" s="35" t="n">
        <f aca="false">IF(OR($A2207="",$Q2207=0,$R2207=-1),0,$Q2207*1000+$R2207*100+$K2207)</f>
        <v>0</v>
      </c>
      <c r="T2207" s="37" t="str">
        <f aca="false">IF($A2207="","",IF($B2207="","NO ACCOUNT",IF($Q2207=0,"UNMAPPED",IF($R2207=-1,"OUTSIDE FY RANGE","OK"))))</f>
        <v/>
      </c>
      <c r="U2207" s="40" t="str">
        <f aca="false">IF($A2207="","",$B2207&amp;"|"&amp;TEXT($A2207,"yyyymmdd")&amp;"|"&amp;TEXT($I2207,"0.00"))</f>
        <v/>
      </c>
      <c r="V2207" s="35" t="str">
        <f aca="false">IF($A2207="","",COUNTIF($U$8:$U$5007,$U2207))</f>
        <v/>
      </c>
    </row>
    <row r="2208" customFormat="false" ht="15" hidden="false" customHeight="false" outlineLevel="0" collapsed="false">
      <c r="A2208" s="31"/>
      <c r="B2208" s="32"/>
      <c r="C2208" s="32"/>
      <c r="D2208" s="32"/>
      <c r="E2208" s="32"/>
      <c r="F2208" s="32"/>
      <c r="G2208" s="33"/>
      <c r="H2208" s="33"/>
      <c r="I2208" s="34" t="str">
        <f aca="false">IF($A2208="","",$G2208-$H2208)</f>
        <v/>
      </c>
      <c r="J2208" s="35" t="str">
        <f aca="false">IF($A2208="","",IF(Setup!$B$6=1,YEAR($A2208),YEAR($A2208)+IF(MONTH($A2208)&gt;=Setup!$B$6,1,0)))</f>
        <v/>
      </c>
      <c r="K2208" s="35" t="str">
        <f aca="false">IF($A2208="","",MOD(MONTH($A2208)-Setup!$B$6+12,12)+1)</f>
        <v/>
      </c>
      <c r="L2208" s="36" t="str">
        <f aca="false">IF($A2208="","",TEXT($A2208,"MMM-YY"))</f>
        <v/>
      </c>
      <c r="M2208" s="37" t="str">
        <f aca="false">IF($A2208="","",IF($Q2208=0,"UNMAPPED",INDEX(COA_Mapping!$C$7:$C$256,$Q2208)))</f>
        <v/>
      </c>
      <c r="N2208" s="38" t="str">
        <f aca="false">IF($A2208="","",IF($Q2208=0,"",INDEX(COA_Mapping!$E$7:$E$256,$Q2208)))</f>
        <v/>
      </c>
      <c r="O2208" s="38" t="n">
        <f aca="false">IF($A2208="",1,IF($Q2208=0,1,INDEX(COA_Mapping!$F$7:$F$256,$Q2208)))</f>
        <v>1</v>
      </c>
      <c r="P2208" s="34" t="str">
        <f aca="false">IF($A2208="","",$I2208*$O2208)</f>
        <v/>
      </c>
      <c r="Q2208" s="39" t="n">
        <f aca="false">IF($B2208="",0,IFERROR(MATCH($B2208,COA_Mapping!$A$7:$A$256,0),0))</f>
        <v>0</v>
      </c>
      <c r="R2208" s="39" t="n">
        <f aca="false">IF($A2208="",-1,IF($J2208=Setup!$B$7,1,IF($J2208=Setup!$B$9,0,-1)))</f>
        <v>-1</v>
      </c>
      <c r="S2208" s="35" t="n">
        <f aca="false">IF(OR($A2208="",$Q2208=0,$R2208=-1),0,$Q2208*1000+$R2208*100+$K2208)</f>
        <v>0</v>
      </c>
      <c r="T2208" s="37" t="str">
        <f aca="false">IF($A2208="","",IF($B2208="","NO ACCOUNT",IF($Q2208=0,"UNMAPPED",IF($R2208=-1,"OUTSIDE FY RANGE","OK"))))</f>
        <v/>
      </c>
      <c r="U2208" s="40" t="str">
        <f aca="false">IF($A2208="","",$B2208&amp;"|"&amp;TEXT($A2208,"yyyymmdd")&amp;"|"&amp;TEXT($I2208,"0.00"))</f>
        <v/>
      </c>
      <c r="V2208" s="35" t="str">
        <f aca="false">IF($A2208="","",COUNTIF($U$8:$U$5007,$U2208))</f>
        <v/>
      </c>
    </row>
    <row r="2209" customFormat="false" ht="15" hidden="false" customHeight="false" outlineLevel="0" collapsed="false">
      <c r="A2209" s="31"/>
      <c r="B2209" s="32"/>
      <c r="C2209" s="32"/>
      <c r="D2209" s="32"/>
      <c r="E2209" s="32"/>
      <c r="F2209" s="32"/>
      <c r="G2209" s="33"/>
      <c r="H2209" s="33"/>
      <c r="I2209" s="34" t="str">
        <f aca="false">IF($A2209="","",$G2209-$H2209)</f>
        <v/>
      </c>
      <c r="J2209" s="35" t="str">
        <f aca="false">IF($A2209="","",IF(Setup!$B$6=1,YEAR($A2209),YEAR($A2209)+IF(MONTH($A2209)&gt;=Setup!$B$6,1,0)))</f>
        <v/>
      </c>
      <c r="K2209" s="35" t="str">
        <f aca="false">IF($A2209="","",MOD(MONTH($A2209)-Setup!$B$6+12,12)+1)</f>
        <v/>
      </c>
      <c r="L2209" s="36" t="str">
        <f aca="false">IF($A2209="","",TEXT($A2209,"MMM-YY"))</f>
        <v/>
      </c>
      <c r="M2209" s="37" t="str">
        <f aca="false">IF($A2209="","",IF($Q2209=0,"UNMAPPED",INDEX(COA_Mapping!$C$7:$C$256,$Q2209)))</f>
        <v/>
      </c>
      <c r="N2209" s="38" t="str">
        <f aca="false">IF($A2209="","",IF($Q2209=0,"",INDEX(COA_Mapping!$E$7:$E$256,$Q2209)))</f>
        <v/>
      </c>
      <c r="O2209" s="38" t="n">
        <f aca="false">IF($A2209="",1,IF($Q2209=0,1,INDEX(COA_Mapping!$F$7:$F$256,$Q2209)))</f>
        <v>1</v>
      </c>
      <c r="P2209" s="34" t="str">
        <f aca="false">IF($A2209="","",$I2209*$O2209)</f>
        <v/>
      </c>
      <c r="Q2209" s="39" t="n">
        <f aca="false">IF($B2209="",0,IFERROR(MATCH($B2209,COA_Mapping!$A$7:$A$256,0),0))</f>
        <v>0</v>
      </c>
      <c r="R2209" s="39" t="n">
        <f aca="false">IF($A2209="",-1,IF($J2209=Setup!$B$7,1,IF($J2209=Setup!$B$9,0,-1)))</f>
        <v>-1</v>
      </c>
      <c r="S2209" s="35" t="n">
        <f aca="false">IF(OR($A2209="",$Q2209=0,$R2209=-1),0,$Q2209*1000+$R2209*100+$K2209)</f>
        <v>0</v>
      </c>
      <c r="T2209" s="37" t="str">
        <f aca="false">IF($A2209="","",IF($B2209="","NO ACCOUNT",IF($Q2209=0,"UNMAPPED",IF($R2209=-1,"OUTSIDE FY RANGE","OK"))))</f>
        <v/>
      </c>
      <c r="U2209" s="40" t="str">
        <f aca="false">IF($A2209="","",$B2209&amp;"|"&amp;TEXT($A2209,"yyyymmdd")&amp;"|"&amp;TEXT($I2209,"0.00"))</f>
        <v/>
      </c>
      <c r="V2209" s="35" t="str">
        <f aca="false">IF($A2209="","",COUNTIF($U$8:$U$5007,$U2209))</f>
        <v/>
      </c>
    </row>
    <row r="2210" customFormat="false" ht="15" hidden="false" customHeight="false" outlineLevel="0" collapsed="false">
      <c r="A2210" s="31"/>
      <c r="B2210" s="32"/>
      <c r="C2210" s="32"/>
      <c r="D2210" s="32"/>
      <c r="E2210" s="32"/>
      <c r="F2210" s="32"/>
      <c r="G2210" s="33"/>
      <c r="H2210" s="33"/>
      <c r="I2210" s="34" t="str">
        <f aca="false">IF($A2210="","",$G2210-$H2210)</f>
        <v/>
      </c>
      <c r="J2210" s="35" t="str">
        <f aca="false">IF($A2210="","",IF(Setup!$B$6=1,YEAR($A2210),YEAR($A2210)+IF(MONTH($A2210)&gt;=Setup!$B$6,1,0)))</f>
        <v/>
      </c>
      <c r="K2210" s="35" t="str">
        <f aca="false">IF($A2210="","",MOD(MONTH($A2210)-Setup!$B$6+12,12)+1)</f>
        <v/>
      </c>
      <c r="L2210" s="36" t="str">
        <f aca="false">IF($A2210="","",TEXT($A2210,"MMM-YY"))</f>
        <v/>
      </c>
      <c r="M2210" s="37" t="str">
        <f aca="false">IF($A2210="","",IF($Q2210=0,"UNMAPPED",INDEX(COA_Mapping!$C$7:$C$256,$Q2210)))</f>
        <v/>
      </c>
      <c r="N2210" s="38" t="str">
        <f aca="false">IF($A2210="","",IF($Q2210=0,"",INDEX(COA_Mapping!$E$7:$E$256,$Q2210)))</f>
        <v/>
      </c>
      <c r="O2210" s="38" t="n">
        <f aca="false">IF($A2210="",1,IF($Q2210=0,1,INDEX(COA_Mapping!$F$7:$F$256,$Q2210)))</f>
        <v>1</v>
      </c>
      <c r="P2210" s="34" t="str">
        <f aca="false">IF($A2210="","",$I2210*$O2210)</f>
        <v/>
      </c>
      <c r="Q2210" s="39" t="n">
        <f aca="false">IF($B2210="",0,IFERROR(MATCH($B2210,COA_Mapping!$A$7:$A$256,0),0))</f>
        <v>0</v>
      </c>
      <c r="R2210" s="39" t="n">
        <f aca="false">IF($A2210="",-1,IF($J2210=Setup!$B$7,1,IF($J2210=Setup!$B$9,0,-1)))</f>
        <v>-1</v>
      </c>
      <c r="S2210" s="35" t="n">
        <f aca="false">IF(OR($A2210="",$Q2210=0,$R2210=-1),0,$Q2210*1000+$R2210*100+$K2210)</f>
        <v>0</v>
      </c>
      <c r="T2210" s="37" t="str">
        <f aca="false">IF($A2210="","",IF($B2210="","NO ACCOUNT",IF($Q2210=0,"UNMAPPED",IF($R2210=-1,"OUTSIDE FY RANGE","OK"))))</f>
        <v/>
      </c>
      <c r="U2210" s="40" t="str">
        <f aca="false">IF($A2210="","",$B2210&amp;"|"&amp;TEXT($A2210,"yyyymmdd")&amp;"|"&amp;TEXT($I2210,"0.00"))</f>
        <v/>
      </c>
      <c r="V2210" s="35" t="str">
        <f aca="false">IF($A2210="","",COUNTIF($U$8:$U$5007,$U2210))</f>
        <v/>
      </c>
    </row>
    <row r="2211" customFormat="false" ht="15" hidden="false" customHeight="false" outlineLevel="0" collapsed="false">
      <c r="A2211" s="31"/>
      <c r="B2211" s="32"/>
      <c r="C2211" s="32"/>
      <c r="D2211" s="32"/>
      <c r="E2211" s="32"/>
      <c r="F2211" s="32"/>
      <c r="G2211" s="33"/>
      <c r="H2211" s="33"/>
      <c r="I2211" s="34" t="str">
        <f aca="false">IF($A2211="","",$G2211-$H2211)</f>
        <v/>
      </c>
      <c r="J2211" s="35" t="str">
        <f aca="false">IF($A2211="","",IF(Setup!$B$6=1,YEAR($A2211),YEAR($A2211)+IF(MONTH($A2211)&gt;=Setup!$B$6,1,0)))</f>
        <v/>
      </c>
      <c r="K2211" s="35" t="str">
        <f aca="false">IF($A2211="","",MOD(MONTH($A2211)-Setup!$B$6+12,12)+1)</f>
        <v/>
      </c>
      <c r="L2211" s="36" t="str">
        <f aca="false">IF($A2211="","",TEXT($A2211,"MMM-YY"))</f>
        <v/>
      </c>
      <c r="M2211" s="37" t="str">
        <f aca="false">IF($A2211="","",IF($Q2211=0,"UNMAPPED",INDEX(COA_Mapping!$C$7:$C$256,$Q2211)))</f>
        <v/>
      </c>
      <c r="N2211" s="38" t="str">
        <f aca="false">IF($A2211="","",IF($Q2211=0,"",INDEX(COA_Mapping!$E$7:$E$256,$Q2211)))</f>
        <v/>
      </c>
      <c r="O2211" s="38" t="n">
        <f aca="false">IF($A2211="",1,IF($Q2211=0,1,INDEX(COA_Mapping!$F$7:$F$256,$Q2211)))</f>
        <v>1</v>
      </c>
      <c r="P2211" s="34" t="str">
        <f aca="false">IF($A2211="","",$I2211*$O2211)</f>
        <v/>
      </c>
      <c r="Q2211" s="39" t="n">
        <f aca="false">IF($B2211="",0,IFERROR(MATCH($B2211,COA_Mapping!$A$7:$A$256,0),0))</f>
        <v>0</v>
      </c>
      <c r="R2211" s="39" t="n">
        <f aca="false">IF($A2211="",-1,IF($J2211=Setup!$B$7,1,IF($J2211=Setup!$B$9,0,-1)))</f>
        <v>-1</v>
      </c>
      <c r="S2211" s="35" t="n">
        <f aca="false">IF(OR($A2211="",$Q2211=0,$R2211=-1),0,$Q2211*1000+$R2211*100+$K2211)</f>
        <v>0</v>
      </c>
      <c r="T2211" s="37" t="str">
        <f aca="false">IF($A2211="","",IF($B2211="","NO ACCOUNT",IF($Q2211=0,"UNMAPPED",IF($R2211=-1,"OUTSIDE FY RANGE","OK"))))</f>
        <v/>
      </c>
      <c r="U2211" s="40" t="str">
        <f aca="false">IF($A2211="","",$B2211&amp;"|"&amp;TEXT($A2211,"yyyymmdd")&amp;"|"&amp;TEXT($I2211,"0.00"))</f>
        <v/>
      </c>
      <c r="V2211" s="35" t="str">
        <f aca="false">IF($A2211="","",COUNTIF($U$8:$U$5007,$U2211))</f>
        <v/>
      </c>
    </row>
    <row r="2212" customFormat="false" ht="15" hidden="false" customHeight="false" outlineLevel="0" collapsed="false">
      <c r="A2212" s="31"/>
      <c r="B2212" s="32"/>
      <c r="C2212" s="32"/>
      <c r="D2212" s="32"/>
      <c r="E2212" s="32"/>
      <c r="F2212" s="32"/>
      <c r="G2212" s="33"/>
      <c r="H2212" s="33"/>
      <c r="I2212" s="34" t="str">
        <f aca="false">IF($A2212="","",$G2212-$H2212)</f>
        <v/>
      </c>
      <c r="J2212" s="35" t="str">
        <f aca="false">IF($A2212="","",IF(Setup!$B$6=1,YEAR($A2212),YEAR($A2212)+IF(MONTH($A2212)&gt;=Setup!$B$6,1,0)))</f>
        <v/>
      </c>
      <c r="K2212" s="35" t="str">
        <f aca="false">IF($A2212="","",MOD(MONTH($A2212)-Setup!$B$6+12,12)+1)</f>
        <v/>
      </c>
      <c r="L2212" s="36" t="str">
        <f aca="false">IF($A2212="","",TEXT($A2212,"MMM-YY"))</f>
        <v/>
      </c>
      <c r="M2212" s="37" t="str">
        <f aca="false">IF($A2212="","",IF($Q2212=0,"UNMAPPED",INDEX(COA_Mapping!$C$7:$C$256,$Q2212)))</f>
        <v/>
      </c>
      <c r="N2212" s="38" t="str">
        <f aca="false">IF($A2212="","",IF($Q2212=0,"",INDEX(COA_Mapping!$E$7:$E$256,$Q2212)))</f>
        <v/>
      </c>
      <c r="O2212" s="38" t="n">
        <f aca="false">IF($A2212="",1,IF($Q2212=0,1,INDEX(COA_Mapping!$F$7:$F$256,$Q2212)))</f>
        <v>1</v>
      </c>
      <c r="P2212" s="34" t="str">
        <f aca="false">IF($A2212="","",$I2212*$O2212)</f>
        <v/>
      </c>
      <c r="Q2212" s="39" t="n">
        <f aca="false">IF($B2212="",0,IFERROR(MATCH($B2212,COA_Mapping!$A$7:$A$256,0),0))</f>
        <v>0</v>
      </c>
      <c r="R2212" s="39" t="n">
        <f aca="false">IF($A2212="",-1,IF($J2212=Setup!$B$7,1,IF($J2212=Setup!$B$9,0,-1)))</f>
        <v>-1</v>
      </c>
      <c r="S2212" s="35" t="n">
        <f aca="false">IF(OR($A2212="",$Q2212=0,$R2212=-1),0,$Q2212*1000+$R2212*100+$K2212)</f>
        <v>0</v>
      </c>
      <c r="T2212" s="37" t="str">
        <f aca="false">IF($A2212="","",IF($B2212="","NO ACCOUNT",IF($Q2212=0,"UNMAPPED",IF($R2212=-1,"OUTSIDE FY RANGE","OK"))))</f>
        <v/>
      </c>
      <c r="U2212" s="40" t="str">
        <f aca="false">IF($A2212="","",$B2212&amp;"|"&amp;TEXT($A2212,"yyyymmdd")&amp;"|"&amp;TEXT($I2212,"0.00"))</f>
        <v/>
      </c>
      <c r="V2212" s="35" t="str">
        <f aca="false">IF($A2212="","",COUNTIF($U$8:$U$5007,$U2212))</f>
        <v/>
      </c>
    </row>
    <row r="2213" customFormat="false" ht="15" hidden="false" customHeight="false" outlineLevel="0" collapsed="false">
      <c r="A2213" s="31"/>
      <c r="B2213" s="32"/>
      <c r="C2213" s="32"/>
      <c r="D2213" s="32"/>
      <c r="E2213" s="32"/>
      <c r="F2213" s="32"/>
      <c r="G2213" s="33"/>
      <c r="H2213" s="33"/>
      <c r="I2213" s="34" t="str">
        <f aca="false">IF($A2213="","",$G2213-$H2213)</f>
        <v/>
      </c>
      <c r="J2213" s="35" t="str">
        <f aca="false">IF($A2213="","",IF(Setup!$B$6=1,YEAR($A2213),YEAR($A2213)+IF(MONTH($A2213)&gt;=Setup!$B$6,1,0)))</f>
        <v/>
      </c>
      <c r="K2213" s="35" t="str">
        <f aca="false">IF($A2213="","",MOD(MONTH($A2213)-Setup!$B$6+12,12)+1)</f>
        <v/>
      </c>
      <c r="L2213" s="36" t="str">
        <f aca="false">IF($A2213="","",TEXT($A2213,"MMM-YY"))</f>
        <v/>
      </c>
      <c r="M2213" s="37" t="str">
        <f aca="false">IF($A2213="","",IF($Q2213=0,"UNMAPPED",INDEX(COA_Mapping!$C$7:$C$256,$Q2213)))</f>
        <v/>
      </c>
      <c r="N2213" s="38" t="str">
        <f aca="false">IF($A2213="","",IF($Q2213=0,"",INDEX(COA_Mapping!$E$7:$E$256,$Q2213)))</f>
        <v/>
      </c>
      <c r="O2213" s="38" t="n">
        <f aca="false">IF($A2213="",1,IF($Q2213=0,1,INDEX(COA_Mapping!$F$7:$F$256,$Q2213)))</f>
        <v>1</v>
      </c>
      <c r="P2213" s="34" t="str">
        <f aca="false">IF($A2213="","",$I2213*$O2213)</f>
        <v/>
      </c>
      <c r="Q2213" s="39" t="n">
        <f aca="false">IF($B2213="",0,IFERROR(MATCH($B2213,COA_Mapping!$A$7:$A$256,0),0))</f>
        <v>0</v>
      </c>
      <c r="R2213" s="39" t="n">
        <f aca="false">IF($A2213="",-1,IF($J2213=Setup!$B$7,1,IF($J2213=Setup!$B$9,0,-1)))</f>
        <v>-1</v>
      </c>
      <c r="S2213" s="35" t="n">
        <f aca="false">IF(OR($A2213="",$Q2213=0,$R2213=-1),0,$Q2213*1000+$R2213*100+$K2213)</f>
        <v>0</v>
      </c>
      <c r="T2213" s="37" t="str">
        <f aca="false">IF($A2213="","",IF($B2213="","NO ACCOUNT",IF($Q2213=0,"UNMAPPED",IF($R2213=-1,"OUTSIDE FY RANGE","OK"))))</f>
        <v/>
      </c>
      <c r="U2213" s="40" t="str">
        <f aca="false">IF($A2213="","",$B2213&amp;"|"&amp;TEXT($A2213,"yyyymmdd")&amp;"|"&amp;TEXT($I2213,"0.00"))</f>
        <v/>
      </c>
      <c r="V2213" s="35" t="str">
        <f aca="false">IF($A2213="","",COUNTIF($U$8:$U$5007,$U2213))</f>
        <v/>
      </c>
    </row>
    <row r="2214" customFormat="false" ht="15" hidden="false" customHeight="false" outlineLevel="0" collapsed="false">
      <c r="A2214" s="31"/>
      <c r="B2214" s="32"/>
      <c r="C2214" s="32"/>
      <c r="D2214" s="32"/>
      <c r="E2214" s="32"/>
      <c r="F2214" s="32"/>
      <c r="G2214" s="33"/>
      <c r="H2214" s="33"/>
      <c r="I2214" s="34" t="str">
        <f aca="false">IF($A2214="","",$G2214-$H2214)</f>
        <v/>
      </c>
      <c r="J2214" s="35" t="str">
        <f aca="false">IF($A2214="","",IF(Setup!$B$6=1,YEAR($A2214),YEAR($A2214)+IF(MONTH($A2214)&gt;=Setup!$B$6,1,0)))</f>
        <v/>
      </c>
      <c r="K2214" s="35" t="str">
        <f aca="false">IF($A2214="","",MOD(MONTH($A2214)-Setup!$B$6+12,12)+1)</f>
        <v/>
      </c>
      <c r="L2214" s="36" t="str">
        <f aca="false">IF($A2214="","",TEXT($A2214,"MMM-YY"))</f>
        <v/>
      </c>
      <c r="M2214" s="37" t="str">
        <f aca="false">IF($A2214="","",IF($Q2214=0,"UNMAPPED",INDEX(COA_Mapping!$C$7:$C$256,$Q2214)))</f>
        <v/>
      </c>
      <c r="N2214" s="38" t="str">
        <f aca="false">IF($A2214="","",IF($Q2214=0,"",INDEX(COA_Mapping!$E$7:$E$256,$Q2214)))</f>
        <v/>
      </c>
      <c r="O2214" s="38" t="n">
        <f aca="false">IF($A2214="",1,IF($Q2214=0,1,INDEX(COA_Mapping!$F$7:$F$256,$Q2214)))</f>
        <v>1</v>
      </c>
      <c r="P2214" s="34" t="str">
        <f aca="false">IF($A2214="","",$I2214*$O2214)</f>
        <v/>
      </c>
      <c r="Q2214" s="39" t="n">
        <f aca="false">IF($B2214="",0,IFERROR(MATCH($B2214,COA_Mapping!$A$7:$A$256,0),0))</f>
        <v>0</v>
      </c>
      <c r="R2214" s="39" t="n">
        <f aca="false">IF($A2214="",-1,IF($J2214=Setup!$B$7,1,IF($J2214=Setup!$B$9,0,-1)))</f>
        <v>-1</v>
      </c>
      <c r="S2214" s="35" t="n">
        <f aca="false">IF(OR($A2214="",$Q2214=0,$R2214=-1),0,$Q2214*1000+$R2214*100+$K2214)</f>
        <v>0</v>
      </c>
      <c r="T2214" s="37" t="str">
        <f aca="false">IF($A2214="","",IF($B2214="","NO ACCOUNT",IF($Q2214=0,"UNMAPPED",IF($R2214=-1,"OUTSIDE FY RANGE","OK"))))</f>
        <v/>
      </c>
      <c r="U2214" s="40" t="str">
        <f aca="false">IF($A2214="","",$B2214&amp;"|"&amp;TEXT($A2214,"yyyymmdd")&amp;"|"&amp;TEXT($I2214,"0.00"))</f>
        <v/>
      </c>
      <c r="V2214" s="35" t="str">
        <f aca="false">IF($A2214="","",COUNTIF($U$8:$U$5007,$U2214))</f>
        <v/>
      </c>
    </row>
    <row r="2215" customFormat="false" ht="15" hidden="false" customHeight="false" outlineLevel="0" collapsed="false">
      <c r="A2215" s="31"/>
      <c r="B2215" s="32"/>
      <c r="C2215" s="32"/>
      <c r="D2215" s="32"/>
      <c r="E2215" s="32"/>
      <c r="F2215" s="32"/>
      <c r="G2215" s="33"/>
      <c r="H2215" s="33"/>
      <c r="I2215" s="34" t="str">
        <f aca="false">IF($A2215="","",$G2215-$H2215)</f>
        <v/>
      </c>
      <c r="J2215" s="35" t="str">
        <f aca="false">IF($A2215="","",IF(Setup!$B$6=1,YEAR($A2215),YEAR($A2215)+IF(MONTH($A2215)&gt;=Setup!$B$6,1,0)))</f>
        <v/>
      </c>
      <c r="K2215" s="35" t="str">
        <f aca="false">IF($A2215="","",MOD(MONTH($A2215)-Setup!$B$6+12,12)+1)</f>
        <v/>
      </c>
      <c r="L2215" s="36" t="str">
        <f aca="false">IF($A2215="","",TEXT($A2215,"MMM-YY"))</f>
        <v/>
      </c>
      <c r="M2215" s="37" t="str">
        <f aca="false">IF($A2215="","",IF($Q2215=0,"UNMAPPED",INDEX(COA_Mapping!$C$7:$C$256,$Q2215)))</f>
        <v/>
      </c>
      <c r="N2215" s="38" t="str">
        <f aca="false">IF($A2215="","",IF($Q2215=0,"",INDEX(COA_Mapping!$E$7:$E$256,$Q2215)))</f>
        <v/>
      </c>
      <c r="O2215" s="38" t="n">
        <f aca="false">IF($A2215="",1,IF($Q2215=0,1,INDEX(COA_Mapping!$F$7:$F$256,$Q2215)))</f>
        <v>1</v>
      </c>
      <c r="P2215" s="34" t="str">
        <f aca="false">IF($A2215="","",$I2215*$O2215)</f>
        <v/>
      </c>
      <c r="Q2215" s="39" t="n">
        <f aca="false">IF($B2215="",0,IFERROR(MATCH($B2215,COA_Mapping!$A$7:$A$256,0),0))</f>
        <v>0</v>
      </c>
      <c r="R2215" s="39" t="n">
        <f aca="false">IF($A2215="",-1,IF($J2215=Setup!$B$7,1,IF($J2215=Setup!$B$9,0,-1)))</f>
        <v>-1</v>
      </c>
      <c r="S2215" s="35" t="n">
        <f aca="false">IF(OR($A2215="",$Q2215=0,$R2215=-1),0,$Q2215*1000+$R2215*100+$K2215)</f>
        <v>0</v>
      </c>
      <c r="T2215" s="37" t="str">
        <f aca="false">IF($A2215="","",IF($B2215="","NO ACCOUNT",IF($Q2215=0,"UNMAPPED",IF($R2215=-1,"OUTSIDE FY RANGE","OK"))))</f>
        <v/>
      </c>
      <c r="U2215" s="40" t="str">
        <f aca="false">IF($A2215="","",$B2215&amp;"|"&amp;TEXT($A2215,"yyyymmdd")&amp;"|"&amp;TEXT($I2215,"0.00"))</f>
        <v/>
      </c>
      <c r="V2215" s="35" t="str">
        <f aca="false">IF($A2215="","",COUNTIF($U$8:$U$5007,$U2215))</f>
        <v/>
      </c>
    </row>
    <row r="2216" customFormat="false" ht="15" hidden="false" customHeight="false" outlineLevel="0" collapsed="false">
      <c r="A2216" s="31"/>
      <c r="B2216" s="32"/>
      <c r="C2216" s="32"/>
      <c r="D2216" s="32"/>
      <c r="E2216" s="32"/>
      <c r="F2216" s="32"/>
      <c r="G2216" s="33"/>
      <c r="H2216" s="33"/>
      <c r="I2216" s="34" t="str">
        <f aca="false">IF($A2216="","",$G2216-$H2216)</f>
        <v/>
      </c>
      <c r="J2216" s="35" t="str">
        <f aca="false">IF($A2216="","",IF(Setup!$B$6=1,YEAR($A2216),YEAR($A2216)+IF(MONTH($A2216)&gt;=Setup!$B$6,1,0)))</f>
        <v/>
      </c>
      <c r="K2216" s="35" t="str">
        <f aca="false">IF($A2216="","",MOD(MONTH($A2216)-Setup!$B$6+12,12)+1)</f>
        <v/>
      </c>
      <c r="L2216" s="36" t="str">
        <f aca="false">IF($A2216="","",TEXT($A2216,"MMM-YY"))</f>
        <v/>
      </c>
      <c r="M2216" s="37" t="str">
        <f aca="false">IF($A2216="","",IF($Q2216=0,"UNMAPPED",INDEX(COA_Mapping!$C$7:$C$256,$Q2216)))</f>
        <v/>
      </c>
      <c r="N2216" s="38" t="str">
        <f aca="false">IF($A2216="","",IF($Q2216=0,"",INDEX(COA_Mapping!$E$7:$E$256,$Q2216)))</f>
        <v/>
      </c>
      <c r="O2216" s="38" t="n">
        <f aca="false">IF($A2216="",1,IF($Q2216=0,1,INDEX(COA_Mapping!$F$7:$F$256,$Q2216)))</f>
        <v>1</v>
      </c>
      <c r="P2216" s="34" t="str">
        <f aca="false">IF($A2216="","",$I2216*$O2216)</f>
        <v/>
      </c>
      <c r="Q2216" s="39" t="n">
        <f aca="false">IF($B2216="",0,IFERROR(MATCH($B2216,COA_Mapping!$A$7:$A$256,0),0))</f>
        <v>0</v>
      </c>
      <c r="R2216" s="39" t="n">
        <f aca="false">IF($A2216="",-1,IF($J2216=Setup!$B$7,1,IF($J2216=Setup!$B$9,0,-1)))</f>
        <v>-1</v>
      </c>
      <c r="S2216" s="35" t="n">
        <f aca="false">IF(OR($A2216="",$Q2216=0,$R2216=-1),0,$Q2216*1000+$R2216*100+$K2216)</f>
        <v>0</v>
      </c>
      <c r="T2216" s="37" t="str">
        <f aca="false">IF($A2216="","",IF($B2216="","NO ACCOUNT",IF($Q2216=0,"UNMAPPED",IF($R2216=-1,"OUTSIDE FY RANGE","OK"))))</f>
        <v/>
      </c>
      <c r="U2216" s="40" t="str">
        <f aca="false">IF($A2216="","",$B2216&amp;"|"&amp;TEXT($A2216,"yyyymmdd")&amp;"|"&amp;TEXT($I2216,"0.00"))</f>
        <v/>
      </c>
      <c r="V2216" s="35" t="str">
        <f aca="false">IF($A2216="","",COUNTIF($U$8:$U$5007,$U2216))</f>
        <v/>
      </c>
    </row>
    <row r="2217" customFormat="false" ht="15" hidden="false" customHeight="false" outlineLevel="0" collapsed="false">
      <c r="A2217" s="31"/>
      <c r="B2217" s="32"/>
      <c r="C2217" s="32"/>
      <c r="D2217" s="32"/>
      <c r="E2217" s="32"/>
      <c r="F2217" s="32"/>
      <c r="G2217" s="33"/>
      <c r="H2217" s="33"/>
      <c r="I2217" s="34" t="str">
        <f aca="false">IF($A2217="","",$G2217-$H2217)</f>
        <v/>
      </c>
      <c r="J2217" s="35" t="str">
        <f aca="false">IF($A2217="","",IF(Setup!$B$6=1,YEAR($A2217),YEAR($A2217)+IF(MONTH($A2217)&gt;=Setup!$B$6,1,0)))</f>
        <v/>
      </c>
      <c r="K2217" s="35" t="str">
        <f aca="false">IF($A2217="","",MOD(MONTH($A2217)-Setup!$B$6+12,12)+1)</f>
        <v/>
      </c>
      <c r="L2217" s="36" t="str">
        <f aca="false">IF($A2217="","",TEXT($A2217,"MMM-YY"))</f>
        <v/>
      </c>
      <c r="M2217" s="37" t="str">
        <f aca="false">IF($A2217="","",IF($Q2217=0,"UNMAPPED",INDEX(COA_Mapping!$C$7:$C$256,$Q2217)))</f>
        <v/>
      </c>
      <c r="N2217" s="38" t="str">
        <f aca="false">IF($A2217="","",IF($Q2217=0,"",INDEX(COA_Mapping!$E$7:$E$256,$Q2217)))</f>
        <v/>
      </c>
      <c r="O2217" s="38" t="n">
        <f aca="false">IF($A2217="",1,IF($Q2217=0,1,INDEX(COA_Mapping!$F$7:$F$256,$Q2217)))</f>
        <v>1</v>
      </c>
      <c r="P2217" s="34" t="str">
        <f aca="false">IF($A2217="","",$I2217*$O2217)</f>
        <v/>
      </c>
      <c r="Q2217" s="39" t="n">
        <f aca="false">IF($B2217="",0,IFERROR(MATCH($B2217,COA_Mapping!$A$7:$A$256,0),0))</f>
        <v>0</v>
      </c>
      <c r="R2217" s="39" t="n">
        <f aca="false">IF($A2217="",-1,IF($J2217=Setup!$B$7,1,IF($J2217=Setup!$B$9,0,-1)))</f>
        <v>-1</v>
      </c>
      <c r="S2217" s="35" t="n">
        <f aca="false">IF(OR($A2217="",$Q2217=0,$R2217=-1),0,$Q2217*1000+$R2217*100+$K2217)</f>
        <v>0</v>
      </c>
      <c r="T2217" s="37" t="str">
        <f aca="false">IF($A2217="","",IF($B2217="","NO ACCOUNT",IF($Q2217=0,"UNMAPPED",IF($R2217=-1,"OUTSIDE FY RANGE","OK"))))</f>
        <v/>
      </c>
      <c r="U2217" s="40" t="str">
        <f aca="false">IF($A2217="","",$B2217&amp;"|"&amp;TEXT($A2217,"yyyymmdd")&amp;"|"&amp;TEXT($I2217,"0.00"))</f>
        <v/>
      </c>
      <c r="V2217" s="35" t="str">
        <f aca="false">IF($A2217="","",COUNTIF($U$8:$U$5007,$U2217))</f>
        <v/>
      </c>
    </row>
    <row r="2218" customFormat="false" ht="15" hidden="false" customHeight="false" outlineLevel="0" collapsed="false">
      <c r="A2218" s="31"/>
      <c r="B2218" s="32"/>
      <c r="C2218" s="32"/>
      <c r="D2218" s="32"/>
      <c r="E2218" s="32"/>
      <c r="F2218" s="32"/>
      <c r="G2218" s="33"/>
      <c r="H2218" s="33"/>
      <c r="I2218" s="34" t="str">
        <f aca="false">IF($A2218="","",$G2218-$H2218)</f>
        <v/>
      </c>
      <c r="J2218" s="35" t="str">
        <f aca="false">IF($A2218="","",IF(Setup!$B$6=1,YEAR($A2218),YEAR($A2218)+IF(MONTH($A2218)&gt;=Setup!$B$6,1,0)))</f>
        <v/>
      </c>
      <c r="K2218" s="35" t="str">
        <f aca="false">IF($A2218="","",MOD(MONTH($A2218)-Setup!$B$6+12,12)+1)</f>
        <v/>
      </c>
      <c r="L2218" s="36" t="str">
        <f aca="false">IF($A2218="","",TEXT($A2218,"MMM-YY"))</f>
        <v/>
      </c>
      <c r="M2218" s="37" t="str">
        <f aca="false">IF($A2218="","",IF($Q2218=0,"UNMAPPED",INDEX(COA_Mapping!$C$7:$C$256,$Q2218)))</f>
        <v/>
      </c>
      <c r="N2218" s="38" t="str">
        <f aca="false">IF($A2218="","",IF($Q2218=0,"",INDEX(COA_Mapping!$E$7:$E$256,$Q2218)))</f>
        <v/>
      </c>
      <c r="O2218" s="38" t="n">
        <f aca="false">IF($A2218="",1,IF($Q2218=0,1,INDEX(COA_Mapping!$F$7:$F$256,$Q2218)))</f>
        <v>1</v>
      </c>
      <c r="P2218" s="34" t="str">
        <f aca="false">IF($A2218="","",$I2218*$O2218)</f>
        <v/>
      </c>
      <c r="Q2218" s="39" t="n">
        <f aca="false">IF($B2218="",0,IFERROR(MATCH($B2218,COA_Mapping!$A$7:$A$256,0),0))</f>
        <v>0</v>
      </c>
      <c r="R2218" s="39" t="n">
        <f aca="false">IF($A2218="",-1,IF($J2218=Setup!$B$7,1,IF($J2218=Setup!$B$9,0,-1)))</f>
        <v>-1</v>
      </c>
      <c r="S2218" s="35" t="n">
        <f aca="false">IF(OR($A2218="",$Q2218=0,$R2218=-1),0,$Q2218*1000+$R2218*100+$K2218)</f>
        <v>0</v>
      </c>
      <c r="T2218" s="37" t="str">
        <f aca="false">IF($A2218="","",IF($B2218="","NO ACCOUNT",IF($Q2218=0,"UNMAPPED",IF($R2218=-1,"OUTSIDE FY RANGE","OK"))))</f>
        <v/>
      </c>
      <c r="U2218" s="40" t="str">
        <f aca="false">IF($A2218="","",$B2218&amp;"|"&amp;TEXT($A2218,"yyyymmdd")&amp;"|"&amp;TEXT($I2218,"0.00"))</f>
        <v/>
      </c>
      <c r="V2218" s="35" t="str">
        <f aca="false">IF($A2218="","",COUNTIF($U$8:$U$5007,$U2218))</f>
        <v/>
      </c>
    </row>
    <row r="2219" customFormat="false" ht="15" hidden="false" customHeight="false" outlineLevel="0" collapsed="false">
      <c r="A2219" s="31"/>
      <c r="B2219" s="32"/>
      <c r="C2219" s="32"/>
      <c r="D2219" s="32"/>
      <c r="E2219" s="32"/>
      <c r="F2219" s="32"/>
      <c r="G2219" s="33"/>
      <c r="H2219" s="33"/>
      <c r="I2219" s="34" t="str">
        <f aca="false">IF($A2219="","",$G2219-$H2219)</f>
        <v/>
      </c>
      <c r="J2219" s="35" t="str">
        <f aca="false">IF($A2219="","",IF(Setup!$B$6=1,YEAR($A2219),YEAR($A2219)+IF(MONTH($A2219)&gt;=Setup!$B$6,1,0)))</f>
        <v/>
      </c>
      <c r="K2219" s="35" t="str">
        <f aca="false">IF($A2219="","",MOD(MONTH($A2219)-Setup!$B$6+12,12)+1)</f>
        <v/>
      </c>
      <c r="L2219" s="36" t="str">
        <f aca="false">IF($A2219="","",TEXT($A2219,"MMM-YY"))</f>
        <v/>
      </c>
      <c r="M2219" s="37" t="str">
        <f aca="false">IF($A2219="","",IF($Q2219=0,"UNMAPPED",INDEX(COA_Mapping!$C$7:$C$256,$Q2219)))</f>
        <v/>
      </c>
      <c r="N2219" s="38" t="str">
        <f aca="false">IF($A2219="","",IF($Q2219=0,"",INDEX(COA_Mapping!$E$7:$E$256,$Q2219)))</f>
        <v/>
      </c>
      <c r="O2219" s="38" t="n">
        <f aca="false">IF($A2219="",1,IF($Q2219=0,1,INDEX(COA_Mapping!$F$7:$F$256,$Q2219)))</f>
        <v>1</v>
      </c>
      <c r="P2219" s="34" t="str">
        <f aca="false">IF($A2219="","",$I2219*$O2219)</f>
        <v/>
      </c>
      <c r="Q2219" s="39" t="n">
        <f aca="false">IF($B2219="",0,IFERROR(MATCH($B2219,COA_Mapping!$A$7:$A$256,0),0))</f>
        <v>0</v>
      </c>
      <c r="R2219" s="39" t="n">
        <f aca="false">IF($A2219="",-1,IF($J2219=Setup!$B$7,1,IF($J2219=Setup!$B$9,0,-1)))</f>
        <v>-1</v>
      </c>
      <c r="S2219" s="35" t="n">
        <f aca="false">IF(OR($A2219="",$Q2219=0,$R2219=-1),0,$Q2219*1000+$R2219*100+$K2219)</f>
        <v>0</v>
      </c>
      <c r="T2219" s="37" t="str">
        <f aca="false">IF($A2219="","",IF($B2219="","NO ACCOUNT",IF($Q2219=0,"UNMAPPED",IF($R2219=-1,"OUTSIDE FY RANGE","OK"))))</f>
        <v/>
      </c>
      <c r="U2219" s="40" t="str">
        <f aca="false">IF($A2219="","",$B2219&amp;"|"&amp;TEXT($A2219,"yyyymmdd")&amp;"|"&amp;TEXT($I2219,"0.00"))</f>
        <v/>
      </c>
      <c r="V2219" s="35" t="str">
        <f aca="false">IF($A2219="","",COUNTIF($U$8:$U$5007,$U2219))</f>
        <v/>
      </c>
    </row>
    <row r="2220" customFormat="false" ht="15" hidden="false" customHeight="false" outlineLevel="0" collapsed="false">
      <c r="A2220" s="31"/>
      <c r="B2220" s="32"/>
      <c r="C2220" s="32"/>
      <c r="D2220" s="32"/>
      <c r="E2220" s="32"/>
      <c r="F2220" s="32"/>
      <c r="G2220" s="33"/>
      <c r="H2220" s="33"/>
      <c r="I2220" s="34" t="str">
        <f aca="false">IF($A2220="","",$G2220-$H2220)</f>
        <v/>
      </c>
      <c r="J2220" s="35" t="str">
        <f aca="false">IF($A2220="","",IF(Setup!$B$6=1,YEAR($A2220),YEAR($A2220)+IF(MONTH($A2220)&gt;=Setup!$B$6,1,0)))</f>
        <v/>
      </c>
      <c r="K2220" s="35" t="str">
        <f aca="false">IF($A2220="","",MOD(MONTH($A2220)-Setup!$B$6+12,12)+1)</f>
        <v/>
      </c>
      <c r="L2220" s="36" t="str">
        <f aca="false">IF($A2220="","",TEXT($A2220,"MMM-YY"))</f>
        <v/>
      </c>
      <c r="M2220" s="37" t="str">
        <f aca="false">IF($A2220="","",IF($Q2220=0,"UNMAPPED",INDEX(COA_Mapping!$C$7:$C$256,$Q2220)))</f>
        <v/>
      </c>
      <c r="N2220" s="38" t="str">
        <f aca="false">IF($A2220="","",IF($Q2220=0,"",INDEX(COA_Mapping!$E$7:$E$256,$Q2220)))</f>
        <v/>
      </c>
      <c r="O2220" s="38" t="n">
        <f aca="false">IF($A2220="",1,IF($Q2220=0,1,INDEX(COA_Mapping!$F$7:$F$256,$Q2220)))</f>
        <v>1</v>
      </c>
      <c r="P2220" s="34" t="str">
        <f aca="false">IF($A2220="","",$I2220*$O2220)</f>
        <v/>
      </c>
      <c r="Q2220" s="39" t="n">
        <f aca="false">IF($B2220="",0,IFERROR(MATCH($B2220,COA_Mapping!$A$7:$A$256,0),0))</f>
        <v>0</v>
      </c>
      <c r="R2220" s="39" t="n">
        <f aca="false">IF($A2220="",-1,IF($J2220=Setup!$B$7,1,IF($J2220=Setup!$B$9,0,-1)))</f>
        <v>-1</v>
      </c>
      <c r="S2220" s="35" t="n">
        <f aca="false">IF(OR($A2220="",$Q2220=0,$R2220=-1),0,$Q2220*1000+$R2220*100+$K2220)</f>
        <v>0</v>
      </c>
      <c r="T2220" s="37" t="str">
        <f aca="false">IF($A2220="","",IF($B2220="","NO ACCOUNT",IF($Q2220=0,"UNMAPPED",IF($R2220=-1,"OUTSIDE FY RANGE","OK"))))</f>
        <v/>
      </c>
      <c r="U2220" s="40" t="str">
        <f aca="false">IF($A2220="","",$B2220&amp;"|"&amp;TEXT($A2220,"yyyymmdd")&amp;"|"&amp;TEXT($I2220,"0.00"))</f>
        <v/>
      </c>
      <c r="V2220" s="35" t="str">
        <f aca="false">IF($A2220="","",COUNTIF($U$8:$U$5007,$U2220))</f>
        <v/>
      </c>
    </row>
    <row r="2221" customFormat="false" ht="15" hidden="false" customHeight="false" outlineLevel="0" collapsed="false">
      <c r="A2221" s="31"/>
      <c r="B2221" s="32"/>
      <c r="C2221" s="32"/>
      <c r="D2221" s="32"/>
      <c r="E2221" s="32"/>
      <c r="F2221" s="32"/>
      <c r="G2221" s="33"/>
      <c r="H2221" s="33"/>
      <c r="I2221" s="34" t="str">
        <f aca="false">IF($A2221="","",$G2221-$H2221)</f>
        <v/>
      </c>
      <c r="J2221" s="35" t="str">
        <f aca="false">IF($A2221="","",IF(Setup!$B$6=1,YEAR($A2221),YEAR($A2221)+IF(MONTH($A2221)&gt;=Setup!$B$6,1,0)))</f>
        <v/>
      </c>
      <c r="K2221" s="35" t="str">
        <f aca="false">IF($A2221="","",MOD(MONTH($A2221)-Setup!$B$6+12,12)+1)</f>
        <v/>
      </c>
      <c r="L2221" s="36" t="str">
        <f aca="false">IF($A2221="","",TEXT($A2221,"MMM-YY"))</f>
        <v/>
      </c>
      <c r="M2221" s="37" t="str">
        <f aca="false">IF($A2221="","",IF($Q2221=0,"UNMAPPED",INDEX(COA_Mapping!$C$7:$C$256,$Q2221)))</f>
        <v/>
      </c>
      <c r="N2221" s="38" t="str">
        <f aca="false">IF($A2221="","",IF($Q2221=0,"",INDEX(COA_Mapping!$E$7:$E$256,$Q2221)))</f>
        <v/>
      </c>
      <c r="O2221" s="38" t="n">
        <f aca="false">IF($A2221="",1,IF($Q2221=0,1,INDEX(COA_Mapping!$F$7:$F$256,$Q2221)))</f>
        <v>1</v>
      </c>
      <c r="P2221" s="34" t="str">
        <f aca="false">IF($A2221="","",$I2221*$O2221)</f>
        <v/>
      </c>
      <c r="Q2221" s="39" t="n">
        <f aca="false">IF($B2221="",0,IFERROR(MATCH($B2221,COA_Mapping!$A$7:$A$256,0),0))</f>
        <v>0</v>
      </c>
      <c r="R2221" s="39" t="n">
        <f aca="false">IF($A2221="",-1,IF($J2221=Setup!$B$7,1,IF($J2221=Setup!$B$9,0,-1)))</f>
        <v>-1</v>
      </c>
      <c r="S2221" s="35" t="n">
        <f aca="false">IF(OR($A2221="",$Q2221=0,$R2221=-1),0,$Q2221*1000+$R2221*100+$K2221)</f>
        <v>0</v>
      </c>
      <c r="T2221" s="37" t="str">
        <f aca="false">IF($A2221="","",IF($B2221="","NO ACCOUNT",IF($Q2221=0,"UNMAPPED",IF($R2221=-1,"OUTSIDE FY RANGE","OK"))))</f>
        <v/>
      </c>
      <c r="U2221" s="40" t="str">
        <f aca="false">IF($A2221="","",$B2221&amp;"|"&amp;TEXT($A2221,"yyyymmdd")&amp;"|"&amp;TEXT($I2221,"0.00"))</f>
        <v/>
      </c>
      <c r="V2221" s="35" t="str">
        <f aca="false">IF($A2221="","",COUNTIF($U$8:$U$5007,$U2221))</f>
        <v/>
      </c>
    </row>
    <row r="2222" customFormat="false" ht="15" hidden="false" customHeight="false" outlineLevel="0" collapsed="false">
      <c r="A2222" s="31"/>
      <c r="B2222" s="32"/>
      <c r="C2222" s="32"/>
      <c r="D2222" s="32"/>
      <c r="E2222" s="32"/>
      <c r="F2222" s="32"/>
      <c r="G2222" s="33"/>
      <c r="H2222" s="33"/>
      <c r="I2222" s="34" t="str">
        <f aca="false">IF($A2222="","",$G2222-$H2222)</f>
        <v/>
      </c>
      <c r="J2222" s="35" t="str">
        <f aca="false">IF($A2222="","",IF(Setup!$B$6=1,YEAR($A2222),YEAR($A2222)+IF(MONTH($A2222)&gt;=Setup!$B$6,1,0)))</f>
        <v/>
      </c>
      <c r="K2222" s="35" t="str">
        <f aca="false">IF($A2222="","",MOD(MONTH($A2222)-Setup!$B$6+12,12)+1)</f>
        <v/>
      </c>
      <c r="L2222" s="36" t="str">
        <f aca="false">IF($A2222="","",TEXT($A2222,"MMM-YY"))</f>
        <v/>
      </c>
      <c r="M2222" s="37" t="str">
        <f aca="false">IF($A2222="","",IF($Q2222=0,"UNMAPPED",INDEX(COA_Mapping!$C$7:$C$256,$Q2222)))</f>
        <v/>
      </c>
      <c r="N2222" s="38" t="str">
        <f aca="false">IF($A2222="","",IF($Q2222=0,"",INDEX(COA_Mapping!$E$7:$E$256,$Q2222)))</f>
        <v/>
      </c>
      <c r="O2222" s="38" t="n">
        <f aca="false">IF($A2222="",1,IF($Q2222=0,1,INDEX(COA_Mapping!$F$7:$F$256,$Q2222)))</f>
        <v>1</v>
      </c>
      <c r="P2222" s="34" t="str">
        <f aca="false">IF($A2222="","",$I2222*$O2222)</f>
        <v/>
      </c>
      <c r="Q2222" s="39" t="n">
        <f aca="false">IF($B2222="",0,IFERROR(MATCH($B2222,COA_Mapping!$A$7:$A$256,0),0))</f>
        <v>0</v>
      </c>
      <c r="R2222" s="39" t="n">
        <f aca="false">IF($A2222="",-1,IF($J2222=Setup!$B$7,1,IF($J2222=Setup!$B$9,0,-1)))</f>
        <v>-1</v>
      </c>
      <c r="S2222" s="35" t="n">
        <f aca="false">IF(OR($A2222="",$Q2222=0,$R2222=-1),0,$Q2222*1000+$R2222*100+$K2222)</f>
        <v>0</v>
      </c>
      <c r="T2222" s="37" t="str">
        <f aca="false">IF($A2222="","",IF($B2222="","NO ACCOUNT",IF($Q2222=0,"UNMAPPED",IF($R2222=-1,"OUTSIDE FY RANGE","OK"))))</f>
        <v/>
      </c>
      <c r="U2222" s="40" t="str">
        <f aca="false">IF($A2222="","",$B2222&amp;"|"&amp;TEXT($A2222,"yyyymmdd")&amp;"|"&amp;TEXT($I2222,"0.00"))</f>
        <v/>
      </c>
      <c r="V2222" s="35" t="str">
        <f aca="false">IF($A2222="","",COUNTIF($U$8:$U$5007,$U2222))</f>
        <v/>
      </c>
    </row>
    <row r="2223" customFormat="false" ht="15" hidden="false" customHeight="false" outlineLevel="0" collapsed="false">
      <c r="A2223" s="31"/>
      <c r="B2223" s="32"/>
      <c r="C2223" s="32"/>
      <c r="D2223" s="32"/>
      <c r="E2223" s="32"/>
      <c r="F2223" s="32"/>
      <c r="G2223" s="33"/>
      <c r="H2223" s="33"/>
      <c r="I2223" s="34" t="str">
        <f aca="false">IF($A2223="","",$G2223-$H2223)</f>
        <v/>
      </c>
      <c r="J2223" s="35" t="str">
        <f aca="false">IF($A2223="","",IF(Setup!$B$6=1,YEAR($A2223),YEAR($A2223)+IF(MONTH($A2223)&gt;=Setup!$B$6,1,0)))</f>
        <v/>
      </c>
      <c r="K2223" s="35" t="str">
        <f aca="false">IF($A2223="","",MOD(MONTH($A2223)-Setup!$B$6+12,12)+1)</f>
        <v/>
      </c>
      <c r="L2223" s="36" t="str">
        <f aca="false">IF($A2223="","",TEXT($A2223,"MMM-YY"))</f>
        <v/>
      </c>
      <c r="M2223" s="37" t="str">
        <f aca="false">IF($A2223="","",IF($Q2223=0,"UNMAPPED",INDEX(COA_Mapping!$C$7:$C$256,$Q2223)))</f>
        <v/>
      </c>
      <c r="N2223" s="38" t="str">
        <f aca="false">IF($A2223="","",IF($Q2223=0,"",INDEX(COA_Mapping!$E$7:$E$256,$Q2223)))</f>
        <v/>
      </c>
      <c r="O2223" s="38" t="n">
        <f aca="false">IF($A2223="",1,IF($Q2223=0,1,INDEX(COA_Mapping!$F$7:$F$256,$Q2223)))</f>
        <v>1</v>
      </c>
      <c r="P2223" s="34" t="str">
        <f aca="false">IF($A2223="","",$I2223*$O2223)</f>
        <v/>
      </c>
      <c r="Q2223" s="39" t="n">
        <f aca="false">IF($B2223="",0,IFERROR(MATCH($B2223,COA_Mapping!$A$7:$A$256,0),0))</f>
        <v>0</v>
      </c>
      <c r="R2223" s="39" t="n">
        <f aca="false">IF($A2223="",-1,IF($J2223=Setup!$B$7,1,IF($J2223=Setup!$B$9,0,-1)))</f>
        <v>-1</v>
      </c>
      <c r="S2223" s="35" t="n">
        <f aca="false">IF(OR($A2223="",$Q2223=0,$R2223=-1),0,$Q2223*1000+$R2223*100+$K2223)</f>
        <v>0</v>
      </c>
      <c r="T2223" s="37" t="str">
        <f aca="false">IF($A2223="","",IF($B2223="","NO ACCOUNT",IF($Q2223=0,"UNMAPPED",IF($R2223=-1,"OUTSIDE FY RANGE","OK"))))</f>
        <v/>
      </c>
      <c r="U2223" s="40" t="str">
        <f aca="false">IF($A2223="","",$B2223&amp;"|"&amp;TEXT($A2223,"yyyymmdd")&amp;"|"&amp;TEXT($I2223,"0.00"))</f>
        <v/>
      </c>
      <c r="V2223" s="35" t="str">
        <f aca="false">IF($A2223="","",COUNTIF($U$8:$U$5007,$U2223))</f>
        <v/>
      </c>
    </row>
    <row r="2224" customFormat="false" ht="15" hidden="false" customHeight="false" outlineLevel="0" collapsed="false">
      <c r="A2224" s="31"/>
      <c r="B2224" s="32"/>
      <c r="C2224" s="32"/>
      <c r="D2224" s="32"/>
      <c r="E2224" s="32"/>
      <c r="F2224" s="32"/>
      <c r="G2224" s="33"/>
      <c r="H2224" s="33"/>
      <c r="I2224" s="34" t="str">
        <f aca="false">IF($A2224="","",$G2224-$H2224)</f>
        <v/>
      </c>
      <c r="J2224" s="35" t="str">
        <f aca="false">IF($A2224="","",IF(Setup!$B$6=1,YEAR($A2224),YEAR($A2224)+IF(MONTH($A2224)&gt;=Setup!$B$6,1,0)))</f>
        <v/>
      </c>
      <c r="K2224" s="35" t="str">
        <f aca="false">IF($A2224="","",MOD(MONTH($A2224)-Setup!$B$6+12,12)+1)</f>
        <v/>
      </c>
      <c r="L2224" s="36" t="str">
        <f aca="false">IF($A2224="","",TEXT($A2224,"MMM-YY"))</f>
        <v/>
      </c>
      <c r="M2224" s="37" t="str">
        <f aca="false">IF($A2224="","",IF($Q2224=0,"UNMAPPED",INDEX(COA_Mapping!$C$7:$C$256,$Q2224)))</f>
        <v/>
      </c>
      <c r="N2224" s="38" t="str">
        <f aca="false">IF($A2224="","",IF($Q2224=0,"",INDEX(COA_Mapping!$E$7:$E$256,$Q2224)))</f>
        <v/>
      </c>
      <c r="O2224" s="38" t="n">
        <f aca="false">IF($A2224="",1,IF($Q2224=0,1,INDEX(COA_Mapping!$F$7:$F$256,$Q2224)))</f>
        <v>1</v>
      </c>
      <c r="P2224" s="34" t="str">
        <f aca="false">IF($A2224="","",$I2224*$O2224)</f>
        <v/>
      </c>
      <c r="Q2224" s="39" t="n">
        <f aca="false">IF($B2224="",0,IFERROR(MATCH($B2224,COA_Mapping!$A$7:$A$256,0),0))</f>
        <v>0</v>
      </c>
      <c r="R2224" s="39" t="n">
        <f aca="false">IF($A2224="",-1,IF($J2224=Setup!$B$7,1,IF($J2224=Setup!$B$9,0,-1)))</f>
        <v>-1</v>
      </c>
      <c r="S2224" s="35" t="n">
        <f aca="false">IF(OR($A2224="",$Q2224=0,$R2224=-1),0,$Q2224*1000+$R2224*100+$K2224)</f>
        <v>0</v>
      </c>
      <c r="T2224" s="37" t="str">
        <f aca="false">IF($A2224="","",IF($B2224="","NO ACCOUNT",IF($Q2224=0,"UNMAPPED",IF($R2224=-1,"OUTSIDE FY RANGE","OK"))))</f>
        <v/>
      </c>
      <c r="U2224" s="40" t="str">
        <f aca="false">IF($A2224="","",$B2224&amp;"|"&amp;TEXT($A2224,"yyyymmdd")&amp;"|"&amp;TEXT($I2224,"0.00"))</f>
        <v/>
      </c>
      <c r="V2224" s="35" t="str">
        <f aca="false">IF($A2224="","",COUNTIF($U$8:$U$5007,$U2224))</f>
        <v/>
      </c>
    </row>
    <row r="2225" customFormat="false" ht="15" hidden="false" customHeight="false" outlineLevel="0" collapsed="false">
      <c r="A2225" s="31"/>
      <c r="B2225" s="32"/>
      <c r="C2225" s="32"/>
      <c r="D2225" s="32"/>
      <c r="E2225" s="32"/>
      <c r="F2225" s="32"/>
      <c r="G2225" s="33"/>
      <c r="H2225" s="33"/>
      <c r="I2225" s="34" t="str">
        <f aca="false">IF($A2225="","",$G2225-$H2225)</f>
        <v/>
      </c>
      <c r="J2225" s="35" t="str">
        <f aca="false">IF($A2225="","",IF(Setup!$B$6=1,YEAR($A2225),YEAR($A2225)+IF(MONTH($A2225)&gt;=Setup!$B$6,1,0)))</f>
        <v/>
      </c>
      <c r="K2225" s="35" t="str">
        <f aca="false">IF($A2225="","",MOD(MONTH($A2225)-Setup!$B$6+12,12)+1)</f>
        <v/>
      </c>
      <c r="L2225" s="36" t="str">
        <f aca="false">IF($A2225="","",TEXT($A2225,"MMM-YY"))</f>
        <v/>
      </c>
      <c r="M2225" s="37" t="str">
        <f aca="false">IF($A2225="","",IF($Q2225=0,"UNMAPPED",INDEX(COA_Mapping!$C$7:$C$256,$Q2225)))</f>
        <v/>
      </c>
      <c r="N2225" s="38" t="str">
        <f aca="false">IF($A2225="","",IF($Q2225=0,"",INDEX(COA_Mapping!$E$7:$E$256,$Q2225)))</f>
        <v/>
      </c>
      <c r="O2225" s="38" t="n">
        <f aca="false">IF($A2225="",1,IF($Q2225=0,1,INDEX(COA_Mapping!$F$7:$F$256,$Q2225)))</f>
        <v>1</v>
      </c>
      <c r="P2225" s="34" t="str">
        <f aca="false">IF($A2225="","",$I2225*$O2225)</f>
        <v/>
      </c>
      <c r="Q2225" s="39" t="n">
        <f aca="false">IF($B2225="",0,IFERROR(MATCH($B2225,COA_Mapping!$A$7:$A$256,0),0))</f>
        <v>0</v>
      </c>
      <c r="R2225" s="39" t="n">
        <f aca="false">IF($A2225="",-1,IF($J2225=Setup!$B$7,1,IF($J2225=Setup!$B$9,0,-1)))</f>
        <v>-1</v>
      </c>
      <c r="S2225" s="35" t="n">
        <f aca="false">IF(OR($A2225="",$Q2225=0,$R2225=-1),0,$Q2225*1000+$R2225*100+$K2225)</f>
        <v>0</v>
      </c>
      <c r="T2225" s="37" t="str">
        <f aca="false">IF($A2225="","",IF($B2225="","NO ACCOUNT",IF($Q2225=0,"UNMAPPED",IF($R2225=-1,"OUTSIDE FY RANGE","OK"))))</f>
        <v/>
      </c>
      <c r="U2225" s="40" t="str">
        <f aca="false">IF($A2225="","",$B2225&amp;"|"&amp;TEXT($A2225,"yyyymmdd")&amp;"|"&amp;TEXT($I2225,"0.00"))</f>
        <v/>
      </c>
      <c r="V2225" s="35" t="str">
        <f aca="false">IF($A2225="","",COUNTIF($U$8:$U$5007,$U2225))</f>
        <v/>
      </c>
    </row>
    <row r="2226" customFormat="false" ht="15" hidden="false" customHeight="false" outlineLevel="0" collapsed="false">
      <c r="A2226" s="31"/>
      <c r="B2226" s="32"/>
      <c r="C2226" s="32"/>
      <c r="D2226" s="32"/>
      <c r="E2226" s="32"/>
      <c r="F2226" s="32"/>
      <c r="G2226" s="33"/>
      <c r="H2226" s="33"/>
      <c r="I2226" s="34" t="str">
        <f aca="false">IF($A2226="","",$G2226-$H2226)</f>
        <v/>
      </c>
      <c r="J2226" s="35" t="str">
        <f aca="false">IF($A2226="","",IF(Setup!$B$6=1,YEAR($A2226),YEAR($A2226)+IF(MONTH($A2226)&gt;=Setup!$B$6,1,0)))</f>
        <v/>
      </c>
      <c r="K2226" s="35" t="str">
        <f aca="false">IF($A2226="","",MOD(MONTH($A2226)-Setup!$B$6+12,12)+1)</f>
        <v/>
      </c>
      <c r="L2226" s="36" t="str">
        <f aca="false">IF($A2226="","",TEXT($A2226,"MMM-YY"))</f>
        <v/>
      </c>
      <c r="M2226" s="37" t="str">
        <f aca="false">IF($A2226="","",IF($Q2226=0,"UNMAPPED",INDEX(COA_Mapping!$C$7:$C$256,$Q2226)))</f>
        <v/>
      </c>
      <c r="N2226" s="38" t="str">
        <f aca="false">IF($A2226="","",IF($Q2226=0,"",INDEX(COA_Mapping!$E$7:$E$256,$Q2226)))</f>
        <v/>
      </c>
      <c r="O2226" s="38" t="n">
        <f aca="false">IF($A2226="",1,IF($Q2226=0,1,INDEX(COA_Mapping!$F$7:$F$256,$Q2226)))</f>
        <v>1</v>
      </c>
      <c r="P2226" s="34" t="str">
        <f aca="false">IF($A2226="","",$I2226*$O2226)</f>
        <v/>
      </c>
      <c r="Q2226" s="39" t="n">
        <f aca="false">IF($B2226="",0,IFERROR(MATCH($B2226,COA_Mapping!$A$7:$A$256,0),0))</f>
        <v>0</v>
      </c>
      <c r="R2226" s="39" t="n">
        <f aca="false">IF($A2226="",-1,IF($J2226=Setup!$B$7,1,IF($J2226=Setup!$B$9,0,-1)))</f>
        <v>-1</v>
      </c>
      <c r="S2226" s="35" t="n">
        <f aca="false">IF(OR($A2226="",$Q2226=0,$R2226=-1),0,$Q2226*1000+$R2226*100+$K2226)</f>
        <v>0</v>
      </c>
      <c r="T2226" s="37" t="str">
        <f aca="false">IF($A2226="","",IF($B2226="","NO ACCOUNT",IF($Q2226=0,"UNMAPPED",IF($R2226=-1,"OUTSIDE FY RANGE","OK"))))</f>
        <v/>
      </c>
      <c r="U2226" s="40" t="str">
        <f aca="false">IF($A2226="","",$B2226&amp;"|"&amp;TEXT($A2226,"yyyymmdd")&amp;"|"&amp;TEXT($I2226,"0.00"))</f>
        <v/>
      </c>
      <c r="V2226" s="35" t="str">
        <f aca="false">IF($A2226="","",COUNTIF($U$8:$U$5007,$U2226))</f>
        <v/>
      </c>
    </row>
    <row r="2227" customFormat="false" ht="15" hidden="false" customHeight="false" outlineLevel="0" collapsed="false">
      <c r="A2227" s="31"/>
      <c r="B2227" s="32"/>
      <c r="C2227" s="32"/>
      <c r="D2227" s="32"/>
      <c r="E2227" s="32"/>
      <c r="F2227" s="32"/>
      <c r="G2227" s="33"/>
      <c r="H2227" s="33"/>
      <c r="I2227" s="34" t="str">
        <f aca="false">IF($A2227="","",$G2227-$H2227)</f>
        <v/>
      </c>
      <c r="J2227" s="35" t="str">
        <f aca="false">IF($A2227="","",IF(Setup!$B$6=1,YEAR($A2227),YEAR($A2227)+IF(MONTH($A2227)&gt;=Setup!$B$6,1,0)))</f>
        <v/>
      </c>
      <c r="K2227" s="35" t="str">
        <f aca="false">IF($A2227="","",MOD(MONTH($A2227)-Setup!$B$6+12,12)+1)</f>
        <v/>
      </c>
      <c r="L2227" s="36" t="str">
        <f aca="false">IF($A2227="","",TEXT($A2227,"MMM-YY"))</f>
        <v/>
      </c>
      <c r="M2227" s="37" t="str">
        <f aca="false">IF($A2227="","",IF($Q2227=0,"UNMAPPED",INDEX(COA_Mapping!$C$7:$C$256,$Q2227)))</f>
        <v/>
      </c>
      <c r="N2227" s="38" t="str">
        <f aca="false">IF($A2227="","",IF($Q2227=0,"",INDEX(COA_Mapping!$E$7:$E$256,$Q2227)))</f>
        <v/>
      </c>
      <c r="O2227" s="38" t="n">
        <f aca="false">IF($A2227="",1,IF($Q2227=0,1,INDEX(COA_Mapping!$F$7:$F$256,$Q2227)))</f>
        <v>1</v>
      </c>
      <c r="P2227" s="34" t="str">
        <f aca="false">IF($A2227="","",$I2227*$O2227)</f>
        <v/>
      </c>
      <c r="Q2227" s="39" t="n">
        <f aca="false">IF($B2227="",0,IFERROR(MATCH($B2227,COA_Mapping!$A$7:$A$256,0),0))</f>
        <v>0</v>
      </c>
      <c r="R2227" s="39" t="n">
        <f aca="false">IF($A2227="",-1,IF($J2227=Setup!$B$7,1,IF($J2227=Setup!$B$9,0,-1)))</f>
        <v>-1</v>
      </c>
      <c r="S2227" s="35" t="n">
        <f aca="false">IF(OR($A2227="",$Q2227=0,$R2227=-1),0,$Q2227*1000+$R2227*100+$K2227)</f>
        <v>0</v>
      </c>
      <c r="T2227" s="37" t="str">
        <f aca="false">IF($A2227="","",IF($B2227="","NO ACCOUNT",IF($Q2227=0,"UNMAPPED",IF($R2227=-1,"OUTSIDE FY RANGE","OK"))))</f>
        <v/>
      </c>
      <c r="U2227" s="40" t="str">
        <f aca="false">IF($A2227="","",$B2227&amp;"|"&amp;TEXT($A2227,"yyyymmdd")&amp;"|"&amp;TEXT($I2227,"0.00"))</f>
        <v/>
      </c>
      <c r="V2227" s="35" t="str">
        <f aca="false">IF($A2227="","",COUNTIF($U$8:$U$5007,$U2227))</f>
        <v/>
      </c>
    </row>
    <row r="2228" customFormat="false" ht="15" hidden="false" customHeight="false" outlineLevel="0" collapsed="false">
      <c r="A2228" s="31"/>
      <c r="B2228" s="32"/>
      <c r="C2228" s="32"/>
      <c r="D2228" s="32"/>
      <c r="E2228" s="32"/>
      <c r="F2228" s="32"/>
      <c r="G2228" s="33"/>
      <c r="H2228" s="33"/>
      <c r="I2228" s="34" t="str">
        <f aca="false">IF($A2228="","",$G2228-$H2228)</f>
        <v/>
      </c>
      <c r="J2228" s="35" t="str">
        <f aca="false">IF($A2228="","",IF(Setup!$B$6=1,YEAR($A2228),YEAR($A2228)+IF(MONTH($A2228)&gt;=Setup!$B$6,1,0)))</f>
        <v/>
      </c>
      <c r="K2228" s="35" t="str">
        <f aca="false">IF($A2228="","",MOD(MONTH($A2228)-Setup!$B$6+12,12)+1)</f>
        <v/>
      </c>
      <c r="L2228" s="36" t="str">
        <f aca="false">IF($A2228="","",TEXT($A2228,"MMM-YY"))</f>
        <v/>
      </c>
      <c r="M2228" s="37" t="str">
        <f aca="false">IF($A2228="","",IF($Q2228=0,"UNMAPPED",INDEX(COA_Mapping!$C$7:$C$256,$Q2228)))</f>
        <v/>
      </c>
      <c r="N2228" s="38" t="str">
        <f aca="false">IF($A2228="","",IF($Q2228=0,"",INDEX(COA_Mapping!$E$7:$E$256,$Q2228)))</f>
        <v/>
      </c>
      <c r="O2228" s="38" t="n">
        <f aca="false">IF($A2228="",1,IF($Q2228=0,1,INDEX(COA_Mapping!$F$7:$F$256,$Q2228)))</f>
        <v>1</v>
      </c>
      <c r="P2228" s="34" t="str">
        <f aca="false">IF($A2228="","",$I2228*$O2228)</f>
        <v/>
      </c>
      <c r="Q2228" s="39" t="n">
        <f aca="false">IF($B2228="",0,IFERROR(MATCH($B2228,COA_Mapping!$A$7:$A$256,0),0))</f>
        <v>0</v>
      </c>
      <c r="R2228" s="39" t="n">
        <f aca="false">IF($A2228="",-1,IF($J2228=Setup!$B$7,1,IF($J2228=Setup!$B$9,0,-1)))</f>
        <v>-1</v>
      </c>
      <c r="S2228" s="35" t="n">
        <f aca="false">IF(OR($A2228="",$Q2228=0,$R2228=-1),0,$Q2228*1000+$R2228*100+$K2228)</f>
        <v>0</v>
      </c>
      <c r="T2228" s="37" t="str">
        <f aca="false">IF($A2228="","",IF($B2228="","NO ACCOUNT",IF($Q2228=0,"UNMAPPED",IF($R2228=-1,"OUTSIDE FY RANGE","OK"))))</f>
        <v/>
      </c>
      <c r="U2228" s="40" t="str">
        <f aca="false">IF($A2228="","",$B2228&amp;"|"&amp;TEXT($A2228,"yyyymmdd")&amp;"|"&amp;TEXT($I2228,"0.00"))</f>
        <v/>
      </c>
      <c r="V2228" s="35" t="str">
        <f aca="false">IF($A2228="","",COUNTIF($U$8:$U$5007,$U2228))</f>
        <v/>
      </c>
    </row>
    <row r="2229" customFormat="false" ht="15" hidden="false" customHeight="false" outlineLevel="0" collapsed="false">
      <c r="A2229" s="31"/>
      <c r="B2229" s="32"/>
      <c r="C2229" s="32"/>
      <c r="D2229" s="32"/>
      <c r="E2229" s="32"/>
      <c r="F2229" s="32"/>
      <c r="G2229" s="33"/>
      <c r="H2229" s="33"/>
      <c r="I2229" s="34" t="str">
        <f aca="false">IF($A2229="","",$G2229-$H2229)</f>
        <v/>
      </c>
      <c r="J2229" s="35" t="str">
        <f aca="false">IF($A2229="","",IF(Setup!$B$6=1,YEAR($A2229),YEAR($A2229)+IF(MONTH($A2229)&gt;=Setup!$B$6,1,0)))</f>
        <v/>
      </c>
      <c r="K2229" s="35" t="str">
        <f aca="false">IF($A2229="","",MOD(MONTH($A2229)-Setup!$B$6+12,12)+1)</f>
        <v/>
      </c>
      <c r="L2229" s="36" t="str">
        <f aca="false">IF($A2229="","",TEXT($A2229,"MMM-YY"))</f>
        <v/>
      </c>
      <c r="M2229" s="37" t="str">
        <f aca="false">IF($A2229="","",IF($Q2229=0,"UNMAPPED",INDEX(COA_Mapping!$C$7:$C$256,$Q2229)))</f>
        <v/>
      </c>
      <c r="N2229" s="38" t="str">
        <f aca="false">IF($A2229="","",IF($Q2229=0,"",INDEX(COA_Mapping!$E$7:$E$256,$Q2229)))</f>
        <v/>
      </c>
      <c r="O2229" s="38" t="n">
        <f aca="false">IF($A2229="",1,IF($Q2229=0,1,INDEX(COA_Mapping!$F$7:$F$256,$Q2229)))</f>
        <v>1</v>
      </c>
      <c r="P2229" s="34" t="str">
        <f aca="false">IF($A2229="","",$I2229*$O2229)</f>
        <v/>
      </c>
      <c r="Q2229" s="39" t="n">
        <f aca="false">IF($B2229="",0,IFERROR(MATCH($B2229,COA_Mapping!$A$7:$A$256,0),0))</f>
        <v>0</v>
      </c>
      <c r="R2229" s="39" t="n">
        <f aca="false">IF($A2229="",-1,IF($J2229=Setup!$B$7,1,IF($J2229=Setup!$B$9,0,-1)))</f>
        <v>-1</v>
      </c>
      <c r="S2229" s="35" t="n">
        <f aca="false">IF(OR($A2229="",$Q2229=0,$R2229=-1),0,$Q2229*1000+$R2229*100+$K2229)</f>
        <v>0</v>
      </c>
      <c r="T2229" s="37" t="str">
        <f aca="false">IF($A2229="","",IF($B2229="","NO ACCOUNT",IF($Q2229=0,"UNMAPPED",IF($R2229=-1,"OUTSIDE FY RANGE","OK"))))</f>
        <v/>
      </c>
      <c r="U2229" s="40" t="str">
        <f aca="false">IF($A2229="","",$B2229&amp;"|"&amp;TEXT($A2229,"yyyymmdd")&amp;"|"&amp;TEXT($I2229,"0.00"))</f>
        <v/>
      </c>
      <c r="V2229" s="35" t="str">
        <f aca="false">IF($A2229="","",COUNTIF($U$8:$U$5007,$U2229))</f>
        <v/>
      </c>
    </row>
    <row r="2230" customFormat="false" ht="15" hidden="false" customHeight="false" outlineLevel="0" collapsed="false">
      <c r="A2230" s="31"/>
      <c r="B2230" s="32"/>
      <c r="C2230" s="32"/>
      <c r="D2230" s="32"/>
      <c r="E2230" s="32"/>
      <c r="F2230" s="32"/>
      <c r="G2230" s="33"/>
      <c r="H2230" s="33"/>
      <c r="I2230" s="34" t="str">
        <f aca="false">IF($A2230="","",$G2230-$H2230)</f>
        <v/>
      </c>
      <c r="J2230" s="35" t="str">
        <f aca="false">IF($A2230="","",IF(Setup!$B$6=1,YEAR($A2230),YEAR($A2230)+IF(MONTH($A2230)&gt;=Setup!$B$6,1,0)))</f>
        <v/>
      </c>
      <c r="K2230" s="35" t="str">
        <f aca="false">IF($A2230="","",MOD(MONTH($A2230)-Setup!$B$6+12,12)+1)</f>
        <v/>
      </c>
      <c r="L2230" s="36" t="str">
        <f aca="false">IF($A2230="","",TEXT($A2230,"MMM-YY"))</f>
        <v/>
      </c>
      <c r="M2230" s="37" t="str">
        <f aca="false">IF($A2230="","",IF($Q2230=0,"UNMAPPED",INDEX(COA_Mapping!$C$7:$C$256,$Q2230)))</f>
        <v/>
      </c>
      <c r="N2230" s="38" t="str">
        <f aca="false">IF($A2230="","",IF($Q2230=0,"",INDEX(COA_Mapping!$E$7:$E$256,$Q2230)))</f>
        <v/>
      </c>
      <c r="O2230" s="38" t="n">
        <f aca="false">IF($A2230="",1,IF($Q2230=0,1,INDEX(COA_Mapping!$F$7:$F$256,$Q2230)))</f>
        <v>1</v>
      </c>
      <c r="P2230" s="34" t="str">
        <f aca="false">IF($A2230="","",$I2230*$O2230)</f>
        <v/>
      </c>
      <c r="Q2230" s="39" t="n">
        <f aca="false">IF($B2230="",0,IFERROR(MATCH($B2230,COA_Mapping!$A$7:$A$256,0),0))</f>
        <v>0</v>
      </c>
      <c r="R2230" s="39" t="n">
        <f aca="false">IF($A2230="",-1,IF($J2230=Setup!$B$7,1,IF($J2230=Setup!$B$9,0,-1)))</f>
        <v>-1</v>
      </c>
      <c r="S2230" s="35" t="n">
        <f aca="false">IF(OR($A2230="",$Q2230=0,$R2230=-1),0,$Q2230*1000+$R2230*100+$K2230)</f>
        <v>0</v>
      </c>
      <c r="T2230" s="37" t="str">
        <f aca="false">IF($A2230="","",IF($B2230="","NO ACCOUNT",IF($Q2230=0,"UNMAPPED",IF($R2230=-1,"OUTSIDE FY RANGE","OK"))))</f>
        <v/>
      </c>
      <c r="U2230" s="40" t="str">
        <f aca="false">IF($A2230="","",$B2230&amp;"|"&amp;TEXT($A2230,"yyyymmdd")&amp;"|"&amp;TEXT($I2230,"0.00"))</f>
        <v/>
      </c>
      <c r="V2230" s="35" t="str">
        <f aca="false">IF($A2230="","",COUNTIF($U$8:$U$5007,$U2230))</f>
        <v/>
      </c>
    </row>
    <row r="2231" customFormat="false" ht="15" hidden="false" customHeight="false" outlineLevel="0" collapsed="false">
      <c r="A2231" s="31"/>
      <c r="B2231" s="32"/>
      <c r="C2231" s="32"/>
      <c r="D2231" s="32"/>
      <c r="E2231" s="32"/>
      <c r="F2231" s="32"/>
      <c r="G2231" s="33"/>
      <c r="H2231" s="33"/>
      <c r="I2231" s="34" t="str">
        <f aca="false">IF($A2231="","",$G2231-$H2231)</f>
        <v/>
      </c>
      <c r="J2231" s="35" t="str">
        <f aca="false">IF($A2231="","",IF(Setup!$B$6=1,YEAR($A2231),YEAR($A2231)+IF(MONTH($A2231)&gt;=Setup!$B$6,1,0)))</f>
        <v/>
      </c>
      <c r="K2231" s="35" t="str">
        <f aca="false">IF($A2231="","",MOD(MONTH($A2231)-Setup!$B$6+12,12)+1)</f>
        <v/>
      </c>
      <c r="L2231" s="36" t="str">
        <f aca="false">IF($A2231="","",TEXT($A2231,"MMM-YY"))</f>
        <v/>
      </c>
      <c r="M2231" s="37" t="str">
        <f aca="false">IF($A2231="","",IF($Q2231=0,"UNMAPPED",INDEX(COA_Mapping!$C$7:$C$256,$Q2231)))</f>
        <v/>
      </c>
      <c r="N2231" s="38" t="str">
        <f aca="false">IF($A2231="","",IF($Q2231=0,"",INDEX(COA_Mapping!$E$7:$E$256,$Q2231)))</f>
        <v/>
      </c>
      <c r="O2231" s="38" t="n">
        <f aca="false">IF($A2231="",1,IF($Q2231=0,1,INDEX(COA_Mapping!$F$7:$F$256,$Q2231)))</f>
        <v>1</v>
      </c>
      <c r="P2231" s="34" t="str">
        <f aca="false">IF($A2231="","",$I2231*$O2231)</f>
        <v/>
      </c>
      <c r="Q2231" s="39" t="n">
        <f aca="false">IF($B2231="",0,IFERROR(MATCH($B2231,COA_Mapping!$A$7:$A$256,0),0))</f>
        <v>0</v>
      </c>
      <c r="R2231" s="39" t="n">
        <f aca="false">IF($A2231="",-1,IF($J2231=Setup!$B$7,1,IF($J2231=Setup!$B$9,0,-1)))</f>
        <v>-1</v>
      </c>
      <c r="S2231" s="35" t="n">
        <f aca="false">IF(OR($A2231="",$Q2231=0,$R2231=-1),0,$Q2231*1000+$R2231*100+$K2231)</f>
        <v>0</v>
      </c>
      <c r="T2231" s="37" t="str">
        <f aca="false">IF($A2231="","",IF($B2231="","NO ACCOUNT",IF($Q2231=0,"UNMAPPED",IF($R2231=-1,"OUTSIDE FY RANGE","OK"))))</f>
        <v/>
      </c>
      <c r="U2231" s="40" t="str">
        <f aca="false">IF($A2231="","",$B2231&amp;"|"&amp;TEXT($A2231,"yyyymmdd")&amp;"|"&amp;TEXT($I2231,"0.00"))</f>
        <v/>
      </c>
      <c r="V2231" s="35" t="str">
        <f aca="false">IF($A2231="","",COUNTIF($U$8:$U$5007,$U2231))</f>
        <v/>
      </c>
    </row>
    <row r="2232" customFormat="false" ht="15" hidden="false" customHeight="false" outlineLevel="0" collapsed="false">
      <c r="A2232" s="31"/>
      <c r="B2232" s="32"/>
      <c r="C2232" s="32"/>
      <c r="D2232" s="32"/>
      <c r="E2232" s="32"/>
      <c r="F2232" s="32"/>
      <c r="G2232" s="33"/>
      <c r="H2232" s="33"/>
      <c r="I2232" s="34" t="str">
        <f aca="false">IF($A2232="","",$G2232-$H2232)</f>
        <v/>
      </c>
      <c r="J2232" s="35" t="str">
        <f aca="false">IF($A2232="","",IF(Setup!$B$6=1,YEAR($A2232),YEAR($A2232)+IF(MONTH($A2232)&gt;=Setup!$B$6,1,0)))</f>
        <v/>
      </c>
      <c r="K2232" s="35" t="str">
        <f aca="false">IF($A2232="","",MOD(MONTH($A2232)-Setup!$B$6+12,12)+1)</f>
        <v/>
      </c>
      <c r="L2232" s="36" t="str">
        <f aca="false">IF($A2232="","",TEXT($A2232,"MMM-YY"))</f>
        <v/>
      </c>
      <c r="M2232" s="37" t="str">
        <f aca="false">IF($A2232="","",IF($Q2232=0,"UNMAPPED",INDEX(COA_Mapping!$C$7:$C$256,$Q2232)))</f>
        <v/>
      </c>
      <c r="N2232" s="38" t="str">
        <f aca="false">IF($A2232="","",IF($Q2232=0,"",INDEX(COA_Mapping!$E$7:$E$256,$Q2232)))</f>
        <v/>
      </c>
      <c r="O2232" s="38" t="n">
        <f aca="false">IF($A2232="",1,IF($Q2232=0,1,INDEX(COA_Mapping!$F$7:$F$256,$Q2232)))</f>
        <v>1</v>
      </c>
      <c r="P2232" s="34" t="str">
        <f aca="false">IF($A2232="","",$I2232*$O2232)</f>
        <v/>
      </c>
      <c r="Q2232" s="39" t="n">
        <f aca="false">IF($B2232="",0,IFERROR(MATCH($B2232,COA_Mapping!$A$7:$A$256,0),0))</f>
        <v>0</v>
      </c>
      <c r="R2232" s="39" t="n">
        <f aca="false">IF($A2232="",-1,IF($J2232=Setup!$B$7,1,IF($J2232=Setup!$B$9,0,-1)))</f>
        <v>-1</v>
      </c>
      <c r="S2232" s="35" t="n">
        <f aca="false">IF(OR($A2232="",$Q2232=0,$R2232=-1),0,$Q2232*1000+$R2232*100+$K2232)</f>
        <v>0</v>
      </c>
      <c r="T2232" s="37" t="str">
        <f aca="false">IF($A2232="","",IF($B2232="","NO ACCOUNT",IF($Q2232=0,"UNMAPPED",IF($R2232=-1,"OUTSIDE FY RANGE","OK"))))</f>
        <v/>
      </c>
      <c r="U2232" s="40" t="str">
        <f aca="false">IF($A2232="","",$B2232&amp;"|"&amp;TEXT($A2232,"yyyymmdd")&amp;"|"&amp;TEXT($I2232,"0.00"))</f>
        <v/>
      </c>
      <c r="V2232" s="35" t="str">
        <f aca="false">IF($A2232="","",COUNTIF($U$8:$U$5007,$U2232))</f>
        <v/>
      </c>
    </row>
    <row r="2233" customFormat="false" ht="15" hidden="false" customHeight="false" outlineLevel="0" collapsed="false">
      <c r="A2233" s="31"/>
      <c r="B2233" s="32"/>
      <c r="C2233" s="32"/>
      <c r="D2233" s="32"/>
      <c r="E2233" s="32"/>
      <c r="F2233" s="32"/>
      <c r="G2233" s="33"/>
      <c r="H2233" s="33"/>
      <c r="I2233" s="34" t="str">
        <f aca="false">IF($A2233="","",$G2233-$H2233)</f>
        <v/>
      </c>
      <c r="J2233" s="35" t="str">
        <f aca="false">IF($A2233="","",IF(Setup!$B$6=1,YEAR($A2233),YEAR($A2233)+IF(MONTH($A2233)&gt;=Setup!$B$6,1,0)))</f>
        <v/>
      </c>
      <c r="K2233" s="35" t="str">
        <f aca="false">IF($A2233="","",MOD(MONTH($A2233)-Setup!$B$6+12,12)+1)</f>
        <v/>
      </c>
      <c r="L2233" s="36" t="str">
        <f aca="false">IF($A2233="","",TEXT($A2233,"MMM-YY"))</f>
        <v/>
      </c>
      <c r="M2233" s="37" t="str">
        <f aca="false">IF($A2233="","",IF($Q2233=0,"UNMAPPED",INDEX(COA_Mapping!$C$7:$C$256,$Q2233)))</f>
        <v/>
      </c>
      <c r="N2233" s="38" t="str">
        <f aca="false">IF($A2233="","",IF($Q2233=0,"",INDEX(COA_Mapping!$E$7:$E$256,$Q2233)))</f>
        <v/>
      </c>
      <c r="O2233" s="38" t="n">
        <f aca="false">IF($A2233="",1,IF($Q2233=0,1,INDEX(COA_Mapping!$F$7:$F$256,$Q2233)))</f>
        <v>1</v>
      </c>
      <c r="P2233" s="34" t="str">
        <f aca="false">IF($A2233="","",$I2233*$O2233)</f>
        <v/>
      </c>
      <c r="Q2233" s="39" t="n">
        <f aca="false">IF($B2233="",0,IFERROR(MATCH($B2233,COA_Mapping!$A$7:$A$256,0),0))</f>
        <v>0</v>
      </c>
      <c r="R2233" s="39" t="n">
        <f aca="false">IF($A2233="",-1,IF($J2233=Setup!$B$7,1,IF($J2233=Setup!$B$9,0,-1)))</f>
        <v>-1</v>
      </c>
      <c r="S2233" s="35" t="n">
        <f aca="false">IF(OR($A2233="",$Q2233=0,$R2233=-1),0,$Q2233*1000+$R2233*100+$K2233)</f>
        <v>0</v>
      </c>
      <c r="T2233" s="37" t="str">
        <f aca="false">IF($A2233="","",IF($B2233="","NO ACCOUNT",IF($Q2233=0,"UNMAPPED",IF($R2233=-1,"OUTSIDE FY RANGE","OK"))))</f>
        <v/>
      </c>
      <c r="U2233" s="40" t="str">
        <f aca="false">IF($A2233="","",$B2233&amp;"|"&amp;TEXT($A2233,"yyyymmdd")&amp;"|"&amp;TEXT($I2233,"0.00"))</f>
        <v/>
      </c>
      <c r="V2233" s="35" t="str">
        <f aca="false">IF($A2233="","",COUNTIF($U$8:$U$5007,$U2233))</f>
        <v/>
      </c>
    </row>
    <row r="2234" customFormat="false" ht="15" hidden="false" customHeight="false" outlineLevel="0" collapsed="false">
      <c r="A2234" s="31"/>
      <c r="B2234" s="32"/>
      <c r="C2234" s="32"/>
      <c r="D2234" s="32"/>
      <c r="E2234" s="32"/>
      <c r="F2234" s="32"/>
      <c r="G2234" s="33"/>
      <c r="H2234" s="33"/>
      <c r="I2234" s="34" t="str">
        <f aca="false">IF($A2234="","",$G2234-$H2234)</f>
        <v/>
      </c>
      <c r="J2234" s="35" t="str">
        <f aca="false">IF($A2234="","",IF(Setup!$B$6=1,YEAR($A2234),YEAR($A2234)+IF(MONTH($A2234)&gt;=Setup!$B$6,1,0)))</f>
        <v/>
      </c>
      <c r="K2234" s="35" t="str">
        <f aca="false">IF($A2234="","",MOD(MONTH($A2234)-Setup!$B$6+12,12)+1)</f>
        <v/>
      </c>
      <c r="L2234" s="36" t="str">
        <f aca="false">IF($A2234="","",TEXT($A2234,"MMM-YY"))</f>
        <v/>
      </c>
      <c r="M2234" s="37" t="str">
        <f aca="false">IF($A2234="","",IF($Q2234=0,"UNMAPPED",INDEX(COA_Mapping!$C$7:$C$256,$Q2234)))</f>
        <v/>
      </c>
      <c r="N2234" s="38" t="str">
        <f aca="false">IF($A2234="","",IF($Q2234=0,"",INDEX(COA_Mapping!$E$7:$E$256,$Q2234)))</f>
        <v/>
      </c>
      <c r="O2234" s="38" t="n">
        <f aca="false">IF($A2234="",1,IF($Q2234=0,1,INDEX(COA_Mapping!$F$7:$F$256,$Q2234)))</f>
        <v>1</v>
      </c>
      <c r="P2234" s="34" t="str">
        <f aca="false">IF($A2234="","",$I2234*$O2234)</f>
        <v/>
      </c>
      <c r="Q2234" s="39" t="n">
        <f aca="false">IF($B2234="",0,IFERROR(MATCH($B2234,COA_Mapping!$A$7:$A$256,0),0))</f>
        <v>0</v>
      </c>
      <c r="R2234" s="39" t="n">
        <f aca="false">IF($A2234="",-1,IF($J2234=Setup!$B$7,1,IF($J2234=Setup!$B$9,0,-1)))</f>
        <v>-1</v>
      </c>
      <c r="S2234" s="35" t="n">
        <f aca="false">IF(OR($A2234="",$Q2234=0,$R2234=-1),0,$Q2234*1000+$R2234*100+$K2234)</f>
        <v>0</v>
      </c>
      <c r="T2234" s="37" t="str">
        <f aca="false">IF($A2234="","",IF($B2234="","NO ACCOUNT",IF($Q2234=0,"UNMAPPED",IF($R2234=-1,"OUTSIDE FY RANGE","OK"))))</f>
        <v/>
      </c>
      <c r="U2234" s="40" t="str">
        <f aca="false">IF($A2234="","",$B2234&amp;"|"&amp;TEXT($A2234,"yyyymmdd")&amp;"|"&amp;TEXT($I2234,"0.00"))</f>
        <v/>
      </c>
      <c r="V2234" s="35" t="str">
        <f aca="false">IF($A2234="","",COUNTIF($U$8:$U$5007,$U2234))</f>
        <v/>
      </c>
    </row>
    <row r="2235" customFormat="false" ht="15" hidden="false" customHeight="false" outlineLevel="0" collapsed="false">
      <c r="A2235" s="31"/>
      <c r="B2235" s="32"/>
      <c r="C2235" s="32"/>
      <c r="D2235" s="32"/>
      <c r="E2235" s="32"/>
      <c r="F2235" s="32"/>
      <c r="G2235" s="33"/>
      <c r="H2235" s="33"/>
      <c r="I2235" s="34" t="str">
        <f aca="false">IF($A2235="","",$G2235-$H2235)</f>
        <v/>
      </c>
      <c r="J2235" s="35" t="str">
        <f aca="false">IF($A2235="","",IF(Setup!$B$6=1,YEAR($A2235),YEAR($A2235)+IF(MONTH($A2235)&gt;=Setup!$B$6,1,0)))</f>
        <v/>
      </c>
      <c r="K2235" s="35" t="str">
        <f aca="false">IF($A2235="","",MOD(MONTH($A2235)-Setup!$B$6+12,12)+1)</f>
        <v/>
      </c>
      <c r="L2235" s="36" t="str">
        <f aca="false">IF($A2235="","",TEXT($A2235,"MMM-YY"))</f>
        <v/>
      </c>
      <c r="M2235" s="37" t="str">
        <f aca="false">IF($A2235="","",IF($Q2235=0,"UNMAPPED",INDEX(COA_Mapping!$C$7:$C$256,$Q2235)))</f>
        <v/>
      </c>
      <c r="N2235" s="38" t="str">
        <f aca="false">IF($A2235="","",IF($Q2235=0,"",INDEX(COA_Mapping!$E$7:$E$256,$Q2235)))</f>
        <v/>
      </c>
      <c r="O2235" s="38" t="n">
        <f aca="false">IF($A2235="",1,IF($Q2235=0,1,INDEX(COA_Mapping!$F$7:$F$256,$Q2235)))</f>
        <v>1</v>
      </c>
      <c r="P2235" s="34" t="str">
        <f aca="false">IF($A2235="","",$I2235*$O2235)</f>
        <v/>
      </c>
      <c r="Q2235" s="39" t="n">
        <f aca="false">IF($B2235="",0,IFERROR(MATCH($B2235,COA_Mapping!$A$7:$A$256,0),0))</f>
        <v>0</v>
      </c>
      <c r="R2235" s="39" t="n">
        <f aca="false">IF($A2235="",-1,IF($J2235=Setup!$B$7,1,IF($J2235=Setup!$B$9,0,-1)))</f>
        <v>-1</v>
      </c>
      <c r="S2235" s="35" t="n">
        <f aca="false">IF(OR($A2235="",$Q2235=0,$R2235=-1),0,$Q2235*1000+$R2235*100+$K2235)</f>
        <v>0</v>
      </c>
      <c r="T2235" s="37" t="str">
        <f aca="false">IF($A2235="","",IF($B2235="","NO ACCOUNT",IF($Q2235=0,"UNMAPPED",IF($R2235=-1,"OUTSIDE FY RANGE","OK"))))</f>
        <v/>
      </c>
      <c r="U2235" s="40" t="str">
        <f aca="false">IF($A2235="","",$B2235&amp;"|"&amp;TEXT($A2235,"yyyymmdd")&amp;"|"&amp;TEXT($I2235,"0.00"))</f>
        <v/>
      </c>
      <c r="V2235" s="35" t="str">
        <f aca="false">IF($A2235="","",COUNTIF($U$8:$U$5007,$U2235))</f>
        <v/>
      </c>
    </row>
    <row r="2236" customFormat="false" ht="15" hidden="false" customHeight="false" outlineLevel="0" collapsed="false">
      <c r="A2236" s="31"/>
      <c r="B2236" s="32"/>
      <c r="C2236" s="32"/>
      <c r="D2236" s="32"/>
      <c r="E2236" s="32"/>
      <c r="F2236" s="32"/>
      <c r="G2236" s="33"/>
      <c r="H2236" s="33"/>
      <c r="I2236" s="34" t="str">
        <f aca="false">IF($A2236="","",$G2236-$H2236)</f>
        <v/>
      </c>
      <c r="J2236" s="35" t="str">
        <f aca="false">IF($A2236="","",IF(Setup!$B$6=1,YEAR($A2236),YEAR($A2236)+IF(MONTH($A2236)&gt;=Setup!$B$6,1,0)))</f>
        <v/>
      </c>
      <c r="K2236" s="35" t="str">
        <f aca="false">IF($A2236="","",MOD(MONTH($A2236)-Setup!$B$6+12,12)+1)</f>
        <v/>
      </c>
      <c r="L2236" s="36" t="str">
        <f aca="false">IF($A2236="","",TEXT($A2236,"MMM-YY"))</f>
        <v/>
      </c>
      <c r="M2236" s="37" t="str">
        <f aca="false">IF($A2236="","",IF($Q2236=0,"UNMAPPED",INDEX(COA_Mapping!$C$7:$C$256,$Q2236)))</f>
        <v/>
      </c>
      <c r="N2236" s="38" t="str">
        <f aca="false">IF($A2236="","",IF($Q2236=0,"",INDEX(COA_Mapping!$E$7:$E$256,$Q2236)))</f>
        <v/>
      </c>
      <c r="O2236" s="38" t="n">
        <f aca="false">IF($A2236="",1,IF($Q2236=0,1,INDEX(COA_Mapping!$F$7:$F$256,$Q2236)))</f>
        <v>1</v>
      </c>
      <c r="P2236" s="34" t="str">
        <f aca="false">IF($A2236="","",$I2236*$O2236)</f>
        <v/>
      </c>
      <c r="Q2236" s="39" t="n">
        <f aca="false">IF($B2236="",0,IFERROR(MATCH($B2236,COA_Mapping!$A$7:$A$256,0),0))</f>
        <v>0</v>
      </c>
      <c r="R2236" s="39" t="n">
        <f aca="false">IF($A2236="",-1,IF($J2236=Setup!$B$7,1,IF($J2236=Setup!$B$9,0,-1)))</f>
        <v>-1</v>
      </c>
      <c r="S2236" s="35" t="n">
        <f aca="false">IF(OR($A2236="",$Q2236=0,$R2236=-1),0,$Q2236*1000+$R2236*100+$K2236)</f>
        <v>0</v>
      </c>
      <c r="T2236" s="37" t="str">
        <f aca="false">IF($A2236="","",IF($B2236="","NO ACCOUNT",IF($Q2236=0,"UNMAPPED",IF($R2236=-1,"OUTSIDE FY RANGE","OK"))))</f>
        <v/>
      </c>
      <c r="U2236" s="40" t="str">
        <f aca="false">IF($A2236="","",$B2236&amp;"|"&amp;TEXT($A2236,"yyyymmdd")&amp;"|"&amp;TEXT($I2236,"0.00"))</f>
        <v/>
      </c>
      <c r="V2236" s="35" t="str">
        <f aca="false">IF($A2236="","",COUNTIF($U$8:$U$5007,$U2236))</f>
        <v/>
      </c>
    </row>
    <row r="2237" customFormat="false" ht="15" hidden="false" customHeight="false" outlineLevel="0" collapsed="false">
      <c r="A2237" s="31"/>
      <c r="B2237" s="32"/>
      <c r="C2237" s="32"/>
      <c r="D2237" s="32"/>
      <c r="E2237" s="32"/>
      <c r="F2237" s="32"/>
      <c r="G2237" s="33"/>
      <c r="H2237" s="33"/>
      <c r="I2237" s="34" t="str">
        <f aca="false">IF($A2237="","",$G2237-$H2237)</f>
        <v/>
      </c>
      <c r="J2237" s="35" t="str">
        <f aca="false">IF($A2237="","",IF(Setup!$B$6=1,YEAR($A2237),YEAR($A2237)+IF(MONTH($A2237)&gt;=Setup!$B$6,1,0)))</f>
        <v/>
      </c>
      <c r="K2237" s="35" t="str">
        <f aca="false">IF($A2237="","",MOD(MONTH($A2237)-Setup!$B$6+12,12)+1)</f>
        <v/>
      </c>
      <c r="L2237" s="36" t="str">
        <f aca="false">IF($A2237="","",TEXT($A2237,"MMM-YY"))</f>
        <v/>
      </c>
      <c r="M2237" s="37" t="str">
        <f aca="false">IF($A2237="","",IF($Q2237=0,"UNMAPPED",INDEX(COA_Mapping!$C$7:$C$256,$Q2237)))</f>
        <v/>
      </c>
      <c r="N2237" s="38" t="str">
        <f aca="false">IF($A2237="","",IF($Q2237=0,"",INDEX(COA_Mapping!$E$7:$E$256,$Q2237)))</f>
        <v/>
      </c>
      <c r="O2237" s="38" t="n">
        <f aca="false">IF($A2237="",1,IF($Q2237=0,1,INDEX(COA_Mapping!$F$7:$F$256,$Q2237)))</f>
        <v>1</v>
      </c>
      <c r="P2237" s="34" t="str">
        <f aca="false">IF($A2237="","",$I2237*$O2237)</f>
        <v/>
      </c>
      <c r="Q2237" s="39" t="n">
        <f aca="false">IF($B2237="",0,IFERROR(MATCH($B2237,COA_Mapping!$A$7:$A$256,0),0))</f>
        <v>0</v>
      </c>
      <c r="R2237" s="39" t="n">
        <f aca="false">IF($A2237="",-1,IF($J2237=Setup!$B$7,1,IF($J2237=Setup!$B$9,0,-1)))</f>
        <v>-1</v>
      </c>
      <c r="S2237" s="35" t="n">
        <f aca="false">IF(OR($A2237="",$Q2237=0,$R2237=-1),0,$Q2237*1000+$R2237*100+$K2237)</f>
        <v>0</v>
      </c>
      <c r="T2237" s="37" t="str">
        <f aca="false">IF($A2237="","",IF($B2237="","NO ACCOUNT",IF($Q2237=0,"UNMAPPED",IF($R2237=-1,"OUTSIDE FY RANGE","OK"))))</f>
        <v/>
      </c>
      <c r="U2237" s="40" t="str">
        <f aca="false">IF($A2237="","",$B2237&amp;"|"&amp;TEXT($A2237,"yyyymmdd")&amp;"|"&amp;TEXT($I2237,"0.00"))</f>
        <v/>
      </c>
      <c r="V2237" s="35" t="str">
        <f aca="false">IF($A2237="","",COUNTIF($U$8:$U$5007,$U2237))</f>
        <v/>
      </c>
    </row>
    <row r="2238" customFormat="false" ht="15" hidden="false" customHeight="false" outlineLevel="0" collapsed="false">
      <c r="A2238" s="31"/>
      <c r="B2238" s="32"/>
      <c r="C2238" s="32"/>
      <c r="D2238" s="32"/>
      <c r="E2238" s="32"/>
      <c r="F2238" s="32"/>
      <c r="G2238" s="33"/>
      <c r="H2238" s="33"/>
      <c r="I2238" s="34" t="str">
        <f aca="false">IF($A2238="","",$G2238-$H2238)</f>
        <v/>
      </c>
      <c r="J2238" s="35" t="str">
        <f aca="false">IF($A2238="","",IF(Setup!$B$6=1,YEAR($A2238),YEAR($A2238)+IF(MONTH($A2238)&gt;=Setup!$B$6,1,0)))</f>
        <v/>
      </c>
      <c r="K2238" s="35" t="str">
        <f aca="false">IF($A2238="","",MOD(MONTH($A2238)-Setup!$B$6+12,12)+1)</f>
        <v/>
      </c>
      <c r="L2238" s="36" t="str">
        <f aca="false">IF($A2238="","",TEXT($A2238,"MMM-YY"))</f>
        <v/>
      </c>
      <c r="M2238" s="37" t="str">
        <f aca="false">IF($A2238="","",IF($Q2238=0,"UNMAPPED",INDEX(COA_Mapping!$C$7:$C$256,$Q2238)))</f>
        <v/>
      </c>
      <c r="N2238" s="38" t="str">
        <f aca="false">IF($A2238="","",IF($Q2238=0,"",INDEX(COA_Mapping!$E$7:$E$256,$Q2238)))</f>
        <v/>
      </c>
      <c r="O2238" s="38" t="n">
        <f aca="false">IF($A2238="",1,IF($Q2238=0,1,INDEX(COA_Mapping!$F$7:$F$256,$Q2238)))</f>
        <v>1</v>
      </c>
      <c r="P2238" s="34" t="str">
        <f aca="false">IF($A2238="","",$I2238*$O2238)</f>
        <v/>
      </c>
      <c r="Q2238" s="39" t="n">
        <f aca="false">IF($B2238="",0,IFERROR(MATCH($B2238,COA_Mapping!$A$7:$A$256,0),0))</f>
        <v>0</v>
      </c>
      <c r="R2238" s="39" t="n">
        <f aca="false">IF($A2238="",-1,IF($J2238=Setup!$B$7,1,IF($J2238=Setup!$B$9,0,-1)))</f>
        <v>-1</v>
      </c>
      <c r="S2238" s="35" t="n">
        <f aca="false">IF(OR($A2238="",$Q2238=0,$R2238=-1),0,$Q2238*1000+$R2238*100+$K2238)</f>
        <v>0</v>
      </c>
      <c r="T2238" s="37" t="str">
        <f aca="false">IF($A2238="","",IF($B2238="","NO ACCOUNT",IF($Q2238=0,"UNMAPPED",IF($R2238=-1,"OUTSIDE FY RANGE","OK"))))</f>
        <v/>
      </c>
      <c r="U2238" s="40" t="str">
        <f aca="false">IF($A2238="","",$B2238&amp;"|"&amp;TEXT($A2238,"yyyymmdd")&amp;"|"&amp;TEXT($I2238,"0.00"))</f>
        <v/>
      </c>
      <c r="V2238" s="35" t="str">
        <f aca="false">IF($A2238="","",COUNTIF($U$8:$U$5007,$U2238))</f>
        <v/>
      </c>
    </row>
    <row r="2239" customFormat="false" ht="15" hidden="false" customHeight="false" outlineLevel="0" collapsed="false">
      <c r="A2239" s="31"/>
      <c r="B2239" s="32"/>
      <c r="C2239" s="32"/>
      <c r="D2239" s="32"/>
      <c r="E2239" s="32"/>
      <c r="F2239" s="32"/>
      <c r="G2239" s="33"/>
      <c r="H2239" s="33"/>
      <c r="I2239" s="34" t="str">
        <f aca="false">IF($A2239="","",$G2239-$H2239)</f>
        <v/>
      </c>
      <c r="J2239" s="35" t="str">
        <f aca="false">IF($A2239="","",IF(Setup!$B$6=1,YEAR($A2239),YEAR($A2239)+IF(MONTH($A2239)&gt;=Setup!$B$6,1,0)))</f>
        <v/>
      </c>
      <c r="K2239" s="35" t="str">
        <f aca="false">IF($A2239="","",MOD(MONTH($A2239)-Setup!$B$6+12,12)+1)</f>
        <v/>
      </c>
      <c r="L2239" s="36" t="str">
        <f aca="false">IF($A2239="","",TEXT($A2239,"MMM-YY"))</f>
        <v/>
      </c>
      <c r="M2239" s="37" t="str">
        <f aca="false">IF($A2239="","",IF($Q2239=0,"UNMAPPED",INDEX(COA_Mapping!$C$7:$C$256,$Q2239)))</f>
        <v/>
      </c>
      <c r="N2239" s="38" t="str">
        <f aca="false">IF($A2239="","",IF($Q2239=0,"",INDEX(COA_Mapping!$E$7:$E$256,$Q2239)))</f>
        <v/>
      </c>
      <c r="O2239" s="38" t="n">
        <f aca="false">IF($A2239="",1,IF($Q2239=0,1,INDEX(COA_Mapping!$F$7:$F$256,$Q2239)))</f>
        <v>1</v>
      </c>
      <c r="P2239" s="34" t="str">
        <f aca="false">IF($A2239="","",$I2239*$O2239)</f>
        <v/>
      </c>
      <c r="Q2239" s="39" t="n">
        <f aca="false">IF($B2239="",0,IFERROR(MATCH($B2239,COA_Mapping!$A$7:$A$256,0),0))</f>
        <v>0</v>
      </c>
      <c r="R2239" s="39" t="n">
        <f aca="false">IF($A2239="",-1,IF($J2239=Setup!$B$7,1,IF($J2239=Setup!$B$9,0,-1)))</f>
        <v>-1</v>
      </c>
      <c r="S2239" s="35" t="n">
        <f aca="false">IF(OR($A2239="",$Q2239=0,$R2239=-1),0,$Q2239*1000+$R2239*100+$K2239)</f>
        <v>0</v>
      </c>
      <c r="T2239" s="37" t="str">
        <f aca="false">IF($A2239="","",IF($B2239="","NO ACCOUNT",IF($Q2239=0,"UNMAPPED",IF($R2239=-1,"OUTSIDE FY RANGE","OK"))))</f>
        <v/>
      </c>
      <c r="U2239" s="40" t="str">
        <f aca="false">IF($A2239="","",$B2239&amp;"|"&amp;TEXT($A2239,"yyyymmdd")&amp;"|"&amp;TEXT($I2239,"0.00"))</f>
        <v/>
      </c>
      <c r="V2239" s="35" t="str">
        <f aca="false">IF($A2239="","",COUNTIF($U$8:$U$5007,$U2239))</f>
        <v/>
      </c>
    </row>
    <row r="2240" customFormat="false" ht="15" hidden="false" customHeight="false" outlineLevel="0" collapsed="false">
      <c r="A2240" s="31"/>
      <c r="B2240" s="32"/>
      <c r="C2240" s="32"/>
      <c r="D2240" s="32"/>
      <c r="E2240" s="32"/>
      <c r="F2240" s="32"/>
      <c r="G2240" s="33"/>
      <c r="H2240" s="33"/>
      <c r="I2240" s="34" t="str">
        <f aca="false">IF($A2240="","",$G2240-$H2240)</f>
        <v/>
      </c>
      <c r="J2240" s="35" t="str">
        <f aca="false">IF($A2240="","",IF(Setup!$B$6=1,YEAR($A2240),YEAR($A2240)+IF(MONTH($A2240)&gt;=Setup!$B$6,1,0)))</f>
        <v/>
      </c>
      <c r="K2240" s="35" t="str">
        <f aca="false">IF($A2240="","",MOD(MONTH($A2240)-Setup!$B$6+12,12)+1)</f>
        <v/>
      </c>
      <c r="L2240" s="36" t="str">
        <f aca="false">IF($A2240="","",TEXT($A2240,"MMM-YY"))</f>
        <v/>
      </c>
      <c r="M2240" s="37" t="str">
        <f aca="false">IF($A2240="","",IF($Q2240=0,"UNMAPPED",INDEX(COA_Mapping!$C$7:$C$256,$Q2240)))</f>
        <v/>
      </c>
      <c r="N2240" s="38" t="str">
        <f aca="false">IF($A2240="","",IF($Q2240=0,"",INDEX(COA_Mapping!$E$7:$E$256,$Q2240)))</f>
        <v/>
      </c>
      <c r="O2240" s="38" t="n">
        <f aca="false">IF($A2240="",1,IF($Q2240=0,1,INDEX(COA_Mapping!$F$7:$F$256,$Q2240)))</f>
        <v>1</v>
      </c>
      <c r="P2240" s="34" t="str">
        <f aca="false">IF($A2240="","",$I2240*$O2240)</f>
        <v/>
      </c>
      <c r="Q2240" s="39" t="n">
        <f aca="false">IF($B2240="",0,IFERROR(MATCH($B2240,COA_Mapping!$A$7:$A$256,0),0))</f>
        <v>0</v>
      </c>
      <c r="R2240" s="39" t="n">
        <f aca="false">IF($A2240="",-1,IF($J2240=Setup!$B$7,1,IF($J2240=Setup!$B$9,0,-1)))</f>
        <v>-1</v>
      </c>
      <c r="S2240" s="35" t="n">
        <f aca="false">IF(OR($A2240="",$Q2240=0,$R2240=-1),0,$Q2240*1000+$R2240*100+$K2240)</f>
        <v>0</v>
      </c>
      <c r="T2240" s="37" t="str">
        <f aca="false">IF($A2240="","",IF($B2240="","NO ACCOUNT",IF($Q2240=0,"UNMAPPED",IF($R2240=-1,"OUTSIDE FY RANGE","OK"))))</f>
        <v/>
      </c>
      <c r="U2240" s="40" t="str">
        <f aca="false">IF($A2240="","",$B2240&amp;"|"&amp;TEXT($A2240,"yyyymmdd")&amp;"|"&amp;TEXT($I2240,"0.00"))</f>
        <v/>
      </c>
      <c r="V2240" s="35" t="str">
        <f aca="false">IF($A2240="","",COUNTIF($U$8:$U$5007,$U2240))</f>
        <v/>
      </c>
    </row>
    <row r="2241" customFormat="false" ht="15" hidden="false" customHeight="false" outlineLevel="0" collapsed="false">
      <c r="A2241" s="31"/>
      <c r="B2241" s="32"/>
      <c r="C2241" s="32"/>
      <c r="D2241" s="32"/>
      <c r="E2241" s="32"/>
      <c r="F2241" s="32"/>
      <c r="G2241" s="33"/>
      <c r="H2241" s="33"/>
      <c r="I2241" s="34" t="str">
        <f aca="false">IF($A2241="","",$G2241-$H2241)</f>
        <v/>
      </c>
      <c r="J2241" s="35" t="str">
        <f aca="false">IF($A2241="","",IF(Setup!$B$6=1,YEAR($A2241),YEAR($A2241)+IF(MONTH($A2241)&gt;=Setup!$B$6,1,0)))</f>
        <v/>
      </c>
      <c r="K2241" s="35" t="str">
        <f aca="false">IF($A2241="","",MOD(MONTH($A2241)-Setup!$B$6+12,12)+1)</f>
        <v/>
      </c>
      <c r="L2241" s="36" t="str">
        <f aca="false">IF($A2241="","",TEXT($A2241,"MMM-YY"))</f>
        <v/>
      </c>
      <c r="M2241" s="37" t="str">
        <f aca="false">IF($A2241="","",IF($Q2241=0,"UNMAPPED",INDEX(COA_Mapping!$C$7:$C$256,$Q2241)))</f>
        <v/>
      </c>
      <c r="N2241" s="38" t="str">
        <f aca="false">IF($A2241="","",IF($Q2241=0,"",INDEX(COA_Mapping!$E$7:$E$256,$Q2241)))</f>
        <v/>
      </c>
      <c r="O2241" s="38" t="n">
        <f aca="false">IF($A2241="",1,IF($Q2241=0,1,INDEX(COA_Mapping!$F$7:$F$256,$Q2241)))</f>
        <v>1</v>
      </c>
      <c r="P2241" s="34" t="str">
        <f aca="false">IF($A2241="","",$I2241*$O2241)</f>
        <v/>
      </c>
      <c r="Q2241" s="39" t="n">
        <f aca="false">IF($B2241="",0,IFERROR(MATCH($B2241,COA_Mapping!$A$7:$A$256,0),0))</f>
        <v>0</v>
      </c>
      <c r="R2241" s="39" t="n">
        <f aca="false">IF($A2241="",-1,IF($J2241=Setup!$B$7,1,IF($J2241=Setup!$B$9,0,-1)))</f>
        <v>-1</v>
      </c>
      <c r="S2241" s="35" t="n">
        <f aca="false">IF(OR($A2241="",$Q2241=0,$R2241=-1),0,$Q2241*1000+$R2241*100+$K2241)</f>
        <v>0</v>
      </c>
      <c r="T2241" s="37" t="str">
        <f aca="false">IF($A2241="","",IF($B2241="","NO ACCOUNT",IF($Q2241=0,"UNMAPPED",IF($R2241=-1,"OUTSIDE FY RANGE","OK"))))</f>
        <v/>
      </c>
      <c r="U2241" s="40" t="str">
        <f aca="false">IF($A2241="","",$B2241&amp;"|"&amp;TEXT($A2241,"yyyymmdd")&amp;"|"&amp;TEXT($I2241,"0.00"))</f>
        <v/>
      </c>
      <c r="V2241" s="35" t="str">
        <f aca="false">IF($A2241="","",COUNTIF($U$8:$U$5007,$U2241))</f>
        <v/>
      </c>
    </row>
    <row r="2242" customFormat="false" ht="15" hidden="false" customHeight="false" outlineLevel="0" collapsed="false">
      <c r="A2242" s="31"/>
      <c r="B2242" s="32"/>
      <c r="C2242" s="32"/>
      <c r="D2242" s="32"/>
      <c r="E2242" s="32"/>
      <c r="F2242" s="32"/>
      <c r="G2242" s="33"/>
      <c r="H2242" s="33"/>
      <c r="I2242" s="34" t="str">
        <f aca="false">IF($A2242="","",$G2242-$H2242)</f>
        <v/>
      </c>
      <c r="J2242" s="35" t="str">
        <f aca="false">IF($A2242="","",IF(Setup!$B$6=1,YEAR($A2242),YEAR($A2242)+IF(MONTH($A2242)&gt;=Setup!$B$6,1,0)))</f>
        <v/>
      </c>
      <c r="K2242" s="35" t="str">
        <f aca="false">IF($A2242="","",MOD(MONTH($A2242)-Setup!$B$6+12,12)+1)</f>
        <v/>
      </c>
      <c r="L2242" s="36" t="str">
        <f aca="false">IF($A2242="","",TEXT($A2242,"MMM-YY"))</f>
        <v/>
      </c>
      <c r="M2242" s="37" t="str">
        <f aca="false">IF($A2242="","",IF($Q2242=0,"UNMAPPED",INDEX(COA_Mapping!$C$7:$C$256,$Q2242)))</f>
        <v/>
      </c>
      <c r="N2242" s="38" t="str">
        <f aca="false">IF($A2242="","",IF($Q2242=0,"",INDEX(COA_Mapping!$E$7:$E$256,$Q2242)))</f>
        <v/>
      </c>
      <c r="O2242" s="38" t="n">
        <f aca="false">IF($A2242="",1,IF($Q2242=0,1,INDEX(COA_Mapping!$F$7:$F$256,$Q2242)))</f>
        <v>1</v>
      </c>
      <c r="P2242" s="34" t="str">
        <f aca="false">IF($A2242="","",$I2242*$O2242)</f>
        <v/>
      </c>
      <c r="Q2242" s="39" t="n">
        <f aca="false">IF($B2242="",0,IFERROR(MATCH($B2242,COA_Mapping!$A$7:$A$256,0),0))</f>
        <v>0</v>
      </c>
      <c r="R2242" s="39" t="n">
        <f aca="false">IF($A2242="",-1,IF($J2242=Setup!$B$7,1,IF($J2242=Setup!$B$9,0,-1)))</f>
        <v>-1</v>
      </c>
      <c r="S2242" s="35" t="n">
        <f aca="false">IF(OR($A2242="",$Q2242=0,$R2242=-1),0,$Q2242*1000+$R2242*100+$K2242)</f>
        <v>0</v>
      </c>
      <c r="T2242" s="37" t="str">
        <f aca="false">IF($A2242="","",IF($B2242="","NO ACCOUNT",IF($Q2242=0,"UNMAPPED",IF($R2242=-1,"OUTSIDE FY RANGE","OK"))))</f>
        <v/>
      </c>
      <c r="U2242" s="40" t="str">
        <f aca="false">IF($A2242="","",$B2242&amp;"|"&amp;TEXT($A2242,"yyyymmdd")&amp;"|"&amp;TEXT($I2242,"0.00"))</f>
        <v/>
      </c>
      <c r="V2242" s="35" t="str">
        <f aca="false">IF($A2242="","",COUNTIF($U$8:$U$5007,$U2242))</f>
        <v/>
      </c>
    </row>
    <row r="2243" customFormat="false" ht="15" hidden="false" customHeight="false" outlineLevel="0" collapsed="false">
      <c r="A2243" s="31"/>
      <c r="B2243" s="32"/>
      <c r="C2243" s="32"/>
      <c r="D2243" s="32"/>
      <c r="E2243" s="32"/>
      <c r="F2243" s="32"/>
      <c r="G2243" s="33"/>
      <c r="H2243" s="33"/>
      <c r="I2243" s="34" t="str">
        <f aca="false">IF($A2243="","",$G2243-$H2243)</f>
        <v/>
      </c>
      <c r="J2243" s="35" t="str">
        <f aca="false">IF($A2243="","",IF(Setup!$B$6=1,YEAR($A2243),YEAR($A2243)+IF(MONTH($A2243)&gt;=Setup!$B$6,1,0)))</f>
        <v/>
      </c>
      <c r="K2243" s="35" t="str">
        <f aca="false">IF($A2243="","",MOD(MONTH($A2243)-Setup!$B$6+12,12)+1)</f>
        <v/>
      </c>
      <c r="L2243" s="36" t="str">
        <f aca="false">IF($A2243="","",TEXT($A2243,"MMM-YY"))</f>
        <v/>
      </c>
      <c r="M2243" s="37" t="str">
        <f aca="false">IF($A2243="","",IF($Q2243=0,"UNMAPPED",INDEX(COA_Mapping!$C$7:$C$256,$Q2243)))</f>
        <v/>
      </c>
      <c r="N2243" s="38" t="str">
        <f aca="false">IF($A2243="","",IF($Q2243=0,"",INDEX(COA_Mapping!$E$7:$E$256,$Q2243)))</f>
        <v/>
      </c>
      <c r="O2243" s="38" t="n">
        <f aca="false">IF($A2243="",1,IF($Q2243=0,1,INDEX(COA_Mapping!$F$7:$F$256,$Q2243)))</f>
        <v>1</v>
      </c>
      <c r="P2243" s="34" t="str">
        <f aca="false">IF($A2243="","",$I2243*$O2243)</f>
        <v/>
      </c>
      <c r="Q2243" s="39" t="n">
        <f aca="false">IF($B2243="",0,IFERROR(MATCH($B2243,COA_Mapping!$A$7:$A$256,0),0))</f>
        <v>0</v>
      </c>
      <c r="R2243" s="39" t="n">
        <f aca="false">IF($A2243="",-1,IF($J2243=Setup!$B$7,1,IF($J2243=Setup!$B$9,0,-1)))</f>
        <v>-1</v>
      </c>
      <c r="S2243" s="35" t="n">
        <f aca="false">IF(OR($A2243="",$Q2243=0,$R2243=-1),0,$Q2243*1000+$R2243*100+$K2243)</f>
        <v>0</v>
      </c>
      <c r="T2243" s="37" t="str">
        <f aca="false">IF($A2243="","",IF($B2243="","NO ACCOUNT",IF($Q2243=0,"UNMAPPED",IF($R2243=-1,"OUTSIDE FY RANGE","OK"))))</f>
        <v/>
      </c>
      <c r="U2243" s="40" t="str">
        <f aca="false">IF($A2243="","",$B2243&amp;"|"&amp;TEXT($A2243,"yyyymmdd")&amp;"|"&amp;TEXT($I2243,"0.00"))</f>
        <v/>
      </c>
      <c r="V2243" s="35" t="str">
        <f aca="false">IF($A2243="","",COUNTIF($U$8:$U$5007,$U2243))</f>
        <v/>
      </c>
    </row>
    <row r="2244" customFormat="false" ht="15" hidden="false" customHeight="false" outlineLevel="0" collapsed="false">
      <c r="A2244" s="31"/>
      <c r="B2244" s="32"/>
      <c r="C2244" s="32"/>
      <c r="D2244" s="32"/>
      <c r="E2244" s="32"/>
      <c r="F2244" s="32"/>
      <c r="G2244" s="33"/>
      <c r="H2244" s="33"/>
      <c r="I2244" s="34" t="str">
        <f aca="false">IF($A2244="","",$G2244-$H2244)</f>
        <v/>
      </c>
      <c r="J2244" s="35" t="str">
        <f aca="false">IF($A2244="","",IF(Setup!$B$6=1,YEAR($A2244),YEAR($A2244)+IF(MONTH($A2244)&gt;=Setup!$B$6,1,0)))</f>
        <v/>
      </c>
      <c r="K2244" s="35" t="str">
        <f aca="false">IF($A2244="","",MOD(MONTH($A2244)-Setup!$B$6+12,12)+1)</f>
        <v/>
      </c>
      <c r="L2244" s="36" t="str">
        <f aca="false">IF($A2244="","",TEXT($A2244,"MMM-YY"))</f>
        <v/>
      </c>
      <c r="M2244" s="37" t="str">
        <f aca="false">IF($A2244="","",IF($Q2244=0,"UNMAPPED",INDEX(COA_Mapping!$C$7:$C$256,$Q2244)))</f>
        <v/>
      </c>
      <c r="N2244" s="38" t="str">
        <f aca="false">IF($A2244="","",IF($Q2244=0,"",INDEX(COA_Mapping!$E$7:$E$256,$Q2244)))</f>
        <v/>
      </c>
      <c r="O2244" s="38" t="n">
        <f aca="false">IF($A2244="",1,IF($Q2244=0,1,INDEX(COA_Mapping!$F$7:$F$256,$Q2244)))</f>
        <v>1</v>
      </c>
      <c r="P2244" s="34" t="str">
        <f aca="false">IF($A2244="","",$I2244*$O2244)</f>
        <v/>
      </c>
      <c r="Q2244" s="39" t="n">
        <f aca="false">IF($B2244="",0,IFERROR(MATCH($B2244,COA_Mapping!$A$7:$A$256,0),0))</f>
        <v>0</v>
      </c>
      <c r="R2244" s="39" t="n">
        <f aca="false">IF($A2244="",-1,IF($J2244=Setup!$B$7,1,IF($J2244=Setup!$B$9,0,-1)))</f>
        <v>-1</v>
      </c>
      <c r="S2244" s="35" t="n">
        <f aca="false">IF(OR($A2244="",$Q2244=0,$R2244=-1),0,$Q2244*1000+$R2244*100+$K2244)</f>
        <v>0</v>
      </c>
      <c r="T2244" s="37" t="str">
        <f aca="false">IF($A2244="","",IF($B2244="","NO ACCOUNT",IF($Q2244=0,"UNMAPPED",IF($R2244=-1,"OUTSIDE FY RANGE","OK"))))</f>
        <v/>
      </c>
      <c r="U2244" s="40" t="str">
        <f aca="false">IF($A2244="","",$B2244&amp;"|"&amp;TEXT($A2244,"yyyymmdd")&amp;"|"&amp;TEXT($I2244,"0.00"))</f>
        <v/>
      </c>
      <c r="V2244" s="35" t="str">
        <f aca="false">IF($A2244="","",COUNTIF($U$8:$U$5007,$U2244))</f>
        <v/>
      </c>
    </row>
    <row r="2245" customFormat="false" ht="15" hidden="false" customHeight="false" outlineLevel="0" collapsed="false">
      <c r="A2245" s="31"/>
      <c r="B2245" s="32"/>
      <c r="C2245" s="32"/>
      <c r="D2245" s="32"/>
      <c r="E2245" s="32"/>
      <c r="F2245" s="32"/>
      <c r="G2245" s="33"/>
      <c r="H2245" s="33"/>
      <c r="I2245" s="34" t="str">
        <f aca="false">IF($A2245="","",$G2245-$H2245)</f>
        <v/>
      </c>
      <c r="J2245" s="35" t="str">
        <f aca="false">IF($A2245="","",IF(Setup!$B$6=1,YEAR($A2245),YEAR($A2245)+IF(MONTH($A2245)&gt;=Setup!$B$6,1,0)))</f>
        <v/>
      </c>
      <c r="K2245" s="35" t="str">
        <f aca="false">IF($A2245="","",MOD(MONTH($A2245)-Setup!$B$6+12,12)+1)</f>
        <v/>
      </c>
      <c r="L2245" s="36" t="str">
        <f aca="false">IF($A2245="","",TEXT($A2245,"MMM-YY"))</f>
        <v/>
      </c>
      <c r="M2245" s="37" t="str">
        <f aca="false">IF($A2245="","",IF($Q2245=0,"UNMAPPED",INDEX(COA_Mapping!$C$7:$C$256,$Q2245)))</f>
        <v/>
      </c>
      <c r="N2245" s="38" t="str">
        <f aca="false">IF($A2245="","",IF($Q2245=0,"",INDEX(COA_Mapping!$E$7:$E$256,$Q2245)))</f>
        <v/>
      </c>
      <c r="O2245" s="38" t="n">
        <f aca="false">IF($A2245="",1,IF($Q2245=0,1,INDEX(COA_Mapping!$F$7:$F$256,$Q2245)))</f>
        <v>1</v>
      </c>
      <c r="P2245" s="34" t="str">
        <f aca="false">IF($A2245="","",$I2245*$O2245)</f>
        <v/>
      </c>
      <c r="Q2245" s="39" t="n">
        <f aca="false">IF($B2245="",0,IFERROR(MATCH($B2245,COA_Mapping!$A$7:$A$256,0),0))</f>
        <v>0</v>
      </c>
      <c r="R2245" s="39" t="n">
        <f aca="false">IF($A2245="",-1,IF($J2245=Setup!$B$7,1,IF($J2245=Setup!$B$9,0,-1)))</f>
        <v>-1</v>
      </c>
      <c r="S2245" s="35" t="n">
        <f aca="false">IF(OR($A2245="",$Q2245=0,$R2245=-1),0,$Q2245*1000+$R2245*100+$K2245)</f>
        <v>0</v>
      </c>
      <c r="T2245" s="37" t="str">
        <f aca="false">IF($A2245="","",IF($B2245="","NO ACCOUNT",IF($Q2245=0,"UNMAPPED",IF($R2245=-1,"OUTSIDE FY RANGE","OK"))))</f>
        <v/>
      </c>
      <c r="U2245" s="40" t="str">
        <f aca="false">IF($A2245="","",$B2245&amp;"|"&amp;TEXT($A2245,"yyyymmdd")&amp;"|"&amp;TEXT($I2245,"0.00"))</f>
        <v/>
      </c>
      <c r="V2245" s="35" t="str">
        <f aca="false">IF($A2245="","",COUNTIF($U$8:$U$5007,$U2245))</f>
        <v/>
      </c>
    </row>
    <row r="2246" customFormat="false" ht="15" hidden="false" customHeight="false" outlineLevel="0" collapsed="false">
      <c r="A2246" s="31"/>
      <c r="B2246" s="32"/>
      <c r="C2246" s="32"/>
      <c r="D2246" s="32"/>
      <c r="E2246" s="32"/>
      <c r="F2246" s="32"/>
      <c r="G2246" s="33"/>
      <c r="H2246" s="33"/>
      <c r="I2246" s="34" t="str">
        <f aca="false">IF($A2246="","",$G2246-$H2246)</f>
        <v/>
      </c>
      <c r="J2246" s="35" t="str">
        <f aca="false">IF($A2246="","",IF(Setup!$B$6=1,YEAR($A2246),YEAR($A2246)+IF(MONTH($A2246)&gt;=Setup!$B$6,1,0)))</f>
        <v/>
      </c>
      <c r="K2246" s="35" t="str">
        <f aca="false">IF($A2246="","",MOD(MONTH($A2246)-Setup!$B$6+12,12)+1)</f>
        <v/>
      </c>
      <c r="L2246" s="36" t="str">
        <f aca="false">IF($A2246="","",TEXT($A2246,"MMM-YY"))</f>
        <v/>
      </c>
      <c r="M2246" s="37" t="str">
        <f aca="false">IF($A2246="","",IF($Q2246=0,"UNMAPPED",INDEX(COA_Mapping!$C$7:$C$256,$Q2246)))</f>
        <v/>
      </c>
      <c r="N2246" s="38" t="str">
        <f aca="false">IF($A2246="","",IF($Q2246=0,"",INDEX(COA_Mapping!$E$7:$E$256,$Q2246)))</f>
        <v/>
      </c>
      <c r="O2246" s="38" t="n">
        <f aca="false">IF($A2246="",1,IF($Q2246=0,1,INDEX(COA_Mapping!$F$7:$F$256,$Q2246)))</f>
        <v>1</v>
      </c>
      <c r="P2246" s="34" t="str">
        <f aca="false">IF($A2246="","",$I2246*$O2246)</f>
        <v/>
      </c>
      <c r="Q2246" s="39" t="n">
        <f aca="false">IF($B2246="",0,IFERROR(MATCH($B2246,COA_Mapping!$A$7:$A$256,0),0))</f>
        <v>0</v>
      </c>
      <c r="R2246" s="39" t="n">
        <f aca="false">IF($A2246="",-1,IF($J2246=Setup!$B$7,1,IF($J2246=Setup!$B$9,0,-1)))</f>
        <v>-1</v>
      </c>
      <c r="S2246" s="35" t="n">
        <f aca="false">IF(OR($A2246="",$Q2246=0,$R2246=-1),0,$Q2246*1000+$R2246*100+$K2246)</f>
        <v>0</v>
      </c>
      <c r="T2246" s="37" t="str">
        <f aca="false">IF($A2246="","",IF($B2246="","NO ACCOUNT",IF($Q2246=0,"UNMAPPED",IF($R2246=-1,"OUTSIDE FY RANGE","OK"))))</f>
        <v/>
      </c>
      <c r="U2246" s="40" t="str">
        <f aca="false">IF($A2246="","",$B2246&amp;"|"&amp;TEXT($A2246,"yyyymmdd")&amp;"|"&amp;TEXT($I2246,"0.00"))</f>
        <v/>
      </c>
      <c r="V2246" s="35" t="str">
        <f aca="false">IF($A2246="","",COUNTIF($U$8:$U$5007,$U2246))</f>
        <v/>
      </c>
    </row>
    <row r="2247" customFormat="false" ht="15" hidden="false" customHeight="false" outlineLevel="0" collapsed="false">
      <c r="A2247" s="31"/>
      <c r="B2247" s="32"/>
      <c r="C2247" s="32"/>
      <c r="D2247" s="32"/>
      <c r="E2247" s="32"/>
      <c r="F2247" s="32"/>
      <c r="G2247" s="33"/>
      <c r="H2247" s="33"/>
      <c r="I2247" s="34" t="str">
        <f aca="false">IF($A2247="","",$G2247-$H2247)</f>
        <v/>
      </c>
      <c r="J2247" s="35" t="str">
        <f aca="false">IF($A2247="","",IF(Setup!$B$6=1,YEAR($A2247),YEAR($A2247)+IF(MONTH($A2247)&gt;=Setup!$B$6,1,0)))</f>
        <v/>
      </c>
      <c r="K2247" s="35" t="str">
        <f aca="false">IF($A2247="","",MOD(MONTH($A2247)-Setup!$B$6+12,12)+1)</f>
        <v/>
      </c>
      <c r="L2247" s="36" t="str">
        <f aca="false">IF($A2247="","",TEXT($A2247,"MMM-YY"))</f>
        <v/>
      </c>
      <c r="M2247" s="37" t="str">
        <f aca="false">IF($A2247="","",IF($Q2247=0,"UNMAPPED",INDEX(COA_Mapping!$C$7:$C$256,$Q2247)))</f>
        <v/>
      </c>
      <c r="N2247" s="38" t="str">
        <f aca="false">IF($A2247="","",IF($Q2247=0,"",INDEX(COA_Mapping!$E$7:$E$256,$Q2247)))</f>
        <v/>
      </c>
      <c r="O2247" s="38" t="n">
        <f aca="false">IF($A2247="",1,IF($Q2247=0,1,INDEX(COA_Mapping!$F$7:$F$256,$Q2247)))</f>
        <v>1</v>
      </c>
      <c r="P2247" s="34" t="str">
        <f aca="false">IF($A2247="","",$I2247*$O2247)</f>
        <v/>
      </c>
      <c r="Q2247" s="39" t="n">
        <f aca="false">IF($B2247="",0,IFERROR(MATCH($B2247,COA_Mapping!$A$7:$A$256,0),0))</f>
        <v>0</v>
      </c>
      <c r="R2247" s="39" t="n">
        <f aca="false">IF($A2247="",-1,IF($J2247=Setup!$B$7,1,IF($J2247=Setup!$B$9,0,-1)))</f>
        <v>-1</v>
      </c>
      <c r="S2247" s="35" t="n">
        <f aca="false">IF(OR($A2247="",$Q2247=0,$R2247=-1),0,$Q2247*1000+$R2247*100+$K2247)</f>
        <v>0</v>
      </c>
      <c r="T2247" s="37" t="str">
        <f aca="false">IF($A2247="","",IF($B2247="","NO ACCOUNT",IF($Q2247=0,"UNMAPPED",IF($R2247=-1,"OUTSIDE FY RANGE","OK"))))</f>
        <v/>
      </c>
      <c r="U2247" s="40" t="str">
        <f aca="false">IF($A2247="","",$B2247&amp;"|"&amp;TEXT($A2247,"yyyymmdd")&amp;"|"&amp;TEXT($I2247,"0.00"))</f>
        <v/>
      </c>
      <c r="V2247" s="35" t="str">
        <f aca="false">IF($A2247="","",COUNTIF($U$8:$U$5007,$U2247))</f>
        <v/>
      </c>
    </row>
    <row r="2248" customFormat="false" ht="15" hidden="false" customHeight="false" outlineLevel="0" collapsed="false">
      <c r="A2248" s="31"/>
      <c r="B2248" s="32"/>
      <c r="C2248" s="32"/>
      <c r="D2248" s="32"/>
      <c r="E2248" s="32"/>
      <c r="F2248" s="32"/>
      <c r="G2248" s="33"/>
      <c r="H2248" s="33"/>
      <c r="I2248" s="34" t="str">
        <f aca="false">IF($A2248="","",$G2248-$H2248)</f>
        <v/>
      </c>
      <c r="J2248" s="35" t="str">
        <f aca="false">IF($A2248="","",IF(Setup!$B$6=1,YEAR($A2248),YEAR($A2248)+IF(MONTH($A2248)&gt;=Setup!$B$6,1,0)))</f>
        <v/>
      </c>
      <c r="K2248" s="35" t="str">
        <f aca="false">IF($A2248="","",MOD(MONTH($A2248)-Setup!$B$6+12,12)+1)</f>
        <v/>
      </c>
      <c r="L2248" s="36" t="str">
        <f aca="false">IF($A2248="","",TEXT($A2248,"MMM-YY"))</f>
        <v/>
      </c>
      <c r="M2248" s="37" t="str">
        <f aca="false">IF($A2248="","",IF($Q2248=0,"UNMAPPED",INDEX(COA_Mapping!$C$7:$C$256,$Q2248)))</f>
        <v/>
      </c>
      <c r="N2248" s="38" t="str">
        <f aca="false">IF($A2248="","",IF($Q2248=0,"",INDEX(COA_Mapping!$E$7:$E$256,$Q2248)))</f>
        <v/>
      </c>
      <c r="O2248" s="38" t="n">
        <f aca="false">IF($A2248="",1,IF($Q2248=0,1,INDEX(COA_Mapping!$F$7:$F$256,$Q2248)))</f>
        <v>1</v>
      </c>
      <c r="P2248" s="34" t="str">
        <f aca="false">IF($A2248="","",$I2248*$O2248)</f>
        <v/>
      </c>
      <c r="Q2248" s="39" t="n">
        <f aca="false">IF($B2248="",0,IFERROR(MATCH($B2248,COA_Mapping!$A$7:$A$256,0),0))</f>
        <v>0</v>
      </c>
      <c r="R2248" s="39" t="n">
        <f aca="false">IF($A2248="",-1,IF($J2248=Setup!$B$7,1,IF($J2248=Setup!$B$9,0,-1)))</f>
        <v>-1</v>
      </c>
      <c r="S2248" s="35" t="n">
        <f aca="false">IF(OR($A2248="",$Q2248=0,$R2248=-1),0,$Q2248*1000+$R2248*100+$K2248)</f>
        <v>0</v>
      </c>
      <c r="T2248" s="37" t="str">
        <f aca="false">IF($A2248="","",IF($B2248="","NO ACCOUNT",IF($Q2248=0,"UNMAPPED",IF($R2248=-1,"OUTSIDE FY RANGE","OK"))))</f>
        <v/>
      </c>
      <c r="U2248" s="40" t="str">
        <f aca="false">IF($A2248="","",$B2248&amp;"|"&amp;TEXT($A2248,"yyyymmdd")&amp;"|"&amp;TEXT($I2248,"0.00"))</f>
        <v/>
      </c>
      <c r="V2248" s="35" t="str">
        <f aca="false">IF($A2248="","",COUNTIF($U$8:$U$5007,$U2248))</f>
        <v/>
      </c>
    </row>
    <row r="2249" customFormat="false" ht="15" hidden="false" customHeight="false" outlineLevel="0" collapsed="false">
      <c r="A2249" s="31"/>
      <c r="B2249" s="32"/>
      <c r="C2249" s="32"/>
      <c r="D2249" s="32"/>
      <c r="E2249" s="32"/>
      <c r="F2249" s="32"/>
      <c r="G2249" s="33"/>
      <c r="H2249" s="33"/>
      <c r="I2249" s="34" t="str">
        <f aca="false">IF($A2249="","",$G2249-$H2249)</f>
        <v/>
      </c>
      <c r="J2249" s="35" t="str">
        <f aca="false">IF($A2249="","",IF(Setup!$B$6=1,YEAR($A2249),YEAR($A2249)+IF(MONTH($A2249)&gt;=Setup!$B$6,1,0)))</f>
        <v/>
      </c>
      <c r="K2249" s="35" t="str">
        <f aca="false">IF($A2249="","",MOD(MONTH($A2249)-Setup!$B$6+12,12)+1)</f>
        <v/>
      </c>
      <c r="L2249" s="36" t="str">
        <f aca="false">IF($A2249="","",TEXT($A2249,"MMM-YY"))</f>
        <v/>
      </c>
      <c r="M2249" s="37" t="str">
        <f aca="false">IF($A2249="","",IF($Q2249=0,"UNMAPPED",INDEX(COA_Mapping!$C$7:$C$256,$Q2249)))</f>
        <v/>
      </c>
      <c r="N2249" s="38" t="str">
        <f aca="false">IF($A2249="","",IF($Q2249=0,"",INDEX(COA_Mapping!$E$7:$E$256,$Q2249)))</f>
        <v/>
      </c>
      <c r="O2249" s="38" t="n">
        <f aca="false">IF($A2249="",1,IF($Q2249=0,1,INDEX(COA_Mapping!$F$7:$F$256,$Q2249)))</f>
        <v>1</v>
      </c>
      <c r="P2249" s="34" t="str">
        <f aca="false">IF($A2249="","",$I2249*$O2249)</f>
        <v/>
      </c>
      <c r="Q2249" s="39" t="n">
        <f aca="false">IF($B2249="",0,IFERROR(MATCH($B2249,COA_Mapping!$A$7:$A$256,0),0))</f>
        <v>0</v>
      </c>
      <c r="R2249" s="39" t="n">
        <f aca="false">IF($A2249="",-1,IF($J2249=Setup!$B$7,1,IF($J2249=Setup!$B$9,0,-1)))</f>
        <v>-1</v>
      </c>
      <c r="S2249" s="35" t="n">
        <f aca="false">IF(OR($A2249="",$Q2249=0,$R2249=-1),0,$Q2249*1000+$R2249*100+$K2249)</f>
        <v>0</v>
      </c>
      <c r="T2249" s="37" t="str">
        <f aca="false">IF($A2249="","",IF($B2249="","NO ACCOUNT",IF($Q2249=0,"UNMAPPED",IF($R2249=-1,"OUTSIDE FY RANGE","OK"))))</f>
        <v/>
      </c>
      <c r="U2249" s="40" t="str">
        <f aca="false">IF($A2249="","",$B2249&amp;"|"&amp;TEXT($A2249,"yyyymmdd")&amp;"|"&amp;TEXT($I2249,"0.00"))</f>
        <v/>
      </c>
      <c r="V2249" s="35" t="str">
        <f aca="false">IF($A2249="","",COUNTIF($U$8:$U$5007,$U2249))</f>
        <v/>
      </c>
    </row>
    <row r="2250" customFormat="false" ht="15" hidden="false" customHeight="false" outlineLevel="0" collapsed="false">
      <c r="A2250" s="31"/>
      <c r="B2250" s="32"/>
      <c r="C2250" s="32"/>
      <c r="D2250" s="32"/>
      <c r="E2250" s="32"/>
      <c r="F2250" s="32"/>
      <c r="G2250" s="33"/>
      <c r="H2250" s="33"/>
      <c r="I2250" s="34" t="str">
        <f aca="false">IF($A2250="","",$G2250-$H2250)</f>
        <v/>
      </c>
      <c r="J2250" s="35" t="str">
        <f aca="false">IF($A2250="","",IF(Setup!$B$6=1,YEAR($A2250),YEAR($A2250)+IF(MONTH($A2250)&gt;=Setup!$B$6,1,0)))</f>
        <v/>
      </c>
      <c r="K2250" s="35" t="str">
        <f aca="false">IF($A2250="","",MOD(MONTH($A2250)-Setup!$B$6+12,12)+1)</f>
        <v/>
      </c>
      <c r="L2250" s="36" t="str">
        <f aca="false">IF($A2250="","",TEXT($A2250,"MMM-YY"))</f>
        <v/>
      </c>
      <c r="M2250" s="37" t="str">
        <f aca="false">IF($A2250="","",IF($Q2250=0,"UNMAPPED",INDEX(COA_Mapping!$C$7:$C$256,$Q2250)))</f>
        <v/>
      </c>
      <c r="N2250" s="38" t="str">
        <f aca="false">IF($A2250="","",IF($Q2250=0,"",INDEX(COA_Mapping!$E$7:$E$256,$Q2250)))</f>
        <v/>
      </c>
      <c r="O2250" s="38" t="n">
        <f aca="false">IF($A2250="",1,IF($Q2250=0,1,INDEX(COA_Mapping!$F$7:$F$256,$Q2250)))</f>
        <v>1</v>
      </c>
      <c r="P2250" s="34" t="str">
        <f aca="false">IF($A2250="","",$I2250*$O2250)</f>
        <v/>
      </c>
      <c r="Q2250" s="39" t="n">
        <f aca="false">IF($B2250="",0,IFERROR(MATCH($B2250,COA_Mapping!$A$7:$A$256,0),0))</f>
        <v>0</v>
      </c>
      <c r="R2250" s="39" t="n">
        <f aca="false">IF($A2250="",-1,IF($J2250=Setup!$B$7,1,IF($J2250=Setup!$B$9,0,-1)))</f>
        <v>-1</v>
      </c>
      <c r="S2250" s="35" t="n">
        <f aca="false">IF(OR($A2250="",$Q2250=0,$R2250=-1),0,$Q2250*1000+$R2250*100+$K2250)</f>
        <v>0</v>
      </c>
      <c r="T2250" s="37" t="str">
        <f aca="false">IF($A2250="","",IF($B2250="","NO ACCOUNT",IF($Q2250=0,"UNMAPPED",IF($R2250=-1,"OUTSIDE FY RANGE","OK"))))</f>
        <v/>
      </c>
      <c r="U2250" s="40" t="str">
        <f aca="false">IF($A2250="","",$B2250&amp;"|"&amp;TEXT($A2250,"yyyymmdd")&amp;"|"&amp;TEXT($I2250,"0.00"))</f>
        <v/>
      </c>
      <c r="V2250" s="35" t="str">
        <f aca="false">IF($A2250="","",COUNTIF($U$8:$U$5007,$U2250))</f>
        <v/>
      </c>
    </row>
    <row r="2251" customFormat="false" ht="15" hidden="false" customHeight="false" outlineLevel="0" collapsed="false">
      <c r="A2251" s="31"/>
      <c r="B2251" s="32"/>
      <c r="C2251" s="32"/>
      <c r="D2251" s="32"/>
      <c r="E2251" s="32"/>
      <c r="F2251" s="32"/>
      <c r="G2251" s="33"/>
      <c r="H2251" s="33"/>
      <c r="I2251" s="34" t="str">
        <f aca="false">IF($A2251="","",$G2251-$H2251)</f>
        <v/>
      </c>
      <c r="J2251" s="35" t="str">
        <f aca="false">IF($A2251="","",IF(Setup!$B$6=1,YEAR($A2251),YEAR($A2251)+IF(MONTH($A2251)&gt;=Setup!$B$6,1,0)))</f>
        <v/>
      </c>
      <c r="K2251" s="35" t="str">
        <f aca="false">IF($A2251="","",MOD(MONTH($A2251)-Setup!$B$6+12,12)+1)</f>
        <v/>
      </c>
      <c r="L2251" s="36" t="str">
        <f aca="false">IF($A2251="","",TEXT($A2251,"MMM-YY"))</f>
        <v/>
      </c>
      <c r="M2251" s="37" t="str">
        <f aca="false">IF($A2251="","",IF($Q2251=0,"UNMAPPED",INDEX(COA_Mapping!$C$7:$C$256,$Q2251)))</f>
        <v/>
      </c>
      <c r="N2251" s="38" t="str">
        <f aca="false">IF($A2251="","",IF($Q2251=0,"",INDEX(COA_Mapping!$E$7:$E$256,$Q2251)))</f>
        <v/>
      </c>
      <c r="O2251" s="38" t="n">
        <f aca="false">IF($A2251="",1,IF($Q2251=0,1,INDEX(COA_Mapping!$F$7:$F$256,$Q2251)))</f>
        <v>1</v>
      </c>
      <c r="P2251" s="34" t="str">
        <f aca="false">IF($A2251="","",$I2251*$O2251)</f>
        <v/>
      </c>
      <c r="Q2251" s="39" t="n">
        <f aca="false">IF($B2251="",0,IFERROR(MATCH($B2251,COA_Mapping!$A$7:$A$256,0),0))</f>
        <v>0</v>
      </c>
      <c r="R2251" s="39" t="n">
        <f aca="false">IF($A2251="",-1,IF($J2251=Setup!$B$7,1,IF($J2251=Setup!$B$9,0,-1)))</f>
        <v>-1</v>
      </c>
      <c r="S2251" s="35" t="n">
        <f aca="false">IF(OR($A2251="",$Q2251=0,$R2251=-1),0,$Q2251*1000+$R2251*100+$K2251)</f>
        <v>0</v>
      </c>
      <c r="T2251" s="37" t="str">
        <f aca="false">IF($A2251="","",IF($B2251="","NO ACCOUNT",IF($Q2251=0,"UNMAPPED",IF($R2251=-1,"OUTSIDE FY RANGE","OK"))))</f>
        <v/>
      </c>
      <c r="U2251" s="40" t="str">
        <f aca="false">IF($A2251="","",$B2251&amp;"|"&amp;TEXT($A2251,"yyyymmdd")&amp;"|"&amp;TEXT($I2251,"0.00"))</f>
        <v/>
      </c>
      <c r="V2251" s="35" t="str">
        <f aca="false">IF($A2251="","",COUNTIF($U$8:$U$5007,$U2251))</f>
        <v/>
      </c>
    </row>
    <row r="2252" customFormat="false" ht="15" hidden="false" customHeight="false" outlineLevel="0" collapsed="false">
      <c r="A2252" s="31"/>
      <c r="B2252" s="32"/>
      <c r="C2252" s="32"/>
      <c r="D2252" s="32"/>
      <c r="E2252" s="32"/>
      <c r="F2252" s="32"/>
      <c r="G2252" s="33"/>
      <c r="H2252" s="33"/>
      <c r="I2252" s="34" t="str">
        <f aca="false">IF($A2252="","",$G2252-$H2252)</f>
        <v/>
      </c>
      <c r="J2252" s="35" t="str">
        <f aca="false">IF($A2252="","",IF(Setup!$B$6=1,YEAR($A2252),YEAR($A2252)+IF(MONTH($A2252)&gt;=Setup!$B$6,1,0)))</f>
        <v/>
      </c>
      <c r="K2252" s="35" t="str">
        <f aca="false">IF($A2252="","",MOD(MONTH($A2252)-Setup!$B$6+12,12)+1)</f>
        <v/>
      </c>
      <c r="L2252" s="36" t="str">
        <f aca="false">IF($A2252="","",TEXT($A2252,"MMM-YY"))</f>
        <v/>
      </c>
      <c r="M2252" s="37" t="str">
        <f aca="false">IF($A2252="","",IF($Q2252=0,"UNMAPPED",INDEX(COA_Mapping!$C$7:$C$256,$Q2252)))</f>
        <v/>
      </c>
      <c r="N2252" s="38" t="str">
        <f aca="false">IF($A2252="","",IF($Q2252=0,"",INDEX(COA_Mapping!$E$7:$E$256,$Q2252)))</f>
        <v/>
      </c>
      <c r="O2252" s="38" t="n">
        <f aca="false">IF($A2252="",1,IF($Q2252=0,1,INDEX(COA_Mapping!$F$7:$F$256,$Q2252)))</f>
        <v>1</v>
      </c>
      <c r="P2252" s="34" t="str">
        <f aca="false">IF($A2252="","",$I2252*$O2252)</f>
        <v/>
      </c>
      <c r="Q2252" s="39" t="n">
        <f aca="false">IF($B2252="",0,IFERROR(MATCH($B2252,COA_Mapping!$A$7:$A$256,0),0))</f>
        <v>0</v>
      </c>
      <c r="R2252" s="39" t="n">
        <f aca="false">IF($A2252="",-1,IF($J2252=Setup!$B$7,1,IF($J2252=Setup!$B$9,0,-1)))</f>
        <v>-1</v>
      </c>
      <c r="S2252" s="35" t="n">
        <f aca="false">IF(OR($A2252="",$Q2252=0,$R2252=-1),0,$Q2252*1000+$R2252*100+$K2252)</f>
        <v>0</v>
      </c>
      <c r="T2252" s="37" t="str">
        <f aca="false">IF($A2252="","",IF($B2252="","NO ACCOUNT",IF($Q2252=0,"UNMAPPED",IF($R2252=-1,"OUTSIDE FY RANGE","OK"))))</f>
        <v/>
      </c>
      <c r="U2252" s="40" t="str">
        <f aca="false">IF($A2252="","",$B2252&amp;"|"&amp;TEXT($A2252,"yyyymmdd")&amp;"|"&amp;TEXT($I2252,"0.00"))</f>
        <v/>
      </c>
      <c r="V2252" s="35" t="str">
        <f aca="false">IF($A2252="","",COUNTIF($U$8:$U$5007,$U2252))</f>
        <v/>
      </c>
    </row>
    <row r="2253" customFormat="false" ht="15" hidden="false" customHeight="false" outlineLevel="0" collapsed="false">
      <c r="A2253" s="31"/>
      <c r="B2253" s="32"/>
      <c r="C2253" s="32"/>
      <c r="D2253" s="32"/>
      <c r="E2253" s="32"/>
      <c r="F2253" s="32"/>
      <c r="G2253" s="33"/>
      <c r="H2253" s="33"/>
      <c r="I2253" s="34" t="str">
        <f aca="false">IF($A2253="","",$G2253-$H2253)</f>
        <v/>
      </c>
      <c r="J2253" s="35" t="str">
        <f aca="false">IF($A2253="","",IF(Setup!$B$6=1,YEAR($A2253),YEAR($A2253)+IF(MONTH($A2253)&gt;=Setup!$B$6,1,0)))</f>
        <v/>
      </c>
      <c r="K2253" s="35" t="str">
        <f aca="false">IF($A2253="","",MOD(MONTH($A2253)-Setup!$B$6+12,12)+1)</f>
        <v/>
      </c>
      <c r="L2253" s="36" t="str">
        <f aca="false">IF($A2253="","",TEXT($A2253,"MMM-YY"))</f>
        <v/>
      </c>
      <c r="M2253" s="37" t="str">
        <f aca="false">IF($A2253="","",IF($Q2253=0,"UNMAPPED",INDEX(COA_Mapping!$C$7:$C$256,$Q2253)))</f>
        <v/>
      </c>
      <c r="N2253" s="38" t="str">
        <f aca="false">IF($A2253="","",IF($Q2253=0,"",INDEX(COA_Mapping!$E$7:$E$256,$Q2253)))</f>
        <v/>
      </c>
      <c r="O2253" s="38" t="n">
        <f aca="false">IF($A2253="",1,IF($Q2253=0,1,INDEX(COA_Mapping!$F$7:$F$256,$Q2253)))</f>
        <v>1</v>
      </c>
      <c r="P2253" s="34" t="str">
        <f aca="false">IF($A2253="","",$I2253*$O2253)</f>
        <v/>
      </c>
      <c r="Q2253" s="39" t="n">
        <f aca="false">IF($B2253="",0,IFERROR(MATCH($B2253,COA_Mapping!$A$7:$A$256,0),0))</f>
        <v>0</v>
      </c>
      <c r="R2253" s="39" t="n">
        <f aca="false">IF($A2253="",-1,IF($J2253=Setup!$B$7,1,IF($J2253=Setup!$B$9,0,-1)))</f>
        <v>-1</v>
      </c>
      <c r="S2253" s="35" t="n">
        <f aca="false">IF(OR($A2253="",$Q2253=0,$R2253=-1),0,$Q2253*1000+$R2253*100+$K2253)</f>
        <v>0</v>
      </c>
      <c r="T2253" s="37" t="str">
        <f aca="false">IF($A2253="","",IF($B2253="","NO ACCOUNT",IF($Q2253=0,"UNMAPPED",IF($R2253=-1,"OUTSIDE FY RANGE","OK"))))</f>
        <v/>
      </c>
      <c r="U2253" s="40" t="str">
        <f aca="false">IF($A2253="","",$B2253&amp;"|"&amp;TEXT($A2253,"yyyymmdd")&amp;"|"&amp;TEXT($I2253,"0.00"))</f>
        <v/>
      </c>
      <c r="V2253" s="35" t="str">
        <f aca="false">IF($A2253="","",COUNTIF($U$8:$U$5007,$U2253))</f>
        <v/>
      </c>
    </row>
    <row r="2254" customFormat="false" ht="15" hidden="false" customHeight="false" outlineLevel="0" collapsed="false">
      <c r="A2254" s="31"/>
      <c r="B2254" s="32"/>
      <c r="C2254" s="32"/>
      <c r="D2254" s="32"/>
      <c r="E2254" s="32"/>
      <c r="F2254" s="32"/>
      <c r="G2254" s="33"/>
      <c r="H2254" s="33"/>
      <c r="I2254" s="34" t="str">
        <f aca="false">IF($A2254="","",$G2254-$H2254)</f>
        <v/>
      </c>
      <c r="J2254" s="35" t="str">
        <f aca="false">IF($A2254="","",IF(Setup!$B$6=1,YEAR($A2254),YEAR($A2254)+IF(MONTH($A2254)&gt;=Setup!$B$6,1,0)))</f>
        <v/>
      </c>
      <c r="K2254" s="35" t="str">
        <f aca="false">IF($A2254="","",MOD(MONTH($A2254)-Setup!$B$6+12,12)+1)</f>
        <v/>
      </c>
      <c r="L2254" s="36" t="str">
        <f aca="false">IF($A2254="","",TEXT($A2254,"MMM-YY"))</f>
        <v/>
      </c>
      <c r="M2254" s="37" t="str">
        <f aca="false">IF($A2254="","",IF($Q2254=0,"UNMAPPED",INDEX(COA_Mapping!$C$7:$C$256,$Q2254)))</f>
        <v/>
      </c>
      <c r="N2254" s="38" t="str">
        <f aca="false">IF($A2254="","",IF($Q2254=0,"",INDEX(COA_Mapping!$E$7:$E$256,$Q2254)))</f>
        <v/>
      </c>
      <c r="O2254" s="38" t="n">
        <f aca="false">IF($A2254="",1,IF($Q2254=0,1,INDEX(COA_Mapping!$F$7:$F$256,$Q2254)))</f>
        <v>1</v>
      </c>
      <c r="P2254" s="34" t="str">
        <f aca="false">IF($A2254="","",$I2254*$O2254)</f>
        <v/>
      </c>
      <c r="Q2254" s="39" t="n">
        <f aca="false">IF($B2254="",0,IFERROR(MATCH($B2254,COA_Mapping!$A$7:$A$256,0),0))</f>
        <v>0</v>
      </c>
      <c r="R2254" s="39" t="n">
        <f aca="false">IF($A2254="",-1,IF($J2254=Setup!$B$7,1,IF($J2254=Setup!$B$9,0,-1)))</f>
        <v>-1</v>
      </c>
      <c r="S2254" s="35" t="n">
        <f aca="false">IF(OR($A2254="",$Q2254=0,$R2254=-1),0,$Q2254*1000+$R2254*100+$K2254)</f>
        <v>0</v>
      </c>
      <c r="T2254" s="37" t="str">
        <f aca="false">IF($A2254="","",IF($B2254="","NO ACCOUNT",IF($Q2254=0,"UNMAPPED",IF($R2254=-1,"OUTSIDE FY RANGE","OK"))))</f>
        <v/>
      </c>
      <c r="U2254" s="40" t="str">
        <f aca="false">IF($A2254="","",$B2254&amp;"|"&amp;TEXT($A2254,"yyyymmdd")&amp;"|"&amp;TEXT($I2254,"0.00"))</f>
        <v/>
      </c>
      <c r="V2254" s="35" t="str">
        <f aca="false">IF($A2254="","",COUNTIF($U$8:$U$5007,$U2254))</f>
        <v/>
      </c>
    </row>
    <row r="2255" customFormat="false" ht="15" hidden="false" customHeight="false" outlineLevel="0" collapsed="false">
      <c r="A2255" s="31"/>
      <c r="B2255" s="32"/>
      <c r="C2255" s="32"/>
      <c r="D2255" s="32"/>
      <c r="E2255" s="32"/>
      <c r="F2255" s="32"/>
      <c r="G2255" s="33"/>
      <c r="H2255" s="33"/>
      <c r="I2255" s="34" t="str">
        <f aca="false">IF($A2255="","",$G2255-$H2255)</f>
        <v/>
      </c>
      <c r="J2255" s="35" t="str">
        <f aca="false">IF($A2255="","",IF(Setup!$B$6=1,YEAR($A2255),YEAR($A2255)+IF(MONTH($A2255)&gt;=Setup!$B$6,1,0)))</f>
        <v/>
      </c>
      <c r="K2255" s="35" t="str">
        <f aca="false">IF($A2255="","",MOD(MONTH($A2255)-Setup!$B$6+12,12)+1)</f>
        <v/>
      </c>
      <c r="L2255" s="36" t="str">
        <f aca="false">IF($A2255="","",TEXT($A2255,"MMM-YY"))</f>
        <v/>
      </c>
      <c r="M2255" s="37" t="str">
        <f aca="false">IF($A2255="","",IF($Q2255=0,"UNMAPPED",INDEX(COA_Mapping!$C$7:$C$256,$Q2255)))</f>
        <v/>
      </c>
      <c r="N2255" s="38" t="str">
        <f aca="false">IF($A2255="","",IF($Q2255=0,"",INDEX(COA_Mapping!$E$7:$E$256,$Q2255)))</f>
        <v/>
      </c>
      <c r="O2255" s="38" t="n">
        <f aca="false">IF($A2255="",1,IF($Q2255=0,1,INDEX(COA_Mapping!$F$7:$F$256,$Q2255)))</f>
        <v>1</v>
      </c>
      <c r="P2255" s="34" t="str">
        <f aca="false">IF($A2255="","",$I2255*$O2255)</f>
        <v/>
      </c>
      <c r="Q2255" s="39" t="n">
        <f aca="false">IF($B2255="",0,IFERROR(MATCH($B2255,COA_Mapping!$A$7:$A$256,0),0))</f>
        <v>0</v>
      </c>
      <c r="R2255" s="39" t="n">
        <f aca="false">IF($A2255="",-1,IF($J2255=Setup!$B$7,1,IF($J2255=Setup!$B$9,0,-1)))</f>
        <v>-1</v>
      </c>
      <c r="S2255" s="35" t="n">
        <f aca="false">IF(OR($A2255="",$Q2255=0,$R2255=-1),0,$Q2255*1000+$R2255*100+$K2255)</f>
        <v>0</v>
      </c>
      <c r="T2255" s="37" t="str">
        <f aca="false">IF($A2255="","",IF($B2255="","NO ACCOUNT",IF($Q2255=0,"UNMAPPED",IF($R2255=-1,"OUTSIDE FY RANGE","OK"))))</f>
        <v/>
      </c>
      <c r="U2255" s="40" t="str">
        <f aca="false">IF($A2255="","",$B2255&amp;"|"&amp;TEXT($A2255,"yyyymmdd")&amp;"|"&amp;TEXT($I2255,"0.00"))</f>
        <v/>
      </c>
      <c r="V2255" s="35" t="str">
        <f aca="false">IF($A2255="","",COUNTIF($U$8:$U$5007,$U2255))</f>
        <v/>
      </c>
    </row>
    <row r="2256" customFormat="false" ht="15" hidden="false" customHeight="false" outlineLevel="0" collapsed="false">
      <c r="A2256" s="31"/>
      <c r="B2256" s="32"/>
      <c r="C2256" s="32"/>
      <c r="D2256" s="32"/>
      <c r="E2256" s="32"/>
      <c r="F2256" s="32"/>
      <c r="G2256" s="33"/>
      <c r="H2256" s="33"/>
      <c r="I2256" s="34" t="str">
        <f aca="false">IF($A2256="","",$G2256-$H2256)</f>
        <v/>
      </c>
      <c r="J2256" s="35" t="str">
        <f aca="false">IF($A2256="","",IF(Setup!$B$6=1,YEAR($A2256),YEAR($A2256)+IF(MONTH($A2256)&gt;=Setup!$B$6,1,0)))</f>
        <v/>
      </c>
      <c r="K2256" s="35" t="str">
        <f aca="false">IF($A2256="","",MOD(MONTH($A2256)-Setup!$B$6+12,12)+1)</f>
        <v/>
      </c>
      <c r="L2256" s="36" t="str">
        <f aca="false">IF($A2256="","",TEXT($A2256,"MMM-YY"))</f>
        <v/>
      </c>
      <c r="M2256" s="37" t="str">
        <f aca="false">IF($A2256="","",IF($Q2256=0,"UNMAPPED",INDEX(COA_Mapping!$C$7:$C$256,$Q2256)))</f>
        <v/>
      </c>
      <c r="N2256" s="38" t="str">
        <f aca="false">IF($A2256="","",IF($Q2256=0,"",INDEX(COA_Mapping!$E$7:$E$256,$Q2256)))</f>
        <v/>
      </c>
      <c r="O2256" s="38" t="n">
        <f aca="false">IF($A2256="",1,IF($Q2256=0,1,INDEX(COA_Mapping!$F$7:$F$256,$Q2256)))</f>
        <v>1</v>
      </c>
      <c r="P2256" s="34" t="str">
        <f aca="false">IF($A2256="","",$I2256*$O2256)</f>
        <v/>
      </c>
      <c r="Q2256" s="39" t="n">
        <f aca="false">IF($B2256="",0,IFERROR(MATCH($B2256,COA_Mapping!$A$7:$A$256,0),0))</f>
        <v>0</v>
      </c>
      <c r="R2256" s="39" t="n">
        <f aca="false">IF($A2256="",-1,IF($J2256=Setup!$B$7,1,IF($J2256=Setup!$B$9,0,-1)))</f>
        <v>-1</v>
      </c>
      <c r="S2256" s="35" t="n">
        <f aca="false">IF(OR($A2256="",$Q2256=0,$R2256=-1),0,$Q2256*1000+$R2256*100+$K2256)</f>
        <v>0</v>
      </c>
      <c r="T2256" s="37" t="str">
        <f aca="false">IF($A2256="","",IF($B2256="","NO ACCOUNT",IF($Q2256=0,"UNMAPPED",IF($R2256=-1,"OUTSIDE FY RANGE","OK"))))</f>
        <v/>
      </c>
      <c r="U2256" s="40" t="str">
        <f aca="false">IF($A2256="","",$B2256&amp;"|"&amp;TEXT($A2256,"yyyymmdd")&amp;"|"&amp;TEXT($I2256,"0.00"))</f>
        <v/>
      </c>
      <c r="V2256" s="35" t="str">
        <f aca="false">IF($A2256="","",COUNTIF($U$8:$U$5007,$U2256))</f>
        <v/>
      </c>
    </row>
    <row r="2257" customFormat="false" ht="15" hidden="false" customHeight="false" outlineLevel="0" collapsed="false">
      <c r="A2257" s="31"/>
      <c r="B2257" s="32"/>
      <c r="C2257" s="32"/>
      <c r="D2257" s="32"/>
      <c r="E2257" s="32"/>
      <c r="F2257" s="32"/>
      <c r="G2257" s="33"/>
      <c r="H2257" s="33"/>
      <c r="I2257" s="34" t="str">
        <f aca="false">IF($A2257="","",$G2257-$H2257)</f>
        <v/>
      </c>
      <c r="J2257" s="35" t="str">
        <f aca="false">IF($A2257="","",IF(Setup!$B$6=1,YEAR($A2257),YEAR($A2257)+IF(MONTH($A2257)&gt;=Setup!$B$6,1,0)))</f>
        <v/>
      </c>
      <c r="K2257" s="35" t="str">
        <f aca="false">IF($A2257="","",MOD(MONTH($A2257)-Setup!$B$6+12,12)+1)</f>
        <v/>
      </c>
      <c r="L2257" s="36" t="str">
        <f aca="false">IF($A2257="","",TEXT($A2257,"MMM-YY"))</f>
        <v/>
      </c>
      <c r="M2257" s="37" t="str">
        <f aca="false">IF($A2257="","",IF($Q2257=0,"UNMAPPED",INDEX(COA_Mapping!$C$7:$C$256,$Q2257)))</f>
        <v/>
      </c>
      <c r="N2257" s="38" t="str">
        <f aca="false">IF($A2257="","",IF($Q2257=0,"",INDEX(COA_Mapping!$E$7:$E$256,$Q2257)))</f>
        <v/>
      </c>
      <c r="O2257" s="38" t="n">
        <f aca="false">IF($A2257="",1,IF($Q2257=0,1,INDEX(COA_Mapping!$F$7:$F$256,$Q2257)))</f>
        <v>1</v>
      </c>
      <c r="P2257" s="34" t="str">
        <f aca="false">IF($A2257="","",$I2257*$O2257)</f>
        <v/>
      </c>
      <c r="Q2257" s="39" t="n">
        <f aca="false">IF($B2257="",0,IFERROR(MATCH($B2257,COA_Mapping!$A$7:$A$256,0),0))</f>
        <v>0</v>
      </c>
      <c r="R2257" s="39" t="n">
        <f aca="false">IF($A2257="",-1,IF($J2257=Setup!$B$7,1,IF($J2257=Setup!$B$9,0,-1)))</f>
        <v>-1</v>
      </c>
      <c r="S2257" s="35" t="n">
        <f aca="false">IF(OR($A2257="",$Q2257=0,$R2257=-1),0,$Q2257*1000+$R2257*100+$K2257)</f>
        <v>0</v>
      </c>
      <c r="T2257" s="37" t="str">
        <f aca="false">IF($A2257="","",IF($B2257="","NO ACCOUNT",IF($Q2257=0,"UNMAPPED",IF($R2257=-1,"OUTSIDE FY RANGE","OK"))))</f>
        <v/>
      </c>
      <c r="U2257" s="40" t="str">
        <f aca="false">IF($A2257="","",$B2257&amp;"|"&amp;TEXT($A2257,"yyyymmdd")&amp;"|"&amp;TEXT($I2257,"0.00"))</f>
        <v/>
      </c>
      <c r="V2257" s="35" t="str">
        <f aca="false">IF($A2257="","",COUNTIF($U$8:$U$5007,$U2257))</f>
        <v/>
      </c>
    </row>
    <row r="2258" customFormat="false" ht="15" hidden="false" customHeight="false" outlineLevel="0" collapsed="false">
      <c r="A2258" s="31"/>
      <c r="B2258" s="32"/>
      <c r="C2258" s="32"/>
      <c r="D2258" s="32"/>
      <c r="E2258" s="32"/>
      <c r="F2258" s="32"/>
      <c r="G2258" s="33"/>
      <c r="H2258" s="33"/>
      <c r="I2258" s="34" t="str">
        <f aca="false">IF($A2258="","",$G2258-$H2258)</f>
        <v/>
      </c>
      <c r="J2258" s="35" t="str">
        <f aca="false">IF($A2258="","",IF(Setup!$B$6=1,YEAR($A2258),YEAR($A2258)+IF(MONTH($A2258)&gt;=Setup!$B$6,1,0)))</f>
        <v/>
      </c>
      <c r="K2258" s="35" t="str">
        <f aca="false">IF($A2258="","",MOD(MONTH($A2258)-Setup!$B$6+12,12)+1)</f>
        <v/>
      </c>
      <c r="L2258" s="36" t="str">
        <f aca="false">IF($A2258="","",TEXT($A2258,"MMM-YY"))</f>
        <v/>
      </c>
      <c r="M2258" s="37" t="str">
        <f aca="false">IF($A2258="","",IF($Q2258=0,"UNMAPPED",INDEX(COA_Mapping!$C$7:$C$256,$Q2258)))</f>
        <v/>
      </c>
      <c r="N2258" s="38" t="str">
        <f aca="false">IF($A2258="","",IF($Q2258=0,"",INDEX(COA_Mapping!$E$7:$E$256,$Q2258)))</f>
        <v/>
      </c>
      <c r="O2258" s="38" t="n">
        <f aca="false">IF($A2258="",1,IF($Q2258=0,1,INDEX(COA_Mapping!$F$7:$F$256,$Q2258)))</f>
        <v>1</v>
      </c>
      <c r="P2258" s="34" t="str">
        <f aca="false">IF($A2258="","",$I2258*$O2258)</f>
        <v/>
      </c>
      <c r="Q2258" s="39" t="n">
        <f aca="false">IF($B2258="",0,IFERROR(MATCH($B2258,COA_Mapping!$A$7:$A$256,0),0))</f>
        <v>0</v>
      </c>
      <c r="R2258" s="39" t="n">
        <f aca="false">IF($A2258="",-1,IF($J2258=Setup!$B$7,1,IF($J2258=Setup!$B$9,0,-1)))</f>
        <v>-1</v>
      </c>
      <c r="S2258" s="35" t="n">
        <f aca="false">IF(OR($A2258="",$Q2258=0,$R2258=-1),0,$Q2258*1000+$R2258*100+$K2258)</f>
        <v>0</v>
      </c>
      <c r="T2258" s="37" t="str">
        <f aca="false">IF($A2258="","",IF($B2258="","NO ACCOUNT",IF($Q2258=0,"UNMAPPED",IF($R2258=-1,"OUTSIDE FY RANGE","OK"))))</f>
        <v/>
      </c>
      <c r="U2258" s="40" t="str">
        <f aca="false">IF($A2258="","",$B2258&amp;"|"&amp;TEXT($A2258,"yyyymmdd")&amp;"|"&amp;TEXT($I2258,"0.00"))</f>
        <v/>
      </c>
      <c r="V2258" s="35" t="str">
        <f aca="false">IF($A2258="","",COUNTIF($U$8:$U$5007,$U2258))</f>
        <v/>
      </c>
    </row>
    <row r="2259" customFormat="false" ht="15" hidden="false" customHeight="false" outlineLevel="0" collapsed="false">
      <c r="A2259" s="31"/>
      <c r="B2259" s="32"/>
      <c r="C2259" s="32"/>
      <c r="D2259" s="32"/>
      <c r="E2259" s="32"/>
      <c r="F2259" s="32"/>
      <c r="G2259" s="33"/>
      <c r="H2259" s="33"/>
      <c r="I2259" s="34" t="str">
        <f aca="false">IF($A2259="","",$G2259-$H2259)</f>
        <v/>
      </c>
      <c r="J2259" s="35" t="str">
        <f aca="false">IF($A2259="","",IF(Setup!$B$6=1,YEAR($A2259),YEAR($A2259)+IF(MONTH($A2259)&gt;=Setup!$B$6,1,0)))</f>
        <v/>
      </c>
      <c r="K2259" s="35" t="str">
        <f aca="false">IF($A2259="","",MOD(MONTH($A2259)-Setup!$B$6+12,12)+1)</f>
        <v/>
      </c>
      <c r="L2259" s="36" t="str">
        <f aca="false">IF($A2259="","",TEXT($A2259,"MMM-YY"))</f>
        <v/>
      </c>
      <c r="M2259" s="37" t="str">
        <f aca="false">IF($A2259="","",IF($Q2259=0,"UNMAPPED",INDEX(COA_Mapping!$C$7:$C$256,$Q2259)))</f>
        <v/>
      </c>
      <c r="N2259" s="38" t="str">
        <f aca="false">IF($A2259="","",IF($Q2259=0,"",INDEX(COA_Mapping!$E$7:$E$256,$Q2259)))</f>
        <v/>
      </c>
      <c r="O2259" s="38" t="n">
        <f aca="false">IF($A2259="",1,IF($Q2259=0,1,INDEX(COA_Mapping!$F$7:$F$256,$Q2259)))</f>
        <v>1</v>
      </c>
      <c r="P2259" s="34" t="str">
        <f aca="false">IF($A2259="","",$I2259*$O2259)</f>
        <v/>
      </c>
      <c r="Q2259" s="39" t="n">
        <f aca="false">IF($B2259="",0,IFERROR(MATCH($B2259,COA_Mapping!$A$7:$A$256,0),0))</f>
        <v>0</v>
      </c>
      <c r="R2259" s="39" t="n">
        <f aca="false">IF($A2259="",-1,IF($J2259=Setup!$B$7,1,IF($J2259=Setup!$B$9,0,-1)))</f>
        <v>-1</v>
      </c>
      <c r="S2259" s="35" t="n">
        <f aca="false">IF(OR($A2259="",$Q2259=0,$R2259=-1),0,$Q2259*1000+$R2259*100+$K2259)</f>
        <v>0</v>
      </c>
      <c r="T2259" s="37" t="str">
        <f aca="false">IF($A2259="","",IF($B2259="","NO ACCOUNT",IF($Q2259=0,"UNMAPPED",IF($R2259=-1,"OUTSIDE FY RANGE","OK"))))</f>
        <v/>
      </c>
      <c r="U2259" s="40" t="str">
        <f aca="false">IF($A2259="","",$B2259&amp;"|"&amp;TEXT($A2259,"yyyymmdd")&amp;"|"&amp;TEXT($I2259,"0.00"))</f>
        <v/>
      </c>
      <c r="V2259" s="35" t="str">
        <f aca="false">IF($A2259="","",COUNTIF($U$8:$U$5007,$U2259))</f>
        <v/>
      </c>
    </row>
    <row r="2260" customFormat="false" ht="15" hidden="false" customHeight="false" outlineLevel="0" collapsed="false">
      <c r="A2260" s="31"/>
      <c r="B2260" s="32"/>
      <c r="C2260" s="32"/>
      <c r="D2260" s="32"/>
      <c r="E2260" s="32"/>
      <c r="F2260" s="32"/>
      <c r="G2260" s="33"/>
      <c r="H2260" s="33"/>
      <c r="I2260" s="34" t="str">
        <f aca="false">IF($A2260="","",$G2260-$H2260)</f>
        <v/>
      </c>
      <c r="J2260" s="35" t="str">
        <f aca="false">IF($A2260="","",IF(Setup!$B$6=1,YEAR($A2260),YEAR($A2260)+IF(MONTH($A2260)&gt;=Setup!$B$6,1,0)))</f>
        <v/>
      </c>
      <c r="K2260" s="35" t="str">
        <f aca="false">IF($A2260="","",MOD(MONTH($A2260)-Setup!$B$6+12,12)+1)</f>
        <v/>
      </c>
      <c r="L2260" s="36" t="str">
        <f aca="false">IF($A2260="","",TEXT($A2260,"MMM-YY"))</f>
        <v/>
      </c>
      <c r="M2260" s="37" t="str">
        <f aca="false">IF($A2260="","",IF($Q2260=0,"UNMAPPED",INDEX(COA_Mapping!$C$7:$C$256,$Q2260)))</f>
        <v/>
      </c>
      <c r="N2260" s="38" t="str">
        <f aca="false">IF($A2260="","",IF($Q2260=0,"",INDEX(COA_Mapping!$E$7:$E$256,$Q2260)))</f>
        <v/>
      </c>
      <c r="O2260" s="38" t="n">
        <f aca="false">IF($A2260="",1,IF($Q2260=0,1,INDEX(COA_Mapping!$F$7:$F$256,$Q2260)))</f>
        <v>1</v>
      </c>
      <c r="P2260" s="34" t="str">
        <f aca="false">IF($A2260="","",$I2260*$O2260)</f>
        <v/>
      </c>
      <c r="Q2260" s="39" t="n">
        <f aca="false">IF($B2260="",0,IFERROR(MATCH($B2260,COA_Mapping!$A$7:$A$256,0),0))</f>
        <v>0</v>
      </c>
      <c r="R2260" s="39" t="n">
        <f aca="false">IF($A2260="",-1,IF($J2260=Setup!$B$7,1,IF($J2260=Setup!$B$9,0,-1)))</f>
        <v>-1</v>
      </c>
      <c r="S2260" s="35" t="n">
        <f aca="false">IF(OR($A2260="",$Q2260=0,$R2260=-1),0,$Q2260*1000+$R2260*100+$K2260)</f>
        <v>0</v>
      </c>
      <c r="T2260" s="37" t="str">
        <f aca="false">IF($A2260="","",IF($B2260="","NO ACCOUNT",IF($Q2260=0,"UNMAPPED",IF($R2260=-1,"OUTSIDE FY RANGE","OK"))))</f>
        <v/>
      </c>
      <c r="U2260" s="40" t="str">
        <f aca="false">IF($A2260="","",$B2260&amp;"|"&amp;TEXT($A2260,"yyyymmdd")&amp;"|"&amp;TEXT($I2260,"0.00"))</f>
        <v/>
      </c>
      <c r="V2260" s="35" t="str">
        <f aca="false">IF($A2260="","",COUNTIF($U$8:$U$5007,$U2260))</f>
        <v/>
      </c>
    </row>
    <row r="2261" customFormat="false" ht="15" hidden="false" customHeight="false" outlineLevel="0" collapsed="false">
      <c r="A2261" s="31"/>
      <c r="B2261" s="32"/>
      <c r="C2261" s="32"/>
      <c r="D2261" s="32"/>
      <c r="E2261" s="32"/>
      <c r="F2261" s="32"/>
      <c r="G2261" s="33"/>
      <c r="H2261" s="33"/>
      <c r="I2261" s="34" t="str">
        <f aca="false">IF($A2261="","",$G2261-$H2261)</f>
        <v/>
      </c>
      <c r="J2261" s="35" t="str">
        <f aca="false">IF($A2261="","",IF(Setup!$B$6=1,YEAR($A2261),YEAR($A2261)+IF(MONTH($A2261)&gt;=Setup!$B$6,1,0)))</f>
        <v/>
      </c>
      <c r="K2261" s="35" t="str">
        <f aca="false">IF($A2261="","",MOD(MONTH($A2261)-Setup!$B$6+12,12)+1)</f>
        <v/>
      </c>
      <c r="L2261" s="36" t="str">
        <f aca="false">IF($A2261="","",TEXT($A2261,"MMM-YY"))</f>
        <v/>
      </c>
      <c r="M2261" s="37" t="str">
        <f aca="false">IF($A2261="","",IF($Q2261=0,"UNMAPPED",INDEX(COA_Mapping!$C$7:$C$256,$Q2261)))</f>
        <v/>
      </c>
      <c r="N2261" s="38" t="str">
        <f aca="false">IF($A2261="","",IF($Q2261=0,"",INDEX(COA_Mapping!$E$7:$E$256,$Q2261)))</f>
        <v/>
      </c>
      <c r="O2261" s="38" t="n">
        <f aca="false">IF($A2261="",1,IF($Q2261=0,1,INDEX(COA_Mapping!$F$7:$F$256,$Q2261)))</f>
        <v>1</v>
      </c>
      <c r="P2261" s="34" t="str">
        <f aca="false">IF($A2261="","",$I2261*$O2261)</f>
        <v/>
      </c>
      <c r="Q2261" s="39" t="n">
        <f aca="false">IF($B2261="",0,IFERROR(MATCH($B2261,COA_Mapping!$A$7:$A$256,0),0))</f>
        <v>0</v>
      </c>
      <c r="R2261" s="39" t="n">
        <f aca="false">IF($A2261="",-1,IF($J2261=Setup!$B$7,1,IF($J2261=Setup!$B$9,0,-1)))</f>
        <v>-1</v>
      </c>
      <c r="S2261" s="35" t="n">
        <f aca="false">IF(OR($A2261="",$Q2261=0,$R2261=-1),0,$Q2261*1000+$R2261*100+$K2261)</f>
        <v>0</v>
      </c>
      <c r="T2261" s="37" t="str">
        <f aca="false">IF($A2261="","",IF($B2261="","NO ACCOUNT",IF($Q2261=0,"UNMAPPED",IF($R2261=-1,"OUTSIDE FY RANGE","OK"))))</f>
        <v/>
      </c>
      <c r="U2261" s="40" t="str">
        <f aca="false">IF($A2261="","",$B2261&amp;"|"&amp;TEXT($A2261,"yyyymmdd")&amp;"|"&amp;TEXT($I2261,"0.00"))</f>
        <v/>
      </c>
      <c r="V2261" s="35" t="str">
        <f aca="false">IF($A2261="","",COUNTIF($U$8:$U$5007,$U2261))</f>
        <v/>
      </c>
    </row>
    <row r="2262" customFormat="false" ht="15" hidden="false" customHeight="false" outlineLevel="0" collapsed="false">
      <c r="A2262" s="31"/>
      <c r="B2262" s="32"/>
      <c r="C2262" s="32"/>
      <c r="D2262" s="32"/>
      <c r="E2262" s="32"/>
      <c r="F2262" s="32"/>
      <c r="G2262" s="33"/>
      <c r="H2262" s="33"/>
      <c r="I2262" s="34" t="str">
        <f aca="false">IF($A2262="","",$G2262-$H2262)</f>
        <v/>
      </c>
      <c r="J2262" s="35" t="str">
        <f aca="false">IF($A2262="","",IF(Setup!$B$6=1,YEAR($A2262),YEAR($A2262)+IF(MONTH($A2262)&gt;=Setup!$B$6,1,0)))</f>
        <v/>
      </c>
      <c r="K2262" s="35" t="str">
        <f aca="false">IF($A2262="","",MOD(MONTH($A2262)-Setup!$B$6+12,12)+1)</f>
        <v/>
      </c>
      <c r="L2262" s="36" t="str">
        <f aca="false">IF($A2262="","",TEXT($A2262,"MMM-YY"))</f>
        <v/>
      </c>
      <c r="M2262" s="37" t="str">
        <f aca="false">IF($A2262="","",IF($Q2262=0,"UNMAPPED",INDEX(COA_Mapping!$C$7:$C$256,$Q2262)))</f>
        <v/>
      </c>
      <c r="N2262" s="38" t="str">
        <f aca="false">IF($A2262="","",IF($Q2262=0,"",INDEX(COA_Mapping!$E$7:$E$256,$Q2262)))</f>
        <v/>
      </c>
      <c r="O2262" s="38" t="n">
        <f aca="false">IF($A2262="",1,IF($Q2262=0,1,INDEX(COA_Mapping!$F$7:$F$256,$Q2262)))</f>
        <v>1</v>
      </c>
      <c r="P2262" s="34" t="str">
        <f aca="false">IF($A2262="","",$I2262*$O2262)</f>
        <v/>
      </c>
      <c r="Q2262" s="39" t="n">
        <f aca="false">IF($B2262="",0,IFERROR(MATCH($B2262,COA_Mapping!$A$7:$A$256,0),0))</f>
        <v>0</v>
      </c>
      <c r="R2262" s="39" t="n">
        <f aca="false">IF($A2262="",-1,IF($J2262=Setup!$B$7,1,IF($J2262=Setup!$B$9,0,-1)))</f>
        <v>-1</v>
      </c>
      <c r="S2262" s="35" t="n">
        <f aca="false">IF(OR($A2262="",$Q2262=0,$R2262=-1),0,$Q2262*1000+$R2262*100+$K2262)</f>
        <v>0</v>
      </c>
      <c r="T2262" s="37" t="str">
        <f aca="false">IF($A2262="","",IF($B2262="","NO ACCOUNT",IF($Q2262=0,"UNMAPPED",IF($R2262=-1,"OUTSIDE FY RANGE","OK"))))</f>
        <v/>
      </c>
      <c r="U2262" s="40" t="str">
        <f aca="false">IF($A2262="","",$B2262&amp;"|"&amp;TEXT($A2262,"yyyymmdd")&amp;"|"&amp;TEXT($I2262,"0.00"))</f>
        <v/>
      </c>
      <c r="V2262" s="35" t="str">
        <f aca="false">IF($A2262="","",COUNTIF($U$8:$U$5007,$U2262))</f>
        <v/>
      </c>
    </row>
    <row r="2263" customFormat="false" ht="15" hidden="false" customHeight="false" outlineLevel="0" collapsed="false">
      <c r="A2263" s="31"/>
      <c r="B2263" s="32"/>
      <c r="C2263" s="32"/>
      <c r="D2263" s="32"/>
      <c r="E2263" s="32"/>
      <c r="F2263" s="32"/>
      <c r="G2263" s="33"/>
      <c r="H2263" s="33"/>
      <c r="I2263" s="34" t="str">
        <f aca="false">IF($A2263="","",$G2263-$H2263)</f>
        <v/>
      </c>
      <c r="J2263" s="35" t="str">
        <f aca="false">IF($A2263="","",IF(Setup!$B$6=1,YEAR($A2263),YEAR($A2263)+IF(MONTH($A2263)&gt;=Setup!$B$6,1,0)))</f>
        <v/>
      </c>
      <c r="K2263" s="35" t="str">
        <f aca="false">IF($A2263="","",MOD(MONTH($A2263)-Setup!$B$6+12,12)+1)</f>
        <v/>
      </c>
      <c r="L2263" s="36" t="str">
        <f aca="false">IF($A2263="","",TEXT($A2263,"MMM-YY"))</f>
        <v/>
      </c>
      <c r="M2263" s="37" t="str">
        <f aca="false">IF($A2263="","",IF($Q2263=0,"UNMAPPED",INDEX(COA_Mapping!$C$7:$C$256,$Q2263)))</f>
        <v/>
      </c>
      <c r="N2263" s="38" t="str">
        <f aca="false">IF($A2263="","",IF($Q2263=0,"",INDEX(COA_Mapping!$E$7:$E$256,$Q2263)))</f>
        <v/>
      </c>
      <c r="O2263" s="38" t="n">
        <f aca="false">IF($A2263="",1,IF($Q2263=0,1,INDEX(COA_Mapping!$F$7:$F$256,$Q2263)))</f>
        <v>1</v>
      </c>
      <c r="P2263" s="34" t="str">
        <f aca="false">IF($A2263="","",$I2263*$O2263)</f>
        <v/>
      </c>
      <c r="Q2263" s="39" t="n">
        <f aca="false">IF($B2263="",0,IFERROR(MATCH($B2263,COA_Mapping!$A$7:$A$256,0),0))</f>
        <v>0</v>
      </c>
      <c r="R2263" s="39" t="n">
        <f aca="false">IF($A2263="",-1,IF($J2263=Setup!$B$7,1,IF($J2263=Setup!$B$9,0,-1)))</f>
        <v>-1</v>
      </c>
      <c r="S2263" s="35" t="n">
        <f aca="false">IF(OR($A2263="",$Q2263=0,$R2263=-1),0,$Q2263*1000+$R2263*100+$K2263)</f>
        <v>0</v>
      </c>
      <c r="T2263" s="37" t="str">
        <f aca="false">IF($A2263="","",IF($B2263="","NO ACCOUNT",IF($Q2263=0,"UNMAPPED",IF($R2263=-1,"OUTSIDE FY RANGE","OK"))))</f>
        <v/>
      </c>
      <c r="U2263" s="40" t="str">
        <f aca="false">IF($A2263="","",$B2263&amp;"|"&amp;TEXT($A2263,"yyyymmdd")&amp;"|"&amp;TEXT($I2263,"0.00"))</f>
        <v/>
      </c>
      <c r="V2263" s="35" t="str">
        <f aca="false">IF($A2263="","",COUNTIF($U$8:$U$5007,$U2263))</f>
        <v/>
      </c>
    </row>
    <row r="2264" customFormat="false" ht="15" hidden="false" customHeight="false" outlineLevel="0" collapsed="false">
      <c r="A2264" s="31"/>
      <c r="B2264" s="32"/>
      <c r="C2264" s="32"/>
      <c r="D2264" s="32"/>
      <c r="E2264" s="32"/>
      <c r="F2264" s="32"/>
      <c r="G2264" s="33"/>
      <c r="H2264" s="33"/>
      <c r="I2264" s="34" t="str">
        <f aca="false">IF($A2264="","",$G2264-$H2264)</f>
        <v/>
      </c>
      <c r="J2264" s="35" t="str">
        <f aca="false">IF($A2264="","",IF(Setup!$B$6=1,YEAR($A2264),YEAR($A2264)+IF(MONTH($A2264)&gt;=Setup!$B$6,1,0)))</f>
        <v/>
      </c>
      <c r="K2264" s="35" t="str">
        <f aca="false">IF($A2264="","",MOD(MONTH($A2264)-Setup!$B$6+12,12)+1)</f>
        <v/>
      </c>
      <c r="L2264" s="36" t="str">
        <f aca="false">IF($A2264="","",TEXT($A2264,"MMM-YY"))</f>
        <v/>
      </c>
      <c r="M2264" s="37" t="str">
        <f aca="false">IF($A2264="","",IF($Q2264=0,"UNMAPPED",INDEX(COA_Mapping!$C$7:$C$256,$Q2264)))</f>
        <v/>
      </c>
      <c r="N2264" s="38" t="str">
        <f aca="false">IF($A2264="","",IF($Q2264=0,"",INDEX(COA_Mapping!$E$7:$E$256,$Q2264)))</f>
        <v/>
      </c>
      <c r="O2264" s="38" t="n">
        <f aca="false">IF($A2264="",1,IF($Q2264=0,1,INDEX(COA_Mapping!$F$7:$F$256,$Q2264)))</f>
        <v>1</v>
      </c>
      <c r="P2264" s="34" t="str">
        <f aca="false">IF($A2264="","",$I2264*$O2264)</f>
        <v/>
      </c>
      <c r="Q2264" s="39" t="n">
        <f aca="false">IF($B2264="",0,IFERROR(MATCH($B2264,COA_Mapping!$A$7:$A$256,0),0))</f>
        <v>0</v>
      </c>
      <c r="R2264" s="39" t="n">
        <f aca="false">IF($A2264="",-1,IF($J2264=Setup!$B$7,1,IF($J2264=Setup!$B$9,0,-1)))</f>
        <v>-1</v>
      </c>
      <c r="S2264" s="35" t="n">
        <f aca="false">IF(OR($A2264="",$Q2264=0,$R2264=-1),0,$Q2264*1000+$R2264*100+$K2264)</f>
        <v>0</v>
      </c>
      <c r="T2264" s="37" t="str">
        <f aca="false">IF($A2264="","",IF($B2264="","NO ACCOUNT",IF($Q2264=0,"UNMAPPED",IF($R2264=-1,"OUTSIDE FY RANGE","OK"))))</f>
        <v/>
      </c>
      <c r="U2264" s="40" t="str">
        <f aca="false">IF($A2264="","",$B2264&amp;"|"&amp;TEXT($A2264,"yyyymmdd")&amp;"|"&amp;TEXT($I2264,"0.00"))</f>
        <v/>
      </c>
      <c r="V2264" s="35" t="str">
        <f aca="false">IF($A2264="","",COUNTIF($U$8:$U$5007,$U2264))</f>
        <v/>
      </c>
    </row>
    <row r="2265" customFormat="false" ht="15" hidden="false" customHeight="false" outlineLevel="0" collapsed="false">
      <c r="A2265" s="31"/>
      <c r="B2265" s="32"/>
      <c r="C2265" s="32"/>
      <c r="D2265" s="32"/>
      <c r="E2265" s="32"/>
      <c r="F2265" s="32"/>
      <c r="G2265" s="33"/>
      <c r="H2265" s="33"/>
      <c r="I2265" s="34" t="str">
        <f aca="false">IF($A2265="","",$G2265-$H2265)</f>
        <v/>
      </c>
      <c r="J2265" s="35" t="str">
        <f aca="false">IF($A2265="","",IF(Setup!$B$6=1,YEAR($A2265),YEAR($A2265)+IF(MONTH($A2265)&gt;=Setup!$B$6,1,0)))</f>
        <v/>
      </c>
      <c r="K2265" s="35" t="str">
        <f aca="false">IF($A2265="","",MOD(MONTH($A2265)-Setup!$B$6+12,12)+1)</f>
        <v/>
      </c>
      <c r="L2265" s="36" t="str">
        <f aca="false">IF($A2265="","",TEXT($A2265,"MMM-YY"))</f>
        <v/>
      </c>
      <c r="M2265" s="37" t="str">
        <f aca="false">IF($A2265="","",IF($Q2265=0,"UNMAPPED",INDEX(COA_Mapping!$C$7:$C$256,$Q2265)))</f>
        <v/>
      </c>
      <c r="N2265" s="38" t="str">
        <f aca="false">IF($A2265="","",IF($Q2265=0,"",INDEX(COA_Mapping!$E$7:$E$256,$Q2265)))</f>
        <v/>
      </c>
      <c r="O2265" s="38" t="n">
        <f aca="false">IF($A2265="",1,IF($Q2265=0,1,INDEX(COA_Mapping!$F$7:$F$256,$Q2265)))</f>
        <v>1</v>
      </c>
      <c r="P2265" s="34" t="str">
        <f aca="false">IF($A2265="","",$I2265*$O2265)</f>
        <v/>
      </c>
      <c r="Q2265" s="39" t="n">
        <f aca="false">IF($B2265="",0,IFERROR(MATCH($B2265,COA_Mapping!$A$7:$A$256,0),0))</f>
        <v>0</v>
      </c>
      <c r="R2265" s="39" t="n">
        <f aca="false">IF($A2265="",-1,IF($J2265=Setup!$B$7,1,IF($J2265=Setup!$B$9,0,-1)))</f>
        <v>-1</v>
      </c>
      <c r="S2265" s="35" t="n">
        <f aca="false">IF(OR($A2265="",$Q2265=0,$R2265=-1),0,$Q2265*1000+$R2265*100+$K2265)</f>
        <v>0</v>
      </c>
      <c r="T2265" s="37" t="str">
        <f aca="false">IF($A2265="","",IF($B2265="","NO ACCOUNT",IF($Q2265=0,"UNMAPPED",IF($R2265=-1,"OUTSIDE FY RANGE","OK"))))</f>
        <v/>
      </c>
      <c r="U2265" s="40" t="str">
        <f aca="false">IF($A2265="","",$B2265&amp;"|"&amp;TEXT($A2265,"yyyymmdd")&amp;"|"&amp;TEXT($I2265,"0.00"))</f>
        <v/>
      </c>
      <c r="V2265" s="35" t="str">
        <f aca="false">IF($A2265="","",COUNTIF($U$8:$U$5007,$U2265))</f>
        <v/>
      </c>
    </row>
    <row r="2266" customFormat="false" ht="15" hidden="false" customHeight="false" outlineLevel="0" collapsed="false">
      <c r="A2266" s="31"/>
      <c r="B2266" s="32"/>
      <c r="C2266" s="32"/>
      <c r="D2266" s="32"/>
      <c r="E2266" s="32"/>
      <c r="F2266" s="32"/>
      <c r="G2266" s="33"/>
      <c r="H2266" s="33"/>
      <c r="I2266" s="34" t="str">
        <f aca="false">IF($A2266="","",$G2266-$H2266)</f>
        <v/>
      </c>
      <c r="J2266" s="35" t="str">
        <f aca="false">IF($A2266="","",IF(Setup!$B$6=1,YEAR($A2266),YEAR($A2266)+IF(MONTH($A2266)&gt;=Setup!$B$6,1,0)))</f>
        <v/>
      </c>
      <c r="K2266" s="35" t="str">
        <f aca="false">IF($A2266="","",MOD(MONTH($A2266)-Setup!$B$6+12,12)+1)</f>
        <v/>
      </c>
      <c r="L2266" s="36" t="str">
        <f aca="false">IF($A2266="","",TEXT($A2266,"MMM-YY"))</f>
        <v/>
      </c>
      <c r="M2266" s="37" t="str">
        <f aca="false">IF($A2266="","",IF($Q2266=0,"UNMAPPED",INDEX(COA_Mapping!$C$7:$C$256,$Q2266)))</f>
        <v/>
      </c>
      <c r="N2266" s="38" t="str">
        <f aca="false">IF($A2266="","",IF($Q2266=0,"",INDEX(COA_Mapping!$E$7:$E$256,$Q2266)))</f>
        <v/>
      </c>
      <c r="O2266" s="38" t="n">
        <f aca="false">IF($A2266="",1,IF($Q2266=0,1,INDEX(COA_Mapping!$F$7:$F$256,$Q2266)))</f>
        <v>1</v>
      </c>
      <c r="P2266" s="34" t="str">
        <f aca="false">IF($A2266="","",$I2266*$O2266)</f>
        <v/>
      </c>
      <c r="Q2266" s="39" t="n">
        <f aca="false">IF($B2266="",0,IFERROR(MATCH($B2266,COA_Mapping!$A$7:$A$256,0),0))</f>
        <v>0</v>
      </c>
      <c r="R2266" s="39" t="n">
        <f aca="false">IF($A2266="",-1,IF($J2266=Setup!$B$7,1,IF($J2266=Setup!$B$9,0,-1)))</f>
        <v>-1</v>
      </c>
      <c r="S2266" s="35" t="n">
        <f aca="false">IF(OR($A2266="",$Q2266=0,$R2266=-1),0,$Q2266*1000+$R2266*100+$K2266)</f>
        <v>0</v>
      </c>
      <c r="T2266" s="37" t="str">
        <f aca="false">IF($A2266="","",IF($B2266="","NO ACCOUNT",IF($Q2266=0,"UNMAPPED",IF($R2266=-1,"OUTSIDE FY RANGE","OK"))))</f>
        <v/>
      </c>
      <c r="U2266" s="40" t="str">
        <f aca="false">IF($A2266="","",$B2266&amp;"|"&amp;TEXT($A2266,"yyyymmdd")&amp;"|"&amp;TEXT($I2266,"0.00"))</f>
        <v/>
      </c>
      <c r="V2266" s="35" t="str">
        <f aca="false">IF($A2266="","",COUNTIF($U$8:$U$5007,$U2266))</f>
        <v/>
      </c>
    </row>
    <row r="2267" customFormat="false" ht="15" hidden="false" customHeight="false" outlineLevel="0" collapsed="false">
      <c r="A2267" s="31"/>
      <c r="B2267" s="32"/>
      <c r="C2267" s="32"/>
      <c r="D2267" s="32"/>
      <c r="E2267" s="32"/>
      <c r="F2267" s="32"/>
      <c r="G2267" s="33"/>
      <c r="H2267" s="33"/>
      <c r="I2267" s="34" t="str">
        <f aca="false">IF($A2267="","",$G2267-$H2267)</f>
        <v/>
      </c>
      <c r="J2267" s="35" t="str">
        <f aca="false">IF($A2267="","",IF(Setup!$B$6=1,YEAR($A2267),YEAR($A2267)+IF(MONTH($A2267)&gt;=Setup!$B$6,1,0)))</f>
        <v/>
      </c>
      <c r="K2267" s="35" t="str">
        <f aca="false">IF($A2267="","",MOD(MONTH($A2267)-Setup!$B$6+12,12)+1)</f>
        <v/>
      </c>
      <c r="L2267" s="36" t="str">
        <f aca="false">IF($A2267="","",TEXT($A2267,"MMM-YY"))</f>
        <v/>
      </c>
      <c r="M2267" s="37" t="str">
        <f aca="false">IF($A2267="","",IF($Q2267=0,"UNMAPPED",INDEX(COA_Mapping!$C$7:$C$256,$Q2267)))</f>
        <v/>
      </c>
      <c r="N2267" s="38" t="str">
        <f aca="false">IF($A2267="","",IF($Q2267=0,"",INDEX(COA_Mapping!$E$7:$E$256,$Q2267)))</f>
        <v/>
      </c>
      <c r="O2267" s="38" t="n">
        <f aca="false">IF($A2267="",1,IF($Q2267=0,1,INDEX(COA_Mapping!$F$7:$F$256,$Q2267)))</f>
        <v>1</v>
      </c>
      <c r="P2267" s="34" t="str">
        <f aca="false">IF($A2267="","",$I2267*$O2267)</f>
        <v/>
      </c>
      <c r="Q2267" s="39" t="n">
        <f aca="false">IF($B2267="",0,IFERROR(MATCH($B2267,COA_Mapping!$A$7:$A$256,0),0))</f>
        <v>0</v>
      </c>
      <c r="R2267" s="39" t="n">
        <f aca="false">IF($A2267="",-1,IF($J2267=Setup!$B$7,1,IF($J2267=Setup!$B$9,0,-1)))</f>
        <v>-1</v>
      </c>
      <c r="S2267" s="35" t="n">
        <f aca="false">IF(OR($A2267="",$Q2267=0,$R2267=-1),0,$Q2267*1000+$R2267*100+$K2267)</f>
        <v>0</v>
      </c>
      <c r="T2267" s="37" t="str">
        <f aca="false">IF($A2267="","",IF($B2267="","NO ACCOUNT",IF($Q2267=0,"UNMAPPED",IF($R2267=-1,"OUTSIDE FY RANGE","OK"))))</f>
        <v/>
      </c>
      <c r="U2267" s="40" t="str">
        <f aca="false">IF($A2267="","",$B2267&amp;"|"&amp;TEXT($A2267,"yyyymmdd")&amp;"|"&amp;TEXT($I2267,"0.00"))</f>
        <v/>
      </c>
      <c r="V2267" s="35" t="str">
        <f aca="false">IF($A2267="","",COUNTIF($U$8:$U$5007,$U2267))</f>
        <v/>
      </c>
    </row>
    <row r="2268" customFormat="false" ht="15" hidden="false" customHeight="false" outlineLevel="0" collapsed="false">
      <c r="A2268" s="31"/>
      <c r="B2268" s="32"/>
      <c r="C2268" s="32"/>
      <c r="D2268" s="32"/>
      <c r="E2268" s="32"/>
      <c r="F2268" s="32"/>
      <c r="G2268" s="33"/>
      <c r="H2268" s="33"/>
      <c r="I2268" s="34" t="str">
        <f aca="false">IF($A2268="","",$G2268-$H2268)</f>
        <v/>
      </c>
      <c r="J2268" s="35" t="str">
        <f aca="false">IF($A2268="","",IF(Setup!$B$6=1,YEAR($A2268),YEAR($A2268)+IF(MONTH($A2268)&gt;=Setup!$B$6,1,0)))</f>
        <v/>
      </c>
      <c r="K2268" s="35" t="str">
        <f aca="false">IF($A2268="","",MOD(MONTH($A2268)-Setup!$B$6+12,12)+1)</f>
        <v/>
      </c>
      <c r="L2268" s="36" t="str">
        <f aca="false">IF($A2268="","",TEXT($A2268,"MMM-YY"))</f>
        <v/>
      </c>
      <c r="M2268" s="37" t="str">
        <f aca="false">IF($A2268="","",IF($Q2268=0,"UNMAPPED",INDEX(COA_Mapping!$C$7:$C$256,$Q2268)))</f>
        <v/>
      </c>
      <c r="N2268" s="38" t="str">
        <f aca="false">IF($A2268="","",IF($Q2268=0,"",INDEX(COA_Mapping!$E$7:$E$256,$Q2268)))</f>
        <v/>
      </c>
      <c r="O2268" s="38" t="n">
        <f aca="false">IF($A2268="",1,IF($Q2268=0,1,INDEX(COA_Mapping!$F$7:$F$256,$Q2268)))</f>
        <v>1</v>
      </c>
      <c r="P2268" s="34" t="str">
        <f aca="false">IF($A2268="","",$I2268*$O2268)</f>
        <v/>
      </c>
      <c r="Q2268" s="39" t="n">
        <f aca="false">IF($B2268="",0,IFERROR(MATCH($B2268,COA_Mapping!$A$7:$A$256,0),0))</f>
        <v>0</v>
      </c>
      <c r="R2268" s="39" t="n">
        <f aca="false">IF($A2268="",-1,IF($J2268=Setup!$B$7,1,IF($J2268=Setup!$B$9,0,-1)))</f>
        <v>-1</v>
      </c>
      <c r="S2268" s="35" t="n">
        <f aca="false">IF(OR($A2268="",$Q2268=0,$R2268=-1),0,$Q2268*1000+$R2268*100+$K2268)</f>
        <v>0</v>
      </c>
      <c r="T2268" s="37" t="str">
        <f aca="false">IF($A2268="","",IF($B2268="","NO ACCOUNT",IF($Q2268=0,"UNMAPPED",IF($R2268=-1,"OUTSIDE FY RANGE","OK"))))</f>
        <v/>
      </c>
      <c r="U2268" s="40" t="str">
        <f aca="false">IF($A2268="","",$B2268&amp;"|"&amp;TEXT($A2268,"yyyymmdd")&amp;"|"&amp;TEXT($I2268,"0.00"))</f>
        <v/>
      </c>
      <c r="V2268" s="35" t="str">
        <f aca="false">IF($A2268="","",COUNTIF($U$8:$U$5007,$U2268))</f>
        <v/>
      </c>
    </row>
    <row r="2269" customFormat="false" ht="15" hidden="false" customHeight="false" outlineLevel="0" collapsed="false">
      <c r="A2269" s="31"/>
      <c r="B2269" s="32"/>
      <c r="C2269" s="32"/>
      <c r="D2269" s="32"/>
      <c r="E2269" s="32"/>
      <c r="F2269" s="32"/>
      <c r="G2269" s="33"/>
      <c r="H2269" s="33"/>
      <c r="I2269" s="34" t="str">
        <f aca="false">IF($A2269="","",$G2269-$H2269)</f>
        <v/>
      </c>
      <c r="J2269" s="35" t="str">
        <f aca="false">IF($A2269="","",IF(Setup!$B$6=1,YEAR($A2269),YEAR($A2269)+IF(MONTH($A2269)&gt;=Setup!$B$6,1,0)))</f>
        <v/>
      </c>
      <c r="K2269" s="35" t="str">
        <f aca="false">IF($A2269="","",MOD(MONTH($A2269)-Setup!$B$6+12,12)+1)</f>
        <v/>
      </c>
      <c r="L2269" s="36" t="str">
        <f aca="false">IF($A2269="","",TEXT($A2269,"MMM-YY"))</f>
        <v/>
      </c>
      <c r="M2269" s="37" t="str">
        <f aca="false">IF($A2269="","",IF($Q2269=0,"UNMAPPED",INDEX(COA_Mapping!$C$7:$C$256,$Q2269)))</f>
        <v/>
      </c>
      <c r="N2269" s="38" t="str">
        <f aca="false">IF($A2269="","",IF($Q2269=0,"",INDEX(COA_Mapping!$E$7:$E$256,$Q2269)))</f>
        <v/>
      </c>
      <c r="O2269" s="38" t="n">
        <f aca="false">IF($A2269="",1,IF($Q2269=0,1,INDEX(COA_Mapping!$F$7:$F$256,$Q2269)))</f>
        <v>1</v>
      </c>
      <c r="P2269" s="34" t="str">
        <f aca="false">IF($A2269="","",$I2269*$O2269)</f>
        <v/>
      </c>
      <c r="Q2269" s="39" t="n">
        <f aca="false">IF($B2269="",0,IFERROR(MATCH($B2269,COA_Mapping!$A$7:$A$256,0),0))</f>
        <v>0</v>
      </c>
      <c r="R2269" s="39" t="n">
        <f aca="false">IF($A2269="",-1,IF($J2269=Setup!$B$7,1,IF($J2269=Setup!$B$9,0,-1)))</f>
        <v>-1</v>
      </c>
      <c r="S2269" s="35" t="n">
        <f aca="false">IF(OR($A2269="",$Q2269=0,$R2269=-1),0,$Q2269*1000+$R2269*100+$K2269)</f>
        <v>0</v>
      </c>
      <c r="T2269" s="37" t="str">
        <f aca="false">IF($A2269="","",IF($B2269="","NO ACCOUNT",IF($Q2269=0,"UNMAPPED",IF($R2269=-1,"OUTSIDE FY RANGE","OK"))))</f>
        <v/>
      </c>
      <c r="U2269" s="40" t="str">
        <f aca="false">IF($A2269="","",$B2269&amp;"|"&amp;TEXT($A2269,"yyyymmdd")&amp;"|"&amp;TEXT($I2269,"0.00"))</f>
        <v/>
      </c>
      <c r="V2269" s="35" t="str">
        <f aca="false">IF($A2269="","",COUNTIF($U$8:$U$5007,$U2269))</f>
        <v/>
      </c>
    </row>
    <row r="2270" customFormat="false" ht="15" hidden="false" customHeight="false" outlineLevel="0" collapsed="false">
      <c r="A2270" s="31"/>
      <c r="B2270" s="32"/>
      <c r="C2270" s="32"/>
      <c r="D2270" s="32"/>
      <c r="E2270" s="32"/>
      <c r="F2270" s="32"/>
      <c r="G2270" s="33"/>
      <c r="H2270" s="33"/>
      <c r="I2270" s="34" t="str">
        <f aca="false">IF($A2270="","",$G2270-$H2270)</f>
        <v/>
      </c>
      <c r="J2270" s="35" t="str">
        <f aca="false">IF($A2270="","",IF(Setup!$B$6=1,YEAR($A2270),YEAR($A2270)+IF(MONTH($A2270)&gt;=Setup!$B$6,1,0)))</f>
        <v/>
      </c>
      <c r="K2270" s="35" t="str">
        <f aca="false">IF($A2270="","",MOD(MONTH($A2270)-Setup!$B$6+12,12)+1)</f>
        <v/>
      </c>
      <c r="L2270" s="36" t="str">
        <f aca="false">IF($A2270="","",TEXT($A2270,"MMM-YY"))</f>
        <v/>
      </c>
      <c r="M2270" s="37" t="str">
        <f aca="false">IF($A2270="","",IF($Q2270=0,"UNMAPPED",INDEX(COA_Mapping!$C$7:$C$256,$Q2270)))</f>
        <v/>
      </c>
      <c r="N2270" s="38" t="str">
        <f aca="false">IF($A2270="","",IF($Q2270=0,"",INDEX(COA_Mapping!$E$7:$E$256,$Q2270)))</f>
        <v/>
      </c>
      <c r="O2270" s="38" t="n">
        <f aca="false">IF($A2270="",1,IF($Q2270=0,1,INDEX(COA_Mapping!$F$7:$F$256,$Q2270)))</f>
        <v>1</v>
      </c>
      <c r="P2270" s="34" t="str">
        <f aca="false">IF($A2270="","",$I2270*$O2270)</f>
        <v/>
      </c>
      <c r="Q2270" s="39" t="n">
        <f aca="false">IF($B2270="",0,IFERROR(MATCH($B2270,COA_Mapping!$A$7:$A$256,0),0))</f>
        <v>0</v>
      </c>
      <c r="R2270" s="39" t="n">
        <f aca="false">IF($A2270="",-1,IF($J2270=Setup!$B$7,1,IF($J2270=Setup!$B$9,0,-1)))</f>
        <v>-1</v>
      </c>
      <c r="S2270" s="35" t="n">
        <f aca="false">IF(OR($A2270="",$Q2270=0,$R2270=-1),0,$Q2270*1000+$R2270*100+$K2270)</f>
        <v>0</v>
      </c>
      <c r="T2270" s="37" t="str">
        <f aca="false">IF($A2270="","",IF($B2270="","NO ACCOUNT",IF($Q2270=0,"UNMAPPED",IF($R2270=-1,"OUTSIDE FY RANGE","OK"))))</f>
        <v/>
      </c>
      <c r="U2270" s="40" t="str">
        <f aca="false">IF($A2270="","",$B2270&amp;"|"&amp;TEXT($A2270,"yyyymmdd")&amp;"|"&amp;TEXT($I2270,"0.00"))</f>
        <v/>
      </c>
      <c r="V2270" s="35" t="str">
        <f aca="false">IF($A2270="","",COUNTIF($U$8:$U$5007,$U2270))</f>
        <v/>
      </c>
    </row>
    <row r="2271" customFormat="false" ht="15" hidden="false" customHeight="false" outlineLevel="0" collapsed="false">
      <c r="A2271" s="31"/>
      <c r="B2271" s="32"/>
      <c r="C2271" s="32"/>
      <c r="D2271" s="32"/>
      <c r="E2271" s="32"/>
      <c r="F2271" s="32"/>
      <c r="G2271" s="33"/>
      <c r="H2271" s="33"/>
      <c r="I2271" s="34" t="str">
        <f aca="false">IF($A2271="","",$G2271-$H2271)</f>
        <v/>
      </c>
      <c r="J2271" s="35" t="str">
        <f aca="false">IF($A2271="","",IF(Setup!$B$6=1,YEAR($A2271),YEAR($A2271)+IF(MONTH($A2271)&gt;=Setup!$B$6,1,0)))</f>
        <v/>
      </c>
      <c r="K2271" s="35" t="str">
        <f aca="false">IF($A2271="","",MOD(MONTH($A2271)-Setup!$B$6+12,12)+1)</f>
        <v/>
      </c>
      <c r="L2271" s="36" t="str">
        <f aca="false">IF($A2271="","",TEXT($A2271,"MMM-YY"))</f>
        <v/>
      </c>
      <c r="M2271" s="37" t="str">
        <f aca="false">IF($A2271="","",IF($Q2271=0,"UNMAPPED",INDEX(COA_Mapping!$C$7:$C$256,$Q2271)))</f>
        <v/>
      </c>
      <c r="N2271" s="38" t="str">
        <f aca="false">IF($A2271="","",IF($Q2271=0,"",INDEX(COA_Mapping!$E$7:$E$256,$Q2271)))</f>
        <v/>
      </c>
      <c r="O2271" s="38" t="n">
        <f aca="false">IF($A2271="",1,IF($Q2271=0,1,INDEX(COA_Mapping!$F$7:$F$256,$Q2271)))</f>
        <v>1</v>
      </c>
      <c r="P2271" s="34" t="str">
        <f aca="false">IF($A2271="","",$I2271*$O2271)</f>
        <v/>
      </c>
      <c r="Q2271" s="39" t="n">
        <f aca="false">IF($B2271="",0,IFERROR(MATCH($B2271,COA_Mapping!$A$7:$A$256,0),0))</f>
        <v>0</v>
      </c>
      <c r="R2271" s="39" t="n">
        <f aca="false">IF($A2271="",-1,IF($J2271=Setup!$B$7,1,IF($J2271=Setup!$B$9,0,-1)))</f>
        <v>-1</v>
      </c>
      <c r="S2271" s="35" t="n">
        <f aca="false">IF(OR($A2271="",$Q2271=0,$R2271=-1),0,$Q2271*1000+$R2271*100+$K2271)</f>
        <v>0</v>
      </c>
      <c r="T2271" s="37" t="str">
        <f aca="false">IF($A2271="","",IF($B2271="","NO ACCOUNT",IF($Q2271=0,"UNMAPPED",IF($R2271=-1,"OUTSIDE FY RANGE","OK"))))</f>
        <v/>
      </c>
      <c r="U2271" s="40" t="str">
        <f aca="false">IF($A2271="","",$B2271&amp;"|"&amp;TEXT($A2271,"yyyymmdd")&amp;"|"&amp;TEXT($I2271,"0.00"))</f>
        <v/>
      </c>
      <c r="V2271" s="35" t="str">
        <f aca="false">IF($A2271="","",COUNTIF($U$8:$U$5007,$U2271))</f>
        <v/>
      </c>
    </row>
    <row r="2272" customFormat="false" ht="15" hidden="false" customHeight="false" outlineLevel="0" collapsed="false">
      <c r="A2272" s="31"/>
      <c r="B2272" s="32"/>
      <c r="C2272" s="32"/>
      <c r="D2272" s="32"/>
      <c r="E2272" s="32"/>
      <c r="F2272" s="32"/>
      <c r="G2272" s="33"/>
      <c r="H2272" s="33"/>
      <c r="I2272" s="34" t="str">
        <f aca="false">IF($A2272="","",$G2272-$H2272)</f>
        <v/>
      </c>
      <c r="J2272" s="35" t="str">
        <f aca="false">IF($A2272="","",IF(Setup!$B$6=1,YEAR($A2272),YEAR($A2272)+IF(MONTH($A2272)&gt;=Setup!$B$6,1,0)))</f>
        <v/>
      </c>
      <c r="K2272" s="35" t="str">
        <f aca="false">IF($A2272="","",MOD(MONTH($A2272)-Setup!$B$6+12,12)+1)</f>
        <v/>
      </c>
      <c r="L2272" s="36" t="str">
        <f aca="false">IF($A2272="","",TEXT($A2272,"MMM-YY"))</f>
        <v/>
      </c>
      <c r="M2272" s="37" t="str">
        <f aca="false">IF($A2272="","",IF($Q2272=0,"UNMAPPED",INDEX(COA_Mapping!$C$7:$C$256,$Q2272)))</f>
        <v/>
      </c>
      <c r="N2272" s="38" t="str">
        <f aca="false">IF($A2272="","",IF($Q2272=0,"",INDEX(COA_Mapping!$E$7:$E$256,$Q2272)))</f>
        <v/>
      </c>
      <c r="O2272" s="38" t="n">
        <f aca="false">IF($A2272="",1,IF($Q2272=0,1,INDEX(COA_Mapping!$F$7:$F$256,$Q2272)))</f>
        <v>1</v>
      </c>
      <c r="P2272" s="34" t="str">
        <f aca="false">IF($A2272="","",$I2272*$O2272)</f>
        <v/>
      </c>
      <c r="Q2272" s="39" t="n">
        <f aca="false">IF($B2272="",0,IFERROR(MATCH($B2272,COA_Mapping!$A$7:$A$256,0),0))</f>
        <v>0</v>
      </c>
      <c r="R2272" s="39" t="n">
        <f aca="false">IF($A2272="",-1,IF($J2272=Setup!$B$7,1,IF($J2272=Setup!$B$9,0,-1)))</f>
        <v>-1</v>
      </c>
      <c r="S2272" s="35" t="n">
        <f aca="false">IF(OR($A2272="",$Q2272=0,$R2272=-1),0,$Q2272*1000+$R2272*100+$K2272)</f>
        <v>0</v>
      </c>
      <c r="T2272" s="37" t="str">
        <f aca="false">IF($A2272="","",IF($B2272="","NO ACCOUNT",IF($Q2272=0,"UNMAPPED",IF($R2272=-1,"OUTSIDE FY RANGE","OK"))))</f>
        <v/>
      </c>
      <c r="U2272" s="40" t="str">
        <f aca="false">IF($A2272="","",$B2272&amp;"|"&amp;TEXT($A2272,"yyyymmdd")&amp;"|"&amp;TEXT($I2272,"0.00"))</f>
        <v/>
      </c>
      <c r="V2272" s="35" t="str">
        <f aca="false">IF($A2272="","",COUNTIF($U$8:$U$5007,$U2272))</f>
        <v/>
      </c>
    </row>
    <row r="2273" customFormat="false" ht="15" hidden="false" customHeight="false" outlineLevel="0" collapsed="false">
      <c r="A2273" s="31"/>
      <c r="B2273" s="32"/>
      <c r="C2273" s="32"/>
      <c r="D2273" s="32"/>
      <c r="E2273" s="32"/>
      <c r="F2273" s="32"/>
      <c r="G2273" s="33"/>
      <c r="H2273" s="33"/>
      <c r="I2273" s="34" t="str">
        <f aca="false">IF($A2273="","",$G2273-$H2273)</f>
        <v/>
      </c>
      <c r="J2273" s="35" t="str">
        <f aca="false">IF($A2273="","",IF(Setup!$B$6=1,YEAR($A2273),YEAR($A2273)+IF(MONTH($A2273)&gt;=Setup!$B$6,1,0)))</f>
        <v/>
      </c>
      <c r="K2273" s="35" t="str">
        <f aca="false">IF($A2273="","",MOD(MONTH($A2273)-Setup!$B$6+12,12)+1)</f>
        <v/>
      </c>
      <c r="L2273" s="36" t="str">
        <f aca="false">IF($A2273="","",TEXT($A2273,"MMM-YY"))</f>
        <v/>
      </c>
      <c r="M2273" s="37" t="str">
        <f aca="false">IF($A2273="","",IF($Q2273=0,"UNMAPPED",INDEX(COA_Mapping!$C$7:$C$256,$Q2273)))</f>
        <v/>
      </c>
      <c r="N2273" s="38" t="str">
        <f aca="false">IF($A2273="","",IF($Q2273=0,"",INDEX(COA_Mapping!$E$7:$E$256,$Q2273)))</f>
        <v/>
      </c>
      <c r="O2273" s="38" t="n">
        <f aca="false">IF($A2273="",1,IF($Q2273=0,1,INDEX(COA_Mapping!$F$7:$F$256,$Q2273)))</f>
        <v>1</v>
      </c>
      <c r="P2273" s="34" t="str">
        <f aca="false">IF($A2273="","",$I2273*$O2273)</f>
        <v/>
      </c>
      <c r="Q2273" s="39" t="n">
        <f aca="false">IF($B2273="",0,IFERROR(MATCH($B2273,COA_Mapping!$A$7:$A$256,0),0))</f>
        <v>0</v>
      </c>
      <c r="R2273" s="39" t="n">
        <f aca="false">IF($A2273="",-1,IF($J2273=Setup!$B$7,1,IF($J2273=Setup!$B$9,0,-1)))</f>
        <v>-1</v>
      </c>
      <c r="S2273" s="35" t="n">
        <f aca="false">IF(OR($A2273="",$Q2273=0,$R2273=-1),0,$Q2273*1000+$R2273*100+$K2273)</f>
        <v>0</v>
      </c>
      <c r="T2273" s="37" t="str">
        <f aca="false">IF($A2273="","",IF($B2273="","NO ACCOUNT",IF($Q2273=0,"UNMAPPED",IF($R2273=-1,"OUTSIDE FY RANGE","OK"))))</f>
        <v/>
      </c>
      <c r="U2273" s="40" t="str">
        <f aca="false">IF($A2273="","",$B2273&amp;"|"&amp;TEXT($A2273,"yyyymmdd")&amp;"|"&amp;TEXT($I2273,"0.00"))</f>
        <v/>
      </c>
      <c r="V2273" s="35" t="str">
        <f aca="false">IF($A2273="","",COUNTIF($U$8:$U$5007,$U2273))</f>
        <v/>
      </c>
    </row>
    <row r="2274" customFormat="false" ht="15" hidden="false" customHeight="false" outlineLevel="0" collapsed="false">
      <c r="A2274" s="31"/>
      <c r="B2274" s="32"/>
      <c r="C2274" s="32"/>
      <c r="D2274" s="32"/>
      <c r="E2274" s="32"/>
      <c r="F2274" s="32"/>
      <c r="G2274" s="33"/>
      <c r="H2274" s="33"/>
      <c r="I2274" s="34" t="str">
        <f aca="false">IF($A2274="","",$G2274-$H2274)</f>
        <v/>
      </c>
      <c r="J2274" s="35" t="str">
        <f aca="false">IF($A2274="","",IF(Setup!$B$6=1,YEAR($A2274),YEAR($A2274)+IF(MONTH($A2274)&gt;=Setup!$B$6,1,0)))</f>
        <v/>
      </c>
      <c r="K2274" s="35" t="str">
        <f aca="false">IF($A2274="","",MOD(MONTH($A2274)-Setup!$B$6+12,12)+1)</f>
        <v/>
      </c>
      <c r="L2274" s="36" t="str">
        <f aca="false">IF($A2274="","",TEXT($A2274,"MMM-YY"))</f>
        <v/>
      </c>
      <c r="M2274" s="37" t="str">
        <f aca="false">IF($A2274="","",IF($Q2274=0,"UNMAPPED",INDEX(COA_Mapping!$C$7:$C$256,$Q2274)))</f>
        <v/>
      </c>
      <c r="N2274" s="38" t="str">
        <f aca="false">IF($A2274="","",IF($Q2274=0,"",INDEX(COA_Mapping!$E$7:$E$256,$Q2274)))</f>
        <v/>
      </c>
      <c r="O2274" s="38" t="n">
        <f aca="false">IF($A2274="",1,IF($Q2274=0,1,INDEX(COA_Mapping!$F$7:$F$256,$Q2274)))</f>
        <v>1</v>
      </c>
      <c r="P2274" s="34" t="str">
        <f aca="false">IF($A2274="","",$I2274*$O2274)</f>
        <v/>
      </c>
      <c r="Q2274" s="39" t="n">
        <f aca="false">IF($B2274="",0,IFERROR(MATCH($B2274,COA_Mapping!$A$7:$A$256,0),0))</f>
        <v>0</v>
      </c>
      <c r="R2274" s="39" t="n">
        <f aca="false">IF($A2274="",-1,IF($J2274=Setup!$B$7,1,IF($J2274=Setup!$B$9,0,-1)))</f>
        <v>-1</v>
      </c>
      <c r="S2274" s="35" t="n">
        <f aca="false">IF(OR($A2274="",$Q2274=0,$R2274=-1),0,$Q2274*1000+$R2274*100+$K2274)</f>
        <v>0</v>
      </c>
      <c r="T2274" s="37" t="str">
        <f aca="false">IF($A2274="","",IF($B2274="","NO ACCOUNT",IF($Q2274=0,"UNMAPPED",IF($R2274=-1,"OUTSIDE FY RANGE","OK"))))</f>
        <v/>
      </c>
      <c r="U2274" s="40" t="str">
        <f aca="false">IF($A2274="","",$B2274&amp;"|"&amp;TEXT($A2274,"yyyymmdd")&amp;"|"&amp;TEXT($I2274,"0.00"))</f>
        <v/>
      </c>
      <c r="V2274" s="35" t="str">
        <f aca="false">IF($A2274="","",COUNTIF($U$8:$U$5007,$U2274))</f>
        <v/>
      </c>
    </row>
    <row r="2275" customFormat="false" ht="15" hidden="false" customHeight="false" outlineLevel="0" collapsed="false">
      <c r="A2275" s="31"/>
      <c r="B2275" s="32"/>
      <c r="C2275" s="32"/>
      <c r="D2275" s="32"/>
      <c r="E2275" s="32"/>
      <c r="F2275" s="32"/>
      <c r="G2275" s="33"/>
      <c r="H2275" s="33"/>
      <c r="I2275" s="34" t="str">
        <f aca="false">IF($A2275="","",$G2275-$H2275)</f>
        <v/>
      </c>
      <c r="J2275" s="35" t="str">
        <f aca="false">IF($A2275="","",IF(Setup!$B$6=1,YEAR($A2275),YEAR($A2275)+IF(MONTH($A2275)&gt;=Setup!$B$6,1,0)))</f>
        <v/>
      </c>
      <c r="K2275" s="35" t="str">
        <f aca="false">IF($A2275="","",MOD(MONTH($A2275)-Setup!$B$6+12,12)+1)</f>
        <v/>
      </c>
      <c r="L2275" s="36" t="str">
        <f aca="false">IF($A2275="","",TEXT($A2275,"MMM-YY"))</f>
        <v/>
      </c>
      <c r="M2275" s="37" t="str">
        <f aca="false">IF($A2275="","",IF($Q2275=0,"UNMAPPED",INDEX(COA_Mapping!$C$7:$C$256,$Q2275)))</f>
        <v/>
      </c>
      <c r="N2275" s="38" t="str">
        <f aca="false">IF($A2275="","",IF($Q2275=0,"",INDEX(COA_Mapping!$E$7:$E$256,$Q2275)))</f>
        <v/>
      </c>
      <c r="O2275" s="38" t="n">
        <f aca="false">IF($A2275="",1,IF($Q2275=0,1,INDEX(COA_Mapping!$F$7:$F$256,$Q2275)))</f>
        <v>1</v>
      </c>
      <c r="P2275" s="34" t="str">
        <f aca="false">IF($A2275="","",$I2275*$O2275)</f>
        <v/>
      </c>
      <c r="Q2275" s="39" t="n">
        <f aca="false">IF($B2275="",0,IFERROR(MATCH($B2275,COA_Mapping!$A$7:$A$256,0),0))</f>
        <v>0</v>
      </c>
      <c r="R2275" s="39" t="n">
        <f aca="false">IF($A2275="",-1,IF($J2275=Setup!$B$7,1,IF($J2275=Setup!$B$9,0,-1)))</f>
        <v>-1</v>
      </c>
      <c r="S2275" s="35" t="n">
        <f aca="false">IF(OR($A2275="",$Q2275=0,$R2275=-1),0,$Q2275*1000+$R2275*100+$K2275)</f>
        <v>0</v>
      </c>
      <c r="T2275" s="37" t="str">
        <f aca="false">IF($A2275="","",IF($B2275="","NO ACCOUNT",IF($Q2275=0,"UNMAPPED",IF($R2275=-1,"OUTSIDE FY RANGE","OK"))))</f>
        <v/>
      </c>
      <c r="U2275" s="40" t="str">
        <f aca="false">IF($A2275="","",$B2275&amp;"|"&amp;TEXT($A2275,"yyyymmdd")&amp;"|"&amp;TEXT($I2275,"0.00"))</f>
        <v/>
      </c>
      <c r="V2275" s="35" t="str">
        <f aca="false">IF($A2275="","",COUNTIF($U$8:$U$5007,$U2275))</f>
        <v/>
      </c>
    </row>
    <row r="2276" customFormat="false" ht="15" hidden="false" customHeight="false" outlineLevel="0" collapsed="false">
      <c r="A2276" s="31"/>
      <c r="B2276" s="32"/>
      <c r="C2276" s="32"/>
      <c r="D2276" s="32"/>
      <c r="E2276" s="32"/>
      <c r="F2276" s="32"/>
      <c r="G2276" s="33"/>
      <c r="H2276" s="33"/>
      <c r="I2276" s="34" t="str">
        <f aca="false">IF($A2276="","",$G2276-$H2276)</f>
        <v/>
      </c>
      <c r="J2276" s="35" t="str">
        <f aca="false">IF($A2276="","",IF(Setup!$B$6=1,YEAR($A2276),YEAR($A2276)+IF(MONTH($A2276)&gt;=Setup!$B$6,1,0)))</f>
        <v/>
      </c>
      <c r="K2276" s="35" t="str">
        <f aca="false">IF($A2276="","",MOD(MONTH($A2276)-Setup!$B$6+12,12)+1)</f>
        <v/>
      </c>
      <c r="L2276" s="36" t="str">
        <f aca="false">IF($A2276="","",TEXT($A2276,"MMM-YY"))</f>
        <v/>
      </c>
      <c r="M2276" s="37" t="str">
        <f aca="false">IF($A2276="","",IF($Q2276=0,"UNMAPPED",INDEX(COA_Mapping!$C$7:$C$256,$Q2276)))</f>
        <v/>
      </c>
      <c r="N2276" s="38" t="str">
        <f aca="false">IF($A2276="","",IF($Q2276=0,"",INDEX(COA_Mapping!$E$7:$E$256,$Q2276)))</f>
        <v/>
      </c>
      <c r="O2276" s="38" t="n">
        <f aca="false">IF($A2276="",1,IF($Q2276=0,1,INDEX(COA_Mapping!$F$7:$F$256,$Q2276)))</f>
        <v>1</v>
      </c>
      <c r="P2276" s="34" t="str">
        <f aca="false">IF($A2276="","",$I2276*$O2276)</f>
        <v/>
      </c>
      <c r="Q2276" s="39" t="n">
        <f aca="false">IF($B2276="",0,IFERROR(MATCH($B2276,COA_Mapping!$A$7:$A$256,0),0))</f>
        <v>0</v>
      </c>
      <c r="R2276" s="39" t="n">
        <f aca="false">IF($A2276="",-1,IF($J2276=Setup!$B$7,1,IF($J2276=Setup!$B$9,0,-1)))</f>
        <v>-1</v>
      </c>
      <c r="S2276" s="35" t="n">
        <f aca="false">IF(OR($A2276="",$Q2276=0,$R2276=-1),0,$Q2276*1000+$R2276*100+$K2276)</f>
        <v>0</v>
      </c>
      <c r="T2276" s="37" t="str">
        <f aca="false">IF($A2276="","",IF($B2276="","NO ACCOUNT",IF($Q2276=0,"UNMAPPED",IF($R2276=-1,"OUTSIDE FY RANGE","OK"))))</f>
        <v/>
      </c>
      <c r="U2276" s="40" t="str">
        <f aca="false">IF($A2276="","",$B2276&amp;"|"&amp;TEXT($A2276,"yyyymmdd")&amp;"|"&amp;TEXT($I2276,"0.00"))</f>
        <v/>
      </c>
      <c r="V2276" s="35" t="str">
        <f aca="false">IF($A2276="","",COUNTIF($U$8:$U$5007,$U2276))</f>
        <v/>
      </c>
    </row>
    <row r="2277" customFormat="false" ht="15" hidden="false" customHeight="false" outlineLevel="0" collapsed="false">
      <c r="A2277" s="31"/>
      <c r="B2277" s="32"/>
      <c r="C2277" s="32"/>
      <c r="D2277" s="32"/>
      <c r="E2277" s="32"/>
      <c r="F2277" s="32"/>
      <c r="G2277" s="33"/>
      <c r="H2277" s="33"/>
      <c r="I2277" s="34" t="str">
        <f aca="false">IF($A2277="","",$G2277-$H2277)</f>
        <v/>
      </c>
      <c r="J2277" s="35" t="str">
        <f aca="false">IF($A2277="","",IF(Setup!$B$6=1,YEAR($A2277),YEAR($A2277)+IF(MONTH($A2277)&gt;=Setup!$B$6,1,0)))</f>
        <v/>
      </c>
      <c r="K2277" s="35" t="str">
        <f aca="false">IF($A2277="","",MOD(MONTH($A2277)-Setup!$B$6+12,12)+1)</f>
        <v/>
      </c>
      <c r="L2277" s="36" t="str">
        <f aca="false">IF($A2277="","",TEXT($A2277,"MMM-YY"))</f>
        <v/>
      </c>
      <c r="M2277" s="37" t="str">
        <f aca="false">IF($A2277="","",IF($Q2277=0,"UNMAPPED",INDEX(COA_Mapping!$C$7:$C$256,$Q2277)))</f>
        <v/>
      </c>
      <c r="N2277" s="38" t="str">
        <f aca="false">IF($A2277="","",IF($Q2277=0,"",INDEX(COA_Mapping!$E$7:$E$256,$Q2277)))</f>
        <v/>
      </c>
      <c r="O2277" s="38" t="n">
        <f aca="false">IF($A2277="",1,IF($Q2277=0,1,INDEX(COA_Mapping!$F$7:$F$256,$Q2277)))</f>
        <v>1</v>
      </c>
      <c r="P2277" s="34" t="str">
        <f aca="false">IF($A2277="","",$I2277*$O2277)</f>
        <v/>
      </c>
      <c r="Q2277" s="39" t="n">
        <f aca="false">IF($B2277="",0,IFERROR(MATCH($B2277,COA_Mapping!$A$7:$A$256,0),0))</f>
        <v>0</v>
      </c>
      <c r="R2277" s="39" t="n">
        <f aca="false">IF($A2277="",-1,IF($J2277=Setup!$B$7,1,IF($J2277=Setup!$B$9,0,-1)))</f>
        <v>-1</v>
      </c>
      <c r="S2277" s="35" t="n">
        <f aca="false">IF(OR($A2277="",$Q2277=0,$R2277=-1),0,$Q2277*1000+$R2277*100+$K2277)</f>
        <v>0</v>
      </c>
      <c r="T2277" s="37" t="str">
        <f aca="false">IF($A2277="","",IF($B2277="","NO ACCOUNT",IF($Q2277=0,"UNMAPPED",IF($R2277=-1,"OUTSIDE FY RANGE","OK"))))</f>
        <v/>
      </c>
      <c r="U2277" s="40" t="str">
        <f aca="false">IF($A2277="","",$B2277&amp;"|"&amp;TEXT($A2277,"yyyymmdd")&amp;"|"&amp;TEXT($I2277,"0.00"))</f>
        <v/>
      </c>
      <c r="V2277" s="35" t="str">
        <f aca="false">IF($A2277="","",COUNTIF($U$8:$U$5007,$U2277))</f>
        <v/>
      </c>
    </row>
    <row r="2278" customFormat="false" ht="15" hidden="false" customHeight="false" outlineLevel="0" collapsed="false">
      <c r="A2278" s="31"/>
      <c r="B2278" s="32"/>
      <c r="C2278" s="32"/>
      <c r="D2278" s="32"/>
      <c r="E2278" s="32"/>
      <c r="F2278" s="32"/>
      <c r="G2278" s="33"/>
      <c r="H2278" s="33"/>
      <c r="I2278" s="34" t="str">
        <f aca="false">IF($A2278="","",$G2278-$H2278)</f>
        <v/>
      </c>
      <c r="J2278" s="35" t="str">
        <f aca="false">IF($A2278="","",IF(Setup!$B$6=1,YEAR($A2278),YEAR($A2278)+IF(MONTH($A2278)&gt;=Setup!$B$6,1,0)))</f>
        <v/>
      </c>
      <c r="K2278" s="35" t="str">
        <f aca="false">IF($A2278="","",MOD(MONTH($A2278)-Setup!$B$6+12,12)+1)</f>
        <v/>
      </c>
      <c r="L2278" s="36" t="str">
        <f aca="false">IF($A2278="","",TEXT($A2278,"MMM-YY"))</f>
        <v/>
      </c>
      <c r="M2278" s="37" t="str">
        <f aca="false">IF($A2278="","",IF($Q2278=0,"UNMAPPED",INDEX(COA_Mapping!$C$7:$C$256,$Q2278)))</f>
        <v/>
      </c>
      <c r="N2278" s="38" t="str">
        <f aca="false">IF($A2278="","",IF($Q2278=0,"",INDEX(COA_Mapping!$E$7:$E$256,$Q2278)))</f>
        <v/>
      </c>
      <c r="O2278" s="38" t="n">
        <f aca="false">IF($A2278="",1,IF($Q2278=0,1,INDEX(COA_Mapping!$F$7:$F$256,$Q2278)))</f>
        <v>1</v>
      </c>
      <c r="P2278" s="34" t="str">
        <f aca="false">IF($A2278="","",$I2278*$O2278)</f>
        <v/>
      </c>
      <c r="Q2278" s="39" t="n">
        <f aca="false">IF($B2278="",0,IFERROR(MATCH($B2278,COA_Mapping!$A$7:$A$256,0),0))</f>
        <v>0</v>
      </c>
      <c r="R2278" s="39" t="n">
        <f aca="false">IF($A2278="",-1,IF($J2278=Setup!$B$7,1,IF($J2278=Setup!$B$9,0,-1)))</f>
        <v>-1</v>
      </c>
      <c r="S2278" s="35" t="n">
        <f aca="false">IF(OR($A2278="",$Q2278=0,$R2278=-1),0,$Q2278*1000+$R2278*100+$K2278)</f>
        <v>0</v>
      </c>
      <c r="T2278" s="37" t="str">
        <f aca="false">IF($A2278="","",IF($B2278="","NO ACCOUNT",IF($Q2278=0,"UNMAPPED",IF($R2278=-1,"OUTSIDE FY RANGE","OK"))))</f>
        <v/>
      </c>
      <c r="U2278" s="40" t="str">
        <f aca="false">IF($A2278="","",$B2278&amp;"|"&amp;TEXT($A2278,"yyyymmdd")&amp;"|"&amp;TEXT($I2278,"0.00"))</f>
        <v/>
      </c>
      <c r="V2278" s="35" t="str">
        <f aca="false">IF($A2278="","",COUNTIF($U$8:$U$5007,$U2278))</f>
        <v/>
      </c>
    </row>
    <row r="2279" customFormat="false" ht="15" hidden="false" customHeight="false" outlineLevel="0" collapsed="false">
      <c r="A2279" s="31"/>
      <c r="B2279" s="32"/>
      <c r="C2279" s="32"/>
      <c r="D2279" s="32"/>
      <c r="E2279" s="32"/>
      <c r="F2279" s="32"/>
      <c r="G2279" s="33"/>
      <c r="H2279" s="33"/>
      <c r="I2279" s="34" t="str">
        <f aca="false">IF($A2279="","",$G2279-$H2279)</f>
        <v/>
      </c>
      <c r="J2279" s="35" t="str">
        <f aca="false">IF($A2279="","",IF(Setup!$B$6=1,YEAR($A2279),YEAR($A2279)+IF(MONTH($A2279)&gt;=Setup!$B$6,1,0)))</f>
        <v/>
      </c>
      <c r="K2279" s="35" t="str">
        <f aca="false">IF($A2279="","",MOD(MONTH($A2279)-Setup!$B$6+12,12)+1)</f>
        <v/>
      </c>
      <c r="L2279" s="36" t="str">
        <f aca="false">IF($A2279="","",TEXT($A2279,"MMM-YY"))</f>
        <v/>
      </c>
      <c r="M2279" s="37" t="str">
        <f aca="false">IF($A2279="","",IF($Q2279=0,"UNMAPPED",INDEX(COA_Mapping!$C$7:$C$256,$Q2279)))</f>
        <v/>
      </c>
      <c r="N2279" s="38" t="str">
        <f aca="false">IF($A2279="","",IF($Q2279=0,"",INDEX(COA_Mapping!$E$7:$E$256,$Q2279)))</f>
        <v/>
      </c>
      <c r="O2279" s="38" t="n">
        <f aca="false">IF($A2279="",1,IF($Q2279=0,1,INDEX(COA_Mapping!$F$7:$F$256,$Q2279)))</f>
        <v>1</v>
      </c>
      <c r="P2279" s="34" t="str">
        <f aca="false">IF($A2279="","",$I2279*$O2279)</f>
        <v/>
      </c>
      <c r="Q2279" s="39" t="n">
        <f aca="false">IF($B2279="",0,IFERROR(MATCH($B2279,COA_Mapping!$A$7:$A$256,0),0))</f>
        <v>0</v>
      </c>
      <c r="R2279" s="39" t="n">
        <f aca="false">IF($A2279="",-1,IF($J2279=Setup!$B$7,1,IF($J2279=Setup!$B$9,0,-1)))</f>
        <v>-1</v>
      </c>
      <c r="S2279" s="35" t="n">
        <f aca="false">IF(OR($A2279="",$Q2279=0,$R2279=-1),0,$Q2279*1000+$R2279*100+$K2279)</f>
        <v>0</v>
      </c>
      <c r="T2279" s="37" t="str">
        <f aca="false">IF($A2279="","",IF($B2279="","NO ACCOUNT",IF($Q2279=0,"UNMAPPED",IF($R2279=-1,"OUTSIDE FY RANGE","OK"))))</f>
        <v/>
      </c>
      <c r="U2279" s="40" t="str">
        <f aca="false">IF($A2279="","",$B2279&amp;"|"&amp;TEXT($A2279,"yyyymmdd")&amp;"|"&amp;TEXT($I2279,"0.00"))</f>
        <v/>
      </c>
      <c r="V2279" s="35" t="str">
        <f aca="false">IF($A2279="","",COUNTIF($U$8:$U$5007,$U2279))</f>
        <v/>
      </c>
    </row>
    <row r="2280" customFormat="false" ht="15" hidden="false" customHeight="false" outlineLevel="0" collapsed="false">
      <c r="A2280" s="31"/>
      <c r="B2280" s="32"/>
      <c r="C2280" s="32"/>
      <c r="D2280" s="32"/>
      <c r="E2280" s="32"/>
      <c r="F2280" s="32"/>
      <c r="G2280" s="33"/>
      <c r="H2280" s="33"/>
      <c r="I2280" s="34" t="str">
        <f aca="false">IF($A2280="","",$G2280-$H2280)</f>
        <v/>
      </c>
      <c r="J2280" s="35" t="str">
        <f aca="false">IF($A2280="","",IF(Setup!$B$6=1,YEAR($A2280),YEAR($A2280)+IF(MONTH($A2280)&gt;=Setup!$B$6,1,0)))</f>
        <v/>
      </c>
      <c r="K2280" s="35" t="str">
        <f aca="false">IF($A2280="","",MOD(MONTH($A2280)-Setup!$B$6+12,12)+1)</f>
        <v/>
      </c>
      <c r="L2280" s="36" t="str">
        <f aca="false">IF($A2280="","",TEXT($A2280,"MMM-YY"))</f>
        <v/>
      </c>
      <c r="M2280" s="37" t="str">
        <f aca="false">IF($A2280="","",IF($Q2280=0,"UNMAPPED",INDEX(COA_Mapping!$C$7:$C$256,$Q2280)))</f>
        <v/>
      </c>
      <c r="N2280" s="38" t="str">
        <f aca="false">IF($A2280="","",IF($Q2280=0,"",INDEX(COA_Mapping!$E$7:$E$256,$Q2280)))</f>
        <v/>
      </c>
      <c r="O2280" s="38" t="n">
        <f aca="false">IF($A2280="",1,IF($Q2280=0,1,INDEX(COA_Mapping!$F$7:$F$256,$Q2280)))</f>
        <v>1</v>
      </c>
      <c r="P2280" s="34" t="str">
        <f aca="false">IF($A2280="","",$I2280*$O2280)</f>
        <v/>
      </c>
      <c r="Q2280" s="39" t="n">
        <f aca="false">IF($B2280="",0,IFERROR(MATCH($B2280,COA_Mapping!$A$7:$A$256,0),0))</f>
        <v>0</v>
      </c>
      <c r="R2280" s="39" t="n">
        <f aca="false">IF($A2280="",-1,IF($J2280=Setup!$B$7,1,IF($J2280=Setup!$B$9,0,-1)))</f>
        <v>-1</v>
      </c>
      <c r="S2280" s="35" t="n">
        <f aca="false">IF(OR($A2280="",$Q2280=0,$R2280=-1),0,$Q2280*1000+$R2280*100+$K2280)</f>
        <v>0</v>
      </c>
      <c r="T2280" s="37" t="str">
        <f aca="false">IF($A2280="","",IF($B2280="","NO ACCOUNT",IF($Q2280=0,"UNMAPPED",IF($R2280=-1,"OUTSIDE FY RANGE","OK"))))</f>
        <v/>
      </c>
      <c r="U2280" s="40" t="str">
        <f aca="false">IF($A2280="","",$B2280&amp;"|"&amp;TEXT($A2280,"yyyymmdd")&amp;"|"&amp;TEXT($I2280,"0.00"))</f>
        <v/>
      </c>
      <c r="V2280" s="35" t="str">
        <f aca="false">IF($A2280="","",COUNTIF($U$8:$U$5007,$U2280))</f>
        <v/>
      </c>
    </row>
    <row r="2281" customFormat="false" ht="15" hidden="false" customHeight="false" outlineLevel="0" collapsed="false">
      <c r="A2281" s="31"/>
      <c r="B2281" s="32"/>
      <c r="C2281" s="32"/>
      <c r="D2281" s="32"/>
      <c r="E2281" s="32"/>
      <c r="F2281" s="32"/>
      <c r="G2281" s="33"/>
      <c r="H2281" s="33"/>
      <c r="I2281" s="34" t="str">
        <f aca="false">IF($A2281="","",$G2281-$H2281)</f>
        <v/>
      </c>
      <c r="J2281" s="35" t="str">
        <f aca="false">IF($A2281="","",IF(Setup!$B$6=1,YEAR($A2281),YEAR($A2281)+IF(MONTH($A2281)&gt;=Setup!$B$6,1,0)))</f>
        <v/>
      </c>
      <c r="K2281" s="35" t="str">
        <f aca="false">IF($A2281="","",MOD(MONTH($A2281)-Setup!$B$6+12,12)+1)</f>
        <v/>
      </c>
      <c r="L2281" s="36" t="str">
        <f aca="false">IF($A2281="","",TEXT($A2281,"MMM-YY"))</f>
        <v/>
      </c>
      <c r="M2281" s="37" t="str">
        <f aca="false">IF($A2281="","",IF($Q2281=0,"UNMAPPED",INDEX(COA_Mapping!$C$7:$C$256,$Q2281)))</f>
        <v/>
      </c>
      <c r="N2281" s="38" t="str">
        <f aca="false">IF($A2281="","",IF($Q2281=0,"",INDEX(COA_Mapping!$E$7:$E$256,$Q2281)))</f>
        <v/>
      </c>
      <c r="O2281" s="38" t="n">
        <f aca="false">IF($A2281="",1,IF($Q2281=0,1,INDEX(COA_Mapping!$F$7:$F$256,$Q2281)))</f>
        <v>1</v>
      </c>
      <c r="P2281" s="34" t="str">
        <f aca="false">IF($A2281="","",$I2281*$O2281)</f>
        <v/>
      </c>
      <c r="Q2281" s="39" t="n">
        <f aca="false">IF($B2281="",0,IFERROR(MATCH($B2281,COA_Mapping!$A$7:$A$256,0),0))</f>
        <v>0</v>
      </c>
      <c r="R2281" s="39" t="n">
        <f aca="false">IF($A2281="",-1,IF($J2281=Setup!$B$7,1,IF($J2281=Setup!$B$9,0,-1)))</f>
        <v>-1</v>
      </c>
      <c r="S2281" s="35" t="n">
        <f aca="false">IF(OR($A2281="",$Q2281=0,$R2281=-1),0,$Q2281*1000+$R2281*100+$K2281)</f>
        <v>0</v>
      </c>
      <c r="T2281" s="37" t="str">
        <f aca="false">IF($A2281="","",IF($B2281="","NO ACCOUNT",IF($Q2281=0,"UNMAPPED",IF($R2281=-1,"OUTSIDE FY RANGE","OK"))))</f>
        <v/>
      </c>
      <c r="U2281" s="40" t="str">
        <f aca="false">IF($A2281="","",$B2281&amp;"|"&amp;TEXT($A2281,"yyyymmdd")&amp;"|"&amp;TEXT($I2281,"0.00"))</f>
        <v/>
      </c>
      <c r="V2281" s="35" t="str">
        <f aca="false">IF($A2281="","",COUNTIF($U$8:$U$5007,$U2281))</f>
        <v/>
      </c>
    </row>
    <row r="2282" customFormat="false" ht="15" hidden="false" customHeight="false" outlineLevel="0" collapsed="false">
      <c r="A2282" s="31"/>
      <c r="B2282" s="32"/>
      <c r="C2282" s="32"/>
      <c r="D2282" s="32"/>
      <c r="E2282" s="32"/>
      <c r="F2282" s="32"/>
      <c r="G2282" s="33"/>
      <c r="H2282" s="33"/>
      <c r="I2282" s="34" t="str">
        <f aca="false">IF($A2282="","",$G2282-$H2282)</f>
        <v/>
      </c>
      <c r="J2282" s="35" t="str">
        <f aca="false">IF($A2282="","",IF(Setup!$B$6=1,YEAR($A2282),YEAR($A2282)+IF(MONTH($A2282)&gt;=Setup!$B$6,1,0)))</f>
        <v/>
      </c>
      <c r="K2282" s="35" t="str">
        <f aca="false">IF($A2282="","",MOD(MONTH($A2282)-Setup!$B$6+12,12)+1)</f>
        <v/>
      </c>
      <c r="L2282" s="36" t="str">
        <f aca="false">IF($A2282="","",TEXT($A2282,"MMM-YY"))</f>
        <v/>
      </c>
      <c r="M2282" s="37" t="str">
        <f aca="false">IF($A2282="","",IF($Q2282=0,"UNMAPPED",INDEX(COA_Mapping!$C$7:$C$256,$Q2282)))</f>
        <v/>
      </c>
      <c r="N2282" s="38" t="str">
        <f aca="false">IF($A2282="","",IF($Q2282=0,"",INDEX(COA_Mapping!$E$7:$E$256,$Q2282)))</f>
        <v/>
      </c>
      <c r="O2282" s="38" t="n">
        <f aca="false">IF($A2282="",1,IF($Q2282=0,1,INDEX(COA_Mapping!$F$7:$F$256,$Q2282)))</f>
        <v>1</v>
      </c>
      <c r="P2282" s="34" t="str">
        <f aca="false">IF($A2282="","",$I2282*$O2282)</f>
        <v/>
      </c>
      <c r="Q2282" s="39" t="n">
        <f aca="false">IF($B2282="",0,IFERROR(MATCH($B2282,COA_Mapping!$A$7:$A$256,0),0))</f>
        <v>0</v>
      </c>
      <c r="R2282" s="39" t="n">
        <f aca="false">IF($A2282="",-1,IF($J2282=Setup!$B$7,1,IF($J2282=Setup!$B$9,0,-1)))</f>
        <v>-1</v>
      </c>
      <c r="S2282" s="35" t="n">
        <f aca="false">IF(OR($A2282="",$Q2282=0,$R2282=-1),0,$Q2282*1000+$R2282*100+$K2282)</f>
        <v>0</v>
      </c>
      <c r="T2282" s="37" t="str">
        <f aca="false">IF($A2282="","",IF($B2282="","NO ACCOUNT",IF($Q2282=0,"UNMAPPED",IF($R2282=-1,"OUTSIDE FY RANGE","OK"))))</f>
        <v/>
      </c>
      <c r="U2282" s="40" t="str">
        <f aca="false">IF($A2282="","",$B2282&amp;"|"&amp;TEXT($A2282,"yyyymmdd")&amp;"|"&amp;TEXT($I2282,"0.00"))</f>
        <v/>
      </c>
      <c r="V2282" s="35" t="str">
        <f aca="false">IF($A2282="","",COUNTIF($U$8:$U$5007,$U2282))</f>
        <v/>
      </c>
    </row>
    <row r="2283" customFormat="false" ht="15" hidden="false" customHeight="false" outlineLevel="0" collapsed="false">
      <c r="A2283" s="31"/>
      <c r="B2283" s="32"/>
      <c r="C2283" s="32"/>
      <c r="D2283" s="32"/>
      <c r="E2283" s="32"/>
      <c r="F2283" s="32"/>
      <c r="G2283" s="33"/>
      <c r="H2283" s="33"/>
      <c r="I2283" s="34" t="str">
        <f aca="false">IF($A2283="","",$G2283-$H2283)</f>
        <v/>
      </c>
      <c r="J2283" s="35" t="str">
        <f aca="false">IF($A2283="","",IF(Setup!$B$6=1,YEAR($A2283),YEAR($A2283)+IF(MONTH($A2283)&gt;=Setup!$B$6,1,0)))</f>
        <v/>
      </c>
      <c r="K2283" s="35" t="str">
        <f aca="false">IF($A2283="","",MOD(MONTH($A2283)-Setup!$B$6+12,12)+1)</f>
        <v/>
      </c>
      <c r="L2283" s="36" t="str">
        <f aca="false">IF($A2283="","",TEXT($A2283,"MMM-YY"))</f>
        <v/>
      </c>
      <c r="M2283" s="37" t="str">
        <f aca="false">IF($A2283="","",IF($Q2283=0,"UNMAPPED",INDEX(COA_Mapping!$C$7:$C$256,$Q2283)))</f>
        <v/>
      </c>
      <c r="N2283" s="38" t="str">
        <f aca="false">IF($A2283="","",IF($Q2283=0,"",INDEX(COA_Mapping!$E$7:$E$256,$Q2283)))</f>
        <v/>
      </c>
      <c r="O2283" s="38" t="n">
        <f aca="false">IF($A2283="",1,IF($Q2283=0,1,INDEX(COA_Mapping!$F$7:$F$256,$Q2283)))</f>
        <v>1</v>
      </c>
      <c r="P2283" s="34" t="str">
        <f aca="false">IF($A2283="","",$I2283*$O2283)</f>
        <v/>
      </c>
      <c r="Q2283" s="39" t="n">
        <f aca="false">IF($B2283="",0,IFERROR(MATCH($B2283,COA_Mapping!$A$7:$A$256,0),0))</f>
        <v>0</v>
      </c>
      <c r="R2283" s="39" t="n">
        <f aca="false">IF($A2283="",-1,IF($J2283=Setup!$B$7,1,IF($J2283=Setup!$B$9,0,-1)))</f>
        <v>-1</v>
      </c>
      <c r="S2283" s="35" t="n">
        <f aca="false">IF(OR($A2283="",$Q2283=0,$R2283=-1),0,$Q2283*1000+$R2283*100+$K2283)</f>
        <v>0</v>
      </c>
      <c r="T2283" s="37" t="str">
        <f aca="false">IF($A2283="","",IF($B2283="","NO ACCOUNT",IF($Q2283=0,"UNMAPPED",IF($R2283=-1,"OUTSIDE FY RANGE","OK"))))</f>
        <v/>
      </c>
      <c r="U2283" s="40" t="str">
        <f aca="false">IF($A2283="","",$B2283&amp;"|"&amp;TEXT($A2283,"yyyymmdd")&amp;"|"&amp;TEXT($I2283,"0.00"))</f>
        <v/>
      </c>
      <c r="V2283" s="35" t="str">
        <f aca="false">IF($A2283="","",COUNTIF($U$8:$U$5007,$U2283))</f>
        <v/>
      </c>
    </row>
    <row r="2284" customFormat="false" ht="15" hidden="false" customHeight="false" outlineLevel="0" collapsed="false">
      <c r="A2284" s="31"/>
      <c r="B2284" s="32"/>
      <c r="C2284" s="32"/>
      <c r="D2284" s="32"/>
      <c r="E2284" s="32"/>
      <c r="F2284" s="32"/>
      <c r="G2284" s="33"/>
      <c r="H2284" s="33"/>
      <c r="I2284" s="34" t="str">
        <f aca="false">IF($A2284="","",$G2284-$H2284)</f>
        <v/>
      </c>
      <c r="J2284" s="35" t="str">
        <f aca="false">IF($A2284="","",IF(Setup!$B$6=1,YEAR($A2284),YEAR($A2284)+IF(MONTH($A2284)&gt;=Setup!$B$6,1,0)))</f>
        <v/>
      </c>
      <c r="K2284" s="35" t="str">
        <f aca="false">IF($A2284="","",MOD(MONTH($A2284)-Setup!$B$6+12,12)+1)</f>
        <v/>
      </c>
      <c r="L2284" s="36" t="str">
        <f aca="false">IF($A2284="","",TEXT($A2284,"MMM-YY"))</f>
        <v/>
      </c>
      <c r="M2284" s="37" t="str">
        <f aca="false">IF($A2284="","",IF($Q2284=0,"UNMAPPED",INDEX(COA_Mapping!$C$7:$C$256,$Q2284)))</f>
        <v/>
      </c>
      <c r="N2284" s="38" t="str">
        <f aca="false">IF($A2284="","",IF($Q2284=0,"",INDEX(COA_Mapping!$E$7:$E$256,$Q2284)))</f>
        <v/>
      </c>
      <c r="O2284" s="38" t="n">
        <f aca="false">IF($A2284="",1,IF($Q2284=0,1,INDEX(COA_Mapping!$F$7:$F$256,$Q2284)))</f>
        <v>1</v>
      </c>
      <c r="P2284" s="34" t="str">
        <f aca="false">IF($A2284="","",$I2284*$O2284)</f>
        <v/>
      </c>
      <c r="Q2284" s="39" t="n">
        <f aca="false">IF($B2284="",0,IFERROR(MATCH($B2284,COA_Mapping!$A$7:$A$256,0),0))</f>
        <v>0</v>
      </c>
      <c r="R2284" s="39" t="n">
        <f aca="false">IF($A2284="",-1,IF($J2284=Setup!$B$7,1,IF($J2284=Setup!$B$9,0,-1)))</f>
        <v>-1</v>
      </c>
      <c r="S2284" s="35" t="n">
        <f aca="false">IF(OR($A2284="",$Q2284=0,$R2284=-1),0,$Q2284*1000+$R2284*100+$K2284)</f>
        <v>0</v>
      </c>
      <c r="T2284" s="37" t="str">
        <f aca="false">IF($A2284="","",IF($B2284="","NO ACCOUNT",IF($Q2284=0,"UNMAPPED",IF($R2284=-1,"OUTSIDE FY RANGE","OK"))))</f>
        <v/>
      </c>
      <c r="U2284" s="40" t="str">
        <f aca="false">IF($A2284="","",$B2284&amp;"|"&amp;TEXT($A2284,"yyyymmdd")&amp;"|"&amp;TEXT($I2284,"0.00"))</f>
        <v/>
      </c>
      <c r="V2284" s="35" t="str">
        <f aca="false">IF($A2284="","",COUNTIF($U$8:$U$5007,$U2284))</f>
        <v/>
      </c>
    </row>
    <row r="2285" customFormat="false" ht="15" hidden="false" customHeight="false" outlineLevel="0" collapsed="false">
      <c r="A2285" s="31"/>
      <c r="B2285" s="32"/>
      <c r="C2285" s="32"/>
      <c r="D2285" s="32"/>
      <c r="E2285" s="32"/>
      <c r="F2285" s="32"/>
      <c r="G2285" s="33"/>
      <c r="H2285" s="33"/>
      <c r="I2285" s="34" t="str">
        <f aca="false">IF($A2285="","",$G2285-$H2285)</f>
        <v/>
      </c>
      <c r="J2285" s="35" t="str">
        <f aca="false">IF($A2285="","",IF(Setup!$B$6=1,YEAR($A2285),YEAR($A2285)+IF(MONTH($A2285)&gt;=Setup!$B$6,1,0)))</f>
        <v/>
      </c>
      <c r="K2285" s="35" t="str">
        <f aca="false">IF($A2285="","",MOD(MONTH($A2285)-Setup!$B$6+12,12)+1)</f>
        <v/>
      </c>
      <c r="L2285" s="36" t="str">
        <f aca="false">IF($A2285="","",TEXT($A2285,"MMM-YY"))</f>
        <v/>
      </c>
      <c r="M2285" s="37" t="str">
        <f aca="false">IF($A2285="","",IF($Q2285=0,"UNMAPPED",INDEX(COA_Mapping!$C$7:$C$256,$Q2285)))</f>
        <v/>
      </c>
      <c r="N2285" s="38" t="str">
        <f aca="false">IF($A2285="","",IF($Q2285=0,"",INDEX(COA_Mapping!$E$7:$E$256,$Q2285)))</f>
        <v/>
      </c>
      <c r="O2285" s="38" t="n">
        <f aca="false">IF($A2285="",1,IF($Q2285=0,1,INDEX(COA_Mapping!$F$7:$F$256,$Q2285)))</f>
        <v>1</v>
      </c>
      <c r="P2285" s="34" t="str">
        <f aca="false">IF($A2285="","",$I2285*$O2285)</f>
        <v/>
      </c>
      <c r="Q2285" s="39" t="n">
        <f aca="false">IF($B2285="",0,IFERROR(MATCH($B2285,COA_Mapping!$A$7:$A$256,0),0))</f>
        <v>0</v>
      </c>
      <c r="R2285" s="39" t="n">
        <f aca="false">IF($A2285="",-1,IF($J2285=Setup!$B$7,1,IF($J2285=Setup!$B$9,0,-1)))</f>
        <v>-1</v>
      </c>
      <c r="S2285" s="35" t="n">
        <f aca="false">IF(OR($A2285="",$Q2285=0,$R2285=-1),0,$Q2285*1000+$R2285*100+$K2285)</f>
        <v>0</v>
      </c>
      <c r="T2285" s="37" t="str">
        <f aca="false">IF($A2285="","",IF($B2285="","NO ACCOUNT",IF($Q2285=0,"UNMAPPED",IF($R2285=-1,"OUTSIDE FY RANGE","OK"))))</f>
        <v/>
      </c>
      <c r="U2285" s="40" t="str">
        <f aca="false">IF($A2285="","",$B2285&amp;"|"&amp;TEXT($A2285,"yyyymmdd")&amp;"|"&amp;TEXT($I2285,"0.00"))</f>
        <v/>
      </c>
      <c r="V2285" s="35" t="str">
        <f aca="false">IF($A2285="","",COUNTIF($U$8:$U$5007,$U2285))</f>
        <v/>
      </c>
    </row>
    <row r="2286" customFormat="false" ht="15" hidden="false" customHeight="false" outlineLevel="0" collapsed="false">
      <c r="A2286" s="31"/>
      <c r="B2286" s="32"/>
      <c r="C2286" s="32"/>
      <c r="D2286" s="32"/>
      <c r="E2286" s="32"/>
      <c r="F2286" s="32"/>
      <c r="G2286" s="33"/>
      <c r="H2286" s="33"/>
      <c r="I2286" s="34" t="str">
        <f aca="false">IF($A2286="","",$G2286-$H2286)</f>
        <v/>
      </c>
      <c r="J2286" s="35" t="str">
        <f aca="false">IF($A2286="","",IF(Setup!$B$6=1,YEAR($A2286),YEAR($A2286)+IF(MONTH($A2286)&gt;=Setup!$B$6,1,0)))</f>
        <v/>
      </c>
      <c r="K2286" s="35" t="str">
        <f aca="false">IF($A2286="","",MOD(MONTH($A2286)-Setup!$B$6+12,12)+1)</f>
        <v/>
      </c>
      <c r="L2286" s="36" t="str">
        <f aca="false">IF($A2286="","",TEXT($A2286,"MMM-YY"))</f>
        <v/>
      </c>
      <c r="M2286" s="37" t="str">
        <f aca="false">IF($A2286="","",IF($Q2286=0,"UNMAPPED",INDEX(COA_Mapping!$C$7:$C$256,$Q2286)))</f>
        <v/>
      </c>
      <c r="N2286" s="38" t="str">
        <f aca="false">IF($A2286="","",IF($Q2286=0,"",INDEX(COA_Mapping!$E$7:$E$256,$Q2286)))</f>
        <v/>
      </c>
      <c r="O2286" s="38" t="n">
        <f aca="false">IF($A2286="",1,IF($Q2286=0,1,INDEX(COA_Mapping!$F$7:$F$256,$Q2286)))</f>
        <v>1</v>
      </c>
      <c r="P2286" s="34" t="str">
        <f aca="false">IF($A2286="","",$I2286*$O2286)</f>
        <v/>
      </c>
      <c r="Q2286" s="39" t="n">
        <f aca="false">IF($B2286="",0,IFERROR(MATCH($B2286,COA_Mapping!$A$7:$A$256,0),0))</f>
        <v>0</v>
      </c>
      <c r="R2286" s="39" t="n">
        <f aca="false">IF($A2286="",-1,IF($J2286=Setup!$B$7,1,IF($J2286=Setup!$B$9,0,-1)))</f>
        <v>-1</v>
      </c>
      <c r="S2286" s="35" t="n">
        <f aca="false">IF(OR($A2286="",$Q2286=0,$R2286=-1),0,$Q2286*1000+$R2286*100+$K2286)</f>
        <v>0</v>
      </c>
      <c r="T2286" s="37" t="str">
        <f aca="false">IF($A2286="","",IF($B2286="","NO ACCOUNT",IF($Q2286=0,"UNMAPPED",IF($R2286=-1,"OUTSIDE FY RANGE","OK"))))</f>
        <v/>
      </c>
      <c r="U2286" s="40" t="str">
        <f aca="false">IF($A2286="","",$B2286&amp;"|"&amp;TEXT($A2286,"yyyymmdd")&amp;"|"&amp;TEXT($I2286,"0.00"))</f>
        <v/>
      </c>
      <c r="V2286" s="35" t="str">
        <f aca="false">IF($A2286="","",COUNTIF($U$8:$U$5007,$U2286))</f>
        <v/>
      </c>
    </row>
    <row r="2287" customFormat="false" ht="15" hidden="false" customHeight="false" outlineLevel="0" collapsed="false">
      <c r="A2287" s="31"/>
      <c r="B2287" s="32"/>
      <c r="C2287" s="32"/>
      <c r="D2287" s="32"/>
      <c r="E2287" s="32"/>
      <c r="F2287" s="32"/>
      <c r="G2287" s="33"/>
      <c r="H2287" s="33"/>
      <c r="I2287" s="34" t="str">
        <f aca="false">IF($A2287="","",$G2287-$H2287)</f>
        <v/>
      </c>
      <c r="J2287" s="35" t="str">
        <f aca="false">IF($A2287="","",IF(Setup!$B$6=1,YEAR($A2287),YEAR($A2287)+IF(MONTH($A2287)&gt;=Setup!$B$6,1,0)))</f>
        <v/>
      </c>
      <c r="K2287" s="35" t="str">
        <f aca="false">IF($A2287="","",MOD(MONTH($A2287)-Setup!$B$6+12,12)+1)</f>
        <v/>
      </c>
      <c r="L2287" s="36" t="str">
        <f aca="false">IF($A2287="","",TEXT($A2287,"MMM-YY"))</f>
        <v/>
      </c>
      <c r="M2287" s="37" t="str">
        <f aca="false">IF($A2287="","",IF($Q2287=0,"UNMAPPED",INDEX(COA_Mapping!$C$7:$C$256,$Q2287)))</f>
        <v/>
      </c>
      <c r="N2287" s="38" t="str">
        <f aca="false">IF($A2287="","",IF($Q2287=0,"",INDEX(COA_Mapping!$E$7:$E$256,$Q2287)))</f>
        <v/>
      </c>
      <c r="O2287" s="38" t="n">
        <f aca="false">IF($A2287="",1,IF($Q2287=0,1,INDEX(COA_Mapping!$F$7:$F$256,$Q2287)))</f>
        <v>1</v>
      </c>
      <c r="P2287" s="34" t="str">
        <f aca="false">IF($A2287="","",$I2287*$O2287)</f>
        <v/>
      </c>
      <c r="Q2287" s="39" t="n">
        <f aca="false">IF($B2287="",0,IFERROR(MATCH($B2287,COA_Mapping!$A$7:$A$256,0),0))</f>
        <v>0</v>
      </c>
      <c r="R2287" s="39" t="n">
        <f aca="false">IF($A2287="",-1,IF($J2287=Setup!$B$7,1,IF($J2287=Setup!$B$9,0,-1)))</f>
        <v>-1</v>
      </c>
      <c r="S2287" s="35" t="n">
        <f aca="false">IF(OR($A2287="",$Q2287=0,$R2287=-1),0,$Q2287*1000+$R2287*100+$K2287)</f>
        <v>0</v>
      </c>
      <c r="T2287" s="37" t="str">
        <f aca="false">IF($A2287="","",IF($B2287="","NO ACCOUNT",IF($Q2287=0,"UNMAPPED",IF($R2287=-1,"OUTSIDE FY RANGE","OK"))))</f>
        <v/>
      </c>
      <c r="U2287" s="40" t="str">
        <f aca="false">IF($A2287="","",$B2287&amp;"|"&amp;TEXT($A2287,"yyyymmdd")&amp;"|"&amp;TEXT($I2287,"0.00"))</f>
        <v/>
      </c>
      <c r="V2287" s="35" t="str">
        <f aca="false">IF($A2287="","",COUNTIF($U$8:$U$5007,$U2287))</f>
        <v/>
      </c>
    </row>
    <row r="2288" customFormat="false" ht="15" hidden="false" customHeight="false" outlineLevel="0" collapsed="false">
      <c r="A2288" s="31"/>
      <c r="B2288" s="32"/>
      <c r="C2288" s="32"/>
      <c r="D2288" s="32"/>
      <c r="E2288" s="32"/>
      <c r="F2288" s="32"/>
      <c r="G2288" s="33"/>
      <c r="H2288" s="33"/>
      <c r="I2288" s="34" t="str">
        <f aca="false">IF($A2288="","",$G2288-$H2288)</f>
        <v/>
      </c>
      <c r="J2288" s="35" t="str">
        <f aca="false">IF($A2288="","",IF(Setup!$B$6=1,YEAR($A2288),YEAR($A2288)+IF(MONTH($A2288)&gt;=Setup!$B$6,1,0)))</f>
        <v/>
      </c>
      <c r="K2288" s="35" t="str">
        <f aca="false">IF($A2288="","",MOD(MONTH($A2288)-Setup!$B$6+12,12)+1)</f>
        <v/>
      </c>
      <c r="L2288" s="36" t="str">
        <f aca="false">IF($A2288="","",TEXT($A2288,"MMM-YY"))</f>
        <v/>
      </c>
      <c r="M2288" s="37" t="str">
        <f aca="false">IF($A2288="","",IF($Q2288=0,"UNMAPPED",INDEX(COA_Mapping!$C$7:$C$256,$Q2288)))</f>
        <v/>
      </c>
      <c r="N2288" s="38" t="str">
        <f aca="false">IF($A2288="","",IF($Q2288=0,"",INDEX(COA_Mapping!$E$7:$E$256,$Q2288)))</f>
        <v/>
      </c>
      <c r="O2288" s="38" t="n">
        <f aca="false">IF($A2288="",1,IF($Q2288=0,1,INDEX(COA_Mapping!$F$7:$F$256,$Q2288)))</f>
        <v>1</v>
      </c>
      <c r="P2288" s="34" t="str">
        <f aca="false">IF($A2288="","",$I2288*$O2288)</f>
        <v/>
      </c>
      <c r="Q2288" s="39" t="n">
        <f aca="false">IF($B2288="",0,IFERROR(MATCH($B2288,COA_Mapping!$A$7:$A$256,0),0))</f>
        <v>0</v>
      </c>
      <c r="R2288" s="39" t="n">
        <f aca="false">IF($A2288="",-1,IF($J2288=Setup!$B$7,1,IF($J2288=Setup!$B$9,0,-1)))</f>
        <v>-1</v>
      </c>
      <c r="S2288" s="35" t="n">
        <f aca="false">IF(OR($A2288="",$Q2288=0,$R2288=-1),0,$Q2288*1000+$R2288*100+$K2288)</f>
        <v>0</v>
      </c>
      <c r="T2288" s="37" t="str">
        <f aca="false">IF($A2288="","",IF($B2288="","NO ACCOUNT",IF($Q2288=0,"UNMAPPED",IF($R2288=-1,"OUTSIDE FY RANGE","OK"))))</f>
        <v/>
      </c>
      <c r="U2288" s="40" t="str">
        <f aca="false">IF($A2288="","",$B2288&amp;"|"&amp;TEXT($A2288,"yyyymmdd")&amp;"|"&amp;TEXT($I2288,"0.00"))</f>
        <v/>
      </c>
      <c r="V2288" s="35" t="str">
        <f aca="false">IF($A2288="","",COUNTIF($U$8:$U$5007,$U2288))</f>
        <v/>
      </c>
    </row>
    <row r="2289" customFormat="false" ht="15" hidden="false" customHeight="false" outlineLevel="0" collapsed="false">
      <c r="A2289" s="31"/>
      <c r="B2289" s="32"/>
      <c r="C2289" s="32"/>
      <c r="D2289" s="32"/>
      <c r="E2289" s="32"/>
      <c r="F2289" s="32"/>
      <c r="G2289" s="33"/>
      <c r="H2289" s="33"/>
      <c r="I2289" s="34" t="str">
        <f aca="false">IF($A2289="","",$G2289-$H2289)</f>
        <v/>
      </c>
      <c r="J2289" s="35" t="str">
        <f aca="false">IF($A2289="","",IF(Setup!$B$6=1,YEAR($A2289),YEAR($A2289)+IF(MONTH($A2289)&gt;=Setup!$B$6,1,0)))</f>
        <v/>
      </c>
      <c r="K2289" s="35" t="str">
        <f aca="false">IF($A2289="","",MOD(MONTH($A2289)-Setup!$B$6+12,12)+1)</f>
        <v/>
      </c>
      <c r="L2289" s="36" t="str">
        <f aca="false">IF($A2289="","",TEXT($A2289,"MMM-YY"))</f>
        <v/>
      </c>
      <c r="M2289" s="37" t="str">
        <f aca="false">IF($A2289="","",IF($Q2289=0,"UNMAPPED",INDEX(COA_Mapping!$C$7:$C$256,$Q2289)))</f>
        <v/>
      </c>
      <c r="N2289" s="38" t="str">
        <f aca="false">IF($A2289="","",IF($Q2289=0,"",INDEX(COA_Mapping!$E$7:$E$256,$Q2289)))</f>
        <v/>
      </c>
      <c r="O2289" s="38" t="n">
        <f aca="false">IF($A2289="",1,IF($Q2289=0,1,INDEX(COA_Mapping!$F$7:$F$256,$Q2289)))</f>
        <v>1</v>
      </c>
      <c r="P2289" s="34" t="str">
        <f aca="false">IF($A2289="","",$I2289*$O2289)</f>
        <v/>
      </c>
      <c r="Q2289" s="39" t="n">
        <f aca="false">IF($B2289="",0,IFERROR(MATCH($B2289,COA_Mapping!$A$7:$A$256,0),0))</f>
        <v>0</v>
      </c>
      <c r="R2289" s="39" t="n">
        <f aca="false">IF($A2289="",-1,IF($J2289=Setup!$B$7,1,IF($J2289=Setup!$B$9,0,-1)))</f>
        <v>-1</v>
      </c>
      <c r="S2289" s="35" t="n">
        <f aca="false">IF(OR($A2289="",$Q2289=0,$R2289=-1),0,$Q2289*1000+$R2289*100+$K2289)</f>
        <v>0</v>
      </c>
      <c r="T2289" s="37" t="str">
        <f aca="false">IF($A2289="","",IF($B2289="","NO ACCOUNT",IF($Q2289=0,"UNMAPPED",IF($R2289=-1,"OUTSIDE FY RANGE","OK"))))</f>
        <v/>
      </c>
      <c r="U2289" s="40" t="str">
        <f aca="false">IF($A2289="","",$B2289&amp;"|"&amp;TEXT($A2289,"yyyymmdd")&amp;"|"&amp;TEXT($I2289,"0.00"))</f>
        <v/>
      </c>
      <c r="V2289" s="35" t="str">
        <f aca="false">IF($A2289="","",COUNTIF($U$8:$U$5007,$U2289))</f>
        <v/>
      </c>
    </row>
    <row r="2290" customFormat="false" ht="15" hidden="false" customHeight="false" outlineLevel="0" collapsed="false">
      <c r="A2290" s="31"/>
      <c r="B2290" s="32"/>
      <c r="C2290" s="32"/>
      <c r="D2290" s="32"/>
      <c r="E2290" s="32"/>
      <c r="F2290" s="32"/>
      <c r="G2290" s="33"/>
      <c r="H2290" s="33"/>
      <c r="I2290" s="34" t="str">
        <f aca="false">IF($A2290="","",$G2290-$H2290)</f>
        <v/>
      </c>
      <c r="J2290" s="35" t="str">
        <f aca="false">IF($A2290="","",IF(Setup!$B$6=1,YEAR($A2290),YEAR($A2290)+IF(MONTH($A2290)&gt;=Setup!$B$6,1,0)))</f>
        <v/>
      </c>
      <c r="K2290" s="35" t="str">
        <f aca="false">IF($A2290="","",MOD(MONTH($A2290)-Setup!$B$6+12,12)+1)</f>
        <v/>
      </c>
      <c r="L2290" s="36" t="str">
        <f aca="false">IF($A2290="","",TEXT($A2290,"MMM-YY"))</f>
        <v/>
      </c>
      <c r="M2290" s="37" t="str">
        <f aca="false">IF($A2290="","",IF($Q2290=0,"UNMAPPED",INDEX(COA_Mapping!$C$7:$C$256,$Q2290)))</f>
        <v/>
      </c>
      <c r="N2290" s="38" t="str">
        <f aca="false">IF($A2290="","",IF($Q2290=0,"",INDEX(COA_Mapping!$E$7:$E$256,$Q2290)))</f>
        <v/>
      </c>
      <c r="O2290" s="38" t="n">
        <f aca="false">IF($A2290="",1,IF($Q2290=0,1,INDEX(COA_Mapping!$F$7:$F$256,$Q2290)))</f>
        <v>1</v>
      </c>
      <c r="P2290" s="34" t="str">
        <f aca="false">IF($A2290="","",$I2290*$O2290)</f>
        <v/>
      </c>
      <c r="Q2290" s="39" t="n">
        <f aca="false">IF($B2290="",0,IFERROR(MATCH($B2290,COA_Mapping!$A$7:$A$256,0),0))</f>
        <v>0</v>
      </c>
      <c r="R2290" s="39" t="n">
        <f aca="false">IF($A2290="",-1,IF($J2290=Setup!$B$7,1,IF($J2290=Setup!$B$9,0,-1)))</f>
        <v>-1</v>
      </c>
      <c r="S2290" s="35" t="n">
        <f aca="false">IF(OR($A2290="",$Q2290=0,$R2290=-1),0,$Q2290*1000+$R2290*100+$K2290)</f>
        <v>0</v>
      </c>
      <c r="T2290" s="37" t="str">
        <f aca="false">IF($A2290="","",IF($B2290="","NO ACCOUNT",IF($Q2290=0,"UNMAPPED",IF($R2290=-1,"OUTSIDE FY RANGE","OK"))))</f>
        <v/>
      </c>
      <c r="U2290" s="40" t="str">
        <f aca="false">IF($A2290="","",$B2290&amp;"|"&amp;TEXT($A2290,"yyyymmdd")&amp;"|"&amp;TEXT($I2290,"0.00"))</f>
        <v/>
      </c>
      <c r="V2290" s="35" t="str">
        <f aca="false">IF($A2290="","",COUNTIF($U$8:$U$5007,$U2290))</f>
        <v/>
      </c>
    </row>
    <row r="2291" customFormat="false" ht="15" hidden="false" customHeight="false" outlineLevel="0" collapsed="false">
      <c r="A2291" s="31"/>
      <c r="B2291" s="32"/>
      <c r="C2291" s="32"/>
      <c r="D2291" s="32"/>
      <c r="E2291" s="32"/>
      <c r="F2291" s="32"/>
      <c r="G2291" s="33"/>
      <c r="H2291" s="33"/>
      <c r="I2291" s="34" t="str">
        <f aca="false">IF($A2291="","",$G2291-$H2291)</f>
        <v/>
      </c>
      <c r="J2291" s="35" t="str">
        <f aca="false">IF($A2291="","",IF(Setup!$B$6=1,YEAR($A2291),YEAR($A2291)+IF(MONTH($A2291)&gt;=Setup!$B$6,1,0)))</f>
        <v/>
      </c>
      <c r="K2291" s="35" t="str">
        <f aca="false">IF($A2291="","",MOD(MONTH($A2291)-Setup!$B$6+12,12)+1)</f>
        <v/>
      </c>
      <c r="L2291" s="36" t="str">
        <f aca="false">IF($A2291="","",TEXT($A2291,"MMM-YY"))</f>
        <v/>
      </c>
      <c r="M2291" s="37" t="str">
        <f aca="false">IF($A2291="","",IF($Q2291=0,"UNMAPPED",INDEX(COA_Mapping!$C$7:$C$256,$Q2291)))</f>
        <v/>
      </c>
      <c r="N2291" s="38" t="str">
        <f aca="false">IF($A2291="","",IF($Q2291=0,"",INDEX(COA_Mapping!$E$7:$E$256,$Q2291)))</f>
        <v/>
      </c>
      <c r="O2291" s="38" t="n">
        <f aca="false">IF($A2291="",1,IF($Q2291=0,1,INDEX(COA_Mapping!$F$7:$F$256,$Q2291)))</f>
        <v>1</v>
      </c>
      <c r="P2291" s="34" t="str">
        <f aca="false">IF($A2291="","",$I2291*$O2291)</f>
        <v/>
      </c>
      <c r="Q2291" s="39" t="n">
        <f aca="false">IF($B2291="",0,IFERROR(MATCH($B2291,COA_Mapping!$A$7:$A$256,0),0))</f>
        <v>0</v>
      </c>
      <c r="R2291" s="39" t="n">
        <f aca="false">IF($A2291="",-1,IF($J2291=Setup!$B$7,1,IF($J2291=Setup!$B$9,0,-1)))</f>
        <v>-1</v>
      </c>
      <c r="S2291" s="35" t="n">
        <f aca="false">IF(OR($A2291="",$Q2291=0,$R2291=-1),0,$Q2291*1000+$R2291*100+$K2291)</f>
        <v>0</v>
      </c>
      <c r="T2291" s="37" t="str">
        <f aca="false">IF($A2291="","",IF($B2291="","NO ACCOUNT",IF($Q2291=0,"UNMAPPED",IF($R2291=-1,"OUTSIDE FY RANGE","OK"))))</f>
        <v/>
      </c>
      <c r="U2291" s="40" t="str">
        <f aca="false">IF($A2291="","",$B2291&amp;"|"&amp;TEXT($A2291,"yyyymmdd")&amp;"|"&amp;TEXT($I2291,"0.00"))</f>
        <v/>
      </c>
      <c r="V2291" s="35" t="str">
        <f aca="false">IF($A2291="","",COUNTIF($U$8:$U$5007,$U2291))</f>
        <v/>
      </c>
    </row>
    <row r="2292" customFormat="false" ht="15" hidden="false" customHeight="false" outlineLevel="0" collapsed="false">
      <c r="A2292" s="31"/>
      <c r="B2292" s="32"/>
      <c r="C2292" s="32"/>
      <c r="D2292" s="32"/>
      <c r="E2292" s="32"/>
      <c r="F2292" s="32"/>
      <c r="G2292" s="33"/>
      <c r="H2292" s="33"/>
      <c r="I2292" s="34" t="str">
        <f aca="false">IF($A2292="","",$G2292-$H2292)</f>
        <v/>
      </c>
      <c r="J2292" s="35" t="str">
        <f aca="false">IF($A2292="","",IF(Setup!$B$6=1,YEAR($A2292),YEAR($A2292)+IF(MONTH($A2292)&gt;=Setup!$B$6,1,0)))</f>
        <v/>
      </c>
      <c r="K2292" s="35" t="str">
        <f aca="false">IF($A2292="","",MOD(MONTH($A2292)-Setup!$B$6+12,12)+1)</f>
        <v/>
      </c>
      <c r="L2292" s="36" t="str">
        <f aca="false">IF($A2292="","",TEXT($A2292,"MMM-YY"))</f>
        <v/>
      </c>
      <c r="M2292" s="37" t="str">
        <f aca="false">IF($A2292="","",IF($Q2292=0,"UNMAPPED",INDEX(COA_Mapping!$C$7:$C$256,$Q2292)))</f>
        <v/>
      </c>
      <c r="N2292" s="38" t="str">
        <f aca="false">IF($A2292="","",IF($Q2292=0,"",INDEX(COA_Mapping!$E$7:$E$256,$Q2292)))</f>
        <v/>
      </c>
      <c r="O2292" s="38" t="n">
        <f aca="false">IF($A2292="",1,IF($Q2292=0,1,INDEX(COA_Mapping!$F$7:$F$256,$Q2292)))</f>
        <v>1</v>
      </c>
      <c r="P2292" s="34" t="str">
        <f aca="false">IF($A2292="","",$I2292*$O2292)</f>
        <v/>
      </c>
      <c r="Q2292" s="39" t="n">
        <f aca="false">IF($B2292="",0,IFERROR(MATCH($B2292,COA_Mapping!$A$7:$A$256,0),0))</f>
        <v>0</v>
      </c>
      <c r="R2292" s="39" t="n">
        <f aca="false">IF($A2292="",-1,IF($J2292=Setup!$B$7,1,IF($J2292=Setup!$B$9,0,-1)))</f>
        <v>-1</v>
      </c>
      <c r="S2292" s="35" t="n">
        <f aca="false">IF(OR($A2292="",$Q2292=0,$R2292=-1),0,$Q2292*1000+$R2292*100+$K2292)</f>
        <v>0</v>
      </c>
      <c r="T2292" s="37" t="str">
        <f aca="false">IF($A2292="","",IF($B2292="","NO ACCOUNT",IF($Q2292=0,"UNMAPPED",IF($R2292=-1,"OUTSIDE FY RANGE","OK"))))</f>
        <v/>
      </c>
      <c r="U2292" s="40" t="str">
        <f aca="false">IF($A2292="","",$B2292&amp;"|"&amp;TEXT($A2292,"yyyymmdd")&amp;"|"&amp;TEXT($I2292,"0.00"))</f>
        <v/>
      </c>
      <c r="V2292" s="35" t="str">
        <f aca="false">IF($A2292="","",COUNTIF($U$8:$U$5007,$U2292))</f>
        <v/>
      </c>
    </row>
    <row r="2293" customFormat="false" ht="15" hidden="false" customHeight="false" outlineLevel="0" collapsed="false">
      <c r="A2293" s="31"/>
      <c r="B2293" s="32"/>
      <c r="C2293" s="32"/>
      <c r="D2293" s="32"/>
      <c r="E2293" s="32"/>
      <c r="F2293" s="32"/>
      <c r="G2293" s="33"/>
      <c r="H2293" s="33"/>
      <c r="I2293" s="34" t="str">
        <f aca="false">IF($A2293="","",$G2293-$H2293)</f>
        <v/>
      </c>
      <c r="J2293" s="35" t="str">
        <f aca="false">IF($A2293="","",IF(Setup!$B$6=1,YEAR($A2293),YEAR($A2293)+IF(MONTH($A2293)&gt;=Setup!$B$6,1,0)))</f>
        <v/>
      </c>
      <c r="K2293" s="35" t="str">
        <f aca="false">IF($A2293="","",MOD(MONTH($A2293)-Setup!$B$6+12,12)+1)</f>
        <v/>
      </c>
      <c r="L2293" s="36" t="str">
        <f aca="false">IF($A2293="","",TEXT($A2293,"MMM-YY"))</f>
        <v/>
      </c>
      <c r="M2293" s="37" t="str">
        <f aca="false">IF($A2293="","",IF($Q2293=0,"UNMAPPED",INDEX(COA_Mapping!$C$7:$C$256,$Q2293)))</f>
        <v/>
      </c>
      <c r="N2293" s="38" t="str">
        <f aca="false">IF($A2293="","",IF($Q2293=0,"",INDEX(COA_Mapping!$E$7:$E$256,$Q2293)))</f>
        <v/>
      </c>
      <c r="O2293" s="38" t="n">
        <f aca="false">IF($A2293="",1,IF($Q2293=0,1,INDEX(COA_Mapping!$F$7:$F$256,$Q2293)))</f>
        <v>1</v>
      </c>
      <c r="P2293" s="34" t="str">
        <f aca="false">IF($A2293="","",$I2293*$O2293)</f>
        <v/>
      </c>
      <c r="Q2293" s="39" t="n">
        <f aca="false">IF($B2293="",0,IFERROR(MATCH($B2293,COA_Mapping!$A$7:$A$256,0),0))</f>
        <v>0</v>
      </c>
      <c r="R2293" s="39" t="n">
        <f aca="false">IF($A2293="",-1,IF($J2293=Setup!$B$7,1,IF($J2293=Setup!$B$9,0,-1)))</f>
        <v>-1</v>
      </c>
      <c r="S2293" s="35" t="n">
        <f aca="false">IF(OR($A2293="",$Q2293=0,$R2293=-1),0,$Q2293*1000+$R2293*100+$K2293)</f>
        <v>0</v>
      </c>
      <c r="T2293" s="37" t="str">
        <f aca="false">IF($A2293="","",IF($B2293="","NO ACCOUNT",IF($Q2293=0,"UNMAPPED",IF($R2293=-1,"OUTSIDE FY RANGE","OK"))))</f>
        <v/>
      </c>
      <c r="U2293" s="40" t="str">
        <f aca="false">IF($A2293="","",$B2293&amp;"|"&amp;TEXT($A2293,"yyyymmdd")&amp;"|"&amp;TEXT($I2293,"0.00"))</f>
        <v/>
      </c>
      <c r="V2293" s="35" t="str">
        <f aca="false">IF($A2293="","",COUNTIF($U$8:$U$5007,$U2293))</f>
        <v/>
      </c>
    </row>
    <row r="2294" customFormat="false" ht="15" hidden="false" customHeight="false" outlineLevel="0" collapsed="false">
      <c r="A2294" s="31"/>
      <c r="B2294" s="32"/>
      <c r="C2294" s="32"/>
      <c r="D2294" s="32"/>
      <c r="E2294" s="32"/>
      <c r="F2294" s="32"/>
      <c r="G2294" s="33"/>
      <c r="H2294" s="33"/>
      <c r="I2294" s="34" t="str">
        <f aca="false">IF($A2294="","",$G2294-$H2294)</f>
        <v/>
      </c>
      <c r="J2294" s="35" t="str">
        <f aca="false">IF($A2294="","",IF(Setup!$B$6=1,YEAR($A2294),YEAR($A2294)+IF(MONTH($A2294)&gt;=Setup!$B$6,1,0)))</f>
        <v/>
      </c>
      <c r="K2294" s="35" t="str">
        <f aca="false">IF($A2294="","",MOD(MONTH($A2294)-Setup!$B$6+12,12)+1)</f>
        <v/>
      </c>
      <c r="L2294" s="36" t="str">
        <f aca="false">IF($A2294="","",TEXT($A2294,"MMM-YY"))</f>
        <v/>
      </c>
      <c r="M2294" s="37" t="str">
        <f aca="false">IF($A2294="","",IF($Q2294=0,"UNMAPPED",INDEX(COA_Mapping!$C$7:$C$256,$Q2294)))</f>
        <v/>
      </c>
      <c r="N2294" s="38" t="str">
        <f aca="false">IF($A2294="","",IF($Q2294=0,"",INDEX(COA_Mapping!$E$7:$E$256,$Q2294)))</f>
        <v/>
      </c>
      <c r="O2294" s="38" t="n">
        <f aca="false">IF($A2294="",1,IF($Q2294=0,1,INDEX(COA_Mapping!$F$7:$F$256,$Q2294)))</f>
        <v>1</v>
      </c>
      <c r="P2294" s="34" t="str">
        <f aca="false">IF($A2294="","",$I2294*$O2294)</f>
        <v/>
      </c>
      <c r="Q2294" s="39" t="n">
        <f aca="false">IF($B2294="",0,IFERROR(MATCH($B2294,COA_Mapping!$A$7:$A$256,0),0))</f>
        <v>0</v>
      </c>
      <c r="R2294" s="39" t="n">
        <f aca="false">IF($A2294="",-1,IF($J2294=Setup!$B$7,1,IF($J2294=Setup!$B$9,0,-1)))</f>
        <v>-1</v>
      </c>
      <c r="S2294" s="35" t="n">
        <f aca="false">IF(OR($A2294="",$Q2294=0,$R2294=-1),0,$Q2294*1000+$R2294*100+$K2294)</f>
        <v>0</v>
      </c>
      <c r="T2294" s="37" t="str">
        <f aca="false">IF($A2294="","",IF($B2294="","NO ACCOUNT",IF($Q2294=0,"UNMAPPED",IF($R2294=-1,"OUTSIDE FY RANGE","OK"))))</f>
        <v/>
      </c>
      <c r="U2294" s="40" t="str">
        <f aca="false">IF($A2294="","",$B2294&amp;"|"&amp;TEXT($A2294,"yyyymmdd")&amp;"|"&amp;TEXT($I2294,"0.00"))</f>
        <v/>
      </c>
      <c r="V2294" s="35" t="str">
        <f aca="false">IF($A2294="","",COUNTIF($U$8:$U$5007,$U2294))</f>
        <v/>
      </c>
    </row>
    <row r="2295" customFormat="false" ht="15" hidden="false" customHeight="false" outlineLevel="0" collapsed="false">
      <c r="A2295" s="31"/>
      <c r="B2295" s="32"/>
      <c r="C2295" s="32"/>
      <c r="D2295" s="32"/>
      <c r="E2295" s="32"/>
      <c r="F2295" s="32"/>
      <c r="G2295" s="33"/>
      <c r="H2295" s="33"/>
      <c r="I2295" s="34" t="str">
        <f aca="false">IF($A2295="","",$G2295-$H2295)</f>
        <v/>
      </c>
      <c r="J2295" s="35" t="str">
        <f aca="false">IF($A2295="","",IF(Setup!$B$6=1,YEAR($A2295),YEAR($A2295)+IF(MONTH($A2295)&gt;=Setup!$B$6,1,0)))</f>
        <v/>
      </c>
      <c r="K2295" s="35" t="str">
        <f aca="false">IF($A2295="","",MOD(MONTH($A2295)-Setup!$B$6+12,12)+1)</f>
        <v/>
      </c>
      <c r="L2295" s="36" t="str">
        <f aca="false">IF($A2295="","",TEXT($A2295,"MMM-YY"))</f>
        <v/>
      </c>
      <c r="M2295" s="37" t="str">
        <f aca="false">IF($A2295="","",IF($Q2295=0,"UNMAPPED",INDEX(COA_Mapping!$C$7:$C$256,$Q2295)))</f>
        <v/>
      </c>
      <c r="N2295" s="38" t="str">
        <f aca="false">IF($A2295="","",IF($Q2295=0,"",INDEX(COA_Mapping!$E$7:$E$256,$Q2295)))</f>
        <v/>
      </c>
      <c r="O2295" s="38" t="n">
        <f aca="false">IF($A2295="",1,IF($Q2295=0,1,INDEX(COA_Mapping!$F$7:$F$256,$Q2295)))</f>
        <v>1</v>
      </c>
      <c r="P2295" s="34" t="str">
        <f aca="false">IF($A2295="","",$I2295*$O2295)</f>
        <v/>
      </c>
      <c r="Q2295" s="39" t="n">
        <f aca="false">IF($B2295="",0,IFERROR(MATCH($B2295,COA_Mapping!$A$7:$A$256,0),0))</f>
        <v>0</v>
      </c>
      <c r="R2295" s="39" t="n">
        <f aca="false">IF($A2295="",-1,IF($J2295=Setup!$B$7,1,IF($J2295=Setup!$B$9,0,-1)))</f>
        <v>-1</v>
      </c>
      <c r="S2295" s="35" t="n">
        <f aca="false">IF(OR($A2295="",$Q2295=0,$R2295=-1),0,$Q2295*1000+$R2295*100+$K2295)</f>
        <v>0</v>
      </c>
      <c r="T2295" s="37" t="str">
        <f aca="false">IF($A2295="","",IF($B2295="","NO ACCOUNT",IF($Q2295=0,"UNMAPPED",IF($R2295=-1,"OUTSIDE FY RANGE","OK"))))</f>
        <v/>
      </c>
      <c r="U2295" s="40" t="str">
        <f aca="false">IF($A2295="","",$B2295&amp;"|"&amp;TEXT($A2295,"yyyymmdd")&amp;"|"&amp;TEXT($I2295,"0.00"))</f>
        <v/>
      </c>
      <c r="V2295" s="35" t="str">
        <f aca="false">IF($A2295="","",COUNTIF($U$8:$U$5007,$U2295))</f>
        <v/>
      </c>
    </row>
    <row r="2296" customFormat="false" ht="15" hidden="false" customHeight="false" outlineLevel="0" collapsed="false">
      <c r="A2296" s="31"/>
      <c r="B2296" s="32"/>
      <c r="C2296" s="32"/>
      <c r="D2296" s="32"/>
      <c r="E2296" s="32"/>
      <c r="F2296" s="32"/>
      <c r="G2296" s="33"/>
      <c r="H2296" s="33"/>
      <c r="I2296" s="34" t="str">
        <f aca="false">IF($A2296="","",$G2296-$H2296)</f>
        <v/>
      </c>
      <c r="J2296" s="35" t="str">
        <f aca="false">IF($A2296="","",IF(Setup!$B$6=1,YEAR($A2296),YEAR($A2296)+IF(MONTH($A2296)&gt;=Setup!$B$6,1,0)))</f>
        <v/>
      </c>
      <c r="K2296" s="35" t="str">
        <f aca="false">IF($A2296="","",MOD(MONTH($A2296)-Setup!$B$6+12,12)+1)</f>
        <v/>
      </c>
      <c r="L2296" s="36" t="str">
        <f aca="false">IF($A2296="","",TEXT($A2296,"MMM-YY"))</f>
        <v/>
      </c>
      <c r="M2296" s="37" t="str">
        <f aca="false">IF($A2296="","",IF($Q2296=0,"UNMAPPED",INDEX(COA_Mapping!$C$7:$C$256,$Q2296)))</f>
        <v/>
      </c>
      <c r="N2296" s="38" t="str">
        <f aca="false">IF($A2296="","",IF($Q2296=0,"",INDEX(COA_Mapping!$E$7:$E$256,$Q2296)))</f>
        <v/>
      </c>
      <c r="O2296" s="38" t="n">
        <f aca="false">IF($A2296="",1,IF($Q2296=0,1,INDEX(COA_Mapping!$F$7:$F$256,$Q2296)))</f>
        <v>1</v>
      </c>
      <c r="P2296" s="34" t="str">
        <f aca="false">IF($A2296="","",$I2296*$O2296)</f>
        <v/>
      </c>
      <c r="Q2296" s="39" t="n">
        <f aca="false">IF($B2296="",0,IFERROR(MATCH($B2296,COA_Mapping!$A$7:$A$256,0),0))</f>
        <v>0</v>
      </c>
      <c r="R2296" s="39" t="n">
        <f aca="false">IF($A2296="",-1,IF($J2296=Setup!$B$7,1,IF($J2296=Setup!$B$9,0,-1)))</f>
        <v>-1</v>
      </c>
      <c r="S2296" s="35" t="n">
        <f aca="false">IF(OR($A2296="",$Q2296=0,$R2296=-1),0,$Q2296*1000+$R2296*100+$K2296)</f>
        <v>0</v>
      </c>
      <c r="T2296" s="37" t="str">
        <f aca="false">IF($A2296="","",IF($B2296="","NO ACCOUNT",IF($Q2296=0,"UNMAPPED",IF($R2296=-1,"OUTSIDE FY RANGE","OK"))))</f>
        <v/>
      </c>
      <c r="U2296" s="40" t="str">
        <f aca="false">IF($A2296="","",$B2296&amp;"|"&amp;TEXT($A2296,"yyyymmdd")&amp;"|"&amp;TEXT($I2296,"0.00"))</f>
        <v/>
      </c>
      <c r="V2296" s="35" t="str">
        <f aca="false">IF($A2296="","",COUNTIF($U$8:$U$5007,$U2296))</f>
        <v/>
      </c>
    </row>
    <row r="2297" customFormat="false" ht="15" hidden="false" customHeight="false" outlineLevel="0" collapsed="false">
      <c r="A2297" s="31"/>
      <c r="B2297" s="32"/>
      <c r="C2297" s="32"/>
      <c r="D2297" s="32"/>
      <c r="E2297" s="32"/>
      <c r="F2297" s="32"/>
      <c r="G2297" s="33"/>
      <c r="H2297" s="33"/>
      <c r="I2297" s="34" t="str">
        <f aca="false">IF($A2297="","",$G2297-$H2297)</f>
        <v/>
      </c>
      <c r="J2297" s="35" t="str">
        <f aca="false">IF($A2297="","",IF(Setup!$B$6=1,YEAR($A2297),YEAR($A2297)+IF(MONTH($A2297)&gt;=Setup!$B$6,1,0)))</f>
        <v/>
      </c>
      <c r="K2297" s="35" t="str">
        <f aca="false">IF($A2297="","",MOD(MONTH($A2297)-Setup!$B$6+12,12)+1)</f>
        <v/>
      </c>
      <c r="L2297" s="36" t="str">
        <f aca="false">IF($A2297="","",TEXT($A2297,"MMM-YY"))</f>
        <v/>
      </c>
      <c r="M2297" s="37" t="str">
        <f aca="false">IF($A2297="","",IF($Q2297=0,"UNMAPPED",INDEX(COA_Mapping!$C$7:$C$256,$Q2297)))</f>
        <v/>
      </c>
      <c r="N2297" s="38" t="str">
        <f aca="false">IF($A2297="","",IF($Q2297=0,"",INDEX(COA_Mapping!$E$7:$E$256,$Q2297)))</f>
        <v/>
      </c>
      <c r="O2297" s="38" t="n">
        <f aca="false">IF($A2297="",1,IF($Q2297=0,1,INDEX(COA_Mapping!$F$7:$F$256,$Q2297)))</f>
        <v>1</v>
      </c>
      <c r="P2297" s="34" t="str">
        <f aca="false">IF($A2297="","",$I2297*$O2297)</f>
        <v/>
      </c>
      <c r="Q2297" s="39" t="n">
        <f aca="false">IF($B2297="",0,IFERROR(MATCH($B2297,COA_Mapping!$A$7:$A$256,0),0))</f>
        <v>0</v>
      </c>
      <c r="R2297" s="39" t="n">
        <f aca="false">IF($A2297="",-1,IF($J2297=Setup!$B$7,1,IF($J2297=Setup!$B$9,0,-1)))</f>
        <v>-1</v>
      </c>
      <c r="S2297" s="35" t="n">
        <f aca="false">IF(OR($A2297="",$Q2297=0,$R2297=-1),0,$Q2297*1000+$R2297*100+$K2297)</f>
        <v>0</v>
      </c>
      <c r="T2297" s="37" t="str">
        <f aca="false">IF($A2297="","",IF($B2297="","NO ACCOUNT",IF($Q2297=0,"UNMAPPED",IF($R2297=-1,"OUTSIDE FY RANGE","OK"))))</f>
        <v/>
      </c>
      <c r="U2297" s="40" t="str">
        <f aca="false">IF($A2297="","",$B2297&amp;"|"&amp;TEXT($A2297,"yyyymmdd")&amp;"|"&amp;TEXT($I2297,"0.00"))</f>
        <v/>
      </c>
      <c r="V2297" s="35" t="str">
        <f aca="false">IF($A2297="","",COUNTIF($U$8:$U$5007,$U2297))</f>
        <v/>
      </c>
    </row>
    <row r="2298" customFormat="false" ht="15" hidden="false" customHeight="false" outlineLevel="0" collapsed="false">
      <c r="A2298" s="31"/>
      <c r="B2298" s="32"/>
      <c r="C2298" s="32"/>
      <c r="D2298" s="32"/>
      <c r="E2298" s="32"/>
      <c r="F2298" s="32"/>
      <c r="G2298" s="33"/>
      <c r="H2298" s="33"/>
      <c r="I2298" s="34" t="str">
        <f aca="false">IF($A2298="","",$G2298-$H2298)</f>
        <v/>
      </c>
      <c r="J2298" s="35" t="str">
        <f aca="false">IF($A2298="","",IF(Setup!$B$6=1,YEAR($A2298),YEAR($A2298)+IF(MONTH($A2298)&gt;=Setup!$B$6,1,0)))</f>
        <v/>
      </c>
      <c r="K2298" s="35" t="str">
        <f aca="false">IF($A2298="","",MOD(MONTH($A2298)-Setup!$B$6+12,12)+1)</f>
        <v/>
      </c>
      <c r="L2298" s="36" t="str">
        <f aca="false">IF($A2298="","",TEXT($A2298,"MMM-YY"))</f>
        <v/>
      </c>
      <c r="M2298" s="37" t="str">
        <f aca="false">IF($A2298="","",IF($Q2298=0,"UNMAPPED",INDEX(COA_Mapping!$C$7:$C$256,$Q2298)))</f>
        <v/>
      </c>
      <c r="N2298" s="38" t="str">
        <f aca="false">IF($A2298="","",IF($Q2298=0,"",INDEX(COA_Mapping!$E$7:$E$256,$Q2298)))</f>
        <v/>
      </c>
      <c r="O2298" s="38" t="n">
        <f aca="false">IF($A2298="",1,IF($Q2298=0,1,INDEX(COA_Mapping!$F$7:$F$256,$Q2298)))</f>
        <v>1</v>
      </c>
      <c r="P2298" s="34" t="str">
        <f aca="false">IF($A2298="","",$I2298*$O2298)</f>
        <v/>
      </c>
      <c r="Q2298" s="39" t="n">
        <f aca="false">IF($B2298="",0,IFERROR(MATCH($B2298,COA_Mapping!$A$7:$A$256,0),0))</f>
        <v>0</v>
      </c>
      <c r="R2298" s="39" t="n">
        <f aca="false">IF($A2298="",-1,IF($J2298=Setup!$B$7,1,IF($J2298=Setup!$B$9,0,-1)))</f>
        <v>-1</v>
      </c>
      <c r="S2298" s="35" t="n">
        <f aca="false">IF(OR($A2298="",$Q2298=0,$R2298=-1),0,$Q2298*1000+$R2298*100+$K2298)</f>
        <v>0</v>
      </c>
      <c r="T2298" s="37" t="str">
        <f aca="false">IF($A2298="","",IF($B2298="","NO ACCOUNT",IF($Q2298=0,"UNMAPPED",IF($R2298=-1,"OUTSIDE FY RANGE","OK"))))</f>
        <v/>
      </c>
      <c r="U2298" s="40" t="str">
        <f aca="false">IF($A2298="","",$B2298&amp;"|"&amp;TEXT($A2298,"yyyymmdd")&amp;"|"&amp;TEXT($I2298,"0.00"))</f>
        <v/>
      </c>
      <c r="V2298" s="35" t="str">
        <f aca="false">IF($A2298="","",COUNTIF($U$8:$U$5007,$U2298))</f>
        <v/>
      </c>
    </row>
    <row r="2299" customFormat="false" ht="15" hidden="false" customHeight="false" outlineLevel="0" collapsed="false">
      <c r="A2299" s="31"/>
      <c r="B2299" s="32"/>
      <c r="C2299" s="32"/>
      <c r="D2299" s="32"/>
      <c r="E2299" s="32"/>
      <c r="F2299" s="32"/>
      <c r="G2299" s="33"/>
      <c r="H2299" s="33"/>
      <c r="I2299" s="34" t="str">
        <f aca="false">IF($A2299="","",$G2299-$H2299)</f>
        <v/>
      </c>
      <c r="J2299" s="35" t="str">
        <f aca="false">IF($A2299="","",IF(Setup!$B$6=1,YEAR($A2299),YEAR($A2299)+IF(MONTH($A2299)&gt;=Setup!$B$6,1,0)))</f>
        <v/>
      </c>
      <c r="K2299" s="35" t="str">
        <f aca="false">IF($A2299="","",MOD(MONTH($A2299)-Setup!$B$6+12,12)+1)</f>
        <v/>
      </c>
      <c r="L2299" s="36" t="str">
        <f aca="false">IF($A2299="","",TEXT($A2299,"MMM-YY"))</f>
        <v/>
      </c>
      <c r="M2299" s="37" t="str">
        <f aca="false">IF($A2299="","",IF($Q2299=0,"UNMAPPED",INDEX(COA_Mapping!$C$7:$C$256,$Q2299)))</f>
        <v/>
      </c>
      <c r="N2299" s="38" t="str">
        <f aca="false">IF($A2299="","",IF($Q2299=0,"",INDEX(COA_Mapping!$E$7:$E$256,$Q2299)))</f>
        <v/>
      </c>
      <c r="O2299" s="38" t="n">
        <f aca="false">IF($A2299="",1,IF($Q2299=0,1,INDEX(COA_Mapping!$F$7:$F$256,$Q2299)))</f>
        <v>1</v>
      </c>
      <c r="P2299" s="34" t="str">
        <f aca="false">IF($A2299="","",$I2299*$O2299)</f>
        <v/>
      </c>
      <c r="Q2299" s="39" t="n">
        <f aca="false">IF($B2299="",0,IFERROR(MATCH($B2299,COA_Mapping!$A$7:$A$256,0),0))</f>
        <v>0</v>
      </c>
      <c r="R2299" s="39" t="n">
        <f aca="false">IF($A2299="",-1,IF($J2299=Setup!$B$7,1,IF($J2299=Setup!$B$9,0,-1)))</f>
        <v>-1</v>
      </c>
      <c r="S2299" s="35" t="n">
        <f aca="false">IF(OR($A2299="",$Q2299=0,$R2299=-1),0,$Q2299*1000+$R2299*100+$K2299)</f>
        <v>0</v>
      </c>
      <c r="T2299" s="37" t="str">
        <f aca="false">IF($A2299="","",IF($B2299="","NO ACCOUNT",IF($Q2299=0,"UNMAPPED",IF($R2299=-1,"OUTSIDE FY RANGE","OK"))))</f>
        <v/>
      </c>
      <c r="U2299" s="40" t="str">
        <f aca="false">IF($A2299="","",$B2299&amp;"|"&amp;TEXT($A2299,"yyyymmdd")&amp;"|"&amp;TEXT($I2299,"0.00"))</f>
        <v/>
      </c>
      <c r="V2299" s="35" t="str">
        <f aca="false">IF($A2299="","",COUNTIF($U$8:$U$5007,$U2299))</f>
        <v/>
      </c>
    </row>
    <row r="2300" customFormat="false" ht="15" hidden="false" customHeight="false" outlineLevel="0" collapsed="false">
      <c r="A2300" s="31"/>
      <c r="B2300" s="32"/>
      <c r="C2300" s="32"/>
      <c r="D2300" s="32"/>
      <c r="E2300" s="32"/>
      <c r="F2300" s="32"/>
      <c r="G2300" s="33"/>
      <c r="H2300" s="33"/>
      <c r="I2300" s="34" t="str">
        <f aca="false">IF($A2300="","",$G2300-$H2300)</f>
        <v/>
      </c>
      <c r="J2300" s="35" t="str">
        <f aca="false">IF($A2300="","",IF(Setup!$B$6=1,YEAR($A2300),YEAR($A2300)+IF(MONTH($A2300)&gt;=Setup!$B$6,1,0)))</f>
        <v/>
      </c>
      <c r="K2300" s="35" t="str">
        <f aca="false">IF($A2300="","",MOD(MONTH($A2300)-Setup!$B$6+12,12)+1)</f>
        <v/>
      </c>
      <c r="L2300" s="36" t="str">
        <f aca="false">IF($A2300="","",TEXT($A2300,"MMM-YY"))</f>
        <v/>
      </c>
      <c r="M2300" s="37" t="str">
        <f aca="false">IF($A2300="","",IF($Q2300=0,"UNMAPPED",INDEX(COA_Mapping!$C$7:$C$256,$Q2300)))</f>
        <v/>
      </c>
      <c r="N2300" s="38" t="str">
        <f aca="false">IF($A2300="","",IF($Q2300=0,"",INDEX(COA_Mapping!$E$7:$E$256,$Q2300)))</f>
        <v/>
      </c>
      <c r="O2300" s="38" t="n">
        <f aca="false">IF($A2300="",1,IF($Q2300=0,1,INDEX(COA_Mapping!$F$7:$F$256,$Q2300)))</f>
        <v>1</v>
      </c>
      <c r="P2300" s="34" t="str">
        <f aca="false">IF($A2300="","",$I2300*$O2300)</f>
        <v/>
      </c>
      <c r="Q2300" s="39" t="n">
        <f aca="false">IF($B2300="",0,IFERROR(MATCH($B2300,COA_Mapping!$A$7:$A$256,0),0))</f>
        <v>0</v>
      </c>
      <c r="R2300" s="39" t="n">
        <f aca="false">IF($A2300="",-1,IF($J2300=Setup!$B$7,1,IF($J2300=Setup!$B$9,0,-1)))</f>
        <v>-1</v>
      </c>
      <c r="S2300" s="35" t="n">
        <f aca="false">IF(OR($A2300="",$Q2300=0,$R2300=-1),0,$Q2300*1000+$R2300*100+$K2300)</f>
        <v>0</v>
      </c>
      <c r="T2300" s="37" t="str">
        <f aca="false">IF($A2300="","",IF($B2300="","NO ACCOUNT",IF($Q2300=0,"UNMAPPED",IF($R2300=-1,"OUTSIDE FY RANGE","OK"))))</f>
        <v/>
      </c>
      <c r="U2300" s="40" t="str">
        <f aca="false">IF($A2300="","",$B2300&amp;"|"&amp;TEXT($A2300,"yyyymmdd")&amp;"|"&amp;TEXT($I2300,"0.00"))</f>
        <v/>
      </c>
      <c r="V2300" s="35" t="str">
        <f aca="false">IF($A2300="","",COUNTIF($U$8:$U$5007,$U2300))</f>
        <v/>
      </c>
    </row>
    <row r="2301" customFormat="false" ht="15" hidden="false" customHeight="false" outlineLevel="0" collapsed="false">
      <c r="A2301" s="31"/>
      <c r="B2301" s="32"/>
      <c r="C2301" s="32"/>
      <c r="D2301" s="32"/>
      <c r="E2301" s="32"/>
      <c r="F2301" s="32"/>
      <c r="G2301" s="33"/>
      <c r="H2301" s="33"/>
      <c r="I2301" s="34" t="str">
        <f aca="false">IF($A2301="","",$G2301-$H2301)</f>
        <v/>
      </c>
      <c r="J2301" s="35" t="str">
        <f aca="false">IF($A2301="","",IF(Setup!$B$6=1,YEAR($A2301),YEAR($A2301)+IF(MONTH($A2301)&gt;=Setup!$B$6,1,0)))</f>
        <v/>
      </c>
      <c r="K2301" s="35" t="str">
        <f aca="false">IF($A2301="","",MOD(MONTH($A2301)-Setup!$B$6+12,12)+1)</f>
        <v/>
      </c>
      <c r="L2301" s="36" t="str">
        <f aca="false">IF($A2301="","",TEXT($A2301,"MMM-YY"))</f>
        <v/>
      </c>
      <c r="M2301" s="37" t="str">
        <f aca="false">IF($A2301="","",IF($Q2301=0,"UNMAPPED",INDEX(COA_Mapping!$C$7:$C$256,$Q2301)))</f>
        <v/>
      </c>
      <c r="N2301" s="38" t="str">
        <f aca="false">IF($A2301="","",IF($Q2301=0,"",INDEX(COA_Mapping!$E$7:$E$256,$Q2301)))</f>
        <v/>
      </c>
      <c r="O2301" s="38" t="n">
        <f aca="false">IF($A2301="",1,IF($Q2301=0,1,INDEX(COA_Mapping!$F$7:$F$256,$Q2301)))</f>
        <v>1</v>
      </c>
      <c r="P2301" s="34" t="str">
        <f aca="false">IF($A2301="","",$I2301*$O2301)</f>
        <v/>
      </c>
      <c r="Q2301" s="39" t="n">
        <f aca="false">IF($B2301="",0,IFERROR(MATCH($B2301,COA_Mapping!$A$7:$A$256,0),0))</f>
        <v>0</v>
      </c>
      <c r="R2301" s="39" t="n">
        <f aca="false">IF($A2301="",-1,IF($J2301=Setup!$B$7,1,IF($J2301=Setup!$B$9,0,-1)))</f>
        <v>-1</v>
      </c>
      <c r="S2301" s="35" t="n">
        <f aca="false">IF(OR($A2301="",$Q2301=0,$R2301=-1),0,$Q2301*1000+$R2301*100+$K2301)</f>
        <v>0</v>
      </c>
      <c r="T2301" s="37" t="str">
        <f aca="false">IF($A2301="","",IF($B2301="","NO ACCOUNT",IF($Q2301=0,"UNMAPPED",IF($R2301=-1,"OUTSIDE FY RANGE","OK"))))</f>
        <v/>
      </c>
      <c r="U2301" s="40" t="str">
        <f aca="false">IF($A2301="","",$B2301&amp;"|"&amp;TEXT($A2301,"yyyymmdd")&amp;"|"&amp;TEXT($I2301,"0.00"))</f>
        <v/>
      </c>
      <c r="V2301" s="35" t="str">
        <f aca="false">IF($A2301="","",COUNTIF($U$8:$U$5007,$U2301))</f>
        <v/>
      </c>
    </row>
    <row r="2302" customFormat="false" ht="15" hidden="false" customHeight="false" outlineLevel="0" collapsed="false">
      <c r="A2302" s="31"/>
      <c r="B2302" s="32"/>
      <c r="C2302" s="32"/>
      <c r="D2302" s="32"/>
      <c r="E2302" s="32"/>
      <c r="F2302" s="32"/>
      <c r="G2302" s="33"/>
      <c r="H2302" s="33"/>
      <c r="I2302" s="34" t="str">
        <f aca="false">IF($A2302="","",$G2302-$H2302)</f>
        <v/>
      </c>
      <c r="J2302" s="35" t="str">
        <f aca="false">IF($A2302="","",IF(Setup!$B$6=1,YEAR($A2302),YEAR($A2302)+IF(MONTH($A2302)&gt;=Setup!$B$6,1,0)))</f>
        <v/>
      </c>
      <c r="K2302" s="35" t="str">
        <f aca="false">IF($A2302="","",MOD(MONTH($A2302)-Setup!$B$6+12,12)+1)</f>
        <v/>
      </c>
      <c r="L2302" s="36" t="str">
        <f aca="false">IF($A2302="","",TEXT($A2302,"MMM-YY"))</f>
        <v/>
      </c>
      <c r="M2302" s="37" t="str">
        <f aca="false">IF($A2302="","",IF($Q2302=0,"UNMAPPED",INDEX(COA_Mapping!$C$7:$C$256,$Q2302)))</f>
        <v/>
      </c>
      <c r="N2302" s="38" t="str">
        <f aca="false">IF($A2302="","",IF($Q2302=0,"",INDEX(COA_Mapping!$E$7:$E$256,$Q2302)))</f>
        <v/>
      </c>
      <c r="O2302" s="38" t="n">
        <f aca="false">IF($A2302="",1,IF($Q2302=0,1,INDEX(COA_Mapping!$F$7:$F$256,$Q2302)))</f>
        <v>1</v>
      </c>
      <c r="P2302" s="34" t="str">
        <f aca="false">IF($A2302="","",$I2302*$O2302)</f>
        <v/>
      </c>
      <c r="Q2302" s="39" t="n">
        <f aca="false">IF($B2302="",0,IFERROR(MATCH($B2302,COA_Mapping!$A$7:$A$256,0),0))</f>
        <v>0</v>
      </c>
      <c r="R2302" s="39" t="n">
        <f aca="false">IF($A2302="",-1,IF($J2302=Setup!$B$7,1,IF($J2302=Setup!$B$9,0,-1)))</f>
        <v>-1</v>
      </c>
      <c r="S2302" s="35" t="n">
        <f aca="false">IF(OR($A2302="",$Q2302=0,$R2302=-1),0,$Q2302*1000+$R2302*100+$K2302)</f>
        <v>0</v>
      </c>
      <c r="T2302" s="37" t="str">
        <f aca="false">IF($A2302="","",IF($B2302="","NO ACCOUNT",IF($Q2302=0,"UNMAPPED",IF($R2302=-1,"OUTSIDE FY RANGE","OK"))))</f>
        <v/>
      </c>
      <c r="U2302" s="40" t="str">
        <f aca="false">IF($A2302="","",$B2302&amp;"|"&amp;TEXT($A2302,"yyyymmdd")&amp;"|"&amp;TEXT($I2302,"0.00"))</f>
        <v/>
      </c>
      <c r="V2302" s="35" t="str">
        <f aca="false">IF($A2302="","",COUNTIF($U$8:$U$5007,$U2302))</f>
        <v/>
      </c>
    </row>
    <row r="2303" customFormat="false" ht="15" hidden="false" customHeight="false" outlineLevel="0" collapsed="false">
      <c r="A2303" s="31"/>
      <c r="B2303" s="32"/>
      <c r="C2303" s="32"/>
      <c r="D2303" s="32"/>
      <c r="E2303" s="32"/>
      <c r="F2303" s="32"/>
      <c r="G2303" s="33"/>
      <c r="H2303" s="33"/>
      <c r="I2303" s="34" t="str">
        <f aca="false">IF($A2303="","",$G2303-$H2303)</f>
        <v/>
      </c>
      <c r="J2303" s="35" t="str">
        <f aca="false">IF($A2303="","",IF(Setup!$B$6=1,YEAR($A2303),YEAR($A2303)+IF(MONTH($A2303)&gt;=Setup!$B$6,1,0)))</f>
        <v/>
      </c>
      <c r="K2303" s="35" t="str">
        <f aca="false">IF($A2303="","",MOD(MONTH($A2303)-Setup!$B$6+12,12)+1)</f>
        <v/>
      </c>
      <c r="L2303" s="36" t="str">
        <f aca="false">IF($A2303="","",TEXT($A2303,"MMM-YY"))</f>
        <v/>
      </c>
      <c r="M2303" s="37" t="str">
        <f aca="false">IF($A2303="","",IF($Q2303=0,"UNMAPPED",INDEX(COA_Mapping!$C$7:$C$256,$Q2303)))</f>
        <v/>
      </c>
      <c r="N2303" s="38" t="str">
        <f aca="false">IF($A2303="","",IF($Q2303=0,"",INDEX(COA_Mapping!$E$7:$E$256,$Q2303)))</f>
        <v/>
      </c>
      <c r="O2303" s="38" t="n">
        <f aca="false">IF($A2303="",1,IF($Q2303=0,1,INDEX(COA_Mapping!$F$7:$F$256,$Q2303)))</f>
        <v>1</v>
      </c>
      <c r="P2303" s="34" t="str">
        <f aca="false">IF($A2303="","",$I2303*$O2303)</f>
        <v/>
      </c>
      <c r="Q2303" s="39" t="n">
        <f aca="false">IF($B2303="",0,IFERROR(MATCH($B2303,COA_Mapping!$A$7:$A$256,0),0))</f>
        <v>0</v>
      </c>
      <c r="R2303" s="39" t="n">
        <f aca="false">IF($A2303="",-1,IF($J2303=Setup!$B$7,1,IF($J2303=Setup!$B$9,0,-1)))</f>
        <v>-1</v>
      </c>
      <c r="S2303" s="35" t="n">
        <f aca="false">IF(OR($A2303="",$Q2303=0,$R2303=-1),0,$Q2303*1000+$R2303*100+$K2303)</f>
        <v>0</v>
      </c>
      <c r="T2303" s="37" t="str">
        <f aca="false">IF($A2303="","",IF($B2303="","NO ACCOUNT",IF($Q2303=0,"UNMAPPED",IF($R2303=-1,"OUTSIDE FY RANGE","OK"))))</f>
        <v/>
      </c>
      <c r="U2303" s="40" t="str">
        <f aca="false">IF($A2303="","",$B2303&amp;"|"&amp;TEXT($A2303,"yyyymmdd")&amp;"|"&amp;TEXT($I2303,"0.00"))</f>
        <v/>
      </c>
      <c r="V2303" s="35" t="str">
        <f aca="false">IF($A2303="","",COUNTIF($U$8:$U$5007,$U2303))</f>
        <v/>
      </c>
    </row>
    <row r="2304" customFormat="false" ht="15" hidden="false" customHeight="false" outlineLevel="0" collapsed="false">
      <c r="A2304" s="31"/>
      <c r="B2304" s="32"/>
      <c r="C2304" s="32"/>
      <c r="D2304" s="32"/>
      <c r="E2304" s="32"/>
      <c r="F2304" s="32"/>
      <c r="G2304" s="33"/>
      <c r="H2304" s="33"/>
      <c r="I2304" s="34" t="str">
        <f aca="false">IF($A2304="","",$G2304-$H2304)</f>
        <v/>
      </c>
      <c r="J2304" s="35" t="str">
        <f aca="false">IF($A2304="","",IF(Setup!$B$6=1,YEAR($A2304),YEAR($A2304)+IF(MONTH($A2304)&gt;=Setup!$B$6,1,0)))</f>
        <v/>
      </c>
      <c r="K2304" s="35" t="str">
        <f aca="false">IF($A2304="","",MOD(MONTH($A2304)-Setup!$B$6+12,12)+1)</f>
        <v/>
      </c>
      <c r="L2304" s="36" t="str">
        <f aca="false">IF($A2304="","",TEXT($A2304,"MMM-YY"))</f>
        <v/>
      </c>
      <c r="M2304" s="37" t="str">
        <f aca="false">IF($A2304="","",IF($Q2304=0,"UNMAPPED",INDEX(COA_Mapping!$C$7:$C$256,$Q2304)))</f>
        <v/>
      </c>
      <c r="N2304" s="38" t="str">
        <f aca="false">IF($A2304="","",IF($Q2304=0,"",INDEX(COA_Mapping!$E$7:$E$256,$Q2304)))</f>
        <v/>
      </c>
      <c r="O2304" s="38" t="n">
        <f aca="false">IF($A2304="",1,IF($Q2304=0,1,INDEX(COA_Mapping!$F$7:$F$256,$Q2304)))</f>
        <v>1</v>
      </c>
      <c r="P2304" s="34" t="str">
        <f aca="false">IF($A2304="","",$I2304*$O2304)</f>
        <v/>
      </c>
      <c r="Q2304" s="39" t="n">
        <f aca="false">IF($B2304="",0,IFERROR(MATCH($B2304,COA_Mapping!$A$7:$A$256,0),0))</f>
        <v>0</v>
      </c>
      <c r="R2304" s="39" t="n">
        <f aca="false">IF($A2304="",-1,IF($J2304=Setup!$B$7,1,IF($J2304=Setup!$B$9,0,-1)))</f>
        <v>-1</v>
      </c>
      <c r="S2304" s="35" t="n">
        <f aca="false">IF(OR($A2304="",$Q2304=0,$R2304=-1),0,$Q2304*1000+$R2304*100+$K2304)</f>
        <v>0</v>
      </c>
      <c r="T2304" s="37" t="str">
        <f aca="false">IF($A2304="","",IF($B2304="","NO ACCOUNT",IF($Q2304=0,"UNMAPPED",IF($R2304=-1,"OUTSIDE FY RANGE","OK"))))</f>
        <v/>
      </c>
      <c r="U2304" s="40" t="str">
        <f aca="false">IF($A2304="","",$B2304&amp;"|"&amp;TEXT($A2304,"yyyymmdd")&amp;"|"&amp;TEXT($I2304,"0.00"))</f>
        <v/>
      </c>
      <c r="V2304" s="35" t="str">
        <f aca="false">IF($A2304="","",COUNTIF($U$8:$U$5007,$U2304))</f>
        <v/>
      </c>
    </row>
    <row r="2305" customFormat="false" ht="15" hidden="false" customHeight="false" outlineLevel="0" collapsed="false">
      <c r="A2305" s="31"/>
      <c r="B2305" s="32"/>
      <c r="C2305" s="32"/>
      <c r="D2305" s="32"/>
      <c r="E2305" s="32"/>
      <c r="F2305" s="32"/>
      <c r="G2305" s="33"/>
      <c r="H2305" s="33"/>
      <c r="I2305" s="34" t="str">
        <f aca="false">IF($A2305="","",$G2305-$H2305)</f>
        <v/>
      </c>
      <c r="J2305" s="35" t="str">
        <f aca="false">IF($A2305="","",IF(Setup!$B$6=1,YEAR($A2305),YEAR($A2305)+IF(MONTH($A2305)&gt;=Setup!$B$6,1,0)))</f>
        <v/>
      </c>
      <c r="K2305" s="35" t="str">
        <f aca="false">IF($A2305="","",MOD(MONTH($A2305)-Setup!$B$6+12,12)+1)</f>
        <v/>
      </c>
      <c r="L2305" s="36" t="str">
        <f aca="false">IF($A2305="","",TEXT($A2305,"MMM-YY"))</f>
        <v/>
      </c>
      <c r="M2305" s="37" t="str">
        <f aca="false">IF($A2305="","",IF($Q2305=0,"UNMAPPED",INDEX(COA_Mapping!$C$7:$C$256,$Q2305)))</f>
        <v/>
      </c>
      <c r="N2305" s="38" t="str">
        <f aca="false">IF($A2305="","",IF($Q2305=0,"",INDEX(COA_Mapping!$E$7:$E$256,$Q2305)))</f>
        <v/>
      </c>
      <c r="O2305" s="38" t="n">
        <f aca="false">IF($A2305="",1,IF($Q2305=0,1,INDEX(COA_Mapping!$F$7:$F$256,$Q2305)))</f>
        <v>1</v>
      </c>
      <c r="P2305" s="34" t="str">
        <f aca="false">IF($A2305="","",$I2305*$O2305)</f>
        <v/>
      </c>
      <c r="Q2305" s="39" t="n">
        <f aca="false">IF($B2305="",0,IFERROR(MATCH($B2305,COA_Mapping!$A$7:$A$256,0),0))</f>
        <v>0</v>
      </c>
      <c r="R2305" s="39" t="n">
        <f aca="false">IF($A2305="",-1,IF($J2305=Setup!$B$7,1,IF($J2305=Setup!$B$9,0,-1)))</f>
        <v>-1</v>
      </c>
      <c r="S2305" s="35" t="n">
        <f aca="false">IF(OR($A2305="",$Q2305=0,$R2305=-1),0,$Q2305*1000+$R2305*100+$K2305)</f>
        <v>0</v>
      </c>
      <c r="T2305" s="37" t="str">
        <f aca="false">IF($A2305="","",IF($B2305="","NO ACCOUNT",IF($Q2305=0,"UNMAPPED",IF($R2305=-1,"OUTSIDE FY RANGE","OK"))))</f>
        <v/>
      </c>
      <c r="U2305" s="40" t="str">
        <f aca="false">IF($A2305="","",$B2305&amp;"|"&amp;TEXT($A2305,"yyyymmdd")&amp;"|"&amp;TEXT($I2305,"0.00"))</f>
        <v/>
      </c>
      <c r="V2305" s="35" t="str">
        <f aca="false">IF($A2305="","",COUNTIF($U$8:$U$5007,$U2305))</f>
        <v/>
      </c>
    </row>
    <row r="2306" customFormat="false" ht="15" hidden="false" customHeight="false" outlineLevel="0" collapsed="false">
      <c r="A2306" s="31"/>
      <c r="B2306" s="32"/>
      <c r="C2306" s="32"/>
      <c r="D2306" s="32"/>
      <c r="E2306" s="32"/>
      <c r="F2306" s="32"/>
      <c r="G2306" s="33"/>
      <c r="H2306" s="33"/>
      <c r="I2306" s="34" t="str">
        <f aca="false">IF($A2306="","",$G2306-$H2306)</f>
        <v/>
      </c>
      <c r="J2306" s="35" t="str">
        <f aca="false">IF($A2306="","",IF(Setup!$B$6=1,YEAR($A2306),YEAR($A2306)+IF(MONTH($A2306)&gt;=Setup!$B$6,1,0)))</f>
        <v/>
      </c>
      <c r="K2306" s="35" t="str">
        <f aca="false">IF($A2306="","",MOD(MONTH($A2306)-Setup!$B$6+12,12)+1)</f>
        <v/>
      </c>
      <c r="L2306" s="36" t="str">
        <f aca="false">IF($A2306="","",TEXT($A2306,"MMM-YY"))</f>
        <v/>
      </c>
      <c r="M2306" s="37" t="str">
        <f aca="false">IF($A2306="","",IF($Q2306=0,"UNMAPPED",INDEX(COA_Mapping!$C$7:$C$256,$Q2306)))</f>
        <v/>
      </c>
      <c r="N2306" s="38" t="str">
        <f aca="false">IF($A2306="","",IF($Q2306=0,"",INDEX(COA_Mapping!$E$7:$E$256,$Q2306)))</f>
        <v/>
      </c>
      <c r="O2306" s="38" t="n">
        <f aca="false">IF($A2306="",1,IF($Q2306=0,1,INDEX(COA_Mapping!$F$7:$F$256,$Q2306)))</f>
        <v>1</v>
      </c>
      <c r="P2306" s="34" t="str">
        <f aca="false">IF($A2306="","",$I2306*$O2306)</f>
        <v/>
      </c>
      <c r="Q2306" s="39" t="n">
        <f aca="false">IF($B2306="",0,IFERROR(MATCH($B2306,COA_Mapping!$A$7:$A$256,0),0))</f>
        <v>0</v>
      </c>
      <c r="R2306" s="39" t="n">
        <f aca="false">IF($A2306="",-1,IF($J2306=Setup!$B$7,1,IF($J2306=Setup!$B$9,0,-1)))</f>
        <v>-1</v>
      </c>
      <c r="S2306" s="35" t="n">
        <f aca="false">IF(OR($A2306="",$Q2306=0,$R2306=-1),0,$Q2306*1000+$R2306*100+$K2306)</f>
        <v>0</v>
      </c>
      <c r="T2306" s="37" t="str">
        <f aca="false">IF($A2306="","",IF($B2306="","NO ACCOUNT",IF($Q2306=0,"UNMAPPED",IF($R2306=-1,"OUTSIDE FY RANGE","OK"))))</f>
        <v/>
      </c>
      <c r="U2306" s="40" t="str">
        <f aca="false">IF($A2306="","",$B2306&amp;"|"&amp;TEXT($A2306,"yyyymmdd")&amp;"|"&amp;TEXT($I2306,"0.00"))</f>
        <v/>
      </c>
      <c r="V2306" s="35" t="str">
        <f aca="false">IF($A2306="","",COUNTIF($U$8:$U$5007,$U2306))</f>
        <v/>
      </c>
    </row>
    <row r="2307" customFormat="false" ht="15" hidden="false" customHeight="false" outlineLevel="0" collapsed="false">
      <c r="A2307" s="31"/>
      <c r="B2307" s="32"/>
      <c r="C2307" s="32"/>
      <c r="D2307" s="32"/>
      <c r="E2307" s="32"/>
      <c r="F2307" s="32"/>
      <c r="G2307" s="33"/>
      <c r="H2307" s="33"/>
      <c r="I2307" s="34" t="str">
        <f aca="false">IF($A2307="","",$G2307-$H2307)</f>
        <v/>
      </c>
      <c r="J2307" s="35" t="str">
        <f aca="false">IF($A2307="","",IF(Setup!$B$6=1,YEAR($A2307),YEAR($A2307)+IF(MONTH($A2307)&gt;=Setup!$B$6,1,0)))</f>
        <v/>
      </c>
      <c r="K2307" s="35" t="str">
        <f aca="false">IF($A2307="","",MOD(MONTH($A2307)-Setup!$B$6+12,12)+1)</f>
        <v/>
      </c>
      <c r="L2307" s="36" t="str">
        <f aca="false">IF($A2307="","",TEXT($A2307,"MMM-YY"))</f>
        <v/>
      </c>
      <c r="M2307" s="37" t="str">
        <f aca="false">IF($A2307="","",IF($Q2307=0,"UNMAPPED",INDEX(COA_Mapping!$C$7:$C$256,$Q2307)))</f>
        <v/>
      </c>
      <c r="N2307" s="38" t="str">
        <f aca="false">IF($A2307="","",IF($Q2307=0,"",INDEX(COA_Mapping!$E$7:$E$256,$Q2307)))</f>
        <v/>
      </c>
      <c r="O2307" s="38" t="n">
        <f aca="false">IF($A2307="",1,IF($Q2307=0,1,INDEX(COA_Mapping!$F$7:$F$256,$Q2307)))</f>
        <v>1</v>
      </c>
      <c r="P2307" s="34" t="str">
        <f aca="false">IF($A2307="","",$I2307*$O2307)</f>
        <v/>
      </c>
      <c r="Q2307" s="39" t="n">
        <f aca="false">IF($B2307="",0,IFERROR(MATCH($B2307,COA_Mapping!$A$7:$A$256,0),0))</f>
        <v>0</v>
      </c>
      <c r="R2307" s="39" t="n">
        <f aca="false">IF($A2307="",-1,IF($J2307=Setup!$B$7,1,IF($J2307=Setup!$B$9,0,-1)))</f>
        <v>-1</v>
      </c>
      <c r="S2307" s="35" t="n">
        <f aca="false">IF(OR($A2307="",$Q2307=0,$R2307=-1),0,$Q2307*1000+$R2307*100+$K2307)</f>
        <v>0</v>
      </c>
      <c r="T2307" s="37" t="str">
        <f aca="false">IF($A2307="","",IF($B2307="","NO ACCOUNT",IF($Q2307=0,"UNMAPPED",IF($R2307=-1,"OUTSIDE FY RANGE","OK"))))</f>
        <v/>
      </c>
      <c r="U2307" s="40" t="str">
        <f aca="false">IF($A2307="","",$B2307&amp;"|"&amp;TEXT($A2307,"yyyymmdd")&amp;"|"&amp;TEXT($I2307,"0.00"))</f>
        <v/>
      </c>
      <c r="V2307" s="35" t="str">
        <f aca="false">IF($A2307="","",COUNTIF($U$8:$U$5007,$U2307))</f>
        <v/>
      </c>
    </row>
    <row r="2308" customFormat="false" ht="15" hidden="false" customHeight="false" outlineLevel="0" collapsed="false">
      <c r="A2308" s="31"/>
      <c r="B2308" s="32"/>
      <c r="C2308" s="32"/>
      <c r="D2308" s="32"/>
      <c r="E2308" s="32"/>
      <c r="F2308" s="32"/>
      <c r="G2308" s="33"/>
      <c r="H2308" s="33"/>
      <c r="I2308" s="34" t="str">
        <f aca="false">IF($A2308="","",$G2308-$H2308)</f>
        <v/>
      </c>
      <c r="J2308" s="35" t="str">
        <f aca="false">IF($A2308="","",IF(Setup!$B$6=1,YEAR($A2308),YEAR($A2308)+IF(MONTH($A2308)&gt;=Setup!$B$6,1,0)))</f>
        <v/>
      </c>
      <c r="K2308" s="35" t="str">
        <f aca="false">IF($A2308="","",MOD(MONTH($A2308)-Setup!$B$6+12,12)+1)</f>
        <v/>
      </c>
      <c r="L2308" s="36" t="str">
        <f aca="false">IF($A2308="","",TEXT($A2308,"MMM-YY"))</f>
        <v/>
      </c>
      <c r="M2308" s="37" t="str">
        <f aca="false">IF($A2308="","",IF($Q2308=0,"UNMAPPED",INDEX(COA_Mapping!$C$7:$C$256,$Q2308)))</f>
        <v/>
      </c>
      <c r="N2308" s="38" t="str">
        <f aca="false">IF($A2308="","",IF($Q2308=0,"",INDEX(COA_Mapping!$E$7:$E$256,$Q2308)))</f>
        <v/>
      </c>
      <c r="O2308" s="38" t="n">
        <f aca="false">IF($A2308="",1,IF($Q2308=0,1,INDEX(COA_Mapping!$F$7:$F$256,$Q2308)))</f>
        <v>1</v>
      </c>
      <c r="P2308" s="34" t="str">
        <f aca="false">IF($A2308="","",$I2308*$O2308)</f>
        <v/>
      </c>
      <c r="Q2308" s="39" t="n">
        <f aca="false">IF($B2308="",0,IFERROR(MATCH($B2308,COA_Mapping!$A$7:$A$256,0),0))</f>
        <v>0</v>
      </c>
      <c r="R2308" s="39" t="n">
        <f aca="false">IF($A2308="",-1,IF($J2308=Setup!$B$7,1,IF($J2308=Setup!$B$9,0,-1)))</f>
        <v>-1</v>
      </c>
      <c r="S2308" s="35" t="n">
        <f aca="false">IF(OR($A2308="",$Q2308=0,$R2308=-1),0,$Q2308*1000+$R2308*100+$K2308)</f>
        <v>0</v>
      </c>
      <c r="T2308" s="37" t="str">
        <f aca="false">IF($A2308="","",IF($B2308="","NO ACCOUNT",IF($Q2308=0,"UNMAPPED",IF($R2308=-1,"OUTSIDE FY RANGE","OK"))))</f>
        <v/>
      </c>
      <c r="U2308" s="40" t="str">
        <f aca="false">IF($A2308="","",$B2308&amp;"|"&amp;TEXT($A2308,"yyyymmdd")&amp;"|"&amp;TEXT($I2308,"0.00"))</f>
        <v/>
      </c>
      <c r="V2308" s="35" t="str">
        <f aca="false">IF($A2308="","",COUNTIF($U$8:$U$5007,$U2308))</f>
        <v/>
      </c>
    </row>
    <row r="2309" customFormat="false" ht="15" hidden="false" customHeight="false" outlineLevel="0" collapsed="false">
      <c r="A2309" s="31"/>
      <c r="B2309" s="32"/>
      <c r="C2309" s="32"/>
      <c r="D2309" s="32"/>
      <c r="E2309" s="32"/>
      <c r="F2309" s="32"/>
      <c r="G2309" s="33"/>
      <c r="H2309" s="33"/>
      <c r="I2309" s="34" t="str">
        <f aca="false">IF($A2309="","",$G2309-$H2309)</f>
        <v/>
      </c>
      <c r="J2309" s="35" t="str">
        <f aca="false">IF($A2309="","",IF(Setup!$B$6=1,YEAR($A2309),YEAR($A2309)+IF(MONTH($A2309)&gt;=Setup!$B$6,1,0)))</f>
        <v/>
      </c>
      <c r="K2309" s="35" t="str">
        <f aca="false">IF($A2309="","",MOD(MONTH($A2309)-Setup!$B$6+12,12)+1)</f>
        <v/>
      </c>
      <c r="L2309" s="36" t="str">
        <f aca="false">IF($A2309="","",TEXT($A2309,"MMM-YY"))</f>
        <v/>
      </c>
      <c r="M2309" s="37" t="str">
        <f aca="false">IF($A2309="","",IF($Q2309=0,"UNMAPPED",INDEX(COA_Mapping!$C$7:$C$256,$Q2309)))</f>
        <v/>
      </c>
      <c r="N2309" s="38" t="str">
        <f aca="false">IF($A2309="","",IF($Q2309=0,"",INDEX(COA_Mapping!$E$7:$E$256,$Q2309)))</f>
        <v/>
      </c>
      <c r="O2309" s="38" t="n">
        <f aca="false">IF($A2309="",1,IF($Q2309=0,1,INDEX(COA_Mapping!$F$7:$F$256,$Q2309)))</f>
        <v>1</v>
      </c>
      <c r="P2309" s="34" t="str">
        <f aca="false">IF($A2309="","",$I2309*$O2309)</f>
        <v/>
      </c>
      <c r="Q2309" s="39" t="n">
        <f aca="false">IF($B2309="",0,IFERROR(MATCH($B2309,COA_Mapping!$A$7:$A$256,0),0))</f>
        <v>0</v>
      </c>
      <c r="R2309" s="39" t="n">
        <f aca="false">IF($A2309="",-1,IF($J2309=Setup!$B$7,1,IF($J2309=Setup!$B$9,0,-1)))</f>
        <v>-1</v>
      </c>
      <c r="S2309" s="35" t="n">
        <f aca="false">IF(OR($A2309="",$Q2309=0,$R2309=-1),0,$Q2309*1000+$R2309*100+$K2309)</f>
        <v>0</v>
      </c>
      <c r="T2309" s="37" t="str">
        <f aca="false">IF($A2309="","",IF($B2309="","NO ACCOUNT",IF($Q2309=0,"UNMAPPED",IF($R2309=-1,"OUTSIDE FY RANGE","OK"))))</f>
        <v/>
      </c>
      <c r="U2309" s="40" t="str">
        <f aca="false">IF($A2309="","",$B2309&amp;"|"&amp;TEXT($A2309,"yyyymmdd")&amp;"|"&amp;TEXT($I2309,"0.00"))</f>
        <v/>
      </c>
      <c r="V2309" s="35" t="str">
        <f aca="false">IF($A2309="","",COUNTIF($U$8:$U$5007,$U2309))</f>
        <v/>
      </c>
    </row>
    <row r="2310" customFormat="false" ht="15" hidden="false" customHeight="false" outlineLevel="0" collapsed="false">
      <c r="A2310" s="31"/>
      <c r="B2310" s="32"/>
      <c r="C2310" s="32"/>
      <c r="D2310" s="32"/>
      <c r="E2310" s="32"/>
      <c r="F2310" s="32"/>
      <c r="G2310" s="33"/>
      <c r="H2310" s="33"/>
      <c r="I2310" s="34" t="str">
        <f aca="false">IF($A2310="","",$G2310-$H2310)</f>
        <v/>
      </c>
      <c r="J2310" s="35" t="str">
        <f aca="false">IF($A2310="","",IF(Setup!$B$6=1,YEAR($A2310),YEAR($A2310)+IF(MONTH($A2310)&gt;=Setup!$B$6,1,0)))</f>
        <v/>
      </c>
      <c r="K2310" s="35" t="str">
        <f aca="false">IF($A2310="","",MOD(MONTH($A2310)-Setup!$B$6+12,12)+1)</f>
        <v/>
      </c>
      <c r="L2310" s="36" t="str">
        <f aca="false">IF($A2310="","",TEXT($A2310,"MMM-YY"))</f>
        <v/>
      </c>
      <c r="M2310" s="37" t="str">
        <f aca="false">IF($A2310="","",IF($Q2310=0,"UNMAPPED",INDEX(COA_Mapping!$C$7:$C$256,$Q2310)))</f>
        <v/>
      </c>
      <c r="N2310" s="38" t="str">
        <f aca="false">IF($A2310="","",IF($Q2310=0,"",INDEX(COA_Mapping!$E$7:$E$256,$Q2310)))</f>
        <v/>
      </c>
      <c r="O2310" s="38" t="n">
        <f aca="false">IF($A2310="",1,IF($Q2310=0,1,INDEX(COA_Mapping!$F$7:$F$256,$Q2310)))</f>
        <v>1</v>
      </c>
      <c r="P2310" s="34" t="str">
        <f aca="false">IF($A2310="","",$I2310*$O2310)</f>
        <v/>
      </c>
      <c r="Q2310" s="39" t="n">
        <f aca="false">IF($B2310="",0,IFERROR(MATCH($B2310,COA_Mapping!$A$7:$A$256,0),0))</f>
        <v>0</v>
      </c>
      <c r="R2310" s="39" t="n">
        <f aca="false">IF($A2310="",-1,IF($J2310=Setup!$B$7,1,IF($J2310=Setup!$B$9,0,-1)))</f>
        <v>-1</v>
      </c>
      <c r="S2310" s="35" t="n">
        <f aca="false">IF(OR($A2310="",$Q2310=0,$R2310=-1),0,$Q2310*1000+$R2310*100+$K2310)</f>
        <v>0</v>
      </c>
      <c r="T2310" s="37" t="str">
        <f aca="false">IF($A2310="","",IF($B2310="","NO ACCOUNT",IF($Q2310=0,"UNMAPPED",IF($R2310=-1,"OUTSIDE FY RANGE","OK"))))</f>
        <v/>
      </c>
      <c r="U2310" s="40" t="str">
        <f aca="false">IF($A2310="","",$B2310&amp;"|"&amp;TEXT($A2310,"yyyymmdd")&amp;"|"&amp;TEXT($I2310,"0.00"))</f>
        <v/>
      </c>
      <c r="V2310" s="35" t="str">
        <f aca="false">IF($A2310="","",COUNTIF($U$8:$U$5007,$U2310))</f>
        <v/>
      </c>
    </row>
    <row r="2311" customFormat="false" ht="15" hidden="false" customHeight="false" outlineLevel="0" collapsed="false">
      <c r="A2311" s="31"/>
      <c r="B2311" s="32"/>
      <c r="C2311" s="32"/>
      <c r="D2311" s="32"/>
      <c r="E2311" s="32"/>
      <c r="F2311" s="32"/>
      <c r="G2311" s="33"/>
      <c r="H2311" s="33"/>
      <c r="I2311" s="34" t="str">
        <f aca="false">IF($A2311="","",$G2311-$H2311)</f>
        <v/>
      </c>
      <c r="J2311" s="35" t="str">
        <f aca="false">IF($A2311="","",IF(Setup!$B$6=1,YEAR($A2311),YEAR($A2311)+IF(MONTH($A2311)&gt;=Setup!$B$6,1,0)))</f>
        <v/>
      </c>
      <c r="K2311" s="35" t="str">
        <f aca="false">IF($A2311="","",MOD(MONTH($A2311)-Setup!$B$6+12,12)+1)</f>
        <v/>
      </c>
      <c r="L2311" s="36" t="str">
        <f aca="false">IF($A2311="","",TEXT($A2311,"MMM-YY"))</f>
        <v/>
      </c>
      <c r="M2311" s="37" t="str">
        <f aca="false">IF($A2311="","",IF($Q2311=0,"UNMAPPED",INDEX(COA_Mapping!$C$7:$C$256,$Q2311)))</f>
        <v/>
      </c>
      <c r="N2311" s="38" t="str">
        <f aca="false">IF($A2311="","",IF($Q2311=0,"",INDEX(COA_Mapping!$E$7:$E$256,$Q2311)))</f>
        <v/>
      </c>
      <c r="O2311" s="38" t="n">
        <f aca="false">IF($A2311="",1,IF($Q2311=0,1,INDEX(COA_Mapping!$F$7:$F$256,$Q2311)))</f>
        <v>1</v>
      </c>
      <c r="P2311" s="34" t="str">
        <f aca="false">IF($A2311="","",$I2311*$O2311)</f>
        <v/>
      </c>
      <c r="Q2311" s="39" t="n">
        <f aca="false">IF($B2311="",0,IFERROR(MATCH($B2311,COA_Mapping!$A$7:$A$256,0),0))</f>
        <v>0</v>
      </c>
      <c r="R2311" s="39" t="n">
        <f aca="false">IF($A2311="",-1,IF($J2311=Setup!$B$7,1,IF($J2311=Setup!$B$9,0,-1)))</f>
        <v>-1</v>
      </c>
      <c r="S2311" s="35" t="n">
        <f aca="false">IF(OR($A2311="",$Q2311=0,$R2311=-1),0,$Q2311*1000+$R2311*100+$K2311)</f>
        <v>0</v>
      </c>
      <c r="T2311" s="37" t="str">
        <f aca="false">IF($A2311="","",IF($B2311="","NO ACCOUNT",IF($Q2311=0,"UNMAPPED",IF($R2311=-1,"OUTSIDE FY RANGE","OK"))))</f>
        <v/>
      </c>
      <c r="U2311" s="40" t="str">
        <f aca="false">IF($A2311="","",$B2311&amp;"|"&amp;TEXT($A2311,"yyyymmdd")&amp;"|"&amp;TEXT($I2311,"0.00"))</f>
        <v/>
      </c>
      <c r="V2311" s="35" t="str">
        <f aca="false">IF($A2311="","",COUNTIF($U$8:$U$5007,$U2311))</f>
        <v/>
      </c>
    </row>
    <row r="2312" customFormat="false" ht="15" hidden="false" customHeight="false" outlineLevel="0" collapsed="false">
      <c r="A2312" s="31"/>
      <c r="B2312" s="32"/>
      <c r="C2312" s="32"/>
      <c r="D2312" s="32"/>
      <c r="E2312" s="32"/>
      <c r="F2312" s="32"/>
      <c r="G2312" s="33"/>
      <c r="H2312" s="33"/>
      <c r="I2312" s="34" t="str">
        <f aca="false">IF($A2312="","",$G2312-$H2312)</f>
        <v/>
      </c>
      <c r="J2312" s="35" t="str">
        <f aca="false">IF($A2312="","",IF(Setup!$B$6=1,YEAR($A2312),YEAR($A2312)+IF(MONTH($A2312)&gt;=Setup!$B$6,1,0)))</f>
        <v/>
      </c>
      <c r="K2312" s="35" t="str">
        <f aca="false">IF($A2312="","",MOD(MONTH($A2312)-Setup!$B$6+12,12)+1)</f>
        <v/>
      </c>
      <c r="L2312" s="36" t="str">
        <f aca="false">IF($A2312="","",TEXT($A2312,"MMM-YY"))</f>
        <v/>
      </c>
      <c r="M2312" s="37" t="str">
        <f aca="false">IF($A2312="","",IF($Q2312=0,"UNMAPPED",INDEX(COA_Mapping!$C$7:$C$256,$Q2312)))</f>
        <v/>
      </c>
      <c r="N2312" s="38" t="str">
        <f aca="false">IF($A2312="","",IF($Q2312=0,"",INDEX(COA_Mapping!$E$7:$E$256,$Q2312)))</f>
        <v/>
      </c>
      <c r="O2312" s="38" t="n">
        <f aca="false">IF($A2312="",1,IF($Q2312=0,1,INDEX(COA_Mapping!$F$7:$F$256,$Q2312)))</f>
        <v>1</v>
      </c>
      <c r="P2312" s="34" t="str">
        <f aca="false">IF($A2312="","",$I2312*$O2312)</f>
        <v/>
      </c>
      <c r="Q2312" s="39" t="n">
        <f aca="false">IF($B2312="",0,IFERROR(MATCH($B2312,COA_Mapping!$A$7:$A$256,0),0))</f>
        <v>0</v>
      </c>
      <c r="R2312" s="39" t="n">
        <f aca="false">IF($A2312="",-1,IF($J2312=Setup!$B$7,1,IF($J2312=Setup!$B$9,0,-1)))</f>
        <v>-1</v>
      </c>
      <c r="S2312" s="35" t="n">
        <f aca="false">IF(OR($A2312="",$Q2312=0,$R2312=-1),0,$Q2312*1000+$R2312*100+$K2312)</f>
        <v>0</v>
      </c>
      <c r="T2312" s="37" t="str">
        <f aca="false">IF($A2312="","",IF($B2312="","NO ACCOUNT",IF($Q2312=0,"UNMAPPED",IF($R2312=-1,"OUTSIDE FY RANGE","OK"))))</f>
        <v/>
      </c>
      <c r="U2312" s="40" t="str">
        <f aca="false">IF($A2312="","",$B2312&amp;"|"&amp;TEXT($A2312,"yyyymmdd")&amp;"|"&amp;TEXT($I2312,"0.00"))</f>
        <v/>
      </c>
      <c r="V2312" s="35" t="str">
        <f aca="false">IF($A2312="","",COUNTIF($U$8:$U$5007,$U2312))</f>
        <v/>
      </c>
    </row>
    <row r="2313" customFormat="false" ht="15" hidden="false" customHeight="false" outlineLevel="0" collapsed="false">
      <c r="A2313" s="31"/>
      <c r="B2313" s="32"/>
      <c r="C2313" s="32"/>
      <c r="D2313" s="32"/>
      <c r="E2313" s="32"/>
      <c r="F2313" s="32"/>
      <c r="G2313" s="33"/>
      <c r="H2313" s="33"/>
      <c r="I2313" s="34" t="str">
        <f aca="false">IF($A2313="","",$G2313-$H2313)</f>
        <v/>
      </c>
      <c r="J2313" s="35" t="str">
        <f aca="false">IF($A2313="","",IF(Setup!$B$6=1,YEAR($A2313),YEAR($A2313)+IF(MONTH($A2313)&gt;=Setup!$B$6,1,0)))</f>
        <v/>
      </c>
      <c r="K2313" s="35" t="str">
        <f aca="false">IF($A2313="","",MOD(MONTH($A2313)-Setup!$B$6+12,12)+1)</f>
        <v/>
      </c>
      <c r="L2313" s="36" t="str">
        <f aca="false">IF($A2313="","",TEXT($A2313,"MMM-YY"))</f>
        <v/>
      </c>
      <c r="M2313" s="37" t="str">
        <f aca="false">IF($A2313="","",IF($Q2313=0,"UNMAPPED",INDEX(COA_Mapping!$C$7:$C$256,$Q2313)))</f>
        <v/>
      </c>
      <c r="N2313" s="38" t="str">
        <f aca="false">IF($A2313="","",IF($Q2313=0,"",INDEX(COA_Mapping!$E$7:$E$256,$Q2313)))</f>
        <v/>
      </c>
      <c r="O2313" s="38" t="n">
        <f aca="false">IF($A2313="",1,IF($Q2313=0,1,INDEX(COA_Mapping!$F$7:$F$256,$Q2313)))</f>
        <v>1</v>
      </c>
      <c r="P2313" s="34" t="str">
        <f aca="false">IF($A2313="","",$I2313*$O2313)</f>
        <v/>
      </c>
      <c r="Q2313" s="39" t="n">
        <f aca="false">IF($B2313="",0,IFERROR(MATCH($B2313,COA_Mapping!$A$7:$A$256,0),0))</f>
        <v>0</v>
      </c>
      <c r="R2313" s="39" t="n">
        <f aca="false">IF($A2313="",-1,IF($J2313=Setup!$B$7,1,IF($J2313=Setup!$B$9,0,-1)))</f>
        <v>-1</v>
      </c>
      <c r="S2313" s="35" t="n">
        <f aca="false">IF(OR($A2313="",$Q2313=0,$R2313=-1),0,$Q2313*1000+$R2313*100+$K2313)</f>
        <v>0</v>
      </c>
      <c r="T2313" s="37" t="str">
        <f aca="false">IF($A2313="","",IF($B2313="","NO ACCOUNT",IF($Q2313=0,"UNMAPPED",IF($R2313=-1,"OUTSIDE FY RANGE","OK"))))</f>
        <v/>
      </c>
      <c r="U2313" s="40" t="str">
        <f aca="false">IF($A2313="","",$B2313&amp;"|"&amp;TEXT($A2313,"yyyymmdd")&amp;"|"&amp;TEXT($I2313,"0.00"))</f>
        <v/>
      </c>
      <c r="V2313" s="35" t="str">
        <f aca="false">IF($A2313="","",COUNTIF($U$8:$U$5007,$U2313))</f>
        <v/>
      </c>
    </row>
    <row r="2314" customFormat="false" ht="15" hidden="false" customHeight="false" outlineLevel="0" collapsed="false">
      <c r="A2314" s="31"/>
      <c r="B2314" s="32"/>
      <c r="C2314" s="32"/>
      <c r="D2314" s="32"/>
      <c r="E2314" s="32"/>
      <c r="F2314" s="32"/>
      <c r="G2314" s="33"/>
      <c r="H2314" s="33"/>
      <c r="I2314" s="34" t="str">
        <f aca="false">IF($A2314="","",$G2314-$H2314)</f>
        <v/>
      </c>
      <c r="J2314" s="35" t="str">
        <f aca="false">IF($A2314="","",IF(Setup!$B$6=1,YEAR($A2314),YEAR($A2314)+IF(MONTH($A2314)&gt;=Setup!$B$6,1,0)))</f>
        <v/>
      </c>
      <c r="K2314" s="35" t="str">
        <f aca="false">IF($A2314="","",MOD(MONTH($A2314)-Setup!$B$6+12,12)+1)</f>
        <v/>
      </c>
      <c r="L2314" s="36" t="str">
        <f aca="false">IF($A2314="","",TEXT($A2314,"MMM-YY"))</f>
        <v/>
      </c>
      <c r="M2314" s="37" t="str">
        <f aca="false">IF($A2314="","",IF($Q2314=0,"UNMAPPED",INDEX(COA_Mapping!$C$7:$C$256,$Q2314)))</f>
        <v/>
      </c>
      <c r="N2314" s="38" t="str">
        <f aca="false">IF($A2314="","",IF($Q2314=0,"",INDEX(COA_Mapping!$E$7:$E$256,$Q2314)))</f>
        <v/>
      </c>
      <c r="O2314" s="38" t="n">
        <f aca="false">IF($A2314="",1,IF($Q2314=0,1,INDEX(COA_Mapping!$F$7:$F$256,$Q2314)))</f>
        <v>1</v>
      </c>
      <c r="P2314" s="34" t="str">
        <f aca="false">IF($A2314="","",$I2314*$O2314)</f>
        <v/>
      </c>
      <c r="Q2314" s="39" t="n">
        <f aca="false">IF($B2314="",0,IFERROR(MATCH($B2314,COA_Mapping!$A$7:$A$256,0),0))</f>
        <v>0</v>
      </c>
      <c r="R2314" s="39" t="n">
        <f aca="false">IF($A2314="",-1,IF($J2314=Setup!$B$7,1,IF($J2314=Setup!$B$9,0,-1)))</f>
        <v>-1</v>
      </c>
      <c r="S2314" s="35" t="n">
        <f aca="false">IF(OR($A2314="",$Q2314=0,$R2314=-1),0,$Q2314*1000+$R2314*100+$K2314)</f>
        <v>0</v>
      </c>
      <c r="T2314" s="37" t="str">
        <f aca="false">IF($A2314="","",IF($B2314="","NO ACCOUNT",IF($Q2314=0,"UNMAPPED",IF($R2314=-1,"OUTSIDE FY RANGE","OK"))))</f>
        <v/>
      </c>
      <c r="U2314" s="40" t="str">
        <f aca="false">IF($A2314="","",$B2314&amp;"|"&amp;TEXT($A2314,"yyyymmdd")&amp;"|"&amp;TEXT($I2314,"0.00"))</f>
        <v/>
      </c>
      <c r="V2314" s="35" t="str">
        <f aca="false">IF($A2314="","",COUNTIF($U$8:$U$5007,$U2314))</f>
        <v/>
      </c>
    </row>
    <row r="2315" customFormat="false" ht="15" hidden="false" customHeight="false" outlineLevel="0" collapsed="false">
      <c r="A2315" s="31"/>
      <c r="B2315" s="32"/>
      <c r="C2315" s="32"/>
      <c r="D2315" s="32"/>
      <c r="E2315" s="32"/>
      <c r="F2315" s="32"/>
      <c r="G2315" s="33"/>
      <c r="H2315" s="33"/>
      <c r="I2315" s="34" t="str">
        <f aca="false">IF($A2315="","",$G2315-$H2315)</f>
        <v/>
      </c>
      <c r="J2315" s="35" t="str">
        <f aca="false">IF($A2315="","",IF(Setup!$B$6=1,YEAR($A2315),YEAR($A2315)+IF(MONTH($A2315)&gt;=Setup!$B$6,1,0)))</f>
        <v/>
      </c>
      <c r="K2315" s="35" t="str">
        <f aca="false">IF($A2315="","",MOD(MONTH($A2315)-Setup!$B$6+12,12)+1)</f>
        <v/>
      </c>
      <c r="L2315" s="36" t="str">
        <f aca="false">IF($A2315="","",TEXT($A2315,"MMM-YY"))</f>
        <v/>
      </c>
      <c r="M2315" s="37" t="str">
        <f aca="false">IF($A2315="","",IF($Q2315=0,"UNMAPPED",INDEX(COA_Mapping!$C$7:$C$256,$Q2315)))</f>
        <v/>
      </c>
      <c r="N2315" s="38" t="str">
        <f aca="false">IF($A2315="","",IF($Q2315=0,"",INDEX(COA_Mapping!$E$7:$E$256,$Q2315)))</f>
        <v/>
      </c>
      <c r="O2315" s="38" t="n">
        <f aca="false">IF($A2315="",1,IF($Q2315=0,1,INDEX(COA_Mapping!$F$7:$F$256,$Q2315)))</f>
        <v>1</v>
      </c>
      <c r="P2315" s="34" t="str">
        <f aca="false">IF($A2315="","",$I2315*$O2315)</f>
        <v/>
      </c>
      <c r="Q2315" s="39" t="n">
        <f aca="false">IF($B2315="",0,IFERROR(MATCH($B2315,COA_Mapping!$A$7:$A$256,0),0))</f>
        <v>0</v>
      </c>
      <c r="R2315" s="39" t="n">
        <f aca="false">IF($A2315="",-1,IF($J2315=Setup!$B$7,1,IF($J2315=Setup!$B$9,0,-1)))</f>
        <v>-1</v>
      </c>
      <c r="S2315" s="35" t="n">
        <f aca="false">IF(OR($A2315="",$Q2315=0,$R2315=-1),0,$Q2315*1000+$R2315*100+$K2315)</f>
        <v>0</v>
      </c>
      <c r="T2315" s="37" t="str">
        <f aca="false">IF($A2315="","",IF($B2315="","NO ACCOUNT",IF($Q2315=0,"UNMAPPED",IF($R2315=-1,"OUTSIDE FY RANGE","OK"))))</f>
        <v/>
      </c>
      <c r="U2315" s="40" t="str">
        <f aca="false">IF($A2315="","",$B2315&amp;"|"&amp;TEXT($A2315,"yyyymmdd")&amp;"|"&amp;TEXT($I2315,"0.00"))</f>
        <v/>
      </c>
      <c r="V2315" s="35" t="str">
        <f aca="false">IF($A2315="","",COUNTIF($U$8:$U$5007,$U2315))</f>
        <v/>
      </c>
    </row>
    <row r="2316" customFormat="false" ht="15" hidden="false" customHeight="false" outlineLevel="0" collapsed="false">
      <c r="A2316" s="31"/>
      <c r="B2316" s="32"/>
      <c r="C2316" s="32"/>
      <c r="D2316" s="32"/>
      <c r="E2316" s="32"/>
      <c r="F2316" s="32"/>
      <c r="G2316" s="33"/>
      <c r="H2316" s="33"/>
      <c r="I2316" s="34" t="str">
        <f aca="false">IF($A2316="","",$G2316-$H2316)</f>
        <v/>
      </c>
      <c r="J2316" s="35" t="str">
        <f aca="false">IF($A2316="","",IF(Setup!$B$6=1,YEAR($A2316),YEAR($A2316)+IF(MONTH($A2316)&gt;=Setup!$B$6,1,0)))</f>
        <v/>
      </c>
      <c r="K2316" s="35" t="str">
        <f aca="false">IF($A2316="","",MOD(MONTH($A2316)-Setup!$B$6+12,12)+1)</f>
        <v/>
      </c>
      <c r="L2316" s="36" t="str">
        <f aca="false">IF($A2316="","",TEXT($A2316,"MMM-YY"))</f>
        <v/>
      </c>
      <c r="M2316" s="37" t="str">
        <f aca="false">IF($A2316="","",IF($Q2316=0,"UNMAPPED",INDEX(COA_Mapping!$C$7:$C$256,$Q2316)))</f>
        <v/>
      </c>
      <c r="N2316" s="38" t="str">
        <f aca="false">IF($A2316="","",IF($Q2316=0,"",INDEX(COA_Mapping!$E$7:$E$256,$Q2316)))</f>
        <v/>
      </c>
      <c r="O2316" s="38" t="n">
        <f aca="false">IF($A2316="",1,IF($Q2316=0,1,INDEX(COA_Mapping!$F$7:$F$256,$Q2316)))</f>
        <v>1</v>
      </c>
      <c r="P2316" s="34" t="str">
        <f aca="false">IF($A2316="","",$I2316*$O2316)</f>
        <v/>
      </c>
      <c r="Q2316" s="39" t="n">
        <f aca="false">IF($B2316="",0,IFERROR(MATCH($B2316,COA_Mapping!$A$7:$A$256,0),0))</f>
        <v>0</v>
      </c>
      <c r="R2316" s="39" t="n">
        <f aca="false">IF($A2316="",-1,IF($J2316=Setup!$B$7,1,IF($J2316=Setup!$B$9,0,-1)))</f>
        <v>-1</v>
      </c>
      <c r="S2316" s="35" t="n">
        <f aca="false">IF(OR($A2316="",$Q2316=0,$R2316=-1),0,$Q2316*1000+$R2316*100+$K2316)</f>
        <v>0</v>
      </c>
      <c r="T2316" s="37" t="str">
        <f aca="false">IF($A2316="","",IF($B2316="","NO ACCOUNT",IF($Q2316=0,"UNMAPPED",IF($R2316=-1,"OUTSIDE FY RANGE","OK"))))</f>
        <v/>
      </c>
      <c r="U2316" s="40" t="str">
        <f aca="false">IF($A2316="","",$B2316&amp;"|"&amp;TEXT($A2316,"yyyymmdd")&amp;"|"&amp;TEXT($I2316,"0.00"))</f>
        <v/>
      </c>
      <c r="V2316" s="35" t="str">
        <f aca="false">IF($A2316="","",COUNTIF($U$8:$U$5007,$U2316))</f>
        <v/>
      </c>
    </row>
    <row r="2317" customFormat="false" ht="15" hidden="false" customHeight="false" outlineLevel="0" collapsed="false">
      <c r="A2317" s="31"/>
      <c r="B2317" s="32"/>
      <c r="C2317" s="32"/>
      <c r="D2317" s="32"/>
      <c r="E2317" s="32"/>
      <c r="F2317" s="32"/>
      <c r="G2317" s="33"/>
      <c r="H2317" s="33"/>
      <c r="I2317" s="34" t="str">
        <f aca="false">IF($A2317="","",$G2317-$H2317)</f>
        <v/>
      </c>
      <c r="J2317" s="35" t="str">
        <f aca="false">IF($A2317="","",IF(Setup!$B$6=1,YEAR($A2317),YEAR($A2317)+IF(MONTH($A2317)&gt;=Setup!$B$6,1,0)))</f>
        <v/>
      </c>
      <c r="K2317" s="35" t="str">
        <f aca="false">IF($A2317="","",MOD(MONTH($A2317)-Setup!$B$6+12,12)+1)</f>
        <v/>
      </c>
      <c r="L2317" s="36" t="str">
        <f aca="false">IF($A2317="","",TEXT($A2317,"MMM-YY"))</f>
        <v/>
      </c>
      <c r="M2317" s="37" t="str">
        <f aca="false">IF($A2317="","",IF($Q2317=0,"UNMAPPED",INDEX(COA_Mapping!$C$7:$C$256,$Q2317)))</f>
        <v/>
      </c>
      <c r="N2317" s="38" t="str">
        <f aca="false">IF($A2317="","",IF($Q2317=0,"",INDEX(COA_Mapping!$E$7:$E$256,$Q2317)))</f>
        <v/>
      </c>
      <c r="O2317" s="38" t="n">
        <f aca="false">IF($A2317="",1,IF($Q2317=0,1,INDEX(COA_Mapping!$F$7:$F$256,$Q2317)))</f>
        <v>1</v>
      </c>
      <c r="P2317" s="34" t="str">
        <f aca="false">IF($A2317="","",$I2317*$O2317)</f>
        <v/>
      </c>
      <c r="Q2317" s="39" t="n">
        <f aca="false">IF($B2317="",0,IFERROR(MATCH($B2317,COA_Mapping!$A$7:$A$256,0),0))</f>
        <v>0</v>
      </c>
      <c r="R2317" s="39" t="n">
        <f aca="false">IF($A2317="",-1,IF($J2317=Setup!$B$7,1,IF($J2317=Setup!$B$9,0,-1)))</f>
        <v>-1</v>
      </c>
      <c r="S2317" s="35" t="n">
        <f aca="false">IF(OR($A2317="",$Q2317=0,$R2317=-1),0,$Q2317*1000+$R2317*100+$K2317)</f>
        <v>0</v>
      </c>
      <c r="T2317" s="37" t="str">
        <f aca="false">IF($A2317="","",IF($B2317="","NO ACCOUNT",IF($Q2317=0,"UNMAPPED",IF($R2317=-1,"OUTSIDE FY RANGE","OK"))))</f>
        <v/>
      </c>
      <c r="U2317" s="40" t="str">
        <f aca="false">IF($A2317="","",$B2317&amp;"|"&amp;TEXT($A2317,"yyyymmdd")&amp;"|"&amp;TEXT($I2317,"0.00"))</f>
        <v/>
      </c>
      <c r="V2317" s="35" t="str">
        <f aca="false">IF($A2317="","",COUNTIF($U$8:$U$5007,$U2317))</f>
        <v/>
      </c>
    </row>
    <row r="2318" customFormat="false" ht="15" hidden="false" customHeight="false" outlineLevel="0" collapsed="false">
      <c r="A2318" s="31"/>
      <c r="B2318" s="32"/>
      <c r="C2318" s="32"/>
      <c r="D2318" s="32"/>
      <c r="E2318" s="32"/>
      <c r="F2318" s="32"/>
      <c r="G2318" s="33"/>
      <c r="H2318" s="33"/>
      <c r="I2318" s="34" t="str">
        <f aca="false">IF($A2318="","",$G2318-$H2318)</f>
        <v/>
      </c>
      <c r="J2318" s="35" t="str">
        <f aca="false">IF($A2318="","",IF(Setup!$B$6=1,YEAR($A2318),YEAR($A2318)+IF(MONTH($A2318)&gt;=Setup!$B$6,1,0)))</f>
        <v/>
      </c>
      <c r="K2318" s="35" t="str">
        <f aca="false">IF($A2318="","",MOD(MONTH($A2318)-Setup!$B$6+12,12)+1)</f>
        <v/>
      </c>
      <c r="L2318" s="36" t="str">
        <f aca="false">IF($A2318="","",TEXT($A2318,"MMM-YY"))</f>
        <v/>
      </c>
      <c r="M2318" s="37" t="str">
        <f aca="false">IF($A2318="","",IF($Q2318=0,"UNMAPPED",INDEX(COA_Mapping!$C$7:$C$256,$Q2318)))</f>
        <v/>
      </c>
      <c r="N2318" s="38" t="str">
        <f aca="false">IF($A2318="","",IF($Q2318=0,"",INDEX(COA_Mapping!$E$7:$E$256,$Q2318)))</f>
        <v/>
      </c>
      <c r="O2318" s="38" t="n">
        <f aca="false">IF($A2318="",1,IF($Q2318=0,1,INDEX(COA_Mapping!$F$7:$F$256,$Q2318)))</f>
        <v>1</v>
      </c>
      <c r="P2318" s="34" t="str">
        <f aca="false">IF($A2318="","",$I2318*$O2318)</f>
        <v/>
      </c>
      <c r="Q2318" s="39" t="n">
        <f aca="false">IF($B2318="",0,IFERROR(MATCH($B2318,COA_Mapping!$A$7:$A$256,0),0))</f>
        <v>0</v>
      </c>
      <c r="R2318" s="39" t="n">
        <f aca="false">IF($A2318="",-1,IF($J2318=Setup!$B$7,1,IF($J2318=Setup!$B$9,0,-1)))</f>
        <v>-1</v>
      </c>
      <c r="S2318" s="35" t="n">
        <f aca="false">IF(OR($A2318="",$Q2318=0,$R2318=-1),0,$Q2318*1000+$R2318*100+$K2318)</f>
        <v>0</v>
      </c>
      <c r="T2318" s="37" t="str">
        <f aca="false">IF($A2318="","",IF($B2318="","NO ACCOUNT",IF($Q2318=0,"UNMAPPED",IF($R2318=-1,"OUTSIDE FY RANGE","OK"))))</f>
        <v/>
      </c>
      <c r="U2318" s="40" t="str">
        <f aca="false">IF($A2318="","",$B2318&amp;"|"&amp;TEXT($A2318,"yyyymmdd")&amp;"|"&amp;TEXT($I2318,"0.00"))</f>
        <v/>
      </c>
      <c r="V2318" s="35" t="str">
        <f aca="false">IF($A2318="","",COUNTIF($U$8:$U$5007,$U2318))</f>
        <v/>
      </c>
    </row>
    <row r="2319" customFormat="false" ht="15" hidden="false" customHeight="false" outlineLevel="0" collapsed="false">
      <c r="A2319" s="31"/>
      <c r="B2319" s="32"/>
      <c r="C2319" s="32"/>
      <c r="D2319" s="32"/>
      <c r="E2319" s="32"/>
      <c r="F2319" s="32"/>
      <c r="G2319" s="33"/>
      <c r="H2319" s="33"/>
      <c r="I2319" s="34" t="str">
        <f aca="false">IF($A2319="","",$G2319-$H2319)</f>
        <v/>
      </c>
      <c r="J2319" s="35" t="str">
        <f aca="false">IF($A2319="","",IF(Setup!$B$6=1,YEAR($A2319),YEAR($A2319)+IF(MONTH($A2319)&gt;=Setup!$B$6,1,0)))</f>
        <v/>
      </c>
      <c r="K2319" s="35" t="str">
        <f aca="false">IF($A2319="","",MOD(MONTH($A2319)-Setup!$B$6+12,12)+1)</f>
        <v/>
      </c>
      <c r="L2319" s="36" t="str">
        <f aca="false">IF($A2319="","",TEXT($A2319,"MMM-YY"))</f>
        <v/>
      </c>
      <c r="M2319" s="37" t="str">
        <f aca="false">IF($A2319="","",IF($Q2319=0,"UNMAPPED",INDEX(COA_Mapping!$C$7:$C$256,$Q2319)))</f>
        <v/>
      </c>
      <c r="N2319" s="38" t="str">
        <f aca="false">IF($A2319="","",IF($Q2319=0,"",INDEX(COA_Mapping!$E$7:$E$256,$Q2319)))</f>
        <v/>
      </c>
      <c r="O2319" s="38" t="n">
        <f aca="false">IF($A2319="",1,IF($Q2319=0,1,INDEX(COA_Mapping!$F$7:$F$256,$Q2319)))</f>
        <v>1</v>
      </c>
      <c r="P2319" s="34" t="str">
        <f aca="false">IF($A2319="","",$I2319*$O2319)</f>
        <v/>
      </c>
      <c r="Q2319" s="39" t="n">
        <f aca="false">IF($B2319="",0,IFERROR(MATCH($B2319,COA_Mapping!$A$7:$A$256,0),0))</f>
        <v>0</v>
      </c>
      <c r="R2319" s="39" t="n">
        <f aca="false">IF($A2319="",-1,IF($J2319=Setup!$B$7,1,IF($J2319=Setup!$B$9,0,-1)))</f>
        <v>-1</v>
      </c>
      <c r="S2319" s="35" t="n">
        <f aca="false">IF(OR($A2319="",$Q2319=0,$R2319=-1),0,$Q2319*1000+$R2319*100+$K2319)</f>
        <v>0</v>
      </c>
      <c r="T2319" s="37" t="str">
        <f aca="false">IF($A2319="","",IF($B2319="","NO ACCOUNT",IF($Q2319=0,"UNMAPPED",IF($R2319=-1,"OUTSIDE FY RANGE","OK"))))</f>
        <v/>
      </c>
      <c r="U2319" s="40" t="str">
        <f aca="false">IF($A2319="","",$B2319&amp;"|"&amp;TEXT($A2319,"yyyymmdd")&amp;"|"&amp;TEXT($I2319,"0.00"))</f>
        <v/>
      </c>
      <c r="V2319" s="35" t="str">
        <f aca="false">IF($A2319="","",COUNTIF($U$8:$U$5007,$U2319))</f>
        <v/>
      </c>
    </row>
    <row r="2320" customFormat="false" ht="15" hidden="false" customHeight="false" outlineLevel="0" collapsed="false">
      <c r="A2320" s="31"/>
      <c r="B2320" s="32"/>
      <c r="C2320" s="32"/>
      <c r="D2320" s="32"/>
      <c r="E2320" s="32"/>
      <c r="F2320" s="32"/>
      <c r="G2320" s="33"/>
      <c r="H2320" s="33"/>
      <c r="I2320" s="34" t="str">
        <f aca="false">IF($A2320="","",$G2320-$H2320)</f>
        <v/>
      </c>
      <c r="J2320" s="35" t="str">
        <f aca="false">IF($A2320="","",IF(Setup!$B$6=1,YEAR($A2320),YEAR($A2320)+IF(MONTH($A2320)&gt;=Setup!$B$6,1,0)))</f>
        <v/>
      </c>
      <c r="K2320" s="35" t="str">
        <f aca="false">IF($A2320="","",MOD(MONTH($A2320)-Setup!$B$6+12,12)+1)</f>
        <v/>
      </c>
      <c r="L2320" s="36" t="str">
        <f aca="false">IF($A2320="","",TEXT($A2320,"MMM-YY"))</f>
        <v/>
      </c>
      <c r="M2320" s="37" t="str">
        <f aca="false">IF($A2320="","",IF($Q2320=0,"UNMAPPED",INDEX(COA_Mapping!$C$7:$C$256,$Q2320)))</f>
        <v/>
      </c>
      <c r="N2320" s="38" t="str">
        <f aca="false">IF($A2320="","",IF($Q2320=0,"",INDEX(COA_Mapping!$E$7:$E$256,$Q2320)))</f>
        <v/>
      </c>
      <c r="O2320" s="38" t="n">
        <f aca="false">IF($A2320="",1,IF($Q2320=0,1,INDEX(COA_Mapping!$F$7:$F$256,$Q2320)))</f>
        <v>1</v>
      </c>
      <c r="P2320" s="34" t="str">
        <f aca="false">IF($A2320="","",$I2320*$O2320)</f>
        <v/>
      </c>
      <c r="Q2320" s="39" t="n">
        <f aca="false">IF($B2320="",0,IFERROR(MATCH($B2320,COA_Mapping!$A$7:$A$256,0),0))</f>
        <v>0</v>
      </c>
      <c r="R2320" s="39" t="n">
        <f aca="false">IF($A2320="",-1,IF($J2320=Setup!$B$7,1,IF($J2320=Setup!$B$9,0,-1)))</f>
        <v>-1</v>
      </c>
      <c r="S2320" s="35" t="n">
        <f aca="false">IF(OR($A2320="",$Q2320=0,$R2320=-1),0,$Q2320*1000+$R2320*100+$K2320)</f>
        <v>0</v>
      </c>
      <c r="T2320" s="37" t="str">
        <f aca="false">IF($A2320="","",IF($B2320="","NO ACCOUNT",IF($Q2320=0,"UNMAPPED",IF($R2320=-1,"OUTSIDE FY RANGE","OK"))))</f>
        <v/>
      </c>
      <c r="U2320" s="40" t="str">
        <f aca="false">IF($A2320="","",$B2320&amp;"|"&amp;TEXT($A2320,"yyyymmdd")&amp;"|"&amp;TEXT($I2320,"0.00"))</f>
        <v/>
      </c>
      <c r="V2320" s="35" t="str">
        <f aca="false">IF($A2320="","",COUNTIF($U$8:$U$5007,$U2320))</f>
        <v/>
      </c>
    </row>
    <row r="2321" customFormat="false" ht="15" hidden="false" customHeight="false" outlineLevel="0" collapsed="false">
      <c r="A2321" s="31"/>
      <c r="B2321" s="32"/>
      <c r="C2321" s="32"/>
      <c r="D2321" s="32"/>
      <c r="E2321" s="32"/>
      <c r="F2321" s="32"/>
      <c r="G2321" s="33"/>
      <c r="H2321" s="33"/>
      <c r="I2321" s="34" t="str">
        <f aca="false">IF($A2321="","",$G2321-$H2321)</f>
        <v/>
      </c>
      <c r="J2321" s="35" t="str">
        <f aca="false">IF($A2321="","",IF(Setup!$B$6=1,YEAR($A2321),YEAR($A2321)+IF(MONTH($A2321)&gt;=Setup!$B$6,1,0)))</f>
        <v/>
      </c>
      <c r="K2321" s="35" t="str">
        <f aca="false">IF($A2321="","",MOD(MONTH($A2321)-Setup!$B$6+12,12)+1)</f>
        <v/>
      </c>
      <c r="L2321" s="36" t="str">
        <f aca="false">IF($A2321="","",TEXT($A2321,"MMM-YY"))</f>
        <v/>
      </c>
      <c r="M2321" s="37" t="str">
        <f aca="false">IF($A2321="","",IF($Q2321=0,"UNMAPPED",INDEX(COA_Mapping!$C$7:$C$256,$Q2321)))</f>
        <v/>
      </c>
      <c r="N2321" s="38" t="str">
        <f aca="false">IF($A2321="","",IF($Q2321=0,"",INDEX(COA_Mapping!$E$7:$E$256,$Q2321)))</f>
        <v/>
      </c>
      <c r="O2321" s="38" t="n">
        <f aca="false">IF($A2321="",1,IF($Q2321=0,1,INDEX(COA_Mapping!$F$7:$F$256,$Q2321)))</f>
        <v>1</v>
      </c>
      <c r="P2321" s="34" t="str">
        <f aca="false">IF($A2321="","",$I2321*$O2321)</f>
        <v/>
      </c>
      <c r="Q2321" s="39" t="n">
        <f aca="false">IF($B2321="",0,IFERROR(MATCH($B2321,COA_Mapping!$A$7:$A$256,0),0))</f>
        <v>0</v>
      </c>
      <c r="R2321" s="39" t="n">
        <f aca="false">IF($A2321="",-1,IF($J2321=Setup!$B$7,1,IF($J2321=Setup!$B$9,0,-1)))</f>
        <v>-1</v>
      </c>
      <c r="S2321" s="35" t="n">
        <f aca="false">IF(OR($A2321="",$Q2321=0,$R2321=-1),0,$Q2321*1000+$R2321*100+$K2321)</f>
        <v>0</v>
      </c>
      <c r="T2321" s="37" t="str">
        <f aca="false">IF($A2321="","",IF($B2321="","NO ACCOUNT",IF($Q2321=0,"UNMAPPED",IF($R2321=-1,"OUTSIDE FY RANGE","OK"))))</f>
        <v/>
      </c>
      <c r="U2321" s="40" t="str">
        <f aca="false">IF($A2321="","",$B2321&amp;"|"&amp;TEXT($A2321,"yyyymmdd")&amp;"|"&amp;TEXT($I2321,"0.00"))</f>
        <v/>
      </c>
      <c r="V2321" s="35" t="str">
        <f aca="false">IF($A2321="","",COUNTIF($U$8:$U$5007,$U2321))</f>
        <v/>
      </c>
    </row>
    <row r="2322" customFormat="false" ht="15" hidden="false" customHeight="false" outlineLevel="0" collapsed="false">
      <c r="A2322" s="31"/>
      <c r="B2322" s="32"/>
      <c r="C2322" s="32"/>
      <c r="D2322" s="32"/>
      <c r="E2322" s="32"/>
      <c r="F2322" s="32"/>
      <c r="G2322" s="33"/>
      <c r="H2322" s="33"/>
      <c r="I2322" s="34" t="str">
        <f aca="false">IF($A2322="","",$G2322-$H2322)</f>
        <v/>
      </c>
      <c r="J2322" s="35" t="str">
        <f aca="false">IF($A2322="","",IF(Setup!$B$6=1,YEAR($A2322),YEAR($A2322)+IF(MONTH($A2322)&gt;=Setup!$B$6,1,0)))</f>
        <v/>
      </c>
      <c r="K2322" s="35" t="str">
        <f aca="false">IF($A2322="","",MOD(MONTH($A2322)-Setup!$B$6+12,12)+1)</f>
        <v/>
      </c>
      <c r="L2322" s="36" t="str">
        <f aca="false">IF($A2322="","",TEXT($A2322,"MMM-YY"))</f>
        <v/>
      </c>
      <c r="M2322" s="37" t="str">
        <f aca="false">IF($A2322="","",IF($Q2322=0,"UNMAPPED",INDEX(COA_Mapping!$C$7:$C$256,$Q2322)))</f>
        <v/>
      </c>
      <c r="N2322" s="38" t="str">
        <f aca="false">IF($A2322="","",IF($Q2322=0,"",INDEX(COA_Mapping!$E$7:$E$256,$Q2322)))</f>
        <v/>
      </c>
      <c r="O2322" s="38" t="n">
        <f aca="false">IF($A2322="",1,IF($Q2322=0,1,INDEX(COA_Mapping!$F$7:$F$256,$Q2322)))</f>
        <v>1</v>
      </c>
      <c r="P2322" s="34" t="str">
        <f aca="false">IF($A2322="","",$I2322*$O2322)</f>
        <v/>
      </c>
      <c r="Q2322" s="39" t="n">
        <f aca="false">IF($B2322="",0,IFERROR(MATCH($B2322,COA_Mapping!$A$7:$A$256,0),0))</f>
        <v>0</v>
      </c>
      <c r="R2322" s="39" t="n">
        <f aca="false">IF($A2322="",-1,IF($J2322=Setup!$B$7,1,IF($J2322=Setup!$B$9,0,-1)))</f>
        <v>-1</v>
      </c>
      <c r="S2322" s="35" t="n">
        <f aca="false">IF(OR($A2322="",$Q2322=0,$R2322=-1),0,$Q2322*1000+$R2322*100+$K2322)</f>
        <v>0</v>
      </c>
      <c r="T2322" s="37" t="str">
        <f aca="false">IF($A2322="","",IF($B2322="","NO ACCOUNT",IF($Q2322=0,"UNMAPPED",IF($R2322=-1,"OUTSIDE FY RANGE","OK"))))</f>
        <v/>
      </c>
      <c r="U2322" s="40" t="str">
        <f aca="false">IF($A2322="","",$B2322&amp;"|"&amp;TEXT($A2322,"yyyymmdd")&amp;"|"&amp;TEXT($I2322,"0.00"))</f>
        <v/>
      </c>
      <c r="V2322" s="35" t="str">
        <f aca="false">IF($A2322="","",COUNTIF($U$8:$U$5007,$U2322))</f>
        <v/>
      </c>
    </row>
    <row r="2323" customFormat="false" ht="15" hidden="false" customHeight="false" outlineLevel="0" collapsed="false">
      <c r="A2323" s="31"/>
      <c r="B2323" s="32"/>
      <c r="C2323" s="32"/>
      <c r="D2323" s="32"/>
      <c r="E2323" s="32"/>
      <c r="F2323" s="32"/>
      <c r="G2323" s="33"/>
      <c r="H2323" s="33"/>
      <c r="I2323" s="34" t="str">
        <f aca="false">IF($A2323="","",$G2323-$H2323)</f>
        <v/>
      </c>
      <c r="J2323" s="35" t="str">
        <f aca="false">IF($A2323="","",IF(Setup!$B$6=1,YEAR($A2323),YEAR($A2323)+IF(MONTH($A2323)&gt;=Setup!$B$6,1,0)))</f>
        <v/>
      </c>
      <c r="K2323" s="35" t="str">
        <f aca="false">IF($A2323="","",MOD(MONTH($A2323)-Setup!$B$6+12,12)+1)</f>
        <v/>
      </c>
      <c r="L2323" s="36" t="str">
        <f aca="false">IF($A2323="","",TEXT($A2323,"MMM-YY"))</f>
        <v/>
      </c>
      <c r="M2323" s="37" t="str">
        <f aca="false">IF($A2323="","",IF($Q2323=0,"UNMAPPED",INDEX(COA_Mapping!$C$7:$C$256,$Q2323)))</f>
        <v/>
      </c>
      <c r="N2323" s="38" t="str">
        <f aca="false">IF($A2323="","",IF($Q2323=0,"",INDEX(COA_Mapping!$E$7:$E$256,$Q2323)))</f>
        <v/>
      </c>
      <c r="O2323" s="38" t="n">
        <f aca="false">IF($A2323="",1,IF($Q2323=0,1,INDEX(COA_Mapping!$F$7:$F$256,$Q2323)))</f>
        <v>1</v>
      </c>
      <c r="P2323" s="34" t="str">
        <f aca="false">IF($A2323="","",$I2323*$O2323)</f>
        <v/>
      </c>
      <c r="Q2323" s="39" t="n">
        <f aca="false">IF($B2323="",0,IFERROR(MATCH($B2323,COA_Mapping!$A$7:$A$256,0),0))</f>
        <v>0</v>
      </c>
      <c r="R2323" s="39" t="n">
        <f aca="false">IF($A2323="",-1,IF($J2323=Setup!$B$7,1,IF($J2323=Setup!$B$9,0,-1)))</f>
        <v>-1</v>
      </c>
      <c r="S2323" s="35" t="n">
        <f aca="false">IF(OR($A2323="",$Q2323=0,$R2323=-1),0,$Q2323*1000+$R2323*100+$K2323)</f>
        <v>0</v>
      </c>
      <c r="T2323" s="37" t="str">
        <f aca="false">IF($A2323="","",IF($B2323="","NO ACCOUNT",IF($Q2323=0,"UNMAPPED",IF($R2323=-1,"OUTSIDE FY RANGE","OK"))))</f>
        <v/>
      </c>
      <c r="U2323" s="40" t="str">
        <f aca="false">IF($A2323="","",$B2323&amp;"|"&amp;TEXT($A2323,"yyyymmdd")&amp;"|"&amp;TEXT($I2323,"0.00"))</f>
        <v/>
      </c>
      <c r="V2323" s="35" t="str">
        <f aca="false">IF($A2323="","",COUNTIF($U$8:$U$5007,$U2323))</f>
        <v/>
      </c>
    </row>
    <row r="2324" customFormat="false" ht="15" hidden="false" customHeight="false" outlineLevel="0" collapsed="false">
      <c r="A2324" s="31"/>
      <c r="B2324" s="32"/>
      <c r="C2324" s="32"/>
      <c r="D2324" s="32"/>
      <c r="E2324" s="32"/>
      <c r="F2324" s="32"/>
      <c r="G2324" s="33"/>
      <c r="H2324" s="33"/>
      <c r="I2324" s="34" t="str">
        <f aca="false">IF($A2324="","",$G2324-$H2324)</f>
        <v/>
      </c>
      <c r="J2324" s="35" t="str">
        <f aca="false">IF($A2324="","",IF(Setup!$B$6=1,YEAR($A2324),YEAR($A2324)+IF(MONTH($A2324)&gt;=Setup!$B$6,1,0)))</f>
        <v/>
      </c>
      <c r="K2324" s="35" t="str">
        <f aca="false">IF($A2324="","",MOD(MONTH($A2324)-Setup!$B$6+12,12)+1)</f>
        <v/>
      </c>
      <c r="L2324" s="36" t="str">
        <f aca="false">IF($A2324="","",TEXT($A2324,"MMM-YY"))</f>
        <v/>
      </c>
      <c r="M2324" s="37" t="str">
        <f aca="false">IF($A2324="","",IF($Q2324=0,"UNMAPPED",INDEX(COA_Mapping!$C$7:$C$256,$Q2324)))</f>
        <v/>
      </c>
      <c r="N2324" s="38" t="str">
        <f aca="false">IF($A2324="","",IF($Q2324=0,"",INDEX(COA_Mapping!$E$7:$E$256,$Q2324)))</f>
        <v/>
      </c>
      <c r="O2324" s="38" t="n">
        <f aca="false">IF($A2324="",1,IF($Q2324=0,1,INDEX(COA_Mapping!$F$7:$F$256,$Q2324)))</f>
        <v>1</v>
      </c>
      <c r="P2324" s="34" t="str">
        <f aca="false">IF($A2324="","",$I2324*$O2324)</f>
        <v/>
      </c>
      <c r="Q2324" s="39" t="n">
        <f aca="false">IF($B2324="",0,IFERROR(MATCH($B2324,COA_Mapping!$A$7:$A$256,0),0))</f>
        <v>0</v>
      </c>
      <c r="R2324" s="39" t="n">
        <f aca="false">IF($A2324="",-1,IF($J2324=Setup!$B$7,1,IF($J2324=Setup!$B$9,0,-1)))</f>
        <v>-1</v>
      </c>
      <c r="S2324" s="35" t="n">
        <f aca="false">IF(OR($A2324="",$Q2324=0,$R2324=-1),0,$Q2324*1000+$R2324*100+$K2324)</f>
        <v>0</v>
      </c>
      <c r="T2324" s="37" t="str">
        <f aca="false">IF($A2324="","",IF($B2324="","NO ACCOUNT",IF($Q2324=0,"UNMAPPED",IF($R2324=-1,"OUTSIDE FY RANGE","OK"))))</f>
        <v/>
      </c>
      <c r="U2324" s="40" t="str">
        <f aca="false">IF($A2324="","",$B2324&amp;"|"&amp;TEXT($A2324,"yyyymmdd")&amp;"|"&amp;TEXT($I2324,"0.00"))</f>
        <v/>
      </c>
      <c r="V2324" s="35" t="str">
        <f aca="false">IF($A2324="","",COUNTIF($U$8:$U$5007,$U2324))</f>
        <v/>
      </c>
    </row>
    <row r="2325" customFormat="false" ht="15" hidden="false" customHeight="false" outlineLevel="0" collapsed="false">
      <c r="A2325" s="31"/>
      <c r="B2325" s="32"/>
      <c r="C2325" s="32"/>
      <c r="D2325" s="32"/>
      <c r="E2325" s="32"/>
      <c r="F2325" s="32"/>
      <c r="G2325" s="33"/>
      <c r="H2325" s="33"/>
      <c r="I2325" s="34" t="str">
        <f aca="false">IF($A2325="","",$G2325-$H2325)</f>
        <v/>
      </c>
      <c r="J2325" s="35" t="str">
        <f aca="false">IF($A2325="","",IF(Setup!$B$6=1,YEAR($A2325),YEAR($A2325)+IF(MONTH($A2325)&gt;=Setup!$B$6,1,0)))</f>
        <v/>
      </c>
      <c r="K2325" s="35" t="str">
        <f aca="false">IF($A2325="","",MOD(MONTH($A2325)-Setup!$B$6+12,12)+1)</f>
        <v/>
      </c>
      <c r="L2325" s="36" t="str">
        <f aca="false">IF($A2325="","",TEXT($A2325,"MMM-YY"))</f>
        <v/>
      </c>
      <c r="M2325" s="37" t="str">
        <f aca="false">IF($A2325="","",IF($Q2325=0,"UNMAPPED",INDEX(COA_Mapping!$C$7:$C$256,$Q2325)))</f>
        <v/>
      </c>
      <c r="N2325" s="38" t="str">
        <f aca="false">IF($A2325="","",IF($Q2325=0,"",INDEX(COA_Mapping!$E$7:$E$256,$Q2325)))</f>
        <v/>
      </c>
      <c r="O2325" s="38" t="n">
        <f aca="false">IF($A2325="",1,IF($Q2325=0,1,INDEX(COA_Mapping!$F$7:$F$256,$Q2325)))</f>
        <v>1</v>
      </c>
      <c r="P2325" s="34" t="str">
        <f aca="false">IF($A2325="","",$I2325*$O2325)</f>
        <v/>
      </c>
      <c r="Q2325" s="39" t="n">
        <f aca="false">IF($B2325="",0,IFERROR(MATCH($B2325,COA_Mapping!$A$7:$A$256,0),0))</f>
        <v>0</v>
      </c>
      <c r="R2325" s="39" t="n">
        <f aca="false">IF($A2325="",-1,IF($J2325=Setup!$B$7,1,IF($J2325=Setup!$B$9,0,-1)))</f>
        <v>-1</v>
      </c>
      <c r="S2325" s="35" t="n">
        <f aca="false">IF(OR($A2325="",$Q2325=0,$R2325=-1),0,$Q2325*1000+$R2325*100+$K2325)</f>
        <v>0</v>
      </c>
      <c r="T2325" s="37" t="str">
        <f aca="false">IF($A2325="","",IF($B2325="","NO ACCOUNT",IF($Q2325=0,"UNMAPPED",IF($R2325=-1,"OUTSIDE FY RANGE","OK"))))</f>
        <v/>
      </c>
      <c r="U2325" s="40" t="str">
        <f aca="false">IF($A2325="","",$B2325&amp;"|"&amp;TEXT($A2325,"yyyymmdd")&amp;"|"&amp;TEXT($I2325,"0.00"))</f>
        <v/>
      </c>
      <c r="V2325" s="35" t="str">
        <f aca="false">IF($A2325="","",COUNTIF($U$8:$U$5007,$U2325))</f>
        <v/>
      </c>
    </row>
    <row r="2326" customFormat="false" ht="15" hidden="false" customHeight="false" outlineLevel="0" collapsed="false">
      <c r="A2326" s="31"/>
      <c r="B2326" s="32"/>
      <c r="C2326" s="32"/>
      <c r="D2326" s="32"/>
      <c r="E2326" s="32"/>
      <c r="F2326" s="32"/>
      <c r="G2326" s="33"/>
      <c r="H2326" s="33"/>
      <c r="I2326" s="34" t="str">
        <f aca="false">IF($A2326="","",$G2326-$H2326)</f>
        <v/>
      </c>
      <c r="J2326" s="35" t="str">
        <f aca="false">IF($A2326="","",IF(Setup!$B$6=1,YEAR($A2326),YEAR($A2326)+IF(MONTH($A2326)&gt;=Setup!$B$6,1,0)))</f>
        <v/>
      </c>
      <c r="K2326" s="35" t="str">
        <f aca="false">IF($A2326="","",MOD(MONTH($A2326)-Setup!$B$6+12,12)+1)</f>
        <v/>
      </c>
      <c r="L2326" s="36" t="str">
        <f aca="false">IF($A2326="","",TEXT($A2326,"MMM-YY"))</f>
        <v/>
      </c>
      <c r="M2326" s="37" t="str">
        <f aca="false">IF($A2326="","",IF($Q2326=0,"UNMAPPED",INDEX(COA_Mapping!$C$7:$C$256,$Q2326)))</f>
        <v/>
      </c>
      <c r="N2326" s="38" t="str">
        <f aca="false">IF($A2326="","",IF($Q2326=0,"",INDEX(COA_Mapping!$E$7:$E$256,$Q2326)))</f>
        <v/>
      </c>
      <c r="O2326" s="38" t="n">
        <f aca="false">IF($A2326="",1,IF($Q2326=0,1,INDEX(COA_Mapping!$F$7:$F$256,$Q2326)))</f>
        <v>1</v>
      </c>
      <c r="P2326" s="34" t="str">
        <f aca="false">IF($A2326="","",$I2326*$O2326)</f>
        <v/>
      </c>
      <c r="Q2326" s="39" t="n">
        <f aca="false">IF($B2326="",0,IFERROR(MATCH($B2326,COA_Mapping!$A$7:$A$256,0),0))</f>
        <v>0</v>
      </c>
      <c r="R2326" s="39" t="n">
        <f aca="false">IF($A2326="",-1,IF($J2326=Setup!$B$7,1,IF($J2326=Setup!$B$9,0,-1)))</f>
        <v>-1</v>
      </c>
      <c r="S2326" s="35" t="n">
        <f aca="false">IF(OR($A2326="",$Q2326=0,$R2326=-1),0,$Q2326*1000+$R2326*100+$K2326)</f>
        <v>0</v>
      </c>
      <c r="T2326" s="37" t="str">
        <f aca="false">IF($A2326="","",IF($B2326="","NO ACCOUNT",IF($Q2326=0,"UNMAPPED",IF($R2326=-1,"OUTSIDE FY RANGE","OK"))))</f>
        <v/>
      </c>
      <c r="U2326" s="40" t="str">
        <f aca="false">IF($A2326="","",$B2326&amp;"|"&amp;TEXT($A2326,"yyyymmdd")&amp;"|"&amp;TEXT($I2326,"0.00"))</f>
        <v/>
      </c>
      <c r="V2326" s="35" t="str">
        <f aca="false">IF($A2326="","",COUNTIF($U$8:$U$5007,$U2326))</f>
        <v/>
      </c>
    </row>
    <row r="2327" customFormat="false" ht="15" hidden="false" customHeight="false" outlineLevel="0" collapsed="false">
      <c r="A2327" s="31"/>
      <c r="B2327" s="32"/>
      <c r="C2327" s="32"/>
      <c r="D2327" s="32"/>
      <c r="E2327" s="32"/>
      <c r="F2327" s="32"/>
      <c r="G2327" s="33"/>
      <c r="H2327" s="33"/>
      <c r="I2327" s="34" t="str">
        <f aca="false">IF($A2327="","",$G2327-$H2327)</f>
        <v/>
      </c>
      <c r="J2327" s="35" t="str">
        <f aca="false">IF($A2327="","",IF(Setup!$B$6=1,YEAR($A2327),YEAR($A2327)+IF(MONTH($A2327)&gt;=Setup!$B$6,1,0)))</f>
        <v/>
      </c>
      <c r="K2327" s="35" t="str">
        <f aca="false">IF($A2327="","",MOD(MONTH($A2327)-Setup!$B$6+12,12)+1)</f>
        <v/>
      </c>
      <c r="L2327" s="36" t="str">
        <f aca="false">IF($A2327="","",TEXT($A2327,"MMM-YY"))</f>
        <v/>
      </c>
      <c r="M2327" s="37" t="str">
        <f aca="false">IF($A2327="","",IF($Q2327=0,"UNMAPPED",INDEX(COA_Mapping!$C$7:$C$256,$Q2327)))</f>
        <v/>
      </c>
      <c r="N2327" s="38" t="str">
        <f aca="false">IF($A2327="","",IF($Q2327=0,"",INDEX(COA_Mapping!$E$7:$E$256,$Q2327)))</f>
        <v/>
      </c>
      <c r="O2327" s="38" t="n">
        <f aca="false">IF($A2327="",1,IF($Q2327=0,1,INDEX(COA_Mapping!$F$7:$F$256,$Q2327)))</f>
        <v>1</v>
      </c>
      <c r="P2327" s="34" t="str">
        <f aca="false">IF($A2327="","",$I2327*$O2327)</f>
        <v/>
      </c>
      <c r="Q2327" s="39" t="n">
        <f aca="false">IF($B2327="",0,IFERROR(MATCH($B2327,COA_Mapping!$A$7:$A$256,0),0))</f>
        <v>0</v>
      </c>
      <c r="R2327" s="39" t="n">
        <f aca="false">IF($A2327="",-1,IF($J2327=Setup!$B$7,1,IF($J2327=Setup!$B$9,0,-1)))</f>
        <v>-1</v>
      </c>
      <c r="S2327" s="35" t="n">
        <f aca="false">IF(OR($A2327="",$Q2327=0,$R2327=-1),0,$Q2327*1000+$R2327*100+$K2327)</f>
        <v>0</v>
      </c>
      <c r="T2327" s="37" t="str">
        <f aca="false">IF($A2327="","",IF($B2327="","NO ACCOUNT",IF($Q2327=0,"UNMAPPED",IF($R2327=-1,"OUTSIDE FY RANGE","OK"))))</f>
        <v/>
      </c>
      <c r="U2327" s="40" t="str">
        <f aca="false">IF($A2327="","",$B2327&amp;"|"&amp;TEXT($A2327,"yyyymmdd")&amp;"|"&amp;TEXT($I2327,"0.00"))</f>
        <v/>
      </c>
      <c r="V2327" s="35" t="str">
        <f aca="false">IF($A2327="","",COUNTIF($U$8:$U$5007,$U2327))</f>
        <v/>
      </c>
    </row>
    <row r="2328" customFormat="false" ht="15" hidden="false" customHeight="false" outlineLevel="0" collapsed="false">
      <c r="A2328" s="31"/>
      <c r="B2328" s="32"/>
      <c r="C2328" s="32"/>
      <c r="D2328" s="32"/>
      <c r="E2328" s="32"/>
      <c r="F2328" s="32"/>
      <c r="G2328" s="33"/>
      <c r="H2328" s="33"/>
      <c r="I2328" s="34" t="str">
        <f aca="false">IF($A2328="","",$G2328-$H2328)</f>
        <v/>
      </c>
      <c r="J2328" s="35" t="str">
        <f aca="false">IF($A2328="","",IF(Setup!$B$6=1,YEAR($A2328),YEAR($A2328)+IF(MONTH($A2328)&gt;=Setup!$B$6,1,0)))</f>
        <v/>
      </c>
      <c r="K2328" s="35" t="str">
        <f aca="false">IF($A2328="","",MOD(MONTH($A2328)-Setup!$B$6+12,12)+1)</f>
        <v/>
      </c>
      <c r="L2328" s="36" t="str">
        <f aca="false">IF($A2328="","",TEXT($A2328,"MMM-YY"))</f>
        <v/>
      </c>
      <c r="M2328" s="37" t="str">
        <f aca="false">IF($A2328="","",IF($Q2328=0,"UNMAPPED",INDEX(COA_Mapping!$C$7:$C$256,$Q2328)))</f>
        <v/>
      </c>
      <c r="N2328" s="38" t="str">
        <f aca="false">IF($A2328="","",IF($Q2328=0,"",INDEX(COA_Mapping!$E$7:$E$256,$Q2328)))</f>
        <v/>
      </c>
      <c r="O2328" s="38" t="n">
        <f aca="false">IF($A2328="",1,IF($Q2328=0,1,INDEX(COA_Mapping!$F$7:$F$256,$Q2328)))</f>
        <v>1</v>
      </c>
      <c r="P2328" s="34" t="str">
        <f aca="false">IF($A2328="","",$I2328*$O2328)</f>
        <v/>
      </c>
      <c r="Q2328" s="39" t="n">
        <f aca="false">IF($B2328="",0,IFERROR(MATCH($B2328,COA_Mapping!$A$7:$A$256,0),0))</f>
        <v>0</v>
      </c>
      <c r="R2328" s="39" t="n">
        <f aca="false">IF($A2328="",-1,IF($J2328=Setup!$B$7,1,IF($J2328=Setup!$B$9,0,-1)))</f>
        <v>-1</v>
      </c>
      <c r="S2328" s="35" t="n">
        <f aca="false">IF(OR($A2328="",$Q2328=0,$R2328=-1),0,$Q2328*1000+$R2328*100+$K2328)</f>
        <v>0</v>
      </c>
      <c r="T2328" s="37" t="str">
        <f aca="false">IF($A2328="","",IF($B2328="","NO ACCOUNT",IF($Q2328=0,"UNMAPPED",IF($R2328=-1,"OUTSIDE FY RANGE","OK"))))</f>
        <v/>
      </c>
      <c r="U2328" s="40" t="str">
        <f aca="false">IF($A2328="","",$B2328&amp;"|"&amp;TEXT($A2328,"yyyymmdd")&amp;"|"&amp;TEXT($I2328,"0.00"))</f>
        <v/>
      </c>
      <c r="V2328" s="35" t="str">
        <f aca="false">IF($A2328="","",COUNTIF($U$8:$U$5007,$U2328))</f>
        <v/>
      </c>
    </row>
    <row r="2329" customFormat="false" ht="15" hidden="false" customHeight="false" outlineLevel="0" collapsed="false">
      <c r="A2329" s="31"/>
      <c r="B2329" s="32"/>
      <c r="C2329" s="32"/>
      <c r="D2329" s="32"/>
      <c r="E2329" s="32"/>
      <c r="F2329" s="32"/>
      <c r="G2329" s="33"/>
      <c r="H2329" s="33"/>
      <c r="I2329" s="34" t="str">
        <f aca="false">IF($A2329="","",$G2329-$H2329)</f>
        <v/>
      </c>
      <c r="J2329" s="35" t="str">
        <f aca="false">IF($A2329="","",IF(Setup!$B$6=1,YEAR($A2329),YEAR($A2329)+IF(MONTH($A2329)&gt;=Setup!$B$6,1,0)))</f>
        <v/>
      </c>
      <c r="K2329" s="35" t="str">
        <f aca="false">IF($A2329="","",MOD(MONTH($A2329)-Setup!$B$6+12,12)+1)</f>
        <v/>
      </c>
      <c r="L2329" s="36" t="str">
        <f aca="false">IF($A2329="","",TEXT($A2329,"MMM-YY"))</f>
        <v/>
      </c>
      <c r="M2329" s="37" t="str">
        <f aca="false">IF($A2329="","",IF($Q2329=0,"UNMAPPED",INDEX(COA_Mapping!$C$7:$C$256,$Q2329)))</f>
        <v/>
      </c>
      <c r="N2329" s="38" t="str">
        <f aca="false">IF($A2329="","",IF($Q2329=0,"",INDEX(COA_Mapping!$E$7:$E$256,$Q2329)))</f>
        <v/>
      </c>
      <c r="O2329" s="38" t="n">
        <f aca="false">IF($A2329="",1,IF($Q2329=0,1,INDEX(COA_Mapping!$F$7:$F$256,$Q2329)))</f>
        <v>1</v>
      </c>
      <c r="P2329" s="34" t="str">
        <f aca="false">IF($A2329="","",$I2329*$O2329)</f>
        <v/>
      </c>
      <c r="Q2329" s="39" t="n">
        <f aca="false">IF($B2329="",0,IFERROR(MATCH($B2329,COA_Mapping!$A$7:$A$256,0),0))</f>
        <v>0</v>
      </c>
      <c r="R2329" s="39" t="n">
        <f aca="false">IF($A2329="",-1,IF($J2329=Setup!$B$7,1,IF($J2329=Setup!$B$9,0,-1)))</f>
        <v>-1</v>
      </c>
      <c r="S2329" s="35" t="n">
        <f aca="false">IF(OR($A2329="",$Q2329=0,$R2329=-1),0,$Q2329*1000+$R2329*100+$K2329)</f>
        <v>0</v>
      </c>
      <c r="T2329" s="37" t="str">
        <f aca="false">IF($A2329="","",IF($B2329="","NO ACCOUNT",IF($Q2329=0,"UNMAPPED",IF($R2329=-1,"OUTSIDE FY RANGE","OK"))))</f>
        <v/>
      </c>
      <c r="U2329" s="40" t="str">
        <f aca="false">IF($A2329="","",$B2329&amp;"|"&amp;TEXT($A2329,"yyyymmdd")&amp;"|"&amp;TEXT($I2329,"0.00"))</f>
        <v/>
      </c>
      <c r="V2329" s="35" t="str">
        <f aca="false">IF($A2329="","",COUNTIF($U$8:$U$5007,$U2329))</f>
        <v/>
      </c>
    </row>
    <row r="2330" customFormat="false" ht="15" hidden="false" customHeight="false" outlineLevel="0" collapsed="false">
      <c r="A2330" s="31"/>
      <c r="B2330" s="32"/>
      <c r="C2330" s="32"/>
      <c r="D2330" s="32"/>
      <c r="E2330" s="32"/>
      <c r="F2330" s="32"/>
      <c r="G2330" s="33"/>
      <c r="H2330" s="33"/>
      <c r="I2330" s="34" t="str">
        <f aca="false">IF($A2330="","",$G2330-$H2330)</f>
        <v/>
      </c>
      <c r="J2330" s="35" t="str">
        <f aca="false">IF($A2330="","",IF(Setup!$B$6=1,YEAR($A2330),YEAR($A2330)+IF(MONTH($A2330)&gt;=Setup!$B$6,1,0)))</f>
        <v/>
      </c>
      <c r="K2330" s="35" t="str">
        <f aca="false">IF($A2330="","",MOD(MONTH($A2330)-Setup!$B$6+12,12)+1)</f>
        <v/>
      </c>
      <c r="L2330" s="36" t="str">
        <f aca="false">IF($A2330="","",TEXT($A2330,"MMM-YY"))</f>
        <v/>
      </c>
      <c r="M2330" s="37" t="str">
        <f aca="false">IF($A2330="","",IF($Q2330=0,"UNMAPPED",INDEX(COA_Mapping!$C$7:$C$256,$Q2330)))</f>
        <v/>
      </c>
      <c r="N2330" s="38" t="str">
        <f aca="false">IF($A2330="","",IF($Q2330=0,"",INDEX(COA_Mapping!$E$7:$E$256,$Q2330)))</f>
        <v/>
      </c>
      <c r="O2330" s="38" t="n">
        <f aca="false">IF($A2330="",1,IF($Q2330=0,1,INDEX(COA_Mapping!$F$7:$F$256,$Q2330)))</f>
        <v>1</v>
      </c>
      <c r="P2330" s="34" t="str">
        <f aca="false">IF($A2330="","",$I2330*$O2330)</f>
        <v/>
      </c>
      <c r="Q2330" s="39" t="n">
        <f aca="false">IF($B2330="",0,IFERROR(MATCH($B2330,COA_Mapping!$A$7:$A$256,0),0))</f>
        <v>0</v>
      </c>
      <c r="R2330" s="39" t="n">
        <f aca="false">IF($A2330="",-1,IF($J2330=Setup!$B$7,1,IF($J2330=Setup!$B$9,0,-1)))</f>
        <v>-1</v>
      </c>
      <c r="S2330" s="35" t="n">
        <f aca="false">IF(OR($A2330="",$Q2330=0,$R2330=-1),0,$Q2330*1000+$R2330*100+$K2330)</f>
        <v>0</v>
      </c>
      <c r="T2330" s="37" t="str">
        <f aca="false">IF($A2330="","",IF($B2330="","NO ACCOUNT",IF($Q2330=0,"UNMAPPED",IF($R2330=-1,"OUTSIDE FY RANGE","OK"))))</f>
        <v/>
      </c>
      <c r="U2330" s="40" t="str">
        <f aca="false">IF($A2330="","",$B2330&amp;"|"&amp;TEXT($A2330,"yyyymmdd")&amp;"|"&amp;TEXT($I2330,"0.00"))</f>
        <v/>
      </c>
      <c r="V2330" s="35" t="str">
        <f aca="false">IF($A2330="","",COUNTIF($U$8:$U$5007,$U2330))</f>
        <v/>
      </c>
    </row>
    <row r="2331" customFormat="false" ht="15" hidden="false" customHeight="false" outlineLevel="0" collapsed="false">
      <c r="A2331" s="31"/>
      <c r="B2331" s="32"/>
      <c r="C2331" s="32"/>
      <c r="D2331" s="32"/>
      <c r="E2331" s="32"/>
      <c r="F2331" s="32"/>
      <c r="G2331" s="33"/>
      <c r="H2331" s="33"/>
      <c r="I2331" s="34" t="str">
        <f aca="false">IF($A2331="","",$G2331-$H2331)</f>
        <v/>
      </c>
      <c r="J2331" s="35" t="str">
        <f aca="false">IF($A2331="","",IF(Setup!$B$6=1,YEAR($A2331),YEAR($A2331)+IF(MONTH($A2331)&gt;=Setup!$B$6,1,0)))</f>
        <v/>
      </c>
      <c r="K2331" s="35" t="str">
        <f aca="false">IF($A2331="","",MOD(MONTH($A2331)-Setup!$B$6+12,12)+1)</f>
        <v/>
      </c>
      <c r="L2331" s="36" t="str">
        <f aca="false">IF($A2331="","",TEXT($A2331,"MMM-YY"))</f>
        <v/>
      </c>
      <c r="M2331" s="37" t="str">
        <f aca="false">IF($A2331="","",IF($Q2331=0,"UNMAPPED",INDEX(COA_Mapping!$C$7:$C$256,$Q2331)))</f>
        <v/>
      </c>
      <c r="N2331" s="38" t="str">
        <f aca="false">IF($A2331="","",IF($Q2331=0,"",INDEX(COA_Mapping!$E$7:$E$256,$Q2331)))</f>
        <v/>
      </c>
      <c r="O2331" s="38" t="n">
        <f aca="false">IF($A2331="",1,IF($Q2331=0,1,INDEX(COA_Mapping!$F$7:$F$256,$Q2331)))</f>
        <v>1</v>
      </c>
      <c r="P2331" s="34" t="str">
        <f aca="false">IF($A2331="","",$I2331*$O2331)</f>
        <v/>
      </c>
      <c r="Q2331" s="39" t="n">
        <f aca="false">IF($B2331="",0,IFERROR(MATCH($B2331,COA_Mapping!$A$7:$A$256,0),0))</f>
        <v>0</v>
      </c>
      <c r="R2331" s="39" t="n">
        <f aca="false">IF($A2331="",-1,IF($J2331=Setup!$B$7,1,IF($J2331=Setup!$B$9,0,-1)))</f>
        <v>-1</v>
      </c>
      <c r="S2331" s="35" t="n">
        <f aca="false">IF(OR($A2331="",$Q2331=0,$R2331=-1),0,$Q2331*1000+$R2331*100+$K2331)</f>
        <v>0</v>
      </c>
      <c r="T2331" s="37" t="str">
        <f aca="false">IF($A2331="","",IF($B2331="","NO ACCOUNT",IF($Q2331=0,"UNMAPPED",IF($R2331=-1,"OUTSIDE FY RANGE","OK"))))</f>
        <v/>
      </c>
      <c r="U2331" s="40" t="str">
        <f aca="false">IF($A2331="","",$B2331&amp;"|"&amp;TEXT($A2331,"yyyymmdd")&amp;"|"&amp;TEXT($I2331,"0.00"))</f>
        <v/>
      </c>
      <c r="V2331" s="35" t="str">
        <f aca="false">IF($A2331="","",COUNTIF($U$8:$U$5007,$U2331))</f>
        <v/>
      </c>
    </row>
    <row r="2332" customFormat="false" ht="15" hidden="false" customHeight="false" outlineLevel="0" collapsed="false">
      <c r="A2332" s="31"/>
      <c r="B2332" s="32"/>
      <c r="C2332" s="32"/>
      <c r="D2332" s="32"/>
      <c r="E2332" s="32"/>
      <c r="F2332" s="32"/>
      <c r="G2332" s="33"/>
      <c r="H2332" s="33"/>
      <c r="I2332" s="34" t="str">
        <f aca="false">IF($A2332="","",$G2332-$H2332)</f>
        <v/>
      </c>
      <c r="J2332" s="35" t="str">
        <f aca="false">IF($A2332="","",IF(Setup!$B$6=1,YEAR($A2332),YEAR($A2332)+IF(MONTH($A2332)&gt;=Setup!$B$6,1,0)))</f>
        <v/>
      </c>
      <c r="K2332" s="35" t="str">
        <f aca="false">IF($A2332="","",MOD(MONTH($A2332)-Setup!$B$6+12,12)+1)</f>
        <v/>
      </c>
      <c r="L2332" s="36" t="str">
        <f aca="false">IF($A2332="","",TEXT($A2332,"MMM-YY"))</f>
        <v/>
      </c>
      <c r="M2332" s="37" t="str">
        <f aca="false">IF($A2332="","",IF($Q2332=0,"UNMAPPED",INDEX(COA_Mapping!$C$7:$C$256,$Q2332)))</f>
        <v/>
      </c>
      <c r="N2332" s="38" t="str">
        <f aca="false">IF($A2332="","",IF($Q2332=0,"",INDEX(COA_Mapping!$E$7:$E$256,$Q2332)))</f>
        <v/>
      </c>
      <c r="O2332" s="38" t="n">
        <f aca="false">IF($A2332="",1,IF($Q2332=0,1,INDEX(COA_Mapping!$F$7:$F$256,$Q2332)))</f>
        <v>1</v>
      </c>
      <c r="P2332" s="34" t="str">
        <f aca="false">IF($A2332="","",$I2332*$O2332)</f>
        <v/>
      </c>
      <c r="Q2332" s="39" t="n">
        <f aca="false">IF($B2332="",0,IFERROR(MATCH($B2332,COA_Mapping!$A$7:$A$256,0),0))</f>
        <v>0</v>
      </c>
      <c r="R2332" s="39" t="n">
        <f aca="false">IF($A2332="",-1,IF($J2332=Setup!$B$7,1,IF($J2332=Setup!$B$9,0,-1)))</f>
        <v>-1</v>
      </c>
      <c r="S2332" s="35" t="n">
        <f aca="false">IF(OR($A2332="",$Q2332=0,$R2332=-1),0,$Q2332*1000+$R2332*100+$K2332)</f>
        <v>0</v>
      </c>
      <c r="T2332" s="37" t="str">
        <f aca="false">IF($A2332="","",IF($B2332="","NO ACCOUNT",IF($Q2332=0,"UNMAPPED",IF($R2332=-1,"OUTSIDE FY RANGE","OK"))))</f>
        <v/>
      </c>
      <c r="U2332" s="40" t="str">
        <f aca="false">IF($A2332="","",$B2332&amp;"|"&amp;TEXT($A2332,"yyyymmdd")&amp;"|"&amp;TEXT($I2332,"0.00"))</f>
        <v/>
      </c>
      <c r="V2332" s="35" t="str">
        <f aca="false">IF($A2332="","",COUNTIF($U$8:$U$5007,$U2332))</f>
        <v/>
      </c>
    </row>
    <row r="2333" customFormat="false" ht="15" hidden="false" customHeight="false" outlineLevel="0" collapsed="false">
      <c r="A2333" s="31"/>
      <c r="B2333" s="32"/>
      <c r="C2333" s="32"/>
      <c r="D2333" s="32"/>
      <c r="E2333" s="32"/>
      <c r="F2333" s="32"/>
      <c r="G2333" s="33"/>
      <c r="H2333" s="33"/>
      <c r="I2333" s="34" t="str">
        <f aca="false">IF($A2333="","",$G2333-$H2333)</f>
        <v/>
      </c>
      <c r="J2333" s="35" t="str">
        <f aca="false">IF($A2333="","",IF(Setup!$B$6=1,YEAR($A2333),YEAR($A2333)+IF(MONTH($A2333)&gt;=Setup!$B$6,1,0)))</f>
        <v/>
      </c>
      <c r="K2333" s="35" t="str">
        <f aca="false">IF($A2333="","",MOD(MONTH($A2333)-Setup!$B$6+12,12)+1)</f>
        <v/>
      </c>
      <c r="L2333" s="36" t="str">
        <f aca="false">IF($A2333="","",TEXT($A2333,"MMM-YY"))</f>
        <v/>
      </c>
      <c r="M2333" s="37" t="str">
        <f aca="false">IF($A2333="","",IF($Q2333=0,"UNMAPPED",INDEX(COA_Mapping!$C$7:$C$256,$Q2333)))</f>
        <v/>
      </c>
      <c r="N2333" s="38" t="str">
        <f aca="false">IF($A2333="","",IF($Q2333=0,"",INDEX(COA_Mapping!$E$7:$E$256,$Q2333)))</f>
        <v/>
      </c>
      <c r="O2333" s="38" t="n">
        <f aca="false">IF($A2333="",1,IF($Q2333=0,1,INDEX(COA_Mapping!$F$7:$F$256,$Q2333)))</f>
        <v>1</v>
      </c>
      <c r="P2333" s="34" t="str">
        <f aca="false">IF($A2333="","",$I2333*$O2333)</f>
        <v/>
      </c>
      <c r="Q2333" s="39" t="n">
        <f aca="false">IF($B2333="",0,IFERROR(MATCH($B2333,COA_Mapping!$A$7:$A$256,0),0))</f>
        <v>0</v>
      </c>
      <c r="R2333" s="39" t="n">
        <f aca="false">IF($A2333="",-1,IF($J2333=Setup!$B$7,1,IF($J2333=Setup!$B$9,0,-1)))</f>
        <v>-1</v>
      </c>
      <c r="S2333" s="35" t="n">
        <f aca="false">IF(OR($A2333="",$Q2333=0,$R2333=-1),0,$Q2333*1000+$R2333*100+$K2333)</f>
        <v>0</v>
      </c>
      <c r="T2333" s="37" t="str">
        <f aca="false">IF($A2333="","",IF($B2333="","NO ACCOUNT",IF($Q2333=0,"UNMAPPED",IF($R2333=-1,"OUTSIDE FY RANGE","OK"))))</f>
        <v/>
      </c>
      <c r="U2333" s="40" t="str">
        <f aca="false">IF($A2333="","",$B2333&amp;"|"&amp;TEXT($A2333,"yyyymmdd")&amp;"|"&amp;TEXT($I2333,"0.00"))</f>
        <v/>
      </c>
      <c r="V2333" s="35" t="str">
        <f aca="false">IF($A2333="","",COUNTIF($U$8:$U$5007,$U2333))</f>
        <v/>
      </c>
    </row>
    <row r="2334" customFormat="false" ht="15" hidden="false" customHeight="false" outlineLevel="0" collapsed="false">
      <c r="A2334" s="31"/>
      <c r="B2334" s="32"/>
      <c r="C2334" s="32"/>
      <c r="D2334" s="32"/>
      <c r="E2334" s="32"/>
      <c r="F2334" s="32"/>
      <c r="G2334" s="33"/>
      <c r="H2334" s="33"/>
      <c r="I2334" s="34" t="str">
        <f aca="false">IF($A2334="","",$G2334-$H2334)</f>
        <v/>
      </c>
      <c r="J2334" s="35" t="str">
        <f aca="false">IF($A2334="","",IF(Setup!$B$6=1,YEAR($A2334),YEAR($A2334)+IF(MONTH($A2334)&gt;=Setup!$B$6,1,0)))</f>
        <v/>
      </c>
      <c r="K2334" s="35" t="str">
        <f aca="false">IF($A2334="","",MOD(MONTH($A2334)-Setup!$B$6+12,12)+1)</f>
        <v/>
      </c>
      <c r="L2334" s="36" t="str">
        <f aca="false">IF($A2334="","",TEXT($A2334,"MMM-YY"))</f>
        <v/>
      </c>
      <c r="M2334" s="37" t="str">
        <f aca="false">IF($A2334="","",IF($Q2334=0,"UNMAPPED",INDEX(COA_Mapping!$C$7:$C$256,$Q2334)))</f>
        <v/>
      </c>
      <c r="N2334" s="38" t="str">
        <f aca="false">IF($A2334="","",IF($Q2334=0,"",INDEX(COA_Mapping!$E$7:$E$256,$Q2334)))</f>
        <v/>
      </c>
      <c r="O2334" s="38" t="n">
        <f aca="false">IF($A2334="",1,IF($Q2334=0,1,INDEX(COA_Mapping!$F$7:$F$256,$Q2334)))</f>
        <v>1</v>
      </c>
      <c r="P2334" s="34" t="str">
        <f aca="false">IF($A2334="","",$I2334*$O2334)</f>
        <v/>
      </c>
      <c r="Q2334" s="39" t="n">
        <f aca="false">IF($B2334="",0,IFERROR(MATCH($B2334,COA_Mapping!$A$7:$A$256,0),0))</f>
        <v>0</v>
      </c>
      <c r="R2334" s="39" t="n">
        <f aca="false">IF($A2334="",-1,IF($J2334=Setup!$B$7,1,IF($J2334=Setup!$B$9,0,-1)))</f>
        <v>-1</v>
      </c>
      <c r="S2334" s="35" t="n">
        <f aca="false">IF(OR($A2334="",$Q2334=0,$R2334=-1),0,$Q2334*1000+$R2334*100+$K2334)</f>
        <v>0</v>
      </c>
      <c r="T2334" s="37" t="str">
        <f aca="false">IF($A2334="","",IF($B2334="","NO ACCOUNT",IF($Q2334=0,"UNMAPPED",IF($R2334=-1,"OUTSIDE FY RANGE","OK"))))</f>
        <v/>
      </c>
      <c r="U2334" s="40" t="str">
        <f aca="false">IF($A2334="","",$B2334&amp;"|"&amp;TEXT($A2334,"yyyymmdd")&amp;"|"&amp;TEXT($I2334,"0.00"))</f>
        <v/>
      </c>
      <c r="V2334" s="35" t="str">
        <f aca="false">IF($A2334="","",COUNTIF($U$8:$U$5007,$U2334))</f>
        <v/>
      </c>
    </row>
    <row r="2335" customFormat="false" ht="15" hidden="false" customHeight="false" outlineLevel="0" collapsed="false">
      <c r="A2335" s="31"/>
      <c r="B2335" s="32"/>
      <c r="C2335" s="32"/>
      <c r="D2335" s="32"/>
      <c r="E2335" s="32"/>
      <c r="F2335" s="32"/>
      <c r="G2335" s="33"/>
      <c r="H2335" s="33"/>
      <c r="I2335" s="34" t="str">
        <f aca="false">IF($A2335="","",$G2335-$H2335)</f>
        <v/>
      </c>
      <c r="J2335" s="35" t="str">
        <f aca="false">IF($A2335="","",IF(Setup!$B$6=1,YEAR($A2335),YEAR($A2335)+IF(MONTH($A2335)&gt;=Setup!$B$6,1,0)))</f>
        <v/>
      </c>
      <c r="K2335" s="35" t="str">
        <f aca="false">IF($A2335="","",MOD(MONTH($A2335)-Setup!$B$6+12,12)+1)</f>
        <v/>
      </c>
      <c r="L2335" s="36" t="str">
        <f aca="false">IF($A2335="","",TEXT($A2335,"MMM-YY"))</f>
        <v/>
      </c>
      <c r="M2335" s="37" t="str">
        <f aca="false">IF($A2335="","",IF($Q2335=0,"UNMAPPED",INDEX(COA_Mapping!$C$7:$C$256,$Q2335)))</f>
        <v/>
      </c>
      <c r="N2335" s="38" t="str">
        <f aca="false">IF($A2335="","",IF($Q2335=0,"",INDEX(COA_Mapping!$E$7:$E$256,$Q2335)))</f>
        <v/>
      </c>
      <c r="O2335" s="38" t="n">
        <f aca="false">IF($A2335="",1,IF($Q2335=0,1,INDEX(COA_Mapping!$F$7:$F$256,$Q2335)))</f>
        <v>1</v>
      </c>
      <c r="P2335" s="34" t="str">
        <f aca="false">IF($A2335="","",$I2335*$O2335)</f>
        <v/>
      </c>
      <c r="Q2335" s="39" t="n">
        <f aca="false">IF($B2335="",0,IFERROR(MATCH($B2335,COA_Mapping!$A$7:$A$256,0),0))</f>
        <v>0</v>
      </c>
      <c r="R2335" s="39" t="n">
        <f aca="false">IF($A2335="",-1,IF($J2335=Setup!$B$7,1,IF($J2335=Setup!$B$9,0,-1)))</f>
        <v>-1</v>
      </c>
      <c r="S2335" s="35" t="n">
        <f aca="false">IF(OR($A2335="",$Q2335=0,$R2335=-1),0,$Q2335*1000+$R2335*100+$K2335)</f>
        <v>0</v>
      </c>
      <c r="T2335" s="37" t="str">
        <f aca="false">IF($A2335="","",IF($B2335="","NO ACCOUNT",IF($Q2335=0,"UNMAPPED",IF($R2335=-1,"OUTSIDE FY RANGE","OK"))))</f>
        <v/>
      </c>
      <c r="U2335" s="40" t="str">
        <f aca="false">IF($A2335="","",$B2335&amp;"|"&amp;TEXT($A2335,"yyyymmdd")&amp;"|"&amp;TEXT($I2335,"0.00"))</f>
        <v/>
      </c>
      <c r="V2335" s="35" t="str">
        <f aca="false">IF($A2335="","",COUNTIF($U$8:$U$5007,$U2335))</f>
        <v/>
      </c>
    </row>
    <row r="2336" customFormat="false" ht="15" hidden="false" customHeight="false" outlineLevel="0" collapsed="false">
      <c r="A2336" s="31"/>
      <c r="B2336" s="32"/>
      <c r="C2336" s="32"/>
      <c r="D2336" s="32"/>
      <c r="E2336" s="32"/>
      <c r="F2336" s="32"/>
      <c r="G2336" s="33"/>
      <c r="H2336" s="33"/>
      <c r="I2336" s="34" t="str">
        <f aca="false">IF($A2336="","",$G2336-$H2336)</f>
        <v/>
      </c>
      <c r="J2336" s="35" t="str">
        <f aca="false">IF($A2336="","",IF(Setup!$B$6=1,YEAR($A2336),YEAR($A2336)+IF(MONTH($A2336)&gt;=Setup!$B$6,1,0)))</f>
        <v/>
      </c>
      <c r="K2336" s="35" t="str">
        <f aca="false">IF($A2336="","",MOD(MONTH($A2336)-Setup!$B$6+12,12)+1)</f>
        <v/>
      </c>
      <c r="L2336" s="36" t="str">
        <f aca="false">IF($A2336="","",TEXT($A2336,"MMM-YY"))</f>
        <v/>
      </c>
      <c r="M2336" s="37" t="str">
        <f aca="false">IF($A2336="","",IF($Q2336=0,"UNMAPPED",INDEX(COA_Mapping!$C$7:$C$256,$Q2336)))</f>
        <v/>
      </c>
      <c r="N2336" s="38" t="str">
        <f aca="false">IF($A2336="","",IF($Q2336=0,"",INDEX(COA_Mapping!$E$7:$E$256,$Q2336)))</f>
        <v/>
      </c>
      <c r="O2336" s="38" t="n">
        <f aca="false">IF($A2336="",1,IF($Q2336=0,1,INDEX(COA_Mapping!$F$7:$F$256,$Q2336)))</f>
        <v>1</v>
      </c>
      <c r="P2336" s="34" t="str">
        <f aca="false">IF($A2336="","",$I2336*$O2336)</f>
        <v/>
      </c>
      <c r="Q2336" s="39" t="n">
        <f aca="false">IF($B2336="",0,IFERROR(MATCH($B2336,COA_Mapping!$A$7:$A$256,0),0))</f>
        <v>0</v>
      </c>
      <c r="R2336" s="39" t="n">
        <f aca="false">IF($A2336="",-1,IF($J2336=Setup!$B$7,1,IF($J2336=Setup!$B$9,0,-1)))</f>
        <v>-1</v>
      </c>
      <c r="S2336" s="35" t="n">
        <f aca="false">IF(OR($A2336="",$Q2336=0,$R2336=-1),0,$Q2336*1000+$R2336*100+$K2336)</f>
        <v>0</v>
      </c>
      <c r="T2336" s="37" t="str">
        <f aca="false">IF($A2336="","",IF($B2336="","NO ACCOUNT",IF($Q2336=0,"UNMAPPED",IF($R2336=-1,"OUTSIDE FY RANGE","OK"))))</f>
        <v/>
      </c>
      <c r="U2336" s="40" t="str">
        <f aca="false">IF($A2336="","",$B2336&amp;"|"&amp;TEXT($A2336,"yyyymmdd")&amp;"|"&amp;TEXT($I2336,"0.00"))</f>
        <v/>
      </c>
      <c r="V2336" s="35" t="str">
        <f aca="false">IF($A2336="","",COUNTIF($U$8:$U$5007,$U2336))</f>
        <v/>
      </c>
    </row>
    <row r="2337" customFormat="false" ht="15" hidden="false" customHeight="false" outlineLevel="0" collapsed="false">
      <c r="A2337" s="31"/>
      <c r="B2337" s="32"/>
      <c r="C2337" s="32"/>
      <c r="D2337" s="32"/>
      <c r="E2337" s="32"/>
      <c r="F2337" s="32"/>
      <c r="G2337" s="33"/>
      <c r="H2337" s="33"/>
      <c r="I2337" s="34" t="str">
        <f aca="false">IF($A2337="","",$G2337-$H2337)</f>
        <v/>
      </c>
      <c r="J2337" s="35" t="str">
        <f aca="false">IF($A2337="","",IF(Setup!$B$6=1,YEAR($A2337),YEAR($A2337)+IF(MONTH($A2337)&gt;=Setup!$B$6,1,0)))</f>
        <v/>
      </c>
      <c r="K2337" s="35" t="str">
        <f aca="false">IF($A2337="","",MOD(MONTH($A2337)-Setup!$B$6+12,12)+1)</f>
        <v/>
      </c>
      <c r="L2337" s="36" t="str">
        <f aca="false">IF($A2337="","",TEXT($A2337,"MMM-YY"))</f>
        <v/>
      </c>
      <c r="M2337" s="37" t="str">
        <f aca="false">IF($A2337="","",IF($Q2337=0,"UNMAPPED",INDEX(COA_Mapping!$C$7:$C$256,$Q2337)))</f>
        <v/>
      </c>
      <c r="N2337" s="38" t="str">
        <f aca="false">IF($A2337="","",IF($Q2337=0,"",INDEX(COA_Mapping!$E$7:$E$256,$Q2337)))</f>
        <v/>
      </c>
      <c r="O2337" s="38" t="n">
        <f aca="false">IF($A2337="",1,IF($Q2337=0,1,INDEX(COA_Mapping!$F$7:$F$256,$Q2337)))</f>
        <v>1</v>
      </c>
      <c r="P2337" s="34" t="str">
        <f aca="false">IF($A2337="","",$I2337*$O2337)</f>
        <v/>
      </c>
      <c r="Q2337" s="39" t="n">
        <f aca="false">IF($B2337="",0,IFERROR(MATCH($B2337,COA_Mapping!$A$7:$A$256,0),0))</f>
        <v>0</v>
      </c>
      <c r="R2337" s="39" t="n">
        <f aca="false">IF($A2337="",-1,IF($J2337=Setup!$B$7,1,IF($J2337=Setup!$B$9,0,-1)))</f>
        <v>-1</v>
      </c>
      <c r="S2337" s="35" t="n">
        <f aca="false">IF(OR($A2337="",$Q2337=0,$R2337=-1),0,$Q2337*1000+$R2337*100+$K2337)</f>
        <v>0</v>
      </c>
      <c r="T2337" s="37" t="str">
        <f aca="false">IF($A2337="","",IF($B2337="","NO ACCOUNT",IF($Q2337=0,"UNMAPPED",IF($R2337=-1,"OUTSIDE FY RANGE","OK"))))</f>
        <v/>
      </c>
      <c r="U2337" s="40" t="str">
        <f aca="false">IF($A2337="","",$B2337&amp;"|"&amp;TEXT($A2337,"yyyymmdd")&amp;"|"&amp;TEXT($I2337,"0.00"))</f>
        <v/>
      </c>
      <c r="V2337" s="35" t="str">
        <f aca="false">IF($A2337="","",COUNTIF($U$8:$U$5007,$U2337))</f>
        <v/>
      </c>
    </row>
    <row r="2338" customFormat="false" ht="15" hidden="false" customHeight="false" outlineLevel="0" collapsed="false">
      <c r="A2338" s="31"/>
      <c r="B2338" s="32"/>
      <c r="C2338" s="32"/>
      <c r="D2338" s="32"/>
      <c r="E2338" s="32"/>
      <c r="F2338" s="32"/>
      <c r="G2338" s="33"/>
      <c r="H2338" s="33"/>
      <c r="I2338" s="34" t="str">
        <f aca="false">IF($A2338="","",$G2338-$H2338)</f>
        <v/>
      </c>
      <c r="J2338" s="35" t="str">
        <f aca="false">IF($A2338="","",IF(Setup!$B$6=1,YEAR($A2338),YEAR($A2338)+IF(MONTH($A2338)&gt;=Setup!$B$6,1,0)))</f>
        <v/>
      </c>
      <c r="K2338" s="35" t="str">
        <f aca="false">IF($A2338="","",MOD(MONTH($A2338)-Setup!$B$6+12,12)+1)</f>
        <v/>
      </c>
      <c r="L2338" s="36" t="str">
        <f aca="false">IF($A2338="","",TEXT($A2338,"MMM-YY"))</f>
        <v/>
      </c>
      <c r="M2338" s="37" t="str">
        <f aca="false">IF($A2338="","",IF($Q2338=0,"UNMAPPED",INDEX(COA_Mapping!$C$7:$C$256,$Q2338)))</f>
        <v/>
      </c>
      <c r="N2338" s="38" t="str">
        <f aca="false">IF($A2338="","",IF($Q2338=0,"",INDEX(COA_Mapping!$E$7:$E$256,$Q2338)))</f>
        <v/>
      </c>
      <c r="O2338" s="38" t="n">
        <f aca="false">IF($A2338="",1,IF($Q2338=0,1,INDEX(COA_Mapping!$F$7:$F$256,$Q2338)))</f>
        <v>1</v>
      </c>
      <c r="P2338" s="34" t="str">
        <f aca="false">IF($A2338="","",$I2338*$O2338)</f>
        <v/>
      </c>
      <c r="Q2338" s="39" t="n">
        <f aca="false">IF($B2338="",0,IFERROR(MATCH($B2338,COA_Mapping!$A$7:$A$256,0),0))</f>
        <v>0</v>
      </c>
      <c r="R2338" s="39" t="n">
        <f aca="false">IF($A2338="",-1,IF($J2338=Setup!$B$7,1,IF($J2338=Setup!$B$9,0,-1)))</f>
        <v>-1</v>
      </c>
      <c r="S2338" s="35" t="n">
        <f aca="false">IF(OR($A2338="",$Q2338=0,$R2338=-1),0,$Q2338*1000+$R2338*100+$K2338)</f>
        <v>0</v>
      </c>
      <c r="T2338" s="37" t="str">
        <f aca="false">IF($A2338="","",IF($B2338="","NO ACCOUNT",IF($Q2338=0,"UNMAPPED",IF($R2338=-1,"OUTSIDE FY RANGE","OK"))))</f>
        <v/>
      </c>
      <c r="U2338" s="40" t="str">
        <f aca="false">IF($A2338="","",$B2338&amp;"|"&amp;TEXT($A2338,"yyyymmdd")&amp;"|"&amp;TEXT($I2338,"0.00"))</f>
        <v/>
      </c>
      <c r="V2338" s="35" t="str">
        <f aca="false">IF($A2338="","",COUNTIF($U$8:$U$5007,$U2338))</f>
        <v/>
      </c>
    </row>
    <row r="2339" customFormat="false" ht="15" hidden="false" customHeight="false" outlineLevel="0" collapsed="false">
      <c r="A2339" s="31"/>
      <c r="B2339" s="32"/>
      <c r="C2339" s="32"/>
      <c r="D2339" s="32"/>
      <c r="E2339" s="32"/>
      <c r="F2339" s="32"/>
      <c r="G2339" s="33"/>
      <c r="H2339" s="33"/>
      <c r="I2339" s="34" t="str">
        <f aca="false">IF($A2339="","",$G2339-$H2339)</f>
        <v/>
      </c>
      <c r="J2339" s="35" t="str">
        <f aca="false">IF($A2339="","",IF(Setup!$B$6=1,YEAR($A2339),YEAR($A2339)+IF(MONTH($A2339)&gt;=Setup!$B$6,1,0)))</f>
        <v/>
      </c>
      <c r="K2339" s="35" t="str">
        <f aca="false">IF($A2339="","",MOD(MONTH($A2339)-Setup!$B$6+12,12)+1)</f>
        <v/>
      </c>
      <c r="L2339" s="36" t="str">
        <f aca="false">IF($A2339="","",TEXT($A2339,"MMM-YY"))</f>
        <v/>
      </c>
      <c r="M2339" s="37" t="str">
        <f aca="false">IF($A2339="","",IF($Q2339=0,"UNMAPPED",INDEX(COA_Mapping!$C$7:$C$256,$Q2339)))</f>
        <v/>
      </c>
      <c r="N2339" s="38" t="str">
        <f aca="false">IF($A2339="","",IF($Q2339=0,"",INDEX(COA_Mapping!$E$7:$E$256,$Q2339)))</f>
        <v/>
      </c>
      <c r="O2339" s="38" t="n">
        <f aca="false">IF($A2339="",1,IF($Q2339=0,1,INDEX(COA_Mapping!$F$7:$F$256,$Q2339)))</f>
        <v>1</v>
      </c>
      <c r="P2339" s="34" t="str">
        <f aca="false">IF($A2339="","",$I2339*$O2339)</f>
        <v/>
      </c>
      <c r="Q2339" s="39" t="n">
        <f aca="false">IF($B2339="",0,IFERROR(MATCH($B2339,COA_Mapping!$A$7:$A$256,0),0))</f>
        <v>0</v>
      </c>
      <c r="R2339" s="39" t="n">
        <f aca="false">IF($A2339="",-1,IF($J2339=Setup!$B$7,1,IF($J2339=Setup!$B$9,0,-1)))</f>
        <v>-1</v>
      </c>
      <c r="S2339" s="35" t="n">
        <f aca="false">IF(OR($A2339="",$Q2339=0,$R2339=-1),0,$Q2339*1000+$R2339*100+$K2339)</f>
        <v>0</v>
      </c>
      <c r="T2339" s="37" t="str">
        <f aca="false">IF($A2339="","",IF($B2339="","NO ACCOUNT",IF($Q2339=0,"UNMAPPED",IF($R2339=-1,"OUTSIDE FY RANGE","OK"))))</f>
        <v/>
      </c>
      <c r="U2339" s="40" t="str">
        <f aca="false">IF($A2339="","",$B2339&amp;"|"&amp;TEXT($A2339,"yyyymmdd")&amp;"|"&amp;TEXT($I2339,"0.00"))</f>
        <v/>
      </c>
      <c r="V2339" s="35" t="str">
        <f aca="false">IF($A2339="","",COUNTIF($U$8:$U$5007,$U2339))</f>
        <v/>
      </c>
    </row>
    <row r="2340" customFormat="false" ht="15" hidden="false" customHeight="false" outlineLevel="0" collapsed="false">
      <c r="A2340" s="31"/>
      <c r="B2340" s="32"/>
      <c r="C2340" s="32"/>
      <c r="D2340" s="32"/>
      <c r="E2340" s="32"/>
      <c r="F2340" s="32"/>
      <c r="G2340" s="33"/>
      <c r="H2340" s="33"/>
      <c r="I2340" s="34" t="str">
        <f aca="false">IF($A2340="","",$G2340-$H2340)</f>
        <v/>
      </c>
      <c r="J2340" s="35" t="str">
        <f aca="false">IF($A2340="","",IF(Setup!$B$6=1,YEAR($A2340),YEAR($A2340)+IF(MONTH($A2340)&gt;=Setup!$B$6,1,0)))</f>
        <v/>
      </c>
      <c r="K2340" s="35" t="str">
        <f aca="false">IF($A2340="","",MOD(MONTH($A2340)-Setup!$B$6+12,12)+1)</f>
        <v/>
      </c>
      <c r="L2340" s="36" t="str">
        <f aca="false">IF($A2340="","",TEXT($A2340,"MMM-YY"))</f>
        <v/>
      </c>
      <c r="M2340" s="37" t="str">
        <f aca="false">IF($A2340="","",IF($Q2340=0,"UNMAPPED",INDEX(COA_Mapping!$C$7:$C$256,$Q2340)))</f>
        <v/>
      </c>
      <c r="N2340" s="38" t="str">
        <f aca="false">IF($A2340="","",IF($Q2340=0,"",INDEX(COA_Mapping!$E$7:$E$256,$Q2340)))</f>
        <v/>
      </c>
      <c r="O2340" s="38" t="n">
        <f aca="false">IF($A2340="",1,IF($Q2340=0,1,INDEX(COA_Mapping!$F$7:$F$256,$Q2340)))</f>
        <v>1</v>
      </c>
      <c r="P2340" s="34" t="str">
        <f aca="false">IF($A2340="","",$I2340*$O2340)</f>
        <v/>
      </c>
      <c r="Q2340" s="39" t="n">
        <f aca="false">IF($B2340="",0,IFERROR(MATCH($B2340,COA_Mapping!$A$7:$A$256,0),0))</f>
        <v>0</v>
      </c>
      <c r="R2340" s="39" t="n">
        <f aca="false">IF($A2340="",-1,IF($J2340=Setup!$B$7,1,IF($J2340=Setup!$B$9,0,-1)))</f>
        <v>-1</v>
      </c>
      <c r="S2340" s="35" t="n">
        <f aca="false">IF(OR($A2340="",$Q2340=0,$R2340=-1),0,$Q2340*1000+$R2340*100+$K2340)</f>
        <v>0</v>
      </c>
      <c r="T2340" s="37" t="str">
        <f aca="false">IF($A2340="","",IF($B2340="","NO ACCOUNT",IF($Q2340=0,"UNMAPPED",IF($R2340=-1,"OUTSIDE FY RANGE","OK"))))</f>
        <v/>
      </c>
      <c r="U2340" s="40" t="str">
        <f aca="false">IF($A2340="","",$B2340&amp;"|"&amp;TEXT($A2340,"yyyymmdd")&amp;"|"&amp;TEXT($I2340,"0.00"))</f>
        <v/>
      </c>
      <c r="V2340" s="35" t="str">
        <f aca="false">IF($A2340="","",COUNTIF($U$8:$U$5007,$U2340))</f>
        <v/>
      </c>
    </row>
    <row r="2341" customFormat="false" ht="15" hidden="false" customHeight="false" outlineLevel="0" collapsed="false">
      <c r="A2341" s="31"/>
      <c r="B2341" s="32"/>
      <c r="C2341" s="32"/>
      <c r="D2341" s="32"/>
      <c r="E2341" s="32"/>
      <c r="F2341" s="32"/>
      <c r="G2341" s="33"/>
      <c r="H2341" s="33"/>
      <c r="I2341" s="34" t="str">
        <f aca="false">IF($A2341="","",$G2341-$H2341)</f>
        <v/>
      </c>
      <c r="J2341" s="35" t="str">
        <f aca="false">IF($A2341="","",IF(Setup!$B$6=1,YEAR($A2341),YEAR($A2341)+IF(MONTH($A2341)&gt;=Setup!$B$6,1,0)))</f>
        <v/>
      </c>
      <c r="K2341" s="35" t="str">
        <f aca="false">IF($A2341="","",MOD(MONTH($A2341)-Setup!$B$6+12,12)+1)</f>
        <v/>
      </c>
      <c r="L2341" s="36" t="str">
        <f aca="false">IF($A2341="","",TEXT($A2341,"MMM-YY"))</f>
        <v/>
      </c>
      <c r="M2341" s="37" t="str">
        <f aca="false">IF($A2341="","",IF($Q2341=0,"UNMAPPED",INDEX(COA_Mapping!$C$7:$C$256,$Q2341)))</f>
        <v/>
      </c>
      <c r="N2341" s="38" t="str">
        <f aca="false">IF($A2341="","",IF($Q2341=0,"",INDEX(COA_Mapping!$E$7:$E$256,$Q2341)))</f>
        <v/>
      </c>
      <c r="O2341" s="38" t="n">
        <f aca="false">IF($A2341="",1,IF($Q2341=0,1,INDEX(COA_Mapping!$F$7:$F$256,$Q2341)))</f>
        <v>1</v>
      </c>
      <c r="P2341" s="34" t="str">
        <f aca="false">IF($A2341="","",$I2341*$O2341)</f>
        <v/>
      </c>
      <c r="Q2341" s="39" t="n">
        <f aca="false">IF($B2341="",0,IFERROR(MATCH($B2341,COA_Mapping!$A$7:$A$256,0),0))</f>
        <v>0</v>
      </c>
      <c r="R2341" s="39" t="n">
        <f aca="false">IF($A2341="",-1,IF($J2341=Setup!$B$7,1,IF($J2341=Setup!$B$9,0,-1)))</f>
        <v>-1</v>
      </c>
      <c r="S2341" s="35" t="n">
        <f aca="false">IF(OR($A2341="",$Q2341=0,$R2341=-1),0,$Q2341*1000+$R2341*100+$K2341)</f>
        <v>0</v>
      </c>
      <c r="T2341" s="37" t="str">
        <f aca="false">IF($A2341="","",IF($B2341="","NO ACCOUNT",IF($Q2341=0,"UNMAPPED",IF($R2341=-1,"OUTSIDE FY RANGE","OK"))))</f>
        <v/>
      </c>
      <c r="U2341" s="40" t="str">
        <f aca="false">IF($A2341="","",$B2341&amp;"|"&amp;TEXT($A2341,"yyyymmdd")&amp;"|"&amp;TEXT($I2341,"0.00"))</f>
        <v/>
      </c>
      <c r="V2341" s="35" t="str">
        <f aca="false">IF($A2341="","",COUNTIF($U$8:$U$5007,$U2341))</f>
        <v/>
      </c>
    </row>
    <row r="2342" customFormat="false" ht="15" hidden="false" customHeight="false" outlineLevel="0" collapsed="false">
      <c r="A2342" s="31"/>
      <c r="B2342" s="32"/>
      <c r="C2342" s="32"/>
      <c r="D2342" s="32"/>
      <c r="E2342" s="32"/>
      <c r="F2342" s="32"/>
      <c r="G2342" s="33"/>
      <c r="H2342" s="33"/>
      <c r="I2342" s="34" t="str">
        <f aca="false">IF($A2342="","",$G2342-$H2342)</f>
        <v/>
      </c>
      <c r="J2342" s="35" t="str">
        <f aca="false">IF($A2342="","",IF(Setup!$B$6=1,YEAR($A2342),YEAR($A2342)+IF(MONTH($A2342)&gt;=Setup!$B$6,1,0)))</f>
        <v/>
      </c>
      <c r="K2342" s="35" t="str">
        <f aca="false">IF($A2342="","",MOD(MONTH($A2342)-Setup!$B$6+12,12)+1)</f>
        <v/>
      </c>
      <c r="L2342" s="36" t="str">
        <f aca="false">IF($A2342="","",TEXT($A2342,"MMM-YY"))</f>
        <v/>
      </c>
      <c r="M2342" s="37" t="str">
        <f aca="false">IF($A2342="","",IF($Q2342=0,"UNMAPPED",INDEX(COA_Mapping!$C$7:$C$256,$Q2342)))</f>
        <v/>
      </c>
      <c r="N2342" s="38" t="str">
        <f aca="false">IF($A2342="","",IF($Q2342=0,"",INDEX(COA_Mapping!$E$7:$E$256,$Q2342)))</f>
        <v/>
      </c>
      <c r="O2342" s="38" t="n">
        <f aca="false">IF($A2342="",1,IF($Q2342=0,1,INDEX(COA_Mapping!$F$7:$F$256,$Q2342)))</f>
        <v>1</v>
      </c>
      <c r="P2342" s="34" t="str">
        <f aca="false">IF($A2342="","",$I2342*$O2342)</f>
        <v/>
      </c>
      <c r="Q2342" s="39" t="n">
        <f aca="false">IF($B2342="",0,IFERROR(MATCH($B2342,COA_Mapping!$A$7:$A$256,0),0))</f>
        <v>0</v>
      </c>
      <c r="R2342" s="39" t="n">
        <f aca="false">IF($A2342="",-1,IF($J2342=Setup!$B$7,1,IF($J2342=Setup!$B$9,0,-1)))</f>
        <v>-1</v>
      </c>
      <c r="S2342" s="35" t="n">
        <f aca="false">IF(OR($A2342="",$Q2342=0,$R2342=-1),0,$Q2342*1000+$R2342*100+$K2342)</f>
        <v>0</v>
      </c>
      <c r="T2342" s="37" t="str">
        <f aca="false">IF($A2342="","",IF($B2342="","NO ACCOUNT",IF($Q2342=0,"UNMAPPED",IF($R2342=-1,"OUTSIDE FY RANGE","OK"))))</f>
        <v/>
      </c>
      <c r="U2342" s="40" t="str">
        <f aca="false">IF($A2342="","",$B2342&amp;"|"&amp;TEXT($A2342,"yyyymmdd")&amp;"|"&amp;TEXT($I2342,"0.00"))</f>
        <v/>
      </c>
      <c r="V2342" s="35" t="str">
        <f aca="false">IF($A2342="","",COUNTIF($U$8:$U$5007,$U2342))</f>
        <v/>
      </c>
    </row>
    <row r="2343" customFormat="false" ht="15" hidden="false" customHeight="false" outlineLevel="0" collapsed="false">
      <c r="A2343" s="31"/>
      <c r="B2343" s="32"/>
      <c r="C2343" s="32"/>
      <c r="D2343" s="32"/>
      <c r="E2343" s="32"/>
      <c r="F2343" s="32"/>
      <c r="G2343" s="33"/>
      <c r="H2343" s="33"/>
      <c r="I2343" s="34" t="str">
        <f aca="false">IF($A2343="","",$G2343-$H2343)</f>
        <v/>
      </c>
      <c r="J2343" s="35" t="str">
        <f aca="false">IF($A2343="","",IF(Setup!$B$6=1,YEAR($A2343),YEAR($A2343)+IF(MONTH($A2343)&gt;=Setup!$B$6,1,0)))</f>
        <v/>
      </c>
      <c r="K2343" s="35" t="str">
        <f aca="false">IF($A2343="","",MOD(MONTH($A2343)-Setup!$B$6+12,12)+1)</f>
        <v/>
      </c>
      <c r="L2343" s="36" t="str">
        <f aca="false">IF($A2343="","",TEXT($A2343,"MMM-YY"))</f>
        <v/>
      </c>
      <c r="M2343" s="37" t="str">
        <f aca="false">IF($A2343="","",IF($Q2343=0,"UNMAPPED",INDEX(COA_Mapping!$C$7:$C$256,$Q2343)))</f>
        <v/>
      </c>
      <c r="N2343" s="38" t="str">
        <f aca="false">IF($A2343="","",IF($Q2343=0,"",INDEX(COA_Mapping!$E$7:$E$256,$Q2343)))</f>
        <v/>
      </c>
      <c r="O2343" s="38" t="n">
        <f aca="false">IF($A2343="",1,IF($Q2343=0,1,INDEX(COA_Mapping!$F$7:$F$256,$Q2343)))</f>
        <v>1</v>
      </c>
      <c r="P2343" s="34" t="str">
        <f aca="false">IF($A2343="","",$I2343*$O2343)</f>
        <v/>
      </c>
      <c r="Q2343" s="39" t="n">
        <f aca="false">IF($B2343="",0,IFERROR(MATCH($B2343,COA_Mapping!$A$7:$A$256,0),0))</f>
        <v>0</v>
      </c>
      <c r="R2343" s="39" t="n">
        <f aca="false">IF($A2343="",-1,IF($J2343=Setup!$B$7,1,IF($J2343=Setup!$B$9,0,-1)))</f>
        <v>-1</v>
      </c>
      <c r="S2343" s="35" t="n">
        <f aca="false">IF(OR($A2343="",$Q2343=0,$R2343=-1),0,$Q2343*1000+$R2343*100+$K2343)</f>
        <v>0</v>
      </c>
      <c r="T2343" s="37" t="str">
        <f aca="false">IF($A2343="","",IF($B2343="","NO ACCOUNT",IF($Q2343=0,"UNMAPPED",IF($R2343=-1,"OUTSIDE FY RANGE","OK"))))</f>
        <v/>
      </c>
      <c r="U2343" s="40" t="str">
        <f aca="false">IF($A2343="","",$B2343&amp;"|"&amp;TEXT($A2343,"yyyymmdd")&amp;"|"&amp;TEXT($I2343,"0.00"))</f>
        <v/>
      </c>
      <c r="V2343" s="35" t="str">
        <f aca="false">IF($A2343="","",COUNTIF($U$8:$U$5007,$U2343))</f>
        <v/>
      </c>
    </row>
    <row r="2344" customFormat="false" ht="15" hidden="false" customHeight="false" outlineLevel="0" collapsed="false">
      <c r="A2344" s="31"/>
      <c r="B2344" s="32"/>
      <c r="C2344" s="32"/>
      <c r="D2344" s="32"/>
      <c r="E2344" s="32"/>
      <c r="F2344" s="32"/>
      <c r="G2344" s="33"/>
      <c r="H2344" s="33"/>
      <c r="I2344" s="34" t="str">
        <f aca="false">IF($A2344="","",$G2344-$H2344)</f>
        <v/>
      </c>
      <c r="J2344" s="35" t="str">
        <f aca="false">IF($A2344="","",IF(Setup!$B$6=1,YEAR($A2344),YEAR($A2344)+IF(MONTH($A2344)&gt;=Setup!$B$6,1,0)))</f>
        <v/>
      </c>
      <c r="K2344" s="35" t="str">
        <f aca="false">IF($A2344="","",MOD(MONTH($A2344)-Setup!$B$6+12,12)+1)</f>
        <v/>
      </c>
      <c r="L2344" s="36" t="str">
        <f aca="false">IF($A2344="","",TEXT($A2344,"MMM-YY"))</f>
        <v/>
      </c>
      <c r="M2344" s="37" t="str">
        <f aca="false">IF($A2344="","",IF($Q2344=0,"UNMAPPED",INDEX(COA_Mapping!$C$7:$C$256,$Q2344)))</f>
        <v/>
      </c>
      <c r="N2344" s="38" t="str">
        <f aca="false">IF($A2344="","",IF($Q2344=0,"",INDEX(COA_Mapping!$E$7:$E$256,$Q2344)))</f>
        <v/>
      </c>
      <c r="O2344" s="38" t="n">
        <f aca="false">IF($A2344="",1,IF($Q2344=0,1,INDEX(COA_Mapping!$F$7:$F$256,$Q2344)))</f>
        <v>1</v>
      </c>
      <c r="P2344" s="34" t="str">
        <f aca="false">IF($A2344="","",$I2344*$O2344)</f>
        <v/>
      </c>
      <c r="Q2344" s="39" t="n">
        <f aca="false">IF($B2344="",0,IFERROR(MATCH($B2344,COA_Mapping!$A$7:$A$256,0),0))</f>
        <v>0</v>
      </c>
      <c r="R2344" s="39" t="n">
        <f aca="false">IF($A2344="",-1,IF($J2344=Setup!$B$7,1,IF($J2344=Setup!$B$9,0,-1)))</f>
        <v>-1</v>
      </c>
      <c r="S2344" s="35" t="n">
        <f aca="false">IF(OR($A2344="",$Q2344=0,$R2344=-1),0,$Q2344*1000+$R2344*100+$K2344)</f>
        <v>0</v>
      </c>
      <c r="T2344" s="37" t="str">
        <f aca="false">IF($A2344="","",IF($B2344="","NO ACCOUNT",IF($Q2344=0,"UNMAPPED",IF($R2344=-1,"OUTSIDE FY RANGE","OK"))))</f>
        <v/>
      </c>
      <c r="U2344" s="40" t="str">
        <f aca="false">IF($A2344="","",$B2344&amp;"|"&amp;TEXT($A2344,"yyyymmdd")&amp;"|"&amp;TEXT($I2344,"0.00"))</f>
        <v/>
      </c>
      <c r="V2344" s="35" t="str">
        <f aca="false">IF($A2344="","",COUNTIF($U$8:$U$5007,$U2344))</f>
        <v/>
      </c>
    </row>
    <row r="2345" customFormat="false" ht="15" hidden="false" customHeight="false" outlineLevel="0" collapsed="false">
      <c r="A2345" s="31"/>
      <c r="B2345" s="32"/>
      <c r="C2345" s="32"/>
      <c r="D2345" s="32"/>
      <c r="E2345" s="32"/>
      <c r="F2345" s="32"/>
      <c r="G2345" s="33"/>
      <c r="H2345" s="33"/>
      <c r="I2345" s="34" t="str">
        <f aca="false">IF($A2345="","",$G2345-$H2345)</f>
        <v/>
      </c>
      <c r="J2345" s="35" t="str">
        <f aca="false">IF($A2345="","",IF(Setup!$B$6=1,YEAR($A2345),YEAR($A2345)+IF(MONTH($A2345)&gt;=Setup!$B$6,1,0)))</f>
        <v/>
      </c>
      <c r="K2345" s="35" t="str">
        <f aca="false">IF($A2345="","",MOD(MONTH($A2345)-Setup!$B$6+12,12)+1)</f>
        <v/>
      </c>
      <c r="L2345" s="36" t="str">
        <f aca="false">IF($A2345="","",TEXT($A2345,"MMM-YY"))</f>
        <v/>
      </c>
      <c r="M2345" s="37" t="str">
        <f aca="false">IF($A2345="","",IF($Q2345=0,"UNMAPPED",INDEX(COA_Mapping!$C$7:$C$256,$Q2345)))</f>
        <v/>
      </c>
      <c r="N2345" s="38" t="str">
        <f aca="false">IF($A2345="","",IF($Q2345=0,"",INDEX(COA_Mapping!$E$7:$E$256,$Q2345)))</f>
        <v/>
      </c>
      <c r="O2345" s="38" t="n">
        <f aca="false">IF($A2345="",1,IF($Q2345=0,1,INDEX(COA_Mapping!$F$7:$F$256,$Q2345)))</f>
        <v>1</v>
      </c>
      <c r="P2345" s="34" t="str">
        <f aca="false">IF($A2345="","",$I2345*$O2345)</f>
        <v/>
      </c>
      <c r="Q2345" s="39" t="n">
        <f aca="false">IF($B2345="",0,IFERROR(MATCH($B2345,COA_Mapping!$A$7:$A$256,0),0))</f>
        <v>0</v>
      </c>
      <c r="R2345" s="39" t="n">
        <f aca="false">IF($A2345="",-1,IF($J2345=Setup!$B$7,1,IF($J2345=Setup!$B$9,0,-1)))</f>
        <v>-1</v>
      </c>
      <c r="S2345" s="35" t="n">
        <f aca="false">IF(OR($A2345="",$Q2345=0,$R2345=-1),0,$Q2345*1000+$R2345*100+$K2345)</f>
        <v>0</v>
      </c>
      <c r="T2345" s="37" t="str">
        <f aca="false">IF($A2345="","",IF($B2345="","NO ACCOUNT",IF($Q2345=0,"UNMAPPED",IF($R2345=-1,"OUTSIDE FY RANGE","OK"))))</f>
        <v/>
      </c>
      <c r="U2345" s="40" t="str">
        <f aca="false">IF($A2345="","",$B2345&amp;"|"&amp;TEXT($A2345,"yyyymmdd")&amp;"|"&amp;TEXT($I2345,"0.00"))</f>
        <v/>
      </c>
      <c r="V2345" s="35" t="str">
        <f aca="false">IF($A2345="","",COUNTIF($U$8:$U$5007,$U2345))</f>
        <v/>
      </c>
    </row>
    <row r="2346" customFormat="false" ht="15" hidden="false" customHeight="false" outlineLevel="0" collapsed="false">
      <c r="A2346" s="31"/>
      <c r="B2346" s="32"/>
      <c r="C2346" s="32"/>
      <c r="D2346" s="32"/>
      <c r="E2346" s="32"/>
      <c r="F2346" s="32"/>
      <c r="G2346" s="33"/>
      <c r="H2346" s="33"/>
      <c r="I2346" s="34" t="str">
        <f aca="false">IF($A2346="","",$G2346-$H2346)</f>
        <v/>
      </c>
      <c r="J2346" s="35" t="str">
        <f aca="false">IF($A2346="","",IF(Setup!$B$6=1,YEAR($A2346),YEAR($A2346)+IF(MONTH($A2346)&gt;=Setup!$B$6,1,0)))</f>
        <v/>
      </c>
      <c r="K2346" s="35" t="str">
        <f aca="false">IF($A2346="","",MOD(MONTH($A2346)-Setup!$B$6+12,12)+1)</f>
        <v/>
      </c>
      <c r="L2346" s="36" t="str">
        <f aca="false">IF($A2346="","",TEXT($A2346,"MMM-YY"))</f>
        <v/>
      </c>
      <c r="M2346" s="37" t="str">
        <f aca="false">IF($A2346="","",IF($Q2346=0,"UNMAPPED",INDEX(COA_Mapping!$C$7:$C$256,$Q2346)))</f>
        <v/>
      </c>
      <c r="N2346" s="38" t="str">
        <f aca="false">IF($A2346="","",IF($Q2346=0,"",INDEX(COA_Mapping!$E$7:$E$256,$Q2346)))</f>
        <v/>
      </c>
      <c r="O2346" s="38" t="n">
        <f aca="false">IF($A2346="",1,IF($Q2346=0,1,INDEX(COA_Mapping!$F$7:$F$256,$Q2346)))</f>
        <v>1</v>
      </c>
      <c r="P2346" s="34" t="str">
        <f aca="false">IF($A2346="","",$I2346*$O2346)</f>
        <v/>
      </c>
      <c r="Q2346" s="39" t="n">
        <f aca="false">IF($B2346="",0,IFERROR(MATCH($B2346,COA_Mapping!$A$7:$A$256,0),0))</f>
        <v>0</v>
      </c>
      <c r="R2346" s="39" t="n">
        <f aca="false">IF($A2346="",-1,IF($J2346=Setup!$B$7,1,IF($J2346=Setup!$B$9,0,-1)))</f>
        <v>-1</v>
      </c>
      <c r="S2346" s="35" t="n">
        <f aca="false">IF(OR($A2346="",$Q2346=0,$R2346=-1),0,$Q2346*1000+$R2346*100+$K2346)</f>
        <v>0</v>
      </c>
      <c r="T2346" s="37" t="str">
        <f aca="false">IF($A2346="","",IF($B2346="","NO ACCOUNT",IF($Q2346=0,"UNMAPPED",IF($R2346=-1,"OUTSIDE FY RANGE","OK"))))</f>
        <v/>
      </c>
      <c r="U2346" s="40" t="str">
        <f aca="false">IF($A2346="","",$B2346&amp;"|"&amp;TEXT($A2346,"yyyymmdd")&amp;"|"&amp;TEXT($I2346,"0.00"))</f>
        <v/>
      </c>
      <c r="V2346" s="35" t="str">
        <f aca="false">IF($A2346="","",COUNTIF($U$8:$U$5007,$U2346))</f>
        <v/>
      </c>
    </row>
    <row r="2347" customFormat="false" ht="15" hidden="false" customHeight="false" outlineLevel="0" collapsed="false">
      <c r="A2347" s="31"/>
      <c r="B2347" s="32"/>
      <c r="C2347" s="32"/>
      <c r="D2347" s="32"/>
      <c r="E2347" s="32"/>
      <c r="F2347" s="32"/>
      <c r="G2347" s="33"/>
      <c r="H2347" s="33"/>
      <c r="I2347" s="34" t="str">
        <f aca="false">IF($A2347="","",$G2347-$H2347)</f>
        <v/>
      </c>
      <c r="J2347" s="35" t="str">
        <f aca="false">IF($A2347="","",IF(Setup!$B$6=1,YEAR($A2347),YEAR($A2347)+IF(MONTH($A2347)&gt;=Setup!$B$6,1,0)))</f>
        <v/>
      </c>
      <c r="K2347" s="35" t="str">
        <f aca="false">IF($A2347="","",MOD(MONTH($A2347)-Setup!$B$6+12,12)+1)</f>
        <v/>
      </c>
      <c r="L2347" s="36" t="str">
        <f aca="false">IF($A2347="","",TEXT($A2347,"MMM-YY"))</f>
        <v/>
      </c>
      <c r="M2347" s="37" t="str">
        <f aca="false">IF($A2347="","",IF($Q2347=0,"UNMAPPED",INDEX(COA_Mapping!$C$7:$C$256,$Q2347)))</f>
        <v/>
      </c>
      <c r="N2347" s="38" t="str">
        <f aca="false">IF($A2347="","",IF($Q2347=0,"",INDEX(COA_Mapping!$E$7:$E$256,$Q2347)))</f>
        <v/>
      </c>
      <c r="O2347" s="38" t="n">
        <f aca="false">IF($A2347="",1,IF($Q2347=0,1,INDEX(COA_Mapping!$F$7:$F$256,$Q2347)))</f>
        <v>1</v>
      </c>
      <c r="P2347" s="34" t="str">
        <f aca="false">IF($A2347="","",$I2347*$O2347)</f>
        <v/>
      </c>
      <c r="Q2347" s="39" t="n">
        <f aca="false">IF($B2347="",0,IFERROR(MATCH($B2347,COA_Mapping!$A$7:$A$256,0),0))</f>
        <v>0</v>
      </c>
      <c r="R2347" s="39" t="n">
        <f aca="false">IF($A2347="",-1,IF($J2347=Setup!$B$7,1,IF($J2347=Setup!$B$9,0,-1)))</f>
        <v>-1</v>
      </c>
      <c r="S2347" s="35" t="n">
        <f aca="false">IF(OR($A2347="",$Q2347=0,$R2347=-1),0,$Q2347*1000+$R2347*100+$K2347)</f>
        <v>0</v>
      </c>
      <c r="T2347" s="37" t="str">
        <f aca="false">IF($A2347="","",IF($B2347="","NO ACCOUNT",IF($Q2347=0,"UNMAPPED",IF($R2347=-1,"OUTSIDE FY RANGE","OK"))))</f>
        <v/>
      </c>
      <c r="U2347" s="40" t="str">
        <f aca="false">IF($A2347="","",$B2347&amp;"|"&amp;TEXT($A2347,"yyyymmdd")&amp;"|"&amp;TEXT($I2347,"0.00"))</f>
        <v/>
      </c>
      <c r="V2347" s="35" t="str">
        <f aca="false">IF($A2347="","",COUNTIF($U$8:$U$5007,$U2347))</f>
        <v/>
      </c>
    </row>
    <row r="2348" customFormat="false" ht="15" hidden="false" customHeight="false" outlineLevel="0" collapsed="false">
      <c r="A2348" s="31"/>
      <c r="B2348" s="32"/>
      <c r="C2348" s="32"/>
      <c r="D2348" s="32"/>
      <c r="E2348" s="32"/>
      <c r="F2348" s="32"/>
      <c r="G2348" s="33"/>
      <c r="H2348" s="33"/>
      <c r="I2348" s="34" t="str">
        <f aca="false">IF($A2348="","",$G2348-$H2348)</f>
        <v/>
      </c>
      <c r="J2348" s="35" t="str">
        <f aca="false">IF($A2348="","",IF(Setup!$B$6=1,YEAR($A2348),YEAR($A2348)+IF(MONTH($A2348)&gt;=Setup!$B$6,1,0)))</f>
        <v/>
      </c>
      <c r="K2348" s="35" t="str">
        <f aca="false">IF($A2348="","",MOD(MONTH($A2348)-Setup!$B$6+12,12)+1)</f>
        <v/>
      </c>
      <c r="L2348" s="36" t="str">
        <f aca="false">IF($A2348="","",TEXT($A2348,"MMM-YY"))</f>
        <v/>
      </c>
      <c r="M2348" s="37" t="str">
        <f aca="false">IF($A2348="","",IF($Q2348=0,"UNMAPPED",INDEX(COA_Mapping!$C$7:$C$256,$Q2348)))</f>
        <v/>
      </c>
      <c r="N2348" s="38" t="str">
        <f aca="false">IF($A2348="","",IF($Q2348=0,"",INDEX(COA_Mapping!$E$7:$E$256,$Q2348)))</f>
        <v/>
      </c>
      <c r="O2348" s="38" t="n">
        <f aca="false">IF($A2348="",1,IF($Q2348=0,1,INDEX(COA_Mapping!$F$7:$F$256,$Q2348)))</f>
        <v>1</v>
      </c>
      <c r="P2348" s="34" t="str">
        <f aca="false">IF($A2348="","",$I2348*$O2348)</f>
        <v/>
      </c>
      <c r="Q2348" s="39" t="n">
        <f aca="false">IF($B2348="",0,IFERROR(MATCH($B2348,COA_Mapping!$A$7:$A$256,0),0))</f>
        <v>0</v>
      </c>
      <c r="R2348" s="39" t="n">
        <f aca="false">IF($A2348="",-1,IF($J2348=Setup!$B$7,1,IF($J2348=Setup!$B$9,0,-1)))</f>
        <v>-1</v>
      </c>
      <c r="S2348" s="35" t="n">
        <f aca="false">IF(OR($A2348="",$Q2348=0,$R2348=-1),0,$Q2348*1000+$R2348*100+$K2348)</f>
        <v>0</v>
      </c>
      <c r="T2348" s="37" t="str">
        <f aca="false">IF($A2348="","",IF($B2348="","NO ACCOUNT",IF($Q2348=0,"UNMAPPED",IF($R2348=-1,"OUTSIDE FY RANGE","OK"))))</f>
        <v/>
      </c>
      <c r="U2348" s="40" t="str">
        <f aca="false">IF($A2348="","",$B2348&amp;"|"&amp;TEXT($A2348,"yyyymmdd")&amp;"|"&amp;TEXT($I2348,"0.00"))</f>
        <v/>
      </c>
      <c r="V2348" s="35" t="str">
        <f aca="false">IF($A2348="","",COUNTIF($U$8:$U$5007,$U2348))</f>
        <v/>
      </c>
    </row>
    <row r="2349" customFormat="false" ht="15" hidden="false" customHeight="false" outlineLevel="0" collapsed="false">
      <c r="A2349" s="31"/>
      <c r="B2349" s="32"/>
      <c r="C2349" s="32"/>
      <c r="D2349" s="32"/>
      <c r="E2349" s="32"/>
      <c r="F2349" s="32"/>
      <c r="G2349" s="33"/>
      <c r="H2349" s="33"/>
      <c r="I2349" s="34" t="str">
        <f aca="false">IF($A2349="","",$G2349-$H2349)</f>
        <v/>
      </c>
      <c r="J2349" s="35" t="str">
        <f aca="false">IF($A2349="","",IF(Setup!$B$6=1,YEAR($A2349),YEAR($A2349)+IF(MONTH($A2349)&gt;=Setup!$B$6,1,0)))</f>
        <v/>
      </c>
      <c r="K2349" s="35" t="str">
        <f aca="false">IF($A2349="","",MOD(MONTH($A2349)-Setup!$B$6+12,12)+1)</f>
        <v/>
      </c>
      <c r="L2349" s="36" t="str">
        <f aca="false">IF($A2349="","",TEXT($A2349,"MMM-YY"))</f>
        <v/>
      </c>
      <c r="M2349" s="37" t="str">
        <f aca="false">IF($A2349="","",IF($Q2349=0,"UNMAPPED",INDEX(COA_Mapping!$C$7:$C$256,$Q2349)))</f>
        <v/>
      </c>
      <c r="N2349" s="38" t="str">
        <f aca="false">IF($A2349="","",IF($Q2349=0,"",INDEX(COA_Mapping!$E$7:$E$256,$Q2349)))</f>
        <v/>
      </c>
      <c r="O2349" s="38" t="n">
        <f aca="false">IF($A2349="",1,IF($Q2349=0,1,INDEX(COA_Mapping!$F$7:$F$256,$Q2349)))</f>
        <v>1</v>
      </c>
      <c r="P2349" s="34" t="str">
        <f aca="false">IF($A2349="","",$I2349*$O2349)</f>
        <v/>
      </c>
      <c r="Q2349" s="39" t="n">
        <f aca="false">IF($B2349="",0,IFERROR(MATCH($B2349,COA_Mapping!$A$7:$A$256,0),0))</f>
        <v>0</v>
      </c>
      <c r="R2349" s="39" t="n">
        <f aca="false">IF($A2349="",-1,IF($J2349=Setup!$B$7,1,IF($J2349=Setup!$B$9,0,-1)))</f>
        <v>-1</v>
      </c>
      <c r="S2349" s="35" t="n">
        <f aca="false">IF(OR($A2349="",$Q2349=0,$R2349=-1),0,$Q2349*1000+$R2349*100+$K2349)</f>
        <v>0</v>
      </c>
      <c r="T2349" s="37" t="str">
        <f aca="false">IF($A2349="","",IF($B2349="","NO ACCOUNT",IF($Q2349=0,"UNMAPPED",IF($R2349=-1,"OUTSIDE FY RANGE","OK"))))</f>
        <v/>
      </c>
      <c r="U2349" s="40" t="str">
        <f aca="false">IF($A2349="","",$B2349&amp;"|"&amp;TEXT($A2349,"yyyymmdd")&amp;"|"&amp;TEXT($I2349,"0.00"))</f>
        <v/>
      </c>
      <c r="V2349" s="35" t="str">
        <f aca="false">IF($A2349="","",COUNTIF($U$8:$U$5007,$U2349))</f>
        <v/>
      </c>
    </row>
    <row r="2350" customFormat="false" ht="15" hidden="false" customHeight="false" outlineLevel="0" collapsed="false">
      <c r="A2350" s="31"/>
      <c r="B2350" s="32"/>
      <c r="C2350" s="32"/>
      <c r="D2350" s="32"/>
      <c r="E2350" s="32"/>
      <c r="F2350" s="32"/>
      <c r="G2350" s="33"/>
      <c r="H2350" s="33"/>
      <c r="I2350" s="34" t="str">
        <f aca="false">IF($A2350="","",$G2350-$H2350)</f>
        <v/>
      </c>
      <c r="J2350" s="35" t="str">
        <f aca="false">IF($A2350="","",IF(Setup!$B$6=1,YEAR($A2350),YEAR($A2350)+IF(MONTH($A2350)&gt;=Setup!$B$6,1,0)))</f>
        <v/>
      </c>
      <c r="K2350" s="35" t="str">
        <f aca="false">IF($A2350="","",MOD(MONTH($A2350)-Setup!$B$6+12,12)+1)</f>
        <v/>
      </c>
      <c r="L2350" s="36" t="str">
        <f aca="false">IF($A2350="","",TEXT($A2350,"MMM-YY"))</f>
        <v/>
      </c>
      <c r="M2350" s="37" t="str">
        <f aca="false">IF($A2350="","",IF($Q2350=0,"UNMAPPED",INDEX(COA_Mapping!$C$7:$C$256,$Q2350)))</f>
        <v/>
      </c>
      <c r="N2350" s="38" t="str">
        <f aca="false">IF($A2350="","",IF($Q2350=0,"",INDEX(COA_Mapping!$E$7:$E$256,$Q2350)))</f>
        <v/>
      </c>
      <c r="O2350" s="38" t="n">
        <f aca="false">IF($A2350="",1,IF($Q2350=0,1,INDEX(COA_Mapping!$F$7:$F$256,$Q2350)))</f>
        <v>1</v>
      </c>
      <c r="P2350" s="34" t="str">
        <f aca="false">IF($A2350="","",$I2350*$O2350)</f>
        <v/>
      </c>
      <c r="Q2350" s="39" t="n">
        <f aca="false">IF($B2350="",0,IFERROR(MATCH($B2350,COA_Mapping!$A$7:$A$256,0),0))</f>
        <v>0</v>
      </c>
      <c r="R2350" s="39" t="n">
        <f aca="false">IF($A2350="",-1,IF($J2350=Setup!$B$7,1,IF($J2350=Setup!$B$9,0,-1)))</f>
        <v>-1</v>
      </c>
      <c r="S2350" s="35" t="n">
        <f aca="false">IF(OR($A2350="",$Q2350=0,$R2350=-1),0,$Q2350*1000+$R2350*100+$K2350)</f>
        <v>0</v>
      </c>
      <c r="T2350" s="37" t="str">
        <f aca="false">IF($A2350="","",IF($B2350="","NO ACCOUNT",IF($Q2350=0,"UNMAPPED",IF($R2350=-1,"OUTSIDE FY RANGE","OK"))))</f>
        <v/>
      </c>
      <c r="U2350" s="40" t="str">
        <f aca="false">IF($A2350="","",$B2350&amp;"|"&amp;TEXT($A2350,"yyyymmdd")&amp;"|"&amp;TEXT($I2350,"0.00"))</f>
        <v/>
      </c>
      <c r="V2350" s="35" t="str">
        <f aca="false">IF($A2350="","",COUNTIF($U$8:$U$5007,$U2350))</f>
        <v/>
      </c>
    </row>
    <row r="2351" customFormat="false" ht="15" hidden="false" customHeight="false" outlineLevel="0" collapsed="false">
      <c r="A2351" s="31"/>
      <c r="B2351" s="32"/>
      <c r="C2351" s="32"/>
      <c r="D2351" s="32"/>
      <c r="E2351" s="32"/>
      <c r="F2351" s="32"/>
      <c r="G2351" s="33"/>
      <c r="H2351" s="33"/>
      <c r="I2351" s="34" t="str">
        <f aca="false">IF($A2351="","",$G2351-$H2351)</f>
        <v/>
      </c>
      <c r="J2351" s="35" t="str">
        <f aca="false">IF($A2351="","",IF(Setup!$B$6=1,YEAR($A2351),YEAR($A2351)+IF(MONTH($A2351)&gt;=Setup!$B$6,1,0)))</f>
        <v/>
      </c>
      <c r="K2351" s="35" t="str">
        <f aca="false">IF($A2351="","",MOD(MONTH($A2351)-Setup!$B$6+12,12)+1)</f>
        <v/>
      </c>
      <c r="L2351" s="36" t="str">
        <f aca="false">IF($A2351="","",TEXT($A2351,"MMM-YY"))</f>
        <v/>
      </c>
      <c r="M2351" s="37" t="str">
        <f aca="false">IF($A2351="","",IF($Q2351=0,"UNMAPPED",INDEX(COA_Mapping!$C$7:$C$256,$Q2351)))</f>
        <v/>
      </c>
      <c r="N2351" s="38" t="str">
        <f aca="false">IF($A2351="","",IF($Q2351=0,"",INDEX(COA_Mapping!$E$7:$E$256,$Q2351)))</f>
        <v/>
      </c>
      <c r="O2351" s="38" t="n">
        <f aca="false">IF($A2351="",1,IF($Q2351=0,1,INDEX(COA_Mapping!$F$7:$F$256,$Q2351)))</f>
        <v>1</v>
      </c>
      <c r="P2351" s="34" t="str">
        <f aca="false">IF($A2351="","",$I2351*$O2351)</f>
        <v/>
      </c>
      <c r="Q2351" s="39" t="n">
        <f aca="false">IF($B2351="",0,IFERROR(MATCH($B2351,COA_Mapping!$A$7:$A$256,0),0))</f>
        <v>0</v>
      </c>
      <c r="R2351" s="39" t="n">
        <f aca="false">IF($A2351="",-1,IF($J2351=Setup!$B$7,1,IF($J2351=Setup!$B$9,0,-1)))</f>
        <v>-1</v>
      </c>
      <c r="S2351" s="35" t="n">
        <f aca="false">IF(OR($A2351="",$Q2351=0,$R2351=-1),0,$Q2351*1000+$R2351*100+$K2351)</f>
        <v>0</v>
      </c>
      <c r="T2351" s="37" t="str">
        <f aca="false">IF($A2351="","",IF($B2351="","NO ACCOUNT",IF($Q2351=0,"UNMAPPED",IF($R2351=-1,"OUTSIDE FY RANGE","OK"))))</f>
        <v/>
      </c>
      <c r="U2351" s="40" t="str">
        <f aca="false">IF($A2351="","",$B2351&amp;"|"&amp;TEXT($A2351,"yyyymmdd")&amp;"|"&amp;TEXT($I2351,"0.00"))</f>
        <v/>
      </c>
      <c r="V2351" s="35" t="str">
        <f aca="false">IF($A2351="","",COUNTIF($U$8:$U$5007,$U2351))</f>
        <v/>
      </c>
    </row>
    <row r="2352" customFormat="false" ht="15" hidden="false" customHeight="false" outlineLevel="0" collapsed="false">
      <c r="A2352" s="31"/>
      <c r="B2352" s="32"/>
      <c r="C2352" s="32"/>
      <c r="D2352" s="32"/>
      <c r="E2352" s="32"/>
      <c r="F2352" s="32"/>
      <c r="G2352" s="33"/>
      <c r="H2352" s="33"/>
      <c r="I2352" s="34" t="str">
        <f aca="false">IF($A2352="","",$G2352-$H2352)</f>
        <v/>
      </c>
      <c r="J2352" s="35" t="str">
        <f aca="false">IF($A2352="","",IF(Setup!$B$6=1,YEAR($A2352),YEAR($A2352)+IF(MONTH($A2352)&gt;=Setup!$B$6,1,0)))</f>
        <v/>
      </c>
      <c r="K2352" s="35" t="str">
        <f aca="false">IF($A2352="","",MOD(MONTH($A2352)-Setup!$B$6+12,12)+1)</f>
        <v/>
      </c>
      <c r="L2352" s="36" t="str">
        <f aca="false">IF($A2352="","",TEXT($A2352,"MMM-YY"))</f>
        <v/>
      </c>
      <c r="M2352" s="37" t="str">
        <f aca="false">IF($A2352="","",IF($Q2352=0,"UNMAPPED",INDEX(COA_Mapping!$C$7:$C$256,$Q2352)))</f>
        <v/>
      </c>
      <c r="N2352" s="38" t="str">
        <f aca="false">IF($A2352="","",IF($Q2352=0,"",INDEX(COA_Mapping!$E$7:$E$256,$Q2352)))</f>
        <v/>
      </c>
      <c r="O2352" s="38" t="n">
        <f aca="false">IF($A2352="",1,IF($Q2352=0,1,INDEX(COA_Mapping!$F$7:$F$256,$Q2352)))</f>
        <v>1</v>
      </c>
      <c r="P2352" s="34" t="str">
        <f aca="false">IF($A2352="","",$I2352*$O2352)</f>
        <v/>
      </c>
      <c r="Q2352" s="39" t="n">
        <f aca="false">IF($B2352="",0,IFERROR(MATCH($B2352,COA_Mapping!$A$7:$A$256,0),0))</f>
        <v>0</v>
      </c>
      <c r="R2352" s="39" t="n">
        <f aca="false">IF($A2352="",-1,IF($J2352=Setup!$B$7,1,IF($J2352=Setup!$B$9,0,-1)))</f>
        <v>-1</v>
      </c>
      <c r="S2352" s="35" t="n">
        <f aca="false">IF(OR($A2352="",$Q2352=0,$R2352=-1),0,$Q2352*1000+$R2352*100+$K2352)</f>
        <v>0</v>
      </c>
      <c r="T2352" s="37" t="str">
        <f aca="false">IF($A2352="","",IF($B2352="","NO ACCOUNT",IF($Q2352=0,"UNMAPPED",IF($R2352=-1,"OUTSIDE FY RANGE","OK"))))</f>
        <v/>
      </c>
      <c r="U2352" s="40" t="str">
        <f aca="false">IF($A2352="","",$B2352&amp;"|"&amp;TEXT($A2352,"yyyymmdd")&amp;"|"&amp;TEXT($I2352,"0.00"))</f>
        <v/>
      </c>
      <c r="V2352" s="35" t="str">
        <f aca="false">IF($A2352="","",COUNTIF($U$8:$U$5007,$U2352))</f>
        <v/>
      </c>
    </row>
    <row r="2353" customFormat="false" ht="15" hidden="false" customHeight="false" outlineLevel="0" collapsed="false">
      <c r="A2353" s="31"/>
      <c r="B2353" s="32"/>
      <c r="C2353" s="32"/>
      <c r="D2353" s="32"/>
      <c r="E2353" s="32"/>
      <c r="F2353" s="32"/>
      <c r="G2353" s="33"/>
      <c r="H2353" s="33"/>
      <c r="I2353" s="34" t="str">
        <f aca="false">IF($A2353="","",$G2353-$H2353)</f>
        <v/>
      </c>
      <c r="J2353" s="35" t="str">
        <f aca="false">IF($A2353="","",IF(Setup!$B$6=1,YEAR($A2353),YEAR($A2353)+IF(MONTH($A2353)&gt;=Setup!$B$6,1,0)))</f>
        <v/>
      </c>
      <c r="K2353" s="35" t="str">
        <f aca="false">IF($A2353="","",MOD(MONTH($A2353)-Setup!$B$6+12,12)+1)</f>
        <v/>
      </c>
      <c r="L2353" s="36" t="str">
        <f aca="false">IF($A2353="","",TEXT($A2353,"MMM-YY"))</f>
        <v/>
      </c>
      <c r="M2353" s="37" t="str">
        <f aca="false">IF($A2353="","",IF($Q2353=0,"UNMAPPED",INDEX(COA_Mapping!$C$7:$C$256,$Q2353)))</f>
        <v/>
      </c>
      <c r="N2353" s="38" t="str">
        <f aca="false">IF($A2353="","",IF($Q2353=0,"",INDEX(COA_Mapping!$E$7:$E$256,$Q2353)))</f>
        <v/>
      </c>
      <c r="O2353" s="38" t="n">
        <f aca="false">IF($A2353="",1,IF($Q2353=0,1,INDEX(COA_Mapping!$F$7:$F$256,$Q2353)))</f>
        <v>1</v>
      </c>
      <c r="P2353" s="34" t="str">
        <f aca="false">IF($A2353="","",$I2353*$O2353)</f>
        <v/>
      </c>
      <c r="Q2353" s="39" t="n">
        <f aca="false">IF($B2353="",0,IFERROR(MATCH($B2353,COA_Mapping!$A$7:$A$256,0),0))</f>
        <v>0</v>
      </c>
      <c r="R2353" s="39" t="n">
        <f aca="false">IF($A2353="",-1,IF($J2353=Setup!$B$7,1,IF($J2353=Setup!$B$9,0,-1)))</f>
        <v>-1</v>
      </c>
      <c r="S2353" s="35" t="n">
        <f aca="false">IF(OR($A2353="",$Q2353=0,$R2353=-1),0,$Q2353*1000+$R2353*100+$K2353)</f>
        <v>0</v>
      </c>
      <c r="T2353" s="37" t="str">
        <f aca="false">IF($A2353="","",IF($B2353="","NO ACCOUNT",IF($Q2353=0,"UNMAPPED",IF($R2353=-1,"OUTSIDE FY RANGE","OK"))))</f>
        <v/>
      </c>
      <c r="U2353" s="40" t="str">
        <f aca="false">IF($A2353="","",$B2353&amp;"|"&amp;TEXT($A2353,"yyyymmdd")&amp;"|"&amp;TEXT($I2353,"0.00"))</f>
        <v/>
      </c>
      <c r="V2353" s="35" t="str">
        <f aca="false">IF($A2353="","",COUNTIF($U$8:$U$5007,$U2353))</f>
        <v/>
      </c>
    </row>
    <row r="2354" customFormat="false" ht="15" hidden="false" customHeight="false" outlineLevel="0" collapsed="false">
      <c r="A2354" s="31"/>
      <c r="B2354" s="32"/>
      <c r="C2354" s="32"/>
      <c r="D2354" s="32"/>
      <c r="E2354" s="32"/>
      <c r="F2354" s="32"/>
      <c r="G2354" s="33"/>
      <c r="H2354" s="33"/>
      <c r="I2354" s="34" t="str">
        <f aca="false">IF($A2354="","",$G2354-$H2354)</f>
        <v/>
      </c>
      <c r="J2354" s="35" t="str">
        <f aca="false">IF($A2354="","",IF(Setup!$B$6=1,YEAR($A2354),YEAR($A2354)+IF(MONTH($A2354)&gt;=Setup!$B$6,1,0)))</f>
        <v/>
      </c>
      <c r="K2354" s="35" t="str">
        <f aca="false">IF($A2354="","",MOD(MONTH($A2354)-Setup!$B$6+12,12)+1)</f>
        <v/>
      </c>
      <c r="L2354" s="36" t="str">
        <f aca="false">IF($A2354="","",TEXT($A2354,"MMM-YY"))</f>
        <v/>
      </c>
      <c r="M2354" s="37" t="str">
        <f aca="false">IF($A2354="","",IF($Q2354=0,"UNMAPPED",INDEX(COA_Mapping!$C$7:$C$256,$Q2354)))</f>
        <v/>
      </c>
      <c r="N2354" s="38" t="str">
        <f aca="false">IF($A2354="","",IF($Q2354=0,"",INDEX(COA_Mapping!$E$7:$E$256,$Q2354)))</f>
        <v/>
      </c>
      <c r="O2354" s="38" t="n">
        <f aca="false">IF($A2354="",1,IF($Q2354=0,1,INDEX(COA_Mapping!$F$7:$F$256,$Q2354)))</f>
        <v>1</v>
      </c>
      <c r="P2354" s="34" t="str">
        <f aca="false">IF($A2354="","",$I2354*$O2354)</f>
        <v/>
      </c>
      <c r="Q2354" s="39" t="n">
        <f aca="false">IF($B2354="",0,IFERROR(MATCH($B2354,COA_Mapping!$A$7:$A$256,0),0))</f>
        <v>0</v>
      </c>
      <c r="R2354" s="39" t="n">
        <f aca="false">IF($A2354="",-1,IF($J2354=Setup!$B$7,1,IF($J2354=Setup!$B$9,0,-1)))</f>
        <v>-1</v>
      </c>
      <c r="S2354" s="35" t="n">
        <f aca="false">IF(OR($A2354="",$Q2354=0,$R2354=-1),0,$Q2354*1000+$R2354*100+$K2354)</f>
        <v>0</v>
      </c>
      <c r="T2354" s="37" t="str">
        <f aca="false">IF($A2354="","",IF($B2354="","NO ACCOUNT",IF($Q2354=0,"UNMAPPED",IF($R2354=-1,"OUTSIDE FY RANGE","OK"))))</f>
        <v/>
      </c>
      <c r="U2354" s="40" t="str">
        <f aca="false">IF($A2354="","",$B2354&amp;"|"&amp;TEXT($A2354,"yyyymmdd")&amp;"|"&amp;TEXT($I2354,"0.00"))</f>
        <v/>
      </c>
      <c r="V2354" s="35" t="str">
        <f aca="false">IF($A2354="","",COUNTIF($U$8:$U$5007,$U2354))</f>
        <v/>
      </c>
    </row>
    <row r="2355" customFormat="false" ht="15" hidden="false" customHeight="false" outlineLevel="0" collapsed="false">
      <c r="A2355" s="31"/>
      <c r="B2355" s="32"/>
      <c r="C2355" s="32"/>
      <c r="D2355" s="32"/>
      <c r="E2355" s="32"/>
      <c r="F2355" s="32"/>
      <c r="G2355" s="33"/>
      <c r="H2355" s="33"/>
      <c r="I2355" s="34" t="str">
        <f aca="false">IF($A2355="","",$G2355-$H2355)</f>
        <v/>
      </c>
      <c r="J2355" s="35" t="str">
        <f aca="false">IF($A2355="","",IF(Setup!$B$6=1,YEAR($A2355),YEAR($A2355)+IF(MONTH($A2355)&gt;=Setup!$B$6,1,0)))</f>
        <v/>
      </c>
      <c r="K2355" s="35" t="str">
        <f aca="false">IF($A2355="","",MOD(MONTH($A2355)-Setup!$B$6+12,12)+1)</f>
        <v/>
      </c>
      <c r="L2355" s="36" t="str">
        <f aca="false">IF($A2355="","",TEXT($A2355,"MMM-YY"))</f>
        <v/>
      </c>
      <c r="M2355" s="37" t="str">
        <f aca="false">IF($A2355="","",IF($Q2355=0,"UNMAPPED",INDEX(COA_Mapping!$C$7:$C$256,$Q2355)))</f>
        <v/>
      </c>
      <c r="N2355" s="38" t="str">
        <f aca="false">IF($A2355="","",IF($Q2355=0,"",INDEX(COA_Mapping!$E$7:$E$256,$Q2355)))</f>
        <v/>
      </c>
      <c r="O2355" s="38" t="n">
        <f aca="false">IF($A2355="",1,IF($Q2355=0,1,INDEX(COA_Mapping!$F$7:$F$256,$Q2355)))</f>
        <v>1</v>
      </c>
      <c r="P2355" s="34" t="str">
        <f aca="false">IF($A2355="","",$I2355*$O2355)</f>
        <v/>
      </c>
      <c r="Q2355" s="39" t="n">
        <f aca="false">IF($B2355="",0,IFERROR(MATCH($B2355,COA_Mapping!$A$7:$A$256,0),0))</f>
        <v>0</v>
      </c>
      <c r="R2355" s="39" t="n">
        <f aca="false">IF($A2355="",-1,IF($J2355=Setup!$B$7,1,IF($J2355=Setup!$B$9,0,-1)))</f>
        <v>-1</v>
      </c>
      <c r="S2355" s="35" t="n">
        <f aca="false">IF(OR($A2355="",$Q2355=0,$R2355=-1),0,$Q2355*1000+$R2355*100+$K2355)</f>
        <v>0</v>
      </c>
      <c r="T2355" s="37" t="str">
        <f aca="false">IF($A2355="","",IF($B2355="","NO ACCOUNT",IF($Q2355=0,"UNMAPPED",IF($R2355=-1,"OUTSIDE FY RANGE","OK"))))</f>
        <v/>
      </c>
      <c r="U2355" s="40" t="str">
        <f aca="false">IF($A2355="","",$B2355&amp;"|"&amp;TEXT($A2355,"yyyymmdd")&amp;"|"&amp;TEXT($I2355,"0.00"))</f>
        <v/>
      </c>
      <c r="V2355" s="35" t="str">
        <f aca="false">IF($A2355="","",COUNTIF($U$8:$U$5007,$U2355))</f>
        <v/>
      </c>
    </row>
    <row r="2356" customFormat="false" ht="15" hidden="false" customHeight="false" outlineLevel="0" collapsed="false">
      <c r="A2356" s="31"/>
      <c r="B2356" s="32"/>
      <c r="C2356" s="32"/>
      <c r="D2356" s="32"/>
      <c r="E2356" s="32"/>
      <c r="F2356" s="32"/>
      <c r="G2356" s="33"/>
      <c r="H2356" s="33"/>
      <c r="I2356" s="34" t="str">
        <f aca="false">IF($A2356="","",$G2356-$H2356)</f>
        <v/>
      </c>
      <c r="J2356" s="35" t="str">
        <f aca="false">IF($A2356="","",IF(Setup!$B$6=1,YEAR($A2356),YEAR($A2356)+IF(MONTH($A2356)&gt;=Setup!$B$6,1,0)))</f>
        <v/>
      </c>
      <c r="K2356" s="35" t="str">
        <f aca="false">IF($A2356="","",MOD(MONTH($A2356)-Setup!$B$6+12,12)+1)</f>
        <v/>
      </c>
      <c r="L2356" s="36" t="str">
        <f aca="false">IF($A2356="","",TEXT($A2356,"MMM-YY"))</f>
        <v/>
      </c>
      <c r="M2356" s="37" t="str">
        <f aca="false">IF($A2356="","",IF($Q2356=0,"UNMAPPED",INDEX(COA_Mapping!$C$7:$C$256,$Q2356)))</f>
        <v/>
      </c>
      <c r="N2356" s="38" t="str">
        <f aca="false">IF($A2356="","",IF($Q2356=0,"",INDEX(COA_Mapping!$E$7:$E$256,$Q2356)))</f>
        <v/>
      </c>
      <c r="O2356" s="38" t="n">
        <f aca="false">IF($A2356="",1,IF($Q2356=0,1,INDEX(COA_Mapping!$F$7:$F$256,$Q2356)))</f>
        <v>1</v>
      </c>
      <c r="P2356" s="34" t="str">
        <f aca="false">IF($A2356="","",$I2356*$O2356)</f>
        <v/>
      </c>
      <c r="Q2356" s="39" t="n">
        <f aca="false">IF($B2356="",0,IFERROR(MATCH($B2356,COA_Mapping!$A$7:$A$256,0),0))</f>
        <v>0</v>
      </c>
      <c r="R2356" s="39" t="n">
        <f aca="false">IF($A2356="",-1,IF($J2356=Setup!$B$7,1,IF($J2356=Setup!$B$9,0,-1)))</f>
        <v>-1</v>
      </c>
      <c r="S2356" s="35" t="n">
        <f aca="false">IF(OR($A2356="",$Q2356=0,$R2356=-1),0,$Q2356*1000+$R2356*100+$K2356)</f>
        <v>0</v>
      </c>
      <c r="T2356" s="37" t="str">
        <f aca="false">IF($A2356="","",IF($B2356="","NO ACCOUNT",IF($Q2356=0,"UNMAPPED",IF($R2356=-1,"OUTSIDE FY RANGE","OK"))))</f>
        <v/>
      </c>
      <c r="U2356" s="40" t="str">
        <f aca="false">IF($A2356="","",$B2356&amp;"|"&amp;TEXT($A2356,"yyyymmdd")&amp;"|"&amp;TEXT($I2356,"0.00"))</f>
        <v/>
      </c>
      <c r="V2356" s="35" t="str">
        <f aca="false">IF($A2356="","",COUNTIF($U$8:$U$5007,$U2356))</f>
        <v/>
      </c>
    </row>
    <row r="2357" customFormat="false" ht="15" hidden="false" customHeight="false" outlineLevel="0" collapsed="false">
      <c r="A2357" s="31"/>
      <c r="B2357" s="32"/>
      <c r="C2357" s="32"/>
      <c r="D2357" s="32"/>
      <c r="E2357" s="32"/>
      <c r="F2357" s="32"/>
      <c r="G2357" s="33"/>
      <c r="H2357" s="33"/>
      <c r="I2357" s="34" t="str">
        <f aca="false">IF($A2357="","",$G2357-$H2357)</f>
        <v/>
      </c>
      <c r="J2357" s="35" t="str">
        <f aca="false">IF($A2357="","",IF(Setup!$B$6=1,YEAR($A2357),YEAR($A2357)+IF(MONTH($A2357)&gt;=Setup!$B$6,1,0)))</f>
        <v/>
      </c>
      <c r="K2357" s="35" t="str">
        <f aca="false">IF($A2357="","",MOD(MONTH($A2357)-Setup!$B$6+12,12)+1)</f>
        <v/>
      </c>
      <c r="L2357" s="36" t="str">
        <f aca="false">IF($A2357="","",TEXT($A2357,"MMM-YY"))</f>
        <v/>
      </c>
      <c r="M2357" s="37" t="str">
        <f aca="false">IF($A2357="","",IF($Q2357=0,"UNMAPPED",INDEX(COA_Mapping!$C$7:$C$256,$Q2357)))</f>
        <v/>
      </c>
      <c r="N2357" s="38" t="str">
        <f aca="false">IF($A2357="","",IF($Q2357=0,"",INDEX(COA_Mapping!$E$7:$E$256,$Q2357)))</f>
        <v/>
      </c>
      <c r="O2357" s="38" t="n">
        <f aca="false">IF($A2357="",1,IF($Q2357=0,1,INDEX(COA_Mapping!$F$7:$F$256,$Q2357)))</f>
        <v>1</v>
      </c>
      <c r="P2357" s="34" t="str">
        <f aca="false">IF($A2357="","",$I2357*$O2357)</f>
        <v/>
      </c>
      <c r="Q2357" s="39" t="n">
        <f aca="false">IF($B2357="",0,IFERROR(MATCH($B2357,COA_Mapping!$A$7:$A$256,0),0))</f>
        <v>0</v>
      </c>
      <c r="R2357" s="39" t="n">
        <f aca="false">IF($A2357="",-1,IF($J2357=Setup!$B$7,1,IF($J2357=Setup!$B$9,0,-1)))</f>
        <v>-1</v>
      </c>
      <c r="S2357" s="35" t="n">
        <f aca="false">IF(OR($A2357="",$Q2357=0,$R2357=-1),0,$Q2357*1000+$R2357*100+$K2357)</f>
        <v>0</v>
      </c>
      <c r="T2357" s="37" t="str">
        <f aca="false">IF($A2357="","",IF($B2357="","NO ACCOUNT",IF($Q2357=0,"UNMAPPED",IF($R2357=-1,"OUTSIDE FY RANGE","OK"))))</f>
        <v/>
      </c>
      <c r="U2357" s="40" t="str">
        <f aca="false">IF($A2357="","",$B2357&amp;"|"&amp;TEXT($A2357,"yyyymmdd")&amp;"|"&amp;TEXT($I2357,"0.00"))</f>
        <v/>
      </c>
      <c r="V2357" s="35" t="str">
        <f aca="false">IF($A2357="","",COUNTIF($U$8:$U$5007,$U2357))</f>
        <v/>
      </c>
    </row>
    <row r="2358" customFormat="false" ht="15" hidden="false" customHeight="false" outlineLevel="0" collapsed="false">
      <c r="A2358" s="31"/>
      <c r="B2358" s="32"/>
      <c r="C2358" s="32"/>
      <c r="D2358" s="32"/>
      <c r="E2358" s="32"/>
      <c r="F2358" s="32"/>
      <c r="G2358" s="33"/>
      <c r="H2358" s="33"/>
      <c r="I2358" s="34" t="str">
        <f aca="false">IF($A2358="","",$G2358-$H2358)</f>
        <v/>
      </c>
      <c r="J2358" s="35" t="str">
        <f aca="false">IF($A2358="","",IF(Setup!$B$6=1,YEAR($A2358),YEAR($A2358)+IF(MONTH($A2358)&gt;=Setup!$B$6,1,0)))</f>
        <v/>
      </c>
      <c r="K2358" s="35" t="str">
        <f aca="false">IF($A2358="","",MOD(MONTH($A2358)-Setup!$B$6+12,12)+1)</f>
        <v/>
      </c>
      <c r="L2358" s="36" t="str">
        <f aca="false">IF($A2358="","",TEXT($A2358,"MMM-YY"))</f>
        <v/>
      </c>
      <c r="M2358" s="37" t="str">
        <f aca="false">IF($A2358="","",IF($Q2358=0,"UNMAPPED",INDEX(COA_Mapping!$C$7:$C$256,$Q2358)))</f>
        <v/>
      </c>
      <c r="N2358" s="38" t="str">
        <f aca="false">IF($A2358="","",IF($Q2358=0,"",INDEX(COA_Mapping!$E$7:$E$256,$Q2358)))</f>
        <v/>
      </c>
      <c r="O2358" s="38" t="n">
        <f aca="false">IF($A2358="",1,IF($Q2358=0,1,INDEX(COA_Mapping!$F$7:$F$256,$Q2358)))</f>
        <v>1</v>
      </c>
      <c r="P2358" s="34" t="str">
        <f aca="false">IF($A2358="","",$I2358*$O2358)</f>
        <v/>
      </c>
      <c r="Q2358" s="39" t="n">
        <f aca="false">IF($B2358="",0,IFERROR(MATCH($B2358,COA_Mapping!$A$7:$A$256,0),0))</f>
        <v>0</v>
      </c>
      <c r="R2358" s="39" t="n">
        <f aca="false">IF($A2358="",-1,IF($J2358=Setup!$B$7,1,IF($J2358=Setup!$B$9,0,-1)))</f>
        <v>-1</v>
      </c>
      <c r="S2358" s="35" t="n">
        <f aca="false">IF(OR($A2358="",$Q2358=0,$R2358=-1),0,$Q2358*1000+$R2358*100+$K2358)</f>
        <v>0</v>
      </c>
      <c r="T2358" s="37" t="str">
        <f aca="false">IF($A2358="","",IF($B2358="","NO ACCOUNT",IF($Q2358=0,"UNMAPPED",IF($R2358=-1,"OUTSIDE FY RANGE","OK"))))</f>
        <v/>
      </c>
      <c r="U2358" s="40" t="str">
        <f aca="false">IF($A2358="","",$B2358&amp;"|"&amp;TEXT($A2358,"yyyymmdd")&amp;"|"&amp;TEXT($I2358,"0.00"))</f>
        <v/>
      </c>
      <c r="V2358" s="35" t="str">
        <f aca="false">IF($A2358="","",COUNTIF($U$8:$U$5007,$U2358))</f>
        <v/>
      </c>
    </row>
    <row r="2359" customFormat="false" ht="15" hidden="false" customHeight="false" outlineLevel="0" collapsed="false">
      <c r="A2359" s="31"/>
      <c r="B2359" s="32"/>
      <c r="C2359" s="32"/>
      <c r="D2359" s="32"/>
      <c r="E2359" s="32"/>
      <c r="F2359" s="32"/>
      <c r="G2359" s="33"/>
      <c r="H2359" s="33"/>
      <c r="I2359" s="34" t="str">
        <f aca="false">IF($A2359="","",$G2359-$H2359)</f>
        <v/>
      </c>
      <c r="J2359" s="35" t="str">
        <f aca="false">IF($A2359="","",IF(Setup!$B$6=1,YEAR($A2359),YEAR($A2359)+IF(MONTH($A2359)&gt;=Setup!$B$6,1,0)))</f>
        <v/>
      </c>
      <c r="K2359" s="35" t="str">
        <f aca="false">IF($A2359="","",MOD(MONTH($A2359)-Setup!$B$6+12,12)+1)</f>
        <v/>
      </c>
      <c r="L2359" s="36" t="str">
        <f aca="false">IF($A2359="","",TEXT($A2359,"MMM-YY"))</f>
        <v/>
      </c>
      <c r="M2359" s="37" t="str">
        <f aca="false">IF($A2359="","",IF($Q2359=0,"UNMAPPED",INDEX(COA_Mapping!$C$7:$C$256,$Q2359)))</f>
        <v/>
      </c>
      <c r="N2359" s="38" t="str">
        <f aca="false">IF($A2359="","",IF($Q2359=0,"",INDEX(COA_Mapping!$E$7:$E$256,$Q2359)))</f>
        <v/>
      </c>
      <c r="O2359" s="38" t="n">
        <f aca="false">IF($A2359="",1,IF($Q2359=0,1,INDEX(COA_Mapping!$F$7:$F$256,$Q2359)))</f>
        <v>1</v>
      </c>
      <c r="P2359" s="34" t="str">
        <f aca="false">IF($A2359="","",$I2359*$O2359)</f>
        <v/>
      </c>
      <c r="Q2359" s="39" t="n">
        <f aca="false">IF($B2359="",0,IFERROR(MATCH($B2359,COA_Mapping!$A$7:$A$256,0),0))</f>
        <v>0</v>
      </c>
      <c r="R2359" s="39" t="n">
        <f aca="false">IF($A2359="",-1,IF($J2359=Setup!$B$7,1,IF($J2359=Setup!$B$9,0,-1)))</f>
        <v>-1</v>
      </c>
      <c r="S2359" s="35" t="n">
        <f aca="false">IF(OR($A2359="",$Q2359=0,$R2359=-1),0,$Q2359*1000+$R2359*100+$K2359)</f>
        <v>0</v>
      </c>
      <c r="T2359" s="37" t="str">
        <f aca="false">IF($A2359="","",IF($B2359="","NO ACCOUNT",IF($Q2359=0,"UNMAPPED",IF($R2359=-1,"OUTSIDE FY RANGE","OK"))))</f>
        <v/>
      </c>
      <c r="U2359" s="40" t="str">
        <f aca="false">IF($A2359="","",$B2359&amp;"|"&amp;TEXT($A2359,"yyyymmdd")&amp;"|"&amp;TEXT($I2359,"0.00"))</f>
        <v/>
      </c>
      <c r="V2359" s="35" t="str">
        <f aca="false">IF($A2359="","",COUNTIF($U$8:$U$5007,$U2359))</f>
        <v/>
      </c>
    </row>
    <row r="2360" customFormat="false" ht="15" hidden="false" customHeight="false" outlineLevel="0" collapsed="false">
      <c r="A2360" s="31"/>
      <c r="B2360" s="32"/>
      <c r="C2360" s="32"/>
      <c r="D2360" s="32"/>
      <c r="E2360" s="32"/>
      <c r="F2360" s="32"/>
      <c r="G2360" s="33"/>
      <c r="H2360" s="33"/>
      <c r="I2360" s="34" t="str">
        <f aca="false">IF($A2360="","",$G2360-$H2360)</f>
        <v/>
      </c>
      <c r="J2360" s="35" t="str">
        <f aca="false">IF($A2360="","",IF(Setup!$B$6=1,YEAR($A2360),YEAR($A2360)+IF(MONTH($A2360)&gt;=Setup!$B$6,1,0)))</f>
        <v/>
      </c>
      <c r="K2360" s="35" t="str">
        <f aca="false">IF($A2360="","",MOD(MONTH($A2360)-Setup!$B$6+12,12)+1)</f>
        <v/>
      </c>
      <c r="L2360" s="36" t="str">
        <f aca="false">IF($A2360="","",TEXT($A2360,"MMM-YY"))</f>
        <v/>
      </c>
      <c r="M2360" s="37" t="str">
        <f aca="false">IF($A2360="","",IF($Q2360=0,"UNMAPPED",INDEX(COA_Mapping!$C$7:$C$256,$Q2360)))</f>
        <v/>
      </c>
      <c r="N2360" s="38" t="str">
        <f aca="false">IF($A2360="","",IF($Q2360=0,"",INDEX(COA_Mapping!$E$7:$E$256,$Q2360)))</f>
        <v/>
      </c>
      <c r="O2360" s="38" t="n">
        <f aca="false">IF($A2360="",1,IF($Q2360=0,1,INDEX(COA_Mapping!$F$7:$F$256,$Q2360)))</f>
        <v>1</v>
      </c>
      <c r="P2360" s="34" t="str">
        <f aca="false">IF($A2360="","",$I2360*$O2360)</f>
        <v/>
      </c>
      <c r="Q2360" s="39" t="n">
        <f aca="false">IF($B2360="",0,IFERROR(MATCH($B2360,COA_Mapping!$A$7:$A$256,0),0))</f>
        <v>0</v>
      </c>
      <c r="R2360" s="39" t="n">
        <f aca="false">IF($A2360="",-1,IF($J2360=Setup!$B$7,1,IF($J2360=Setup!$B$9,0,-1)))</f>
        <v>-1</v>
      </c>
      <c r="S2360" s="35" t="n">
        <f aca="false">IF(OR($A2360="",$Q2360=0,$R2360=-1),0,$Q2360*1000+$R2360*100+$K2360)</f>
        <v>0</v>
      </c>
      <c r="T2360" s="37" t="str">
        <f aca="false">IF($A2360="","",IF($B2360="","NO ACCOUNT",IF($Q2360=0,"UNMAPPED",IF($R2360=-1,"OUTSIDE FY RANGE","OK"))))</f>
        <v/>
      </c>
      <c r="U2360" s="40" t="str">
        <f aca="false">IF($A2360="","",$B2360&amp;"|"&amp;TEXT($A2360,"yyyymmdd")&amp;"|"&amp;TEXT($I2360,"0.00"))</f>
        <v/>
      </c>
      <c r="V2360" s="35" t="str">
        <f aca="false">IF($A2360="","",COUNTIF($U$8:$U$5007,$U2360))</f>
        <v/>
      </c>
    </row>
    <row r="2361" customFormat="false" ht="15" hidden="false" customHeight="false" outlineLevel="0" collapsed="false">
      <c r="A2361" s="31"/>
      <c r="B2361" s="32"/>
      <c r="C2361" s="32"/>
      <c r="D2361" s="32"/>
      <c r="E2361" s="32"/>
      <c r="F2361" s="32"/>
      <c r="G2361" s="33"/>
      <c r="H2361" s="33"/>
      <c r="I2361" s="34" t="str">
        <f aca="false">IF($A2361="","",$G2361-$H2361)</f>
        <v/>
      </c>
      <c r="J2361" s="35" t="str">
        <f aca="false">IF($A2361="","",IF(Setup!$B$6=1,YEAR($A2361),YEAR($A2361)+IF(MONTH($A2361)&gt;=Setup!$B$6,1,0)))</f>
        <v/>
      </c>
      <c r="K2361" s="35" t="str">
        <f aca="false">IF($A2361="","",MOD(MONTH($A2361)-Setup!$B$6+12,12)+1)</f>
        <v/>
      </c>
      <c r="L2361" s="36" t="str">
        <f aca="false">IF($A2361="","",TEXT($A2361,"MMM-YY"))</f>
        <v/>
      </c>
      <c r="M2361" s="37" t="str">
        <f aca="false">IF($A2361="","",IF($Q2361=0,"UNMAPPED",INDEX(COA_Mapping!$C$7:$C$256,$Q2361)))</f>
        <v/>
      </c>
      <c r="N2361" s="38" t="str">
        <f aca="false">IF($A2361="","",IF($Q2361=0,"",INDEX(COA_Mapping!$E$7:$E$256,$Q2361)))</f>
        <v/>
      </c>
      <c r="O2361" s="38" t="n">
        <f aca="false">IF($A2361="",1,IF($Q2361=0,1,INDEX(COA_Mapping!$F$7:$F$256,$Q2361)))</f>
        <v>1</v>
      </c>
      <c r="P2361" s="34" t="str">
        <f aca="false">IF($A2361="","",$I2361*$O2361)</f>
        <v/>
      </c>
      <c r="Q2361" s="39" t="n">
        <f aca="false">IF($B2361="",0,IFERROR(MATCH($B2361,COA_Mapping!$A$7:$A$256,0),0))</f>
        <v>0</v>
      </c>
      <c r="R2361" s="39" t="n">
        <f aca="false">IF($A2361="",-1,IF($J2361=Setup!$B$7,1,IF($J2361=Setup!$B$9,0,-1)))</f>
        <v>-1</v>
      </c>
      <c r="S2361" s="35" t="n">
        <f aca="false">IF(OR($A2361="",$Q2361=0,$R2361=-1),0,$Q2361*1000+$R2361*100+$K2361)</f>
        <v>0</v>
      </c>
      <c r="T2361" s="37" t="str">
        <f aca="false">IF($A2361="","",IF($B2361="","NO ACCOUNT",IF($Q2361=0,"UNMAPPED",IF($R2361=-1,"OUTSIDE FY RANGE","OK"))))</f>
        <v/>
      </c>
      <c r="U2361" s="40" t="str">
        <f aca="false">IF($A2361="","",$B2361&amp;"|"&amp;TEXT($A2361,"yyyymmdd")&amp;"|"&amp;TEXT($I2361,"0.00"))</f>
        <v/>
      </c>
      <c r="V2361" s="35" t="str">
        <f aca="false">IF($A2361="","",COUNTIF($U$8:$U$5007,$U2361))</f>
        <v/>
      </c>
    </row>
    <row r="2362" customFormat="false" ht="15" hidden="false" customHeight="false" outlineLevel="0" collapsed="false">
      <c r="A2362" s="31"/>
      <c r="B2362" s="32"/>
      <c r="C2362" s="32"/>
      <c r="D2362" s="32"/>
      <c r="E2362" s="32"/>
      <c r="F2362" s="32"/>
      <c r="G2362" s="33"/>
      <c r="H2362" s="33"/>
      <c r="I2362" s="34" t="str">
        <f aca="false">IF($A2362="","",$G2362-$H2362)</f>
        <v/>
      </c>
      <c r="J2362" s="35" t="str">
        <f aca="false">IF($A2362="","",IF(Setup!$B$6=1,YEAR($A2362),YEAR($A2362)+IF(MONTH($A2362)&gt;=Setup!$B$6,1,0)))</f>
        <v/>
      </c>
      <c r="K2362" s="35" t="str">
        <f aca="false">IF($A2362="","",MOD(MONTH($A2362)-Setup!$B$6+12,12)+1)</f>
        <v/>
      </c>
      <c r="L2362" s="36" t="str">
        <f aca="false">IF($A2362="","",TEXT($A2362,"MMM-YY"))</f>
        <v/>
      </c>
      <c r="M2362" s="37" t="str">
        <f aca="false">IF($A2362="","",IF($Q2362=0,"UNMAPPED",INDEX(COA_Mapping!$C$7:$C$256,$Q2362)))</f>
        <v/>
      </c>
      <c r="N2362" s="38" t="str">
        <f aca="false">IF($A2362="","",IF($Q2362=0,"",INDEX(COA_Mapping!$E$7:$E$256,$Q2362)))</f>
        <v/>
      </c>
      <c r="O2362" s="38" t="n">
        <f aca="false">IF($A2362="",1,IF($Q2362=0,1,INDEX(COA_Mapping!$F$7:$F$256,$Q2362)))</f>
        <v>1</v>
      </c>
      <c r="P2362" s="34" t="str">
        <f aca="false">IF($A2362="","",$I2362*$O2362)</f>
        <v/>
      </c>
      <c r="Q2362" s="39" t="n">
        <f aca="false">IF($B2362="",0,IFERROR(MATCH($B2362,COA_Mapping!$A$7:$A$256,0),0))</f>
        <v>0</v>
      </c>
      <c r="R2362" s="39" t="n">
        <f aca="false">IF($A2362="",-1,IF($J2362=Setup!$B$7,1,IF($J2362=Setup!$B$9,0,-1)))</f>
        <v>-1</v>
      </c>
      <c r="S2362" s="35" t="n">
        <f aca="false">IF(OR($A2362="",$Q2362=0,$R2362=-1),0,$Q2362*1000+$R2362*100+$K2362)</f>
        <v>0</v>
      </c>
      <c r="T2362" s="37" t="str">
        <f aca="false">IF($A2362="","",IF($B2362="","NO ACCOUNT",IF($Q2362=0,"UNMAPPED",IF($R2362=-1,"OUTSIDE FY RANGE","OK"))))</f>
        <v/>
      </c>
      <c r="U2362" s="40" t="str">
        <f aca="false">IF($A2362="","",$B2362&amp;"|"&amp;TEXT($A2362,"yyyymmdd")&amp;"|"&amp;TEXT($I2362,"0.00"))</f>
        <v/>
      </c>
      <c r="V2362" s="35" t="str">
        <f aca="false">IF($A2362="","",COUNTIF($U$8:$U$5007,$U2362))</f>
        <v/>
      </c>
    </row>
    <row r="2363" customFormat="false" ht="15" hidden="false" customHeight="false" outlineLevel="0" collapsed="false">
      <c r="A2363" s="31"/>
      <c r="B2363" s="32"/>
      <c r="C2363" s="32"/>
      <c r="D2363" s="32"/>
      <c r="E2363" s="32"/>
      <c r="F2363" s="32"/>
      <c r="G2363" s="33"/>
      <c r="H2363" s="33"/>
      <c r="I2363" s="34" t="str">
        <f aca="false">IF($A2363="","",$G2363-$H2363)</f>
        <v/>
      </c>
      <c r="J2363" s="35" t="str">
        <f aca="false">IF($A2363="","",IF(Setup!$B$6=1,YEAR($A2363),YEAR($A2363)+IF(MONTH($A2363)&gt;=Setup!$B$6,1,0)))</f>
        <v/>
      </c>
      <c r="K2363" s="35" t="str">
        <f aca="false">IF($A2363="","",MOD(MONTH($A2363)-Setup!$B$6+12,12)+1)</f>
        <v/>
      </c>
      <c r="L2363" s="36" t="str">
        <f aca="false">IF($A2363="","",TEXT($A2363,"MMM-YY"))</f>
        <v/>
      </c>
      <c r="M2363" s="37" t="str">
        <f aca="false">IF($A2363="","",IF($Q2363=0,"UNMAPPED",INDEX(COA_Mapping!$C$7:$C$256,$Q2363)))</f>
        <v/>
      </c>
      <c r="N2363" s="38" t="str">
        <f aca="false">IF($A2363="","",IF($Q2363=0,"",INDEX(COA_Mapping!$E$7:$E$256,$Q2363)))</f>
        <v/>
      </c>
      <c r="O2363" s="38" t="n">
        <f aca="false">IF($A2363="",1,IF($Q2363=0,1,INDEX(COA_Mapping!$F$7:$F$256,$Q2363)))</f>
        <v>1</v>
      </c>
      <c r="P2363" s="34" t="str">
        <f aca="false">IF($A2363="","",$I2363*$O2363)</f>
        <v/>
      </c>
      <c r="Q2363" s="39" t="n">
        <f aca="false">IF($B2363="",0,IFERROR(MATCH($B2363,COA_Mapping!$A$7:$A$256,0),0))</f>
        <v>0</v>
      </c>
      <c r="R2363" s="39" t="n">
        <f aca="false">IF($A2363="",-1,IF($J2363=Setup!$B$7,1,IF($J2363=Setup!$B$9,0,-1)))</f>
        <v>-1</v>
      </c>
      <c r="S2363" s="35" t="n">
        <f aca="false">IF(OR($A2363="",$Q2363=0,$R2363=-1),0,$Q2363*1000+$R2363*100+$K2363)</f>
        <v>0</v>
      </c>
      <c r="T2363" s="37" t="str">
        <f aca="false">IF($A2363="","",IF($B2363="","NO ACCOUNT",IF($Q2363=0,"UNMAPPED",IF($R2363=-1,"OUTSIDE FY RANGE","OK"))))</f>
        <v/>
      </c>
      <c r="U2363" s="40" t="str">
        <f aca="false">IF($A2363="","",$B2363&amp;"|"&amp;TEXT($A2363,"yyyymmdd")&amp;"|"&amp;TEXT($I2363,"0.00"))</f>
        <v/>
      </c>
      <c r="V2363" s="35" t="str">
        <f aca="false">IF($A2363="","",COUNTIF($U$8:$U$5007,$U2363))</f>
        <v/>
      </c>
    </row>
    <row r="2364" customFormat="false" ht="15" hidden="false" customHeight="false" outlineLevel="0" collapsed="false">
      <c r="A2364" s="31"/>
      <c r="B2364" s="32"/>
      <c r="C2364" s="32"/>
      <c r="D2364" s="32"/>
      <c r="E2364" s="32"/>
      <c r="F2364" s="32"/>
      <c r="G2364" s="33"/>
      <c r="H2364" s="33"/>
      <c r="I2364" s="34" t="str">
        <f aca="false">IF($A2364="","",$G2364-$H2364)</f>
        <v/>
      </c>
      <c r="J2364" s="35" t="str">
        <f aca="false">IF($A2364="","",IF(Setup!$B$6=1,YEAR($A2364),YEAR($A2364)+IF(MONTH($A2364)&gt;=Setup!$B$6,1,0)))</f>
        <v/>
      </c>
      <c r="K2364" s="35" t="str">
        <f aca="false">IF($A2364="","",MOD(MONTH($A2364)-Setup!$B$6+12,12)+1)</f>
        <v/>
      </c>
      <c r="L2364" s="36" t="str">
        <f aca="false">IF($A2364="","",TEXT($A2364,"MMM-YY"))</f>
        <v/>
      </c>
      <c r="M2364" s="37" t="str">
        <f aca="false">IF($A2364="","",IF($Q2364=0,"UNMAPPED",INDEX(COA_Mapping!$C$7:$C$256,$Q2364)))</f>
        <v/>
      </c>
      <c r="N2364" s="38" t="str">
        <f aca="false">IF($A2364="","",IF($Q2364=0,"",INDEX(COA_Mapping!$E$7:$E$256,$Q2364)))</f>
        <v/>
      </c>
      <c r="O2364" s="38" t="n">
        <f aca="false">IF($A2364="",1,IF($Q2364=0,1,INDEX(COA_Mapping!$F$7:$F$256,$Q2364)))</f>
        <v>1</v>
      </c>
      <c r="P2364" s="34" t="str">
        <f aca="false">IF($A2364="","",$I2364*$O2364)</f>
        <v/>
      </c>
      <c r="Q2364" s="39" t="n">
        <f aca="false">IF($B2364="",0,IFERROR(MATCH($B2364,COA_Mapping!$A$7:$A$256,0),0))</f>
        <v>0</v>
      </c>
      <c r="R2364" s="39" t="n">
        <f aca="false">IF($A2364="",-1,IF($J2364=Setup!$B$7,1,IF($J2364=Setup!$B$9,0,-1)))</f>
        <v>-1</v>
      </c>
      <c r="S2364" s="35" t="n">
        <f aca="false">IF(OR($A2364="",$Q2364=0,$R2364=-1),0,$Q2364*1000+$R2364*100+$K2364)</f>
        <v>0</v>
      </c>
      <c r="T2364" s="37" t="str">
        <f aca="false">IF($A2364="","",IF($B2364="","NO ACCOUNT",IF($Q2364=0,"UNMAPPED",IF($R2364=-1,"OUTSIDE FY RANGE","OK"))))</f>
        <v/>
      </c>
      <c r="U2364" s="40" t="str">
        <f aca="false">IF($A2364="","",$B2364&amp;"|"&amp;TEXT($A2364,"yyyymmdd")&amp;"|"&amp;TEXT($I2364,"0.00"))</f>
        <v/>
      </c>
      <c r="V2364" s="35" t="str">
        <f aca="false">IF($A2364="","",COUNTIF($U$8:$U$5007,$U2364))</f>
        <v/>
      </c>
    </row>
    <row r="2365" customFormat="false" ht="15" hidden="false" customHeight="false" outlineLevel="0" collapsed="false">
      <c r="A2365" s="31"/>
      <c r="B2365" s="32"/>
      <c r="C2365" s="32"/>
      <c r="D2365" s="32"/>
      <c r="E2365" s="32"/>
      <c r="F2365" s="32"/>
      <c r="G2365" s="33"/>
      <c r="H2365" s="33"/>
      <c r="I2365" s="34" t="str">
        <f aca="false">IF($A2365="","",$G2365-$H2365)</f>
        <v/>
      </c>
      <c r="J2365" s="35" t="str">
        <f aca="false">IF($A2365="","",IF(Setup!$B$6=1,YEAR($A2365),YEAR($A2365)+IF(MONTH($A2365)&gt;=Setup!$B$6,1,0)))</f>
        <v/>
      </c>
      <c r="K2365" s="35" t="str">
        <f aca="false">IF($A2365="","",MOD(MONTH($A2365)-Setup!$B$6+12,12)+1)</f>
        <v/>
      </c>
      <c r="L2365" s="36" t="str">
        <f aca="false">IF($A2365="","",TEXT($A2365,"MMM-YY"))</f>
        <v/>
      </c>
      <c r="M2365" s="37" t="str">
        <f aca="false">IF($A2365="","",IF($Q2365=0,"UNMAPPED",INDEX(COA_Mapping!$C$7:$C$256,$Q2365)))</f>
        <v/>
      </c>
      <c r="N2365" s="38" t="str">
        <f aca="false">IF($A2365="","",IF($Q2365=0,"",INDEX(COA_Mapping!$E$7:$E$256,$Q2365)))</f>
        <v/>
      </c>
      <c r="O2365" s="38" t="n">
        <f aca="false">IF($A2365="",1,IF($Q2365=0,1,INDEX(COA_Mapping!$F$7:$F$256,$Q2365)))</f>
        <v>1</v>
      </c>
      <c r="P2365" s="34" t="str">
        <f aca="false">IF($A2365="","",$I2365*$O2365)</f>
        <v/>
      </c>
      <c r="Q2365" s="39" t="n">
        <f aca="false">IF($B2365="",0,IFERROR(MATCH($B2365,COA_Mapping!$A$7:$A$256,0),0))</f>
        <v>0</v>
      </c>
      <c r="R2365" s="39" t="n">
        <f aca="false">IF($A2365="",-1,IF($J2365=Setup!$B$7,1,IF($J2365=Setup!$B$9,0,-1)))</f>
        <v>-1</v>
      </c>
      <c r="S2365" s="35" t="n">
        <f aca="false">IF(OR($A2365="",$Q2365=0,$R2365=-1),0,$Q2365*1000+$R2365*100+$K2365)</f>
        <v>0</v>
      </c>
      <c r="T2365" s="37" t="str">
        <f aca="false">IF($A2365="","",IF($B2365="","NO ACCOUNT",IF($Q2365=0,"UNMAPPED",IF($R2365=-1,"OUTSIDE FY RANGE","OK"))))</f>
        <v/>
      </c>
      <c r="U2365" s="40" t="str">
        <f aca="false">IF($A2365="","",$B2365&amp;"|"&amp;TEXT($A2365,"yyyymmdd")&amp;"|"&amp;TEXT($I2365,"0.00"))</f>
        <v/>
      </c>
      <c r="V2365" s="35" t="str">
        <f aca="false">IF($A2365="","",COUNTIF($U$8:$U$5007,$U2365))</f>
        <v/>
      </c>
    </row>
    <row r="2366" customFormat="false" ht="15" hidden="false" customHeight="false" outlineLevel="0" collapsed="false">
      <c r="A2366" s="31"/>
      <c r="B2366" s="32"/>
      <c r="C2366" s="32"/>
      <c r="D2366" s="32"/>
      <c r="E2366" s="32"/>
      <c r="F2366" s="32"/>
      <c r="G2366" s="33"/>
      <c r="H2366" s="33"/>
      <c r="I2366" s="34" t="str">
        <f aca="false">IF($A2366="","",$G2366-$H2366)</f>
        <v/>
      </c>
      <c r="J2366" s="35" t="str">
        <f aca="false">IF($A2366="","",IF(Setup!$B$6=1,YEAR($A2366),YEAR($A2366)+IF(MONTH($A2366)&gt;=Setup!$B$6,1,0)))</f>
        <v/>
      </c>
      <c r="K2366" s="35" t="str">
        <f aca="false">IF($A2366="","",MOD(MONTH($A2366)-Setup!$B$6+12,12)+1)</f>
        <v/>
      </c>
      <c r="L2366" s="36" t="str">
        <f aca="false">IF($A2366="","",TEXT($A2366,"MMM-YY"))</f>
        <v/>
      </c>
      <c r="M2366" s="37" t="str">
        <f aca="false">IF($A2366="","",IF($Q2366=0,"UNMAPPED",INDEX(COA_Mapping!$C$7:$C$256,$Q2366)))</f>
        <v/>
      </c>
      <c r="N2366" s="38" t="str">
        <f aca="false">IF($A2366="","",IF($Q2366=0,"",INDEX(COA_Mapping!$E$7:$E$256,$Q2366)))</f>
        <v/>
      </c>
      <c r="O2366" s="38" t="n">
        <f aca="false">IF($A2366="",1,IF($Q2366=0,1,INDEX(COA_Mapping!$F$7:$F$256,$Q2366)))</f>
        <v>1</v>
      </c>
      <c r="P2366" s="34" t="str">
        <f aca="false">IF($A2366="","",$I2366*$O2366)</f>
        <v/>
      </c>
      <c r="Q2366" s="39" t="n">
        <f aca="false">IF($B2366="",0,IFERROR(MATCH($B2366,COA_Mapping!$A$7:$A$256,0),0))</f>
        <v>0</v>
      </c>
      <c r="R2366" s="39" t="n">
        <f aca="false">IF($A2366="",-1,IF($J2366=Setup!$B$7,1,IF($J2366=Setup!$B$9,0,-1)))</f>
        <v>-1</v>
      </c>
      <c r="S2366" s="35" t="n">
        <f aca="false">IF(OR($A2366="",$Q2366=0,$R2366=-1),0,$Q2366*1000+$R2366*100+$K2366)</f>
        <v>0</v>
      </c>
      <c r="T2366" s="37" t="str">
        <f aca="false">IF($A2366="","",IF($B2366="","NO ACCOUNT",IF($Q2366=0,"UNMAPPED",IF($R2366=-1,"OUTSIDE FY RANGE","OK"))))</f>
        <v/>
      </c>
      <c r="U2366" s="40" t="str">
        <f aca="false">IF($A2366="","",$B2366&amp;"|"&amp;TEXT($A2366,"yyyymmdd")&amp;"|"&amp;TEXT($I2366,"0.00"))</f>
        <v/>
      </c>
      <c r="V2366" s="35" t="str">
        <f aca="false">IF($A2366="","",COUNTIF($U$8:$U$5007,$U2366))</f>
        <v/>
      </c>
    </row>
    <row r="2367" customFormat="false" ht="15" hidden="false" customHeight="false" outlineLevel="0" collapsed="false">
      <c r="A2367" s="31"/>
      <c r="B2367" s="32"/>
      <c r="C2367" s="32"/>
      <c r="D2367" s="32"/>
      <c r="E2367" s="32"/>
      <c r="F2367" s="32"/>
      <c r="G2367" s="33"/>
      <c r="H2367" s="33"/>
      <c r="I2367" s="34" t="str">
        <f aca="false">IF($A2367="","",$G2367-$H2367)</f>
        <v/>
      </c>
      <c r="J2367" s="35" t="str">
        <f aca="false">IF($A2367="","",IF(Setup!$B$6=1,YEAR($A2367),YEAR($A2367)+IF(MONTH($A2367)&gt;=Setup!$B$6,1,0)))</f>
        <v/>
      </c>
      <c r="K2367" s="35" t="str">
        <f aca="false">IF($A2367="","",MOD(MONTH($A2367)-Setup!$B$6+12,12)+1)</f>
        <v/>
      </c>
      <c r="L2367" s="36" t="str">
        <f aca="false">IF($A2367="","",TEXT($A2367,"MMM-YY"))</f>
        <v/>
      </c>
      <c r="M2367" s="37" t="str">
        <f aca="false">IF($A2367="","",IF($Q2367=0,"UNMAPPED",INDEX(COA_Mapping!$C$7:$C$256,$Q2367)))</f>
        <v/>
      </c>
      <c r="N2367" s="38" t="str">
        <f aca="false">IF($A2367="","",IF($Q2367=0,"",INDEX(COA_Mapping!$E$7:$E$256,$Q2367)))</f>
        <v/>
      </c>
      <c r="O2367" s="38" t="n">
        <f aca="false">IF($A2367="",1,IF($Q2367=0,1,INDEX(COA_Mapping!$F$7:$F$256,$Q2367)))</f>
        <v>1</v>
      </c>
      <c r="P2367" s="34" t="str">
        <f aca="false">IF($A2367="","",$I2367*$O2367)</f>
        <v/>
      </c>
      <c r="Q2367" s="39" t="n">
        <f aca="false">IF($B2367="",0,IFERROR(MATCH($B2367,COA_Mapping!$A$7:$A$256,0),0))</f>
        <v>0</v>
      </c>
      <c r="R2367" s="39" t="n">
        <f aca="false">IF($A2367="",-1,IF($J2367=Setup!$B$7,1,IF($J2367=Setup!$B$9,0,-1)))</f>
        <v>-1</v>
      </c>
      <c r="S2367" s="35" t="n">
        <f aca="false">IF(OR($A2367="",$Q2367=0,$R2367=-1),0,$Q2367*1000+$R2367*100+$K2367)</f>
        <v>0</v>
      </c>
      <c r="T2367" s="37" t="str">
        <f aca="false">IF($A2367="","",IF($B2367="","NO ACCOUNT",IF($Q2367=0,"UNMAPPED",IF($R2367=-1,"OUTSIDE FY RANGE","OK"))))</f>
        <v/>
      </c>
      <c r="U2367" s="40" t="str">
        <f aca="false">IF($A2367="","",$B2367&amp;"|"&amp;TEXT($A2367,"yyyymmdd")&amp;"|"&amp;TEXT($I2367,"0.00"))</f>
        <v/>
      </c>
      <c r="V2367" s="35" t="str">
        <f aca="false">IF($A2367="","",COUNTIF($U$8:$U$5007,$U2367))</f>
        <v/>
      </c>
    </row>
    <row r="2368" customFormat="false" ht="15" hidden="false" customHeight="false" outlineLevel="0" collapsed="false">
      <c r="A2368" s="31"/>
      <c r="B2368" s="32"/>
      <c r="C2368" s="32"/>
      <c r="D2368" s="32"/>
      <c r="E2368" s="32"/>
      <c r="F2368" s="32"/>
      <c r="G2368" s="33"/>
      <c r="H2368" s="33"/>
      <c r="I2368" s="34" t="str">
        <f aca="false">IF($A2368="","",$G2368-$H2368)</f>
        <v/>
      </c>
      <c r="J2368" s="35" t="str">
        <f aca="false">IF($A2368="","",IF(Setup!$B$6=1,YEAR($A2368),YEAR($A2368)+IF(MONTH($A2368)&gt;=Setup!$B$6,1,0)))</f>
        <v/>
      </c>
      <c r="K2368" s="35" t="str">
        <f aca="false">IF($A2368="","",MOD(MONTH($A2368)-Setup!$B$6+12,12)+1)</f>
        <v/>
      </c>
      <c r="L2368" s="36" t="str">
        <f aca="false">IF($A2368="","",TEXT($A2368,"MMM-YY"))</f>
        <v/>
      </c>
      <c r="M2368" s="37" t="str">
        <f aca="false">IF($A2368="","",IF($Q2368=0,"UNMAPPED",INDEX(COA_Mapping!$C$7:$C$256,$Q2368)))</f>
        <v/>
      </c>
      <c r="N2368" s="38" t="str">
        <f aca="false">IF($A2368="","",IF($Q2368=0,"",INDEX(COA_Mapping!$E$7:$E$256,$Q2368)))</f>
        <v/>
      </c>
      <c r="O2368" s="38" t="n">
        <f aca="false">IF($A2368="",1,IF($Q2368=0,1,INDEX(COA_Mapping!$F$7:$F$256,$Q2368)))</f>
        <v>1</v>
      </c>
      <c r="P2368" s="34" t="str">
        <f aca="false">IF($A2368="","",$I2368*$O2368)</f>
        <v/>
      </c>
      <c r="Q2368" s="39" t="n">
        <f aca="false">IF($B2368="",0,IFERROR(MATCH($B2368,COA_Mapping!$A$7:$A$256,0),0))</f>
        <v>0</v>
      </c>
      <c r="R2368" s="39" t="n">
        <f aca="false">IF($A2368="",-1,IF($J2368=Setup!$B$7,1,IF($J2368=Setup!$B$9,0,-1)))</f>
        <v>-1</v>
      </c>
      <c r="S2368" s="35" t="n">
        <f aca="false">IF(OR($A2368="",$Q2368=0,$R2368=-1),0,$Q2368*1000+$R2368*100+$K2368)</f>
        <v>0</v>
      </c>
      <c r="T2368" s="37" t="str">
        <f aca="false">IF($A2368="","",IF($B2368="","NO ACCOUNT",IF($Q2368=0,"UNMAPPED",IF($R2368=-1,"OUTSIDE FY RANGE","OK"))))</f>
        <v/>
      </c>
      <c r="U2368" s="40" t="str">
        <f aca="false">IF($A2368="","",$B2368&amp;"|"&amp;TEXT($A2368,"yyyymmdd")&amp;"|"&amp;TEXT($I2368,"0.00"))</f>
        <v/>
      </c>
      <c r="V2368" s="35" t="str">
        <f aca="false">IF($A2368="","",COUNTIF($U$8:$U$5007,$U2368))</f>
        <v/>
      </c>
    </row>
    <row r="2369" customFormat="false" ht="15" hidden="false" customHeight="false" outlineLevel="0" collapsed="false">
      <c r="A2369" s="31"/>
      <c r="B2369" s="32"/>
      <c r="C2369" s="32"/>
      <c r="D2369" s="32"/>
      <c r="E2369" s="32"/>
      <c r="F2369" s="32"/>
      <c r="G2369" s="33"/>
      <c r="H2369" s="33"/>
      <c r="I2369" s="34" t="str">
        <f aca="false">IF($A2369="","",$G2369-$H2369)</f>
        <v/>
      </c>
      <c r="J2369" s="35" t="str">
        <f aca="false">IF($A2369="","",IF(Setup!$B$6=1,YEAR($A2369),YEAR($A2369)+IF(MONTH($A2369)&gt;=Setup!$B$6,1,0)))</f>
        <v/>
      </c>
      <c r="K2369" s="35" t="str">
        <f aca="false">IF($A2369="","",MOD(MONTH($A2369)-Setup!$B$6+12,12)+1)</f>
        <v/>
      </c>
      <c r="L2369" s="36" t="str">
        <f aca="false">IF($A2369="","",TEXT($A2369,"MMM-YY"))</f>
        <v/>
      </c>
      <c r="M2369" s="37" t="str">
        <f aca="false">IF($A2369="","",IF($Q2369=0,"UNMAPPED",INDEX(COA_Mapping!$C$7:$C$256,$Q2369)))</f>
        <v/>
      </c>
      <c r="N2369" s="38" t="str">
        <f aca="false">IF($A2369="","",IF($Q2369=0,"",INDEX(COA_Mapping!$E$7:$E$256,$Q2369)))</f>
        <v/>
      </c>
      <c r="O2369" s="38" t="n">
        <f aca="false">IF($A2369="",1,IF($Q2369=0,1,INDEX(COA_Mapping!$F$7:$F$256,$Q2369)))</f>
        <v>1</v>
      </c>
      <c r="P2369" s="34" t="str">
        <f aca="false">IF($A2369="","",$I2369*$O2369)</f>
        <v/>
      </c>
      <c r="Q2369" s="39" t="n">
        <f aca="false">IF($B2369="",0,IFERROR(MATCH($B2369,COA_Mapping!$A$7:$A$256,0),0))</f>
        <v>0</v>
      </c>
      <c r="R2369" s="39" t="n">
        <f aca="false">IF($A2369="",-1,IF($J2369=Setup!$B$7,1,IF($J2369=Setup!$B$9,0,-1)))</f>
        <v>-1</v>
      </c>
      <c r="S2369" s="35" t="n">
        <f aca="false">IF(OR($A2369="",$Q2369=0,$R2369=-1),0,$Q2369*1000+$R2369*100+$K2369)</f>
        <v>0</v>
      </c>
      <c r="T2369" s="37" t="str">
        <f aca="false">IF($A2369="","",IF($B2369="","NO ACCOUNT",IF($Q2369=0,"UNMAPPED",IF($R2369=-1,"OUTSIDE FY RANGE","OK"))))</f>
        <v/>
      </c>
      <c r="U2369" s="40" t="str">
        <f aca="false">IF($A2369="","",$B2369&amp;"|"&amp;TEXT($A2369,"yyyymmdd")&amp;"|"&amp;TEXT($I2369,"0.00"))</f>
        <v/>
      </c>
      <c r="V2369" s="35" t="str">
        <f aca="false">IF($A2369="","",COUNTIF($U$8:$U$5007,$U2369))</f>
        <v/>
      </c>
    </row>
    <row r="2370" customFormat="false" ht="15" hidden="false" customHeight="false" outlineLevel="0" collapsed="false">
      <c r="A2370" s="31"/>
      <c r="B2370" s="32"/>
      <c r="C2370" s="32"/>
      <c r="D2370" s="32"/>
      <c r="E2370" s="32"/>
      <c r="F2370" s="32"/>
      <c r="G2370" s="33"/>
      <c r="H2370" s="33"/>
      <c r="I2370" s="34" t="str">
        <f aca="false">IF($A2370="","",$G2370-$H2370)</f>
        <v/>
      </c>
      <c r="J2370" s="35" t="str">
        <f aca="false">IF($A2370="","",IF(Setup!$B$6=1,YEAR($A2370),YEAR($A2370)+IF(MONTH($A2370)&gt;=Setup!$B$6,1,0)))</f>
        <v/>
      </c>
      <c r="K2370" s="35" t="str">
        <f aca="false">IF($A2370="","",MOD(MONTH($A2370)-Setup!$B$6+12,12)+1)</f>
        <v/>
      </c>
      <c r="L2370" s="36" t="str">
        <f aca="false">IF($A2370="","",TEXT($A2370,"MMM-YY"))</f>
        <v/>
      </c>
      <c r="M2370" s="37" t="str">
        <f aca="false">IF($A2370="","",IF($Q2370=0,"UNMAPPED",INDEX(COA_Mapping!$C$7:$C$256,$Q2370)))</f>
        <v/>
      </c>
      <c r="N2370" s="38" t="str">
        <f aca="false">IF($A2370="","",IF($Q2370=0,"",INDEX(COA_Mapping!$E$7:$E$256,$Q2370)))</f>
        <v/>
      </c>
      <c r="O2370" s="38" t="n">
        <f aca="false">IF($A2370="",1,IF($Q2370=0,1,INDEX(COA_Mapping!$F$7:$F$256,$Q2370)))</f>
        <v>1</v>
      </c>
      <c r="P2370" s="34" t="str">
        <f aca="false">IF($A2370="","",$I2370*$O2370)</f>
        <v/>
      </c>
      <c r="Q2370" s="39" t="n">
        <f aca="false">IF($B2370="",0,IFERROR(MATCH($B2370,COA_Mapping!$A$7:$A$256,0),0))</f>
        <v>0</v>
      </c>
      <c r="R2370" s="39" t="n">
        <f aca="false">IF($A2370="",-1,IF($J2370=Setup!$B$7,1,IF($J2370=Setup!$B$9,0,-1)))</f>
        <v>-1</v>
      </c>
      <c r="S2370" s="35" t="n">
        <f aca="false">IF(OR($A2370="",$Q2370=0,$R2370=-1),0,$Q2370*1000+$R2370*100+$K2370)</f>
        <v>0</v>
      </c>
      <c r="T2370" s="37" t="str">
        <f aca="false">IF($A2370="","",IF($B2370="","NO ACCOUNT",IF($Q2370=0,"UNMAPPED",IF($R2370=-1,"OUTSIDE FY RANGE","OK"))))</f>
        <v/>
      </c>
      <c r="U2370" s="40" t="str">
        <f aca="false">IF($A2370="","",$B2370&amp;"|"&amp;TEXT($A2370,"yyyymmdd")&amp;"|"&amp;TEXT($I2370,"0.00"))</f>
        <v/>
      </c>
      <c r="V2370" s="35" t="str">
        <f aca="false">IF($A2370="","",COUNTIF($U$8:$U$5007,$U2370))</f>
        <v/>
      </c>
    </row>
    <row r="2371" customFormat="false" ht="15" hidden="false" customHeight="false" outlineLevel="0" collapsed="false">
      <c r="A2371" s="31"/>
      <c r="B2371" s="32"/>
      <c r="C2371" s="32"/>
      <c r="D2371" s="32"/>
      <c r="E2371" s="32"/>
      <c r="F2371" s="32"/>
      <c r="G2371" s="33"/>
      <c r="H2371" s="33"/>
      <c r="I2371" s="34" t="str">
        <f aca="false">IF($A2371="","",$G2371-$H2371)</f>
        <v/>
      </c>
      <c r="J2371" s="35" t="str">
        <f aca="false">IF($A2371="","",IF(Setup!$B$6=1,YEAR($A2371),YEAR($A2371)+IF(MONTH($A2371)&gt;=Setup!$B$6,1,0)))</f>
        <v/>
      </c>
      <c r="K2371" s="35" t="str">
        <f aca="false">IF($A2371="","",MOD(MONTH($A2371)-Setup!$B$6+12,12)+1)</f>
        <v/>
      </c>
      <c r="L2371" s="36" t="str">
        <f aca="false">IF($A2371="","",TEXT($A2371,"MMM-YY"))</f>
        <v/>
      </c>
      <c r="M2371" s="37" t="str">
        <f aca="false">IF($A2371="","",IF($Q2371=0,"UNMAPPED",INDEX(COA_Mapping!$C$7:$C$256,$Q2371)))</f>
        <v/>
      </c>
      <c r="N2371" s="38" t="str">
        <f aca="false">IF($A2371="","",IF($Q2371=0,"",INDEX(COA_Mapping!$E$7:$E$256,$Q2371)))</f>
        <v/>
      </c>
      <c r="O2371" s="38" t="n">
        <f aca="false">IF($A2371="",1,IF($Q2371=0,1,INDEX(COA_Mapping!$F$7:$F$256,$Q2371)))</f>
        <v>1</v>
      </c>
      <c r="P2371" s="34" t="str">
        <f aca="false">IF($A2371="","",$I2371*$O2371)</f>
        <v/>
      </c>
      <c r="Q2371" s="39" t="n">
        <f aca="false">IF($B2371="",0,IFERROR(MATCH($B2371,COA_Mapping!$A$7:$A$256,0),0))</f>
        <v>0</v>
      </c>
      <c r="R2371" s="39" t="n">
        <f aca="false">IF($A2371="",-1,IF($J2371=Setup!$B$7,1,IF($J2371=Setup!$B$9,0,-1)))</f>
        <v>-1</v>
      </c>
      <c r="S2371" s="35" t="n">
        <f aca="false">IF(OR($A2371="",$Q2371=0,$R2371=-1),0,$Q2371*1000+$R2371*100+$K2371)</f>
        <v>0</v>
      </c>
      <c r="T2371" s="37" t="str">
        <f aca="false">IF($A2371="","",IF($B2371="","NO ACCOUNT",IF($Q2371=0,"UNMAPPED",IF($R2371=-1,"OUTSIDE FY RANGE","OK"))))</f>
        <v/>
      </c>
      <c r="U2371" s="40" t="str">
        <f aca="false">IF($A2371="","",$B2371&amp;"|"&amp;TEXT($A2371,"yyyymmdd")&amp;"|"&amp;TEXT($I2371,"0.00"))</f>
        <v/>
      </c>
      <c r="V2371" s="35" t="str">
        <f aca="false">IF($A2371="","",COUNTIF($U$8:$U$5007,$U2371))</f>
        <v/>
      </c>
    </row>
    <row r="2372" customFormat="false" ht="15" hidden="false" customHeight="false" outlineLevel="0" collapsed="false">
      <c r="A2372" s="31"/>
      <c r="B2372" s="32"/>
      <c r="C2372" s="32"/>
      <c r="D2372" s="32"/>
      <c r="E2372" s="32"/>
      <c r="F2372" s="32"/>
      <c r="G2372" s="33"/>
      <c r="H2372" s="33"/>
      <c r="I2372" s="34" t="str">
        <f aca="false">IF($A2372="","",$G2372-$H2372)</f>
        <v/>
      </c>
      <c r="J2372" s="35" t="str">
        <f aca="false">IF($A2372="","",IF(Setup!$B$6=1,YEAR($A2372),YEAR($A2372)+IF(MONTH($A2372)&gt;=Setup!$B$6,1,0)))</f>
        <v/>
      </c>
      <c r="K2372" s="35" t="str">
        <f aca="false">IF($A2372="","",MOD(MONTH($A2372)-Setup!$B$6+12,12)+1)</f>
        <v/>
      </c>
      <c r="L2372" s="36" t="str">
        <f aca="false">IF($A2372="","",TEXT($A2372,"MMM-YY"))</f>
        <v/>
      </c>
      <c r="M2372" s="37" t="str">
        <f aca="false">IF($A2372="","",IF($Q2372=0,"UNMAPPED",INDEX(COA_Mapping!$C$7:$C$256,$Q2372)))</f>
        <v/>
      </c>
      <c r="N2372" s="38" t="str">
        <f aca="false">IF($A2372="","",IF($Q2372=0,"",INDEX(COA_Mapping!$E$7:$E$256,$Q2372)))</f>
        <v/>
      </c>
      <c r="O2372" s="38" t="n">
        <f aca="false">IF($A2372="",1,IF($Q2372=0,1,INDEX(COA_Mapping!$F$7:$F$256,$Q2372)))</f>
        <v>1</v>
      </c>
      <c r="P2372" s="34" t="str">
        <f aca="false">IF($A2372="","",$I2372*$O2372)</f>
        <v/>
      </c>
      <c r="Q2372" s="39" t="n">
        <f aca="false">IF($B2372="",0,IFERROR(MATCH($B2372,COA_Mapping!$A$7:$A$256,0),0))</f>
        <v>0</v>
      </c>
      <c r="R2372" s="39" t="n">
        <f aca="false">IF($A2372="",-1,IF($J2372=Setup!$B$7,1,IF($J2372=Setup!$B$9,0,-1)))</f>
        <v>-1</v>
      </c>
      <c r="S2372" s="35" t="n">
        <f aca="false">IF(OR($A2372="",$Q2372=0,$R2372=-1),0,$Q2372*1000+$R2372*100+$K2372)</f>
        <v>0</v>
      </c>
      <c r="T2372" s="37" t="str">
        <f aca="false">IF($A2372="","",IF($B2372="","NO ACCOUNT",IF($Q2372=0,"UNMAPPED",IF($R2372=-1,"OUTSIDE FY RANGE","OK"))))</f>
        <v/>
      </c>
      <c r="U2372" s="40" t="str">
        <f aca="false">IF($A2372="","",$B2372&amp;"|"&amp;TEXT($A2372,"yyyymmdd")&amp;"|"&amp;TEXT($I2372,"0.00"))</f>
        <v/>
      </c>
      <c r="V2372" s="35" t="str">
        <f aca="false">IF($A2372="","",COUNTIF($U$8:$U$5007,$U2372))</f>
        <v/>
      </c>
    </row>
    <row r="2373" customFormat="false" ht="15" hidden="false" customHeight="false" outlineLevel="0" collapsed="false">
      <c r="A2373" s="31"/>
      <c r="B2373" s="32"/>
      <c r="C2373" s="32"/>
      <c r="D2373" s="32"/>
      <c r="E2373" s="32"/>
      <c r="F2373" s="32"/>
      <c r="G2373" s="33"/>
      <c r="H2373" s="33"/>
      <c r="I2373" s="34" t="str">
        <f aca="false">IF($A2373="","",$G2373-$H2373)</f>
        <v/>
      </c>
      <c r="J2373" s="35" t="str">
        <f aca="false">IF($A2373="","",IF(Setup!$B$6=1,YEAR($A2373),YEAR($A2373)+IF(MONTH($A2373)&gt;=Setup!$B$6,1,0)))</f>
        <v/>
      </c>
      <c r="K2373" s="35" t="str">
        <f aca="false">IF($A2373="","",MOD(MONTH($A2373)-Setup!$B$6+12,12)+1)</f>
        <v/>
      </c>
      <c r="L2373" s="36" t="str">
        <f aca="false">IF($A2373="","",TEXT($A2373,"MMM-YY"))</f>
        <v/>
      </c>
      <c r="M2373" s="37" t="str">
        <f aca="false">IF($A2373="","",IF($Q2373=0,"UNMAPPED",INDEX(COA_Mapping!$C$7:$C$256,$Q2373)))</f>
        <v/>
      </c>
      <c r="N2373" s="38" t="str">
        <f aca="false">IF($A2373="","",IF($Q2373=0,"",INDEX(COA_Mapping!$E$7:$E$256,$Q2373)))</f>
        <v/>
      </c>
      <c r="O2373" s="38" t="n">
        <f aca="false">IF($A2373="",1,IF($Q2373=0,1,INDEX(COA_Mapping!$F$7:$F$256,$Q2373)))</f>
        <v>1</v>
      </c>
      <c r="P2373" s="34" t="str">
        <f aca="false">IF($A2373="","",$I2373*$O2373)</f>
        <v/>
      </c>
      <c r="Q2373" s="39" t="n">
        <f aca="false">IF($B2373="",0,IFERROR(MATCH($B2373,COA_Mapping!$A$7:$A$256,0),0))</f>
        <v>0</v>
      </c>
      <c r="R2373" s="39" t="n">
        <f aca="false">IF($A2373="",-1,IF($J2373=Setup!$B$7,1,IF($J2373=Setup!$B$9,0,-1)))</f>
        <v>-1</v>
      </c>
      <c r="S2373" s="35" t="n">
        <f aca="false">IF(OR($A2373="",$Q2373=0,$R2373=-1),0,$Q2373*1000+$R2373*100+$K2373)</f>
        <v>0</v>
      </c>
      <c r="T2373" s="37" t="str">
        <f aca="false">IF($A2373="","",IF($B2373="","NO ACCOUNT",IF($Q2373=0,"UNMAPPED",IF($R2373=-1,"OUTSIDE FY RANGE","OK"))))</f>
        <v/>
      </c>
      <c r="U2373" s="40" t="str">
        <f aca="false">IF($A2373="","",$B2373&amp;"|"&amp;TEXT($A2373,"yyyymmdd")&amp;"|"&amp;TEXT($I2373,"0.00"))</f>
        <v/>
      </c>
      <c r="V2373" s="35" t="str">
        <f aca="false">IF($A2373="","",COUNTIF($U$8:$U$5007,$U2373))</f>
        <v/>
      </c>
    </row>
    <row r="2374" customFormat="false" ht="15" hidden="false" customHeight="false" outlineLevel="0" collapsed="false">
      <c r="A2374" s="31"/>
      <c r="B2374" s="32"/>
      <c r="C2374" s="32"/>
      <c r="D2374" s="32"/>
      <c r="E2374" s="32"/>
      <c r="F2374" s="32"/>
      <c r="G2374" s="33"/>
      <c r="H2374" s="33"/>
      <c r="I2374" s="34" t="str">
        <f aca="false">IF($A2374="","",$G2374-$H2374)</f>
        <v/>
      </c>
      <c r="J2374" s="35" t="str">
        <f aca="false">IF($A2374="","",IF(Setup!$B$6=1,YEAR($A2374),YEAR($A2374)+IF(MONTH($A2374)&gt;=Setup!$B$6,1,0)))</f>
        <v/>
      </c>
      <c r="K2374" s="35" t="str">
        <f aca="false">IF($A2374="","",MOD(MONTH($A2374)-Setup!$B$6+12,12)+1)</f>
        <v/>
      </c>
      <c r="L2374" s="36" t="str">
        <f aca="false">IF($A2374="","",TEXT($A2374,"MMM-YY"))</f>
        <v/>
      </c>
      <c r="M2374" s="37" t="str">
        <f aca="false">IF($A2374="","",IF($Q2374=0,"UNMAPPED",INDEX(COA_Mapping!$C$7:$C$256,$Q2374)))</f>
        <v/>
      </c>
      <c r="N2374" s="38" t="str">
        <f aca="false">IF($A2374="","",IF($Q2374=0,"",INDEX(COA_Mapping!$E$7:$E$256,$Q2374)))</f>
        <v/>
      </c>
      <c r="O2374" s="38" t="n">
        <f aca="false">IF($A2374="",1,IF($Q2374=0,1,INDEX(COA_Mapping!$F$7:$F$256,$Q2374)))</f>
        <v>1</v>
      </c>
      <c r="P2374" s="34" t="str">
        <f aca="false">IF($A2374="","",$I2374*$O2374)</f>
        <v/>
      </c>
      <c r="Q2374" s="39" t="n">
        <f aca="false">IF($B2374="",0,IFERROR(MATCH($B2374,COA_Mapping!$A$7:$A$256,0),0))</f>
        <v>0</v>
      </c>
      <c r="R2374" s="39" t="n">
        <f aca="false">IF($A2374="",-1,IF($J2374=Setup!$B$7,1,IF($J2374=Setup!$B$9,0,-1)))</f>
        <v>-1</v>
      </c>
      <c r="S2374" s="35" t="n">
        <f aca="false">IF(OR($A2374="",$Q2374=0,$R2374=-1),0,$Q2374*1000+$R2374*100+$K2374)</f>
        <v>0</v>
      </c>
      <c r="T2374" s="37" t="str">
        <f aca="false">IF($A2374="","",IF($B2374="","NO ACCOUNT",IF($Q2374=0,"UNMAPPED",IF($R2374=-1,"OUTSIDE FY RANGE","OK"))))</f>
        <v/>
      </c>
      <c r="U2374" s="40" t="str">
        <f aca="false">IF($A2374="","",$B2374&amp;"|"&amp;TEXT($A2374,"yyyymmdd")&amp;"|"&amp;TEXT($I2374,"0.00"))</f>
        <v/>
      </c>
      <c r="V2374" s="35" t="str">
        <f aca="false">IF($A2374="","",COUNTIF($U$8:$U$5007,$U2374))</f>
        <v/>
      </c>
    </row>
    <row r="2375" customFormat="false" ht="15" hidden="false" customHeight="false" outlineLevel="0" collapsed="false">
      <c r="A2375" s="31"/>
      <c r="B2375" s="32"/>
      <c r="C2375" s="32"/>
      <c r="D2375" s="32"/>
      <c r="E2375" s="32"/>
      <c r="F2375" s="32"/>
      <c r="G2375" s="33"/>
      <c r="H2375" s="33"/>
      <c r="I2375" s="34" t="str">
        <f aca="false">IF($A2375="","",$G2375-$H2375)</f>
        <v/>
      </c>
      <c r="J2375" s="35" t="str">
        <f aca="false">IF($A2375="","",IF(Setup!$B$6=1,YEAR($A2375),YEAR($A2375)+IF(MONTH($A2375)&gt;=Setup!$B$6,1,0)))</f>
        <v/>
      </c>
      <c r="K2375" s="35" t="str">
        <f aca="false">IF($A2375="","",MOD(MONTH($A2375)-Setup!$B$6+12,12)+1)</f>
        <v/>
      </c>
      <c r="L2375" s="36" t="str">
        <f aca="false">IF($A2375="","",TEXT($A2375,"MMM-YY"))</f>
        <v/>
      </c>
      <c r="M2375" s="37" t="str">
        <f aca="false">IF($A2375="","",IF($Q2375=0,"UNMAPPED",INDEX(COA_Mapping!$C$7:$C$256,$Q2375)))</f>
        <v/>
      </c>
      <c r="N2375" s="38" t="str">
        <f aca="false">IF($A2375="","",IF($Q2375=0,"",INDEX(COA_Mapping!$E$7:$E$256,$Q2375)))</f>
        <v/>
      </c>
      <c r="O2375" s="38" t="n">
        <f aca="false">IF($A2375="",1,IF($Q2375=0,1,INDEX(COA_Mapping!$F$7:$F$256,$Q2375)))</f>
        <v>1</v>
      </c>
      <c r="P2375" s="34" t="str">
        <f aca="false">IF($A2375="","",$I2375*$O2375)</f>
        <v/>
      </c>
      <c r="Q2375" s="39" t="n">
        <f aca="false">IF($B2375="",0,IFERROR(MATCH($B2375,COA_Mapping!$A$7:$A$256,0),0))</f>
        <v>0</v>
      </c>
      <c r="R2375" s="39" t="n">
        <f aca="false">IF($A2375="",-1,IF($J2375=Setup!$B$7,1,IF($J2375=Setup!$B$9,0,-1)))</f>
        <v>-1</v>
      </c>
      <c r="S2375" s="35" t="n">
        <f aca="false">IF(OR($A2375="",$Q2375=0,$R2375=-1),0,$Q2375*1000+$R2375*100+$K2375)</f>
        <v>0</v>
      </c>
      <c r="T2375" s="37" t="str">
        <f aca="false">IF($A2375="","",IF($B2375="","NO ACCOUNT",IF($Q2375=0,"UNMAPPED",IF($R2375=-1,"OUTSIDE FY RANGE","OK"))))</f>
        <v/>
      </c>
      <c r="U2375" s="40" t="str">
        <f aca="false">IF($A2375="","",$B2375&amp;"|"&amp;TEXT($A2375,"yyyymmdd")&amp;"|"&amp;TEXT($I2375,"0.00"))</f>
        <v/>
      </c>
      <c r="V2375" s="35" t="str">
        <f aca="false">IF($A2375="","",COUNTIF($U$8:$U$5007,$U2375))</f>
        <v/>
      </c>
    </row>
    <row r="2376" customFormat="false" ht="15" hidden="false" customHeight="false" outlineLevel="0" collapsed="false">
      <c r="A2376" s="31"/>
      <c r="B2376" s="32"/>
      <c r="C2376" s="32"/>
      <c r="D2376" s="32"/>
      <c r="E2376" s="32"/>
      <c r="F2376" s="32"/>
      <c r="G2376" s="33"/>
      <c r="H2376" s="33"/>
      <c r="I2376" s="34" t="str">
        <f aca="false">IF($A2376="","",$G2376-$H2376)</f>
        <v/>
      </c>
      <c r="J2376" s="35" t="str">
        <f aca="false">IF($A2376="","",IF(Setup!$B$6=1,YEAR($A2376),YEAR($A2376)+IF(MONTH($A2376)&gt;=Setup!$B$6,1,0)))</f>
        <v/>
      </c>
      <c r="K2376" s="35" t="str">
        <f aca="false">IF($A2376="","",MOD(MONTH($A2376)-Setup!$B$6+12,12)+1)</f>
        <v/>
      </c>
      <c r="L2376" s="36" t="str">
        <f aca="false">IF($A2376="","",TEXT($A2376,"MMM-YY"))</f>
        <v/>
      </c>
      <c r="M2376" s="37" t="str">
        <f aca="false">IF($A2376="","",IF($Q2376=0,"UNMAPPED",INDEX(COA_Mapping!$C$7:$C$256,$Q2376)))</f>
        <v/>
      </c>
      <c r="N2376" s="38" t="str">
        <f aca="false">IF($A2376="","",IF($Q2376=0,"",INDEX(COA_Mapping!$E$7:$E$256,$Q2376)))</f>
        <v/>
      </c>
      <c r="O2376" s="38" t="n">
        <f aca="false">IF($A2376="",1,IF($Q2376=0,1,INDEX(COA_Mapping!$F$7:$F$256,$Q2376)))</f>
        <v>1</v>
      </c>
      <c r="P2376" s="34" t="str">
        <f aca="false">IF($A2376="","",$I2376*$O2376)</f>
        <v/>
      </c>
      <c r="Q2376" s="39" t="n">
        <f aca="false">IF($B2376="",0,IFERROR(MATCH($B2376,COA_Mapping!$A$7:$A$256,0),0))</f>
        <v>0</v>
      </c>
      <c r="R2376" s="39" t="n">
        <f aca="false">IF($A2376="",-1,IF($J2376=Setup!$B$7,1,IF($J2376=Setup!$B$9,0,-1)))</f>
        <v>-1</v>
      </c>
      <c r="S2376" s="35" t="n">
        <f aca="false">IF(OR($A2376="",$Q2376=0,$R2376=-1),0,$Q2376*1000+$R2376*100+$K2376)</f>
        <v>0</v>
      </c>
      <c r="T2376" s="37" t="str">
        <f aca="false">IF($A2376="","",IF($B2376="","NO ACCOUNT",IF($Q2376=0,"UNMAPPED",IF($R2376=-1,"OUTSIDE FY RANGE","OK"))))</f>
        <v/>
      </c>
      <c r="U2376" s="40" t="str">
        <f aca="false">IF($A2376="","",$B2376&amp;"|"&amp;TEXT($A2376,"yyyymmdd")&amp;"|"&amp;TEXT($I2376,"0.00"))</f>
        <v/>
      </c>
      <c r="V2376" s="35" t="str">
        <f aca="false">IF($A2376="","",COUNTIF($U$8:$U$5007,$U2376))</f>
        <v/>
      </c>
    </row>
    <row r="2377" customFormat="false" ht="15" hidden="false" customHeight="false" outlineLevel="0" collapsed="false">
      <c r="A2377" s="31"/>
      <c r="B2377" s="32"/>
      <c r="C2377" s="32"/>
      <c r="D2377" s="32"/>
      <c r="E2377" s="32"/>
      <c r="F2377" s="32"/>
      <c r="G2377" s="33"/>
      <c r="H2377" s="33"/>
      <c r="I2377" s="34" t="str">
        <f aca="false">IF($A2377="","",$G2377-$H2377)</f>
        <v/>
      </c>
      <c r="J2377" s="35" t="str">
        <f aca="false">IF($A2377="","",IF(Setup!$B$6=1,YEAR($A2377),YEAR($A2377)+IF(MONTH($A2377)&gt;=Setup!$B$6,1,0)))</f>
        <v/>
      </c>
      <c r="K2377" s="35" t="str">
        <f aca="false">IF($A2377="","",MOD(MONTH($A2377)-Setup!$B$6+12,12)+1)</f>
        <v/>
      </c>
      <c r="L2377" s="36" t="str">
        <f aca="false">IF($A2377="","",TEXT($A2377,"MMM-YY"))</f>
        <v/>
      </c>
      <c r="M2377" s="37" t="str">
        <f aca="false">IF($A2377="","",IF($Q2377=0,"UNMAPPED",INDEX(COA_Mapping!$C$7:$C$256,$Q2377)))</f>
        <v/>
      </c>
      <c r="N2377" s="38" t="str">
        <f aca="false">IF($A2377="","",IF($Q2377=0,"",INDEX(COA_Mapping!$E$7:$E$256,$Q2377)))</f>
        <v/>
      </c>
      <c r="O2377" s="38" t="n">
        <f aca="false">IF($A2377="",1,IF($Q2377=0,1,INDEX(COA_Mapping!$F$7:$F$256,$Q2377)))</f>
        <v>1</v>
      </c>
      <c r="P2377" s="34" t="str">
        <f aca="false">IF($A2377="","",$I2377*$O2377)</f>
        <v/>
      </c>
      <c r="Q2377" s="39" t="n">
        <f aca="false">IF($B2377="",0,IFERROR(MATCH($B2377,COA_Mapping!$A$7:$A$256,0),0))</f>
        <v>0</v>
      </c>
      <c r="R2377" s="39" t="n">
        <f aca="false">IF($A2377="",-1,IF($J2377=Setup!$B$7,1,IF($J2377=Setup!$B$9,0,-1)))</f>
        <v>-1</v>
      </c>
      <c r="S2377" s="35" t="n">
        <f aca="false">IF(OR($A2377="",$Q2377=0,$R2377=-1),0,$Q2377*1000+$R2377*100+$K2377)</f>
        <v>0</v>
      </c>
      <c r="T2377" s="37" t="str">
        <f aca="false">IF($A2377="","",IF($B2377="","NO ACCOUNT",IF($Q2377=0,"UNMAPPED",IF($R2377=-1,"OUTSIDE FY RANGE","OK"))))</f>
        <v/>
      </c>
      <c r="U2377" s="40" t="str">
        <f aca="false">IF($A2377="","",$B2377&amp;"|"&amp;TEXT($A2377,"yyyymmdd")&amp;"|"&amp;TEXT($I2377,"0.00"))</f>
        <v/>
      </c>
      <c r="V2377" s="35" t="str">
        <f aca="false">IF($A2377="","",COUNTIF($U$8:$U$5007,$U2377))</f>
        <v/>
      </c>
    </row>
    <row r="2378" customFormat="false" ht="15" hidden="false" customHeight="false" outlineLevel="0" collapsed="false">
      <c r="A2378" s="31"/>
      <c r="B2378" s="32"/>
      <c r="C2378" s="32"/>
      <c r="D2378" s="32"/>
      <c r="E2378" s="32"/>
      <c r="F2378" s="32"/>
      <c r="G2378" s="33"/>
      <c r="H2378" s="33"/>
      <c r="I2378" s="34" t="str">
        <f aca="false">IF($A2378="","",$G2378-$H2378)</f>
        <v/>
      </c>
      <c r="J2378" s="35" t="str">
        <f aca="false">IF($A2378="","",IF(Setup!$B$6=1,YEAR($A2378),YEAR($A2378)+IF(MONTH($A2378)&gt;=Setup!$B$6,1,0)))</f>
        <v/>
      </c>
      <c r="K2378" s="35" t="str">
        <f aca="false">IF($A2378="","",MOD(MONTH($A2378)-Setup!$B$6+12,12)+1)</f>
        <v/>
      </c>
      <c r="L2378" s="36" t="str">
        <f aca="false">IF($A2378="","",TEXT($A2378,"MMM-YY"))</f>
        <v/>
      </c>
      <c r="M2378" s="37" t="str">
        <f aca="false">IF($A2378="","",IF($Q2378=0,"UNMAPPED",INDEX(COA_Mapping!$C$7:$C$256,$Q2378)))</f>
        <v/>
      </c>
      <c r="N2378" s="38" t="str">
        <f aca="false">IF($A2378="","",IF($Q2378=0,"",INDEX(COA_Mapping!$E$7:$E$256,$Q2378)))</f>
        <v/>
      </c>
      <c r="O2378" s="38" t="n">
        <f aca="false">IF($A2378="",1,IF($Q2378=0,1,INDEX(COA_Mapping!$F$7:$F$256,$Q2378)))</f>
        <v>1</v>
      </c>
      <c r="P2378" s="34" t="str">
        <f aca="false">IF($A2378="","",$I2378*$O2378)</f>
        <v/>
      </c>
      <c r="Q2378" s="39" t="n">
        <f aca="false">IF($B2378="",0,IFERROR(MATCH($B2378,COA_Mapping!$A$7:$A$256,0),0))</f>
        <v>0</v>
      </c>
      <c r="R2378" s="39" t="n">
        <f aca="false">IF($A2378="",-1,IF($J2378=Setup!$B$7,1,IF($J2378=Setup!$B$9,0,-1)))</f>
        <v>-1</v>
      </c>
      <c r="S2378" s="35" t="n">
        <f aca="false">IF(OR($A2378="",$Q2378=0,$R2378=-1),0,$Q2378*1000+$R2378*100+$K2378)</f>
        <v>0</v>
      </c>
      <c r="T2378" s="37" t="str">
        <f aca="false">IF($A2378="","",IF($B2378="","NO ACCOUNT",IF($Q2378=0,"UNMAPPED",IF($R2378=-1,"OUTSIDE FY RANGE","OK"))))</f>
        <v/>
      </c>
      <c r="U2378" s="40" t="str">
        <f aca="false">IF($A2378="","",$B2378&amp;"|"&amp;TEXT($A2378,"yyyymmdd")&amp;"|"&amp;TEXT($I2378,"0.00"))</f>
        <v/>
      </c>
      <c r="V2378" s="35" t="str">
        <f aca="false">IF($A2378="","",COUNTIF($U$8:$U$5007,$U2378))</f>
        <v/>
      </c>
    </row>
    <row r="2379" customFormat="false" ht="15" hidden="false" customHeight="false" outlineLevel="0" collapsed="false">
      <c r="A2379" s="31"/>
      <c r="B2379" s="32"/>
      <c r="C2379" s="32"/>
      <c r="D2379" s="32"/>
      <c r="E2379" s="32"/>
      <c r="F2379" s="32"/>
      <c r="G2379" s="33"/>
      <c r="H2379" s="33"/>
      <c r="I2379" s="34" t="str">
        <f aca="false">IF($A2379="","",$G2379-$H2379)</f>
        <v/>
      </c>
      <c r="J2379" s="35" t="str">
        <f aca="false">IF($A2379="","",IF(Setup!$B$6=1,YEAR($A2379),YEAR($A2379)+IF(MONTH($A2379)&gt;=Setup!$B$6,1,0)))</f>
        <v/>
      </c>
      <c r="K2379" s="35" t="str">
        <f aca="false">IF($A2379="","",MOD(MONTH($A2379)-Setup!$B$6+12,12)+1)</f>
        <v/>
      </c>
      <c r="L2379" s="36" t="str">
        <f aca="false">IF($A2379="","",TEXT($A2379,"MMM-YY"))</f>
        <v/>
      </c>
      <c r="M2379" s="37" t="str">
        <f aca="false">IF($A2379="","",IF($Q2379=0,"UNMAPPED",INDEX(COA_Mapping!$C$7:$C$256,$Q2379)))</f>
        <v/>
      </c>
      <c r="N2379" s="38" t="str">
        <f aca="false">IF($A2379="","",IF($Q2379=0,"",INDEX(COA_Mapping!$E$7:$E$256,$Q2379)))</f>
        <v/>
      </c>
      <c r="O2379" s="38" t="n">
        <f aca="false">IF($A2379="",1,IF($Q2379=0,1,INDEX(COA_Mapping!$F$7:$F$256,$Q2379)))</f>
        <v>1</v>
      </c>
      <c r="P2379" s="34" t="str">
        <f aca="false">IF($A2379="","",$I2379*$O2379)</f>
        <v/>
      </c>
      <c r="Q2379" s="39" t="n">
        <f aca="false">IF($B2379="",0,IFERROR(MATCH($B2379,COA_Mapping!$A$7:$A$256,0),0))</f>
        <v>0</v>
      </c>
      <c r="R2379" s="39" t="n">
        <f aca="false">IF($A2379="",-1,IF($J2379=Setup!$B$7,1,IF($J2379=Setup!$B$9,0,-1)))</f>
        <v>-1</v>
      </c>
      <c r="S2379" s="35" t="n">
        <f aca="false">IF(OR($A2379="",$Q2379=0,$R2379=-1),0,$Q2379*1000+$R2379*100+$K2379)</f>
        <v>0</v>
      </c>
      <c r="T2379" s="37" t="str">
        <f aca="false">IF($A2379="","",IF($B2379="","NO ACCOUNT",IF($Q2379=0,"UNMAPPED",IF($R2379=-1,"OUTSIDE FY RANGE","OK"))))</f>
        <v/>
      </c>
      <c r="U2379" s="40" t="str">
        <f aca="false">IF($A2379="","",$B2379&amp;"|"&amp;TEXT($A2379,"yyyymmdd")&amp;"|"&amp;TEXT($I2379,"0.00"))</f>
        <v/>
      </c>
      <c r="V2379" s="35" t="str">
        <f aca="false">IF($A2379="","",COUNTIF($U$8:$U$5007,$U2379))</f>
        <v/>
      </c>
    </row>
    <row r="2380" customFormat="false" ht="15" hidden="false" customHeight="false" outlineLevel="0" collapsed="false">
      <c r="A2380" s="31"/>
      <c r="B2380" s="32"/>
      <c r="C2380" s="32"/>
      <c r="D2380" s="32"/>
      <c r="E2380" s="32"/>
      <c r="F2380" s="32"/>
      <c r="G2380" s="33"/>
      <c r="H2380" s="33"/>
      <c r="I2380" s="34" t="str">
        <f aca="false">IF($A2380="","",$G2380-$H2380)</f>
        <v/>
      </c>
      <c r="J2380" s="35" t="str">
        <f aca="false">IF($A2380="","",IF(Setup!$B$6=1,YEAR($A2380),YEAR($A2380)+IF(MONTH($A2380)&gt;=Setup!$B$6,1,0)))</f>
        <v/>
      </c>
      <c r="K2380" s="35" t="str">
        <f aca="false">IF($A2380="","",MOD(MONTH($A2380)-Setup!$B$6+12,12)+1)</f>
        <v/>
      </c>
      <c r="L2380" s="36" t="str">
        <f aca="false">IF($A2380="","",TEXT($A2380,"MMM-YY"))</f>
        <v/>
      </c>
      <c r="M2380" s="37" t="str">
        <f aca="false">IF($A2380="","",IF($Q2380=0,"UNMAPPED",INDEX(COA_Mapping!$C$7:$C$256,$Q2380)))</f>
        <v/>
      </c>
      <c r="N2380" s="38" t="str">
        <f aca="false">IF($A2380="","",IF($Q2380=0,"",INDEX(COA_Mapping!$E$7:$E$256,$Q2380)))</f>
        <v/>
      </c>
      <c r="O2380" s="38" t="n">
        <f aca="false">IF($A2380="",1,IF($Q2380=0,1,INDEX(COA_Mapping!$F$7:$F$256,$Q2380)))</f>
        <v>1</v>
      </c>
      <c r="P2380" s="34" t="str">
        <f aca="false">IF($A2380="","",$I2380*$O2380)</f>
        <v/>
      </c>
      <c r="Q2380" s="39" t="n">
        <f aca="false">IF($B2380="",0,IFERROR(MATCH($B2380,COA_Mapping!$A$7:$A$256,0),0))</f>
        <v>0</v>
      </c>
      <c r="R2380" s="39" t="n">
        <f aca="false">IF($A2380="",-1,IF($J2380=Setup!$B$7,1,IF($J2380=Setup!$B$9,0,-1)))</f>
        <v>-1</v>
      </c>
      <c r="S2380" s="35" t="n">
        <f aca="false">IF(OR($A2380="",$Q2380=0,$R2380=-1),0,$Q2380*1000+$R2380*100+$K2380)</f>
        <v>0</v>
      </c>
      <c r="T2380" s="37" t="str">
        <f aca="false">IF($A2380="","",IF($B2380="","NO ACCOUNT",IF($Q2380=0,"UNMAPPED",IF($R2380=-1,"OUTSIDE FY RANGE","OK"))))</f>
        <v/>
      </c>
      <c r="U2380" s="40" t="str">
        <f aca="false">IF($A2380="","",$B2380&amp;"|"&amp;TEXT($A2380,"yyyymmdd")&amp;"|"&amp;TEXT($I2380,"0.00"))</f>
        <v/>
      </c>
      <c r="V2380" s="35" t="str">
        <f aca="false">IF($A2380="","",COUNTIF($U$8:$U$5007,$U2380))</f>
        <v/>
      </c>
    </row>
    <row r="2381" customFormat="false" ht="15" hidden="false" customHeight="false" outlineLevel="0" collapsed="false">
      <c r="A2381" s="31"/>
      <c r="B2381" s="32"/>
      <c r="C2381" s="32"/>
      <c r="D2381" s="32"/>
      <c r="E2381" s="32"/>
      <c r="F2381" s="32"/>
      <c r="G2381" s="33"/>
      <c r="H2381" s="33"/>
      <c r="I2381" s="34" t="str">
        <f aca="false">IF($A2381="","",$G2381-$H2381)</f>
        <v/>
      </c>
      <c r="J2381" s="35" t="str">
        <f aca="false">IF($A2381="","",IF(Setup!$B$6=1,YEAR($A2381),YEAR($A2381)+IF(MONTH($A2381)&gt;=Setup!$B$6,1,0)))</f>
        <v/>
      </c>
      <c r="K2381" s="35" t="str">
        <f aca="false">IF($A2381="","",MOD(MONTH($A2381)-Setup!$B$6+12,12)+1)</f>
        <v/>
      </c>
      <c r="L2381" s="36" t="str">
        <f aca="false">IF($A2381="","",TEXT($A2381,"MMM-YY"))</f>
        <v/>
      </c>
      <c r="M2381" s="37" t="str">
        <f aca="false">IF($A2381="","",IF($Q2381=0,"UNMAPPED",INDEX(COA_Mapping!$C$7:$C$256,$Q2381)))</f>
        <v/>
      </c>
      <c r="N2381" s="38" t="str">
        <f aca="false">IF($A2381="","",IF($Q2381=0,"",INDEX(COA_Mapping!$E$7:$E$256,$Q2381)))</f>
        <v/>
      </c>
      <c r="O2381" s="38" t="n">
        <f aca="false">IF($A2381="",1,IF($Q2381=0,1,INDEX(COA_Mapping!$F$7:$F$256,$Q2381)))</f>
        <v>1</v>
      </c>
      <c r="P2381" s="34" t="str">
        <f aca="false">IF($A2381="","",$I2381*$O2381)</f>
        <v/>
      </c>
      <c r="Q2381" s="39" t="n">
        <f aca="false">IF($B2381="",0,IFERROR(MATCH($B2381,COA_Mapping!$A$7:$A$256,0),0))</f>
        <v>0</v>
      </c>
      <c r="R2381" s="39" t="n">
        <f aca="false">IF($A2381="",-1,IF($J2381=Setup!$B$7,1,IF($J2381=Setup!$B$9,0,-1)))</f>
        <v>-1</v>
      </c>
      <c r="S2381" s="35" t="n">
        <f aca="false">IF(OR($A2381="",$Q2381=0,$R2381=-1),0,$Q2381*1000+$R2381*100+$K2381)</f>
        <v>0</v>
      </c>
      <c r="T2381" s="37" t="str">
        <f aca="false">IF($A2381="","",IF($B2381="","NO ACCOUNT",IF($Q2381=0,"UNMAPPED",IF($R2381=-1,"OUTSIDE FY RANGE","OK"))))</f>
        <v/>
      </c>
      <c r="U2381" s="40" t="str">
        <f aca="false">IF($A2381="","",$B2381&amp;"|"&amp;TEXT($A2381,"yyyymmdd")&amp;"|"&amp;TEXT($I2381,"0.00"))</f>
        <v/>
      </c>
      <c r="V2381" s="35" t="str">
        <f aca="false">IF($A2381="","",COUNTIF($U$8:$U$5007,$U2381))</f>
        <v/>
      </c>
    </row>
    <row r="2382" customFormat="false" ht="15" hidden="false" customHeight="false" outlineLevel="0" collapsed="false">
      <c r="A2382" s="31"/>
      <c r="B2382" s="32"/>
      <c r="C2382" s="32"/>
      <c r="D2382" s="32"/>
      <c r="E2382" s="32"/>
      <c r="F2382" s="32"/>
      <c r="G2382" s="33"/>
      <c r="H2382" s="33"/>
      <c r="I2382" s="34" t="str">
        <f aca="false">IF($A2382="","",$G2382-$H2382)</f>
        <v/>
      </c>
      <c r="J2382" s="35" t="str">
        <f aca="false">IF($A2382="","",IF(Setup!$B$6=1,YEAR($A2382),YEAR($A2382)+IF(MONTH($A2382)&gt;=Setup!$B$6,1,0)))</f>
        <v/>
      </c>
      <c r="K2382" s="35" t="str">
        <f aca="false">IF($A2382="","",MOD(MONTH($A2382)-Setup!$B$6+12,12)+1)</f>
        <v/>
      </c>
      <c r="L2382" s="36" t="str">
        <f aca="false">IF($A2382="","",TEXT($A2382,"MMM-YY"))</f>
        <v/>
      </c>
      <c r="M2382" s="37" t="str">
        <f aca="false">IF($A2382="","",IF($Q2382=0,"UNMAPPED",INDEX(COA_Mapping!$C$7:$C$256,$Q2382)))</f>
        <v/>
      </c>
      <c r="N2382" s="38" t="str">
        <f aca="false">IF($A2382="","",IF($Q2382=0,"",INDEX(COA_Mapping!$E$7:$E$256,$Q2382)))</f>
        <v/>
      </c>
      <c r="O2382" s="38" t="n">
        <f aca="false">IF($A2382="",1,IF($Q2382=0,1,INDEX(COA_Mapping!$F$7:$F$256,$Q2382)))</f>
        <v>1</v>
      </c>
      <c r="P2382" s="34" t="str">
        <f aca="false">IF($A2382="","",$I2382*$O2382)</f>
        <v/>
      </c>
      <c r="Q2382" s="39" t="n">
        <f aca="false">IF($B2382="",0,IFERROR(MATCH($B2382,COA_Mapping!$A$7:$A$256,0),0))</f>
        <v>0</v>
      </c>
      <c r="R2382" s="39" t="n">
        <f aca="false">IF($A2382="",-1,IF($J2382=Setup!$B$7,1,IF($J2382=Setup!$B$9,0,-1)))</f>
        <v>-1</v>
      </c>
      <c r="S2382" s="35" t="n">
        <f aca="false">IF(OR($A2382="",$Q2382=0,$R2382=-1),0,$Q2382*1000+$R2382*100+$K2382)</f>
        <v>0</v>
      </c>
      <c r="T2382" s="37" t="str">
        <f aca="false">IF($A2382="","",IF($B2382="","NO ACCOUNT",IF($Q2382=0,"UNMAPPED",IF($R2382=-1,"OUTSIDE FY RANGE","OK"))))</f>
        <v/>
      </c>
      <c r="U2382" s="40" t="str">
        <f aca="false">IF($A2382="","",$B2382&amp;"|"&amp;TEXT($A2382,"yyyymmdd")&amp;"|"&amp;TEXT($I2382,"0.00"))</f>
        <v/>
      </c>
      <c r="V2382" s="35" t="str">
        <f aca="false">IF($A2382="","",COUNTIF($U$8:$U$5007,$U2382))</f>
        <v/>
      </c>
    </row>
    <row r="2383" customFormat="false" ht="15" hidden="false" customHeight="false" outlineLevel="0" collapsed="false">
      <c r="A2383" s="31"/>
      <c r="B2383" s="32"/>
      <c r="C2383" s="32"/>
      <c r="D2383" s="32"/>
      <c r="E2383" s="32"/>
      <c r="F2383" s="32"/>
      <c r="G2383" s="33"/>
      <c r="H2383" s="33"/>
      <c r="I2383" s="34" t="str">
        <f aca="false">IF($A2383="","",$G2383-$H2383)</f>
        <v/>
      </c>
      <c r="J2383" s="35" t="str">
        <f aca="false">IF($A2383="","",IF(Setup!$B$6=1,YEAR($A2383),YEAR($A2383)+IF(MONTH($A2383)&gt;=Setup!$B$6,1,0)))</f>
        <v/>
      </c>
      <c r="K2383" s="35" t="str">
        <f aca="false">IF($A2383="","",MOD(MONTH($A2383)-Setup!$B$6+12,12)+1)</f>
        <v/>
      </c>
      <c r="L2383" s="36" t="str">
        <f aca="false">IF($A2383="","",TEXT($A2383,"MMM-YY"))</f>
        <v/>
      </c>
      <c r="M2383" s="37" t="str">
        <f aca="false">IF($A2383="","",IF($Q2383=0,"UNMAPPED",INDEX(COA_Mapping!$C$7:$C$256,$Q2383)))</f>
        <v/>
      </c>
      <c r="N2383" s="38" t="str">
        <f aca="false">IF($A2383="","",IF($Q2383=0,"",INDEX(COA_Mapping!$E$7:$E$256,$Q2383)))</f>
        <v/>
      </c>
      <c r="O2383" s="38" t="n">
        <f aca="false">IF($A2383="",1,IF($Q2383=0,1,INDEX(COA_Mapping!$F$7:$F$256,$Q2383)))</f>
        <v>1</v>
      </c>
      <c r="P2383" s="34" t="str">
        <f aca="false">IF($A2383="","",$I2383*$O2383)</f>
        <v/>
      </c>
      <c r="Q2383" s="39" t="n">
        <f aca="false">IF($B2383="",0,IFERROR(MATCH($B2383,COA_Mapping!$A$7:$A$256,0),0))</f>
        <v>0</v>
      </c>
      <c r="R2383" s="39" t="n">
        <f aca="false">IF($A2383="",-1,IF($J2383=Setup!$B$7,1,IF($J2383=Setup!$B$9,0,-1)))</f>
        <v>-1</v>
      </c>
      <c r="S2383" s="35" t="n">
        <f aca="false">IF(OR($A2383="",$Q2383=0,$R2383=-1),0,$Q2383*1000+$R2383*100+$K2383)</f>
        <v>0</v>
      </c>
      <c r="T2383" s="37" t="str">
        <f aca="false">IF($A2383="","",IF($B2383="","NO ACCOUNT",IF($Q2383=0,"UNMAPPED",IF($R2383=-1,"OUTSIDE FY RANGE","OK"))))</f>
        <v/>
      </c>
      <c r="U2383" s="40" t="str">
        <f aca="false">IF($A2383="","",$B2383&amp;"|"&amp;TEXT($A2383,"yyyymmdd")&amp;"|"&amp;TEXT($I2383,"0.00"))</f>
        <v/>
      </c>
      <c r="V2383" s="35" t="str">
        <f aca="false">IF($A2383="","",COUNTIF($U$8:$U$5007,$U2383))</f>
        <v/>
      </c>
    </row>
    <row r="2384" customFormat="false" ht="15" hidden="false" customHeight="false" outlineLevel="0" collapsed="false">
      <c r="A2384" s="31"/>
      <c r="B2384" s="32"/>
      <c r="C2384" s="32"/>
      <c r="D2384" s="32"/>
      <c r="E2384" s="32"/>
      <c r="F2384" s="32"/>
      <c r="G2384" s="33"/>
      <c r="H2384" s="33"/>
      <c r="I2384" s="34" t="str">
        <f aca="false">IF($A2384="","",$G2384-$H2384)</f>
        <v/>
      </c>
      <c r="J2384" s="35" t="str">
        <f aca="false">IF($A2384="","",IF(Setup!$B$6=1,YEAR($A2384),YEAR($A2384)+IF(MONTH($A2384)&gt;=Setup!$B$6,1,0)))</f>
        <v/>
      </c>
      <c r="K2384" s="35" t="str">
        <f aca="false">IF($A2384="","",MOD(MONTH($A2384)-Setup!$B$6+12,12)+1)</f>
        <v/>
      </c>
      <c r="L2384" s="36" t="str">
        <f aca="false">IF($A2384="","",TEXT($A2384,"MMM-YY"))</f>
        <v/>
      </c>
      <c r="M2384" s="37" t="str">
        <f aca="false">IF($A2384="","",IF($Q2384=0,"UNMAPPED",INDEX(COA_Mapping!$C$7:$C$256,$Q2384)))</f>
        <v/>
      </c>
      <c r="N2384" s="38" t="str">
        <f aca="false">IF($A2384="","",IF($Q2384=0,"",INDEX(COA_Mapping!$E$7:$E$256,$Q2384)))</f>
        <v/>
      </c>
      <c r="O2384" s="38" t="n">
        <f aca="false">IF($A2384="",1,IF($Q2384=0,1,INDEX(COA_Mapping!$F$7:$F$256,$Q2384)))</f>
        <v>1</v>
      </c>
      <c r="P2384" s="34" t="str">
        <f aca="false">IF($A2384="","",$I2384*$O2384)</f>
        <v/>
      </c>
      <c r="Q2384" s="39" t="n">
        <f aca="false">IF($B2384="",0,IFERROR(MATCH($B2384,COA_Mapping!$A$7:$A$256,0),0))</f>
        <v>0</v>
      </c>
      <c r="R2384" s="39" t="n">
        <f aca="false">IF($A2384="",-1,IF($J2384=Setup!$B$7,1,IF($J2384=Setup!$B$9,0,-1)))</f>
        <v>-1</v>
      </c>
      <c r="S2384" s="35" t="n">
        <f aca="false">IF(OR($A2384="",$Q2384=0,$R2384=-1),0,$Q2384*1000+$R2384*100+$K2384)</f>
        <v>0</v>
      </c>
      <c r="T2384" s="37" t="str">
        <f aca="false">IF($A2384="","",IF($B2384="","NO ACCOUNT",IF($Q2384=0,"UNMAPPED",IF($R2384=-1,"OUTSIDE FY RANGE","OK"))))</f>
        <v/>
      </c>
      <c r="U2384" s="40" t="str">
        <f aca="false">IF($A2384="","",$B2384&amp;"|"&amp;TEXT($A2384,"yyyymmdd")&amp;"|"&amp;TEXT($I2384,"0.00"))</f>
        <v/>
      </c>
      <c r="V2384" s="35" t="str">
        <f aca="false">IF($A2384="","",COUNTIF($U$8:$U$5007,$U2384))</f>
        <v/>
      </c>
    </row>
    <row r="2385" customFormat="false" ht="15" hidden="false" customHeight="false" outlineLevel="0" collapsed="false">
      <c r="A2385" s="31"/>
      <c r="B2385" s="32"/>
      <c r="C2385" s="32"/>
      <c r="D2385" s="32"/>
      <c r="E2385" s="32"/>
      <c r="F2385" s="32"/>
      <c r="G2385" s="33"/>
      <c r="H2385" s="33"/>
      <c r="I2385" s="34" t="str">
        <f aca="false">IF($A2385="","",$G2385-$H2385)</f>
        <v/>
      </c>
      <c r="J2385" s="35" t="str">
        <f aca="false">IF($A2385="","",IF(Setup!$B$6=1,YEAR($A2385),YEAR($A2385)+IF(MONTH($A2385)&gt;=Setup!$B$6,1,0)))</f>
        <v/>
      </c>
      <c r="K2385" s="35" t="str">
        <f aca="false">IF($A2385="","",MOD(MONTH($A2385)-Setup!$B$6+12,12)+1)</f>
        <v/>
      </c>
      <c r="L2385" s="36" t="str">
        <f aca="false">IF($A2385="","",TEXT($A2385,"MMM-YY"))</f>
        <v/>
      </c>
      <c r="M2385" s="37" t="str">
        <f aca="false">IF($A2385="","",IF($Q2385=0,"UNMAPPED",INDEX(COA_Mapping!$C$7:$C$256,$Q2385)))</f>
        <v/>
      </c>
      <c r="N2385" s="38" t="str">
        <f aca="false">IF($A2385="","",IF($Q2385=0,"",INDEX(COA_Mapping!$E$7:$E$256,$Q2385)))</f>
        <v/>
      </c>
      <c r="O2385" s="38" t="n">
        <f aca="false">IF($A2385="",1,IF($Q2385=0,1,INDEX(COA_Mapping!$F$7:$F$256,$Q2385)))</f>
        <v>1</v>
      </c>
      <c r="P2385" s="34" t="str">
        <f aca="false">IF($A2385="","",$I2385*$O2385)</f>
        <v/>
      </c>
      <c r="Q2385" s="39" t="n">
        <f aca="false">IF($B2385="",0,IFERROR(MATCH($B2385,COA_Mapping!$A$7:$A$256,0),0))</f>
        <v>0</v>
      </c>
      <c r="R2385" s="39" t="n">
        <f aca="false">IF($A2385="",-1,IF($J2385=Setup!$B$7,1,IF($J2385=Setup!$B$9,0,-1)))</f>
        <v>-1</v>
      </c>
      <c r="S2385" s="35" t="n">
        <f aca="false">IF(OR($A2385="",$Q2385=0,$R2385=-1),0,$Q2385*1000+$R2385*100+$K2385)</f>
        <v>0</v>
      </c>
      <c r="T2385" s="37" t="str">
        <f aca="false">IF($A2385="","",IF($B2385="","NO ACCOUNT",IF($Q2385=0,"UNMAPPED",IF($R2385=-1,"OUTSIDE FY RANGE","OK"))))</f>
        <v/>
      </c>
      <c r="U2385" s="40" t="str">
        <f aca="false">IF($A2385="","",$B2385&amp;"|"&amp;TEXT($A2385,"yyyymmdd")&amp;"|"&amp;TEXT($I2385,"0.00"))</f>
        <v/>
      </c>
      <c r="V2385" s="35" t="str">
        <f aca="false">IF($A2385="","",COUNTIF($U$8:$U$5007,$U2385))</f>
        <v/>
      </c>
    </row>
    <row r="2386" customFormat="false" ht="15" hidden="false" customHeight="false" outlineLevel="0" collapsed="false">
      <c r="A2386" s="31"/>
      <c r="B2386" s="32"/>
      <c r="C2386" s="32"/>
      <c r="D2386" s="32"/>
      <c r="E2386" s="32"/>
      <c r="F2386" s="32"/>
      <c r="G2386" s="33"/>
      <c r="H2386" s="33"/>
      <c r="I2386" s="34" t="str">
        <f aca="false">IF($A2386="","",$G2386-$H2386)</f>
        <v/>
      </c>
      <c r="J2386" s="35" t="str">
        <f aca="false">IF($A2386="","",IF(Setup!$B$6=1,YEAR($A2386),YEAR($A2386)+IF(MONTH($A2386)&gt;=Setup!$B$6,1,0)))</f>
        <v/>
      </c>
      <c r="K2386" s="35" t="str">
        <f aca="false">IF($A2386="","",MOD(MONTH($A2386)-Setup!$B$6+12,12)+1)</f>
        <v/>
      </c>
      <c r="L2386" s="36" t="str">
        <f aca="false">IF($A2386="","",TEXT($A2386,"MMM-YY"))</f>
        <v/>
      </c>
      <c r="M2386" s="37" t="str">
        <f aca="false">IF($A2386="","",IF($Q2386=0,"UNMAPPED",INDEX(COA_Mapping!$C$7:$C$256,$Q2386)))</f>
        <v/>
      </c>
      <c r="N2386" s="38" t="str">
        <f aca="false">IF($A2386="","",IF($Q2386=0,"",INDEX(COA_Mapping!$E$7:$E$256,$Q2386)))</f>
        <v/>
      </c>
      <c r="O2386" s="38" t="n">
        <f aca="false">IF($A2386="",1,IF($Q2386=0,1,INDEX(COA_Mapping!$F$7:$F$256,$Q2386)))</f>
        <v>1</v>
      </c>
      <c r="P2386" s="34" t="str">
        <f aca="false">IF($A2386="","",$I2386*$O2386)</f>
        <v/>
      </c>
      <c r="Q2386" s="39" t="n">
        <f aca="false">IF($B2386="",0,IFERROR(MATCH($B2386,COA_Mapping!$A$7:$A$256,0),0))</f>
        <v>0</v>
      </c>
      <c r="R2386" s="39" t="n">
        <f aca="false">IF($A2386="",-1,IF($J2386=Setup!$B$7,1,IF($J2386=Setup!$B$9,0,-1)))</f>
        <v>-1</v>
      </c>
      <c r="S2386" s="35" t="n">
        <f aca="false">IF(OR($A2386="",$Q2386=0,$R2386=-1),0,$Q2386*1000+$R2386*100+$K2386)</f>
        <v>0</v>
      </c>
      <c r="T2386" s="37" t="str">
        <f aca="false">IF($A2386="","",IF($B2386="","NO ACCOUNT",IF($Q2386=0,"UNMAPPED",IF($R2386=-1,"OUTSIDE FY RANGE","OK"))))</f>
        <v/>
      </c>
      <c r="U2386" s="40" t="str">
        <f aca="false">IF($A2386="","",$B2386&amp;"|"&amp;TEXT($A2386,"yyyymmdd")&amp;"|"&amp;TEXT($I2386,"0.00"))</f>
        <v/>
      </c>
      <c r="V2386" s="35" t="str">
        <f aca="false">IF($A2386="","",COUNTIF($U$8:$U$5007,$U2386))</f>
        <v/>
      </c>
    </row>
    <row r="2387" customFormat="false" ht="15" hidden="false" customHeight="false" outlineLevel="0" collapsed="false">
      <c r="A2387" s="31"/>
      <c r="B2387" s="32"/>
      <c r="C2387" s="32"/>
      <c r="D2387" s="32"/>
      <c r="E2387" s="32"/>
      <c r="F2387" s="32"/>
      <c r="G2387" s="33"/>
      <c r="H2387" s="33"/>
      <c r="I2387" s="34" t="str">
        <f aca="false">IF($A2387="","",$G2387-$H2387)</f>
        <v/>
      </c>
      <c r="J2387" s="35" t="str">
        <f aca="false">IF($A2387="","",IF(Setup!$B$6=1,YEAR($A2387),YEAR($A2387)+IF(MONTH($A2387)&gt;=Setup!$B$6,1,0)))</f>
        <v/>
      </c>
      <c r="K2387" s="35" t="str">
        <f aca="false">IF($A2387="","",MOD(MONTH($A2387)-Setup!$B$6+12,12)+1)</f>
        <v/>
      </c>
      <c r="L2387" s="36" t="str">
        <f aca="false">IF($A2387="","",TEXT($A2387,"MMM-YY"))</f>
        <v/>
      </c>
      <c r="M2387" s="37" t="str">
        <f aca="false">IF($A2387="","",IF($Q2387=0,"UNMAPPED",INDEX(COA_Mapping!$C$7:$C$256,$Q2387)))</f>
        <v/>
      </c>
      <c r="N2387" s="38" t="str">
        <f aca="false">IF($A2387="","",IF($Q2387=0,"",INDEX(COA_Mapping!$E$7:$E$256,$Q2387)))</f>
        <v/>
      </c>
      <c r="O2387" s="38" t="n">
        <f aca="false">IF($A2387="",1,IF($Q2387=0,1,INDEX(COA_Mapping!$F$7:$F$256,$Q2387)))</f>
        <v>1</v>
      </c>
      <c r="P2387" s="34" t="str">
        <f aca="false">IF($A2387="","",$I2387*$O2387)</f>
        <v/>
      </c>
      <c r="Q2387" s="39" t="n">
        <f aca="false">IF($B2387="",0,IFERROR(MATCH($B2387,COA_Mapping!$A$7:$A$256,0),0))</f>
        <v>0</v>
      </c>
      <c r="R2387" s="39" t="n">
        <f aca="false">IF($A2387="",-1,IF($J2387=Setup!$B$7,1,IF($J2387=Setup!$B$9,0,-1)))</f>
        <v>-1</v>
      </c>
      <c r="S2387" s="35" t="n">
        <f aca="false">IF(OR($A2387="",$Q2387=0,$R2387=-1),0,$Q2387*1000+$R2387*100+$K2387)</f>
        <v>0</v>
      </c>
      <c r="T2387" s="37" t="str">
        <f aca="false">IF($A2387="","",IF($B2387="","NO ACCOUNT",IF($Q2387=0,"UNMAPPED",IF($R2387=-1,"OUTSIDE FY RANGE","OK"))))</f>
        <v/>
      </c>
      <c r="U2387" s="40" t="str">
        <f aca="false">IF($A2387="","",$B2387&amp;"|"&amp;TEXT($A2387,"yyyymmdd")&amp;"|"&amp;TEXT($I2387,"0.00"))</f>
        <v/>
      </c>
      <c r="V2387" s="35" t="str">
        <f aca="false">IF($A2387="","",COUNTIF($U$8:$U$5007,$U2387))</f>
        <v/>
      </c>
    </row>
    <row r="2388" customFormat="false" ht="15" hidden="false" customHeight="false" outlineLevel="0" collapsed="false">
      <c r="A2388" s="31"/>
      <c r="B2388" s="32"/>
      <c r="C2388" s="32"/>
      <c r="D2388" s="32"/>
      <c r="E2388" s="32"/>
      <c r="F2388" s="32"/>
      <c r="G2388" s="33"/>
      <c r="H2388" s="33"/>
      <c r="I2388" s="34" t="str">
        <f aca="false">IF($A2388="","",$G2388-$H2388)</f>
        <v/>
      </c>
      <c r="J2388" s="35" t="str">
        <f aca="false">IF($A2388="","",IF(Setup!$B$6=1,YEAR($A2388),YEAR($A2388)+IF(MONTH($A2388)&gt;=Setup!$B$6,1,0)))</f>
        <v/>
      </c>
      <c r="K2388" s="35" t="str">
        <f aca="false">IF($A2388="","",MOD(MONTH($A2388)-Setup!$B$6+12,12)+1)</f>
        <v/>
      </c>
      <c r="L2388" s="36" t="str">
        <f aca="false">IF($A2388="","",TEXT($A2388,"MMM-YY"))</f>
        <v/>
      </c>
      <c r="M2388" s="37" t="str">
        <f aca="false">IF($A2388="","",IF($Q2388=0,"UNMAPPED",INDEX(COA_Mapping!$C$7:$C$256,$Q2388)))</f>
        <v/>
      </c>
      <c r="N2388" s="38" t="str">
        <f aca="false">IF($A2388="","",IF($Q2388=0,"",INDEX(COA_Mapping!$E$7:$E$256,$Q2388)))</f>
        <v/>
      </c>
      <c r="O2388" s="38" t="n">
        <f aca="false">IF($A2388="",1,IF($Q2388=0,1,INDEX(COA_Mapping!$F$7:$F$256,$Q2388)))</f>
        <v>1</v>
      </c>
      <c r="P2388" s="34" t="str">
        <f aca="false">IF($A2388="","",$I2388*$O2388)</f>
        <v/>
      </c>
      <c r="Q2388" s="39" t="n">
        <f aca="false">IF($B2388="",0,IFERROR(MATCH($B2388,COA_Mapping!$A$7:$A$256,0),0))</f>
        <v>0</v>
      </c>
      <c r="R2388" s="39" t="n">
        <f aca="false">IF($A2388="",-1,IF($J2388=Setup!$B$7,1,IF($J2388=Setup!$B$9,0,-1)))</f>
        <v>-1</v>
      </c>
      <c r="S2388" s="35" t="n">
        <f aca="false">IF(OR($A2388="",$Q2388=0,$R2388=-1),0,$Q2388*1000+$R2388*100+$K2388)</f>
        <v>0</v>
      </c>
      <c r="T2388" s="37" t="str">
        <f aca="false">IF($A2388="","",IF($B2388="","NO ACCOUNT",IF($Q2388=0,"UNMAPPED",IF($R2388=-1,"OUTSIDE FY RANGE","OK"))))</f>
        <v/>
      </c>
      <c r="U2388" s="40" t="str">
        <f aca="false">IF($A2388="","",$B2388&amp;"|"&amp;TEXT($A2388,"yyyymmdd")&amp;"|"&amp;TEXT($I2388,"0.00"))</f>
        <v/>
      </c>
      <c r="V2388" s="35" t="str">
        <f aca="false">IF($A2388="","",COUNTIF($U$8:$U$5007,$U2388))</f>
        <v/>
      </c>
    </row>
    <row r="2389" customFormat="false" ht="15" hidden="false" customHeight="false" outlineLevel="0" collapsed="false">
      <c r="A2389" s="31"/>
      <c r="B2389" s="32"/>
      <c r="C2389" s="32"/>
      <c r="D2389" s="32"/>
      <c r="E2389" s="32"/>
      <c r="F2389" s="32"/>
      <c r="G2389" s="33"/>
      <c r="H2389" s="33"/>
      <c r="I2389" s="34" t="str">
        <f aca="false">IF($A2389="","",$G2389-$H2389)</f>
        <v/>
      </c>
      <c r="J2389" s="35" t="str">
        <f aca="false">IF($A2389="","",IF(Setup!$B$6=1,YEAR($A2389),YEAR($A2389)+IF(MONTH($A2389)&gt;=Setup!$B$6,1,0)))</f>
        <v/>
      </c>
      <c r="K2389" s="35" t="str">
        <f aca="false">IF($A2389="","",MOD(MONTH($A2389)-Setup!$B$6+12,12)+1)</f>
        <v/>
      </c>
      <c r="L2389" s="36" t="str">
        <f aca="false">IF($A2389="","",TEXT($A2389,"MMM-YY"))</f>
        <v/>
      </c>
      <c r="M2389" s="37" t="str">
        <f aca="false">IF($A2389="","",IF($Q2389=0,"UNMAPPED",INDEX(COA_Mapping!$C$7:$C$256,$Q2389)))</f>
        <v/>
      </c>
      <c r="N2389" s="38" t="str">
        <f aca="false">IF($A2389="","",IF($Q2389=0,"",INDEX(COA_Mapping!$E$7:$E$256,$Q2389)))</f>
        <v/>
      </c>
      <c r="O2389" s="38" t="n">
        <f aca="false">IF($A2389="",1,IF($Q2389=0,1,INDEX(COA_Mapping!$F$7:$F$256,$Q2389)))</f>
        <v>1</v>
      </c>
      <c r="P2389" s="34" t="str">
        <f aca="false">IF($A2389="","",$I2389*$O2389)</f>
        <v/>
      </c>
      <c r="Q2389" s="39" t="n">
        <f aca="false">IF($B2389="",0,IFERROR(MATCH($B2389,COA_Mapping!$A$7:$A$256,0),0))</f>
        <v>0</v>
      </c>
      <c r="R2389" s="39" t="n">
        <f aca="false">IF($A2389="",-1,IF($J2389=Setup!$B$7,1,IF($J2389=Setup!$B$9,0,-1)))</f>
        <v>-1</v>
      </c>
      <c r="S2389" s="35" t="n">
        <f aca="false">IF(OR($A2389="",$Q2389=0,$R2389=-1),0,$Q2389*1000+$R2389*100+$K2389)</f>
        <v>0</v>
      </c>
      <c r="T2389" s="37" t="str">
        <f aca="false">IF($A2389="","",IF($B2389="","NO ACCOUNT",IF($Q2389=0,"UNMAPPED",IF($R2389=-1,"OUTSIDE FY RANGE","OK"))))</f>
        <v/>
      </c>
      <c r="U2389" s="40" t="str">
        <f aca="false">IF($A2389="","",$B2389&amp;"|"&amp;TEXT($A2389,"yyyymmdd")&amp;"|"&amp;TEXT($I2389,"0.00"))</f>
        <v/>
      </c>
      <c r="V2389" s="35" t="str">
        <f aca="false">IF($A2389="","",COUNTIF($U$8:$U$5007,$U2389))</f>
        <v/>
      </c>
    </row>
    <row r="2390" customFormat="false" ht="15" hidden="false" customHeight="false" outlineLevel="0" collapsed="false">
      <c r="A2390" s="31"/>
      <c r="B2390" s="32"/>
      <c r="C2390" s="32"/>
      <c r="D2390" s="32"/>
      <c r="E2390" s="32"/>
      <c r="F2390" s="32"/>
      <c r="G2390" s="33"/>
      <c r="H2390" s="33"/>
      <c r="I2390" s="34" t="str">
        <f aca="false">IF($A2390="","",$G2390-$H2390)</f>
        <v/>
      </c>
      <c r="J2390" s="35" t="str">
        <f aca="false">IF($A2390="","",IF(Setup!$B$6=1,YEAR($A2390),YEAR($A2390)+IF(MONTH($A2390)&gt;=Setup!$B$6,1,0)))</f>
        <v/>
      </c>
      <c r="K2390" s="35" t="str">
        <f aca="false">IF($A2390="","",MOD(MONTH($A2390)-Setup!$B$6+12,12)+1)</f>
        <v/>
      </c>
      <c r="L2390" s="36" t="str">
        <f aca="false">IF($A2390="","",TEXT($A2390,"MMM-YY"))</f>
        <v/>
      </c>
      <c r="M2390" s="37" t="str">
        <f aca="false">IF($A2390="","",IF($Q2390=0,"UNMAPPED",INDEX(COA_Mapping!$C$7:$C$256,$Q2390)))</f>
        <v/>
      </c>
      <c r="N2390" s="38" t="str">
        <f aca="false">IF($A2390="","",IF($Q2390=0,"",INDEX(COA_Mapping!$E$7:$E$256,$Q2390)))</f>
        <v/>
      </c>
      <c r="O2390" s="38" t="n">
        <f aca="false">IF($A2390="",1,IF($Q2390=0,1,INDEX(COA_Mapping!$F$7:$F$256,$Q2390)))</f>
        <v>1</v>
      </c>
      <c r="P2390" s="34" t="str">
        <f aca="false">IF($A2390="","",$I2390*$O2390)</f>
        <v/>
      </c>
      <c r="Q2390" s="39" t="n">
        <f aca="false">IF($B2390="",0,IFERROR(MATCH($B2390,COA_Mapping!$A$7:$A$256,0),0))</f>
        <v>0</v>
      </c>
      <c r="R2390" s="39" t="n">
        <f aca="false">IF($A2390="",-1,IF($J2390=Setup!$B$7,1,IF($J2390=Setup!$B$9,0,-1)))</f>
        <v>-1</v>
      </c>
      <c r="S2390" s="35" t="n">
        <f aca="false">IF(OR($A2390="",$Q2390=0,$R2390=-1),0,$Q2390*1000+$R2390*100+$K2390)</f>
        <v>0</v>
      </c>
      <c r="T2390" s="37" t="str">
        <f aca="false">IF($A2390="","",IF($B2390="","NO ACCOUNT",IF($Q2390=0,"UNMAPPED",IF($R2390=-1,"OUTSIDE FY RANGE","OK"))))</f>
        <v/>
      </c>
      <c r="U2390" s="40" t="str">
        <f aca="false">IF($A2390="","",$B2390&amp;"|"&amp;TEXT($A2390,"yyyymmdd")&amp;"|"&amp;TEXT($I2390,"0.00"))</f>
        <v/>
      </c>
      <c r="V2390" s="35" t="str">
        <f aca="false">IF($A2390="","",COUNTIF($U$8:$U$5007,$U2390))</f>
        <v/>
      </c>
    </row>
    <row r="2391" customFormat="false" ht="15" hidden="false" customHeight="false" outlineLevel="0" collapsed="false">
      <c r="A2391" s="31"/>
      <c r="B2391" s="32"/>
      <c r="C2391" s="32"/>
      <c r="D2391" s="32"/>
      <c r="E2391" s="32"/>
      <c r="F2391" s="32"/>
      <c r="G2391" s="33"/>
      <c r="H2391" s="33"/>
      <c r="I2391" s="34" t="str">
        <f aca="false">IF($A2391="","",$G2391-$H2391)</f>
        <v/>
      </c>
      <c r="J2391" s="35" t="str">
        <f aca="false">IF($A2391="","",IF(Setup!$B$6=1,YEAR($A2391),YEAR($A2391)+IF(MONTH($A2391)&gt;=Setup!$B$6,1,0)))</f>
        <v/>
      </c>
      <c r="K2391" s="35" t="str">
        <f aca="false">IF($A2391="","",MOD(MONTH($A2391)-Setup!$B$6+12,12)+1)</f>
        <v/>
      </c>
      <c r="L2391" s="36" t="str">
        <f aca="false">IF($A2391="","",TEXT($A2391,"MMM-YY"))</f>
        <v/>
      </c>
      <c r="M2391" s="37" t="str">
        <f aca="false">IF($A2391="","",IF($Q2391=0,"UNMAPPED",INDEX(COA_Mapping!$C$7:$C$256,$Q2391)))</f>
        <v/>
      </c>
      <c r="N2391" s="38" t="str">
        <f aca="false">IF($A2391="","",IF($Q2391=0,"",INDEX(COA_Mapping!$E$7:$E$256,$Q2391)))</f>
        <v/>
      </c>
      <c r="O2391" s="38" t="n">
        <f aca="false">IF($A2391="",1,IF($Q2391=0,1,INDEX(COA_Mapping!$F$7:$F$256,$Q2391)))</f>
        <v>1</v>
      </c>
      <c r="P2391" s="34" t="str">
        <f aca="false">IF($A2391="","",$I2391*$O2391)</f>
        <v/>
      </c>
      <c r="Q2391" s="39" t="n">
        <f aca="false">IF($B2391="",0,IFERROR(MATCH($B2391,COA_Mapping!$A$7:$A$256,0),0))</f>
        <v>0</v>
      </c>
      <c r="R2391" s="39" t="n">
        <f aca="false">IF($A2391="",-1,IF($J2391=Setup!$B$7,1,IF($J2391=Setup!$B$9,0,-1)))</f>
        <v>-1</v>
      </c>
      <c r="S2391" s="35" t="n">
        <f aca="false">IF(OR($A2391="",$Q2391=0,$R2391=-1),0,$Q2391*1000+$R2391*100+$K2391)</f>
        <v>0</v>
      </c>
      <c r="T2391" s="37" t="str">
        <f aca="false">IF($A2391="","",IF($B2391="","NO ACCOUNT",IF($Q2391=0,"UNMAPPED",IF($R2391=-1,"OUTSIDE FY RANGE","OK"))))</f>
        <v/>
      </c>
      <c r="U2391" s="40" t="str">
        <f aca="false">IF($A2391="","",$B2391&amp;"|"&amp;TEXT($A2391,"yyyymmdd")&amp;"|"&amp;TEXT($I2391,"0.00"))</f>
        <v/>
      </c>
      <c r="V2391" s="35" t="str">
        <f aca="false">IF($A2391="","",COUNTIF($U$8:$U$5007,$U2391))</f>
        <v/>
      </c>
    </row>
    <row r="2392" customFormat="false" ht="15" hidden="false" customHeight="false" outlineLevel="0" collapsed="false">
      <c r="A2392" s="31"/>
      <c r="B2392" s="32"/>
      <c r="C2392" s="32"/>
      <c r="D2392" s="32"/>
      <c r="E2392" s="32"/>
      <c r="F2392" s="32"/>
      <c r="G2392" s="33"/>
      <c r="H2392" s="33"/>
      <c r="I2392" s="34" t="str">
        <f aca="false">IF($A2392="","",$G2392-$H2392)</f>
        <v/>
      </c>
      <c r="J2392" s="35" t="str">
        <f aca="false">IF($A2392="","",IF(Setup!$B$6=1,YEAR($A2392),YEAR($A2392)+IF(MONTH($A2392)&gt;=Setup!$B$6,1,0)))</f>
        <v/>
      </c>
      <c r="K2392" s="35" t="str">
        <f aca="false">IF($A2392="","",MOD(MONTH($A2392)-Setup!$B$6+12,12)+1)</f>
        <v/>
      </c>
      <c r="L2392" s="36" t="str">
        <f aca="false">IF($A2392="","",TEXT($A2392,"MMM-YY"))</f>
        <v/>
      </c>
      <c r="M2392" s="37" t="str">
        <f aca="false">IF($A2392="","",IF($Q2392=0,"UNMAPPED",INDEX(COA_Mapping!$C$7:$C$256,$Q2392)))</f>
        <v/>
      </c>
      <c r="N2392" s="38" t="str">
        <f aca="false">IF($A2392="","",IF($Q2392=0,"",INDEX(COA_Mapping!$E$7:$E$256,$Q2392)))</f>
        <v/>
      </c>
      <c r="O2392" s="38" t="n">
        <f aca="false">IF($A2392="",1,IF($Q2392=0,1,INDEX(COA_Mapping!$F$7:$F$256,$Q2392)))</f>
        <v>1</v>
      </c>
      <c r="P2392" s="34" t="str">
        <f aca="false">IF($A2392="","",$I2392*$O2392)</f>
        <v/>
      </c>
      <c r="Q2392" s="39" t="n">
        <f aca="false">IF($B2392="",0,IFERROR(MATCH($B2392,COA_Mapping!$A$7:$A$256,0),0))</f>
        <v>0</v>
      </c>
      <c r="R2392" s="39" t="n">
        <f aca="false">IF($A2392="",-1,IF($J2392=Setup!$B$7,1,IF($J2392=Setup!$B$9,0,-1)))</f>
        <v>-1</v>
      </c>
      <c r="S2392" s="35" t="n">
        <f aca="false">IF(OR($A2392="",$Q2392=0,$R2392=-1),0,$Q2392*1000+$R2392*100+$K2392)</f>
        <v>0</v>
      </c>
      <c r="T2392" s="37" t="str">
        <f aca="false">IF($A2392="","",IF($B2392="","NO ACCOUNT",IF($Q2392=0,"UNMAPPED",IF($R2392=-1,"OUTSIDE FY RANGE","OK"))))</f>
        <v/>
      </c>
      <c r="U2392" s="40" t="str">
        <f aca="false">IF($A2392="","",$B2392&amp;"|"&amp;TEXT($A2392,"yyyymmdd")&amp;"|"&amp;TEXT($I2392,"0.00"))</f>
        <v/>
      </c>
      <c r="V2392" s="35" t="str">
        <f aca="false">IF($A2392="","",COUNTIF($U$8:$U$5007,$U2392))</f>
        <v/>
      </c>
    </row>
    <row r="2393" customFormat="false" ht="15" hidden="false" customHeight="false" outlineLevel="0" collapsed="false">
      <c r="A2393" s="31"/>
      <c r="B2393" s="32"/>
      <c r="C2393" s="32"/>
      <c r="D2393" s="32"/>
      <c r="E2393" s="32"/>
      <c r="F2393" s="32"/>
      <c r="G2393" s="33"/>
      <c r="H2393" s="33"/>
      <c r="I2393" s="34" t="str">
        <f aca="false">IF($A2393="","",$G2393-$H2393)</f>
        <v/>
      </c>
      <c r="J2393" s="35" t="str">
        <f aca="false">IF($A2393="","",IF(Setup!$B$6=1,YEAR($A2393),YEAR($A2393)+IF(MONTH($A2393)&gt;=Setup!$B$6,1,0)))</f>
        <v/>
      </c>
      <c r="K2393" s="35" t="str">
        <f aca="false">IF($A2393="","",MOD(MONTH($A2393)-Setup!$B$6+12,12)+1)</f>
        <v/>
      </c>
      <c r="L2393" s="36" t="str">
        <f aca="false">IF($A2393="","",TEXT($A2393,"MMM-YY"))</f>
        <v/>
      </c>
      <c r="M2393" s="37" t="str">
        <f aca="false">IF($A2393="","",IF($Q2393=0,"UNMAPPED",INDEX(COA_Mapping!$C$7:$C$256,$Q2393)))</f>
        <v/>
      </c>
      <c r="N2393" s="38" t="str">
        <f aca="false">IF($A2393="","",IF($Q2393=0,"",INDEX(COA_Mapping!$E$7:$E$256,$Q2393)))</f>
        <v/>
      </c>
      <c r="O2393" s="38" t="n">
        <f aca="false">IF($A2393="",1,IF($Q2393=0,1,INDEX(COA_Mapping!$F$7:$F$256,$Q2393)))</f>
        <v>1</v>
      </c>
      <c r="P2393" s="34" t="str">
        <f aca="false">IF($A2393="","",$I2393*$O2393)</f>
        <v/>
      </c>
      <c r="Q2393" s="39" t="n">
        <f aca="false">IF($B2393="",0,IFERROR(MATCH($B2393,COA_Mapping!$A$7:$A$256,0),0))</f>
        <v>0</v>
      </c>
      <c r="R2393" s="39" t="n">
        <f aca="false">IF($A2393="",-1,IF($J2393=Setup!$B$7,1,IF($J2393=Setup!$B$9,0,-1)))</f>
        <v>-1</v>
      </c>
      <c r="S2393" s="35" t="n">
        <f aca="false">IF(OR($A2393="",$Q2393=0,$R2393=-1),0,$Q2393*1000+$R2393*100+$K2393)</f>
        <v>0</v>
      </c>
      <c r="T2393" s="37" t="str">
        <f aca="false">IF($A2393="","",IF($B2393="","NO ACCOUNT",IF($Q2393=0,"UNMAPPED",IF($R2393=-1,"OUTSIDE FY RANGE","OK"))))</f>
        <v/>
      </c>
      <c r="U2393" s="40" t="str">
        <f aca="false">IF($A2393="","",$B2393&amp;"|"&amp;TEXT($A2393,"yyyymmdd")&amp;"|"&amp;TEXT($I2393,"0.00"))</f>
        <v/>
      </c>
      <c r="V2393" s="35" t="str">
        <f aca="false">IF($A2393="","",COUNTIF($U$8:$U$5007,$U2393))</f>
        <v/>
      </c>
    </row>
    <row r="2394" customFormat="false" ht="15" hidden="false" customHeight="false" outlineLevel="0" collapsed="false">
      <c r="A2394" s="31"/>
      <c r="B2394" s="32"/>
      <c r="C2394" s="32"/>
      <c r="D2394" s="32"/>
      <c r="E2394" s="32"/>
      <c r="F2394" s="32"/>
      <c r="G2394" s="33"/>
      <c r="H2394" s="33"/>
      <c r="I2394" s="34" t="str">
        <f aca="false">IF($A2394="","",$G2394-$H2394)</f>
        <v/>
      </c>
      <c r="J2394" s="35" t="str">
        <f aca="false">IF($A2394="","",IF(Setup!$B$6=1,YEAR($A2394),YEAR($A2394)+IF(MONTH($A2394)&gt;=Setup!$B$6,1,0)))</f>
        <v/>
      </c>
      <c r="K2394" s="35" t="str">
        <f aca="false">IF($A2394="","",MOD(MONTH($A2394)-Setup!$B$6+12,12)+1)</f>
        <v/>
      </c>
      <c r="L2394" s="36" t="str">
        <f aca="false">IF($A2394="","",TEXT($A2394,"MMM-YY"))</f>
        <v/>
      </c>
      <c r="M2394" s="37" t="str">
        <f aca="false">IF($A2394="","",IF($Q2394=0,"UNMAPPED",INDEX(COA_Mapping!$C$7:$C$256,$Q2394)))</f>
        <v/>
      </c>
      <c r="N2394" s="38" t="str">
        <f aca="false">IF($A2394="","",IF($Q2394=0,"",INDEX(COA_Mapping!$E$7:$E$256,$Q2394)))</f>
        <v/>
      </c>
      <c r="O2394" s="38" t="n">
        <f aca="false">IF($A2394="",1,IF($Q2394=0,1,INDEX(COA_Mapping!$F$7:$F$256,$Q2394)))</f>
        <v>1</v>
      </c>
      <c r="P2394" s="34" t="str">
        <f aca="false">IF($A2394="","",$I2394*$O2394)</f>
        <v/>
      </c>
      <c r="Q2394" s="39" t="n">
        <f aca="false">IF($B2394="",0,IFERROR(MATCH($B2394,COA_Mapping!$A$7:$A$256,0),0))</f>
        <v>0</v>
      </c>
      <c r="R2394" s="39" t="n">
        <f aca="false">IF($A2394="",-1,IF($J2394=Setup!$B$7,1,IF($J2394=Setup!$B$9,0,-1)))</f>
        <v>-1</v>
      </c>
      <c r="S2394" s="35" t="n">
        <f aca="false">IF(OR($A2394="",$Q2394=0,$R2394=-1),0,$Q2394*1000+$R2394*100+$K2394)</f>
        <v>0</v>
      </c>
      <c r="T2394" s="37" t="str">
        <f aca="false">IF($A2394="","",IF($B2394="","NO ACCOUNT",IF($Q2394=0,"UNMAPPED",IF($R2394=-1,"OUTSIDE FY RANGE","OK"))))</f>
        <v/>
      </c>
      <c r="U2394" s="40" t="str">
        <f aca="false">IF($A2394="","",$B2394&amp;"|"&amp;TEXT($A2394,"yyyymmdd")&amp;"|"&amp;TEXT($I2394,"0.00"))</f>
        <v/>
      </c>
      <c r="V2394" s="35" t="str">
        <f aca="false">IF($A2394="","",COUNTIF($U$8:$U$5007,$U2394))</f>
        <v/>
      </c>
    </row>
    <row r="2395" customFormat="false" ht="15" hidden="false" customHeight="false" outlineLevel="0" collapsed="false">
      <c r="A2395" s="31"/>
      <c r="B2395" s="32"/>
      <c r="C2395" s="32"/>
      <c r="D2395" s="32"/>
      <c r="E2395" s="32"/>
      <c r="F2395" s="32"/>
      <c r="G2395" s="33"/>
      <c r="H2395" s="33"/>
      <c r="I2395" s="34" t="str">
        <f aca="false">IF($A2395="","",$G2395-$H2395)</f>
        <v/>
      </c>
      <c r="J2395" s="35" t="str">
        <f aca="false">IF($A2395="","",IF(Setup!$B$6=1,YEAR($A2395),YEAR($A2395)+IF(MONTH($A2395)&gt;=Setup!$B$6,1,0)))</f>
        <v/>
      </c>
      <c r="K2395" s="35" t="str">
        <f aca="false">IF($A2395="","",MOD(MONTH($A2395)-Setup!$B$6+12,12)+1)</f>
        <v/>
      </c>
      <c r="L2395" s="36" t="str">
        <f aca="false">IF($A2395="","",TEXT($A2395,"MMM-YY"))</f>
        <v/>
      </c>
      <c r="M2395" s="37" t="str">
        <f aca="false">IF($A2395="","",IF($Q2395=0,"UNMAPPED",INDEX(COA_Mapping!$C$7:$C$256,$Q2395)))</f>
        <v/>
      </c>
      <c r="N2395" s="38" t="str">
        <f aca="false">IF($A2395="","",IF($Q2395=0,"",INDEX(COA_Mapping!$E$7:$E$256,$Q2395)))</f>
        <v/>
      </c>
      <c r="O2395" s="38" t="n">
        <f aca="false">IF($A2395="",1,IF($Q2395=0,1,INDEX(COA_Mapping!$F$7:$F$256,$Q2395)))</f>
        <v>1</v>
      </c>
      <c r="P2395" s="34" t="str">
        <f aca="false">IF($A2395="","",$I2395*$O2395)</f>
        <v/>
      </c>
      <c r="Q2395" s="39" t="n">
        <f aca="false">IF($B2395="",0,IFERROR(MATCH($B2395,COA_Mapping!$A$7:$A$256,0),0))</f>
        <v>0</v>
      </c>
      <c r="R2395" s="39" t="n">
        <f aca="false">IF($A2395="",-1,IF($J2395=Setup!$B$7,1,IF($J2395=Setup!$B$9,0,-1)))</f>
        <v>-1</v>
      </c>
      <c r="S2395" s="35" t="n">
        <f aca="false">IF(OR($A2395="",$Q2395=0,$R2395=-1),0,$Q2395*1000+$R2395*100+$K2395)</f>
        <v>0</v>
      </c>
      <c r="T2395" s="37" t="str">
        <f aca="false">IF($A2395="","",IF($B2395="","NO ACCOUNT",IF($Q2395=0,"UNMAPPED",IF($R2395=-1,"OUTSIDE FY RANGE","OK"))))</f>
        <v/>
      </c>
      <c r="U2395" s="40" t="str">
        <f aca="false">IF($A2395="","",$B2395&amp;"|"&amp;TEXT($A2395,"yyyymmdd")&amp;"|"&amp;TEXT($I2395,"0.00"))</f>
        <v/>
      </c>
      <c r="V2395" s="35" t="str">
        <f aca="false">IF($A2395="","",COUNTIF($U$8:$U$5007,$U2395))</f>
        <v/>
      </c>
    </row>
    <row r="2396" customFormat="false" ht="15" hidden="false" customHeight="false" outlineLevel="0" collapsed="false">
      <c r="A2396" s="31"/>
      <c r="B2396" s="32"/>
      <c r="C2396" s="32"/>
      <c r="D2396" s="32"/>
      <c r="E2396" s="32"/>
      <c r="F2396" s="32"/>
      <c r="G2396" s="33"/>
      <c r="H2396" s="33"/>
      <c r="I2396" s="34" t="str">
        <f aca="false">IF($A2396="","",$G2396-$H2396)</f>
        <v/>
      </c>
      <c r="J2396" s="35" t="str">
        <f aca="false">IF($A2396="","",IF(Setup!$B$6=1,YEAR($A2396),YEAR($A2396)+IF(MONTH($A2396)&gt;=Setup!$B$6,1,0)))</f>
        <v/>
      </c>
      <c r="K2396" s="35" t="str">
        <f aca="false">IF($A2396="","",MOD(MONTH($A2396)-Setup!$B$6+12,12)+1)</f>
        <v/>
      </c>
      <c r="L2396" s="36" t="str">
        <f aca="false">IF($A2396="","",TEXT($A2396,"MMM-YY"))</f>
        <v/>
      </c>
      <c r="M2396" s="37" t="str">
        <f aca="false">IF($A2396="","",IF($Q2396=0,"UNMAPPED",INDEX(COA_Mapping!$C$7:$C$256,$Q2396)))</f>
        <v/>
      </c>
      <c r="N2396" s="38" t="str">
        <f aca="false">IF($A2396="","",IF($Q2396=0,"",INDEX(COA_Mapping!$E$7:$E$256,$Q2396)))</f>
        <v/>
      </c>
      <c r="O2396" s="38" t="n">
        <f aca="false">IF($A2396="",1,IF($Q2396=0,1,INDEX(COA_Mapping!$F$7:$F$256,$Q2396)))</f>
        <v>1</v>
      </c>
      <c r="P2396" s="34" t="str">
        <f aca="false">IF($A2396="","",$I2396*$O2396)</f>
        <v/>
      </c>
      <c r="Q2396" s="39" t="n">
        <f aca="false">IF($B2396="",0,IFERROR(MATCH($B2396,COA_Mapping!$A$7:$A$256,0),0))</f>
        <v>0</v>
      </c>
      <c r="R2396" s="39" t="n">
        <f aca="false">IF($A2396="",-1,IF($J2396=Setup!$B$7,1,IF($J2396=Setup!$B$9,0,-1)))</f>
        <v>-1</v>
      </c>
      <c r="S2396" s="35" t="n">
        <f aca="false">IF(OR($A2396="",$Q2396=0,$R2396=-1),0,$Q2396*1000+$R2396*100+$K2396)</f>
        <v>0</v>
      </c>
      <c r="T2396" s="37" t="str">
        <f aca="false">IF($A2396="","",IF($B2396="","NO ACCOUNT",IF($Q2396=0,"UNMAPPED",IF($R2396=-1,"OUTSIDE FY RANGE","OK"))))</f>
        <v/>
      </c>
      <c r="U2396" s="40" t="str">
        <f aca="false">IF($A2396="","",$B2396&amp;"|"&amp;TEXT($A2396,"yyyymmdd")&amp;"|"&amp;TEXT($I2396,"0.00"))</f>
        <v/>
      </c>
      <c r="V2396" s="35" t="str">
        <f aca="false">IF($A2396="","",COUNTIF($U$8:$U$5007,$U2396))</f>
        <v/>
      </c>
    </row>
    <row r="2397" customFormat="false" ht="15" hidden="false" customHeight="false" outlineLevel="0" collapsed="false">
      <c r="A2397" s="31"/>
      <c r="B2397" s="32"/>
      <c r="C2397" s="32"/>
      <c r="D2397" s="32"/>
      <c r="E2397" s="32"/>
      <c r="F2397" s="32"/>
      <c r="G2397" s="33"/>
      <c r="H2397" s="33"/>
      <c r="I2397" s="34" t="str">
        <f aca="false">IF($A2397="","",$G2397-$H2397)</f>
        <v/>
      </c>
      <c r="J2397" s="35" t="str">
        <f aca="false">IF($A2397="","",IF(Setup!$B$6=1,YEAR($A2397),YEAR($A2397)+IF(MONTH($A2397)&gt;=Setup!$B$6,1,0)))</f>
        <v/>
      </c>
      <c r="K2397" s="35" t="str">
        <f aca="false">IF($A2397="","",MOD(MONTH($A2397)-Setup!$B$6+12,12)+1)</f>
        <v/>
      </c>
      <c r="L2397" s="36" t="str">
        <f aca="false">IF($A2397="","",TEXT($A2397,"MMM-YY"))</f>
        <v/>
      </c>
      <c r="M2397" s="37" t="str">
        <f aca="false">IF($A2397="","",IF($Q2397=0,"UNMAPPED",INDEX(COA_Mapping!$C$7:$C$256,$Q2397)))</f>
        <v/>
      </c>
      <c r="N2397" s="38" t="str">
        <f aca="false">IF($A2397="","",IF($Q2397=0,"",INDEX(COA_Mapping!$E$7:$E$256,$Q2397)))</f>
        <v/>
      </c>
      <c r="O2397" s="38" t="n">
        <f aca="false">IF($A2397="",1,IF($Q2397=0,1,INDEX(COA_Mapping!$F$7:$F$256,$Q2397)))</f>
        <v>1</v>
      </c>
      <c r="P2397" s="34" t="str">
        <f aca="false">IF($A2397="","",$I2397*$O2397)</f>
        <v/>
      </c>
      <c r="Q2397" s="39" t="n">
        <f aca="false">IF($B2397="",0,IFERROR(MATCH($B2397,COA_Mapping!$A$7:$A$256,0),0))</f>
        <v>0</v>
      </c>
      <c r="R2397" s="39" t="n">
        <f aca="false">IF($A2397="",-1,IF($J2397=Setup!$B$7,1,IF($J2397=Setup!$B$9,0,-1)))</f>
        <v>-1</v>
      </c>
      <c r="S2397" s="35" t="n">
        <f aca="false">IF(OR($A2397="",$Q2397=0,$R2397=-1),0,$Q2397*1000+$R2397*100+$K2397)</f>
        <v>0</v>
      </c>
      <c r="T2397" s="37" t="str">
        <f aca="false">IF($A2397="","",IF($B2397="","NO ACCOUNT",IF($Q2397=0,"UNMAPPED",IF($R2397=-1,"OUTSIDE FY RANGE","OK"))))</f>
        <v/>
      </c>
      <c r="U2397" s="40" t="str">
        <f aca="false">IF($A2397="","",$B2397&amp;"|"&amp;TEXT($A2397,"yyyymmdd")&amp;"|"&amp;TEXT($I2397,"0.00"))</f>
        <v/>
      </c>
      <c r="V2397" s="35" t="str">
        <f aca="false">IF($A2397="","",COUNTIF($U$8:$U$5007,$U2397))</f>
        <v/>
      </c>
    </row>
    <row r="2398" customFormat="false" ht="15" hidden="false" customHeight="false" outlineLevel="0" collapsed="false">
      <c r="A2398" s="31"/>
      <c r="B2398" s="32"/>
      <c r="C2398" s="32"/>
      <c r="D2398" s="32"/>
      <c r="E2398" s="32"/>
      <c r="F2398" s="32"/>
      <c r="G2398" s="33"/>
      <c r="H2398" s="33"/>
      <c r="I2398" s="34" t="str">
        <f aca="false">IF($A2398="","",$G2398-$H2398)</f>
        <v/>
      </c>
      <c r="J2398" s="35" t="str">
        <f aca="false">IF($A2398="","",IF(Setup!$B$6=1,YEAR($A2398),YEAR($A2398)+IF(MONTH($A2398)&gt;=Setup!$B$6,1,0)))</f>
        <v/>
      </c>
      <c r="K2398" s="35" t="str">
        <f aca="false">IF($A2398="","",MOD(MONTH($A2398)-Setup!$B$6+12,12)+1)</f>
        <v/>
      </c>
      <c r="L2398" s="36" t="str">
        <f aca="false">IF($A2398="","",TEXT($A2398,"MMM-YY"))</f>
        <v/>
      </c>
      <c r="M2398" s="37" t="str">
        <f aca="false">IF($A2398="","",IF($Q2398=0,"UNMAPPED",INDEX(COA_Mapping!$C$7:$C$256,$Q2398)))</f>
        <v/>
      </c>
      <c r="N2398" s="38" t="str">
        <f aca="false">IF($A2398="","",IF($Q2398=0,"",INDEX(COA_Mapping!$E$7:$E$256,$Q2398)))</f>
        <v/>
      </c>
      <c r="O2398" s="38" t="n">
        <f aca="false">IF($A2398="",1,IF($Q2398=0,1,INDEX(COA_Mapping!$F$7:$F$256,$Q2398)))</f>
        <v>1</v>
      </c>
      <c r="P2398" s="34" t="str">
        <f aca="false">IF($A2398="","",$I2398*$O2398)</f>
        <v/>
      </c>
      <c r="Q2398" s="39" t="n">
        <f aca="false">IF($B2398="",0,IFERROR(MATCH($B2398,COA_Mapping!$A$7:$A$256,0),0))</f>
        <v>0</v>
      </c>
      <c r="R2398" s="39" t="n">
        <f aca="false">IF($A2398="",-1,IF($J2398=Setup!$B$7,1,IF($J2398=Setup!$B$9,0,-1)))</f>
        <v>-1</v>
      </c>
      <c r="S2398" s="35" t="n">
        <f aca="false">IF(OR($A2398="",$Q2398=0,$R2398=-1),0,$Q2398*1000+$R2398*100+$K2398)</f>
        <v>0</v>
      </c>
      <c r="T2398" s="37" t="str">
        <f aca="false">IF($A2398="","",IF($B2398="","NO ACCOUNT",IF($Q2398=0,"UNMAPPED",IF($R2398=-1,"OUTSIDE FY RANGE","OK"))))</f>
        <v/>
      </c>
      <c r="U2398" s="40" t="str">
        <f aca="false">IF($A2398="","",$B2398&amp;"|"&amp;TEXT($A2398,"yyyymmdd")&amp;"|"&amp;TEXT($I2398,"0.00"))</f>
        <v/>
      </c>
      <c r="V2398" s="35" t="str">
        <f aca="false">IF($A2398="","",COUNTIF($U$8:$U$5007,$U2398))</f>
        <v/>
      </c>
    </row>
    <row r="2399" customFormat="false" ht="15" hidden="false" customHeight="false" outlineLevel="0" collapsed="false">
      <c r="A2399" s="31"/>
      <c r="B2399" s="32"/>
      <c r="C2399" s="32"/>
      <c r="D2399" s="32"/>
      <c r="E2399" s="32"/>
      <c r="F2399" s="32"/>
      <c r="G2399" s="33"/>
      <c r="H2399" s="33"/>
      <c r="I2399" s="34" t="str">
        <f aca="false">IF($A2399="","",$G2399-$H2399)</f>
        <v/>
      </c>
      <c r="J2399" s="35" t="str">
        <f aca="false">IF($A2399="","",IF(Setup!$B$6=1,YEAR($A2399),YEAR($A2399)+IF(MONTH($A2399)&gt;=Setup!$B$6,1,0)))</f>
        <v/>
      </c>
      <c r="K2399" s="35" t="str">
        <f aca="false">IF($A2399="","",MOD(MONTH($A2399)-Setup!$B$6+12,12)+1)</f>
        <v/>
      </c>
      <c r="L2399" s="36" t="str">
        <f aca="false">IF($A2399="","",TEXT($A2399,"MMM-YY"))</f>
        <v/>
      </c>
      <c r="M2399" s="37" t="str">
        <f aca="false">IF($A2399="","",IF($Q2399=0,"UNMAPPED",INDEX(COA_Mapping!$C$7:$C$256,$Q2399)))</f>
        <v/>
      </c>
      <c r="N2399" s="38" t="str">
        <f aca="false">IF($A2399="","",IF($Q2399=0,"",INDEX(COA_Mapping!$E$7:$E$256,$Q2399)))</f>
        <v/>
      </c>
      <c r="O2399" s="38" t="n">
        <f aca="false">IF($A2399="",1,IF($Q2399=0,1,INDEX(COA_Mapping!$F$7:$F$256,$Q2399)))</f>
        <v>1</v>
      </c>
      <c r="P2399" s="34" t="str">
        <f aca="false">IF($A2399="","",$I2399*$O2399)</f>
        <v/>
      </c>
      <c r="Q2399" s="39" t="n">
        <f aca="false">IF($B2399="",0,IFERROR(MATCH($B2399,COA_Mapping!$A$7:$A$256,0),0))</f>
        <v>0</v>
      </c>
      <c r="R2399" s="39" t="n">
        <f aca="false">IF($A2399="",-1,IF($J2399=Setup!$B$7,1,IF($J2399=Setup!$B$9,0,-1)))</f>
        <v>-1</v>
      </c>
      <c r="S2399" s="35" t="n">
        <f aca="false">IF(OR($A2399="",$Q2399=0,$R2399=-1),0,$Q2399*1000+$R2399*100+$K2399)</f>
        <v>0</v>
      </c>
      <c r="T2399" s="37" t="str">
        <f aca="false">IF($A2399="","",IF($B2399="","NO ACCOUNT",IF($Q2399=0,"UNMAPPED",IF($R2399=-1,"OUTSIDE FY RANGE","OK"))))</f>
        <v/>
      </c>
      <c r="U2399" s="40" t="str">
        <f aca="false">IF($A2399="","",$B2399&amp;"|"&amp;TEXT($A2399,"yyyymmdd")&amp;"|"&amp;TEXT($I2399,"0.00"))</f>
        <v/>
      </c>
      <c r="V2399" s="35" t="str">
        <f aca="false">IF($A2399="","",COUNTIF($U$8:$U$5007,$U2399))</f>
        <v/>
      </c>
    </row>
    <row r="2400" customFormat="false" ht="15" hidden="false" customHeight="false" outlineLevel="0" collapsed="false">
      <c r="A2400" s="31"/>
      <c r="B2400" s="32"/>
      <c r="C2400" s="32"/>
      <c r="D2400" s="32"/>
      <c r="E2400" s="32"/>
      <c r="F2400" s="32"/>
      <c r="G2400" s="33"/>
      <c r="H2400" s="33"/>
      <c r="I2400" s="34" t="str">
        <f aca="false">IF($A2400="","",$G2400-$H2400)</f>
        <v/>
      </c>
      <c r="J2400" s="35" t="str">
        <f aca="false">IF($A2400="","",IF(Setup!$B$6=1,YEAR($A2400),YEAR($A2400)+IF(MONTH($A2400)&gt;=Setup!$B$6,1,0)))</f>
        <v/>
      </c>
      <c r="K2400" s="35" t="str">
        <f aca="false">IF($A2400="","",MOD(MONTH($A2400)-Setup!$B$6+12,12)+1)</f>
        <v/>
      </c>
      <c r="L2400" s="36" t="str">
        <f aca="false">IF($A2400="","",TEXT($A2400,"MMM-YY"))</f>
        <v/>
      </c>
      <c r="M2400" s="37" t="str">
        <f aca="false">IF($A2400="","",IF($Q2400=0,"UNMAPPED",INDEX(COA_Mapping!$C$7:$C$256,$Q2400)))</f>
        <v/>
      </c>
      <c r="N2400" s="38" t="str">
        <f aca="false">IF($A2400="","",IF($Q2400=0,"",INDEX(COA_Mapping!$E$7:$E$256,$Q2400)))</f>
        <v/>
      </c>
      <c r="O2400" s="38" t="n">
        <f aca="false">IF($A2400="",1,IF($Q2400=0,1,INDEX(COA_Mapping!$F$7:$F$256,$Q2400)))</f>
        <v>1</v>
      </c>
      <c r="P2400" s="34" t="str">
        <f aca="false">IF($A2400="","",$I2400*$O2400)</f>
        <v/>
      </c>
      <c r="Q2400" s="39" t="n">
        <f aca="false">IF($B2400="",0,IFERROR(MATCH($B2400,COA_Mapping!$A$7:$A$256,0),0))</f>
        <v>0</v>
      </c>
      <c r="R2400" s="39" t="n">
        <f aca="false">IF($A2400="",-1,IF($J2400=Setup!$B$7,1,IF($J2400=Setup!$B$9,0,-1)))</f>
        <v>-1</v>
      </c>
      <c r="S2400" s="35" t="n">
        <f aca="false">IF(OR($A2400="",$Q2400=0,$R2400=-1),0,$Q2400*1000+$R2400*100+$K2400)</f>
        <v>0</v>
      </c>
      <c r="T2400" s="37" t="str">
        <f aca="false">IF($A2400="","",IF($B2400="","NO ACCOUNT",IF($Q2400=0,"UNMAPPED",IF($R2400=-1,"OUTSIDE FY RANGE","OK"))))</f>
        <v/>
      </c>
      <c r="U2400" s="40" t="str">
        <f aca="false">IF($A2400="","",$B2400&amp;"|"&amp;TEXT($A2400,"yyyymmdd")&amp;"|"&amp;TEXT($I2400,"0.00"))</f>
        <v/>
      </c>
      <c r="V2400" s="35" t="str">
        <f aca="false">IF($A2400="","",COUNTIF($U$8:$U$5007,$U2400))</f>
        <v/>
      </c>
    </row>
    <row r="2401" customFormat="false" ht="15" hidden="false" customHeight="false" outlineLevel="0" collapsed="false">
      <c r="A2401" s="31"/>
      <c r="B2401" s="32"/>
      <c r="C2401" s="32"/>
      <c r="D2401" s="32"/>
      <c r="E2401" s="32"/>
      <c r="F2401" s="32"/>
      <c r="G2401" s="33"/>
      <c r="H2401" s="33"/>
      <c r="I2401" s="34" t="str">
        <f aca="false">IF($A2401="","",$G2401-$H2401)</f>
        <v/>
      </c>
      <c r="J2401" s="35" t="str">
        <f aca="false">IF($A2401="","",IF(Setup!$B$6=1,YEAR($A2401),YEAR($A2401)+IF(MONTH($A2401)&gt;=Setup!$B$6,1,0)))</f>
        <v/>
      </c>
      <c r="K2401" s="35" t="str">
        <f aca="false">IF($A2401="","",MOD(MONTH($A2401)-Setup!$B$6+12,12)+1)</f>
        <v/>
      </c>
      <c r="L2401" s="36" t="str">
        <f aca="false">IF($A2401="","",TEXT($A2401,"MMM-YY"))</f>
        <v/>
      </c>
      <c r="M2401" s="37" t="str">
        <f aca="false">IF($A2401="","",IF($Q2401=0,"UNMAPPED",INDEX(COA_Mapping!$C$7:$C$256,$Q2401)))</f>
        <v/>
      </c>
      <c r="N2401" s="38" t="str">
        <f aca="false">IF($A2401="","",IF($Q2401=0,"",INDEX(COA_Mapping!$E$7:$E$256,$Q2401)))</f>
        <v/>
      </c>
      <c r="O2401" s="38" t="n">
        <f aca="false">IF($A2401="",1,IF($Q2401=0,1,INDEX(COA_Mapping!$F$7:$F$256,$Q2401)))</f>
        <v>1</v>
      </c>
      <c r="P2401" s="34" t="str">
        <f aca="false">IF($A2401="","",$I2401*$O2401)</f>
        <v/>
      </c>
      <c r="Q2401" s="39" t="n">
        <f aca="false">IF($B2401="",0,IFERROR(MATCH($B2401,COA_Mapping!$A$7:$A$256,0),0))</f>
        <v>0</v>
      </c>
      <c r="R2401" s="39" t="n">
        <f aca="false">IF($A2401="",-1,IF($J2401=Setup!$B$7,1,IF($J2401=Setup!$B$9,0,-1)))</f>
        <v>-1</v>
      </c>
      <c r="S2401" s="35" t="n">
        <f aca="false">IF(OR($A2401="",$Q2401=0,$R2401=-1),0,$Q2401*1000+$R2401*100+$K2401)</f>
        <v>0</v>
      </c>
      <c r="T2401" s="37" t="str">
        <f aca="false">IF($A2401="","",IF($B2401="","NO ACCOUNT",IF($Q2401=0,"UNMAPPED",IF($R2401=-1,"OUTSIDE FY RANGE","OK"))))</f>
        <v/>
      </c>
      <c r="U2401" s="40" t="str">
        <f aca="false">IF($A2401="","",$B2401&amp;"|"&amp;TEXT($A2401,"yyyymmdd")&amp;"|"&amp;TEXT($I2401,"0.00"))</f>
        <v/>
      </c>
      <c r="V2401" s="35" t="str">
        <f aca="false">IF($A2401="","",COUNTIF($U$8:$U$5007,$U2401))</f>
        <v/>
      </c>
    </row>
    <row r="2402" customFormat="false" ht="15" hidden="false" customHeight="false" outlineLevel="0" collapsed="false">
      <c r="A2402" s="31"/>
      <c r="B2402" s="32"/>
      <c r="C2402" s="32"/>
      <c r="D2402" s="32"/>
      <c r="E2402" s="32"/>
      <c r="F2402" s="32"/>
      <c r="G2402" s="33"/>
      <c r="H2402" s="33"/>
      <c r="I2402" s="34" t="str">
        <f aca="false">IF($A2402="","",$G2402-$H2402)</f>
        <v/>
      </c>
      <c r="J2402" s="35" t="str">
        <f aca="false">IF($A2402="","",IF(Setup!$B$6=1,YEAR($A2402),YEAR($A2402)+IF(MONTH($A2402)&gt;=Setup!$B$6,1,0)))</f>
        <v/>
      </c>
      <c r="K2402" s="35" t="str">
        <f aca="false">IF($A2402="","",MOD(MONTH($A2402)-Setup!$B$6+12,12)+1)</f>
        <v/>
      </c>
      <c r="L2402" s="36" t="str">
        <f aca="false">IF($A2402="","",TEXT($A2402,"MMM-YY"))</f>
        <v/>
      </c>
      <c r="M2402" s="37" t="str">
        <f aca="false">IF($A2402="","",IF($Q2402=0,"UNMAPPED",INDEX(COA_Mapping!$C$7:$C$256,$Q2402)))</f>
        <v/>
      </c>
      <c r="N2402" s="38" t="str">
        <f aca="false">IF($A2402="","",IF($Q2402=0,"",INDEX(COA_Mapping!$E$7:$E$256,$Q2402)))</f>
        <v/>
      </c>
      <c r="O2402" s="38" t="n">
        <f aca="false">IF($A2402="",1,IF($Q2402=0,1,INDEX(COA_Mapping!$F$7:$F$256,$Q2402)))</f>
        <v>1</v>
      </c>
      <c r="P2402" s="34" t="str">
        <f aca="false">IF($A2402="","",$I2402*$O2402)</f>
        <v/>
      </c>
      <c r="Q2402" s="39" t="n">
        <f aca="false">IF($B2402="",0,IFERROR(MATCH($B2402,COA_Mapping!$A$7:$A$256,0),0))</f>
        <v>0</v>
      </c>
      <c r="R2402" s="39" t="n">
        <f aca="false">IF($A2402="",-1,IF($J2402=Setup!$B$7,1,IF($J2402=Setup!$B$9,0,-1)))</f>
        <v>-1</v>
      </c>
      <c r="S2402" s="35" t="n">
        <f aca="false">IF(OR($A2402="",$Q2402=0,$R2402=-1),0,$Q2402*1000+$R2402*100+$K2402)</f>
        <v>0</v>
      </c>
      <c r="T2402" s="37" t="str">
        <f aca="false">IF($A2402="","",IF($B2402="","NO ACCOUNT",IF($Q2402=0,"UNMAPPED",IF($R2402=-1,"OUTSIDE FY RANGE","OK"))))</f>
        <v/>
      </c>
      <c r="U2402" s="40" t="str">
        <f aca="false">IF($A2402="","",$B2402&amp;"|"&amp;TEXT($A2402,"yyyymmdd")&amp;"|"&amp;TEXT($I2402,"0.00"))</f>
        <v/>
      </c>
      <c r="V2402" s="35" t="str">
        <f aca="false">IF($A2402="","",COUNTIF($U$8:$U$5007,$U2402))</f>
        <v/>
      </c>
    </row>
    <row r="2403" customFormat="false" ht="15" hidden="false" customHeight="false" outlineLevel="0" collapsed="false">
      <c r="A2403" s="31"/>
      <c r="B2403" s="32"/>
      <c r="C2403" s="32"/>
      <c r="D2403" s="32"/>
      <c r="E2403" s="32"/>
      <c r="F2403" s="32"/>
      <c r="G2403" s="33"/>
      <c r="H2403" s="33"/>
      <c r="I2403" s="34" t="str">
        <f aca="false">IF($A2403="","",$G2403-$H2403)</f>
        <v/>
      </c>
      <c r="J2403" s="35" t="str">
        <f aca="false">IF($A2403="","",IF(Setup!$B$6=1,YEAR($A2403),YEAR($A2403)+IF(MONTH($A2403)&gt;=Setup!$B$6,1,0)))</f>
        <v/>
      </c>
      <c r="K2403" s="35" t="str">
        <f aca="false">IF($A2403="","",MOD(MONTH($A2403)-Setup!$B$6+12,12)+1)</f>
        <v/>
      </c>
      <c r="L2403" s="36" t="str">
        <f aca="false">IF($A2403="","",TEXT($A2403,"MMM-YY"))</f>
        <v/>
      </c>
      <c r="M2403" s="37" t="str">
        <f aca="false">IF($A2403="","",IF($Q2403=0,"UNMAPPED",INDEX(COA_Mapping!$C$7:$C$256,$Q2403)))</f>
        <v/>
      </c>
      <c r="N2403" s="38" t="str">
        <f aca="false">IF($A2403="","",IF($Q2403=0,"",INDEX(COA_Mapping!$E$7:$E$256,$Q2403)))</f>
        <v/>
      </c>
      <c r="O2403" s="38" t="n">
        <f aca="false">IF($A2403="",1,IF($Q2403=0,1,INDEX(COA_Mapping!$F$7:$F$256,$Q2403)))</f>
        <v>1</v>
      </c>
      <c r="P2403" s="34" t="str">
        <f aca="false">IF($A2403="","",$I2403*$O2403)</f>
        <v/>
      </c>
      <c r="Q2403" s="39" t="n">
        <f aca="false">IF($B2403="",0,IFERROR(MATCH($B2403,COA_Mapping!$A$7:$A$256,0),0))</f>
        <v>0</v>
      </c>
      <c r="R2403" s="39" t="n">
        <f aca="false">IF($A2403="",-1,IF($J2403=Setup!$B$7,1,IF($J2403=Setup!$B$9,0,-1)))</f>
        <v>-1</v>
      </c>
      <c r="S2403" s="35" t="n">
        <f aca="false">IF(OR($A2403="",$Q2403=0,$R2403=-1),0,$Q2403*1000+$R2403*100+$K2403)</f>
        <v>0</v>
      </c>
      <c r="T2403" s="37" t="str">
        <f aca="false">IF($A2403="","",IF($B2403="","NO ACCOUNT",IF($Q2403=0,"UNMAPPED",IF($R2403=-1,"OUTSIDE FY RANGE","OK"))))</f>
        <v/>
      </c>
      <c r="U2403" s="40" t="str">
        <f aca="false">IF($A2403="","",$B2403&amp;"|"&amp;TEXT($A2403,"yyyymmdd")&amp;"|"&amp;TEXT($I2403,"0.00"))</f>
        <v/>
      </c>
      <c r="V2403" s="35" t="str">
        <f aca="false">IF($A2403="","",COUNTIF($U$8:$U$5007,$U2403))</f>
        <v/>
      </c>
    </row>
    <row r="2404" customFormat="false" ht="15" hidden="false" customHeight="false" outlineLevel="0" collapsed="false">
      <c r="A2404" s="31"/>
      <c r="B2404" s="32"/>
      <c r="C2404" s="32"/>
      <c r="D2404" s="32"/>
      <c r="E2404" s="32"/>
      <c r="F2404" s="32"/>
      <c r="G2404" s="33"/>
      <c r="H2404" s="33"/>
      <c r="I2404" s="34" t="str">
        <f aca="false">IF($A2404="","",$G2404-$H2404)</f>
        <v/>
      </c>
      <c r="J2404" s="35" t="str">
        <f aca="false">IF($A2404="","",IF(Setup!$B$6=1,YEAR($A2404),YEAR($A2404)+IF(MONTH($A2404)&gt;=Setup!$B$6,1,0)))</f>
        <v/>
      </c>
      <c r="K2404" s="35" t="str">
        <f aca="false">IF($A2404="","",MOD(MONTH($A2404)-Setup!$B$6+12,12)+1)</f>
        <v/>
      </c>
      <c r="L2404" s="36" t="str">
        <f aca="false">IF($A2404="","",TEXT($A2404,"MMM-YY"))</f>
        <v/>
      </c>
      <c r="M2404" s="37" t="str">
        <f aca="false">IF($A2404="","",IF($Q2404=0,"UNMAPPED",INDEX(COA_Mapping!$C$7:$C$256,$Q2404)))</f>
        <v/>
      </c>
      <c r="N2404" s="38" t="str">
        <f aca="false">IF($A2404="","",IF($Q2404=0,"",INDEX(COA_Mapping!$E$7:$E$256,$Q2404)))</f>
        <v/>
      </c>
      <c r="O2404" s="38" t="n">
        <f aca="false">IF($A2404="",1,IF($Q2404=0,1,INDEX(COA_Mapping!$F$7:$F$256,$Q2404)))</f>
        <v>1</v>
      </c>
      <c r="P2404" s="34" t="str">
        <f aca="false">IF($A2404="","",$I2404*$O2404)</f>
        <v/>
      </c>
      <c r="Q2404" s="39" t="n">
        <f aca="false">IF($B2404="",0,IFERROR(MATCH($B2404,COA_Mapping!$A$7:$A$256,0),0))</f>
        <v>0</v>
      </c>
      <c r="R2404" s="39" t="n">
        <f aca="false">IF($A2404="",-1,IF($J2404=Setup!$B$7,1,IF($J2404=Setup!$B$9,0,-1)))</f>
        <v>-1</v>
      </c>
      <c r="S2404" s="35" t="n">
        <f aca="false">IF(OR($A2404="",$Q2404=0,$R2404=-1),0,$Q2404*1000+$R2404*100+$K2404)</f>
        <v>0</v>
      </c>
      <c r="T2404" s="37" t="str">
        <f aca="false">IF($A2404="","",IF($B2404="","NO ACCOUNT",IF($Q2404=0,"UNMAPPED",IF($R2404=-1,"OUTSIDE FY RANGE","OK"))))</f>
        <v/>
      </c>
      <c r="U2404" s="40" t="str">
        <f aca="false">IF($A2404="","",$B2404&amp;"|"&amp;TEXT($A2404,"yyyymmdd")&amp;"|"&amp;TEXT($I2404,"0.00"))</f>
        <v/>
      </c>
      <c r="V2404" s="35" t="str">
        <f aca="false">IF($A2404="","",COUNTIF($U$8:$U$5007,$U2404))</f>
        <v/>
      </c>
    </row>
    <row r="2405" customFormat="false" ht="15" hidden="false" customHeight="false" outlineLevel="0" collapsed="false">
      <c r="A2405" s="31"/>
      <c r="B2405" s="32"/>
      <c r="C2405" s="32"/>
      <c r="D2405" s="32"/>
      <c r="E2405" s="32"/>
      <c r="F2405" s="32"/>
      <c r="G2405" s="33"/>
      <c r="H2405" s="33"/>
      <c r="I2405" s="34" t="str">
        <f aca="false">IF($A2405="","",$G2405-$H2405)</f>
        <v/>
      </c>
      <c r="J2405" s="35" t="str">
        <f aca="false">IF($A2405="","",IF(Setup!$B$6=1,YEAR($A2405),YEAR($A2405)+IF(MONTH($A2405)&gt;=Setup!$B$6,1,0)))</f>
        <v/>
      </c>
      <c r="K2405" s="35" t="str">
        <f aca="false">IF($A2405="","",MOD(MONTH($A2405)-Setup!$B$6+12,12)+1)</f>
        <v/>
      </c>
      <c r="L2405" s="36" t="str">
        <f aca="false">IF($A2405="","",TEXT($A2405,"MMM-YY"))</f>
        <v/>
      </c>
      <c r="M2405" s="37" t="str">
        <f aca="false">IF($A2405="","",IF($Q2405=0,"UNMAPPED",INDEX(COA_Mapping!$C$7:$C$256,$Q2405)))</f>
        <v/>
      </c>
      <c r="N2405" s="38" t="str">
        <f aca="false">IF($A2405="","",IF($Q2405=0,"",INDEX(COA_Mapping!$E$7:$E$256,$Q2405)))</f>
        <v/>
      </c>
      <c r="O2405" s="38" t="n">
        <f aca="false">IF($A2405="",1,IF($Q2405=0,1,INDEX(COA_Mapping!$F$7:$F$256,$Q2405)))</f>
        <v>1</v>
      </c>
      <c r="P2405" s="34" t="str">
        <f aca="false">IF($A2405="","",$I2405*$O2405)</f>
        <v/>
      </c>
      <c r="Q2405" s="39" t="n">
        <f aca="false">IF($B2405="",0,IFERROR(MATCH($B2405,COA_Mapping!$A$7:$A$256,0),0))</f>
        <v>0</v>
      </c>
      <c r="R2405" s="39" t="n">
        <f aca="false">IF($A2405="",-1,IF($J2405=Setup!$B$7,1,IF($J2405=Setup!$B$9,0,-1)))</f>
        <v>-1</v>
      </c>
      <c r="S2405" s="35" t="n">
        <f aca="false">IF(OR($A2405="",$Q2405=0,$R2405=-1),0,$Q2405*1000+$R2405*100+$K2405)</f>
        <v>0</v>
      </c>
      <c r="T2405" s="37" t="str">
        <f aca="false">IF($A2405="","",IF($B2405="","NO ACCOUNT",IF($Q2405=0,"UNMAPPED",IF($R2405=-1,"OUTSIDE FY RANGE","OK"))))</f>
        <v/>
      </c>
      <c r="U2405" s="40" t="str">
        <f aca="false">IF($A2405="","",$B2405&amp;"|"&amp;TEXT($A2405,"yyyymmdd")&amp;"|"&amp;TEXT($I2405,"0.00"))</f>
        <v/>
      </c>
      <c r="V2405" s="35" t="str">
        <f aca="false">IF($A2405="","",COUNTIF($U$8:$U$5007,$U2405))</f>
        <v/>
      </c>
    </row>
    <row r="2406" customFormat="false" ht="15" hidden="false" customHeight="false" outlineLevel="0" collapsed="false">
      <c r="A2406" s="31"/>
      <c r="B2406" s="32"/>
      <c r="C2406" s="32"/>
      <c r="D2406" s="32"/>
      <c r="E2406" s="32"/>
      <c r="F2406" s="32"/>
      <c r="G2406" s="33"/>
      <c r="H2406" s="33"/>
      <c r="I2406" s="34" t="str">
        <f aca="false">IF($A2406="","",$G2406-$H2406)</f>
        <v/>
      </c>
      <c r="J2406" s="35" t="str">
        <f aca="false">IF($A2406="","",IF(Setup!$B$6=1,YEAR($A2406),YEAR($A2406)+IF(MONTH($A2406)&gt;=Setup!$B$6,1,0)))</f>
        <v/>
      </c>
      <c r="K2406" s="35" t="str">
        <f aca="false">IF($A2406="","",MOD(MONTH($A2406)-Setup!$B$6+12,12)+1)</f>
        <v/>
      </c>
      <c r="L2406" s="36" t="str">
        <f aca="false">IF($A2406="","",TEXT($A2406,"MMM-YY"))</f>
        <v/>
      </c>
      <c r="M2406" s="37" t="str">
        <f aca="false">IF($A2406="","",IF($Q2406=0,"UNMAPPED",INDEX(COA_Mapping!$C$7:$C$256,$Q2406)))</f>
        <v/>
      </c>
      <c r="N2406" s="38" t="str">
        <f aca="false">IF($A2406="","",IF($Q2406=0,"",INDEX(COA_Mapping!$E$7:$E$256,$Q2406)))</f>
        <v/>
      </c>
      <c r="O2406" s="38" t="n">
        <f aca="false">IF($A2406="",1,IF($Q2406=0,1,INDEX(COA_Mapping!$F$7:$F$256,$Q2406)))</f>
        <v>1</v>
      </c>
      <c r="P2406" s="34" t="str">
        <f aca="false">IF($A2406="","",$I2406*$O2406)</f>
        <v/>
      </c>
      <c r="Q2406" s="39" t="n">
        <f aca="false">IF($B2406="",0,IFERROR(MATCH($B2406,COA_Mapping!$A$7:$A$256,0),0))</f>
        <v>0</v>
      </c>
      <c r="R2406" s="39" t="n">
        <f aca="false">IF($A2406="",-1,IF($J2406=Setup!$B$7,1,IF($J2406=Setup!$B$9,0,-1)))</f>
        <v>-1</v>
      </c>
      <c r="S2406" s="35" t="n">
        <f aca="false">IF(OR($A2406="",$Q2406=0,$R2406=-1),0,$Q2406*1000+$R2406*100+$K2406)</f>
        <v>0</v>
      </c>
      <c r="T2406" s="37" t="str">
        <f aca="false">IF($A2406="","",IF($B2406="","NO ACCOUNT",IF($Q2406=0,"UNMAPPED",IF($R2406=-1,"OUTSIDE FY RANGE","OK"))))</f>
        <v/>
      </c>
      <c r="U2406" s="40" t="str">
        <f aca="false">IF($A2406="","",$B2406&amp;"|"&amp;TEXT($A2406,"yyyymmdd")&amp;"|"&amp;TEXT($I2406,"0.00"))</f>
        <v/>
      </c>
      <c r="V2406" s="35" t="str">
        <f aca="false">IF($A2406="","",COUNTIF($U$8:$U$5007,$U2406))</f>
        <v/>
      </c>
    </row>
    <row r="2407" customFormat="false" ht="15" hidden="false" customHeight="false" outlineLevel="0" collapsed="false">
      <c r="A2407" s="31"/>
      <c r="B2407" s="32"/>
      <c r="C2407" s="32"/>
      <c r="D2407" s="32"/>
      <c r="E2407" s="32"/>
      <c r="F2407" s="32"/>
      <c r="G2407" s="33"/>
      <c r="H2407" s="33"/>
      <c r="I2407" s="34" t="str">
        <f aca="false">IF($A2407="","",$G2407-$H2407)</f>
        <v/>
      </c>
      <c r="J2407" s="35" t="str">
        <f aca="false">IF($A2407="","",IF(Setup!$B$6=1,YEAR($A2407),YEAR($A2407)+IF(MONTH($A2407)&gt;=Setup!$B$6,1,0)))</f>
        <v/>
      </c>
      <c r="K2407" s="35" t="str">
        <f aca="false">IF($A2407="","",MOD(MONTH($A2407)-Setup!$B$6+12,12)+1)</f>
        <v/>
      </c>
      <c r="L2407" s="36" t="str">
        <f aca="false">IF($A2407="","",TEXT($A2407,"MMM-YY"))</f>
        <v/>
      </c>
      <c r="M2407" s="37" t="str">
        <f aca="false">IF($A2407="","",IF($Q2407=0,"UNMAPPED",INDEX(COA_Mapping!$C$7:$C$256,$Q2407)))</f>
        <v/>
      </c>
      <c r="N2407" s="38" t="str">
        <f aca="false">IF($A2407="","",IF($Q2407=0,"",INDEX(COA_Mapping!$E$7:$E$256,$Q2407)))</f>
        <v/>
      </c>
      <c r="O2407" s="38" t="n">
        <f aca="false">IF($A2407="",1,IF($Q2407=0,1,INDEX(COA_Mapping!$F$7:$F$256,$Q2407)))</f>
        <v>1</v>
      </c>
      <c r="P2407" s="34" t="str">
        <f aca="false">IF($A2407="","",$I2407*$O2407)</f>
        <v/>
      </c>
      <c r="Q2407" s="39" t="n">
        <f aca="false">IF($B2407="",0,IFERROR(MATCH($B2407,COA_Mapping!$A$7:$A$256,0),0))</f>
        <v>0</v>
      </c>
      <c r="R2407" s="39" t="n">
        <f aca="false">IF($A2407="",-1,IF($J2407=Setup!$B$7,1,IF($J2407=Setup!$B$9,0,-1)))</f>
        <v>-1</v>
      </c>
      <c r="S2407" s="35" t="n">
        <f aca="false">IF(OR($A2407="",$Q2407=0,$R2407=-1),0,$Q2407*1000+$R2407*100+$K2407)</f>
        <v>0</v>
      </c>
      <c r="T2407" s="37" t="str">
        <f aca="false">IF($A2407="","",IF($B2407="","NO ACCOUNT",IF($Q2407=0,"UNMAPPED",IF($R2407=-1,"OUTSIDE FY RANGE","OK"))))</f>
        <v/>
      </c>
      <c r="U2407" s="40" t="str">
        <f aca="false">IF($A2407="","",$B2407&amp;"|"&amp;TEXT($A2407,"yyyymmdd")&amp;"|"&amp;TEXT($I2407,"0.00"))</f>
        <v/>
      </c>
      <c r="V2407" s="35" t="str">
        <f aca="false">IF($A2407="","",COUNTIF($U$8:$U$5007,$U2407))</f>
        <v/>
      </c>
    </row>
    <row r="2408" customFormat="false" ht="15" hidden="false" customHeight="false" outlineLevel="0" collapsed="false">
      <c r="A2408" s="31"/>
      <c r="B2408" s="32"/>
      <c r="C2408" s="32"/>
      <c r="D2408" s="32"/>
      <c r="E2408" s="32"/>
      <c r="F2408" s="32"/>
      <c r="G2408" s="33"/>
      <c r="H2408" s="33"/>
      <c r="I2408" s="34" t="str">
        <f aca="false">IF($A2408="","",$G2408-$H2408)</f>
        <v/>
      </c>
      <c r="J2408" s="35" t="str">
        <f aca="false">IF($A2408="","",IF(Setup!$B$6=1,YEAR($A2408),YEAR($A2408)+IF(MONTH($A2408)&gt;=Setup!$B$6,1,0)))</f>
        <v/>
      </c>
      <c r="K2408" s="35" t="str">
        <f aca="false">IF($A2408="","",MOD(MONTH($A2408)-Setup!$B$6+12,12)+1)</f>
        <v/>
      </c>
      <c r="L2408" s="36" t="str">
        <f aca="false">IF($A2408="","",TEXT($A2408,"MMM-YY"))</f>
        <v/>
      </c>
      <c r="M2408" s="37" t="str">
        <f aca="false">IF($A2408="","",IF($Q2408=0,"UNMAPPED",INDEX(COA_Mapping!$C$7:$C$256,$Q2408)))</f>
        <v/>
      </c>
      <c r="N2408" s="38" t="str">
        <f aca="false">IF($A2408="","",IF($Q2408=0,"",INDEX(COA_Mapping!$E$7:$E$256,$Q2408)))</f>
        <v/>
      </c>
      <c r="O2408" s="38" t="n">
        <f aca="false">IF($A2408="",1,IF($Q2408=0,1,INDEX(COA_Mapping!$F$7:$F$256,$Q2408)))</f>
        <v>1</v>
      </c>
      <c r="P2408" s="34" t="str">
        <f aca="false">IF($A2408="","",$I2408*$O2408)</f>
        <v/>
      </c>
      <c r="Q2408" s="39" t="n">
        <f aca="false">IF($B2408="",0,IFERROR(MATCH($B2408,COA_Mapping!$A$7:$A$256,0),0))</f>
        <v>0</v>
      </c>
      <c r="R2408" s="39" t="n">
        <f aca="false">IF($A2408="",-1,IF($J2408=Setup!$B$7,1,IF($J2408=Setup!$B$9,0,-1)))</f>
        <v>-1</v>
      </c>
      <c r="S2408" s="35" t="n">
        <f aca="false">IF(OR($A2408="",$Q2408=0,$R2408=-1),0,$Q2408*1000+$R2408*100+$K2408)</f>
        <v>0</v>
      </c>
      <c r="T2408" s="37" t="str">
        <f aca="false">IF($A2408="","",IF($B2408="","NO ACCOUNT",IF($Q2408=0,"UNMAPPED",IF($R2408=-1,"OUTSIDE FY RANGE","OK"))))</f>
        <v/>
      </c>
      <c r="U2408" s="40" t="str">
        <f aca="false">IF($A2408="","",$B2408&amp;"|"&amp;TEXT($A2408,"yyyymmdd")&amp;"|"&amp;TEXT($I2408,"0.00"))</f>
        <v/>
      </c>
      <c r="V2408" s="35" t="str">
        <f aca="false">IF($A2408="","",COUNTIF($U$8:$U$5007,$U2408))</f>
        <v/>
      </c>
    </row>
    <row r="2409" customFormat="false" ht="15" hidden="false" customHeight="false" outlineLevel="0" collapsed="false">
      <c r="A2409" s="31"/>
      <c r="B2409" s="32"/>
      <c r="C2409" s="32"/>
      <c r="D2409" s="32"/>
      <c r="E2409" s="32"/>
      <c r="F2409" s="32"/>
      <c r="G2409" s="33"/>
      <c r="H2409" s="33"/>
      <c r="I2409" s="34" t="str">
        <f aca="false">IF($A2409="","",$G2409-$H2409)</f>
        <v/>
      </c>
      <c r="J2409" s="35" t="str">
        <f aca="false">IF($A2409="","",IF(Setup!$B$6=1,YEAR($A2409),YEAR($A2409)+IF(MONTH($A2409)&gt;=Setup!$B$6,1,0)))</f>
        <v/>
      </c>
      <c r="K2409" s="35" t="str">
        <f aca="false">IF($A2409="","",MOD(MONTH($A2409)-Setup!$B$6+12,12)+1)</f>
        <v/>
      </c>
      <c r="L2409" s="36" t="str">
        <f aca="false">IF($A2409="","",TEXT($A2409,"MMM-YY"))</f>
        <v/>
      </c>
      <c r="M2409" s="37" t="str">
        <f aca="false">IF($A2409="","",IF($Q2409=0,"UNMAPPED",INDEX(COA_Mapping!$C$7:$C$256,$Q2409)))</f>
        <v/>
      </c>
      <c r="N2409" s="38" t="str">
        <f aca="false">IF($A2409="","",IF($Q2409=0,"",INDEX(COA_Mapping!$E$7:$E$256,$Q2409)))</f>
        <v/>
      </c>
      <c r="O2409" s="38" t="n">
        <f aca="false">IF($A2409="",1,IF($Q2409=0,1,INDEX(COA_Mapping!$F$7:$F$256,$Q2409)))</f>
        <v>1</v>
      </c>
      <c r="P2409" s="34" t="str">
        <f aca="false">IF($A2409="","",$I2409*$O2409)</f>
        <v/>
      </c>
      <c r="Q2409" s="39" t="n">
        <f aca="false">IF($B2409="",0,IFERROR(MATCH($B2409,COA_Mapping!$A$7:$A$256,0),0))</f>
        <v>0</v>
      </c>
      <c r="R2409" s="39" t="n">
        <f aca="false">IF($A2409="",-1,IF($J2409=Setup!$B$7,1,IF($J2409=Setup!$B$9,0,-1)))</f>
        <v>-1</v>
      </c>
      <c r="S2409" s="35" t="n">
        <f aca="false">IF(OR($A2409="",$Q2409=0,$R2409=-1),0,$Q2409*1000+$R2409*100+$K2409)</f>
        <v>0</v>
      </c>
      <c r="T2409" s="37" t="str">
        <f aca="false">IF($A2409="","",IF($B2409="","NO ACCOUNT",IF($Q2409=0,"UNMAPPED",IF($R2409=-1,"OUTSIDE FY RANGE","OK"))))</f>
        <v/>
      </c>
      <c r="U2409" s="40" t="str">
        <f aca="false">IF($A2409="","",$B2409&amp;"|"&amp;TEXT($A2409,"yyyymmdd")&amp;"|"&amp;TEXT($I2409,"0.00"))</f>
        <v/>
      </c>
      <c r="V2409" s="35" t="str">
        <f aca="false">IF($A2409="","",COUNTIF($U$8:$U$5007,$U2409))</f>
        <v/>
      </c>
    </row>
    <row r="2410" customFormat="false" ht="15" hidden="false" customHeight="false" outlineLevel="0" collapsed="false">
      <c r="A2410" s="31"/>
      <c r="B2410" s="32"/>
      <c r="C2410" s="32"/>
      <c r="D2410" s="32"/>
      <c r="E2410" s="32"/>
      <c r="F2410" s="32"/>
      <c r="G2410" s="33"/>
      <c r="H2410" s="33"/>
      <c r="I2410" s="34" t="str">
        <f aca="false">IF($A2410="","",$G2410-$H2410)</f>
        <v/>
      </c>
      <c r="J2410" s="35" t="str">
        <f aca="false">IF($A2410="","",IF(Setup!$B$6=1,YEAR($A2410),YEAR($A2410)+IF(MONTH($A2410)&gt;=Setup!$B$6,1,0)))</f>
        <v/>
      </c>
      <c r="K2410" s="35" t="str">
        <f aca="false">IF($A2410="","",MOD(MONTH($A2410)-Setup!$B$6+12,12)+1)</f>
        <v/>
      </c>
      <c r="L2410" s="36" t="str">
        <f aca="false">IF($A2410="","",TEXT($A2410,"MMM-YY"))</f>
        <v/>
      </c>
      <c r="M2410" s="37" t="str">
        <f aca="false">IF($A2410="","",IF($Q2410=0,"UNMAPPED",INDEX(COA_Mapping!$C$7:$C$256,$Q2410)))</f>
        <v/>
      </c>
      <c r="N2410" s="38" t="str">
        <f aca="false">IF($A2410="","",IF($Q2410=0,"",INDEX(COA_Mapping!$E$7:$E$256,$Q2410)))</f>
        <v/>
      </c>
      <c r="O2410" s="38" t="n">
        <f aca="false">IF($A2410="",1,IF($Q2410=0,1,INDEX(COA_Mapping!$F$7:$F$256,$Q2410)))</f>
        <v>1</v>
      </c>
      <c r="P2410" s="34" t="str">
        <f aca="false">IF($A2410="","",$I2410*$O2410)</f>
        <v/>
      </c>
      <c r="Q2410" s="39" t="n">
        <f aca="false">IF($B2410="",0,IFERROR(MATCH($B2410,COA_Mapping!$A$7:$A$256,0),0))</f>
        <v>0</v>
      </c>
      <c r="R2410" s="39" t="n">
        <f aca="false">IF($A2410="",-1,IF($J2410=Setup!$B$7,1,IF($J2410=Setup!$B$9,0,-1)))</f>
        <v>-1</v>
      </c>
      <c r="S2410" s="35" t="n">
        <f aca="false">IF(OR($A2410="",$Q2410=0,$R2410=-1),0,$Q2410*1000+$R2410*100+$K2410)</f>
        <v>0</v>
      </c>
      <c r="T2410" s="37" t="str">
        <f aca="false">IF($A2410="","",IF($B2410="","NO ACCOUNT",IF($Q2410=0,"UNMAPPED",IF($R2410=-1,"OUTSIDE FY RANGE","OK"))))</f>
        <v/>
      </c>
      <c r="U2410" s="40" t="str">
        <f aca="false">IF($A2410="","",$B2410&amp;"|"&amp;TEXT($A2410,"yyyymmdd")&amp;"|"&amp;TEXT($I2410,"0.00"))</f>
        <v/>
      </c>
      <c r="V2410" s="35" t="str">
        <f aca="false">IF($A2410="","",COUNTIF($U$8:$U$5007,$U2410))</f>
        <v/>
      </c>
    </row>
    <row r="2411" customFormat="false" ht="15" hidden="false" customHeight="false" outlineLevel="0" collapsed="false">
      <c r="A2411" s="31"/>
      <c r="B2411" s="32"/>
      <c r="C2411" s="32"/>
      <c r="D2411" s="32"/>
      <c r="E2411" s="32"/>
      <c r="F2411" s="32"/>
      <c r="G2411" s="33"/>
      <c r="H2411" s="33"/>
      <c r="I2411" s="34" t="str">
        <f aca="false">IF($A2411="","",$G2411-$H2411)</f>
        <v/>
      </c>
      <c r="J2411" s="35" t="str">
        <f aca="false">IF($A2411="","",IF(Setup!$B$6=1,YEAR($A2411),YEAR($A2411)+IF(MONTH($A2411)&gt;=Setup!$B$6,1,0)))</f>
        <v/>
      </c>
      <c r="K2411" s="35" t="str">
        <f aca="false">IF($A2411="","",MOD(MONTH($A2411)-Setup!$B$6+12,12)+1)</f>
        <v/>
      </c>
      <c r="L2411" s="36" t="str">
        <f aca="false">IF($A2411="","",TEXT($A2411,"MMM-YY"))</f>
        <v/>
      </c>
      <c r="M2411" s="37" t="str">
        <f aca="false">IF($A2411="","",IF($Q2411=0,"UNMAPPED",INDEX(COA_Mapping!$C$7:$C$256,$Q2411)))</f>
        <v/>
      </c>
      <c r="N2411" s="38" t="str">
        <f aca="false">IF($A2411="","",IF($Q2411=0,"",INDEX(COA_Mapping!$E$7:$E$256,$Q2411)))</f>
        <v/>
      </c>
      <c r="O2411" s="38" t="n">
        <f aca="false">IF($A2411="",1,IF($Q2411=0,1,INDEX(COA_Mapping!$F$7:$F$256,$Q2411)))</f>
        <v>1</v>
      </c>
      <c r="P2411" s="34" t="str">
        <f aca="false">IF($A2411="","",$I2411*$O2411)</f>
        <v/>
      </c>
      <c r="Q2411" s="39" t="n">
        <f aca="false">IF($B2411="",0,IFERROR(MATCH($B2411,COA_Mapping!$A$7:$A$256,0),0))</f>
        <v>0</v>
      </c>
      <c r="R2411" s="39" t="n">
        <f aca="false">IF($A2411="",-1,IF($J2411=Setup!$B$7,1,IF($J2411=Setup!$B$9,0,-1)))</f>
        <v>-1</v>
      </c>
      <c r="S2411" s="35" t="n">
        <f aca="false">IF(OR($A2411="",$Q2411=0,$R2411=-1),0,$Q2411*1000+$R2411*100+$K2411)</f>
        <v>0</v>
      </c>
      <c r="T2411" s="37" t="str">
        <f aca="false">IF($A2411="","",IF($B2411="","NO ACCOUNT",IF($Q2411=0,"UNMAPPED",IF($R2411=-1,"OUTSIDE FY RANGE","OK"))))</f>
        <v/>
      </c>
      <c r="U2411" s="40" t="str">
        <f aca="false">IF($A2411="","",$B2411&amp;"|"&amp;TEXT($A2411,"yyyymmdd")&amp;"|"&amp;TEXT($I2411,"0.00"))</f>
        <v/>
      </c>
      <c r="V2411" s="35" t="str">
        <f aca="false">IF($A2411="","",COUNTIF($U$8:$U$5007,$U2411))</f>
        <v/>
      </c>
    </row>
    <row r="2412" customFormat="false" ht="15" hidden="false" customHeight="false" outlineLevel="0" collapsed="false">
      <c r="A2412" s="31"/>
      <c r="B2412" s="32"/>
      <c r="C2412" s="32"/>
      <c r="D2412" s="32"/>
      <c r="E2412" s="32"/>
      <c r="F2412" s="32"/>
      <c r="G2412" s="33"/>
      <c r="H2412" s="33"/>
      <c r="I2412" s="34" t="str">
        <f aca="false">IF($A2412="","",$G2412-$H2412)</f>
        <v/>
      </c>
      <c r="J2412" s="35" t="str">
        <f aca="false">IF($A2412="","",IF(Setup!$B$6=1,YEAR($A2412),YEAR($A2412)+IF(MONTH($A2412)&gt;=Setup!$B$6,1,0)))</f>
        <v/>
      </c>
      <c r="K2412" s="35" t="str">
        <f aca="false">IF($A2412="","",MOD(MONTH($A2412)-Setup!$B$6+12,12)+1)</f>
        <v/>
      </c>
      <c r="L2412" s="36" t="str">
        <f aca="false">IF($A2412="","",TEXT($A2412,"MMM-YY"))</f>
        <v/>
      </c>
      <c r="M2412" s="37" t="str">
        <f aca="false">IF($A2412="","",IF($Q2412=0,"UNMAPPED",INDEX(COA_Mapping!$C$7:$C$256,$Q2412)))</f>
        <v/>
      </c>
      <c r="N2412" s="38" t="str">
        <f aca="false">IF($A2412="","",IF($Q2412=0,"",INDEX(COA_Mapping!$E$7:$E$256,$Q2412)))</f>
        <v/>
      </c>
      <c r="O2412" s="38" t="n">
        <f aca="false">IF($A2412="",1,IF($Q2412=0,1,INDEX(COA_Mapping!$F$7:$F$256,$Q2412)))</f>
        <v>1</v>
      </c>
      <c r="P2412" s="34" t="str">
        <f aca="false">IF($A2412="","",$I2412*$O2412)</f>
        <v/>
      </c>
      <c r="Q2412" s="39" t="n">
        <f aca="false">IF($B2412="",0,IFERROR(MATCH($B2412,COA_Mapping!$A$7:$A$256,0),0))</f>
        <v>0</v>
      </c>
      <c r="R2412" s="39" t="n">
        <f aca="false">IF($A2412="",-1,IF($J2412=Setup!$B$7,1,IF($J2412=Setup!$B$9,0,-1)))</f>
        <v>-1</v>
      </c>
      <c r="S2412" s="35" t="n">
        <f aca="false">IF(OR($A2412="",$Q2412=0,$R2412=-1),0,$Q2412*1000+$R2412*100+$K2412)</f>
        <v>0</v>
      </c>
      <c r="T2412" s="37" t="str">
        <f aca="false">IF($A2412="","",IF($B2412="","NO ACCOUNT",IF($Q2412=0,"UNMAPPED",IF($R2412=-1,"OUTSIDE FY RANGE","OK"))))</f>
        <v/>
      </c>
      <c r="U2412" s="40" t="str">
        <f aca="false">IF($A2412="","",$B2412&amp;"|"&amp;TEXT($A2412,"yyyymmdd")&amp;"|"&amp;TEXT($I2412,"0.00"))</f>
        <v/>
      </c>
      <c r="V2412" s="35" t="str">
        <f aca="false">IF($A2412="","",COUNTIF($U$8:$U$5007,$U2412))</f>
        <v/>
      </c>
    </row>
    <row r="2413" customFormat="false" ht="15" hidden="false" customHeight="false" outlineLevel="0" collapsed="false">
      <c r="A2413" s="31"/>
      <c r="B2413" s="32"/>
      <c r="C2413" s="32"/>
      <c r="D2413" s="32"/>
      <c r="E2413" s="32"/>
      <c r="F2413" s="32"/>
      <c r="G2413" s="33"/>
      <c r="H2413" s="33"/>
      <c r="I2413" s="34" t="str">
        <f aca="false">IF($A2413="","",$G2413-$H2413)</f>
        <v/>
      </c>
      <c r="J2413" s="35" t="str">
        <f aca="false">IF($A2413="","",IF(Setup!$B$6=1,YEAR($A2413),YEAR($A2413)+IF(MONTH($A2413)&gt;=Setup!$B$6,1,0)))</f>
        <v/>
      </c>
      <c r="K2413" s="35" t="str">
        <f aca="false">IF($A2413="","",MOD(MONTH($A2413)-Setup!$B$6+12,12)+1)</f>
        <v/>
      </c>
      <c r="L2413" s="36" t="str">
        <f aca="false">IF($A2413="","",TEXT($A2413,"MMM-YY"))</f>
        <v/>
      </c>
      <c r="M2413" s="37" t="str">
        <f aca="false">IF($A2413="","",IF($Q2413=0,"UNMAPPED",INDEX(COA_Mapping!$C$7:$C$256,$Q2413)))</f>
        <v/>
      </c>
      <c r="N2413" s="38" t="str">
        <f aca="false">IF($A2413="","",IF($Q2413=0,"",INDEX(COA_Mapping!$E$7:$E$256,$Q2413)))</f>
        <v/>
      </c>
      <c r="O2413" s="38" t="n">
        <f aca="false">IF($A2413="",1,IF($Q2413=0,1,INDEX(COA_Mapping!$F$7:$F$256,$Q2413)))</f>
        <v>1</v>
      </c>
      <c r="P2413" s="34" t="str">
        <f aca="false">IF($A2413="","",$I2413*$O2413)</f>
        <v/>
      </c>
      <c r="Q2413" s="39" t="n">
        <f aca="false">IF($B2413="",0,IFERROR(MATCH($B2413,COA_Mapping!$A$7:$A$256,0),0))</f>
        <v>0</v>
      </c>
      <c r="R2413" s="39" t="n">
        <f aca="false">IF($A2413="",-1,IF($J2413=Setup!$B$7,1,IF($J2413=Setup!$B$9,0,-1)))</f>
        <v>-1</v>
      </c>
      <c r="S2413" s="35" t="n">
        <f aca="false">IF(OR($A2413="",$Q2413=0,$R2413=-1),0,$Q2413*1000+$R2413*100+$K2413)</f>
        <v>0</v>
      </c>
      <c r="T2413" s="37" t="str">
        <f aca="false">IF($A2413="","",IF($B2413="","NO ACCOUNT",IF($Q2413=0,"UNMAPPED",IF($R2413=-1,"OUTSIDE FY RANGE","OK"))))</f>
        <v/>
      </c>
      <c r="U2413" s="40" t="str">
        <f aca="false">IF($A2413="","",$B2413&amp;"|"&amp;TEXT($A2413,"yyyymmdd")&amp;"|"&amp;TEXT($I2413,"0.00"))</f>
        <v/>
      </c>
      <c r="V2413" s="35" t="str">
        <f aca="false">IF($A2413="","",COUNTIF($U$8:$U$5007,$U2413))</f>
        <v/>
      </c>
    </row>
    <row r="2414" customFormat="false" ht="15" hidden="false" customHeight="false" outlineLevel="0" collapsed="false">
      <c r="A2414" s="31"/>
      <c r="B2414" s="32"/>
      <c r="C2414" s="32"/>
      <c r="D2414" s="32"/>
      <c r="E2414" s="32"/>
      <c r="F2414" s="32"/>
      <c r="G2414" s="33"/>
      <c r="H2414" s="33"/>
      <c r="I2414" s="34" t="str">
        <f aca="false">IF($A2414="","",$G2414-$H2414)</f>
        <v/>
      </c>
      <c r="J2414" s="35" t="str">
        <f aca="false">IF($A2414="","",IF(Setup!$B$6=1,YEAR($A2414),YEAR($A2414)+IF(MONTH($A2414)&gt;=Setup!$B$6,1,0)))</f>
        <v/>
      </c>
      <c r="K2414" s="35" t="str">
        <f aca="false">IF($A2414="","",MOD(MONTH($A2414)-Setup!$B$6+12,12)+1)</f>
        <v/>
      </c>
      <c r="L2414" s="36" t="str">
        <f aca="false">IF($A2414="","",TEXT($A2414,"MMM-YY"))</f>
        <v/>
      </c>
      <c r="M2414" s="37" t="str">
        <f aca="false">IF($A2414="","",IF($Q2414=0,"UNMAPPED",INDEX(COA_Mapping!$C$7:$C$256,$Q2414)))</f>
        <v/>
      </c>
      <c r="N2414" s="38" t="str">
        <f aca="false">IF($A2414="","",IF($Q2414=0,"",INDEX(COA_Mapping!$E$7:$E$256,$Q2414)))</f>
        <v/>
      </c>
      <c r="O2414" s="38" t="n">
        <f aca="false">IF($A2414="",1,IF($Q2414=0,1,INDEX(COA_Mapping!$F$7:$F$256,$Q2414)))</f>
        <v>1</v>
      </c>
      <c r="P2414" s="34" t="str">
        <f aca="false">IF($A2414="","",$I2414*$O2414)</f>
        <v/>
      </c>
      <c r="Q2414" s="39" t="n">
        <f aca="false">IF($B2414="",0,IFERROR(MATCH($B2414,COA_Mapping!$A$7:$A$256,0),0))</f>
        <v>0</v>
      </c>
      <c r="R2414" s="39" t="n">
        <f aca="false">IF($A2414="",-1,IF($J2414=Setup!$B$7,1,IF($J2414=Setup!$B$9,0,-1)))</f>
        <v>-1</v>
      </c>
      <c r="S2414" s="35" t="n">
        <f aca="false">IF(OR($A2414="",$Q2414=0,$R2414=-1),0,$Q2414*1000+$R2414*100+$K2414)</f>
        <v>0</v>
      </c>
      <c r="T2414" s="37" t="str">
        <f aca="false">IF($A2414="","",IF($B2414="","NO ACCOUNT",IF($Q2414=0,"UNMAPPED",IF($R2414=-1,"OUTSIDE FY RANGE","OK"))))</f>
        <v/>
      </c>
      <c r="U2414" s="40" t="str">
        <f aca="false">IF($A2414="","",$B2414&amp;"|"&amp;TEXT($A2414,"yyyymmdd")&amp;"|"&amp;TEXT($I2414,"0.00"))</f>
        <v/>
      </c>
      <c r="V2414" s="35" t="str">
        <f aca="false">IF($A2414="","",COUNTIF($U$8:$U$5007,$U2414))</f>
        <v/>
      </c>
    </row>
    <row r="2415" customFormat="false" ht="15" hidden="false" customHeight="false" outlineLevel="0" collapsed="false">
      <c r="A2415" s="31"/>
      <c r="B2415" s="32"/>
      <c r="C2415" s="32"/>
      <c r="D2415" s="32"/>
      <c r="E2415" s="32"/>
      <c r="F2415" s="32"/>
      <c r="G2415" s="33"/>
      <c r="H2415" s="33"/>
      <c r="I2415" s="34" t="str">
        <f aca="false">IF($A2415="","",$G2415-$H2415)</f>
        <v/>
      </c>
      <c r="J2415" s="35" t="str">
        <f aca="false">IF($A2415="","",IF(Setup!$B$6=1,YEAR($A2415),YEAR($A2415)+IF(MONTH($A2415)&gt;=Setup!$B$6,1,0)))</f>
        <v/>
      </c>
      <c r="K2415" s="35" t="str">
        <f aca="false">IF($A2415="","",MOD(MONTH($A2415)-Setup!$B$6+12,12)+1)</f>
        <v/>
      </c>
      <c r="L2415" s="36" t="str">
        <f aca="false">IF($A2415="","",TEXT($A2415,"MMM-YY"))</f>
        <v/>
      </c>
      <c r="M2415" s="37" t="str">
        <f aca="false">IF($A2415="","",IF($Q2415=0,"UNMAPPED",INDEX(COA_Mapping!$C$7:$C$256,$Q2415)))</f>
        <v/>
      </c>
      <c r="N2415" s="38" t="str">
        <f aca="false">IF($A2415="","",IF($Q2415=0,"",INDEX(COA_Mapping!$E$7:$E$256,$Q2415)))</f>
        <v/>
      </c>
      <c r="O2415" s="38" t="n">
        <f aca="false">IF($A2415="",1,IF($Q2415=0,1,INDEX(COA_Mapping!$F$7:$F$256,$Q2415)))</f>
        <v>1</v>
      </c>
      <c r="P2415" s="34" t="str">
        <f aca="false">IF($A2415="","",$I2415*$O2415)</f>
        <v/>
      </c>
      <c r="Q2415" s="39" t="n">
        <f aca="false">IF($B2415="",0,IFERROR(MATCH($B2415,COA_Mapping!$A$7:$A$256,0),0))</f>
        <v>0</v>
      </c>
      <c r="R2415" s="39" t="n">
        <f aca="false">IF($A2415="",-1,IF($J2415=Setup!$B$7,1,IF($J2415=Setup!$B$9,0,-1)))</f>
        <v>-1</v>
      </c>
      <c r="S2415" s="35" t="n">
        <f aca="false">IF(OR($A2415="",$Q2415=0,$R2415=-1),0,$Q2415*1000+$R2415*100+$K2415)</f>
        <v>0</v>
      </c>
      <c r="T2415" s="37" t="str">
        <f aca="false">IF($A2415="","",IF($B2415="","NO ACCOUNT",IF($Q2415=0,"UNMAPPED",IF($R2415=-1,"OUTSIDE FY RANGE","OK"))))</f>
        <v/>
      </c>
      <c r="U2415" s="40" t="str">
        <f aca="false">IF($A2415="","",$B2415&amp;"|"&amp;TEXT($A2415,"yyyymmdd")&amp;"|"&amp;TEXT($I2415,"0.00"))</f>
        <v/>
      </c>
      <c r="V2415" s="35" t="str">
        <f aca="false">IF($A2415="","",COUNTIF($U$8:$U$5007,$U2415))</f>
        <v/>
      </c>
    </row>
    <row r="2416" customFormat="false" ht="15" hidden="false" customHeight="false" outlineLevel="0" collapsed="false">
      <c r="A2416" s="31"/>
      <c r="B2416" s="32"/>
      <c r="C2416" s="32"/>
      <c r="D2416" s="32"/>
      <c r="E2416" s="32"/>
      <c r="F2416" s="32"/>
      <c r="G2416" s="33"/>
      <c r="H2416" s="33"/>
      <c r="I2416" s="34" t="str">
        <f aca="false">IF($A2416="","",$G2416-$H2416)</f>
        <v/>
      </c>
      <c r="J2416" s="35" t="str">
        <f aca="false">IF($A2416="","",IF(Setup!$B$6=1,YEAR($A2416),YEAR($A2416)+IF(MONTH($A2416)&gt;=Setup!$B$6,1,0)))</f>
        <v/>
      </c>
      <c r="K2416" s="35" t="str">
        <f aca="false">IF($A2416="","",MOD(MONTH($A2416)-Setup!$B$6+12,12)+1)</f>
        <v/>
      </c>
      <c r="L2416" s="36" t="str">
        <f aca="false">IF($A2416="","",TEXT($A2416,"MMM-YY"))</f>
        <v/>
      </c>
      <c r="M2416" s="37" t="str">
        <f aca="false">IF($A2416="","",IF($Q2416=0,"UNMAPPED",INDEX(COA_Mapping!$C$7:$C$256,$Q2416)))</f>
        <v/>
      </c>
      <c r="N2416" s="38" t="str">
        <f aca="false">IF($A2416="","",IF($Q2416=0,"",INDEX(COA_Mapping!$E$7:$E$256,$Q2416)))</f>
        <v/>
      </c>
      <c r="O2416" s="38" t="n">
        <f aca="false">IF($A2416="",1,IF($Q2416=0,1,INDEX(COA_Mapping!$F$7:$F$256,$Q2416)))</f>
        <v>1</v>
      </c>
      <c r="P2416" s="34" t="str">
        <f aca="false">IF($A2416="","",$I2416*$O2416)</f>
        <v/>
      </c>
      <c r="Q2416" s="39" t="n">
        <f aca="false">IF($B2416="",0,IFERROR(MATCH($B2416,COA_Mapping!$A$7:$A$256,0),0))</f>
        <v>0</v>
      </c>
      <c r="R2416" s="39" t="n">
        <f aca="false">IF($A2416="",-1,IF($J2416=Setup!$B$7,1,IF($J2416=Setup!$B$9,0,-1)))</f>
        <v>-1</v>
      </c>
      <c r="S2416" s="35" t="n">
        <f aca="false">IF(OR($A2416="",$Q2416=0,$R2416=-1),0,$Q2416*1000+$R2416*100+$K2416)</f>
        <v>0</v>
      </c>
      <c r="T2416" s="37" t="str">
        <f aca="false">IF($A2416="","",IF($B2416="","NO ACCOUNT",IF($Q2416=0,"UNMAPPED",IF($R2416=-1,"OUTSIDE FY RANGE","OK"))))</f>
        <v/>
      </c>
      <c r="U2416" s="40" t="str">
        <f aca="false">IF($A2416="","",$B2416&amp;"|"&amp;TEXT($A2416,"yyyymmdd")&amp;"|"&amp;TEXT($I2416,"0.00"))</f>
        <v/>
      </c>
      <c r="V2416" s="35" t="str">
        <f aca="false">IF($A2416="","",COUNTIF($U$8:$U$5007,$U2416))</f>
        <v/>
      </c>
    </row>
    <row r="2417" customFormat="false" ht="15" hidden="false" customHeight="false" outlineLevel="0" collapsed="false">
      <c r="A2417" s="31"/>
      <c r="B2417" s="32"/>
      <c r="C2417" s="32"/>
      <c r="D2417" s="32"/>
      <c r="E2417" s="32"/>
      <c r="F2417" s="32"/>
      <c r="G2417" s="33"/>
      <c r="H2417" s="33"/>
      <c r="I2417" s="34" t="str">
        <f aca="false">IF($A2417="","",$G2417-$H2417)</f>
        <v/>
      </c>
      <c r="J2417" s="35" t="str">
        <f aca="false">IF($A2417="","",IF(Setup!$B$6=1,YEAR($A2417),YEAR($A2417)+IF(MONTH($A2417)&gt;=Setup!$B$6,1,0)))</f>
        <v/>
      </c>
      <c r="K2417" s="35" t="str">
        <f aca="false">IF($A2417="","",MOD(MONTH($A2417)-Setup!$B$6+12,12)+1)</f>
        <v/>
      </c>
      <c r="L2417" s="36" t="str">
        <f aca="false">IF($A2417="","",TEXT($A2417,"MMM-YY"))</f>
        <v/>
      </c>
      <c r="M2417" s="37" t="str">
        <f aca="false">IF($A2417="","",IF($Q2417=0,"UNMAPPED",INDEX(COA_Mapping!$C$7:$C$256,$Q2417)))</f>
        <v/>
      </c>
      <c r="N2417" s="38" t="str">
        <f aca="false">IF($A2417="","",IF($Q2417=0,"",INDEX(COA_Mapping!$E$7:$E$256,$Q2417)))</f>
        <v/>
      </c>
      <c r="O2417" s="38" t="n">
        <f aca="false">IF($A2417="",1,IF($Q2417=0,1,INDEX(COA_Mapping!$F$7:$F$256,$Q2417)))</f>
        <v>1</v>
      </c>
      <c r="P2417" s="34" t="str">
        <f aca="false">IF($A2417="","",$I2417*$O2417)</f>
        <v/>
      </c>
      <c r="Q2417" s="39" t="n">
        <f aca="false">IF($B2417="",0,IFERROR(MATCH($B2417,COA_Mapping!$A$7:$A$256,0),0))</f>
        <v>0</v>
      </c>
      <c r="R2417" s="39" t="n">
        <f aca="false">IF($A2417="",-1,IF($J2417=Setup!$B$7,1,IF($J2417=Setup!$B$9,0,-1)))</f>
        <v>-1</v>
      </c>
      <c r="S2417" s="35" t="n">
        <f aca="false">IF(OR($A2417="",$Q2417=0,$R2417=-1),0,$Q2417*1000+$R2417*100+$K2417)</f>
        <v>0</v>
      </c>
      <c r="T2417" s="37" t="str">
        <f aca="false">IF($A2417="","",IF($B2417="","NO ACCOUNT",IF($Q2417=0,"UNMAPPED",IF($R2417=-1,"OUTSIDE FY RANGE","OK"))))</f>
        <v/>
      </c>
      <c r="U2417" s="40" t="str">
        <f aca="false">IF($A2417="","",$B2417&amp;"|"&amp;TEXT($A2417,"yyyymmdd")&amp;"|"&amp;TEXT($I2417,"0.00"))</f>
        <v/>
      </c>
      <c r="V2417" s="35" t="str">
        <f aca="false">IF($A2417="","",COUNTIF($U$8:$U$5007,$U2417))</f>
        <v/>
      </c>
    </row>
    <row r="2418" customFormat="false" ht="15" hidden="false" customHeight="false" outlineLevel="0" collapsed="false">
      <c r="A2418" s="31"/>
      <c r="B2418" s="32"/>
      <c r="C2418" s="32"/>
      <c r="D2418" s="32"/>
      <c r="E2418" s="32"/>
      <c r="F2418" s="32"/>
      <c r="G2418" s="33"/>
      <c r="H2418" s="33"/>
      <c r="I2418" s="34" t="str">
        <f aca="false">IF($A2418="","",$G2418-$H2418)</f>
        <v/>
      </c>
      <c r="J2418" s="35" t="str">
        <f aca="false">IF($A2418="","",IF(Setup!$B$6=1,YEAR($A2418),YEAR($A2418)+IF(MONTH($A2418)&gt;=Setup!$B$6,1,0)))</f>
        <v/>
      </c>
      <c r="K2418" s="35" t="str">
        <f aca="false">IF($A2418="","",MOD(MONTH($A2418)-Setup!$B$6+12,12)+1)</f>
        <v/>
      </c>
      <c r="L2418" s="36" t="str">
        <f aca="false">IF($A2418="","",TEXT($A2418,"MMM-YY"))</f>
        <v/>
      </c>
      <c r="M2418" s="37" t="str">
        <f aca="false">IF($A2418="","",IF($Q2418=0,"UNMAPPED",INDEX(COA_Mapping!$C$7:$C$256,$Q2418)))</f>
        <v/>
      </c>
      <c r="N2418" s="38" t="str">
        <f aca="false">IF($A2418="","",IF($Q2418=0,"",INDEX(COA_Mapping!$E$7:$E$256,$Q2418)))</f>
        <v/>
      </c>
      <c r="O2418" s="38" t="n">
        <f aca="false">IF($A2418="",1,IF($Q2418=0,1,INDEX(COA_Mapping!$F$7:$F$256,$Q2418)))</f>
        <v>1</v>
      </c>
      <c r="P2418" s="34" t="str">
        <f aca="false">IF($A2418="","",$I2418*$O2418)</f>
        <v/>
      </c>
      <c r="Q2418" s="39" t="n">
        <f aca="false">IF($B2418="",0,IFERROR(MATCH($B2418,COA_Mapping!$A$7:$A$256,0),0))</f>
        <v>0</v>
      </c>
      <c r="R2418" s="39" t="n">
        <f aca="false">IF($A2418="",-1,IF($J2418=Setup!$B$7,1,IF($J2418=Setup!$B$9,0,-1)))</f>
        <v>-1</v>
      </c>
      <c r="S2418" s="35" t="n">
        <f aca="false">IF(OR($A2418="",$Q2418=0,$R2418=-1),0,$Q2418*1000+$R2418*100+$K2418)</f>
        <v>0</v>
      </c>
      <c r="T2418" s="37" t="str">
        <f aca="false">IF($A2418="","",IF($B2418="","NO ACCOUNT",IF($Q2418=0,"UNMAPPED",IF($R2418=-1,"OUTSIDE FY RANGE","OK"))))</f>
        <v/>
      </c>
      <c r="U2418" s="40" t="str">
        <f aca="false">IF($A2418="","",$B2418&amp;"|"&amp;TEXT($A2418,"yyyymmdd")&amp;"|"&amp;TEXT($I2418,"0.00"))</f>
        <v/>
      </c>
      <c r="V2418" s="35" t="str">
        <f aca="false">IF($A2418="","",COUNTIF($U$8:$U$5007,$U2418))</f>
        <v/>
      </c>
    </row>
    <row r="2419" customFormat="false" ht="15" hidden="false" customHeight="false" outlineLevel="0" collapsed="false">
      <c r="A2419" s="31"/>
      <c r="B2419" s="32"/>
      <c r="C2419" s="32"/>
      <c r="D2419" s="32"/>
      <c r="E2419" s="32"/>
      <c r="F2419" s="32"/>
      <c r="G2419" s="33"/>
      <c r="H2419" s="33"/>
      <c r="I2419" s="34" t="str">
        <f aca="false">IF($A2419="","",$G2419-$H2419)</f>
        <v/>
      </c>
      <c r="J2419" s="35" t="str">
        <f aca="false">IF($A2419="","",IF(Setup!$B$6=1,YEAR($A2419),YEAR($A2419)+IF(MONTH($A2419)&gt;=Setup!$B$6,1,0)))</f>
        <v/>
      </c>
      <c r="K2419" s="35" t="str">
        <f aca="false">IF($A2419="","",MOD(MONTH($A2419)-Setup!$B$6+12,12)+1)</f>
        <v/>
      </c>
      <c r="L2419" s="36" t="str">
        <f aca="false">IF($A2419="","",TEXT($A2419,"MMM-YY"))</f>
        <v/>
      </c>
      <c r="M2419" s="37" t="str">
        <f aca="false">IF($A2419="","",IF($Q2419=0,"UNMAPPED",INDEX(COA_Mapping!$C$7:$C$256,$Q2419)))</f>
        <v/>
      </c>
      <c r="N2419" s="38" t="str">
        <f aca="false">IF($A2419="","",IF($Q2419=0,"",INDEX(COA_Mapping!$E$7:$E$256,$Q2419)))</f>
        <v/>
      </c>
      <c r="O2419" s="38" t="n">
        <f aca="false">IF($A2419="",1,IF($Q2419=0,1,INDEX(COA_Mapping!$F$7:$F$256,$Q2419)))</f>
        <v>1</v>
      </c>
      <c r="P2419" s="34" t="str">
        <f aca="false">IF($A2419="","",$I2419*$O2419)</f>
        <v/>
      </c>
      <c r="Q2419" s="39" t="n">
        <f aca="false">IF($B2419="",0,IFERROR(MATCH($B2419,COA_Mapping!$A$7:$A$256,0),0))</f>
        <v>0</v>
      </c>
      <c r="R2419" s="39" t="n">
        <f aca="false">IF($A2419="",-1,IF($J2419=Setup!$B$7,1,IF($J2419=Setup!$B$9,0,-1)))</f>
        <v>-1</v>
      </c>
      <c r="S2419" s="35" t="n">
        <f aca="false">IF(OR($A2419="",$Q2419=0,$R2419=-1),0,$Q2419*1000+$R2419*100+$K2419)</f>
        <v>0</v>
      </c>
      <c r="T2419" s="37" t="str">
        <f aca="false">IF($A2419="","",IF($B2419="","NO ACCOUNT",IF($Q2419=0,"UNMAPPED",IF($R2419=-1,"OUTSIDE FY RANGE","OK"))))</f>
        <v/>
      </c>
      <c r="U2419" s="40" t="str">
        <f aca="false">IF($A2419="","",$B2419&amp;"|"&amp;TEXT($A2419,"yyyymmdd")&amp;"|"&amp;TEXT($I2419,"0.00"))</f>
        <v/>
      </c>
      <c r="V2419" s="35" t="str">
        <f aca="false">IF($A2419="","",COUNTIF($U$8:$U$5007,$U2419))</f>
        <v/>
      </c>
    </row>
    <row r="2420" customFormat="false" ht="15" hidden="false" customHeight="false" outlineLevel="0" collapsed="false">
      <c r="A2420" s="31"/>
      <c r="B2420" s="32"/>
      <c r="C2420" s="32"/>
      <c r="D2420" s="32"/>
      <c r="E2420" s="32"/>
      <c r="F2420" s="32"/>
      <c r="G2420" s="33"/>
      <c r="H2420" s="33"/>
      <c r="I2420" s="34" t="str">
        <f aca="false">IF($A2420="","",$G2420-$H2420)</f>
        <v/>
      </c>
      <c r="J2420" s="35" t="str">
        <f aca="false">IF($A2420="","",IF(Setup!$B$6=1,YEAR($A2420),YEAR($A2420)+IF(MONTH($A2420)&gt;=Setup!$B$6,1,0)))</f>
        <v/>
      </c>
      <c r="K2420" s="35" t="str">
        <f aca="false">IF($A2420="","",MOD(MONTH($A2420)-Setup!$B$6+12,12)+1)</f>
        <v/>
      </c>
      <c r="L2420" s="36" t="str">
        <f aca="false">IF($A2420="","",TEXT($A2420,"MMM-YY"))</f>
        <v/>
      </c>
      <c r="M2420" s="37" t="str">
        <f aca="false">IF($A2420="","",IF($Q2420=0,"UNMAPPED",INDEX(COA_Mapping!$C$7:$C$256,$Q2420)))</f>
        <v/>
      </c>
      <c r="N2420" s="38" t="str">
        <f aca="false">IF($A2420="","",IF($Q2420=0,"",INDEX(COA_Mapping!$E$7:$E$256,$Q2420)))</f>
        <v/>
      </c>
      <c r="O2420" s="38" t="n">
        <f aca="false">IF($A2420="",1,IF($Q2420=0,1,INDEX(COA_Mapping!$F$7:$F$256,$Q2420)))</f>
        <v>1</v>
      </c>
      <c r="P2420" s="34" t="str">
        <f aca="false">IF($A2420="","",$I2420*$O2420)</f>
        <v/>
      </c>
      <c r="Q2420" s="39" t="n">
        <f aca="false">IF($B2420="",0,IFERROR(MATCH($B2420,COA_Mapping!$A$7:$A$256,0),0))</f>
        <v>0</v>
      </c>
      <c r="R2420" s="39" t="n">
        <f aca="false">IF($A2420="",-1,IF($J2420=Setup!$B$7,1,IF($J2420=Setup!$B$9,0,-1)))</f>
        <v>-1</v>
      </c>
      <c r="S2420" s="35" t="n">
        <f aca="false">IF(OR($A2420="",$Q2420=0,$R2420=-1),0,$Q2420*1000+$R2420*100+$K2420)</f>
        <v>0</v>
      </c>
      <c r="T2420" s="37" t="str">
        <f aca="false">IF($A2420="","",IF($B2420="","NO ACCOUNT",IF($Q2420=0,"UNMAPPED",IF($R2420=-1,"OUTSIDE FY RANGE","OK"))))</f>
        <v/>
      </c>
      <c r="U2420" s="40" t="str">
        <f aca="false">IF($A2420="","",$B2420&amp;"|"&amp;TEXT($A2420,"yyyymmdd")&amp;"|"&amp;TEXT($I2420,"0.00"))</f>
        <v/>
      </c>
      <c r="V2420" s="35" t="str">
        <f aca="false">IF($A2420="","",COUNTIF($U$8:$U$5007,$U2420))</f>
        <v/>
      </c>
    </row>
    <row r="2421" customFormat="false" ht="15" hidden="false" customHeight="false" outlineLevel="0" collapsed="false">
      <c r="A2421" s="31"/>
      <c r="B2421" s="32"/>
      <c r="C2421" s="32"/>
      <c r="D2421" s="32"/>
      <c r="E2421" s="32"/>
      <c r="F2421" s="32"/>
      <c r="G2421" s="33"/>
      <c r="H2421" s="33"/>
      <c r="I2421" s="34" t="str">
        <f aca="false">IF($A2421="","",$G2421-$H2421)</f>
        <v/>
      </c>
      <c r="J2421" s="35" t="str">
        <f aca="false">IF($A2421="","",IF(Setup!$B$6=1,YEAR($A2421),YEAR($A2421)+IF(MONTH($A2421)&gt;=Setup!$B$6,1,0)))</f>
        <v/>
      </c>
      <c r="K2421" s="35" t="str">
        <f aca="false">IF($A2421="","",MOD(MONTH($A2421)-Setup!$B$6+12,12)+1)</f>
        <v/>
      </c>
      <c r="L2421" s="36" t="str">
        <f aca="false">IF($A2421="","",TEXT($A2421,"MMM-YY"))</f>
        <v/>
      </c>
      <c r="M2421" s="37" t="str">
        <f aca="false">IF($A2421="","",IF($Q2421=0,"UNMAPPED",INDEX(COA_Mapping!$C$7:$C$256,$Q2421)))</f>
        <v/>
      </c>
      <c r="N2421" s="38" t="str">
        <f aca="false">IF($A2421="","",IF($Q2421=0,"",INDEX(COA_Mapping!$E$7:$E$256,$Q2421)))</f>
        <v/>
      </c>
      <c r="O2421" s="38" t="n">
        <f aca="false">IF($A2421="",1,IF($Q2421=0,1,INDEX(COA_Mapping!$F$7:$F$256,$Q2421)))</f>
        <v>1</v>
      </c>
      <c r="P2421" s="34" t="str">
        <f aca="false">IF($A2421="","",$I2421*$O2421)</f>
        <v/>
      </c>
      <c r="Q2421" s="39" t="n">
        <f aca="false">IF($B2421="",0,IFERROR(MATCH($B2421,COA_Mapping!$A$7:$A$256,0),0))</f>
        <v>0</v>
      </c>
      <c r="R2421" s="39" t="n">
        <f aca="false">IF($A2421="",-1,IF($J2421=Setup!$B$7,1,IF($J2421=Setup!$B$9,0,-1)))</f>
        <v>-1</v>
      </c>
      <c r="S2421" s="35" t="n">
        <f aca="false">IF(OR($A2421="",$Q2421=0,$R2421=-1),0,$Q2421*1000+$R2421*100+$K2421)</f>
        <v>0</v>
      </c>
      <c r="T2421" s="37" t="str">
        <f aca="false">IF($A2421="","",IF($B2421="","NO ACCOUNT",IF($Q2421=0,"UNMAPPED",IF($R2421=-1,"OUTSIDE FY RANGE","OK"))))</f>
        <v/>
      </c>
      <c r="U2421" s="40" t="str">
        <f aca="false">IF($A2421="","",$B2421&amp;"|"&amp;TEXT($A2421,"yyyymmdd")&amp;"|"&amp;TEXT($I2421,"0.00"))</f>
        <v/>
      </c>
      <c r="V2421" s="35" t="str">
        <f aca="false">IF($A2421="","",COUNTIF($U$8:$U$5007,$U2421))</f>
        <v/>
      </c>
    </row>
    <row r="2422" customFormat="false" ht="15" hidden="false" customHeight="false" outlineLevel="0" collapsed="false">
      <c r="A2422" s="31"/>
      <c r="B2422" s="32"/>
      <c r="C2422" s="32"/>
      <c r="D2422" s="32"/>
      <c r="E2422" s="32"/>
      <c r="F2422" s="32"/>
      <c r="G2422" s="33"/>
      <c r="H2422" s="33"/>
      <c r="I2422" s="34" t="str">
        <f aca="false">IF($A2422="","",$G2422-$H2422)</f>
        <v/>
      </c>
      <c r="J2422" s="35" t="str">
        <f aca="false">IF($A2422="","",IF(Setup!$B$6=1,YEAR($A2422),YEAR($A2422)+IF(MONTH($A2422)&gt;=Setup!$B$6,1,0)))</f>
        <v/>
      </c>
      <c r="K2422" s="35" t="str">
        <f aca="false">IF($A2422="","",MOD(MONTH($A2422)-Setup!$B$6+12,12)+1)</f>
        <v/>
      </c>
      <c r="L2422" s="36" t="str">
        <f aca="false">IF($A2422="","",TEXT($A2422,"MMM-YY"))</f>
        <v/>
      </c>
      <c r="M2422" s="37" t="str">
        <f aca="false">IF($A2422="","",IF($Q2422=0,"UNMAPPED",INDEX(COA_Mapping!$C$7:$C$256,$Q2422)))</f>
        <v/>
      </c>
      <c r="N2422" s="38" t="str">
        <f aca="false">IF($A2422="","",IF($Q2422=0,"",INDEX(COA_Mapping!$E$7:$E$256,$Q2422)))</f>
        <v/>
      </c>
      <c r="O2422" s="38" t="n">
        <f aca="false">IF($A2422="",1,IF($Q2422=0,1,INDEX(COA_Mapping!$F$7:$F$256,$Q2422)))</f>
        <v>1</v>
      </c>
      <c r="P2422" s="34" t="str">
        <f aca="false">IF($A2422="","",$I2422*$O2422)</f>
        <v/>
      </c>
      <c r="Q2422" s="39" t="n">
        <f aca="false">IF($B2422="",0,IFERROR(MATCH($B2422,COA_Mapping!$A$7:$A$256,0),0))</f>
        <v>0</v>
      </c>
      <c r="R2422" s="39" t="n">
        <f aca="false">IF($A2422="",-1,IF($J2422=Setup!$B$7,1,IF($J2422=Setup!$B$9,0,-1)))</f>
        <v>-1</v>
      </c>
      <c r="S2422" s="35" t="n">
        <f aca="false">IF(OR($A2422="",$Q2422=0,$R2422=-1),0,$Q2422*1000+$R2422*100+$K2422)</f>
        <v>0</v>
      </c>
      <c r="T2422" s="37" t="str">
        <f aca="false">IF($A2422="","",IF($B2422="","NO ACCOUNT",IF($Q2422=0,"UNMAPPED",IF($R2422=-1,"OUTSIDE FY RANGE","OK"))))</f>
        <v/>
      </c>
      <c r="U2422" s="40" t="str">
        <f aca="false">IF($A2422="","",$B2422&amp;"|"&amp;TEXT($A2422,"yyyymmdd")&amp;"|"&amp;TEXT($I2422,"0.00"))</f>
        <v/>
      </c>
      <c r="V2422" s="35" t="str">
        <f aca="false">IF($A2422="","",COUNTIF($U$8:$U$5007,$U2422))</f>
        <v/>
      </c>
    </row>
    <row r="2423" customFormat="false" ht="15" hidden="false" customHeight="false" outlineLevel="0" collapsed="false">
      <c r="A2423" s="31"/>
      <c r="B2423" s="32"/>
      <c r="C2423" s="32"/>
      <c r="D2423" s="32"/>
      <c r="E2423" s="32"/>
      <c r="F2423" s="32"/>
      <c r="G2423" s="33"/>
      <c r="H2423" s="33"/>
      <c r="I2423" s="34" t="str">
        <f aca="false">IF($A2423="","",$G2423-$H2423)</f>
        <v/>
      </c>
      <c r="J2423" s="35" t="str">
        <f aca="false">IF($A2423="","",IF(Setup!$B$6=1,YEAR($A2423),YEAR($A2423)+IF(MONTH($A2423)&gt;=Setup!$B$6,1,0)))</f>
        <v/>
      </c>
      <c r="K2423" s="35" t="str">
        <f aca="false">IF($A2423="","",MOD(MONTH($A2423)-Setup!$B$6+12,12)+1)</f>
        <v/>
      </c>
      <c r="L2423" s="36" t="str">
        <f aca="false">IF($A2423="","",TEXT($A2423,"MMM-YY"))</f>
        <v/>
      </c>
      <c r="M2423" s="37" t="str">
        <f aca="false">IF($A2423="","",IF($Q2423=0,"UNMAPPED",INDEX(COA_Mapping!$C$7:$C$256,$Q2423)))</f>
        <v/>
      </c>
      <c r="N2423" s="38" t="str">
        <f aca="false">IF($A2423="","",IF($Q2423=0,"",INDEX(COA_Mapping!$E$7:$E$256,$Q2423)))</f>
        <v/>
      </c>
      <c r="O2423" s="38" t="n">
        <f aca="false">IF($A2423="",1,IF($Q2423=0,1,INDEX(COA_Mapping!$F$7:$F$256,$Q2423)))</f>
        <v>1</v>
      </c>
      <c r="P2423" s="34" t="str">
        <f aca="false">IF($A2423="","",$I2423*$O2423)</f>
        <v/>
      </c>
      <c r="Q2423" s="39" t="n">
        <f aca="false">IF($B2423="",0,IFERROR(MATCH($B2423,COA_Mapping!$A$7:$A$256,0),0))</f>
        <v>0</v>
      </c>
      <c r="R2423" s="39" t="n">
        <f aca="false">IF($A2423="",-1,IF($J2423=Setup!$B$7,1,IF($J2423=Setup!$B$9,0,-1)))</f>
        <v>-1</v>
      </c>
      <c r="S2423" s="35" t="n">
        <f aca="false">IF(OR($A2423="",$Q2423=0,$R2423=-1),0,$Q2423*1000+$R2423*100+$K2423)</f>
        <v>0</v>
      </c>
      <c r="T2423" s="37" t="str">
        <f aca="false">IF($A2423="","",IF($B2423="","NO ACCOUNT",IF($Q2423=0,"UNMAPPED",IF($R2423=-1,"OUTSIDE FY RANGE","OK"))))</f>
        <v/>
      </c>
      <c r="U2423" s="40" t="str">
        <f aca="false">IF($A2423="","",$B2423&amp;"|"&amp;TEXT($A2423,"yyyymmdd")&amp;"|"&amp;TEXT($I2423,"0.00"))</f>
        <v/>
      </c>
      <c r="V2423" s="35" t="str">
        <f aca="false">IF($A2423="","",COUNTIF($U$8:$U$5007,$U2423))</f>
        <v/>
      </c>
    </row>
    <row r="2424" customFormat="false" ht="15" hidden="false" customHeight="false" outlineLevel="0" collapsed="false">
      <c r="A2424" s="31"/>
      <c r="B2424" s="32"/>
      <c r="C2424" s="32"/>
      <c r="D2424" s="32"/>
      <c r="E2424" s="32"/>
      <c r="F2424" s="32"/>
      <c r="G2424" s="33"/>
      <c r="H2424" s="33"/>
      <c r="I2424" s="34" t="str">
        <f aca="false">IF($A2424="","",$G2424-$H2424)</f>
        <v/>
      </c>
      <c r="J2424" s="35" t="str">
        <f aca="false">IF($A2424="","",IF(Setup!$B$6=1,YEAR($A2424),YEAR($A2424)+IF(MONTH($A2424)&gt;=Setup!$B$6,1,0)))</f>
        <v/>
      </c>
      <c r="K2424" s="35" t="str">
        <f aca="false">IF($A2424="","",MOD(MONTH($A2424)-Setup!$B$6+12,12)+1)</f>
        <v/>
      </c>
      <c r="L2424" s="36" t="str">
        <f aca="false">IF($A2424="","",TEXT($A2424,"MMM-YY"))</f>
        <v/>
      </c>
      <c r="M2424" s="37" t="str">
        <f aca="false">IF($A2424="","",IF($Q2424=0,"UNMAPPED",INDEX(COA_Mapping!$C$7:$C$256,$Q2424)))</f>
        <v/>
      </c>
      <c r="N2424" s="38" t="str">
        <f aca="false">IF($A2424="","",IF($Q2424=0,"",INDEX(COA_Mapping!$E$7:$E$256,$Q2424)))</f>
        <v/>
      </c>
      <c r="O2424" s="38" t="n">
        <f aca="false">IF($A2424="",1,IF($Q2424=0,1,INDEX(COA_Mapping!$F$7:$F$256,$Q2424)))</f>
        <v>1</v>
      </c>
      <c r="P2424" s="34" t="str">
        <f aca="false">IF($A2424="","",$I2424*$O2424)</f>
        <v/>
      </c>
      <c r="Q2424" s="39" t="n">
        <f aca="false">IF($B2424="",0,IFERROR(MATCH($B2424,COA_Mapping!$A$7:$A$256,0),0))</f>
        <v>0</v>
      </c>
      <c r="R2424" s="39" t="n">
        <f aca="false">IF($A2424="",-1,IF($J2424=Setup!$B$7,1,IF($J2424=Setup!$B$9,0,-1)))</f>
        <v>-1</v>
      </c>
      <c r="S2424" s="35" t="n">
        <f aca="false">IF(OR($A2424="",$Q2424=0,$R2424=-1),0,$Q2424*1000+$R2424*100+$K2424)</f>
        <v>0</v>
      </c>
      <c r="T2424" s="37" t="str">
        <f aca="false">IF($A2424="","",IF($B2424="","NO ACCOUNT",IF($Q2424=0,"UNMAPPED",IF($R2424=-1,"OUTSIDE FY RANGE","OK"))))</f>
        <v/>
      </c>
      <c r="U2424" s="40" t="str">
        <f aca="false">IF($A2424="","",$B2424&amp;"|"&amp;TEXT($A2424,"yyyymmdd")&amp;"|"&amp;TEXT($I2424,"0.00"))</f>
        <v/>
      </c>
      <c r="V2424" s="35" t="str">
        <f aca="false">IF($A2424="","",COUNTIF($U$8:$U$5007,$U2424))</f>
        <v/>
      </c>
    </row>
    <row r="2425" customFormat="false" ht="15" hidden="false" customHeight="false" outlineLevel="0" collapsed="false">
      <c r="A2425" s="31"/>
      <c r="B2425" s="32"/>
      <c r="C2425" s="32"/>
      <c r="D2425" s="32"/>
      <c r="E2425" s="32"/>
      <c r="F2425" s="32"/>
      <c r="G2425" s="33"/>
      <c r="H2425" s="33"/>
      <c r="I2425" s="34" t="str">
        <f aca="false">IF($A2425="","",$G2425-$H2425)</f>
        <v/>
      </c>
      <c r="J2425" s="35" t="str">
        <f aca="false">IF($A2425="","",IF(Setup!$B$6=1,YEAR($A2425),YEAR($A2425)+IF(MONTH($A2425)&gt;=Setup!$B$6,1,0)))</f>
        <v/>
      </c>
      <c r="K2425" s="35" t="str">
        <f aca="false">IF($A2425="","",MOD(MONTH($A2425)-Setup!$B$6+12,12)+1)</f>
        <v/>
      </c>
      <c r="L2425" s="36" t="str">
        <f aca="false">IF($A2425="","",TEXT($A2425,"MMM-YY"))</f>
        <v/>
      </c>
      <c r="M2425" s="37" t="str">
        <f aca="false">IF($A2425="","",IF($Q2425=0,"UNMAPPED",INDEX(COA_Mapping!$C$7:$C$256,$Q2425)))</f>
        <v/>
      </c>
      <c r="N2425" s="38" t="str">
        <f aca="false">IF($A2425="","",IF($Q2425=0,"",INDEX(COA_Mapping!$E$7:$E$256,$Q2425)))</f>
        <v/>
      </c>
      <c r="O2425" s="38" t="n">
        <f aca="false">IF($A2425="",1,IF($Q2425=0,1,INDEX(COA_Mapping!$F$7:$F$256,$Q2425)))</f>
        <v>1</v>
      </c>
      <c r="P2425" s="34" t="str">
        <f aca="false">IF($A2425="","",$I2425*$O2425)</f>
        <v/>
      </c>
      <c r="Q2425" s="39" t="n">
        <f aca="false">IF($B2425="",0,IFERROR(MATCH($B2425,COA_Mapping!$A$7:$A$256,0),0))</f>
        <v>0</v>
      </c>
      <c r="R2425" s="39" t="n">
        <f aca="false">IF($A2425="",-1,IF($J2425=Setup!$B$7,1,IF($J2425=Setup!$B$9,0,-1)))</f>
        <v>-1</v>
      </c>
      <c r="S2425" s="35" t="n">
        <f aca="false">IF(OR($A2425="",$Q2425=0,$R2425=-1),0,$Q2425*1000+$R2425*100+$K2425)</f>
        <v>0</v>
      </c>
      <c r="T2425" s="37" t="str">
        <f aca="false">IF($A2425="","",IF($B2425="","NO ACCOUNT",IF($Q2425=0,"UNMAPPED",IF($R2425=-1,"OUTSIDE FY RANGE","OK"))))</f>
        <v/>
      </c>
      <c r="U2425" s="40" t="str">
        <f aca="false">IF($A2425="","",$B2425&amp;"|"&amp;TEXT($A2425,"yyyymmdd")&amp;"|"&amp;TEXT($I2425,"0.00"))</f>
        <v/>
      </c>
      <c r="V2425" s="35" t="str">
        <f aca="false">IF($A2425="","",COUNTIF($U$8:$U$5007,$U2425))</f>
        <v/>
      </c>
    </row>
    <row r="2426" customFormat="false" ht="15" hidden="false" customHeight="false" outlineLevel="0" collapsed="false">
      <c r="A2426" s="31"/>
      <c r="B2426" s="32"/>
      <c r="C2426" s="32"/>
      <c r="D2426" s="32"/>
      <c r="E2426" s="32"/>
      <c r="F2426" s="32"/>
      <c r="G2426" s="33"/>
      <c r="H2426" s="33"/>
      <c r="I2426" s="34" t="str">
        <f aca="false">IF($A2426="","",$G2426-$H2426)</f>
        <v/>
      </c>
      <c r="J2426" s="35" t="str">
        <f aca="false">IF($A2426="","",IF(Setup!$B$6=1,YEAR($A2426),YEAR($A2426)+IF(MONTH($A2426)&gt;=Setup!$B$6,1,0)))</f>
        <v/>
      </c>
      <c r="K2426" s="35" t="str">
        <f aca="false">IF($A2426="","",MOD(MONTH($A2426)-Setup!$B$6+12,12)+1)</f>
        <v/>
      </c>
      <c r="L2426" s="36" t="str">
        <f aca="false">IF($A2426="","",TEXT($A2426,"MMM-YY"))</f>
        <v/>
      </c>
      <c r="M2426" s="37" t="str">
        <f aca="false">IF($A2426="","",IF($Q2426=0,"UNMAPPED",INDEX(COA_Mapping!$C$7:$C$256,$Q2426)))</f>
        <v/>
      </c>
      <c r="N2426" s="38" t="str">
        <f aca="false">IF($A2426="","",IF($Q2426=0,"",INDEX(COA_Mapping!$E$7:$E$256,$Q2426)))</f>
        <v/>
      </c>
      <c r="O2426" s="38" t="n">
        <f aca="false">IF($A2426="",1,IF($Q2426=0,1,INDEX(COA_Mapping!$F$7:$F$256,$Q2426)))</f>
        <v>1</v>
      </c>
      <c r="P2426" s="34" t="str">
        <f aca="false">IF($A2426="","",$I2426*$O2426)</f>
        <v/>
      </c>
      <c r="Q2426" s="39" t="n">
        <f aca="false">IF($B2426="",0,IFERROR(MATCH($B2426,COA_Mapping!$A$7:$A$256,0),0))</f>
        <v>0</v>
      </c>
      <c r="R2426" s="39" t="n">
        <f aca="false">IF($A2426="",-1,IF($J2426=Setup!$B$7,1,IF($J2426=Setup!$B$9,0,-1)))</f>
        <v>-1</v>
      </c>
      <c r="S2426" s="35" t="n">
        <f aca="false">IF(OR($A2426="",$Q2426=0,$R2426=-1),0,$Q2426*1000+$R2426*100+$K2426)</f>
        <v>0</v>
      </c>
      <c r="T2426" s="37" t="str">
        <f aca="false">IF($A2426="","",IF($B2426="","NO ACCOUNT",IF($Q2426=0,"UNMAPPED",IF($R2426=-1,"OUTSIDE FY RANGE","OK"))))</f>
        <v/>
      </c>
      <c r="U2426" s="40" t="str">
        <f aca="false">IF($A2426="","",$B2426&amp;"|"&amp;TEXT($A2426,"yyyymmdd")&amp;"|"&amp;TEXT($I2426,"0.00"))</f>
        <v/>
      </c>
      <c r="V2426" s="35" t="str">
        <f aca="false">IF($A2426="","",COUNTIF($U$8:$U$5007,$U2426))</f>
        <v/>
      </c>
    </row>
    <row r="2427" customFormat="false" ht="15" hidden="false" customHeight="false" outlineLevel="0" collapsed="false">
      <c r="A2427" s="31"/>
      <c r="B2427" s="32"/>
      <c r="C2427" s="32"/>
      <c r="D2427" s="32"/>
      <c r="E2427" s="32"/>
      <c r="F2427" s="32"/>
      <c r="G2427" s="33"/>
      <c r="H2427" s="33"/>
      <c r="I2427" s="34" t="str">
        <f aca="false">IF($A2427="","",$G2427-$H2427)</f>
        <v/>
      </c>
      <c r="J2427" s="35" t="str">
        <f aca="false">IF($A2427="","",IF(Setup!$B$6=1,YEAR($A2427),YEAR($A2427)+IF(MONTH($A2427)&gt;=Setup!$B$6,1,0)))</f>
        <v/>
      </c>
      <c r="K2427" s="35" t="str">
        <f aca="false">IF($A2427="","",MOD(MONTH($A2427)-Setup!$B$6+12,12)+1)</f>
        <v/>
      </c>
      <c r="L2427" s="36" t="str">
        <f aca="false">IF($A2427="","",TEXT($A2427,"MMM-YY"))</f>
        <v/>
      </c>
      <c r="M2427" s="37" t="str">
        <f aca="false">IF($A2427="","",IF($Q2427=0,"UNMAPPED",INDEX(COA_Mapping!$C$7:$C$256,$Q2427)))</f>
        <v/>
      </c>
      <c r="N2427" s="38" t="str">
        <f aca="false">IF($A2427="","",IF($Q2427=0,"",INDEX(COA_Mapping!$E$7:$E$256,$Q2427)))</f>
        <v/>
      </c>
      <c r="O2427" s="38" t="n">
        <f aca="false">IF($A2427="",1,IF($Q2427=0,1,INDEX(COA_Mapping!$F$7:$F$256,$Q2427)))</f>
        <v>1</v>
      </c>
      <c r="P2427" s="34" t="str">
        <f aca="false">IF($A2427="","",$I2427*$O2427)</f>
        <v/>
      </c>
      <c r="Q2427" s="39" t="n">
        <f aca="false">IF($B2427="",0,IFERROR(MATCH($B2427,COA_Mapping!$A$7:$A$256,0),0))</f>
        <v>0</v>
      </c>
      <c r="R2427" s="39" t="n">
        <f aca="false">IF($A2427="",-1,IF($J2427=Setup!$B$7,1,IF($J2427=Setup!$B$9,0,-1)))</f>
        <v>-1</v>
      </c>
      <c r="S2427" s="35" t="n">
        <f aca="false">IF(OR($A2427="",$Q2427=0,$R2427=-1),0,$Q2427*1000+$R2427*100+$K2427)</f>
        <v>0</v>
      </c>
      <c r="T2427" s="37" t="str">
        <f aca="false">IF($A2427="","",IF($B2427="","NO ACCOUNT",IF($Q2427=0,"UNMAPPED",IF($R2427=-1,"OUTSIDE FY RANGE","OK"))))</f>
        <v/>
      </c>
      <c r="U2427" s="40" t="str">
        <f aca="false">IF($A2427="","",$B2427&amp;"|"&amp;TEXT($A2427,"yyyymmdd")&amp;"|"&amp;TEXT($I2427,"0.00"))</f>
        <v/>
      </c>
      <c r="V2427" s="35" t="str">
        <f aca="false">IF($A2427="","",COUNTIF($U$8:$U$5007,$U2427))</f>
        <v/>
      </c>
    </row>
    <row r="2428" customFormat="false" ht="15" hidden="false" customHeight="false" outlineLevel="0" collapsed="false">
      <c r="A2428" s="31"/>
      <c r="B2428" s="32"/>
      <c r="C2428" s="32"/>
      <c r="D2428" s="32"/>
      <c r="E2428" s="32"/>
      <c r="F2428" s="32"/>
      <c r="G2428" s="33"/>
      <c r="H2428" s="33"/>
      <c r="I2428" s="34" t="str">
        <f aca="false">IF($A2428="","",$G2428-$H2428)</f>
        <v/>
      </c>
      <c r="J2428" s="35" t="str">
        <f aca="false">IF($A2428="","",IF(Setup!$B$6=1,YEAR($A2428),YEAR($A2428)+IF(MONTH($A2428)&gt;=Setup!$B$6,1,0)))</f>
        <v/>
      </c>
      <c r="K2428" s="35" t="str">
        <f aca="false">IF($A2428="","",MOD(MONTH($A2428)-Setup!$B$6+12,12)+1)</f>
        <v/>
      </c>
      <c r="L2428" s="36" t="str">
        <f aca="false">IF($A2428="","",TEXT($A2428,"MMM-YY"))</f>
        <v/>
      </c>
      <c r="M2428" s="37" t="str">
        <f aca="false">IF($A2428="","",IF($Q2428=0,"UNMAPPED",INDEX(COA_Mapping!$C$7:$C$256,$Q2428)))</f>
        <v/>
      </c>
      <c r="N2428" s="38" t="str">
        <f aca="false">IF($A2428="","",IF($Q2428=0,"",INDEX(COA_Mapping!$E$7:$E$256,$Q2428)))</f>
        <v/>
      </c>
      <c r="O2428" s="38" t="n">
        <f aca="false">IF($A2428="",1,IF($Q2428=0,1,INDEX(COA_Mapping!$F$7:$F$256,$Q2428)))</f>
        <v>1</v>
      </c>
      <c r="P2428" s="34" t="str">
        <f aca="false">IF($A2428="","",$I2428*$O2428)</f>
        <v/>
      </c>
      <c r="Q2428" s="39" t="n">
        <f aca="false">IF($B2428="",0,IFERROR(MATCH($B2428,COA_Mapping!$A$7:$A$256,0),0))</f>
        <v>0</v>
      </c>
      <c r="R2428" s="39" t="n">
        <f aca="false">IF($A2428="",-1,IF($J2428=Setup!$B$7,1,IF($J2428=Setup!$B$9,0,-1)))</f>
        <v>-1</v>
      </c>
      <c r="S2428" s="35" t="n">
        <f aca="false">IF(OR($A2428="",$Q2428=0,$R2428=-1),0,$Q2428*1000+$R2428*100+$K2428)</f>
        <v>0</v>
      </c>
      <c r="T2428" s="37" t="str">
        <f aca="false">IF($A2428="","",IF($B2428="","NO ACCOUNT",IF($Q2428=0,"UNMAPPED",IF($R2428=-1,"OUTSIDE FY RANGE","OK"))))</f>
        <v/>
      </c>
      <c r="U2428" s="40" t="str">
        <f aca="false">IF($A2428="","",$B2428&amp;"|"&amp;TEXT($A2428,"yyyymmdd")&amp;"|"&amp;TEXT($I2428,"0.00"))</f>
        <v/>
      </c>
      <c r="V2428" s="35" t="str">
        <f aca="false">IF($A2428="","",COUNTIF($U$8:$U$5007,$U2428))</f>
        <v/>
      </c>
    </row>
    <row r="2429" customFormat="false" ht="15" hidden="false" customHeight="false" outlineLevel="0" collapsed="false">
      <c r="A2429" s="31"/>
      <c r="B2429" s="32"/>
      <c r="C2429" s="32"/>
      <c r="D2429" s="32"/>
      <c r="E2429" s="32"/>
      <c r="F2429" s="32"/>
      <c r="G2429" s="33"/>
      <c r="H2429" s="33"/>
      <c r="I2429" s="34" t="str">
        <f aca="false">IF($A2429="","",$G2429-$H2429)</f>
        <v/>
      </c>
      <c r="J2429" s="35" t="str">
        <f aca="false">IF($A2429="","",IF(Setup!$B$6=1,YEAR($A2429),YEAR($A2429)+IF(MONTH($A2429)&gt;=Setup!$B$6,1,0)))</f>
        <v/>
      </c>
      <c r="K2429" s="35" t="str">
        <f aca="false">IF($A2429="","",MOD(MONTH($A2429)-Setup!$B$6+12,12)+1)</f>
        <v/>
      </c>
      <c r="L2429" s="36" t="str">
        <f aca="false">IF($A2429="","",TEXT($A2429,"MMM-YY"))</f>
        <v/>
      </c>
      <c r="M2429" s="37" t="str">
        <f aca="false">IF($A2429="","",IF($Q2429=0,"UNMAPPED",INDEX(COA_Mapping!$C$7:$C$256,$Q2429)))</f>
        <v/>
      </c>
      <c r="N2429" s="38" t="str">
        <f aca="false">IF($A2429="","",IF($Q2429=0,"",INDEX(COA_Mapping!$E$7:$E$256,$Q2429)))</f>
        <v/>
      </c>
      <c r="O2429" s="38" t="n">
        <f aca="false">IF($A2429="",1,IF($Q2429=0,1,INDEX(COA_Mapping!$F$7:$F$256,$Q2429)))</f>
        <v>1</v>
      </c>
      <c r="P2429" s="34" t="str">
        <f aca="false">IF($A2429="","",$I2429*$O2429)</f>
        <v/>
      </c>
      <c r="Q2429" s="39" t="n">
        <f aca="false">IF($B2429="",0,IFERROR(MATCH($B2429,COA_Mapping!$A$7:$A$256,0),0))</f>
        <v>0</v>
      </c>
      <c r="R2429" s="39" t="n">
        <f aca="false">IF($A2429="",-1,IF($J2429=Setup!$B$7,1,IF($J2429=Setup!$B$9,0,-1)))</f>
        <v>-1</v>
      </c>
      <c r="S2429" s="35" t="n">
        <f aca="false">IF(OR($A2429="",$Q2429=0,$R2429=-1),0,$Q2429*1000+$R2429*100+$K2429)</f>
        <v>0</v>
      </c>
      <c r="T2429" s="37" t="str">
        <f aca="false">IF($A2429="","",IF($B2429="","NO ACCOUNT",IF($Q2429=0,"UNMAPPED",IF($R2429=-1,"OUTSIDE FY RANGE","OK"))))</f>
        <v/>
      </c>
      <c r="U2429" s="40" t="str">
        <f aca="false">IF($A2429="","",$B2429&amp;"|"&amp;TEXT($A2429,"yyyymmdd")&amp;"|"&amp;TEXT($I2429,"0.00"))</f>
        <v/>
      </c>
      <c r="V2429" s="35" t="str">
        <f aca="false">IF($A2429="","",COUNTIF($U$8:$U$5007,$U2429))</f>
        <v/>
      </c>
    </row>
    <row r="2430" customFormat="false" ht="15" hidden="false" customHeight="false" outlineLevel="0" collapsed="false">
      <c r="A2430" s="31"/>
      <c r="B2430" s="32"/>
      <c r="C2430" s="32"/>
      <c r="D2430" s="32"/>
      <c r="E2430" s="32"/>
      <c r="F2430" s="32"/>
      <c r="G2430" s="33"/>
      <c r="H2430" s="33"/>
      <c r="I2430" s="34" t="str">
        <f aca="false">IF($A2430="","",$G2430-$H2430)</f>
        <v/>
      </c>
      <c r="J2430" s="35" t="str">
        <f aca="false">IF($A2430="","",IF(Setup!$B$6=1,YEAR($A2430),YEAR($A2430)+IF(MONTH($A2430)&gt;=Setup!$B$6,1,0)))</f>
        <v/>
      </c>
      <c r="K2430" s="35" t="str">
        <f aca="false">IF($A2430="","",MOD(MONTH($A2430)-Setup!$B$6+12,12)+1)</f>
        <v/>
      </c>
      <c r="L2430" s="36" t="str">
        <f aca="false">IF($A2430="","",TEXT($A2430,"MMM-YY"))</f>
        <v/>
      </c>
      <c r="M2430" s="37" t="str">
        <f aca="false">IF($A2430="","",IF($Q2430=0,"UNMAPPED",INDEX(COA_Mapping!$C$7:$C$256,$Q2430)))</f>
        <v/>
      </c>
      <c r="N2430" s="38" t="str">
        <f aca="false">IF($A2430="","",IF($Q2430=0,"",INDEX(COA_Mapping!$E$7:$E$256,$Q2430)))</f>
        <v/>
      </c>
      <c r="O2430" s="38" t="n">
        <f aca="false">IF($A2430="",1,IF($Q2430=0,1,INDEX(COA_Mapping!$F$7:$F$256,$Q2430)))</f>
        <v>1</v>
      </c>
      <c r="P2430" s="34" t="str">
        <f aca="false">IF($A2430="","",$I2430*$O2430)</f>
        <v/>
      </c>
      <c r="Q2430" s="39" t="n">
        <f aca="false">IF($B2430="",0,IFERROR(MATCH($B2430,COA_Mapping!$A$7:$A$256,0),0))</f>
        <v>0</v>
      </c>
      <c r="R2430" s="39" t="n">
        <f aca="false">IF($A2430="",-1,IF($J2430=Setup!$B$7,1,IF($J2430=Setup!$B$9,0,-1)))</f>
        <v>-1</v>
      </c>
      <c r="S2430" s="35" t="n">
        <f aca="false">IF(OR($A2430="",$Q2430=0,$R2430=-1),0,$Q2430*1000+$R2430*100+$K2430)</f>
        <v>0</v>
      </c>
      <c r="T2430" s="37" t="str">
        <f aca="false">IF($A2430="","",IF($B2430="","NO ACCOUNT",IF($Q2430=0,"UNMAPPED",IF($R2430=-1,"OUTSIDE FY RANGE","OK"))))</f>
        <v/>
      </c>
      <c r="U2430" s="40" t="str">
        <f aca="false">IF($A2430="","",$B2430&amp;"|"&amp;TEXT($A2430,"yyyymmdd")&amp;"|"&amp;TEXT($I2430,"0.00"))</f>
        <v/>
      </c>
      <c r="V2430" s="35" t="str">
        <f aca="false">IF($A2430="","",COUNTIF($U$8:$U$5007,$U2430))</f>
        <v/>
      </c>
    </row>
    <row r="2431" customFormat="false" ht="15" hidden="false" customHeight="false" outlineLevel="0" collapsed="false">
      <c r="A2431" s="31"/>
      <c r="B2431" s="32"/>
      <c r="C2431" s="32"/>
      <c r="D2431" s="32"/>
      <c r="E2431" s="32"/>
      <c r="F2431" s="32"/>
      <c r="G2431" s="33"/>
      <c r="H2431" s="33"/>
      <c r="I2431" s="34" t="str">
        <f aca="false">IF($A2431="","",$G2431-$H2431)</f>
        <v/>
      </c>
      <c r="J2431" s="35" t="str">
        <f aca="false">IF($A2431="","",IF(Setup!$B$6=1,YEAR($A2431),YEAR($A2431)+IF(MONTH($A2431)&gt;=Setup!$B$6,1,0)))</f>
        <v/>
      </c>
      <c r="K2431" s="35" t="str">
        <f aca="false">IF($A2431="","",MOD(MONTH($A2431)-Setup!$B$6+12,12)+1)</f>
        <v/>
      </c>
      <c r="L2431" s="36" t="str">
        <f aca="false">IF($A2431="","",TEXT($A2431,"MMM-YY"))</f>
        <v/>
      </c>
      <c r="M2431" s="37" t="str">
        <f aca="false">IF($A2431="","",IF($Q2431=0,"UNMAPPED",INDEX(COA_Mapping!$C$7:$C$256,$Q2431)))</f>
        <v/>
      </c>
      <c r="N2431" s="38" t="str">
        <f aca="false">IF($A2431="","",IF($Q2431=0,"",INDEX(COA_Mapping!$E$7:$E$256,$Q2431)))</f>
        <v/>
      </c>
      <c r="O2431" s="38" t="n">
        <f aca="false">IF($A2431="",1,IF($Q2431=0,1,INDEX(COA_Mapping!$F$7:$F$256,$Q2431)))</f>
        <v>1</v>
      </c>
      <c r="P2431" s="34" t="str">
        <f aca="false">IF($A2431="","",$I2431*$O2431)</f>
        <v/>
      </c>
      <c r="Q2431" s="39" t="n">
        <f aca="false">IF($B2431="",0,IFERROR(MATCH($B2431,COA_Mapping!$A$7:$A$256,0),0))</f>
        <v>0</v>
      </c>
      <c r="R2431" s="39" t="n">
        <f aca="false">IF($A2431="",-1,IF($J2431=Setup!$B$7,1,IF($J2431=Setup!$B$9,0,-1)))</f>
        <v>-1</v>
      </c>
      <c r="S2431" s="35" t="n">
        <f aca="false">IF(OR($A2431="",$Q2431=0,$R2431=-1),0,$Q2431*1000+$R2431*100+$K2431)</f>
        <v>0</v>
      </c>
      <c r="T2431" s="37" t="str">
        <f aca="false">IF($A2431="","",IF($B2431="","NO ACCOUNT",IF($Q2431=0,"UNMAPPED",IF($R2431=-1,"OUTSIDE FY RANGE","OK"))))</f>
        <v/>
      </c>
      <c r="U2431" s="40" t="str">
        <f aca="false">IF($A2431="","",$B2431&amp;"|"&amp;TEXT($A2431,"yyyymmdd")&amp;"|"&amp;TEXT($I2431,"0.00"))</f>
        <v/>
      </c>
      <c r="V2431" s="35" t="str">
        <f aca="false">IF($A2431="","",COUNTIF($U$8:$U$5007,$U2431))</f>
        <v/>
      </c>
    </row>
    <row r="2432" customFormat="false" ht="15" hidden="false" customHeight="false" outlineLevel="0" collapsed="false">
      <c r="A2432" s="31"/>
      <c r="B2432" s="32"/>
      <c r="C2432" s="32"/>
      <c r="D2432" s="32"/>
      <c r="E2432" s="32"/>
      <c r="F2432" s="32"/>
      <c r="G2432" s="33"/>
      <c r="H2432" s="33"/>
      <c r="I2432" s="34" t="str">
        <f aca="false">IF($A2432="","",$G2432-$H2432)</f>
        <v/>
      </c>
      <c r="J2432" s="35" t="str">
        <f aca="false">IF($A2432="","",IF(Setup!$B$6=1,YEAR($A2432),YEAR($A2432)+IF(MONTH($A2432)&gt;=Setup!$B$6,1,0)))</f>
        <v/>
      </c>
      <c r="K2432" s="35" t="str">
        <f aca="false">IF($A2432="","",MOD(MONTH($A2432)-Setup!$B$6+12,12)+1)</f>
        <v/>
      </c>
      <c r="L2432" s="36" t="str">
        <f aca="false">IF($A2432="","",TEXT($A2432,"MMM-YY"))</f>
        <v/>
      </c>
      <c r="M2432" s="37" t="str">
        <f aca="false">IF($A2432="","",IF($Q2432=0,"UNMAPPED",INDEX(COA_Mapping!$C$7:$C$256,$Q2432)))</f>
        <v/>
      </c>
      <c r="N2432" s="38" t="str">
        <f aca="false">IF($A2432="","",IF($Q2432=0,"",INDEX(COA_Mapping!$E$7:$E$256,$Q2432)))</f>
        <v/>
      </c>
      <c r="O2432" s="38" t="n">
        <f aca="false">IF($A2432="",1,IF($Q2432=0,1,INDEX(COA_Mapping!$F$7:$F$256,$Q2432)))</f>
        <v>1</v>
      </c>
      <c r="P2432" s="34" t="str">
        <f aca="false">IF($A2432="","",$I2432*$O2432)</f>
        <v/>
      </c>
      <c r="Q2432" s="39" t="n">
        <f aca="false">IF($B2432="",0,IFERROR(MATCH($B2432,COA_Mapping!$A$7:$A$256,0),0))</f>
        <v>0</v>
      </c>
      <c r="R2432" s="39" t="n">
        <f aca="false">IF($A2432="",-1,IF($J2432=Setup!$B$7,1,IF($J2432=Setup!$B$9,0,-1)))</f>
        <v>-1</v>
      </c>
      <c r="S2432" s="35" t="n">
        <f aca="false">IF(OR($A2432="",$Q2432=0,$R2432=-1),0,$Q2432*1000+$R2432*100+$K2432)</f>
        <v>0</v>
      </c>
      <c r="T2432" s="37" t="str">
        <f aca="false">IF($A2432="","",IF($B2432="","NO ACCOUNT",IF($Q2432=0,"UNMAPPED",IF($R2432=-1,"OUTSIDE FY RANGE","OK"))))</f>
        <v/>
      </c>
      <c r="U2432" s="40" t="str">
        <f aca="false">IF($A2432="","",$B2432&amp;"|"&amp;TEXT($A2432,"yyyymmdd")&amp;"|"&amp;TEXT($I2432,"0.00"))</f>
        <v/>
      </c>
      <c r="V2432" s="35" t="str">
        <f aca="false">IF($A2432="","",COUNTIF($U$8:$U$5007,$U2432))</f>
        <v/>
      </c>
    </row>
    <row r="2433" customFormat="false" ht="15" hidden="false" customHeight="false" outlineLevel="0" collapsed="false">
      <c r="A2433" s="31"/>
      <c r="B2433" s="32"/>
      <c r="C2433" s="32"/>
      <c r="D2433" s="32"/>
      <c r="E2433" s="32"/>
      <c r="F2433" s="32"/>
      <c r="G2433" s="33"/>
      <c r="H2433" s="33"/>
      <c r="I2433" s="34" t="str">
        <f aca="false">IF($A2433="","",$G2433-$H2433)</f>
        <v/>
      </c>
      <c r="J2433" s="35" t="str">
        <f aca="false">IF($A2433="","",IF(Setup!$B$6=1,YEAR($A2433),YEAR($A2433)+IF(MONTH($A2433)&gt;=Setup!$B$6,1,0)))</f>
        <v/>
      </c>
      <c r="K2433" s="35" t="str">
        <f aca="false">IF($A2433="","",MOD(MONTH($A2433)-Setup!$B$6+12,12)+1)</f>
        <v/>
      </c>
      <c r="L2433" s="36" t="str">
        <f aca="false">IF($A2433="","",TEXT($A2433,"MMM-YY"))</f>
        <v/>
      </c>
      <c r="M2433" s="37" t="str">
        <f aca="false">IF($A2433="","",IF($Q2433=0,"UNMAPPED",INDEX(COA_Mapping!$C$7:$C$256,$Q2433)))</f>
        <v/>
      </c>
      <c r="N2433" s="38" t="str">
        <f aca="false">IF($A2433="","",IF($Q2433=0,"",INDEX(COA_Mapping!$E$7:$E$256,$Q2433)))</f>
        <v/>
      </c>
      <c r="O2433" s="38" t="n">
        <f aca="false">IF($A2433="",1,IF($Q2433=0,1,INDEX(COA_Mapping!$F$7:$F$256,$Q2433)))</f>
        <v>1</v>
      </c>
      <c r="P2433" s="34" t="str">
        <f aca="false">IF($A2433="","",$I2433*$O2433)</f>
        <v/>
      </c>
      <c r="Q2433" s="39" t="n">
        <f aca="false">IF($B2433="",0,IFERROR(MATCH($B2433,COA_Mapping!$A$7:$A$256,0),0))</f>
        <v>0</v>
      </c>
      <c r="R2433" s="39" t="n">
        <f aca="false">IF($A2433="",-1,IF($J2433=Setup!$B$7,1,IF($J2433=Setup!$B$9,0,-1)))</f>
        <v>-1</v>
      </c>
      <c r="S2433" s="35" t="n">
        <f aca="false">IF(OR($A2433="",$Q2433=0,$R2433=-1),0,$Q2433*1000+$R2433*100+$K2433)</f>
        <v>0</v>
      </c>
      <c r="T2433" s="37" t="str">
        <f aca="false">IF($A2433="","",IF($B2433="","NO ACCOUNT",IF($Q2433=0,"UNMAPPED",IF($R2433=-1,"OUTSIDE FY RANGE","OK"))))</f>
        <v/>
      </c>
      <c r="U2433" s="40" t="str">
        <f aca="false">IF($A2433="","",$B2433&amp;"|"&amp;TEXT($A2433,"yyyymmdd")&amp;"|"&amp;TEXT($I2433,"0.00"))</f>
        <v/>
      </c>
      <c r="V2433" s="35" t="str">
        <f aca="false">IF($A2433="","",COUNTIF($U$8:$U$5007,$U2433))</f>
        <v/>
      </c>
    </row>
    <row r="2434" customFormat="false" ht="15" hidden="false" customHeight="false" outlineLevel="0" collapsed="false">
      <c r="A2434" s="31"/>
      <c r="B2434" s="32"/>
      <c r="C2434" s="32"/>
      <c r="D2434" s="32"/>
      <c r="E2434" s="32"/>
      <c r="F2434" s="32"/>
      <c r="G2434" s="33"/>
      <c r="H2434" s="33"/>
      <c r="I2434" s="34" t="str">
        <f aca="false">IF($A2434="","",$G2434-$H2434)</f>
        <v/>
      </c>
      <c r="J2434" s="35" t="str">
        <f aca="false">IF($A2434="","",IF(Setup!$B$6=1,YEAR($A2434),YEAR($A2434)+IF(MONTH($A2434)&gt;=Setup!$B$6,1,0)))</f>
        <v/>
      </c>
      <c r="K2434" s="35" t="str">
        <f aca="false">IF($A2434="","",MOD(MONTH($A2434)-Setup!$B$6+12,12)+1)</f>
        <v/>
      </c>
      <c r="L2434" s="36" t="str">
        <f aca="false">IF($A2434="","",TEXT($A2434,"MMM-YY"))</f>
        <v/>
      </c>
      <c r="M2434" s="37" t="str">
        <f aca="false">IF($A2434="","",IF($Q2434=0,"UNMAPPED",INDEX(COA_Mapping!$C$7:$C$256,$Q2434)))</f>
        <v/>
      </c>
      <c r="N2434" s="38" t="str">
        <f aca="false">IF($A2434="","",IF($Q2434=0,"",INDEX(COA_Mapping!$E$7:$E$256,$Q2434)))</f>
        <v/>
      </c>
      <c r="O2434" s="38" t="n">
        <f aca="false">IF($A2434="",1,IF($Q2434=0,1,INDEX(COA_Mapping!$F$7:$F$256,$Q2434)))</f>
        <v>1</v>
      </c>
      <c r="P2434" s="34" t="str">
        <f aca="false">IF($A2434="","",$I2434*$O2434)</f>
        <v/>
      </c>
      <c r="Q2434" s="39" t="n">
        <f aca="false">IF($B2434="",0,IFERROR(MATCH($B2434,COA_Mapping!$A$7:$A$256,0),0))</f>
        <v>0</v>
      </c>
      <c r="R2434" s="39" t="n">
        <f aca="false">IF($A2434="",-1,IF($J2434=Setup!$B$7,1,IF($J2434=Setup!$B$9,0,-1)))</f>
        <v>-1</v>
      </c>
      <c r="S2434" s="35" t="n">
        <f aca="false">IF(OR($A2434="",$Q2434=0,$R2434=-1),0,$Q2434*1000+$R2434*100+$K2434)</f>
        <v>0</v>
      </c>
      <c r="T2434" s="37" t="str">
        <f aca="false">IF($A2434="","",IF($B2434="","NO ACCOUNT",IF($Q2434=0,"UNMAPPED",IF($R2434=-1,"OUTSIDE FY RANGE","OK"))))</f>
        <v/>
      </c>
      <c r="U2434" s="40" t="str">
        <f aca="false">IF($A2434="","",$B2434&amp;"|"&amp;TEXT($A2434,"yyyymmdd")&amp;"|"&amp;TEXT($I2434,"0.00"))</f>
        <v/>
      </c>
      <c r="V2434" s="35" t="str">
        <f aca="false">IF($A2434="","",COUNTIF($U$8:$U$5007,$U2434))</f>
        <v/>
      </c>
    </row>
    <row r="2435" customFormat="false" ht="15" hidden="false" customHeight="false" outlineLevel="0" collapsed="false">
      <c r="A2435" s="31"/>
      <c r="B2435" s="32"/>
      <c r="C2435" s="32"/>
      <c r="D2435" s="32"/>
      <c r="E2435" s="32"/>
      <c r="F2435" s="32"/>
      <c r="G2435" s="33"/>
      <c r="H2435" s="33"/>
      <c r="I2435" s="34" t="str">
        <f aca="false">IF($A2435="","",$G2435-$H2435)</f>
        <v/>
      </c>
      <c r="J2435" s="35" t="str">
        <f aca="false">IF($A2435="","",IF(Setup!$B$6=1,YEAR($A2435),YEAR($A2435)+IF(MONTH($A2435)&gt;=Setup!$B$6,1,0)))</f>
        <v/>
      </c>
      <c r="K2435" s="35" t="str">
        <f aca="false">IF($A2435="","",MOD(MONTH($A2435)-Setup!$B$6+12,12)+1)</f>
        <v/>
      </c>
      <c r="L2435" s="36" t="str">
        <f aca="false">IF($A2435="","",TEXT($A2435,"MMM-YY"))</f>
        <v/>
      </c>
      <c r="M2435" s="37" t="str">
        <f aca="false">IF($A2435="","",IF($Q2435=0,"UNMAPPED",INDEX(COA_Mapping!$C$7:$C$256,$Q2435)))</f>
        <v/>
      </c>
      <c r="N2435" s="38" t="str">
        <f aca="false">IF($A2435="","",IF($Q2435=0,"",INDEX(COA_Mapping!$E$7:$E$256,$Q2435)))</f>
        <v/>
      </c>
      <c r="O2435" s="38" t="n">
        <f aca="false">IF($A2435="",1,IF($Q2435=0,1,INDEX(COA_Mapping!$F$7:$F$256,$Q2435)))</f>
        <v>1</v>
      </c>
      <c r="P2435" s="34" t="str">
        <f aca="false">IF($A2435="","",$I2435*$O2435)</f>
        <v/>
      </c>
      <c r="Q2435" s="39" t="n">
        <f aca="false">IF($B2435="",0,IFERROR(MATCH($B2435,COA_Mapping!$A$7:$A$256,0),0))</f>
        <v>0</v>
      </c>
      <c r="R2435" s="39" t="n">
        <f aca="false">IF($A2435="",-1,IF($J2435=Setup!$B$7,1,IF($J2435=Setup!$B$9,0,-1)))</f>
        <v>-1</v>
      </c>
      <c r="S2435" s="35" t="n">
        <f aca="false">IF(OR($A2435="",$Q2435=0,$R2435=-1),0,$Q2435*1000+$R2435*100+$K2435)</f>
        <v>0</v>
      </c>
      <c r="T2435" s="37" t="str">
        <f aca="false">IF($A2435="","",IF($B2435="","NO ACCOUNT",IF($Q2435=0,"UNMAPPED",IF($R2435=-1,"OUTSIDE FY RANGE","OK"))))</f>
        <v/>
      </c>
      <c r="U2435" s="40" t="str">
        <f aca="false">IF($A2435="","",$B2435&amp;"|"&amp;TEXT($A2435,"yyyymmdd")&amp;"|"&amp;TEXT($I2435,"0.00"))</f>
        <v/>
      </c>
      <c r="V2435" s="35" t="str">
        <f aca="false">IF($A2435="","",COUNTIF($U$8:$U$5007,$U2435))</f>
        <v/>
      </c>
    </row>
    <row r="2436" customFormat="false" ht="15" hidden="false" customHeight="false" outlineLevel="0" collapsed="false">
      <c r="A2436" s="31"/>
      <c r="B2436" s="32"/>
      <c r="C2436" s="32"/>
      <c r="D2436" s="32"/>
      <c r="E2436" s="32"/>
      <c r="F2436" s="32"/>
      <c r="G2436" s="33"/>
      <c r="H2436" s="33"/>
      <c r="I2436" s="34" t="str">
        <f aca="false">IF($A2436="","",$G2436-$H2436)</f>
        <v/>
      </c>
      <c r="J2436" s="35" t="str">
        <f aca="false">IF($A2436="","",IF(Setup!$B$6=1,YEAR($A2436),YEAR($A2436)+IF(MONTH($A2436)&gt;=Setup!$B$6,1,0)))</f>
        <v/>
      </c>
      <c r="K2436" s="35" t="str">
        <f aca="false">IF($A2436="","",MOD(MONTH($A2436)-Setup!$B$6+12,12)+1)</f>
        <v/>
      </c>
      <c r="L2436" s="36" t="str">
        <f aca="false">IF($A2436="","",TEXT($A2436,"MMM-YY"))</f>
        <v/>
      </c>
      <c r="M2436" s="37" t="str">
        <f aca="false">IF($A2436="","",IF($Q2436=0,"UNMAPPED",INDEX(COA_Mapping!$C$7:$C$256,$Q2436)))</f>
        <v/>
      </c>
      <c r="N2436" s="38" t="str">
        <f aca="false">IF($A2436="","",IF($Q2436=0,"",INDEX(COA_Mapping!$E$7:$E$256,$Q2436)))</f>
        <v/>
      </c>
      <c r="O2436" s="38" t="n">
        <f aca="false">IF($A2436="",1,IF($Q2436=0,1,INDEX(COA_Mapping!$F$7:$F$256,$Q2436)))</f>
        <v>1</v>
      </c>
      <c r="P2436" s="34" t="str">
        <f aca="false">IF($A2436="","",$I2436*$O2436)</f>
        <v/>
      </c>
      <c r="Q2436" s="39" t="n">
        <f aca="false">IF($B2436="",0,IFERROR(MATCH($B2436,COA_Mapping!$A$7:$A$256,0),0))</f>
        <v>0</v>
      </c>
      <c r="R2436" s="39" t="n">
        <f aca="false">IF($A2436="",-1,IF($J2436=Setup!$B$7,1,IF($J2436=Setup!$B$9,0,-1)))</f>
        <v>-1</v>
      </c>
      <c r="S2436" s="35" t="n">
        <f aca="false">IF(OR($A2436="",$Q2436=0,$R2436=-1),0,$Q2436*1000+$R2436*100+$K2436)</f>
        <v>0</v>
      </c>
      <c r="T2436" s="37" t="str">
        <f aca="false">IF($A2436="","",IF($B2436="","NO ACCOUNT",IF($Q2436=0,"UNMAPPED",IF($R2436=-1,"OUTSIDE FY RANGE","OK"))))</f>
        <v/>
      </c>
      <c r="U2436" s="40" t="str">
        <f aca="false">IF($A2436="","",$B2436&amp;"|"&amp;TEXT($A2436,"yyyymmdd")&amp;"|"&amp;TEXT($I2436,"0.00"))</f>
        <v/>
      </c>
      <c r="V2436" s="35" t="str">
        <f aca="false">IF($A2436="","",COUNTIF($U$8:$U$5007,$U2436))</f>
        <v/>
      </c>
    </row>
    <row r="2437" customFormat="false" ht="15" hidden="false" customHeight="false" outlineLevel="0" collapsed="false">
      <c r="A2437" s="31"/>
      <c r="B2437" s="32"/>
      <c r="C2437" s="32"/>
      <c r="D2437" s="32"/>
      <c r="E2437" s="32"/>
      <c r="F2437" s="32"/>
      <c r="G2437" s="33"/>
      <c r="H2437" s="33"/>
      <c r="I2437" s="34" t="str">
        <f aca="false">IF($A2437="","",$G2437-$H2437)</f>
        <v/>
      </c>
      <c r="J2437" s="35" t="str">
        <f aca="false">IF($A2437="","",IF(Setup!$B$6=1,YEAR($A2437),YEAR($A2437)+IF(MONTH($A2437)&gt;=Setup!$B$6,1,0)))</f>
        <v/>
      </c>
      <c r="K2437" s="35" t="str">
        <f aca="false">IF($A2437="","",MOD(MONTH($A2437)-Setup!$B$6+12,12)+1)</f>
        <v/>
      </c>
      <c r="L2437" s="36" t="str">
        <f aca="false">IF($A2437="","",TEXT($A2437,"MMM-YY"))</f>
        <v/>
      </c>
      <c r="M2437" s="37" t="str">
        <f aca="false">IF($A2437="","",IF($Q2437=0,"UNMAPPED",INDEX(COA_Mapping!$C$7:$C$256,$Q2437)))</f>
        <v/>
      </c>
      <c r="N2437" s="38" t="str">
        <f aca="false">IF($A2437="","",IF($Q2437=0,"",INDEX(COA_Mapping!$E$7:$E$256,$Q2437)))</f>
        <v/>
      </c>
      <c r="O2437" s="38" t="n">
        <f aca="false">IF($A2437="",1,IF($Q2437=0,1,INDEX(COA_Mapping!$F$7:$F$256,$Q2437)))</f>
        <v>1</v>
      </c>
      <c r="P2437" s="34" t="str">
        <f aca="false">IF($A2437="","",$I2437*$O2437)</f>
        <v/>
      </c>
      <c r="Q2437" s="39" t="n">
        <f aca="false">IF($B2437="",0,IFERROR(MATCH($B2437,COA_Mapping!$A$7:$A$256,0),0))</f>
        <v>0</v>
      </c>
      <c r="R2437" s="39" t="n">
        <f aca="false">IF($A2437="",-1,IF($J2437=Setup!$B$7,1,IF($J2437=Setup!$B$9,0,-1)))</f>
        <v>-1</v>
      </c>
      <c r="S2437" s="35" t="n">
        <f aca="false">IF(OR($A2437="",$Q2437=0,$R2437=-1),0,$Q2437*1000+$R2437*100+$K2437)</f>
        <v>0</v>
      </c>
      <c r="T2437" s="37" t="str">
        <f aca="false">IF($A2437="","",IF($B2437="","NO ACCOUNT",IF($Q2437=0,"UNMAPPED",IF($R2437=-1,"OUTSIDE FY RANGE","OK"))))</f>
        <v/>
      </c>
      <c r="U2437" s="40" t="str">
        <f aca="false">IF($A2437="","",$B2437&amp;"|"&amp;TEXT($A2437,"yyyymmdd")&amp;"|"&amp;TEXT($I2437,"0.00"))</f>
        <v/>
      </c>
      <c r="V2437" s="35" t="str">
        <f aca="false">IF($A2437="","",COUNTIF($U$8:$U$5007,$U2437))</f>
        <v/>
      </c>
    </row>
    <row r="2438" customFormat="false" ht="15" hidden="false" customHeight="false" outlineLevel="0" collapsed="false">
      <c r="A2438" s="31"/>
      <c r="B2438" s="32"/>
      <c r="C2438" s="32"/>
      <c r="D2438" s="32"/>
      <c r="E2438" s="32"/>
      <c r="F2438" s="32"/>
      <c r="G2438" s="33"/>
      <c r="H2438" s="33"/>
      <c r="I2438" s="34" t="str">
        <f aca="false">IF($A2438="","",$G2438-$H2438)</f>
        <v/>
      </c>
      <c r="J2438" s="35" t="str">
        <f aca="false">IF($A2438="","",IF(Setup!$B$6=1,YEAR($A2438),YEAR($A2438)+IF(MONTH($A2438)&gt;=Setup!$B$6,1,0)))</f>
        <v/>
      </c>
      <c r="K2438" s="35" t="str">
        <f aca="false">IF($A2438="","",MOD(MONTH($A2438)-Setup!$B$6+12,12)+1)</f>
        <v/>
      </c>
      <c r="L2438" s="36" t="str">
        <f aca="false">IF($A2438="","",TEXT($A2438,"MMM-YY"))</f>
        <v/>
      </c>
      <c r="M2438" s="37" t="str">
        <f aca="false">IF($A2438="","",IF($Q2438=0,"UNMAPPED",INDEX(COA_Mapping!$C$7:$C$256,$Q2438)))</f>
        <v/>
      </c>
      <c r="N2438" s="38" t="str">
        <f aca="false">IF($A2438="","",IF($Q2438=0,"",INDEX(COA_Mapping!$E$7:$E$256,$Q2438)))</f>
        <v/>
      </c>
      <c r="O2438" s="38" t="n">
        <f aca="false">IF($A2438="",1,IF($Q2438=0,1,INDEX(COA_Mapping!$F$7:$F$256,$Q2438)))</f>
        <v>1</v>
      </c>
      <c r="P2438" s="34" t="str">
        <f aca="false">IF($A2438="","",$I2438*$O2438)</f>
        <v/>
      </c>
      <c r="Q2438" s="39" t="n">
        <f aca="false">IF($B2438="",0,IFERROR(MATCH($B2438,COA_Mapping!$A$7:$A$256,0),0))</f>
        <v>0</v>
      </c>
      <c r="R2438" s="39" t="n">
        <f aca="false">IF($A2438="",-1,IF($J2438=Setup!$B$7,1,IF($J2438=Setup!$B$9,0,-1)))</f>
        <v>-1</v>
      </c>
      <c r="S2438" s="35" t="n">
        <f aca="false">IF(OR($A2438="",$Q2438=0,$R2438=-1),0,$Q2438*1000+$R2438*100+$K2438)</f>
        <v>0</v>
      </c>
      <c r="T2438" s="37" t="str">
        <f aca="false">IF($A2438="","",IF($B2438="","NO ACCOUNT",IF($Q2438=0,"UNMAPPED",IF($R2438=-1,"OUTSIDE FY RANGE","OK"))))</f>
        <v/>
      </c>
      <c r="U2438" s="40" t="str">
        <f aca="false">IF($A2438="","",$B2438&amp;"|"&amp;TEXT($A2438,"yyyymmdd")&amp;"|"&amp;TEXT($I2438,"0.00"))</f>
        <v/>
      </c>
      <c r="V2438" s="35" t="str">
        <f aca="false">IF($A2438="","",COUNTIF($U$8:$U$5007,$U2438))</f>
        <v/>
      </c>
    </row>
    <row r="2439" customFormat="false" ht="15" hidden="false" customHeight="false" outlineLevel="0" collapsed="false">
      <c r="A2439" s="31"/>
      <c r="B2439" s="32"/>
      <c r="C2439" s="32"/>
      <c r="D2439" s="32"/>
      <c r="E2439" s="32"/>
      <c r="F2439" s="32"/>
      <c r="G2439" s="33"/>
      <c r="H2439" s="33"/>
      <c r="I2439" s="34" t="str">
        <f aca="false">IF($A2439="","",$G2439-$H2439)</f>
        <v/>
      </c>
      <c r="J2439" s="35" t="str">
        <f aca="false">IF($A2439="","",IF(Setup!$B$6=1,YEAR($A2439),YEAR($A2439)+IF(MONTH($A2439)&gt;=Setup!$B$6,1,0)))</f>
        <v/>
      </c>
      <c r="K2439" s="35" t="str">
        <f aca="false">IF($A2439="","",MOD(MONTH($A2439)-Setup!$B$6+12,12)+1)</f>
        <v/>
      </c>
      <c r="L2439" s="36" t="str">
        <f aca="false">IF($A2439="","",TEXT($A2439,"MMM-YY"))</f>
        <v/>
      </c>
      <c r="M2439" s="37" t="str">
        <f aca="false">IF($A2439="","",IF($Q2439=0,"UNMAPPED",INDEX(COA_Mapping!$C$7:$C$256,$Q2439)))</f>
        <v/>
      </c>
      <c r="N2439" s="38" t="str">
        <f aca="false">IF($A2439="","",IF($Q2439=0,"",INDEX(COA_Mapping!$E$7:$E$256,$Q2439)))</f>
        <v/>
      </c>
      <c r="O2439" s="38" t="n">
        <f aca="false">IF($A2439="",1,IF($Q2439=0,1,INDEX(COA_Mapping!$F$7:$F$256,$Q2439)))</f>
        <v>1</v>
      </c>
      <c r="P2439" s="34" t="str">
        <f aca="false">IF($A2439="","",$I2439*$O2439)</f>
        <v/>
      </c>
      <c r="Q2439" s="39" t="n">
        <f aca="false">IF($B2439="",0,IFERROR(MATCH($B2439,COA_Mapping!$A$7:$A$256,0),0))</f>
        <v>0</v>
      </c>
      <c r="R2439" s="39" t="n">
        <f aca="false">IF($A2439="",-1,IF($J2439=Setup!$B$7,1,IF($J2439=Setup!$B$9,0,-1)))</f>
        <v>-1</v>
      </c>
      <c r="S2439" s="35" t="n">
        <f aca="false">IF(OR($A2439="",$Q2439=0,$R2439=-1),0,$Q2439*1000+$R2439*100+$K2439)</f>
        <v>0</v>
      </c>
      <c r="T2439" s="37" t="str">
        <f aca="false">IF($A2439="","",IF($B2439="","NO ACCOUNT",IF($Q2439=0,"UNMAPPED",IF($R2439=-1,"OUTSIDE FY RANGE","OK"))))</f>
        <v/>
      </c>
      <c r="U2439" s="40" t="str">
        <f aca="false">IF($A2439="","",$B2439&amp;"|"&amp;TEXT($A2439,"yyyymmdd")&amp;"|"&amp;TEXT($I2439,"0.00"))</f>
        <v/>
      </c>
      <c r="V2439" s="35" t="str">
        <f aca="false">IF($A2439="","",COUNTIF($U$8:$U$5007,$U2439))</f>
        <v/>
      </c>
    </row>
    <row r="2440" customFormat="false" ht="15" hidden="false" customHeight="false" outlineLevel="0" collapsed="false">
      <c r="A2440" s="31"/>
      <c r="B2440" s="32"/>
      <c r="C2440" s="32"/>
      <c r="D2440" s="32"/>
      <c r="E2440" s="32"/>
      <c r="F2440" s="32"/>
      <c r="G2440" s="33"/>
      <c r="H2440" s="33"/>
      <c r="I2440" s="34" t="str">
        <f aca="false">IF($A2440="","",$G2440-$H2440)</f>
        <v/>
      </c>
      <c r="J2440" s="35" t="str">
        <f aca="false">IF($A2440="","",IF(Setup!$B$6=1,YEAR($A2440),YEAR($A2440)+IF(MONTH($A2440)&gt;=Setup!$B$6,1,0)))</f>
        <v/>
      </c>
      <c r="K2440" s="35" t="str">
        <f aca="false">IF($A2440="","",MOD(MONTH($A2440)-Setup!$B$6+12,12)+1)</f>
        <v/>
      </c>
      <c r="L2440" s="36" t="str">
        <f aca="false">IF($A2440="","",TEXT($A2440,"MMM-YY"))</f>
        <v/>
      </c>
      <c r="M2440" s="37" t="str">
        <f aca="false">IF($A2440="","",IF($Q2440=0,"UNMAPPED",INDEX(COA_Mapping!$C$7:$C$256,$Q2440)))</f>
        <v/>
      </c>
      <c r="N2440" s="38" t="str">
        <f aca="false">IF($A2440="","",IF($Q2440=0,"",INDEX(COA_Mapping!$E$7:$E$256,$Q2440)))</f>
        <v/>
      </c>
      <c r="O2440" s="38" t="n">
        <f aca="false">IF($A2440="",1,IF($Q2440=0,1,INDEX(COA_Mapping!$F$7:$F$256,$Q2440)))</f>
        <v>1</v>
      </c>
      <c r="P2440" s="34" t="str">
        <f aca="false">IF($A2440="","",$I2440*$O2440)</f>
        <v/>
      </c>
      <c r="Q2440" s="39" t="n">
        <f aca="false">IF($B2440="",0,IFERROR(MATCH($B2440,COA_Mapping!$A$7:$A$256,0),0))</f>
        <v>0</v>
      </c>
      <c r="R2440" s="39" t="n">
        <f aca="false">IF($A2440="",-1,IF($J2440=Setup!$B$7,1,IF($J2440=Setup!$B$9,0,-1)))</f>
        <v>-1</v>
      </c>
      <c r="S2440" s="35" t="n">
        <f aca="false">IF(OR($A2440="",$Q2440=0,$R2440=-1),0,$Q2440*1000+$R2440*100+$K2440)</f>
        <v>0</v>
      </c>
      <c r="T2440" s="37" t="str">
        <f aca="false">IF($A2440="","",IF($B2440="","NO ACCOUNT",IF($Q2440=0,"UNMAPPED",IF($R2440=-1,"OUTSIDE FY RANGE","OK"))))</f>
        <v/>
      </c>
      <c r="U2440" s="40" t="str">
        <f aca="false">IF($A2440="","",$B2440&amp;"|"&amp;TEXT($A2440,"yyyymmdd")&amp;"|"&amp;TEXT($I2440,"0.00"))</f>
        <v/>
      </c>
      <c r="V2440" s="35" t="str">
        <f aca="false">IF($A2440="","",COUNTIF($U$8:$U$5007,$U2440))</f>
        <v/>
      </c>
    </row>
    <row r="2441" customFormat="false" ht="15" hidden="false" customHeight="false" outlineLevel="0" collapsed="false">
      <c r="A2441" s="31"/>
      <c r="B2441" s="32"/>
      <c r="C2441" s="32"/>
      <c r="D2441" s="32"/>
      <c r="E2441" s="32"/>
      <c r="F2441" s="32"/>
      <c r="G2441" s="33"/>
      <c r="H2441" s="33"/>
      <c r="I2441" s="34" t="str">
        <f aca="false">IF($A2441="","",$G2441-$H2441)</f>
        <v/>
      </c>
      <c r="J2441" s="35" t="str">
        <f aca="false">IF($A2441="","",IF(Setup!$B$6=1,YEAR($A2441),YEAR($A2441)+IF(MONTH($A2441)&gt;=Setup!$B$6,1,0)))</f>
        <v/>
      </c>
      <c r="K2441" s="35" t="str">
        <f aca="false">IF($A2441="","",MOD(MONTH($A2441)-Setup!$B$6+12,12)+1)</f>
        <v/>
      </c>
      <c r="L2441" s="36" t="str">
        <f aca="false">IF($A2441="","",TEXT($A2441,"MMM-YY"))</f>
        <v/>
      </c>
      <c r="M2441" s="37" t="str">
        <f aca="false">IF($A2441="","",IF($Q2441=0,"UNMAPPED",INDEX(COA_Mapping!$C$7:$C$256,$Q2441)))</f>
        <v/>
      </c>
      <c r="N2441" s="38" t="str">
        <f aca="false">IF($A2441="","",IF($Q2441=0,"",INDEX(COA_Mapping!$E$7:$E$256,$Q2441)))</f>
        <v/>
      </c>
      <c r="O2441" s="38" t="n">
        <f aca="false">IF($A2441="",1,IF($Q2441=0,1,INDEX(COA_Mapping!$F$7:$F$256,$Q2441)))</f>
        <v>1</v>
      </c>
      <c r="P2441" s="34" t="str">
        <f aca="false">IF($A2441="","",$I2441*$O2441)</f>
        <v/>
      </c>
      <c r="Q2441" s="39" t="n">
        <f aca="false">IF($B2441="",0,IFERROR(MATCH($B2441,COA_Mapping!$A$7:$A$256,0),0))</f>
        <v>0</v>
      </c>
      <c r="R2441" s="39" t="n">
        <f aca="false">IF($A2441="",-1,IF($J2441=Setup!$B$7,1,IF($J2441=Setup!$B$9,0,-1)))</f>
        <v>-1</v>
      </c>
      <c r="S2441" s="35" t="n">
        <f aca="false">IF(OR($A2441="",$Q2441=0,$R2441=-1),0,$Q2441*1000+$R2441*100+$K2441)</f>
        <v>0</v>
      </c>
      <c r="T2441" s="37" t="str">
        <f aca="false">IF($A2441="","",IF($B2441="","NO ACCOUNT",IF($Q2441=0,"UNMAPPED",IF($R2441=-1,"OUTSIDE FY RANGE","OK"))))</f>
        <v/>
      </c>
      <c r="U2441" s="40" t="str">
        <f aca="false">IF($A2441="","",$B2441&amp;"|"&amp;TEXT($A2441,"yyyymmdd")&amp;"|"&amp;TEXT($I2441,"0.00"))</f>
        <v/>
      </c>
      <c r="V2441" s="35" t="str">
        <f aca="false">IF($A2441="","",COUNTIF($U$8:$U$5007,$U2441))</f>
        <v/>
      </c>
    </row>
    <row r="2442" customFormat="false" ht="15" hidden="false" customHeight="false" outlineLevel="0" collapsed="false">
      <c r="A2442" s="31"/>
      <c r="B2442" s="32"/>
      <c r="C2442" s="32"/>
      <c r="D2442" s="32"/>
      <c r="E2442" s="32"/>
      <c r="F2442" s="32"/>
      <c r="G2442" s="33"/>
      <c r="H2442" s="33"/>
      <c r="I2442" s="34" t="str">
        <f aca="false">IF($A2442="","",$G2442-$H2442)</f>
        <v/>
      </c>
      <c r="J2442" s="35" t="str">
        <f aca="false">IF($A2442="","",IF(Setup!$B$6=1,YEAR($A2442),YEAR($A2442)+IF(MONTH($A2442)&gt;=Setup!$B$6,1,0)))</f>
        <v/>
      </c>
      <c r="K2442" s="35" t="str">
        <f aca="false">IF($A2442="","",MOD(MONTH($A2442)-Setup!$B$6+12,12)+1)</f>
        <v/>
      </c>
      <c r="L2442" s="36" t="str">
        <f aca="false">IF($A2442="","",TEXT($A2442,"MMM-YY"))</f>
        <v/>
      </c>
      <c r="M2442" s="37" t="str">
        <f aca="false">IF($A2442="","",IF($Q2442=0,"UNMAPPED",INDEX(COA_Mapping!$C$7:$C$256,$Q2442)))</f>
        <v/>
      </c>
      <c r="N2442" s="38" t="str">
        <f aca="false">IF($A2442="","",IF($Q2442=0,"",INDEX(COA_Mapping!$E$7:$E$256,$Q2442)))</f>
        <v/>
      </c>
      <c r="O2442" s="38" t="n">
        <f aca="false">IF($A2442="",1,IF($Q2442=0,1,INDEX(COA_Mapping!$F$7:$F$256,$Q2442)))</f>
        <v>1</v>
      </c>
      <c r="P2442" s="34" t="str">
        <f aca="false">IF($A2442="","",$I2442*$O2442)</f>
        <v/>
      </c>
      <c r="Q2442" s="39" t="n">
        <f aca="false">IF($B2442="",0,IFERROR(MATCH($B2442,COA_Mapping!$A$7:$A$256,0),0))</f>
        <v>0</v>
      </c>
      <c r="R2442" s="39" t="n">
        <f aca="false">IF($A2442="",-1,IF($J2442=Setup!$B$7,1,IF($J2442=Setup!$B$9,0,-1)))</f>
        <v>-1</v>
      </c>
      <c r="S2442" s="35" t="n">
        <f aca="false">IF(OR($A2442="",$Q2442=0,$R2442=-1),0,$Q2442*1000+$R2442*100+$K2442)</f>
        <v>0</v>
      </c>
      <c r="T2442" s="37" t="str">
        <f aca="false">IF($A2442="","",IF($B2442="","NO ACCOUNT",IF($Q2442=0,"UNMAPPED",IF($R2442=-1,"OUTSIDE FY RANGE","OK"))))</f>
        <v/>
      </c>
      <c r="U2442" s="40" t="str">
        <f aca="false">IF($A2442="","",$B2442&amp;"|"&amp;TEXT($A2442,"yyyymmdd")&amp;"|"&amp;TEXT($I2442,"0.00"))</f>
        <v/>
      </c>
      <c r="V2442" s="35" t="str">
        <f aca="false">IF($A2442="","",COUNTIF($U$8:$U$5007,$U2442))</f>
        <v/>
      </c>
    </row>
    <row r="2443" customFormat="false" ht="15" hidden="false" customHeight="false" outlineLevel="0" collapsed="false">
      <c r="A2443" s="31"/>
      <c r="B2443" s="32"/>
      <c r="C2443" s="32"/>
      <c r="D2443" s="32"/>
      <c r="E2443" s="32"/>
      <c r="F2443" s="32"/>
      <c r="G2443" s="33"/>
      <c r="H2443" s="33"/>
      <c r="I2443" s="34" t="str">
        <f aca="false">IF($A2443="","",$G2443-$H2443)</f>
        <v/>
      </c>
      <c r="J2443" s="35" t="str">
        <f aca="false">IF($A2443="","",IF(Setup!$B$6=1,YEAR($A2443),YEAR($A2443)+IF(MONTH($A2443)&gt;=Setup!$B$6,1,0)))</f>
        <v/>
      </c>
      <c r="K2443" s="35" t="str">
        <f aca="false">IF($A2443="","",MOD(MONTH($A2443)-Setup!$B$6+12,12)+1)</f>
        <v/>
      </c>
      <c r="L2443" s="36" t="str">
        <f aca="false">IF($A2443="","",TEXT($A2443,"MMM-YY"))</f>
        <v/>
      </c>
      <c r="M2443" s="37" t="str">
        <f aca="false">IF($A2443="","",IF($Q2443=0,"UNMAPPED",INDEX(COA_Mapping!$C$7:$C$256,$Q2443)))</f>
        <v/>
      </c>
      <c r="N2443" s="38" t="str">
        <f aca="false">IF($A2443="","",IF($Q2443=0,"",INDEX(COA_Mapping!$E$7:$E$256,$Q2443)))</f>
        <v/>
      </c>
      <c r="O2443" s="38" t="n">
        <f aca="false">IF($A2443="",1,IF($Q2443=0,1,INDEX(COA_Mapping!$F$7:$F$256,$Q2443)))</f>
        <v>1</v>
      </c>
      <c r="P2443" s="34" t="str">
        <f aca="false">IF($A2443="","",$I2443*$O2443)</f>
        <v/>
      </c>
      <c r="Q2443" s="39" t="n">
        <f aca="false">IF($B2443="",0,IFERROR(MATCH($B2443,COA_Mapping!$A$7:$A$256,0),0))</f>
        <v>0</v>
      </c>
      <c r="R2443" s="39" t="n">
        <f aca="false">IF($A2443="",-1,IF($J2443=Setup!$B$7,1,IF($J2443=Setup!$B$9,0,-1)))</f>
        <v>-1</v>
      </c>
      <c r="S2443" s="35" t="n">
        <f aca="false">IF(OR($A2443="",$Q2443=0,$R2443=-1),0,$Q2443*1000+$R2443*100+$K2443)</f>
        <v>0</v>
      </c>
      <c r="T2443" s="37" t="str">
        <f aca="false">IF($A2443="","",IF($B2443="","NO ACCOUNT",IF($Q2443=0,"UNMAPPED",IF($R2443=-1,"OUTSIDE FY RANGE","OK"))))</f>
        <v/>
      </c>
      <c r="U2443" s="40" t="str">
        <f aca="false">IF($A2443="","",$B2443&amp;"|"&amp;TEXT($A2443,"yyyymmdd")&amp;"|"&amp;TEXT($I2443,"0.00"))</f>
        <v/>
      </c>
      <c r="V2443" s="35" t="str">
        <f aca="false">IF($A2443="","",COUNTIF($U$8:$U$5007,$U2443))</f>
        <v/>
      </c>
    </row>
    <row r="2444" customFormat="false" ht="15" hidden="false" customHeight="false" outlineLevel="0" collapsed="false">
      <c r="A2444" s="31"/>
      <c r="B2444" s="32"/>
      <c r="C2444" s="32"/>
      <c r="D2444" s="32"/>
      <c r="E2444" s="32"/>
      <c r="F2444" s="32"/>
      <c r="G2444" s="33"/>
      <c r="H2444" s="33"/>
      <c r="I2444" s="34" t="str">
        <f aca="false">IF($A2444="","",$G2444-$H2444)</f>
        <v/>
      </c>
      <c r="J2444" s="35" t="str">
        <f aca="false">IF($A2444="","",IF(Setup!$B$6=1,YEAR($A2444),YEAR($A2444)+IF(MONTH($A2444)&gt;=Setup!$B$6,1,0)))</f>
        <v/>
      </c>
      <c r="K2444" s="35" t="str">
        <f aca="false">IF($A2444="","",MOD(MONTH($A2444)-Setup!$B$6+12,12)+1)</f>
        <v/>
      </c>
      <c r="L2444" s="36" t="str">
        <f aca="false">IF($A2444="","",TEXT($A2444,"MMM-YY"))</f>
        <v/>
      </c>
      <c r="M2444" s="37" t="str">
        <f aca="false">IF($A2444="","",IF($Q2444=0,"UNMAPPED",INDEX(COA_Mapping!$C$7:$C$256,$Q2444)))</f>
        <v/>
      </c>
      <c r="N2444" s="38" t="str">
        <f aca="false">IF($A2444="","",IF($Q2444=0,"",INDEX(COA_Mapping!$E$7:$E$256,$Q2444)))</f>
        <v/>
      </c>
      <c r="O2444" s="38" t="n">
        <f aca="false">IF($A2444="",1,IF($Q2444=0,1,INDEX(COA_Mapping!$F$7:$F$256,$Q2444)))</f>
        <v>1</v>
      </c>
      <c r="P2444" s="34" t="str">
        <f aca="false">IF($A2444="","",$I2444*$O2444)</f>
        <v/>
      </c>
      <c r="Q2444" s="39" t="n">
        <f aca="false">IF($B2444="",0,IFERROR(MATCH($B2444,COA_Mapping!$A$7:$A$256,0),0))</f>
        <v>0</v>
      </c>
      <c r="R2444" s="39" t="n">
        <f aca="false">IF($A2444="",-1,IF($J2444=Setup!$B$7,1,IF($J2444=Setup!$B$9,0,-1)))</f>
        <v>-1</v>
      </c>
      <c r="S2444" s="35" t="n">
        <f aca="false">IF(OR($A2444="",$Q2444=0,$R2444=-1),0,$Q2444*1000+$R2444*100+$K2444)</f>
        <v>0</v>
      </c>
      <c r="T2444" s="37" t="str">
        <f aca="false">IF($A2444="","",IF($B2444="","NO ACCOUNT",IF($Q2444=0,"UNMAPPED",IF($R2444=-1,"OUTSIDE FY RANGE","OK"))))</f>
        <v/>
      </c>
      <c r="U2444" s="40" t="str">
        <f aca="false">IF($A2444="","",$B2444&amp;"|"&amp;TEXT($A2444,"yyyymmdd")&amp;"|"&amp;TEXT($I2444,"0.00"))</f>
        <v/>
      </c>
      <c r="V2444" s="35" t="str">
        <f aca="false">IF($A2444="","",COUNTIF($U$8:$U$5007,$U2444))</f>
        <v/>
      </c>
    </row>
    <row r="2445" customFormat="false" ht="15" hidden="false" customHeight="false" outlineLevel="0" collapsed="false">
      <c r="A2445" s="31"/>
      <c r="B2445" s="32"/>
      <c r="C2445" s="32"/>
      <c r="D2445" s="32"/>
      <c r="E2445" s="32"/>
      <c r="F2445" s="32"/>
      <c r="G2445" s="33"/>
      <c r="H2445" s="33"/>
      <c r="I2445" s="34" t="str">
        <f aca="false">IF($A2445="","",$G2445-$H2445)</f>
        <v/>
      </c>
      <c r="J2445" s="35" t="str">
        <f aca="false">IF($A2445="","",IF(Setup!$B$6=1,YEAR($A2445),YEAR($A2445)+IF(MONTH($A2445)&gt;=Setup!$B$6,1,0)))</f>
        <v/>
      </c>
      <c r="K2445" s="35" t="str">
        <f aca="false">IF($A2445="","",MOD(MONTH($A2445)-Setup!$B$6+12,12)+1)</f>
        <v/>
      </c>
      <c r="L2445" s="36" t="str">
        <f aca="false">IF($A2445="","",TEXT($A2445,"MMM-YY"))</f>
        <v/>
      </c>
      <c r="M2445" s="37" t="str">
        <f aca="false">IF($A2445="","",IF($Q2445=0,"UNMAPPED",INDEX(COA_Mapping!$C$7:$C$256,$Q2445)))</f>
        <v/>
      </c>
      <c r="N2445" s="38" t="str">
        <f aca="false">IF($A2445="","",IF($Q2445=0,"",INDEX(COA_Mapping!$E$7:$E$256,$Q2445)))</f>
        <v/>
      </c>
      <c r="O2445" s="38" t="n">
        <f aca="false">IF($A2445="",1,IF($Q2445=0,1,INDEX(COA_Mapping!$F$7:$F$256,$Q2445)))</f>
        <v>1</v>
      </c>
      <c r="P2445" s="34" t="str">
        <f aca="false">IF($A2445="","",$I2445*$O2445)</f>
        <v/>
      </c>
      <c r="Q2445" s="39" t="n">
        <f aca="false">IF($B2445="",0,IFERROR(MATCH($B2445,COA_Mapping!$A$7:$A$256,0),0))</f>
        <v>0</v>
      </c>
      <c r="R2445" s="39" t="n">
        <f aca="false">IF($A2445="",-1,IF($J2445=Setup!$B$7,1,IF($J2445=Setup!$B$9,0,-1)))</f>
        <v>-1</v>
      </c>
      <c r="S2445" s="35" t="n">
        <f aca="false">IF(OR($A2445="",$Q2445=0,$R2445=-1),0,$Q2445*1000+$R2445*100+$K2445)</f>
        <v>0</v>
      </c>
      <c r="T2445" s="37" t="str">
        <f aca="false">IF($A2445="","",IF($B2445="","NO ACCOUNT",IF($Q2445=0,"UNMAPPED",IF($R2445=-1,"OUTSIDE FY RANGE","OK"))))</f>
        <v/>
      </c>
      <c r="U2445" s="40" t="str">
        <f aca="false">IF($A2445="","",$B2445&amp;"|"&amp;TEXT($A2445,"yyyymmdd")&amp;"|"&amp;TEXT($I2445,"0.00"))</f>
        <v/>
      </c>
      <c r="V2445" s="35" t="str">
        <f aca="false">IF($A2445="","",COUNTIF($U$8:$U$5007,$U2445))</f>
        <v/>
      </c>
    </row>
    <row r="2446" customFormat="false" ht="15" hidden="false" customHeight="false" outlineLevel="0" collapsed="false">
      <c r="A2446" s="31"/>
      <c r="B2446" s="32"/>
      <c r="C2446" s="32"/>
      <c r="D2446" s="32"/>
      <c r="E2446" s="32"/>
      <c r="F2446" s="32"/>
      <c r="G2446" s="33"/>
      <c r="H2446" s="33"/>
      <c r="I2446" s="34" t="str">
        <f aca="false">IF($A2446="","",$G2446-$H2446)</f>
        <v/>
      </c>
      <c r="J2446" s="35" t="str">
        <f aca="false">IF($A2446="","",IF(Setup!$B$6=1,YEAR($A2446),YEAR($A2446)+IF(MONTH($A2446)&gt;=Setup!$B$6,1,0)))</f>
        <v/>
      </c>
      <c r="K2446" s="35" t="str">
        <f aca="false">IF($A2446="","",MOD(MONTH($A2446)-Setup!$B$6+12,12)+1)</f>
        <v/>
      </c>
      <c r="L2446" s="36" t="str">
        <f aca="false">IF($A2446="","",TEXT($A2446,"MMM-YY"))</f>
        <v/>
      </c>
      <c r="M2446" s="37" t="str">
        <f aca="false">IF($A2446="","",IF($Q2446=0,"UNMAPPED",INDEX(COA_Mapping!$C$7:$C$256,$Q2446)))</f>
        <v/>
      </c>
      <c r="N2446" s="38" t="str">
        <f aca="false">IF($A2446="","",IF($Q2446=0,"",INDEX(COA_Mapping!$E$7:$E$256,$Q2446)))</f>
        <v/>
      </c>
      <c r="O2446" s="38" t="n">
        <f aca="false">IF($A2446="",1,IF($Q2446=0,1,INDEX(COA_Mapping!$F$7:$F$256,$Q2446)))</f>
        <v>1</v>
      </c>
      <c r="P2446" s="34" t="str">
        <f aca="false">IF($A2446="","",$I2446*$O2446)</f>
        <v/>
      </c>
      <c r="Q2446" s="39" t="n">
        <f aca="false">IF($B2446="",0,IFERROR(MATCH($B2446,COA_Mapping!$A$7:$A$256,0),0))</f>
        <v>0</v>
      </c>
      <c r="R2446" s="39" t="n">
        <f aca="false">IF($A2446="",-1,IF($J2446=Setup!$B$7,1,IF($J2446=Setup!$B$9,0,-1)))</f>
        <v>-1</v>
      </c>
      <c r="S2446" s="35" t="n">
        <f aca="false">IF(OR($A2446="",$Q2446=0,$R2446=-1),0,$Q2446*1000+$R2446*100+$K2446)</f>
        <v>0</v>
      </c>
      <c r="T2446" s="37" t="str">
        <f aca="false">IF($A2446="","",IF($B2446="","NO ACCOUNT",IF($Q2446=0,"UNMAPPED",IF($R2446=-1,"OUTSIDE FY RANGE","OK"))))</f>
        <v/>
      </c>
      <c r="U2446" s="40" t="str">
        <f aca="false">IF($A2446="","",$B2446&amp;"|"&amp;TEXT($A2446,"yyyymmdd")&amp;"|"&amp;TEXT($I2446,"0.00"))</f>
        <v/>
      </c>
      <c r="V2446" s="35" t="str">
        <f aca="false">IF($A2446="","",COUNTIF($U$8:$U$5007,$U2446))</f>
        <v/>
      </c>
    </row>
    <row r="2447" customFormat="false" ht="15" hidden="false" customHeight="false" outlineLevel="0" collapsed="false">
      <c r="A2447" s="31"/>
      <c r="B2447" s="32"/>
      <c r="C2447" s="32"/>
      <c r="D2447" s="32"/>
      <c r="E2447" s="32"/>
      <c r="F2447" s="32"/>
      <c r="G2447" s="33"/>
      <c r="H2447" s="33"/>
      <c r="I2447" s="34" t="str">
        <f aca="false">IF($A2447="","",$G2447-$H2447)</f>
        <v/>
      </c>
      <c r="J2447" s="35" t="str">
        <f aca="false">IF($A2447="","",IF(Setup!$B$6=1,YEAR($A2447),YEAR($A2447)+IF(MONTH($A2447)&gt;=Setup!$B$6,1,0)))</f>
        <v/>
      </c>
      <c r="K2447" s="35" t="str">
        <f aca="false">IF($A2447="","",MOD(MONTH($A2447)-Setup!$B$6+12,12)+1)</f>
        <v/>
      </c>
      <c r="L2447" s="36" t="str">
        <f aca="false">IF($A2447="","",TEXT($A2447,"MMM-YY"))</f>
        <v/>
      </c>
      <c r="M2447" s="37" t="str">
        <f aca="false">IF($A2447="","",IF($Q2447=0,"UNMAPPED",INDEX(COA_Mapping!$C$7:$C$256,$Q2447)))</f>
        <v/>
      </c>
      <c r="N2447" s="38" t="str">
        <f aca="false">IF($A2447="","",IF($Q2447=0,"",INDEX(COA_Mapping!$E$7:$E$256,$Q2447)))</f>
        <v/>
      </c>
      <c r="O2447" s="38" t="n">
        <f aca="false">IF($A2447="",1,IF($Q2447=0,1,INDEX(COA_Mapping!$F$7:$F$256,$Q2447)))</f>
        <v>1</v>
      </c>
      <c r="P2447" s="34" t="str">
        <f aca="false">IF($A2447="","",$I2447*$O2447)</f>
        <v/>
      </c>
      <c r="Q2447" s="39" t="n">
        <f aca="false">IF($B2447="",0,IFERROR(MATCH($B2447,COA_Mapping!$A$7:$A$256,0),0))</f>
        <v>0</v>
      </c>
      <c r="R2447" s="39" t="n">
        <f aca="false">IF($A2447="",-1,IF($J2447=Setup!$B$7,1,IF($J2447=Setup!$B$9,0,-1)))</f>
        <v>-1</v>
      </c>
      <c r="S2447" s="35" t="n">
        <f aca="false">IF(OR($A2447="",$Q2447=0,$R2447=-1),0,$Q2447*1000+$R2447*100+$K2447)</f>
        <v>0</v>
      </c>
      <c r="T2447" s="37" t="str">
        <f aca="false">IF($A2447="","",IF($B2447="","NO ACCOUNT",IF($Q2447=0,"UNMAPPED",IF($R2447=-1,"OUTSIDE FY RANGE","OK"))))</f>
        <v/>
      </c>
      <c r="U2447" s="40" t="str">
        <f aca="false">IF($A2447="","",$B2447&amp;"|"&amp;TEXT($A2447,"yyyymmdd")&amp;"|"&amp;TEXT($I2447,"0.00"))</f>
        <v/>
      </c>
      <c r="V2447" s="35" t="str">
        <f aca="false">IF($A2447="","",COUNTIF($U$8:$U$5007,$U2447))</f>
        <v/>
      </c>
    </row>
    <row r="2448" customFormat="false" ht="15" hidden="false" customHeight="false" outlineLevel="0" collapsed="false">
      <c r="A2448" s="31"/>
      <c r="B2448" s="32"/>
      <c r="C2448" s="32"/>
      <c r="D2448" s="32"/>
      <c r="E2448" s="32"/>
      <c r="F2448" s="32"/>
      <c r="G2448" s="33"/>
      <c r="H2448" s="33"/>
      <c r="I2448" s="34" t="str">
        <f aca="false">IF($A2448="","",$G2448-$H2448)</f>
        <v/>
      </c>
      <c r="J2448" s="35" t="str">
        <f aca="false">IF($A2448="","",IF(Setup!$B$6=1,YEAR($A2448),YEAR($A2448)+IF(MONTH($A2448)&gt;=Setup!$B$6,1,0)))</f>
        <v/>
      </c>
      <c r="K2448" s="35" t="str">
        <f aca="false">IF($A2448="","",MOD(MONTH($A2448)-Setup!$B$6+12,12)+1)</f>
        <v/>
      </c>
      <c r="L2448" s="36" t="str">
        <f aca="false">IF($A2448="","",TEXT($A2448,"MMM-YY"))</f>
        <v/>
      </c>
      <c r="M2448" s="37" t="str">
        <f aca="false">IF($A2448="","",IF($Q2448=0,"UNMAPPED",INDEX(COA_Mapping!$C$7:$C$256,$Q2448)))</f>
        <v/>
      </c>
      <c r="N2448" s="38" t="str">
        <f aca="false">IF($A2448="","",IF($Q2448=0,"",INDEX(COA_Mapping!$E$7:$E$256,$Q2448)))</f>
        <v/>
      </c>
      <c r="O2448" s="38" t="n">
        <f aca="false">IF($A2448="",1,IF($Q2448=0,1,INDEX(COA_Mapping!$F$7:$F$256,$Q2448)))</f>
        <v>1</v>
      </c>
      <c r="P2448" s="34" t="str">
        <f aca="false">IF($A2448="","",$I2448*$O2448)</f>
        <v/>
      </c>
      <c r="Q2448" s="39" t="n">
        <f aca="false">IF($B2448="",0,IFERROR(MATCH($B2448,COA_Mapping!$A$7:$A$256,0),0))</f>
        <v>0</v>
      </c>
      <c r="R2448" s="39" t="n">
        <f aca="false">IF($A2448="",-1,IF($J2448=Setup!$B$7,1,IF($J2448=Setup!$B$9,0,-1)))</f>
        <v>-1</v>
      </c>
      <c r="S2448" s="35" t="n">
        <f aca="false">IF(OR($A2448="",$Q2448=0,$R2448=-1),0,$Q2448*1000+$R2448*100+$K2448)</f>
        <v>0</v>
      </c>
      <c r="T2448" s="37" t="str">
        <f aca="false">IF($A2448="","",IF($B2448="","NO ACCOUNT",IF($Q2448=0,"UNMAPPED",IF($R2448=-1,"OUTSIDE FY RANGE","OK"))))</f>
        <v/>
      </c>
      <c r="U2448" s="40" t="str">
        <f aca="false">IF($A2448="","",$B2448&amp;"|"&amp;TEXT($A2448,"yyyymmdd")&amp;"|"&amp;TEXT($I2448,"0.00"))</f>
        <v/>
      </c>
      <c r="V2448" s="35" t="str">
        <f aca="false">IF($A2448="","",COUNTIF($U$8:$U$5007,$U2448))</f>
        <v/>
      </c>
    </row>
    <row r="2449" customFormat="false" ht="15" hidden="false" customHeight="false" outlineLevel="0" collapsed="false">
      <c r="A2449" s="31"/>
      <c r="B2449" s="32"/>
      <c r="C2449" s="32"/>
      <c r="D2449" s="32"/>
      <c r="E2449" s="32"/>
      <c r="F2449" s="32"/>
      <c r="G2449" s="33"/>
      <c r="H2449" s="33"/>
      <c r="I2449" s="34" t="str">
        <f aca="false">IF($A2449="","",$G2449-$H2449)</f>
        <v/>
      </c>
      <c r="J2449" s="35" t="str">
        <f aca="false">IF($A2449="","",IF(Setup!$B$6=1,YEAR($A2449),YEAR($A2449)+IF(MONTH($A2449)&gt;=Setup!$B$6,1,0)))</f>
        <v/>
      </c>
      <c r="K2449" s="35" t="str">
        <f aca="false">IF($A2449="","",MOD(MONTH($A2449)-Setup!$B$6+12,12)+1)</f>
        <v/>
      </c>
      <c r="L2449" s="36" t="str">
        <f aca="false">IF($A2449="","",TEXT($A2449,"MMM-YY"))</f>
        <v/>
      </c>
      <c r="M2449" s="37" t="str">
        <f aca="false">IF($A2449="","",IF($Q2449=0,"UNMAPPED",INDEX(COA_Mapping!$C$7:$C$256,$Q2449)))</f>
        <v/>
      </c>
      <c r="N2449" s="38" t="str">
        <f aca="false">IF($A2449="","",IF($Q2449=0,"",INDEX(COA_Mapping!$E$7:$E$256,$Q2449)))</f>
        <v/>
      </c>
      <c r="O2449" s="38" t="n">
        <f aca="false">IF($A2449="",1,IF($Q2449=0,1,INDEX(COA_Mapping!$F$7:$F$256,$Q2449)))</f>
        <v>1</v>
      </c>
      <c r="P2449" s="34" t="str">
        <f aca="false">IF($A2449="","",$I2449*$O2449)</f>
        <v/>
      </c>
      <c r="Q2449" s="39" t="n">
        <f aca="false">IF($B2449="",0,IFERROR(MATCH($B2449,COA_Mapping!$A$7:$A$256,0),0))</f>
        <v>0</v>
      </c>
      <c r="R2449" s="39" t="n">
        <f aca="false">IF($A2449="",-1,IF($J2449=Setup!$B$7,1,IF($J2449=Setup!$B$9,0,-1)))</f>
        <v>-1</v>
      </c>
      <c r="S2449" s="35" t="n">
        <f aca="false">IF(OR($A2449="",$Q2449=0,$R2449=-1),0,$Q2449*1000+$R2449*100+$K2449)</f>
        <v>0</v>
      </c>
      <c r="T2449" s="37" t="str">
        <f aca="false">IF($A2449="","",IF($B2449="","NO ACCOUNT",IF($Q2449=0,"UNMAPPED",IF($R2449=-1,"OUTSIDE FY RANGE","OK"))))</f>
        <v/>
      </c>
      <c r="U2449" s="40" t="str">
        <f aca="false">IF($A2449="","",$B2449&amp;"|"&amp;TEXT($A2449,"yyyymmdd")&amp;"|"&amp;TEXT($I2449,"0.00"))</f>
        <v/>
      </c>
      <c r="V2449" s="35" t="str">
        <f aca="false">IF($A2449="","",COUNTIF($U$8:$U$5007,$U2449))</f>
        <v/>
      </c>
    </row>
    <row r="2450" customFormat="false" ht="15" hidden="false" customHeight="false" outlineLevel="0" collapsed="false">
      <c r="A2450" s="31"/>
      <c r="B2450" s="32"/>
      <c r="C2450" s="32"/>
      <c r="D2450" s="32"/>
      <c r="E2450" s="32"/>
      <c r="F2450" s="32"/>
      <c r="G2450" s="33"/>
      <c r="H2450" s="33"/>
      <c r="I2450" s="34" t="str">
        <f aca="false">IF($A2450="","",$G2450-$H2450)</f>
        <v/>
      </c>
      <c r="J2450" s="35" t="str">
        <f aca="false">IF($A2450="","",IF(Setup!$B$6=1,YEAR($A2450),YEAR($A2450)+IF(MONTH($A2450)&gt;=Setup!$B$6,1,0)))</f>
        <v/>
      </c>
      <c r="K2450" s="35" t="str">
        <f aca="false">IF($A2450="","",MOD(MONTH($A2450)-Setup!$B$6+12,12)+1)</f>
        <v/>
      </c>
      <c r="L2450" s="36" t="str">
        <f aca="false">IF($A2450="","",TEXT($A2450,"MMM-YY"))</f>
        <v/>
      </c>
      <c r="M2450" s="37" t="str">
        <f aca="false">IF($A2450="","",IF($Q2450=0,"UNMAPPED",INDEX(COA_Mapping!$C$7:$C$256,$Q2450)))</f>
        <v/>
      </c>
      <c r="N2450" s="38" t="str">
        <f aca="false">IF($A2450="","",IF($Q2450=0,"",INDEX(COA_Mapping!$E$7:$E$256,$Q2450)))</f>
        <v/>
      </c>
      <c r="O2450" s="38" t="n">
        <f aca="false">IF($A2450="",1,IF($Q2450=0,1,INDEX(COA_Mapping!$F$7:$F$256,$Q2450)))</f>
        <v>1</v>
      </c>
      <c r="P2450" s="34" t="str">
        <f aca="false">IF($A2450="","",$I2450*$O2450)</f>
        <v/>
      </c>
      <c r="Q2450" s="39" t="n">
        <f aca="false">IF($B2450="",0,IFERROR(MATCH($B2450,COA_Mapping!$A$7:$A$256,0),0))</f>
        <v>0</v>
      </c>
      <c r="R2450" s="39" t="n">
        <f aca="false">IF($A2450="",-1,IF($J2450=Setup!$B$7,1,IF($J2450=Setup!$B$9,0,-1)))</f>
        <v>-1</v>
      </c>
      <c r="S2450" s="35" t="n">
        <f aca="false">IF(OR($A2450="",$Q2450=0,$R2450=-1),0,$Q2450*1000+$R2450*100+$K2450)</f>
        <v>0</v>
      </c>
      <c r="T2450" s="37" t="str">
        <f aca="false">IF($A2450="","",IF($B2450="","NO ACCOUNT",IF($Q2450=0,"UNMAPPED",IF($R2450=-1,"OUTSIDE FY RANGE","OK"))))</f>
        <v/>
      </c>
      <c r="U2450" s="40" t="str">
        <f aca="false">IF($A2450="","",$B2450&amp;"|"&amp;TEXT($A2450,"yyyymmdd")&amp;"|"&amp;TEXT($I2450,"0.00"))</f>
        <v/>
      </c>
      <c r="V2450" s="35" t="str">
        <f aca="false">IF($A2450="","",COUNTIF($U$8:$U$5007,$U2450))</f>
        <v/>
      </c>
    </row>
    <row r="2451" customFormat="false" ht="15" hidden="false" customHeight="false" outlineLevel="0" collapsed="false">
      <c r="A2451" s="31"/>
      <c r="B2451" s="32"/>
      <c r="C2451" s="32"/>
      <c r="D2451" s="32"/>
      <c r="E2451" s="32"/>
      <c r="F2451" s="32"/>
      <c r="G2451" s="33"/>
      <c r="H2451" s="33"/>
      <c r="I2451" s="34" t="str">
        <f aca="false">IF($A2451="","",$G2451-$H2451)</f>
        <v/>
      </c>
      <c r="J2451" s="35" t="str">
        <f aca="false">IF($A2451="","",IF(Setup!$B$6=1,YEAR($A2451),YEAR($A2451)+IF(MONTH($A2451)&gt;=Setup!$B$6,1,0)))</f>
        <v/>
      </c>
      <c r="K2451" s="35" t="str">
        <f aca="false">IF($A2451="","",MOD(MONTH($A2451)-Setup!$B$6+12,12)+1)</f>
        <v/>
      </c>
      <c r="L2451" s="36" t="str">
        <f aca="false">IF($A2451="","",TEXT($A2451,"MMM-YY"))</f>
        <v/>
      </c>
      <c r="M2451" s="37" t="str">
        <f aca="false">IF($A2451="","",IF($Q2451=0,"UNMAPPED",INDEX(COA_Mapping!$C$7:$C$256,$Q2451)))</f>
        <v/>
      </c>
      <c r="N2451" s="38" t="str">
        <f aca="false">IF($A2451="","",IF($Q2451=0,"",INDEX(COA_Mapping!$E$7:$E$256,$Q2451)))</f>
        <v/>
      </c>
      <c r="O2451" s="38" t="n">
        <f aca="false">IF($A2451="",1,IF($Q2451=0,1,INDEX(COA_Mapping!$F$7:$F$256,$Q2451)))</f>
        <v>1</v>
      </c>
      <c r="P2451" s="34" t="str">
        <f aca="false">IF($A2451="","",$I2451*$O2451)</f>
        <v/>
      </c>
      <c r="Q2451" s="39" t="n">
        <f aca="false">IF($B2451="",0,IFERROR(MATCH($B2451,COA_Mapping!$A$7:$A$256,0),0))</f>
        <v>0</v>
      </c>
      <c r="R2451" s="39" t="n">
        <f aca="false">IF($A2451="",-1,IF($J2451=Setup!$B$7,1,IF($J2451=Setup!$B$9,0,-1)))</f>
        <v>-1</v>
      </c>
      <c r="S2451" s="35" t="n">
        <f aca="false">IF(OR($A2451="",$Q2451=0,$R2451=-1),0,$Q2451*1000+$R2451*100+$K2451)</f>
        <v>0</v>
      </c>
      <c r="T2451" s="37" t="str">
        <f aca="false">IF($A2451="","",IF($B2451="","NO ACCOUNT",IF($Q2451=0,"UNMAPPED",IF($R2451=-1,"OUTSIDE FY RANGE","OK"))))</f>
        <v/>
      </c>
      <c r="U2451" s="40" t="str">
        <f aca="false">IF($A2451="","",$B2451&amp;"|"&amp;TEXT($A2451,"yyyymmdd")&amp;"|"&amp;TEXT($I2451,"0.00"))</f>
        <v/>
      </c>
      <c r="V2451" s="35" t="str">
        <f aca="false">IF($A2451="","",COUNTIF($U$8:$U$5007,$U2451))</f>
        <v/>
      </c>
    </row>
    <row r="2452" customFormat="false" ht="15" hidden="false" customHeight="false" outlineLevel="0" collapsed="false">
      <c r="A2452" s="31"/>
      <c r="B2452" s="32"/>
      <c r="C2452" s="32"/>
      <c r="D2452" s="32"/>
      <c r="E2452" s="32"/>
      <c r="F2452" s="32"/>
      <c r="G2452" s="33"/>
      <c r="H2452" s="33"/>
      <c r="I2452" s="34" t="str">
        <f aca="false">IF($A2452="","",$G2452-$H2452)</f>
        <v/>
      </c>
      <c r="J2452" s="35" t="str">
        <f aca="false">IF($A2452="","",IF(Setup!$B$6=1,YEAR($A2452),YEAR($A2452)+IF(MONTH($A2452)&gt;=Setup!$B$6,1,0)))</f>
        <v/>
      </c>
      <c r="K2452" s="35" t="str">
        <f aca="false">IF($A2452="","",MOD(MONTH($A2452)-Setup!$B$6+12,12)+1)</f>
        <v/>
      </c>
      <c r="L2452" s="36" t="str">
        <f aca="false">IF($A2452="","",TEXT($A2452,"MMM-YY"))</f>
        <v/>
      </c>
      <c r="M2452" s="37" t="str">
        <f aca="false">IF($A2452="","",IF($Q2452=0,"UNMAPPED",INDEX(COA_Mapping!$C$7:$C$256,$Q2452)))</f>
        <v/>
      </c>
      <c r="N2452" s="38" t="str">
        <f aca="false">IF($A2452="","",IF($Q2452=0,"",INDEX(COA_Mapping!$E$7:$E$256,$Q2452)))</f>
        <v/>
      </c>
      <c r="O2452" s="38" t="n">
        <f aca="false">IF($A2452="",1,IF($Q2452=0,1,INDEX(COA_Mapping!$F$7:$F$256,$Q2452)))</f>
        <v>1</v>
      </c>
      <c r="P2452" s="34" t="str">
        <f aca="false">IF($A2452="","",$I2452*$O2452)</f>
        <v/>
      </c>
      <c r="Q2452" s="39" t="n">
        <f aca="false">IF($B2452="",0,IFERROR(MATCH($B2452,COA_Mapping!$A$7:$A$256,0),0))</f>
        <v>0</v>
      </c>
      <c r="R2452" s="39" t="n">
        <f aca="false">IF($A2452="",-1,IF($J2452=Setup!$B$7,1,IF($J2452=Setup!$B$9,0,-1)))</f>
        <v>-1</v>
      </c>
      <c r="S2452" s="35" t="n">
        <f aca="false">IF(OR($A2452="",$Q2452=0,$R2452=-1),0,$Q2452*1000+$R2452*100+$K2452)</f>
        <v>0</v>
      </c>
      <c r="T2452" s="37" t="str">
        <f aca="false">IF($A2452="","",IF($B2452="","NO ACCOUNT",IF($Q2452=0,"UNMAPPED",IF($R2452=-1,"OUTSIDE FY RANGE","OK"))))</f>
        <v/>
      </c>
      <c r="U2452" s="40" t="str">
        <f aca="false">IF($A2452="","",$B2452&amp;"|"&amp;TEXT($A2452,"yyyymmdd")&amp;"|"&amp;TEXT($I2452,"0.00"))</f>
        <v/>
      </c>
      <c r="V2452" s="35" t="str">
        <f aca="false">IF($A2452="","",COUNTIF($U$8:$U$5007,$U2452))</f>
        <v/>
      </c>
    </row>
    <row r="2453" customFormat="false" ht="15" hidden="false" customHeight="false" outlineLevel="0" collapsed="false">
      <c r="A2453" s="31"/>
      <c r="B2453" s="32"/>
      <c r="C2453" s="32"/>
      <c r="D2453" s="32"/>
      <c r="E2453" s="32"/>
      <c r="F2453" s="32"/>
      <c r="G2453" s="33"/>
      <c r="H2453" s="33"/>
      <c r="I2453" s="34" t="str">
        <f aca="false">IF($A2453="","",$G2453-$H2453)</f>
        <v/>
      </c>
      <c r="J2453" s="35" t="str">
        <f aca="false">IF($A2453="","",IF(Setup!$B$6=1,YEAR($A2453),YEAR($A2453)+IF(MONTH($A2453)&gt;=Setup!$B$6,1,0)))</f>
        <v/>
      </c>
      <c r="K2453" s="35" t="str">
        <f aca="false">IF($A2453="","",MOD(MONTH($A2453)-Setup!$B$6+12,12)+1)</f>
        <v/>
      </c>
      <c r="L2453" s="36" t="str">
        <f aca="false">IF($A2453="","",TEXT($A2453,"MMM-YY"))</f>
        <v/>
      </c>
      <c r="M2453" s="37" t="str">
        <f aca="false">IF($A2453="","",IF($Q2453=0,"UNMAPPED",INDEX(COA_Mapping!$C$7:$C$256,$Q2453)))</f>
        <v/>
      </c>
      <c r="N2453" s="38" t="str">
        <f aca="false">IF($A2453="","",IF($Q2453=0,"",INDEX(COA_Mapping!$E$7:$E$256,$Q2453)))</f>
        <v/>
      </c>
      <c r="O2453" s="38" t="n">
        <f aca="false">IF($A2453="",1,IF($Q2453=0,1,INDEX(COA_Mapping!$F$7:$F$256,$Q2453)))</f>
        <v>1</v>
      </c>
      <c r="P2453" s="34" t="str">
        <f aca="false">IF($A2453="","",$I2453*$O2453)</f>
        <v/>
      </c>
      <c r="Q2453" s="39" t="n">
        <f aca="false">IF($B2453="",0,IFERROR(MATCH($B2453,COA_Mapping!$A$7:$A$256,0),0))</f>
        <v>0</v>
      </c>
      <c r="R2453" s="39" t="n">
        <f aca="false">IF($A2453="",-1,IF($J2453=Setup!$B$7,1,IF($J2453=Setup!$B$9,0,-1)))</f>
        <v>-1</v>
      </c>
      <c r="S2453" s="35" t="n">
        <f aca="false">IF(OR($A2453="",$Q2453=0,$R2453=-1),0,$Q2453*1000+$R2453*100+$K2453)</f>
        <v>0</v>
      </c>
      <c r="T2453" s="37" t="str">
        <f aca="false">IF($A2453="","",IF($B2453="","NO ACCOUNT",IF($Q2453=0,"UNMAPPED",IF($R2453=-1,"OUTSIDE FY RANGE","OK"))))</f>
        <v/>
      </c>
      <c r="U2453" s="40" t="str">
        <f aca="false">IF($A2453="","",$B2453&amp;"|"&amp;TEXT($A2453,"yyyymmdd")&amp;"|"&amp;TEXT($I2453,"0.00"))</f>
        <v/>
      </c>
      <c r="V2453" s="35" t="str">
        <f aca="false">IF($A2453="","",COUNTIF($U$8:$U$5007,$U2453))</f>
        <v/>
      </c>
    </row>
    <row r="2454" customFormat="false" ht="15" hidden="false" customHeight="false" outlineLevel="0" collapsed="false">
      <c r="A2454" s="31"/>
      <c r="B2454" s="32"/>
      <c r="C2454" s="32"/>
      <c r="D2454" s="32"/>
      <c r="E2454" s="32"/>
      <c r="F2454" s="32"/>
      <c r="G2454" s="33"/>
      <c r="H2454" s="33"/>
      <c r="I2454" s="34" t="str">
        <f aca="false">IF($A2454="","",$G2454-$H2454)</f>
        <v/>
      </c>
      <c r="J2454" s="35" t="str">
        <f aca="false">IF($A2454="","",IF(Setup!$B$6=1,YEAR($A2454),YEAR($A2454)+IF(MONTH($A2454)&gt;=Setup!$B$6,1,0)))</f>
        <v/>
      </c>
      <c r="K2454" s="35" t="str">
        <f aca="false">IF($A2454="","",MOD(MONTH($A2454)-Setup!$B$6+12,12)+1)</f>
        <v/>
      </c>
      <c r="L2454" s="36" t="str">
        <f aca="false">IF($A2454="","",TEXT($A2454,"MMM-YY"))</f>
        <v/>
      </c>
      <c r="M2454" s="37" t="str">
        <f aca="false">IF($A2454="","",IF($Q2454=0,"UNMAPPED",INDEX(COA_Mapping!$C$7:$C$256,$Q2454)))</f>
        <v/>
      </c>
      <c r="N2454" s="38" t="str">
        <f aca="false">IF($A2454="","",IF($Q2454=0,"",INDEX(COA_Mapping!$E$7:$E$256,$Q2454)))</f>
        <v/>
      </c>
      <c r="O2454" s="38" t="n">
        <f aca="false">IF($A2454="",1,IF($Q2454=0,1,INDEX(COA_Mapping!$F$7:$F$256,$Q2454)))</f>
        <v>1</v>
      </c>
      <c r="P2454" s="34" t="str">
        <f aca="false">IF($A2454="","",$I2454*$O2454)</f>
        <v/>
      </c>
      <c r="Q2454" s="39" t="n">
        <f aca="false">IF($B2454="",0,IFERROR(MATCH($B2454,COA_Mapping!$A$7:$A$256,0),0))</f>
        <v>0</v>
      </c>
      <c r="R2454" s="39" t="n">
        <f aca="false">IF($A2454="",-1,IF($J2454=Setup!$B$7,1,IF($J2454=Setup!$B$9,0,-1)))</f>
        <v>-1</v>
      </c>
      <c r="S2454" s="35" t="n">
        <f aca="false">IF(OR($A2454="",$Q2454=0,$R2454=-1),0,$Q2454*1000+$R2454*100+$K2454)</f>
        <v>0</v>
      </c>
      <c r="T2454" s="37" t="str">
        <f aca="false">IF($A2454="","",IF($B2454="","NO ACCOUNT",IF($Q2454=0,"UNMAPPED",IF($R2454=-1,"OUTSIDE FY RANGE","OK"))))</f>
        <v/>
      </c>
      <c r="U2454" s="40" t="str">
        <f aca="false">IF($A2454="","",$B2454&amp;"|"&amp;TEXT($A2454,"yyyymmdd")&amp;"|"&amp;TEXT($I2454,"0.00"))</f>
        <v/>
      </c>
      <c r="V2454" s="35" t="str">
        <f aca="false">IF($A2454="","",COUNTIF($U$8:$U$5007,$U2454))</f>
        <v/>
      </c>
    </row>
    <row r="2455" customFormat="false" ht="15" hidden="false" customHeight="false" outlineLevel="0" collapsed="false">
      <c r="A2455" s="31"/>
      <c r="B2455" s="32"/>
      <c r="C2455" s="32"/>
      <c r="D2455" s="32"/>
      <c r="E2455" s="32"/>
      <c r="F2455" s="32"/>
      <c r="G2455" s="33"/>
      <c r="H2455" s="33"/>
      <c r="I2455" s="34" t="str">
        <f aca="false">IF($A2455="","",$G2455-$H2455)</f>
        <v/>
      </c>
      <c r="J2455" s="35" t="str">
        <f aca="false">IF($A2455="","",IF(Setup!$B$6=1,YEAR($A2455),YEAR($A2455)+IF(MONTH($A2455)&gt;=Setup!$B$6,1,0)))</f>
        <v/>
      </c>
      <c r="K2455" s="35" t="str">
        <f aca="false">IF($A2455="","",MOD(MONTH($A2455)-Setup!$B$6+12,12)+1)</f>
        <v/>
      </c>
      <c r="L2455" s="36" t="str">
        <f aca="false">IF($A2455="","",TEXT($A2455,"MMM-YY"))</f>
        <v/>
      </c>
      <c r="M2455" s="37" t="str">
        <f aca="false">IF($A2455="","",IF($Q2455=0,"UNMAPPED",INDEX(COA_Mapping!$C$7:$C$256,$Q2455)))</f>
        <v/>
      </c>
      <c r="N2455" s="38" t="str">
        <f aca="false">IF($A2455="","",IF($Q2455=0,"",INDEX(COA_Mapping!$E$7:$E$256,$Q2455)))</f>
        <v/>
      </c>
      <c r="O2455" s="38" t="n">
        <f aca="false">IF($A2455="",1,IF($Q2455=0,1,INDEX(COA_Mapping!$F$7:$F$256,$Q2455)))</f>
        <v>1</v>
      </c>
      <c r="P2455" s="34" t="str">
        <f aca="false">IF($A2455="","",$I2455*$O2455)</f>
        <v/>
      </c>
      <c r="Q2455" s="39" t="n">
        <f aca="false">IF($B2455="",0,IFERROR(MATCH($B2455,COA_Mapping!$A$7:$A$256,0),0))</f>
        <v>0</v>
      </c>
      <c r="R2455" s="39" t="n">
        <f aca="false">IF($A2455="",-1,IF($J2455=Setup!$B$7,1,IF($J2455=Setup!$B$9,0,-1)))</f>
        <v>-1</v>
      </c>
      <c r="S2455" s="35" t="n">
        <f aca="false">IF(OR($A2455="",$Q2455=0,$R2455=-1),0,$Q2455*1000+$R2455*100+$K2455)</f>
        <v>0</v>
      </c>
      <c r="T2455" s="37" t="str">
        <f aca="false">IF($A2455="","",IF($B2455="","NO ACCOUNT",IF($Q2455=0,"UNMAPPED",IF($R2455=-1,"OUTSIDE FY RANGE","OK"))))</f>
        <v/>
      </c>
      <c r="U2455" s="40" t="str">
        <f aca="false">IF($A2455="","",$B2455&amp;"|"&amp;TEXT($A2455,"yyyymmdd")&amp;"|"&amp;TEXT($I2455,"0.00"))</f>
        <v/>
      </c>
      <c r="V2455" s="35" t="str">
        <f aca="false">IF($A2455="","",COUNTIF($U$8:$U$5007,$U2455))</f>
        <v/>
      </c>
    </row>
    <row r="2456" customFormat="false" ht="15" hidden="false" customHeight="false" outlineLevel="0" collapsed="false">
      <c r="A2456" s="31"/>
      <c r="B2456" s="32"/>
      <c r="C2456" s="32"/>
      <c r="D2456" s="32"/>
      <c r="E2456" s="32"/>
      <c r="F2456" s="32"/>
      <c r="G2456" s="33"/>
      <c r="H2456" s="33"/>
      <c r="I2456" s="34" t="str">
        <f aca="false">IF($A2456="","",$G2456-$H2456)</f>
        <v/>
      </c>
      <c r="J2456" s="35" t="str">
        <f aca="false">IF($A2456="","",IF(Setup!$B$6=1,YEAR($A2456),YEAR($A2456)+IF(MONTH($A2456)&gt;=Setup!$B$6,1,0)))</f>
        <v/>
      </c>
      <c r="K2456" s="35" t="str">
        <f aca="false">IF($A2456="","",MOD(MONTH($A2456)-Setup!$B$6+12,12)+1)</f>
        <v/>
      </c>
      <c r="L2456" s="36" t="str">
        <f aca="false">IF($A2456="","",TEXT($A2456,"MMM-YY"))</f>
        <v/>
      </c>
      <c r="M2456" s="37" t="str">
        <f aca="false">IF($A2456="","",IF($Q2456=0,"UNMAPPED",INDEX(COA_Mapping!$C$7:$C$256,$Q2456)))</f>
        <v/>
      </c>
      <c r="N2456" s="38" t="str">
        <f aca="false">IF($A2456="","",IF($Q2456=0,"",INDEX(COA_Mapping!$E$7:$E$256,$Q2456)))</f>
        <v/>
      </c>
      <c r="O2456" s="38" t="n">
        <f aca="false">IF($A2456="",1,IF($Q2456=0,1,INDEX(COA_Mapping!$F$7:$F$256,$Q2456)))</f>
        <v>1</v>
      </c>
      <c r="P2456" s="34" t="str">
        <f aca="false">IF($A2456="","",$I2456*$O2456)</f>
        <v/>
      </c>
      <c r="Q2456" s="39" t="n">
        <f aca="false">IF($B2456="",0,IFERROR(MATCH($B2456,COA_Mapping!$A$7:$A$256,0),0))</f>
        <v>0</v>
      </c>
      <c r="R2456" s="39" t="n">
        <f aca="false">IF($A2456="",-1,IF($J2456=Setup!$B$7,1,IF($J2456=Setup!$B$9,0,-1)))</f>
        <v>-1</v>
      </c>
      <c r="S2456" s="35" t="n">
        <f aca="false">IF(OR($A2456="",$Q2456=0,$R2456=-1),0,$Q2456*1000+$R2456*100+$K2456)</f>
        <v>0</v>
      </c>
      <c r="T2456" s="37" t="str">
        <f aca="false">IF($A2456="","",IF($B2456="","NO ACCOUNT",IF($Q2456=0,"UNMAPPED",IF($R2456=-1,"OUTSIDE FY RANGE","OK"))))</f>
        <v/>
      </c>
      <c r="U2456" s="40" t="str">
        <f aca="false">IF($A2456="","",$B2456&amp;"|"&amp;TEXT($A2456,"yyyymmdd")&amp;"|"&amp;TEXT($I2456,"0.00"))</f>
        <v/>
      </c>
      <c r="V2456" s="35" t="str">
        <f aca="false">IF($A2456="","",COUNTIF($U$8:$U$5007,$U2456))</f>
        <v/>
      </c>
    </row>
    <row r="2457" customFormat="false" ht="15" hidden="false" customHeight="false" outlineLevel="0" collapsed="false">
      <c r="A2457" s="31"/>
      <c r="B2457" s="32"/>
      <c r="C2457" s="32"/>
      <c r="D2457" s="32"/>
      <c r="E2457" s="32"/>
      <c r="F2457" s="32"/>
      <c r="G2457" s="33"/>
      <c r="H2457" s="33"/>
      <c r="I2457" s="34" t="str">
        <f aca="false">IF($A2457="","",$G2457-$H2457)</f>
        <v/>
      </c>
      <c r="J2457" s="35" t="str">
        <f aca="false">IF($A2457="","",IF(Setup!$B$6=1,YEAR($A2457),YEAR($A2457)+IF(MONTH($A2457)&gt;=Setup!$B$6,1,0)))</f>
        <v/>
      </c>
      <c r="K2457" s="35" t="str">
        <f aca="false">IF($A2457="","",MOD(MONTH($A2457)-Setup!$B$6+12,12)+1)</f>
        <v/>
      </c>
      <c r="L2457" s="36" t="str">
        <f aca="false">IF($A2457="","",TEXT($A2457,"MMM-YY"))</f>
        <v/>
      </c>
      <c r="M2457" s="37" t="str">
        <f aca="false">IF($A2457="","",IF($Q2457=0,"UNMAPPED",INDEX(COA_Mapping!$C$7:$C$256,$Q2457)))</f>
        <v/>
      </c>
      <c r="N2457" s="38" t="str">
        <f aca="false">IF($A2457="","",IF($Q2457=0,"",INDEX(COA_Mapping!$E$7:$E$256,$Q2457)))</f>
        <v/>
      </c>
      <c r="O2457" s="38" t="n">
        <f aca="false">IF($A2457="",1,IF($Q2457=0,1,INDEX(COA_Mapping!$F$7:$F$256,$Q2457)))</f>
        <v>1</v>
      </c>
      <c r="P2457" s="34" t="str">
        <f aca="false">IF($A2457="","",$I2457*$O2457)</f>
        <v/>
      </c>
      <c r="Q2457" s="39" t="n">
        <f aca="false">IF($B2457="",0,IFERROR(MATCH($B2457,COA_Mapping!$A$7:$A$256,0),0))</f>
        <v>0</v>
      </c>
      <c r="R2457" s="39" t="n">
        <f aca="false">IF($A2457="",-1,IF($J2457=Setup!$B$7,1,IF($J2457=Setup!$B$9,0,-1)))</f>
        <v>-1</v>
      </c>
      <c r="S2457" s="35" t="n">
        <f aca="false">IF(OR($A2457="",$Q2457=0,$R2457=-1),0,$Q2457*1000+$R2457*100+$K2457)</f>
        <v>0</v>
      </c>
      <c r="T2457" s="37" t="str">
        <f aca="false">IF($A2457="","",IF($B2457="","NO ACCOUNT",IF($Q2457=0,"UNMAPPED",IF($R2457=-1,"OUTSIDE FY RANGE","OK"))))</f>
        <v/>
      </c>
      <c r="U2457" s="40" t="str">
        <f aca="false">IF($A2457="","",$B2457&amp;"|"&amp;TEXT($A2457,"yyyymmdd")&amp;"|"&amp;TEXT($I2457,"0.00"))</f>
        <v/>
      </c>
      <c r="V2457" s="35" t="str">
        <f aca="false">IF($A2457="","",COUNTIF($U$8:$U$5007,$U2457))</f>
        <v/>
      </c>
    </row>
    <row r="2458" customFormat="false" ht="15" hidden="false" customHeight="false" outlineLevel="0" collapsed="false">
      <c r="A2458" s="31"/>
      <c r="B2458" s="32"/>
      <c r="C2458" s="32"/>
      <c r="D2458" s="32"/>
      <c r="E2458" s="32"/>
      <c r="F2458" s="32"/>
      <c r="G2458" s="33"/>
      <c r="H2458" s="33"/>
      <c r="I2458" s="34" t="str">
        <f aca="false">IF($A2458="","",$G2458-$H2458)</f>
        <v/>
      </c>
      <c r="J2458" s="35" t="str">
        <f aca="false">IF($A2458="","",IF(Setup!$B$6=1,YEAR($A2458),YEAR($A2458)+IF(MONTH($A2458)&gt;=Setup!$B$6,1,0)))</f>
        <v/>
      </c>
      <c r="K2458" s="35" t="str">
        <f aca="false">IF($A2458="","",MOD(MONTH($A2458)-Setup!$B$6+12,12)+1)</f>
        <v/>
      </c>
      <c r="L2458" s="36" t="str">
        <f aca="false">IF($A2458="","",TEXT($A2458,"MMM-YY"))</f>
        <v/>
      </c>
      <c r="M2458" s="37" t="str">
        <f aca="false">IF($A2458="","",IF($Q2458=0,"UNMAPPED",INDEX(COA_Mapping!$C$7:$C$256,$Q2458)))</f>
        <v/>
      </c>
      <c r="N2458" s="38" t="str">
        <f aca="false">IF($A2458="","",IF($Q2458=0,"",INDEX(COA_Mapping!$E$7:$E$256,$Q2458)))</f>
        <v/>
      </c>
      <c r="O2458" s="38" t="n">
        <f aca="false">IF($A2458="",1,IF($Q2458=0,1,INDEX(COA_Mapping!$F$7:$F$256,$Q2458)))</f>
        <v>1</v>
      </c>
      <c r="P2458" s="34" t="str">
        <f aca="false">IF($A2458="","",$I2458*$O2458)</f>
        <v/>
      </c>
      <c r="Q2458" s="39" t="n">
        <f aca="false">IF($B2458="",0,IFERROR(MATCH($B2458,COA_Mapping!$A$7:$A$256,0),0))</f>
        <v>0</v>
      </c>
      <c r="R2458" s="39" t="n">
        <f aca="false">IF($A2458="",-1,IF($J2458=Setup!$B$7,1,IF($J2458=Setup!$B$9,0,-1)))</f>
        <v>-1</v>
      </c>
      <c r="S2458" s="35" t="n">
        <f aca="false">IF(OR($A2458="",$Q2458=0,$R2458=-1),0,$Q2458*1000+$R2458*100+$K2458)</f>
        <v>0</v>
      </c>
      <c r="T2458" s="37" t="str">
        <f aca="false">IF($A2458="","",IF($B2458="","NO ACCOUNT",IF($Q2458=0,"UNMAPPED",IF($R2458=-1,"OUTSIDE FY RANGE","OK"))))</f>
        <v/>
      </c>
      <c r="U2458" s="40" t="str">
        <f aca="false">IF($A2458="","",$B2458&amp;"|"&amp;TEXT($A2458,"yyyymmdd")&amp;"|"&amp;TEXT($I2458,"0.00"))</f>
        <v/>
      </c>
      <c r="V2458" s="35" t="str">
        <f aca="false">IF($A2458="","",COUNTIF($U$8:$U$5007,$U2458))</f>
        <v/>
      </c>
    </row>
    <row r="2459" customFormat="false" ht="15" hidden="false" customHeight="false" outlineLevel="0" collapsed="false">
      <c r="A2459" s="31"/>
      <c r="B2459" s="32"/>
      <c r="C2459" s="32"/>
      <c r="D2459" s="32"/>
      <c r="E2459" s="32"/>
      <c r="F2459" s="32"/>
      <c r="G2459" s="33"/>
      <c r="H2459" s="33"/>
      <c r="I2459" s="34" t="str">
        <f aca="false">IF($A2459="","",$G2459-$H2459)</f>
        <v/>
      </c>
      <c r="J2459" s="35" t="str">
        <f aca="false">IF($A2459="","",IF(Setup!$B$6=1,YEAR($A2459),YEAR($A2459)+IF(MONTH($A2459)&gt;=Setup!$B$6,1,0)))</f>
        <v/>
      </c>
      <c r="K2459" s="35" t="str">
        <f aca="false">IF($A2459="","",MOD(MONTH($A2459)-Setup!$B$6+12,12)+1)</f>
        <v/>
      </c>
      <c r="L2459" s="36" t="str">
        <f aca="false">IF($A2459="","",TEXT($A2459,"MMM-YY"))</f>
        <v/>
      </c>
      <c r="M2459" s="37" t="str">
        <f aca="false">IF($A2459="","",IF($Q2459=0,"UNMAPPED",INDEX(COA_Mapping!$C$7:$C$256,$Q2459)))</f>
        <v/>
      </c>
      <c r="N2459" s="38" t="str">
        <f aca="false">IF($A2459="","",IF($Q2459=0,"",INDEX(COA_Mapping!$E$7:$E$256,$Q2459)))</f>
        <v/>
      </c>
      <c r="O2459" s="38" t="n">
        <f aca="false">IF($A2459="",1,IF($Q2459=0,1,INDEX(COA_Mapping!$F$7:$F$256,$Q2459)))</f>
        <v>1</v>
      </c>
      <c r="P2459" s="34" t="str">
        <f aca="false">IF($A2459="","",$I2459*$O2459)</f>
        <v/>
      </c>
      <c r="Q2459" s="39" t="n">
        <f aca="false">IF($B2459="",0,IFERROR(MATCH($B2459,COA_Mapping!$A$7:$A$256,0),0))</f>
        <v>0</v>
      </c>
      <c r="R2459" s="39" t="n">
        <f aca="false">IF($A2459="",-1,IF($J2459=Setup!$B$7,1,IF($J2459=Setup!$B$9,0,-1)))</f>
        <v>-1</v>
      </c>
      <c r="S2459" s="35" t="n">
        <f aca="false">IF(OR($A2459="",$Q2459=0,$R2459=-1),0,$Q2459*1000+$R2459*100+$K2459)</f>
        <v>0</v>
      </c>
      <c r="T2459" s="37" t="str">
        <f aca="false">IF($A2459="","",IF($B2459="","NO ACCOUNT",IF($Q2459=0,"UNMAPPED",IF($R2459=-1,"OUTSIDE FY RANGE","OK"))))</f>
        <v/>
      </c>
      <c r="U2459" s="40" t="str">
        <f aca="false">IF($A2459="","",$B2459&amp;"|"&amp;TEXT($A2459,"yyyymmdd")&amp;"|"&amp;TEXT($I2459,"0.00"))</f>
        <v/>
      </c>
      <c r="V2459" s="35" t="str">
        <f aca="false">IF($A2459="","",COUNTIF($U$8:$U$5007,$U2459))</f>
        <v/>
      </c>
    </row>
    <row r="2460" customFormat="false" ht="15" hidden="false" customHeight="false" outlineLevel="0" collapsed="false">
      <c r="A2460" s="31"/>
      <c r="B2460" s="32"/>
      <c r="C2460" s="32"/>
      <c r="D2460" s="32"/>
      <c r="E2460" s="32"/>
      <c r="F2460" s="32"/>
      <c r="G2460" s="33"/>
      <c r="H2460" s="33"/>
      <c r="I2460" s="34" t="str">
        <f aca="false">IF($A2460="","",$G2460-$H2460)</f>
        <v/>
      </c>
      <c r="J2460" s="35" t="str">
        <f aca="false">IF($A2460="","",IF(Setup!$B$6=1,YEAR($A2460),YEAR($A2460)+IF(MONTH($A2460)&gt;=Setup!$B$6,1,0)))</f>
        <v/>
      </c>
      <c r="K2460" s="35" t="str">
        <f aca="false">IF($A2460="","",MOD(MONTH($A2460)-Setup!$B$6+12,12)+1)</f>
        <v/>
      </c>
      <c r="L2460" s="36" t="str">
        <f aca="false">IF($A2460="","",TEXT($A2460,"MMM-YY"))</f>
        <v/>
      </c>
      <c r="M2460" s="37" t="str">
        <f aca="false">IF($A2460="","",IF($Q2460=0,"UNMAPPED",INDEX(COA_Mapping!$C$7:$C$256,$Q2460)))</f>
        <v/>
      </c>
      <c r="N2460" s="38" t="str">
        <f aca="false">IF($A2460="","",IF($Q2460=0,"",INDEX(COA_Mapping!$E$7:$E$256,$Q2460)))</f>
        <v/>
      </c>
      <c r="O2460" s="38" t="n">
        <f aca="false">IF($A2460="",1,IF($Q2460=0,1,INDEX(COA_Mapping!$F$7:$F$256,$Q2460)))</f>
        <v>1</v>
      </c>
      <c r="P2460" s="34" t="str">
        <f aca="false">IF($A2460="","",$I2460*$O2460)</f>
        <v/>
      </c>
      <c r="Q2460" s="39" t="n">
        <f aca="false">IF($B2460="",0,IFERROR(MATCH($B2460,COA_Mapping!$A$7:$A$256,0),0))</f>
        <v>0</v>
      </c>
      <c r="R2460" s="39" t="n">
        <f aca="false">IF($A2460="",-1,IF($J2460=Setup!$B$7,1,IF($J2460=Setup!$B$9,0,-1)))</f>
        <v>-1</v>
      </c>
      <c r="S2460" s="35" t="n">
        <f aca="false">IF(OR($A2460="",$Q2460=0,$R2460=-1),0,$Q2460*1000+$R2460*100+$K2460)</f>
        <v>0</v>
      </c>
      <c r="T2460" s="37" t="str">
        <f aca="false">IF($A2460="","",IF($B2460="","NO ACCOUNT",IF($Q2460=0,"UNMAPPED",IF($R2460=-1,"OUTSIDE FY RANGE","OK"))))</f>
        <v/>
      </c>
      <c r="U2460" s="40" t="str">
        <f aca="false">IF($A2460="","",$B2460&amp;"|"&amp;TEXT($A2460,"yyyymmdd")&amp;"|"&amp;TEXT($I2460,"0.00"))</f>
        <v/>
      </c>
      <c r="V2460" s="35" t="str">
        <f aca="false">IF($A2460="","",COUNTIF($U$8:$U$5007,$U2460))</f>
        <v/>
      </c>
    </row>
    <row r="2461" customFormat="false" ht="15" hidden="false" customHeight="false" outlineLevel="0" collapsed="false">
      <c r="A2461" s="31"/>
      <c r="B2461" s="32"/>
      <c r="C2461" s="32"/>
      <c r="D2461" s="32"/>
      <c r="E2461" s="32"/>
      <c r="F2461" s="32"/>
      <c r="G2461" s="33"/>
      <c r="H2461" s="33"/>
      <c r="I2461" s="34" t="str">
        <f aca="false">IF($A2461="","",$G2461-$H2461)</f>
        <v/>
      </c>
      <c r="J2461" s="35" t="str">
        <f aca="false">IF($A2461="","",IF(Setup!$B$6=1,YEAR($A2461),YEAR($A2461)+IF(MONTH($A2461)&gt;=Setup!$B$6,1,0)))</f>
        <v/>
      </c>
      <c r="K2461" s="35" t="str">
        <f aca="false">IF($A2461="","",MOD(MONTH($A2461)-Setup!$B$6+12,12)+1)</f>
        <v/>
      </c>
      <c r="L2461" s="36" t="str">
        <f aca="false">IF($A2461="","",TEXT($A2461,"MMM-YY"))</f>
        <v/>
      </c>
      <c r="M2461" s="37" t="str">
        <f aca="false">IF($A2461="","",IF($Q2461=0,"UNMAPPED",INDEX(COA_Mapping!$C$7:$C$256,$Q2461)))</f>
        <v/>
      </c>
      <c r="N2461" s="38" t="str">
        <f aca="false">IF($A2461="","",IF($Q2461=0,"",INDEX(COA_Mapping!$E$7:$E$256,$Q2461)))</f>
        <v/>
      </c>
      <c r="O2461" s="38" t="n">
        <f aca="false">IF($A2461="",1,IF($Q2461=0,1,INDEX(COA_Mapping!$F$7:$F$256,$Q2461)))</f>
        <v>1</v>
      </c>
      <c r="P2461" s="34" t="str">
        <f aca="false">IF($A2461="","",$I2461*$O2461)</f>
        <v/>
      </c>
      <c r="Q2461" s="39" t="n">
        <f aca="false">IF($B2461="",0,IFERROR(MATCH($B2461,COA_Mapping!$A$7:$A$256,0),0))</f>
        <v>0</v>
      </c>
      <c r="R2461" s="39" t="n">
        <f aca="false">IF($A2461="",-1,IF($J2461=Setup!$B$7,1,IF($J2461=Setup!$B$9,0,-1)))</f>
        <v>-1</v>
      </c>
      <c r="S2461" s="35" t="n">
        <f aca="false">IF(OR($A2461="",$Q2461=0,$R2461=-1),0,$Q2461*1000+$R2461*100+$K2461)</f>
        <v>0</v>
      </c>
      <c r="T2461" s="37" t="str">
        <f aca="false">IF($A2461="","",IF($B2461="","NO ACCOUNT",IF($Q2461=0,"UNMAPPED",IF($R2461=-1,"OUTSIDE FY RANGE","OK"))))</f>
        <v/>
      </c>
      <c r="U2461" s="40" t="str">
        <f aca="false">IF($A2461="","",$B2461&amp;"|"&amp;TEXT($A2461,"yyyymmdd")&amp;"|"&amp;TEXT($I2461,"0.00"))</f>
        <v/>
      </c>
      <c r="V2461" s="35" t="str">
        <f aca="false">IF($A2461="","",COUNTIF($U$8:$U$5007,$U2461))</f>
        <v/>
      </c>
    </row>
    <row r="2462" customFormat="false" ht="15" hidden="false" customHeight="false" outlineLevel="0" collapsed="false">
      <c r="A2462" s="31"/>
      <c r="B2462" s="32"/>
      <c r="C2462" s="32"/>
      <c r="D2462" s="32"/>
      <c r="E2462" s="32"/>
      <c r="F2462" s="32"/>
      <c r="G2462" s="33"/>
      <c r="H2462" s="33"/>
      <c r="I2462" s="34" t="str">
        <f aca="false">IF($A2462="","",$G2462-$H2462)</f>
        <v/>
      </c>
      <c r="J2462" s="35" t="str">
        <f aca="false">IF($A2462="","",IF(Setup!$B$6=1,YEAR($A2462),YEAR($A2462)+IF(MONTH($A2462)&gt;=Setup!$B$6,1,0)))</f>
        <v/>
      </c>
      <c r="K2462" s="35" t="str">
        <f aca="false">IF($A2462="","",MOD(MONTH($A2462)-Setup!$B$6+12,12)+1)</f>
        <v/>
      </c>
      <c r="L2462" s="36" t="str">
        <f aca="false">IF($A2462="","",TEXT($A2462,"MMM-YY"))</f>
        <v/>
      </c>
      <c r="M2462" s="37" t="str">
        <f aca="false">IF($A2462="","",IF($Q2462=0,"UNMAPPED",INDEX(COA_Mapping!$C$7:$C$256,$Q2462)))</f>
        <v/>
      </c>
      <c r="N2462" s="38" t="str">
        <f aca="false">IF($A2462="","",IF($Q2462=0,"",INDEX(COA_Mapping!$E$7:$E$256,$Q2462)))</f>
        <v/>
      </c>
      <c r="O2462" s="38" t="n">
        <f aca="false">IF($A2462="",1,IF($Q2462=0,1,INDEX(COA_Mapping!$F$7:$F$256,$Q2462)))</f>
        <v>1</v>
      </c>
      <c r="P2462" s="34" t="str">
        <f aca="false">IF($A2462="","",$I2462*$O2462)</f>
        <v/>
      </c>
      <c r="Q2462" s="39" t="n">
        <f aca="false">IF($B2462="",0,IFERROR(MATCH($B2462,COA_Mapping!$A$7:$A$256,0),0))</f>
        <v>0</v>
      </c>
      <c r="R2462" s="39" t="n">
        <f aca="false">IF($A2462="",-1,IF($J2462=Setup!$B$7,1,IF($J2462=Setup!$B$9,0,-1)))</f>
        <v>-1</v>
      </c>
      <c r="S2462" s="35" t="n">
        <f aca="false">IF(OR($A2462="",$Q2462=0,$R2462=-1),0,$Q2462*1000+$R2462*100+$K2462)</f>
        <v>0</v>
      </c>
      <c r="T2462" s="37" t="str">
        <f aca="false">IF($A2462="","",IF($B2462="","NO ACCOUNT",IF($Q2462=0,"UNMAPPED",IF($R2462=-1,"OUTSIDE FY RANGE","OK"))))</f>
        <v/>
      </c>
      <c r="U2462" s="40" t="str">
        <f aca="false">IF($A2462="","",$B2462&amp;"|"&amp;TEXT($A2462,"yyyymmdd")&amp;"|"&amp;TEXT($I2462,"0.00"))</f>
        <v/>
      </c>
      <c r="V2462" s="35" t="str">
        <f aca="false">IF($A2462="","",COUNTIF($U$8:$U$5007,$U2462))</f>
        <v/>
      </c>
    </row>
    <row r="2463" customFormat="false" ht="15" hidden="false" customHeight="false" outlineLevel="0" collapsed="false">
      <c r="A2463" s="31"/>
      <c r="B2463" s="32"/>
      <c r="C2463" s="32"/>
      <c r="D2463" s="32"/>
      <c r="E2463" s="32"/>
      <c r="F2463" s="32"/>
      <c r="G2463" s="33"/>
      <c r="H2463" s="33"/>
      <c r="I2463" s="34" t="str">
        <f aca="false">IF($A2463="","",$G2463-$H2463)</f>
        <v/>
      </c>
      <c r="J2463" s="35" t="str">
        <f aca="false">IF($A2463="","",IF(Setup!$B$6=1,YEAR($A2463),YEAR($A2463)+IF(MONTH($A2463)&gt;=Setup!$B$6,1,0)))</f>
        <v/>
      </c>
      <c r="K2463" s="35" t="str">
        <f aca="false">IF($A2463="","",MOD(MONTH($A2463)-Setup!$B$6+12,12)+1)</f>
        <v/>
      </c>
      <c r="L2463" s="36" t="str">
        <f aca="false">IF($A2463="","",TEXT($A2463,"MMM-YY"))</f>
        <v/>
      </c>
      <c r="M2463" s="37" t="str">
        <f aca="false">IF($A2463="","",IF($Q2463=0,"UNMAPPED",INDEX(COA_Mapping!$C$7:$C$256,$Q2463)))</f>
        <v/>
      </c>
      <c r="N2463" s="38" t="str">
        <f aca="false">IF($A2463="","",IF($Q2463=0,"",INDEX(COA_Mapping!$E$7:$E$256,$Q2463)))</f>
        <v/>
      </c>
      <c r="O2463" s="38" t="n">
        <f aca="false">IF($A2463="",1,IF($Q2463=0,1,INDEX(COA_Mapping!$F$7:$F$256,$Q2463)))</f>
        <v>1</v>
      </c>
      <c r="P2463" s="34" t="str">
        <f aca="false">IF($A2463="","",$I2463*$O2463)</f>
        <v/>
      </c>
      <c r="Q2463" s="39" t="n">
        <f aca="false">IF($B2463="",0,IFERROR(MATCH($B2463,COA_Mapping!$A$7:$A$256,0),0))</f>
        <v>0</v>
      </c>
      <c r="R2463" s="39" t="n">
        <f aca="false">IF($A2463="",-1,IF($J2463=Setup!$B$7,1,IF($J2463=Setup!$B$9,0,-1)))</f>
        <v>-1</v>
      </c>
      <c r="S2463" s="35" t="n">
        <f aca="false">IF(OR($A2463="",$Q2463=0,$R2463=-1),0,$Q2463*1000+$R2463*100+$K2463)</f>
        <v>0</v>
      </c>
      <c r="T2463" s="37" t="str">
        <f aca="false">IF($A2463="","",IF($B2463="","NO ACCOUNT",IF($Q2463=0,"UNMAPPED",IF($R2463=-1,"OUTSIDE FY RANGE","OK"))))</f>
        <v/>
      </c>
      <c r="U2463" s="40" t="str">
        <f aca="false">IF($A2463="","",$B2463&amp;"|"&amp;TEXT($A2463,"yyyymmdd")&amp;"|"&amp;TEXT($I2463,"0.00"))</f>
        <v/>
      </c>
      <c r="V2463" s="35" t="str">
        <f aca="false">IF($A2463="","",COUNTIF($U$8:$U$5007,$U2463))</f>
        <v/>
      </c>
    </row>
    <row r="2464" customFormat="false" ht="15" hidden="false" customHeight="false" outlineLevel="0" collapsed="false">
      <c r="A2464" s="31"/>
      <c r="B2464" s="32"/>
      <c r="C2464" s="32"/>
      <c r="D2464" s="32"/>
      <c r="E2464" s="32"/>
      <c r="F2464" s="32"/>
      <c r="G2464" s="33"/>
      <c r="H2464" s="33"/>
      <c r="I2464" s="34" t="str">
        <f aca="false">IF($A2464="","",$G2464-$H2464)</f>
        <v/>
      </c>
      <c r="J2464" s="35" t="str">
        <f aca="false">IF($A2464="","",IF(Setup!$B$6=1,YEAR($A2464),YEAR($A2464)+IF(MONTH($A2464)&gt;=Setup!$B$6,1,0)))</f>
        <v/>
      </c>
      <c r="K2464" s="35" t="str">
        <f aca="false">IF($A2464="","",MOD(MONTH($A2464)-Setup!$B$6+12,12)+1)</f>
        <v/>
      </c>
      <c r="L2464" s="36" t="str">
        <f aca="false">IF($A2464="","",TEXT($A2464,"MMM-YY"))</f>
        <v/>
      </c>
      <c r="M2464" s="37" t="str">
        <f aca="false">IF($A2464="","",IF($Q2464=0,"UNMAPPED",INDEX(COA_Mapping!$C$7:$C$256,$Q2464)))</f>
        <v/>
      </c>
      <c r="N2464" s="38" t="str">
        <f aca="false">IF($A2464="","",IF($Q2464=0,"",INDEX(COA_Mapping!$E$7:$E$256,$Q2464)))</f>
        <v/>
      </c>
      <c r="O2464" s="38" t="n">
        <f aca="false">IF($A2464="",1,IF($Q2464=0,1,INDEX(COA_Mapping!$F$7:$F$256,$Q2464)))</f>
        <v>1</v>
      </c>
      <c r="P2464" s="34" t="str">
        <f aca="false">IF($A2464="","",$I2464*$O2464)</f>
        <v/>
      </c>
      <c r="Q2464" s="39" t="n">
        <f aca="false">IF($B2464="",0,IFERROR(MATCH($B2464,COA_Mapping!$A$7:$A$256,0),0))</f>
        <v>0</v>
      </c>
      <c r="R2464" s="39" t="n">
        <f aca="false">IF($A2464="",-1,IF($J2464=Setup!$B$7,1,IF($J2464=Setup!$B$9,0,-1)))</f>
        <v>-1</v>
      </c>
      <c r="S2464" s="35" t="n">
        <f aca="false">IF(OR($A2464="",$Q2464=0,$R2464=-1),0,$Q2464*1000+$R2464*100+$K2464)</f>
        <v>0</v>
      </c>
      <c r="T2464" s="37" t="str">
        <f aca="false">IF($A2464="","",IF($B2464="","NO ACCOUNT",IF($Q2464=0,"UNMAPPED",IF($R2464=-1,"OUTSIDE FY RANGE","OK"))))</f>
        <v/>
      </c>
      <c r="U2464" s="40" t="str">
        <f aca="false">IF($A2464="","",$B2464&amp;"|"&amp;TEXT($A2464,"yyyymmdd")&amp;"|"&amp;TEXT($I2464,"0.00"))</f>
        <v/>
      </c>
      <c r="V2464" s="35" t="str">
        <f aca="false">IF($A2464="","",COUNTIF($U$8:$U$5007,$U2464))</f>
        <v/>
      </c>
    </row>
    <row r="2465" customFormat="false" ht="15" hidden="false" customHeight="false" outlineLevel="0" collapsed="false">
      <c r="A2465" s="31"/>
      <c r="B2465" s="32"/>
      <c r="C2465" s="32"/>
      <c r="D2465" s="32"/>
      <c r="E2465" s="32"/>
      <c r="F2465" s="32"/>
      <c r="G2465" s="33"/>
      <c r="H2465" s="33"/>
      <c r="I2465" s="34" t="str">
        <f aca="false">IF($A2465="","",$G2465-$H2465)</f>
        <v/>
      </c>
      <c r="J2465" s="35" t="str">
        <f aca="false">IF($A2465="","",IF(Setup!$B$6=1,YEAR($A2465),YEAR($A2465)+IF(MONTH($A2465)&gt;=Setup!$B$6,1,0)))</f>
        <v/>
      </c>
      <c r="K2465" s="35" t="str">
        <f aca="false">IF($A2465="","",MOD(MONTH($A2465)-Setup!$B$6+12,12)+1)</f>
        <v/>
      </c>
      <c r="L2465" s="36" t="str">
        <f aca="false">IF($A2465="","",TEXT($A2465,"MMM-YY"))</f>
        <v/>
      </c>
      <c r="M2465" s="37" t="str">
        <f aca="false">IF($A2465="","",IF($Q2465=0,"UNMAPPED",INDEX(COA_Mapping!$C$7:$C$256,$Q2465)))</f>
        <v/>
      </c>
      <c r="N2465" s="38" t="str">
        <f aca="false">IF($A2465="","",IF($Q2465=0,"",INDEX(COA_Mapping!$E$7:$E$256,$Q2465)))</f>
        <v/>
      </c>
      <c r="O2465" s="38" t="n">
        <f aca="false">IF($A2465="",1,IF($Q2465=0,1,INDEX(COA_Mapping!$F$7:$F$256,$Q2465)))</f>
        <v>1</v>
      </c>
      <c r="P2465" s="34" t="str">
        <f aca="false">IF($A2465="","",$I2465*$O2465)</f>
        <v/>
      </c>
      <c r="Q2465" s="39" t="n">
        <f aca="false">IF($B2465="",0,IFERROR(MATCH($B2465,COA_Mapping!$A$7:$A$256,0),0))</f>
        <v>0</v>
      </c>
      <c r="R2465" s="39" t="n">
        <f aca="false">IF($A2465="",-1,IF($J2465=Setup!$B$7,1,IF($J2465=Setup!$B$9,0,-1)))</f>
        <v>-1</v>
      </c>
      <c r="S2465" s="35" t="n">
        <f aca="false">IF(OR($A2465="",$Q2465=0,$R2465=-1),0,$Q2465*1000+$R2465*100+$K2465)</f>
        <v>0</v>
      </c>
      <c r="T2465" s="37" t="str">
        <f aca="false">IF($A2465="","",IF($B2465="","NO ACCOUNT",IF($Q2465=0,"UNMAPPED",IF($R2465=-1,"OUTSIDE FY RANGE","OK"))))</f>
        <v/>
      </c>
      <c r="U2465" s="40" t="str">
        <f aca="false">IF($A2465="","",$B2465&amp;"|"&amp;TEXT($A2465,"yyyymmdd")&amp;"|"&amp;TEXT($I2465,"0.00"))</f>
        <v/>
      </c>
      <c r="V2465" s="35" t="str">
        <f aca="false">IF($A2465="","",COUNTIF($U$8:$U$5007,$U2465))</f>
        <v/>
      </c>
    </row>
    <row r="2466" customFormat="false" ht="15" hidden="false" customHeight="false" outlineLevel="0" collapsed="false">
      <c r="A2466" s="31"/>
      <c r="B2466" s="32"/>
      <c r="C2466" s="32"/>
      <c r="D2466" s="32"/>
      <c r="E2466" s="32"/>
      <c r="F2466" s="32"/>
      <c r="G2466" s="33"/>
      <c r="H2466" s="33"/>
      <c r="I2466" s="34" t="str">
        <f aca="false">IF($A2466="","",$G2466-$H2466)</f>
        <v/>
      </c>
      <c r="J2466" s="35" t="str">
        <f aca="false">IF($A2466="","",IF(Setup!$B$6=1,YEAR($A2466),YEAR($A2466)+IF(MONTH($A2466)&gt;=Setup!$B$6,1,0)))</f>
        <v/>
      </c>
      <c r="K2466" s="35" t="str">
        <f aca="false">IF($A2466="","",MOD(MONTH($A2466)-Setup!$B$6+12,12)+1)</f>
        <v/>
      </c>
      <c r="L2466" s="36" t="str">
        <f aca="false">IF($A2466="","",TEXT($A2466,"MMM-YY"))</f>
        <v/>
      </c>
      <c r="M2466" s="37" t="str">
        <f aca="false">IF($A2466="","",IF($Q2466=0,"UNMAPPED",INDEX(COA_Mapping!$C$7:$C$256,$Q2466)))</f>
        <v/>
      </c>
      <c r="N2466" s="38" t="str">
        <f aca="false">IF($A2466="","",IF($Q2466=0,"",INDEX(COA_Mapping!$E$7:$E$256,$Q2466)))</f>
        <v/>
      </c>
      <c r="O2466" s="38" t="n">
        <f aca="false">IF($A2466="",1,IF($Q2466=0,1,INDEX(COA_Mapping!$F$7:$F$256,$Q2466)))</f>
        <v>1</v>
      </c>
      <c r="P2466" s="34" t="str">
        <f aca="false">IF($A2466="","",$I2466*$O2466)</f>
        <v/>
      </c>
      <c r="Q2466" s="39" t="n">
        <f aca="false">IF($B2466="",0,IFERROR(MATCH($B2466,COA_Mapping!$A$7:$A$256,0),0))</f>
        <v>0</v>
      </c>
      <c r="R2466" s="39" t="n">
        <f aca="false">IF($A2466="",-1,IF($J2466=Setup!$B$7,1,IF($J2466=Setup!$B$9,0,-1)))</f>
        <v>-1</v>
      </c>
      <c r="S2466" s="35" t="n">
        <f aca="false">IF(OR($A2466="",$Q2466=0,$R2466=-1),0,$Q2466*1000+$R2466*100+$K2466)</f>
        <v>0</v>
      </c>
      <c r="T2466" s="37" t="str">
        <f aca="false">IF($A2466="","",IF($B2466="","NO ACCOUNT",IF($Q2466=0,"UNMAPPED",IF($R2466=-1,"OUTSIDE FY RANGE","OK"))))</f>
        <v/>
      </c>
      <c r="U2466" s="40" t="str">
        <f aca="false">IF($A2466="","",$B2466&amp;"|"&amp;TEXT($A2466,"yyyymmdd")&amp;"|"&amp;TEXT($I2466,"0.00"))</f>
        <v/>
      </c>
      <c r="V2466" s="35" t="str">
        <f aca="false">IF($A2466="","",COUNTIF($U$8:$U$5007,$U2466))</f>
        <v/>
      </c>
    </row>
    <row r="2467" customFormat="false" ht="15" hidden="false" customHeight="false" outlineLevel="0" collapsed="false">
      <c r="A2467" s="31"/>
      <c r="B2467" s="32"/>
      <c r="C2467" s="32"/>
      <c r="D2467" s="32"/>
      <c r="E2467" s="32"/>
      <c r="F2467" s="32"/>
      <c r="G2467" s="33"/>
      <c r="H2467" s="33"/>
      <c r="I2467" s="34" t="str">
        <f aca="false">IF($A2467="","",$G2467-$H2467)</f>
        <v/>
      </c>
      <c r="J2467" s="35" t="str">
        <f aca="false">IF($A2467="","",IF(Setup!$B$6=1,YEAR($A2467),YEAR($A2467)+IF(MONTH($A2467)&gt;=Setup!$B$6,1,0)))</f>
        <v/>
      </c>
      <c r="K2467" s="35" t="str">
        <f aca="false">IF($A2467="","",MOD(MONTH($A2467)-Setup!$B$6+12,12)+1)</f>
        <v/>
      </c>
      <c r="L2467" s="36" t="str">
        <f aca="false">IF($A2467="","",TEXT($A2467,"MMM-YY"))</f>
        <v/>
      </c>
      <c r="M2467" s="37" t="str">
        <f aca="false">IF($A2467="","",IF($Q2467=0,"UNMAPPED",INDEX(COA_Mapping!$C$7:$C$256,$Q2467)))</f>
        <v/>
      </c>
      <c r="N2467" s="38" t="str">
        <f aca="false">IF($A2467="","",IF($Q2467=0,"",INDEX(COA_Mapping!$E$7:$E$256,$Q2467)))</f>
        <v/>
      </c>
      <c r="O2467" s="38" t="n">
        <f aca="false">IF($A2467="",1,IF($Q2467=0,1,INDEX(COA_Mapping!$F$7:$F$256,$Q2467)))</f>
        <v>1</v>
      </c>
      <c r="P2467" s="34" t="str">
        <f aca="false">IF($A2467="","",$I2467*$O2467)</f>
        <v/>
      </c>
      <c r="Q2467" s="39" t="n">
        <f aca="false">IF($B2467="",0,IFERROR(MATCH($B2467,COA_Mapping!$A$7:$A$256,0),0))</f>
        <v>0</v>
      </c>
      <c r="R2467" s="39" t="n">
        <f aca="false">IF($A2467="",-1,IF($J2467=Setup!$B$7,1,IF($J2467=Setup!$B$9,0,-1)))</f>
        <v>-1</v>
      </c>
      <c r="S2467" s="35" t="n">
        <f aca="false">IF(OR($A2467="",$Q2467=0,$R2467=-1),0,$Q2467*1000+$R2467*100+$K2467)</f>
        <v>0</v>
      </c>
      <c r="T2467" s="37" t="str">
        <f aca="false">IF($A2467="","",IF($B2467="","NO ACCOUNT",IF($Q2467=0,"UNMAPPED",IF($R2467=-1,"OUTSIDE FY RANGE","OK"))))</f>
        <v/>
      </c>
      <c r="U2467" s="40" t="str">
        <f aca="false">IF($A2467="","",$B2467&amp;"|"&amp;TEXT($A2467,"yyyymmdd")&amp;"|"&amp;TEXT($I2467,"0.00"))</f>
        <v/>
      </c>
      <c r="V2467" s="35" t="str">
        <f aca="false">IF($A2467="","",COUNTIF($U$8:$U$5007,$U2467))</f>
        <v/>
      </c>
    </row>
    <row r="2468" customFormat="false" ht="15" hidden="false" customHeight="false" outlineLevel="0" collapsed="false">
      <c r="A2468" s="31"/>
      <c r="B2468" s="32"/>
      <c r="C2468" s="32"/>
      <c r="D2468" s="32"/>
      <c r="E2468" s="32"/>
      <c r="F2468" s="32"/>
      <c r="G2468" s="33"/>
      <c r="H2468" s="33"/>
      <c r="I2468" s="34" t="str">
        <f aca="false">IF($A2468="","",$G2468-$H2468)</f>
        <v/>
      </c>
      <c r="J2468" s="35" t="str">
        <f aca="false">IF($A2468="","",IF(Setup!$B$6=1,YEAR($A2468),YEAR($A2468)+IF(MONTH($A2468)&gt;=Setup!$B$6,1,0)))</f>
        <v/>
      </c>
      <c r="K2468" s="35" t="str">
        <f aca="false">IF($A2468="","",MOD(MONTH($A2468)-Setup!$B$6+12,12)+1)</f>
        <v/>
      </c>
      <c r="L2468" s="36" t="str">
        <f aca="false">IF($A2468="","",TEXT($A2468,"MMM-YY"))</f>
        <v/>
      </c>
      <c r="M2468" s="37" t="str">
        <f aca="false">IF($A2468="","",IF($Q2468=0,"UNMAPPED",INDEX(COA_Mapping!$C$7:$C$256,$Q2468)))</f>
        <v/>
      </c>
      <c r="N2468" s="38" t="str">
        <f aca="false">IF($A2468="","",IF($Q2468=0,"",INDEX(COA_Mapping!$E$7:$E$256,$Q2468)))</f>
        <v/>
      </c>
      <c r="O2468" s="38" t="n">
        <f aca="false">IF($A2468="",1,IF($Q2468=0,1,INDEX(COA_Mapping!$F$7:$F$256,$Q2468)))</f>
        <v>1</v>
      </c>
      <c r="P2468" s="34" t="str">
        <f aca="false">IF($A2468="","",$I2468*$O2468)</f>
        <v/>
      </c>
      <c r="Q2468" s="39" t="n">
        <f aca="false">IF($B2468="",0,IFERROR(MATCH($B2468,COA_Mapping!$A$7:$A$256,0),0))</f>
        <v>0</v>
      </c>
      <c r="R2468" s="39" t="n">
        <f aca="false">IF($A2468="",-1,IF($J2468=Setup!$B$7,1,IF($J2468=Setup!$B$9,0,-1)))</f>
        <v>-1</v>
      </c>
      <c r="S2468" s="35" t="n">
        <f aca="false">IF(OR($A2468="",$Q2468=0,$R2468=-1),0,$Q2468*1000+$R2468*100+$K2468)</f>
        <v>0</v>
      </c>
      <c r="T2468" s="37" t="str">
        <f aca="false">IF($A2468="","",IF($B2468="","NO ACCOUNT",IF($Q2468=0,"UNMAPPED",IF($R2468=-1,"OUTSIDE FY RANGE","OK"))))</f>
        <v/>
      </c>
      <c r="U2468" s="40" t="str">
        <f aca="false">IF($A2468="","",$B2468&amp;"|"&amp;TEXT($A2468,"yyyymmdd")&amp;"|"&amp;TEXT($I2468,"0.00"))</f>
        <v/>
      </c>
      <c r="V2468" s="35" t="str">
        <f aca="false">IF($A2468="","",COUNTIF($U$8:$U$5007,$U2468))</f>
        <v/>
      </c>
    </row>
    <row r="2469" customFormat="false" ht="15" hidden="false" customHeight="false" outlineLevel="0" collapsed="false">
      <c r="A2469" s="31"/>
      <c r="B2469" s="32"/>
      <c r="C2469" s="32"/>
      <c r="D2469" s="32"/>
      <c r="E2469" s="32"/>
      <c r="F2469" s="32"/>
      <c r="G2469" s="33"/>
      <c r="H2469" s="33"/>
      <c r="I2469" s="34" t="str">
        <f aca="false">IF($A2469="","",$G2469-$H2469)</f>
        <v/>
      </c>
      <c r="J2469" s="35" t="str">
        <f aca="false">IF($A2469="","",IF(Setup!$B$6=1,YEAR($A2469),YEAR($A2469)+IF(MONTH($A2469)&gt;=Setup!$B$6,1,0)))</f>
        <v/>
      </c>
      <c r="K2469" s="35" t="str">
        <f aca="false">IF($A2469="","",MOD(MONTH($A2469)-Setup!$B$6+12,12)+1)</f>
        <v/>
      </c>
      <c r="L2469" s="36" t="str">
        <f aca="false">IF($A2469="","",TEXT($A2469,"MMM-YY"))</f>
        <v/>
      </c>
      <c r="M2469" s="37" t="str">
        <f aca="false">IF($A2469="","",IF($Q2469=0,"UNMAPPED",INDEX(COA_Mapping!$C$7:$C$256,$Q2469)))</f>
        <v/>
      </c>
      <c r="N2469" s="38" t="str">
        <f aca="false">IF($A2469="","",IF($Q2469=0,"",INDEX(COA_Mapping!$E$7:$E$256,$Q2469)))</f>
        <v/>
      </c>
      <c r="O2469" s="38" t="n">
        <f aca="false">IF($A2469="",1,IF($Q2469=0,1,INDEX(COA_Mapping!$F$7:$F$256,$Q2469)))</f>
        <v>1</v>
      </c>
      <c r="P2469" s="34" t="str">
        <f aca="false">IF($A2469="","",$I2469*$O2469)</f>
        <v/>
      </c>
      <c r="Q2469" s="39" t="n">
        <f aca="false">IF($B2469="",0,IFERROR(MATCH($B2469,COA_Mapping!$A$7:$A$256,0),0))</f>
        <v>0</v>
      </c>
      <c r="R2469" s="39" t="n">
        <f aca="false">IF($A2469="",-1,IF($J2469=Setup!$B$7,1,IF($J2469=Setup!$B$9,0,-1)))</f>
        <v>-1</v>
      </c>
      <c r="S2469" s="35" t="n">
        <f aca="false">IF(OR($A2469="",$Q2469=0,$R2469=-1),0,$Q2469*1000+$R2469*100+$K2469)</f>
        <v>0</v>
      </c>
      <c r="T2469" s="37" t="str">
        <f aca="false">IF($A2469="","",IF($B2469="","NO ACCOUNT",IF($Q2469=0,"UNMAPPED",IF($R2469=-1,"OUTSIDE FY RANGE","OK"))))</f>
        <v/>
      </c>
      <c r="U2469" s="40" t="str">
        <f aca="false">IF($A2469="","",$B2469&amp;"|"&amp;TEXT($A2469,"yyyymmdd")&amp;"|"&amp;TEXT($I2469,"0.00"))</f>
        <v/>
      </c>
      <c r="V2469" s="35" t="str">
        <f aca="false">IF($A2469="","",COUNTIF($U$8:$U$5007,$U2469))</f>
        <v/>
      </c>
    </row>
    <row r="2470" customFormat="false" ht="15" hidden="false" customHeight="false" outlineLevel="0" collapsed="false">
      <c r="A2470" s="31"/>
      <c r="B2470" s="32"/>
      <c r="C2470" s="32"/>
      <c r="D2470" s="32"/>
      <c r="E2470" s="32"/>
      <c r="F2470" s="32"/>
      <c r="G2470" s="33"/>
      <c r="H2470" s="33"/>
      <c r="I2470" s="34" t="str">
        <f aca="false">IF($A2470="","",$G2470-$H2470)</f>
        <v/>
      </c>
      <c r="J2470" s="35" t="str">
        <f aca="false">IF($A2470="","",IF(Setup!$B$6=1,YEAR($A2470),YEAR($A2470)+IF(MONTH($A2470)&gt;=Setup!$B$6,1,0)))</f>
        <v/>
      </c>
      <c r="K2470" s="35" t="str">
        <f aca="false">IF($A2470="","",MOD(MONTH($A2470)-Setup!$B$6+12,12)+1)</f>
        <v/>
      </c>
      <c r="L2470" s="36" t="str">
        <f aca="false">IF($A2470="","",TEXT($A2470,"MMM-YY"))</f>
        <v/>
      </c>
      <c r="M2470" s="37" t="str">
        <f aca="false">IF($A2470="","",IF($Q2470=0,"UNMAPPED",INDEX(COA_Mapping!$C$7:$C$256,$Q2470)))</f>
        <v/>
      </c>
      <c r="N2470" s="38" t="str">
        <f aca="false">IF($A2470="","",IF($Q2470=0,"",INDEX(COA_Mapping!$E$7:$E$256,$Q2470)))</f>
        <v/>
      </c>
      <c r="O2470" s="38" t="n">
        <f aca="false">IF($A2470="",1,IF($Q2470=0,1,INDEX(COA_Mapping!$F$7:$F$256,$Q2470)))</f>
        <v>1</v>
      </c>
      <c r="P2470" s="34" t="str">
        <f aca="false">IF($A2470="","",$I2470*$O2470)</f>
        <v/>
      </c>
      <c r="Q2470" s="39" t="n">
        <f aca="false">IF($B2470="",0,IFERROR(MATCH($B2470,COA_Mapping!$A$7:$A$256,0),0))</f>
        <v>0</v>
      </c>
      <c r="R2470" s="39" t="n">
        <f aca="false">IF($A2470="",-1,IF($J2470=Setup!$B$7,1,IF($J2470=Setup!$B$9,0,-1)))</f>
        <v>-1</v>
      </c>
      <c r="S2470" s="35" t="n">
        <f aca="false">IF(OR($A2470="",$Q2470=0,$R2470=-1),0,$Q2470*1000+$R2470*100+$K2470)</f>
        <v>0</v>
      </c>
      <c r="T2470" s="37" t="str">
        <f aca="false">IF($A2470="","",IF($B2470="","NO ACCOUNT",IF($Q2470=0,"UNMAPPED",IF($R2470=-1,"OUTSIDE FY RANGE","OK"))))</f>
        <v/>
      </c>
      <c r="U2470" s="40" t="str">
        <f aca="false">IF($A2470="","",$B2470&amp;"|"&amp;TEXT($A2470,"yyyymmdd")&amp;"|"&amp;TEXT($I2470,"0.00"))</f>
        <v/>
      </c>
      <c r="V2470" s="35" t="str">
        <f aca="false">IF($A2470="","",COUNTIF($U$8:$U$5007,$U2470))</f>
        <v/>
      </c>
    </row>
    <row r="2471" customFormat="false" ht="15" hidden="false" customHeight="false" outlineLevel="0" collapsed="false">
      <c r="A2471" s="31"/>
      <c r="B2471" s="32"/>
      <c r="C2471" s="32"/>
      <c r="D2471" s="32"/>
      <c r="E2471" s="32"/>
      <c r="F2471" s="32"/>
      <c r="G2471" s="33"/>
      <c r="H2471" s="33"/>
      <c r="I2471" s="34" t="str">
        <f aca="false">IF($A2471="","",$G2471-$H2471)</f>
        <v/>
      </c>
      <c r="J2471" s="35" t="str">
        <f aca="false">IF($A2471="","",IF(Setup!$B$6=1,YEAR($A2471),YEAR($A2471)+IF(MONTH($A2471)&gt;=Setup!$B$6,1,0)))</f>
        <v/>
      </c>
      <c r="K2471" s="35" t="str">
        <f aca="false">IF($A2471="","",MOD(MONTH($A2471)-Setup!$B$6+12,12)+1)</f>
        <v/>
      </c>
      <c r="L2471" s="36" t="str">
        <f aca="false">IF($A2471="","",TEXT($A2471,"MMM-YY"))</f>
        <v/>
      </c>
      <c r="M2471" s="37" t="str">
        <f aca="false">IF($A2471="","",IF($Q2471=0,"UNMAPPED",INDEX(COA_Mapping!$C$7:$C$256,$Q2471)))</f>
        <v/>
      </c>
      <c r="N2471" s="38" t="str">
        <f aca="false">IF($A2471="","",IF($Q2471=0,"",INDEX(COA_Mapping!$E$7:$E$256,$Q2471)))</f>
        <v/>
      </c>
      <c r="O2471" s="38" t="n">
        <f aca="false">IF($A2471="",1,IF($Q2471=0,1,INDEX(COA_Mapping!$F$7:$F$256,$Q2471)))</f>
        <v>1</v>
      </c>
      <c r="P2471" s="34" t="str">
        <f aca="false">IF($A2471="","",$I2471*$O2471)</f>
        <v/>
      </c>
      <c r="Q2471" s="39" t="n">
        <f aca="false">IF($B2471="",0,IFERROR(MATCH($B2471,COA_Mapping!$A$7:$A$256,0),0))</f>
        <v>0</v>
      </c>
      <c r="R2471" s="39" t="n">
        <f aca="false">IF($A2471="",-1,IF($J2471=Setup!$B$7,1,IF($J2471=Setup!$B$9,0,-1)))</f>
        <v>-1</v>
      </c>
      <c r="S2471" s="35" t="n">
        <f aca="false">IF(OR($A2471="",$Q2471=0,$R2471=-1),0,$Q2471*1000+$R2471*100+$K2471)</f>
        <v>0</v>
      </c>
      <c r="T2471" s="37" t="str">
        <f aca="false">IF($A2471="","",IF($B2471="","NO ACCOUNT",IF($Q2471=0,"UNMAPPED",IF($R2471=-1,"OUTSIDE FY RANGE","OK"))))</f>
        <v/>
      </c>
      <c r="U2471" s="40" t="str">
        <f aca="false">IF($A2471="","",$B2471&amp;"|"&amp;TEXT($A2471,"yyyymmdd")&amp;"|"&amp;TEXT($I2471,"0.00"))</f>
        <v/>
      </c>
      <c r="V2471" s="35" t="str">
        <f aca="false">IF($A2471="","",COUNTIF($U$8:$U$5007,$U2471))</f>
        <v/>
      </c>
    </row>
    <row r="2472" customFormat="false" ht="15" hidden="false" customHeight="false" outlineLevel="0" collapsed="false">
      <c r="A2472" s="31"/>
      <c r="B2472" s="32"/>
      <c r="C2472" s="32"/>
      <c r="D2472" s="32"/>
      <c r="E2472" s="32"/>
      <c r="F2472" s="32"/>
      <c r="G2472" s="33"/>
      <c r="H2472" s="33"/>
      <c r="I2472" s="34" t="str">
        <f aca="false">IF($A2472="","",$G2472-$H2472)</f>
        <v/>
      </c>
      <c r="J2472" s="35" t="str">
        <f aca="false">IF($A2472="","",IF(Setup!$B$6=1,YEAR($A2472),YEAR($A2472)+IF(MONTH($A2472)&gt;=Setup!$B$6,1,0)))</f>
        <v/>
      </c>
      <c r="K2472" s="35" t="str">
        <f aca="false">IF($A2472="","",MOD(MONTH($A2472)-Setup!$B$6+12,12)+1)</f>
        <v/>
      </c>
      <c r="L2472" s="36" t="str">
        <f aca="false">IF($A2472="","",TEXT($A2472,"MMM-YY"))</f>
        <v/>
      </c>
      <c r="M2472" s="37" t="str">
        <f aca="false">IF($A2472="","",IF($Q2472=0,"UNMAPPED",INDEX(COA_Mapping!$C$7:$C$256,$Q2472)))</f>
        <v/>
      </c>
      <c r="N2472" s="38" t="str">
        <f aca="false">IF($A2472="","",IF($Q2472=0,"",INDEX(COA_Mapping!$E$7:$E$256,$Q2472)))</f>
        <v/>
      </c>
      <c r="O2472" s="38" t="n">
        <f aca="false">IF($A2472="",1,IF($Q2472=0,1,INDEX(COA_Mapping!$F$7:$F$256,$Q2472)))</f>
        <v>1</v>
      </c>
      <c r="P2472" s="34" t="str">
        <f aca="false">IF($A2472="","",$I2472*$O2472)</f>
        <v/>
      </c>
      <c r="Q2472" s="39" t="n">
        <f aca="false">IF($B2472="",0,IFERROR(MATCH($B2472,COA_Mapping!$A$7:$A$256,0),0))</f>
        <v>0</v>
      </c>
      <c r="R2472" s="39" t="n">
        <f aca="false">IF($A2472="",-1,IF($J2472=Setup!$B$7,1,IF($J2472=Setup!$B$9,0,-1)))</f>
        <v>-1</v>
      </c>
      <c r="S2472" s="35" t="n">
        <f aca="false">IF(OR($A2472="",$Q2472=0,$R2472=-1),0,$Q2472*1000+$R2472*100+$K2472)</f>
        <v>0</v>
      </c>
      <c r="T2472" s="37" t="str">
        <f aca="false">IF($A2472="","",IF($B2472="","NO ACCOUNT",IF($Q2472=0,"UNMAPPED",IF($R2472=-1,"OUTSIDE FY RANGE","OK"))))</f>
        <v/>
      </c>
      <c r="U2472" s="40" t="str">
        <f aca="false">IF($A2472="","",$B2472&amp;"|"&amp;TEXT($A2472,"yyyymmdd")&amp;"|"&amp;TEXT($I2472,"0.00"))</f>
        <v/>
      </c>
      <c r="V2472" s="35" t="str">
        <f aca="false">IF($A2472="","",COUNTIF($U$8:$U$5007,$U2472))</f>
        <v/>
      </c>
    </row>
    <row r="2473" customFormat="false" ht="15" hidden="false" customHeight="false" outlineLevel="0" collapsed="false">
      <c r="A2473" s="31"/>
      <c r="B2473" s="32"/>
      <c r="C2473" s="32"/>
      <c r="D2473" s="32"/>
      <c r="E2473" s="32"/>
      <c r="F2473" s="32"/>
      <c r="G2473" s="33"/>
      <c r="H2473" s="33"/>
      <c r="I2473" s="34" t="str">
        <f aca="false">IF($A2473="","",$G2473-$H2473)</f>
        <v/>
      </c>
      <c r="J2473" s="35" t="str">
        <f aca="false">IF($A2473="","",IF(Setup!$B$6=1,YEAR($A2473),YEAR($A2473)+IF(MONTH($A2473)&gt;=Setup!$B$6,1,0)))</f>
        <v/>
      </c>
      <c r="K2473" s="35" t="str">
        <f aca="false">IF($A2473="","",MOD(MONTH($A2473)-Setup!$B$6+12,12)+1)</f>
        <v/>
      </c>
      <c r="L2473" s="36" t="str">
        <f aca="false">IF($A2473="","",TEXT($A2473,"MMM-YY"))</f>
        <v/>
      </c>
      <c r="M2473" s="37" t="str">
        <f aca="false">IF($A2473="","",IF($Q2473=0,"UNMAPPED",INDEX(COA_Mapping!$C$7:$C$256,$Q2473)))</f>
        <v/>
      </c>
      <c r="N2473" s="38" t="str">
        <f aca="false">IF($A2473="","",IF($Q2473=0,"",INDEX(COA_Mapping!$E$7:$E$256,$Q2473)))</f>
        <v/>
      </c>
      <c r="O2473" s="38" t="n">
        <f aca="false">IF($A2473="",1,IF($Q2473=0,1,INDEX(COA_Mapping!$F$7:$F$256,$Q2473)))</f>
        <v>1</v>
      </c>
      <c r="P2473" s="34" t="str">
        <f aca="false">IF($A2473="","",$I2473*$O2473)</f>
        <v/>
      </c>
      <c r="Q2473" s="39" t="n">
        <f aca="false">IF($B2473="",0,IFERROR(MATCH($B2473,COA_Mapping!$A$7:$A$256,0),0))</f>
        <v>0</v>
      </c>
      <c r="R2473" s="39" t="n">
        <f aca="false">IF($A2473="",-1,IF($J2473=Setup!$B$7,1,IF($J2473=Setup!$B$9,0,-1)))</f>
        <v>-1</v>
      </c>
      <c r="S2473" s="35" t="n">
        <f aca="false">IF(OR($A2473="",$Q2473=0,$R2473=-1),0,$Q2473*1000+$R2473*100+$K2473)</f>
        <v>0</v>
      </c>
      <c r="T2473" s="37" t="str">
        <f aca="false">IF($A2473="","",IF($B2473="","NO ACCOUNT",IF($Q2473=0,"UNMAPPED",IF($R2473=-1,"OUTSIDE FY RANGE","OK"))))</f>
        <v/>
      </c>
      <c r="U2473" s="40" t="str">
        <f aca="false">IF($A2473="","",$B2473&amp;"|"&amp;TEXT($A2473,"yyyymmdd")&amp;"|"&amp;TEXT($I2473,"0.00"))</f>
        <v/>
      </c>
      <c r="V2473" s="35" t="str">
        <f aca="false">IF($A2473="","",COUNTIF($U$8:$U$5007,$U2473))</f>
        <v/>
      </c>
    </row>
    <row r="2474" customFormat="false" ht="15" hidden="false" customHeight="false" outlineLevel="0" collapsed="false">
      <c r="A2474" s="31"/>
      <c r="B2474" s="32"/>
      <c r="C2474" s="32"/>
      <c r="D2474" s="32"/>
      <c r="E2474" s="32"/>
      <c r="F2474" s="32"/>
      <c r="G2474" s="33"/>
      <c r="H2474" s="33"/>
      <c r="I2474" s="34" t="str">
        <f aca="false">IF($A2474="","",$G2474-$H2474)</f>
        <v/>
      </c>
      <c r="J2474" s="35" t="str">
        <f aca="false">IF($A2474="","",IF(Setup!$B$6=1,YEAR($A2474),YEAR($A2474)+IF(MONTH($A2474)&gt;=Setup!$B$6,1,0)))</f>
        <v/>
      </c>
      <c r="K2474" s="35" t="str">
        <f aca="false">IF($A2474="","",MOD(MONTH($A2474)-Setup!$B$6+12,12)+1)</f>
        <v/>
      </c>
      <c r="L2474" s="36" t="str">
        <f aca="false">IF($A2474="","",TEXT($A2474,"MMM-YY"))</f>
        <v/>
      </c>
      <c r="M2474" s="37" t="str">
        <f aca="false">IF($A2474="","",IF($Q2474=0,"UNMAPPED",INDEX(COA_Mapping!$C$7:$C$256,$Q2474)))</f>
        <v/>
      </c>
      <c r="N2474" s="38" t="str">
        <f aca="false">IF($A2474="","",IF($Q2474=0,"",INDEX(COA_Mapping!$E$7:$E$256,$Q2474)))</f>
        <v/>
      </c>
      <c r="O2474" s="38" t="n">
        <f aca="false">IF($A2474="",1,IF($Q2474=0,1,INDEX(COA_Mapping!$F$7:$F$256,$Q2474)))</f>
        <v>1</v>
      </c>
      <c r="P2474" s="34" t="str">
        <f aca="false">IF($A2474="","",$I2474*$O2474)</f>
        <v/>
      </c>
      <c r="Q2474" s="39" t="n">
        <f aca="false">IF($B2474="",0,IFERROR(MATCH($B2474,COA_Mapping!$A$7:$A$256,0),0))</f>
        <v>0</v>
      </c>
      <c r="R2474" s="39" t="n">
        <f aca="false">IF($A2474="",-1,IF($J2474=Setup!$B$7,1,IF($J2474=Setup!$B$9,0,-1)))</f>
        <v>-1</v>
      </c>
      <c r="S2474" s="35" t="n">
        <f aca="false">IF(OR($A2474="",$Q2474=0,$R2474=-1),0,$Q2474*1000+$R2474*100+$K2474)</f>
        <v>0</v>
      </c>
      <c r="T2474" s="37" t="str">
        <f aca="false">IF($A2474="","",IF($B2474="","NO ACCOUNT",IF($Q2474=0,"UNMAPPED",IF($R2474=-1,"OUTSIDE FY RANGE","OK"))))</f>
        <v/>
      </c>
      <c r="U2474" s="40" t="str">
        <f aca="false">IF($A2474="","",$B2474&amp;"|"&amp;TEXT($A2474,"yyyymmdd")&amp;"|"&amp;TEXT($I2474,"0.00"))</f>
        <v/>
      </c>
      <c r="V2474" s="35" t="str">
        <f aca="false">IF($A2474="","",COUNTIF($U$8:$U$5007,$U2474))</f>
        <v/>
      </c>
    </row>
    <row r="2475" customFormat="false" ht="15" hidden="false" customHeight="false" outlineLevel="0" collapsed="false">
      <c r="A2475" s="31"/>
      <c r="B2475" s="32"/>
      <c r="C2475" s="32"/>
      <c r="D2475" s="32"/>
      <c r="E2475" s="32"/>
      <c r="F2475" s="32"/>
      <c r="G2475" s="33"/>
      <c r="H2475" s="33"/>
      <c r="I2475" s="34" t="str">
        <f aca="false">IF($A2475="","",$G2475-$H2475)</f>
        <v/>
      </c>
      <c r="J2475" s="35" t="str">
        <f aca="false">IF($A2475="","",IF(Setup!$B$6=1,YEAR($A2475),YEAR($A2475)+IF(MONTH($A2475)&gt;=Setup!$B$6,1,0)))</f>
        <v/>
      </c>
      <c r="K2475" s="35" t="str">
        <f aca="false">IF($A2475="","",MOD(MONTH($A2475)-Setup!$B$6+12,12)+1)</f>
        <v/>
      </c>
      <c r="L2475" s="36" t="str">
        <f aca="false">IF($A2475="","",TEXT($A2475,"MMM-YY"))</f>
        <v/>
      </c>
      <c r="M2475" s="37" t="str">
        <f aca="false">IF($A2475="","",IF($Q2475=0,"UNMAPPED",INDEX(COA_Mapping!$C$7:$C$256,$Q2475)))</f>
        <v/>
      </c>
      <c r="N2475" s="38" t="str">
        <f aca="false">IF($A2475="","",IF($Q2475=0,"",INDEX(COA_Mapping!$E$7:$E$256,$Q2475)))</f>
        <v/>
      </c>
      <c r="O2475" s="38" t="n">
        <f aca="false">IF($A2475="",1,IF($Q2475=0,1,INDEX(COA_Mapping!$F$7:$F$256,$Q2475)))</f>
        <v>1</v>
      </c>
      <c r="P2475" s="34" t="str">
        <f aca="false">IF($A2475="","",$I2475*$O2475)</f>
        <v/>
      </c>
      <c r="Q2475" s="39" t="n">
        <f aca="false">IF($B2475="",0,IFERROR(MATCH($B2475,COA_Mapping!$A$7:$A$256,0),0))</f>
        <v>0</v>
      </c>
      <c r="R2475" s="39" t="n">
        <f aca="false">IF($A2475="",-1,IF($J2475=Setup!$B$7,1,IF($J2475=Setup!$B$9,0,-1)))</f>
        <v>-1</v>
      </c>
      <c r="S2475" s="35" t="n">
        <f aca="false">IF(OR($A2475="",$Q2475=0,$R2475=-1),0,$Q2475*1000+$R2475*100+$K2475)</f>
        <v>0</v>
      </c>
      <c r="T2475" s="37" t="str">
        <f aca="false">IF($A2475="","",IF($B2475="","NO ACCOUNT",IF($Q2475=0,"UNMAPPED",IF($R2475=-1,"OUTSIDE FY RANGE","OK"))))</f>
        <v/>
      </c>
      <c r="U2475" s="40" t="str">
        <f aca="false">IF($A2475="","",$B2475&amp;"|"&amp;TEXT($A2475,"yyyymmdd")&amp;"|"&amp;TEXT($I2475,"0.00"))</f>
        <v/>
      </c>
      <c r="V2475" s="35" t="str">
        <f aca="false">IF($A2475="","",COUNTIF($U$8:$U$5007,$U2475))</f>
        <v/>
      </c>
    </row>
    <row r="2476" customFormat="false" ht="15" hidden="false" customHeight="false" outlineLevel="0" collapsed="false">
      <c r="A2476" s="31"/>
      <c r="B2476" s="32"/>
      <c r="C2476" s="32"/>
      <c r="D2476" s="32"/>
      <c r="E2476" s="32"/>
      <c r="F2476" s="32"/>
      <c r="G2476" s="33"/>
      <c r="H2476" s="33"/>
      <c r="I2476" s="34" t="str">
        <f aca="false">IF($A2476="","",$G2476-$H2476)</f>
        <v/>
      </c>
      <c r="J2476" s="35" t="str">
        <f aca="false">IF($A2476="","",IF(Setup!$B$6=1,YEAR($A2476),YEAR($A2476)+IF(MONTH($A2476)&gt;=Setup!$B$6,1,0)))</f>
        <v/>
      </c>
      <c r="K2476" s="35" t="str">
        <f aca="false">IF($A2476="","",MOD(MONTH($A2476)-Setup!$B$6+12,12)+1)</f>
        <v/>
      </c>
      <c r="L2476" s="36" t="str">
        <f aca="false">IF($A2476="","",TEXT($A2476,"MMM-YY"))</f>
        <v/>
      </c>
      <c r="M2476" s="37" t="str">
        <f aca="false">IF($A2476="","",IF($Q2476=0,"UNMAPPED",INDEX(COA_Mapping!$C$7:$C$256,$Q2476)))</f>
        <v/>
      </c>
      <c r="N2476" s="38" t="str">
        <f aca="false">IF($A2476="","",IF($Q2476=0,"",INDEX(COA_Mapping!$E$7:$E$256,$Q2476)))</f>
        <v/>
      </c>
      <c r="O2476" s="38" t="n">
        <f aca="false">IF($A2476="",1,IF($Q2476=0,1,INDEX(COA_Mapping!$F$7:$F$256,$Q2476)))</f>
        <v>1</v>
      </c>
      <c r="P2476" s="34" t="str">
        <f aca="false">IF($A2476="","",$I2476*$O2476)</f>
        <v/>
      </c>
      <c r="Q2476" s="39" t="n">
        <f aca="false">IF($B2476="",0,IFERROR(MATCH($B2476,COA_Mapping!$A$7:$A$256,0),0))</f>
        <v>0</v>
      </c>
      <c r="R2476" s="39" t="n">
        <f aca="false">IF($A2476="",-1,IF($J2476=Setup!$B$7,1,IF($J2476=Setup!$B$9,0,-1)))</f>
        <v>-1</v>
      </c>
      <c r="S2476" s="35" t="n">
        <f aca="false">IF(OR($A2476="",$Q2476=0,$R2476=-1),0,$Q2476*1000+$R2476*100+$K2476)</f>
        <v>0</v>
      </c>
      <c r="T2476" s="37" t="str">
        <f aca="false">IF($A2476="","",IF($B2476="","NO ACCOUNT",IF($Q2476=0,"UNMAPPED",IF($R2476=-1,"OUTSIDE FY RANGE","OK"))))</f>
        <v/>
      </c>
      <c r="U2476" s="40" t="str">
        <f aca="false">IF($A2476="","",$B2476&amp;"|"&amp;TEXT($A2476,"yyyymmdd")&amp;"|"&amp;TEXT($I2476,"0.00"))</f>
        <v/>
      </c>
      <c r="V2476" s="35" t="str">
        <f aca="false">IF($A2476="","",COUNTIF($U$8:$U$5007,$U2476))</f>
        <v/>
      </c>
    </row>
    <row r="2477" customFormat="false" ht="15" hidden="false" customHeight="false" outlineLevel="0" collapsed="false">
      <c r="A2477" s="31"/>
      <c r="B2477" s="32"/>
      <c r="C2477" s="32"/>
      <c r="D2477" s="32"/>
      <c r="E2477" s="32"/>
      <c r="F2477" s="32"/>
      <c r="G2477" s="33"/>
      <c r="H2477" s="33"/>
      <c r="I2477" s="34" t="str">
        <f aca="false">IF($A2477="","",$G2477-$H2477)</f>
        <v/>
      </c>
      <c r="J2477" s="35" t="str">
        <f aca="false">IF($A2477="","",IF(Setup!$B$6=1,YEAR($A2477),YEAR($A2477)+IF(MONTH($A2477)&gt;=Setup!$B$6,1,0)))</f>
        <v/>
      </c>
      <c r="K2477" s="35" t="str">
        <f aca="false">IF($A2477="","",MOD(MONTH($A2477)-Setup!$B$6+12,12)+1)</f>
        <v/>
      </c>
      <c r="L2477" s="36" t="str">
        <f aca="false">IF($A2477="","",TEXT($A2477,"MMM-YY"))</f>
        <v/>
      </c>
      <c r="M2477" s="37" t="str">
        <f aca="false">IF($A2477="","",IF($Q2477=0,"UNMAPPED",INDEX(COA_Mapping!$C$7:$C$256,$Q2477)))</f>
        <v/>
      </c>
      <c r="N2477" s="38" t="str">
        <f aca="false">IF($A2477="","",IF($Q2477=0,"",INDEX(COA_Mapping!$E$7:$E$256,$Q2477)))</f>
        <v/>
      </c>
      <c r="O2477" s="38" t="n">
        <f aca="false">IF($A2477="",1,IF($Q2477=0,1,INDEX(COA_Mapping!$F$7:$F$256,$Q2477)))</f>
        <v>1</v>
      </c>
      <c r="P2477" s="34" t="str">
        <f aca="false">IF($A2477="","",$I2477*$O2477)</f>
        <v/>
      </c>
      <c r="Q2477" s="39" t="n">
        <f aca="false">IF($B2477="",0,IFERROR(MATCH($B2477,COA_Mapping!$A$7:$A$256,0),0))</f>
        <v>0</v>
      </c>
      <c r="R2477" s="39" t="n">
        <f aca="false">IF($A2477="",-1,IF($J2477=Setup!$B$7,1,IF($J2477=Setup!$B$9,0,-1)))</f>
        <v>-1</v>
      </c>
      <c r="S2477" s="35" t="n">
        <f aca="false">IF(OR($A2477="",$Q2477=0,$R2477=-1),0,$Q2477*1000+$R2477*100+$K2477)</f>
        <v>0</v>
      </c>
      <c r="T2477" s="37" t="str">
        <f aca="false">IF($A2477="","",IF($B2477="","NO ACCOUNT",IF($Q2477=0,"UNMAPPED",IF($R2477=-1,"OUTSIDE FY RANGE","OK"))))</f>
        <v/>
      </c>
      <c r="U2477" s="40" t="str">
        <f aca="false">IF($A2477="","",$B2477&amp;"|"&amp;TEXT($A2477,"yyyymmdd")&amp;"|"&amp;TEXT($I2477,"0.00"))</f>
        <v/>
      </c>
      <c r="V2477" s="35" t="str">
        <f aca="false">IF($A2477="","",COUNTIF($U$8:$U$5007,$U2477))</f>
        <v/>
      </c>
    </row>
    <row r="2478" customFormat="false" ht="15" hidden="false" customHeight="false" outlineLevel="0" collapsed="false">
      <c r="A2478" s="31"/>
      <c r="B2478" s="32"/>
      <c r="C2478" s="32"/>
      <c r="D2478" s="32"/>
      <c r="E2478" s="32"/>
      <c r="F2478" s="32"/>
      <c r="G2478" s="33"/>
      <c r="H2478" s="33"/>
      <c r="I2478" s="34" t="str">
        <f aca="false">IF($A2478="","",$G2478-$H2478)</f>
        <v/>
      </c>
      <c r="J2478" s="35" t="str">
        <f aca="false">IF($A2478="","",IF(Setup!$B$6=1,YEAR($A2478),YEAR($A2478)+IF(MONTH($A2478)&gt;=Setup!$B$6,1,0)))</f>
        <v/>
      </c>
      <c r="K2478" s="35" t="str">
        <f aca="false">IF($A2478="","",MOD(MONTH($A2478)-Setup!$B$6+12,12)+1)</f>
        <v/>
      </c>
      <c r="L2478" s="36" t="str">
        <f aca="false">IF($A2478="","",TEXT($A2478,"MMM-YY"))</f>
        <v/>
      </c>
      <c r="M2478" s="37" t="str">
        <f aca="false">IF($A2478="","",IF($Q2478=0,"UNMAPPED",INDEX(COA_Mapping!$C$7:$C$256,$Q2478)))</f>
        <v/>
      </c>
      <c r="N2478" s="38" t="str">
        <f aca="false">IF($A2478="","",IF($Q2478=0,"",INDEX(COA_Mapping!$E$7:$E$256,$Q2478)))</f>
        <v/>
      </c>
      <c r="O2478" s="38" t="n">
        <f aca="false">IF($A2478="",1,IF($Q2478=0,1,INDEX(COA_Mapping!$F$7:$F$256,$Q2478)))</f>
        <v>1</v>
      </c>
      <c r="P2478" s="34" t="str">
        <f aca="false">IF($A2478="","",$I2478*$O2478)</f>
        <v/>
      </c>
      <c r="Q2478" s="39" t="n">
        <f aca="false">IF($B2478="",0,IFERROR(MATCH($B2478,COA_Mapping!$A$7:$A$256,0),0))</f>
        <v>0</v>
      </c>
      <c r="R2478" s="39" t="n">
        <f aca="false">IF($A2478="",-1,IF($J2478=Setup!$B$7,1,IF($J2478=Setup!$B$9,0,-1)))</f>
        <v>-1</v>
      </c>
      <c r="S2478" s="35" t="n">
        <f aca="false">IF(OR($A2478="",$Q2478=0,$R2478=-1),0,$Q2478*1000+$R2478*100+$K2478)</f>
        <v>0</v>
      </c>
      <c r="T2478" s="37" t="str">
        <f aca="false">IF($A2478="","",IF($B2478="","NO ACCOUNT",IF($Q2478=0,"UNMAPPED",IF($R2478=-1,"OUTSIDE FY RANGE","OK"))))</f>
        <v/>
      </c>
      <c r="U2478" s="40" t="str">
        <f aca="false">IF($A2478="","",$B2478&amp;"|"&amp;TEXT($A2478,"yyyymmdd")&amp;"|"&amp;TEXT($I2478,"0.00"))</f>
        <v/>
      </c>
      <c r="V2478" s="35" t="str">
        <f aca="false">IF($A2478="","",COUNTIF($U$8:$U$5007,$U2478))</f>
        <v/>
      </c>
    </row>
    <row r="2479" customFormat="false" ht="15" hidden="false" customHeight="false" outlineLevel="0" collapsed="false">
      <c r="A2479" s="31"/>
      <c r="B2479" s="32"/>
      <c r="C2479" s="32"/>
      <c r="D2479" s="32"/>
      <c r="E2479" s="32"/>
      <c r="F2479" s="32"/>
      <c r="G2479" s="33"/>
      <c r="H2479" s="33"/>
      <c r="I2479" s="34" t="str">
        <f aca="false">IF($A2479="","",$G2479-$H2479)</f>
        <v/>
      </c>
      <c r="J2479" s="35" t="str">
        <f aca="false">IF($A2479="","",IF(Setup!$B$6=1,YEAR($A2479),YEAR($A2479)+IF(MONTH($A2479)&gt;=Setup!$B$6,1,0)))</f>
        <v/>
      </c>
      <c r="K2479" s="35" t="str">
        <f aca="false">IF($A2479="","",MOD(MONTH($A2479)-Setup!$B$6+12,12)+1)</f>
        <v/>
      </c>
      <c r="L2479" s="36" t="str">
        <f aca="false">IF($A2479="","",TEXT($A2479,"MMM-YY"))</f>
        <v/>
      </c>
      <c r="M2479" s="37" t="str">
        <f aca="false">IF($A2479="","",IF($Q2479=0,"UNMAPPED",INDEX(COA_Mapping!$C$7:$C$256,$Q2479)))</f>
        <v/>
      </c>
      <c r="N2479" s="38" t="str">
        <f aca="false">IF($A2479="","",IF($Q2479=0,"",INDEX(COA_Mapping!$E$7:$E$256,$Q2479)))</f>
        <v/>
      </c>
      <c r="O2479" s="38" t="n">
        <f aca="false">IF($A2479="",1,IF($Q2479=0,1,INDEX(COA_Mapping!$F$7:$F$256,$Q2479)))</f>
        <v>1</v>
      </c>
      <c r="P2479" s="34" t="str">
        <f aca="false">IF($A2479="","",$I2479*$O2479)</f>
        <v/>
      </c>
      <c r="Q2479" s="39" t="n">
        <f aca="false">IF($B2479="",0,IFERROR(MATCH($B2479,COA_Mapping!$A$7:$A$256,0),0))</f>
        <v>0</v>
      </c>
      <c r="R2479" s="39" t="n">
        <f aca="false">IF($A2479="",-1,IF($J2479=Setup!$B$7,1,IF($J2479=Setup!$B$9,0,-1)))</f>
        <v>-1</v>
      </c>
      <c r="S2479" s="35" t="n">
        <f aca="false">IF(OR($A2479="",$Q2479=0,$R2479=-1),0,$Q2479*1000+$R2479*100+$K2479)</f>
        <v>0</v>
      </c>
      <c r="T2479" s="37" t="str">
        <f aca="false">IF($A2479="","",IF($B2479="","NO ACCOUNT",IF($Q2479=0,"UNMAPPED",IF($R2479=-1,"OUTSIDE FY RANGE","OK"))))</f>
        <v/>
      </c>
      <c r="U2479" s="40" t="str">
        <f aca="false">IF($A2479="","",$B2479&amp;"|"&amp;TEXT($A2479,"yyyymmdd")&amp;"|"&amp;TEXT($I2479,"0.00"))</f>
        <v/>
      </c>
      <c r="V2479" s="35" t="str">
        <f aca="false">IF($A2479="","",COUNTIF($U$8:$U$5007,$U2479))</f>
        <v/>
      </c>
    </row>
    <row r="2480" customFormat="false" ht="15" hidden="false" customHeight="false" outlineLevel="0" collapsed="false">
      <c r="A2480" s="31"/>
      <c r="B2480" s="32"/>
      <c r="C2480" s="32"/>
      <c r="D2480" s="32"/>
      <c r="E2480" s="32"/>
      <c r="F2480" s="32"/>
      <c r="G2480" s="33"/>
      <c r="H2480" s="33"/>
      <c r="I2480" s="34" t="str">
        <f aca="false">IF($A2480="","",$G2480-$H2480)</f>
        <v/>
      </c>
      <c r="J2480" s="35" t="str">
        <f aca="false">IF($A2480="","",IF(Setup!$B$6=1,YEAR($A2480),YEAR($A2480)+IF(MONTH($A2480)&gt;=Setup!$B$6,1,0)))</f>
        <v/>
      </c>
      <c r="K2480" s="35" t="str">
        <f aca="false">IF($A2480="","",MOD(MONTH($A2480)-Setup!$B$6+12,12)+1)</f>
        <v/>
      </c>
      <c r="L2480" s="36" t="str">
        <f aca="false">IF($A2480="","",TEXT($A2480,"MMM-YY"))</f>
        <v/>
      </c>
      <c r="M2480" s="37" t="str">
        <f aca="false">IF($A2480="","",IF($Q2480=0,"UNMAPPED",INDEX(COA_Mapping!$C$7:$C$256,$Q2480)))</f>
        <v/>
      </c>
      <c r="N2480" s="38" t="str">
        <f aca="false">IF($A2480="","",IF($Q2480=0,"",INDEX(COA_Mapping!$E$7:$E$256,$Q2480)))</f>
        <v/>
      </c>
      <c r="O2480" s="38" t="n">
        <f aca="false">IF($A2480="",1,IF($Q2480=0,1,INDEX(COA_Mapping!$F$7:$F$256,$Q2480)))</f>
        <v>1</v>
      </c>
      <c r="P2480" s="34" t="str">
        <f aca="false">IF($A2480="","",$I2480*$O2480)</f>
        <v/>
      </c>
      <c r="Q2480" s="39" t="n">
        <f aca="false">IF($B2480="",0,IFERROR(MATCH($B2480,COA_Mapping!$A$7:$A$256,0),0))</f>
        <v>0</v>
      </c>
      <c r="R2480" s="39" t="n">
        <f aca="false">IF($A2480="",-1,IF($J2480=Setup!$B$7,1,IF($J2480=Setup!$B$9,0,-1)))</f>
        <v>-1</v>
      </c>
      <c r="S2480" s="35" t="n">
        <f aca="false">IF(OR($A2480="",$Q2480=0,$R2480=-1),0,$Q2480*1000+$R2480*100+$K2480)</f>
        <v>0</v>
      </c>
      <c r="T2480" s="37" t="str">
        <f aca="false">IF($A2480="","",IF($B2480="","NO ACCOUNT",IF($Q2480=0,"UNMAPPED",IF($R2480=-1,"OUTSIDE FY RANGE","OK"))))</f>
        <v/>
      </c>
      <c r="U2480" s="40" t="str">
        <f aca="false">IF($A2480="","",$B2480&amp;"|"&amp;TEXT($A2480,"yyyymmdd")&amp;"|"&amp;TEXT($I2480,"0.00"))</f>
        <v/>
      </c>
      <c r="V2480" s="35" t="str">
        <f aca="false">IF($A2480="","",COUNTIF($U$8:$U$5007,$U2480))</f>
        <v/>
      </c>
    </row>
    <row r="2481" customFormat="false" ht="15" hidden="false" customHeight="false" outlineLevel="0" collapsed="false">
      <c r="A2481" s="31"/>
      <c r="B2481" s="32"/>
      <c r="C2481" s="32"/>
      <c r="D2481" s="32"/>
      <c r="E2481" s="32"/>
      <c r="F2481" s="32"/>
      <c r="G2481" s="33"/>
      <c r="H2481" s="33"/>
      <c r="I2481" s="34" t="str">
        <f aca="false">IF($A2481="","",$G2481-$H2481)</f>
        <v/>
      </c>
      <c r="J2481" s="35" t="str">
        <f aca="false">IF($A2481="","",IF(Setup!$B$6=1,YEAR($A2481),YEAR($A2481)+IF(MONTH($A2481)&gt;=Setup!$B$6,1,0)))</f>
        <v/>
      </c>
      <c r="K2481" s="35" t="str">
        <f aca="false">IF($A2481="","",MOD(MONTH($A2481)-Setup!$B$6+12,12)+1)</f>
        <v/>
      </c>
      <c r="L2481" s="36" t="str">
        <f aca="false">IF($A2481="","",TEXT($A2481,"MMM-YY"))</f>
        <v/>
      </c>
      <c r="M2481" s="37" t="str">
        <f aca="false">IF($A2481="","",IF($Q2481=0,"UNMAPPED",INDEX(COA_Mapping!$C$7:$C$256,$Q2481)))</f>
        <v/>
      </c>
      <c r="N2481" s="38" t="str">
        <f aca="false">IF($A2481="","",IF($Q2481=0,"",INDEX(COA_Mapping!$E$7:$E$256,$Q2481)))</f>
        <v/>
      </c>
      <c r="O2481" s="38" t="n">
        <f aca="false">IF($A2481="",1,IF($Q2481=0,1,INDEX(COA_Mapping!$F$7:$F$256,$Q2481)))</f>
        <v>1</v>
      </c>
      <c r="P2481" s="34" t="str">
        <f aca="false">IF($A2481="","",$I2481*$O2481)</f>
        <v/>
      </c>
      <c r="Q2481" s="39" t="n">
        <f aca="false">IF($B2481="",0,IFERROR(MATCH($B2481,COA_Mapping!$A$7:$A$256,0),0))</f>
        <v>0</v>
      </c>
      <c r="R2481" s="39" t="n">
        <f aca="false">IF($A2481="",-1,IF($J2481=Setup!$B$7,1,IF($J2481=Setup!$B$9,0,-1)))</f>
        <v>-1</v>
      </c>
      <c r="S2481" s="35" t="n">
        <f aca="false">IF(OR($A2481="",$Q2481=0,$R2481=-1),0,$Q2481*1000+$R2481*100+$K2481)</f>
        <v>0</v>
      </c>
      <c r="T2481" s="37" t="str">
        <f aca="false">IF($A2481="","",IF($B2481="","NO ACCOUNT",IF($Q2481=0,"UNMAPPED",IF($R2481=-1,"OUTSIDE FY RANGE","OK"))))</f>
        <v/>
      </c>
      <c r="U2481" s="40" t="str">
        <f aca="false">IF($A2481="","",$B2481&amp;"|"&amp;TEXT($A2481,"yyyymmdd")&amp;"|"&amp;TEXT($I2481,"0.00"))</f>
        <v/>
      </c>
      <c r="V2481" s="35" t="str">
        <f aca="false">IF($A2481="","",COUNTIF($U$8:$U$5007,$U2481))</f>
        <v/>
      </c>
    </row>
    <row r="2482" customFormat="false" ht="15" hidden="false" customHeight="false" outlineLevel="0" collapsed="false">
      <c r="A2482" s="31"/>
      <c r="B2482" s="32"/>
      <c r="C2482" s="32"/>
      <c r="D2482" s="32"/>
      <c r="E2482" s="32"/>
      <c r="F2482" s="32"/>
      <c r="G2482" s="33"/>
      <c r="H2482" s="33"/>
      <c r="I2482" s="34" t="str">
        <f aca="false">IF($A2482="","",$G2482-$H2482)</f>
        <v/>
      </c>
      <c r="J2482" s="35" t="str">
        <f aca="false">IF($A2482="","",IF(Setup!$B$6=1,YEAR($A2482),YEAR($A2482)+IF(MONTH($A2482)&gt;=Setup!$B$6,1,0)))</f>
        <v/>
      </c>
      <c r="K2482" s="35" t="str">
        <f aca="false">IF($A2482="","",MOD(MONTH($A2482)-Setup!$B$6+12,12)+1)</f>
        <v/>
      </c>
      <c r="L2482" s="36" t="str">
        <f aca="false">IF($A2482="","",TEXT($A2482,"MMM-YY"))</f>
        <v/>
      </c>
      <c r="M2482" s="37" t="str">
        <f aca="false">IF($A2482="","",IF($Q2482=0,"UNMAPPED",INDEX(COA_Mapping!$C$7:$C$256,$Q2482)))</f>
        <v/>
      </c>
      <c r="N2482" s="38" t="str">
        <f aca="false">IF($A2482="","",IF($Q2482=0,"",INDEX(COA_Mapping!$E$7:$E$256,$Q2482)))</f>
        <v/>
      </c>
      <c r="O2482" s="38" t="n">
        <f aca="false">IF($A2482="",1,IF($Q2482=0,1,INDEX(COA_Mapping!$F$7:$F$256,$Q2482)))</f>
        <v>1</v>
      </c>
      <c r="P2482" s="34" t="str">
        <f aca="false">IF($A2482="","",$I2482*$O2482)</f>
        <v/>
      </c>
      <c r="Q2482" s="39" t="n">
        <f aca="false">IF($B2482="",0,IFERROR(MATCH($B2482,COA_Mapping!$A$7:$A$256,0),0))</f>
        <v>0</v>
      </c>
      <c r="R2482" s="39" t="n">
        <f aca="false">IF($A2482="",-1,IF($J2482=Setup!$B$7,1,IF($J2482=Setup!$B$9,0,-1)))</f>
        <v>-1</v>
      </c>
      <c r="S2482" s="35" t="n">
        <f aca="false">IF(OR($A2482="",$Q2482=0,$R2482=-1),0,$Q2482*1000+$R2482*100+$K2482)</f>
        <v>0</v>
      </c>
      <c r="T2482" s="37" t="str">
        <f aca="false">IF($A2482="","",IF($B2482="","NO ACCOUNT",IF($Q2482=0,"UNMAPPED",IF($R2482=-1,"OUTSIDE FY RANGE","OK"))))</f>
        <v/>
      </c>
      <c r="U2482" s="40" t="str">
        <f aca="false">IF($A2482="","",$B2482&amp;"|"&amp;TEXT($A2482,"yyyymmdd")&amp;"|"&amp;TEXT($I2482,"0.00"))</f>
        <v/>
      </c>
      <c r="V2482" s="35" t="str">
        <f aca="false">IF($A2482="","",COUNTIF($U$8:$U$5007,$U2482))</f>
        <v/>
      </c>
    </row>
    <row r="2483" customFormat="false" ht="15" hidden="false" customHeight="false" outlineLevel="0" collapsed="false">
      <c r="A2483" s="31"/>
      <c r="B2483" s="32"/>
      <c r="C2483" s="32"/>
      <c r="D2483" s="32"/>
      <c r="E2483" s="32"/>
      <c r="F2483" s="32"/>
      <c r="G2483" s="33"/>
      <c r="H2483" s="33"/>
      <c r="I2483" s="34" t="str">
        <f aca="false">IF($A2483="","",$G2483-$H2483)</f>
        <v/>
      </c>
      <c r="J2483" s="35" t="str">
        <f aca="false">IF($A2483="","",IF(Setup!$B$6=1,YEAR($A2483),YEAR($A2483)+IF(MONTH($A2483)&gt;=Setup!$B$6,1,0)))</f>
        <v/>
      </c>
      <c r="K2483" s="35" t="str">
        <f aca="false">IF($A2483="","",MOD(MONTH($A2483)-Setup!$B$6+12,12)+1)</f>
        <v/>
      </c>
      <c r="L2483" s="36" t="str">
        <f aca="false">IF($A2483="","",TEXT($A2483,"MMM-YY"))</f>
        <v/>
      </c>
      <c r="M2483" s="37" t="str">
        <f aca="false">IF($A2483="","",IF($Q2483=0,"UNMAPPED",INDEX(COA_Mapping!$C$7:$C$256,$Q2483)))</f>
        <v/>
      </c>
      <c r="N2483" s="38" t="str">
        <f aca="false">IF($A2483="","",IF($Q2483=0,"",INDEX(COA_Mapping!$E$7:$E$256,$Q2483)))</f>
        <v/>
      </c>
      <c r="O2483" s="38" t="n">
        <f aca="false">IF($A2483="",1,IF($Q2483=0,1,INDEX(COA_Mapping!$F$7:$F$256,$Q2483)))</f>
        <v>1</v>
      </c>
      <c r="P2483" s="34" t="str">
        <f aca="false">IF($A2483="","",$I2483*$O2483)</f>
        <v/>
      </c>
      <c r="Q2483" s="39" t="n">
        <f aca="false">IF($B2483="",0,IFERROR(MATCH($B2483,COA_Mapping!$A$7:$A$256,0),0))</f>
        <v>0</v>
      </c>
      <c r="R2483" s="39" t="n">
        <f aca="false">IF($A2483="",-1,IF($J2483=Setup!$B$7,1,IF($J2483=Setup!$B$9,0,-1)))</f>
        <v>-1</v>
      </c>
      <c r="S2483" s="35" t="n">
        <f aca="false">IF(OR($A2483="",$Q2483=0,$R2483=-1),0,$Q2483*1000+$R2483*100+$K2483)</f>
        <v>0</v>
      </c>
      <c r="T2483" s="37" t="str">
        <f aca="false">IF($A2483="","",IF($B2483="","NO ACCOUNT",IF($Q2483=0,"UNMAPPED",IF($R2483=-1,"OUTSIDE FY RANGE","OK"))))</f>
        <v/>
      </c>
      <c r="U2483" s="40" t="str">
        <f aca="false">IF($A2483="","",$B2483&amp;"|"&amp;TEXT($A2483,"yyyymmdd")&amp;"|"&amp;TEXT($I2483,"0.00"))</f>
        <v/>
      </c>
      <c r="V2483" s="35" t="str">
        <f aca="false">IF($A2483="","",COUNTIF($U$8:$U$5007,$U2483))</f>
        <v/>
      </c>
    </row>
    <row r="2484" customFormat="false" ht="15" hidden="false" customHeight="false" outlineLevel="0" collapsed="false">
      <c r="A2484" s="31"/>
      <c r="B2484" s="32"/>
      <c r="C2484" s="32"/>
      <c r="D2484" s="32"/>
      <c r="E2484" s="32"/>
      <c r="F2484" s="32"/>
      <c r="G2484" s="33"/>
      <c r="H2484" s="33"/>
      <c r="I2484" s="34" t="str">
        <f aca="false">IF($A2484="","",$G2484-$H2484)</f>
        <v/>
      </c>
      <c r="J2484" s="35" t="str">
        <f aca="false">IF($A2484="","",IF(Setup!$B$6=1,YEAR($A2484),YEAR($A2484)+IF(MONTH($A2484)&gt;=Setup!$B$6,1,0)))</f>
        <v/>
      </c>
      <c r="K2484" s="35" t="str">
        <f aca="false">IF($A2484="","",MOD(MONTH($A2484)-Setup!$B$6+12,12)+1)</f>
        <v/>
      </c>
      <c r="L2484" s="36" t="str">
        <f aca="false">IF($A2484="","",TEXT($A2484,"MMM-YY"))</f>
        <v/>
      </c>
      <c r="M2484" s="37" t="str">
        <f aca="false">IF($A2484="","",IF($Q2484=0,"UNMAPPED",INDEX(COA_Mapping!$C$7:$C$256,$Q2484)))</f>
        <v/>
      </c>
      <c r="N2484" s="38" t="str">
        <f aca="false">IF($A2484="","",IF($Q2484=0,"",INDEX(COA_Mapping!$E$7:$E$256,$Q2484)))</f>
        <v/>
      </c>
      <c r="O2484" s="38" t="n">
        <f aca="false">IF($A2484="",1,IF($Q2484=0,1,INDEX(COA_Mapping!$F$7:$F$256,$Q2484)))</f>
        <v>1</v>
      </c>
      <c r="P2484" s="34" t="str">
        <f aca="false">IF($A2484="","",$I2484*$O2484)</f>
        <v/>
      </c>
      <c r="Q2484" s="39" t="n">
        <f aca="false">IF($B2484="",0,IFERROR(MATCH($B2484,COA_Mapping!$A$7:$A$256,0),0))</f>
        <v>0</v>
      </c>
      <c r="R2484" s="39" t="n">
        <f aca="false">IF($A2484="",-1,IF($J2484=Setup!$B$7,1,IF($J2484=Setup!$B$9,0,-1)))</f>
        <v>-1</v>
      </c>
      <c r="S2484" s="35" t="n">
        <f aca="false">IF(OR($A2484="",$Q2484=0,$R2484=-1),0,$Q2484*1000+$R2484*100+$K2484)</f>
        <v>0</v>
      </c>
      <c r="T2484" s="37" t="str">
        <f aca="false">IF($A2484="","",IF($B2484="","NO ACCOUNT",IF($Q2484=0,"UNMAPPED",IF($R2484=-1,"OUTSIDE FY RANGE","OK"))))</f>
        <v/>
      </c>
      <c r="U2484" s="40" t="str">
        <f aca="false">IF($A2484="","",$B2484&amp;"|"&amp;TEXT($A2484,"yyyymmdd")&amp;"|"&amp;TEXT($I2484,"0.00"))</f>
        <v/>
      </c>
      <c r="V2484" s="35" t="str">
        <f aca="false">IF($A2484="","",COUNTIF($U$8:$U$5007,$U2484))</f>
        <v/>
      </c>
    </row>
    <row r="2485" customFormat="false" ht="15" hidden="false" customHeight="false" outlineLevel="0" collapsed="false">
      <c r="A2485" s="31"/>
      <c r="B2485" s="32"/>
      <c r="C2485" s="32"/>
      <c r="D2485" s="32"/>
      <c r="E2485" s="32"/>
      <c r="F2485" s="32"/>
      <c r="G2485" s="33"/>
      <c r="H2485" s="33"/>
      <c r="I2485" s="34" t="str">
        <f aca="false">IF($A2485="","",$G2485-$H2485)</f>
        <v/>
      </c>
      <c r="J2485" s="35" t="str">
        <f aca="false">IF($A2485="","",IF(Setup!$B$6=1,YEAR($A2485),YEAR($A2485)+IF(MONTH($A2485)&gt;=Setup!$B$6,1,0)))</f>
        <v/>
      </c>
      <c r="K2485" s="35" t="str">
        <f aca="false">IF($A2485="","",MOD(MONTH($A2485)-Setup!$B$6+12,12)+1)</f>
        <v/>
      </c>
      <c r="L2485" s="36" t="str">
        <f aca="false">IF($A2485="","",TEXT($A2485,"MMM-YY"))</f>
        <v/>
      </c>
      <c r="M2485" s="37" t="str">
        <f aca="false">IF($A2485="","",IF($Q2485=0,"UNMAPPED",INDEX(COA_Mapping!$C$7:$C$256,$Q2485)))</f>
        <v/>
      </c>
      <c r="N2485" s="38" t="str">
        <f aca="false">IF($A2485="","",IF($Q2485=0,"",INDEX(COA_Mapping!$E$7:$E$256,$Q2485)))</f>
        <v/>
      </c>
      <c r="O2485" s="38" t="n">
        <f aca="false">IF($A2485="",1,IF($Q2485=0,1,INDEX(COA_Mapping!$F$7:$F$256,$Q2485)))</f>
        <v>1</v>
      </c>
      <c r="P2485" s="34" t="str">
        <f aca="false">IF($A2485="","",$I2485*$O2485)</f>
        <v/>
      </c>
      <c r="Q2485" s="39" t="n">
        <f aca="false">IF($B2485="",0,IFERROR(MATCH($B2485,COA_Mapping!$A$7:$A$256,0),0))</f>
        <v>0</v>
      </c>
      <c r="R2485" s="39" t="n">
        <f aca="false">IF($A2485="",-1,IF($J2485=Setup!$B$7,1,IF($J2485=Setup!$B$9,0,-1)))</f>
        <v>-1</v>
      </c>
      <c r="S2485" s="35" t="n">
        <f aca="false">IF(OR($A2485="",$Q2485=0,$R2485=-1),0,$Q2485*1000+$R2485*100+$K2485)</f>
        <v>0</v>
      </c>
      <c r="T2485" s="37" t="str">
        <f aca="false">IF($A2485="","",IF($B2485="","NO ACCOUNT",IF($Q2485=0,"UNMAPPED",IF($R2485=-1,"OUTSIDE FY RANGE","OK"))))</f>
        <v/>
      </c>
      <c r="U2485" s="40" t="str">
        <f aca="false">IF($A2485="","",$B2485&amp;"|"&amp;TEXT($A2485,"yyyymmdd")&amp;"|"&amp;TEXT($I2485,"0.00"))</f>
        <v/>
      </c>
      <c r="V2485" s="35" t="str">
        <f aca="false">IF($A2485="","",COUNTIF($U$8:$U$5007,$U2485))</f>
        <v/>
      </c>
    </row>
    <row r="2486" customFormat="false" ht="15" hidden="false" customHeight="false" outlineLevel="0" collapsed="false">
      <c r="A2486" s="31"/>
      <c r="B2486" s="32"/>
      <c r="C2486" s="32"/>
      <c r="D2486" s="32"/>
      <c r="E2486" s="32"/>
      <c r="F2486" s="32"/>
      <c r="G2486" s="33"/>
      <c r="H2486" s="33"/>
      <c r="I2486" s="34" t="str">
        <f aca="false">IF($A2486="","",$G2486-$H2486)</f>
        <v/>
      </c>
      <c r="J2486" s="35" t="str">
        <f aca="false">IF($A2486="","",IF(Setup!$B$6=1,YEAR($A2486),YEAR($A2486)+IF(MONTH($A2486)&gt;=Setup!$B$6,1,0)))</f>
        <v/>
      </c>
      <c r="K2486" s="35" t="str">
        <f aca="false">IF($A2486="","",MOD(MONTH($A2486)-Setup!$B$6+12,12)+1)</f>
        <v/>
      </c>
      <c r="L2486" s="36" t="str">
        <f aca="false">IF($A2486="","",TEXT($A2486,"MMM-YY"))</f>
        <v/>
      </c>
      <c r="M2486" s="37" t="str">
        <f aca="false">IF($A2486="","",IF($Q2486=0,"UNMAPPED",INDEX(COA_Mapping!$C$7:$C$256,$Q2486)))</f>
        <v/>
      </c>
      <c r="N2486" s="38" t="str">
        <f aca="false">IF($A2486="","",IF($Q2486=0,"",INDEX(COA_Mapping!$E$7:$E$256,$Q2486)))</f>
        <v/>
      </c>
      <c r="O2486" s="38" t="n">
        <f aca="false">IF($A2486="",1,IF($Q2486=0,1,INDEX(COA_Mapping!$F$7:$F$256,$Q2486)))</f>
        <v>1</v>
      </c>
      <c r="P2486" s="34" t="str">
        <f aca="false">IF($A2486="","",$I2486*$O2486)</f>
        <v/>
      </c>
      <c r="Q2486" s="39" t="n">
        <f aca="false">IF($B2486="",0,IFERROR(MATCH($B2486,COA_Mapping!$A$7:$A$256,0),0))</f>
        <v>0</v>
      </c>
      <c r="R2486" s="39" t="n">
        <f aca="false">IF($A2486="",-1,IF($J2486=Setup!$B$7,1,IF($J2486=Setup!$B$9,0,-1)))</f>
        <v>-1</v>
      </c>
      <c r="S2486" s="35" t="n">
        <f aca="false">IF(OR($A2486="",$Q2486=0,$R2486=-1),0,$Q2486*1000+$R2486*100+$K2486)</f>
        <v>0</v>
      </c>
      <c r="T2486" s="37" t="str">
        <f aca="false">IF($A2486="","",IF($B2486="","NO ACCOUNT",IF($Q2486=0,"UNMAPPED",IF($R2486=-1,"OUTSIDE FY RANGE","OK"))))</f>
        <v/>
      </c>
      <c r="U2486" s="40" t="str">
        <f aca="false">IF($A2486="","",$B2486&amp;"|"&amp;TEXT($A2486,"yyyymmdd")&amp;"|"&amp;TEXT($I2486,"0.00"))</f>
        <v/>
      </c>
      <c r="V2486" s="35" t="str">
        <f aca="false">IF($A2486="","",COUNTIF($U$8:$U$5007,$U2486))</f>
        <v/>
      </c>
    </row>
    <row r="2487" customFormat="false" ht="15" hidden="false" customHeight="false" outlineLevel="0" collapsed="false">
      <c r="A2487" s="31"/>
      <c r="B2487" s="32"/>
      <c r="C2487" s="32"/>
      <c r="D2487" s="32"/>
      <c r="E2487" s="32"/>
      <c r="F2487" s="32"/>
      <c r="G2487" s="33"/>
      <c r="H2487" s="33"/>
      <c r="I2487" s="34" t="str">
        <f aca="false">IF($A2487="","",$G2487-$H2487)</f>
        <v/>
      </c>
      <c r="J2487" s="35" t="str">
        <f aca="false">IF($A2487="","",IF(Setup!$B$6=1,YEAR($A2487),YEAR($A2487)+IF(MONTH($A2487)&gt;=Setup!$B$6,1,0)))</f>
        <v/>
      </c>
      <c r="K2487" s="35" t="str">
        <f aca="false">IF($A2487="","",MOD(MONTH($A2487)-Setup!$B$6+12,12)+1)</f>
        <v/>
      </c>
      <c r="L2487" s="36" t="str">
        <f aca="false">IF($A2487="","",TEXT($A2487,"MMM-YY"))</f>
        <v/>
      </c>
      <c r="M2487" s="37" t="str">
        <f aca="false">IF($A2487="","",IF($Q2487=0,"UNMAPPED",INDEX(COA_Mapping!$C$7:$C$256,$Q2487)))</f>
        <v/>
      </c>
      <c r="N2487" s="38" t="str">
        <f aca="false">IF($A2487="","",IF($Q2487=0,"",INDEX(COA_Mapping!$E$7:$E$256,$Q2487)))</f>
        <v/>
      </c>
      <c r="O2487" s="38" t="n">
        <f aca="false">IF($A2487="",1,IF($Q2487=0,1,INDEX(COA_Mapping!$F$7:$F$256,$Q2487)))</f>
        <v>1</v>
      </c>
      <c r="P2487" s="34" t="str">
        <f aca="false">IF($A2487="","",$I2487*$O2487)</f>
        <v/>
      </c>
      <c r="Q2487" s="39" t="n">
        <f aca="false">IF($B2487="",0,IFERROR(MATCH($B2487,COA_Mapping!$A$7:$A$256,0),0))</f>
        <v>0</v>
      </c>
      <c r="R2487" s="39" t="n">
        <f aca="false">IF($A2487="",-1,IF($J2487=Setup!$B$7,1,IF($J2487=Setup!$B$9,0,-1)))</f>
        <v>-1</v>
      </c>
      <c r="S2487" s="35" t="n">
        <f aca="false">IF(OR($A2487="",$Q2487=0,$R2487=-1),0,$Q2487*1000+$R2487*100+$K2487)</f>
        <v>0</v>
      </c>
      <c r="T2487" s="37" t="str">
        <f aca="false">IF($A2487="","",IF($B2487="","NO ACCOUNT",IF($Q2487=0,"UNMAPPED",IF($R2487=-1,"OUTSIDE FY RANGE","OK"))))</f>
        <v/>
      </c>
      <c r="U2487" s="40" t="str">
        <f aca="false">IF($A2487="","",$B2487&amp;"|"&amp;TEXT($A2487,"yyyymmdd")&amp;"|"&amp;TEXT($I2487,"0.00"))</f>
        <v/>
      </c>
      <c r="V2487" s="35" t="str">
        <f aca="false">IF($A2487="","",COUNTIF($U$8:$U$5007,$U2487))</f>
        <v/>
      </c>
    </row>
    <row r="2488" customFormat="false" ht="15" hidden="false" customHeight="false" outlineLevel="0" collapsed="false">
      <c r="A2488" s="31"/>
      <c r="B2488" s="32"/>
      <c r="C2488" s="32"/>
      <c r="D2488" s="32"/>
      <c r="E2488" s="32"/>
      <c r="F2488" s="32"/>
      <c r="G2488" s="33"/>
      <c r="H2488" s="33"/>
      <c r="I2488" s="34" t="str">
        <f aca="false">IF($A2488="","",$G2488-$H2488)</f>
        <v/>
      </c>
      <c r="J2488" s="35" t="str">
        <f aca="false">IF($A2488="","",IF(Setup!$B$6=1,YEAR($A2488),YEAR($A2488)+IF(MONTH($A2488)&gt;=Setup!$B$6,1,0)))</f>
        <v/>
      </c>
      <c r="K2488" s="35" t="str">
        <f aca="false">IF($A2488="","",MOD(MONTH($A2488)-Setup!$B$6+12,12)+1)</f>
        <v/>
      </c>
      <c r="L2488" s="36" t="str">
        <f aca="false">IF($A2488="","",TEXT($A2488,"MMM-YY"))</f>
        <v/>
      </c>
      <c r="M2488" s="37" t="str">
        <f aca="false">IF($A2488="","",IF($Q2488=0,"UNMAPPED",INDEX(COA_Mapping!$C$7:$C$256,$Q2488)))</f>
        <v/>
      </c>
      <c r="N2488" s="38" t="str">
        <f aca="false">IF($A2488="","",IF($Q2488=0,"",INDEX(COA_Mapping!$E$7:$E$256,$Q2488)))</f>
        <v/>
      </c>
      <c r="O2488" s="38" t="n">
        <f aca="false">IF($A2488="",1,IF($Q2488=0,1,INDEX(COA_Mapping!$F$7:$F$256,$Q2488)))</f>
        <v>1</v>
      </c>
      <c r="P2488" s="34" t="str">
        <f aca="false">IF($A2488="","",$I2488*$O2488)</f>
        <v/>
      </c>
      <c r="Q2488" s="39" t="n">
        <f aca="false">IF($B2488="",0,IFERROR(MATCH($B2488,COA_Mapping!$A$7:$A$256,0),0))</f>
        <v>0</v>
      </c>
      <c r="R2488" s="39" t="n">
        <f aca="false">IF($A2488="",-1,IF($J2488=Setup!$B$7,1,IF($J2488=Setup!$B$9,0,-1)))</f>
        <v>-1</v>
      </c>
      <c r="S2488" s="35" t="n">
        <f aca="false">IF(OR($A2488="",$Q2488=0,$R2488=-1),0,$Q2488*1000+$R2488*100+$K2488)</f>
        <v>0</v>
      </c>
      <c r="T2488" s="37" t="str">
        <f aca="false">IF($A2488="","",IF($B2488="","NO ACCOUNT",IF($Q2488=0,"UNMAPPED",IF($R2488=-1,"OUTSIDE FY RANGE","OK"))))</f>
        <v/>
      </c>
      <c r="U2488" s="40" t="str">
        <f aca="false">IF($A2488="","",$B2488&amp;"|"&amp;TEXT($A2488,"yyyymmdd")&amp;"|"&amp;TEXT($I2488,"0.00"))</f>
        <v/>
      </c>
      <c r="V2488" s="35" t="str">
        <f aca="false">IF($A2488="","",COUNTIF($U$8:$U$5007,$U2488))</f>
        <v/>
      </c>
    </row>
    <row r="2489" customFormat="false" ht="15" hidden="false" customHeight="false" outlineLevel="0" collapsed="false">
      <c r="A2489" s="31"/>
      <c r="B2489" s="32"/>
      <c r="C2489" s="32"/>
      <c r="D2489" s="32"/>
      <c r="E2489" s="32"/>
      <c r="F2489" s="32"/>
      <c r="G2489" s="33"/>
      <c r="H2489" s="33"/>
      <c r="I2489" s="34" t="str">
        <f aca="false">IF($A2489="","",$G2489-$H2489)</f>
        <v/>
      </c>
      <c r="J2489" s="35" t="str">
        <f aca="false">IF($A2489="","",IF(Setup!$B$6=1,YEAR($A2489),YEAR($A2489)+IF(MONTH($A2489)&gt;=Setup!$B$6,1,0)))</f>
        <v/>
      </c>
      <c r="K2489" s="35" t="str">
        <f aca="false">IF($A2489="","",MOD(MONTH($A2489)-Setup!$B$6+12,12)+1)</f>
        <v/>
      </c>
      <c r="L2489" s="36" t="str">
        <f aca="false">IF($A2489="","",TEXT($A2489,"MMM-YY"))</f>
        <v/>
      </c>
      <c r="M2489" s="37" t="str">
        <f aca="false">IF($A2489="","",IF($Q2489=0,"UNMAPPED",INDEX(COA_Mapping!$C$7:$C$256,$Q2489)))</f>
        <v/>
      </c>
      <c r="N2489" s="38" t="str">
        <f aca="false">IF($A2489="","",IF($Q2489=0,"",INDEX(COA_Mapping!$E$7:$E$256,$Q2489)))</f>
        <v/>
      </c>
      <c r="O2489" s="38" t="n">
        <f aca="false">IF($A2489="",1,IF($Q2489=0,1,INDEX(COA_Mapping!$F$7:$F$256,$Q2489)))</f>
        <v>1</v>
      </c>
      <c r="P2489" s="34" t="str">
        <f aca="false">IF($A2489="","",$I2489*$O2489)</f>
        <v/>
      </c>
      <c r="Q2489" s="39" t="n">
        <f aca="false">IF($B2489="",0,IFERROR(MATCH($B2489,COA_Mapping!$A$7:$A$256,0),0))</f>
        <v>0</v>
      </c>
      <c r="R2489" s="39" t="n">
        <f aca="false">IF($A2489="",-1,IF($J2489=Setup!$B$7,1,IF($J2489=Setup!$B$9,0,-1)))</f>
        <v>-1</v>
      </c>
      <c r="S2489" s="35" t="n">
        <f aca="false">IF(OR($A2489="",$Q2489=0,$R2489=-1),0,$Q2489*1000+$R2489*100+$K2489)</f>
        <v>0</v>
      </c>
      <c r="T2489" s="37" t="str">
        <f aca="false">IF($A2489="","",IF($B2489="","NO ACCOUNT",IF($Q2489=0,"UNMAPPED",IF($R2489=-1,"OUTSIDE FY RANGE","OK"))))</f>
        <v/>
      </c>
      <c r="U2489" s="40" t="str">
        <f aca="false">IF($A2489="","",$B2489&amp;"|"&amp;TEXT($A2489,"yyyymmdd")&amp;"|"&amp;TEXT($I2489,"0.00"))</f>
        <v/>
      </c>
      <c r="V2489" s="35" t="str">
        <f aca="false">IF($A2489="","",COUNTIF($U$8:$U$5007,$U2489))</f>
        <v/>
      </c>
    </row>
    <row r="2490" customFormat="false" ht="15" hidden="false" customHeight="false" outlineLevel="0" collapsed="false">
      <c r="A2490" s="31"/>
      <c r="B2490" s="32"/>
      <c r="C2490" s="32"/>
      <c r="D2490" s="32"/>
      <c r="E2490" s="32"/>
      <c r="F2490" s="32"/>
      <c r="G2490" s="33"/>
      <c r="H2490" s="33"/>
      <c r="I2490" s="34" t="str">
        <f aca="false">IF($A2490="","",$G2490-$H2490)</f>
        <v/>
      </c>
      <c r="J2490" s="35" t="str">
        <f aca="false">IF($A2490="","",IF(Setup!$B$6=1,YEAR($A2490),YEAR($A2490)+IF(MONTH($A2490)&gt;=Setup!$B$6,1,0)))</f>
        <v/>
      </c>
      <c r="K2490" s="35" t="str">
        <f aca="false">IF($A2490="","",MOD(MONTH($A2490)-Setup!$B$6+12,12)+1)</f>
        <v/>
      </c>
      <c r="L2490" s="36" t="str">
        <f aca="false">IF($A2490="","",TEXT($A2490,"MMM-YY"))</f>
        <v/>
      </c>
      <c r="M2490" s="37" t="str">
        <f aca="false">IF($A2490="","",IF($Q2490=0,"UNMAPPED",INDEX(COA_Mapping!$C$7:$C$256,$Q2490)))</f>
        <v/>
      </c>
      <c r="N2490" s="38" t="str">
        <f aca="false">IF($A2490="","",IF($Q2490=0,"",INDEX(COA_Mapping!$E$7:$E$256,$Q2490)))</f>
        <v/>
      </c>
      <c r="O2490" s="38" t="n">
        <f aca="false">IF($A2490="",1,IF($Q2490=0,1,INDEX(COA_Mapping!$F$7:$F$256,$Q2490)))</f>
        <v>1</v>
      </c>
      <c r="P2490" s="34" t="str">
        <f aca="false">IF($A2490="","",$I2490*$O2490)</f>
        <v/>
      </c>
      <c r="Q2490" s="39" t="n">
        <f aca="false">IF($B2490="",0,IFERROR(MATCH($B2490,COA_Mapping!$A$7:$A$256,0),0))</f>
        <v>0</v>
      </c>
      <c r="R2490" s="39" t="n">
        <f aca="false">IF($A2490="",-1,IF($J2490=Setup!$B$7,1,IF($J2490=Setup!$B$9,0,-1)))</f>
        <v>-1</v>
      </c>
      <c r="S2490" s="35" t="n">
        <f aca="false">IF(OR($A2490="",$Q2490=0,$R2490=-1),0,$Q2490*1000+$R2490*100+$K2490)</f>
        <v>0</v>
      </c>
      <c r="T2490" s="37" t="str">
        <f aca="false">IF($A2490="","",IF($B2490="","NO ACCOUNT",IF($Q2490=0,"UNMAPPED",IF($R2490=-1,"OUTSIDE FY RANGE","OK"))))</f>
        <v/>
      </c>
      <c r="U2490" s="40" t="str">
        <f aca="false">IF($A2490="","",$B2490&amp;"|"&amp;TEXT($A2490,"yyyymmdd")&amp;"|"&amp;TEXT($I2490,"0.00"))</f>
        <v/>
      </c>
      <c r="V2490" s="35" t="str">
        <f aca="false">IF($A2490="","",COUNTIF($U$8:$U$5007,$U2490))</f>
        <v/>
      </c>
    </row>
    <row r="2491" customFormat="false" ht="15" hidden="false" customHeight="false" outlineLevel="0" collapsed="false">
      <c r="A2491" s="31"/>
      <c r="B2491" s="32"/>
      <c r="C2491" s="32"/>
      <c r="D2491" s="32"/>
      <c r="E2491" s="32"/>
      <c r="F2491" s="32"/>
      <c r="G2491" s="33"/>
      <c r="H2491" s="33"/>
      <c r="I2491" s="34" t="str">
        <f aca="false">IF($A2491="","",$G2491-$H2491)</f>
        <v/>
      </c>
      <c r="J2491" s="35" t="str">
        <f aca="false">IF($A2491="","",IF(Setup!$B$6=1,YEAR($A2491),YEAR($A2491)+IF(MONTH($A2491)&gt;=Setup!$B$6,1,0)))</f>
        <v/>
      </c>
      <c r="K2491" s="35" t="str">
        <f aca="false">IF($A2491="","",MOD(MONTH($A2491)-Setup!$B$6+12,12)+1)</f>
        <v/>
      </c>
      <c r="L2491" s="36" t="str">
        <f aca="false">IF($A2491="","",TEXT($A2491,"MMM-YY"))</f>
        <v/>
      </c>
      <c r="M2491" s="37" t="str">
        <f aca="false">IF($A2491="","",IF($Q2491=0,"UNMAPPED",INDEX(COA_Mapping!$C$7:$C$256,$Q2491)))</f>
        <v/>
      </c>
      <c r="N2491" s="38" t="str">
        <f aca="false">IF($A2491="","",IF($Q2491=0,"",INDEX(COA_Mapping!$E$7:$E$256,$Q2491)))</f>
        <v/>
      </c>
      <c r="O2491" s="38" t="n">
        <f aca="false">IF($A2491="",1,IF($Q2491=0,1,INDEX(COA_Mapping!$F$7:$F$256,$Q2491)))</f>
        <v>1</v>
      </c>
      <c r="P2491" s="34" t="str">
        <f aca="false">IF($A2491="","",$I2491*$O2491)</f>
        <v/>
      </c>
      <c r="Q2491" s="39" t="n">
        <f aca="false">IF($B2491="",0,IFERROR(MATCH($B2491,COA_Mapping!$A$7:$A$256,0),0))</f>
        <v>0</v>
      </c>
      <c r="R2491" s="39" t="n">
        <f aca="false">IF($A2491="",-1,IF($J2491=Setup!$B$7,1,IF($J2491=Setup!$B$9,0,-1)))</f>
        <v>-1</v>
      </c>
      <c r="S2491" s="35" t="n">
        <f aca="false">IF(OR($A2491="",$Q2491=0,$R2491=-1),0,$Q2491*1000+$R2491*100+$K2491)</f>
        <v>0</v>
      </c>
      <c r="T2491" s="37" t="str">
        <f aca="false">IF($A2491="","",IF($B2491="","NO ACCOUNT",IF($Q2491=0,"UNMAPPED",IF($R2491=-1,"OUTSIDE FY RANGE","OK"))))</f>
        <v/>
      </c>
      <c r="U2491" s="40" t="str">
        <f aca="false">IF($A2491="","",$B2491&amp;"|"&amp;TEXT($A2491,"yyyymmdd")&amp;"|"&amp;TEXT($I2491,"0.00"))</f>
        <v/>
      </c>
      <c r="V2491" s="35" t="str">
        <f aca="false">IF($A2491="","",COUNTIF($U$8:$U$5007,$U2491))</f>
        <v/>
      </c>
    </row>
    <row r="2492" customFormat="false" ht="15" hidden="false" customHeight="false" outlineLevel="0" collapsed="false">
      <c r="A2492" s="31"/>
      <c r="B2492" s="32"/>
      <c r="C2492" s="32"/>
      <c r="D2492" s="32"/>
      <c r="E2492" s="32"/>
      <c r="F2492" s="32"/>
      <c r="G2492" s="33"/>
      <c r="H2492" s="33"/>
      <c r="I2492" s="34" t="str">
        <f aca="false">IF($A2492="","",$G2492-$H2492)</f>
        <v/>
      </c>
      <c r="J2492" s="35" t="str">
        <f aca="false">IF($A2492="","",IF(Setup!$B$6=1,YEAR($A2492),YEAR($A2492)+IF(MONTH($A2492)&gt;=Setup!$B$6,1,0)))</f>
        <v/>
      </c>
      <c r="K2492" s="35" t="str">
        <f aca="false">IF($A2492="","",MOD(MONTH($A2492)-Setup!$B$6+12,12)+1)</f>
        <v/>
      </c>
      <c r="L2492" s="36" t="str">
        <f aca="false">IF($A2492="","",TEXT($A2492,"MMM-YY"))</f>
        <v/>
      </c>
      <c r="M2492" s="37" t="str">
        <f aca="false">IF($A2492="","",IF($Q2492=0,"UNMAPPED",INDEX(COA_Mapping!$C$7:$C$256,$Q2492)))</f>
        <v/>
      </c>
      <c r="N2492" s="38" t="str">
        <f aca="false">IF($A2492="","",IF($Q2492=0,"",INDEX(COA_Mapping!$E$7:$E$256,$Q2492)))</f>
        <v/>
      </c>
      <c r="O2492" s="38" t="n">
        <f aca="false">IF($A2492="",1,IF($Q2492=0,1,INDEX(COA_Mapping!$F$7:$F$256,$Q2492)))</f>
        <v>1</v>
      </c>
      <c r="P2492" s="34" t="str">
        <f aca="false">IF($A2492="","",$I2492*$O2492)</f>
        <v/>
      </c>
      <c r="Q2492" s="39" t="n">
        <f aca="false">IF($B2492="",0,IFERROR(MATCH($B2492,COA_Mapping!$A$7:$A$256,0),0))</f>
        <v>0</v>
      </c>
      <c r="R2492" s="39" t="n">
        <f aca="false">IF($A2492="",-1,IF($J2492=Setup!$B$7,1,IF($J2492=Setup!$B$9,0,-1)))</f>
        <v>-1</v>
      </c>
      <c r="S2492" s="35" t="n">
        <f aca="false">IF(OR($A2492="",$Q2492=0,$R2492=-1),0,$Q2492*1000+$R2492*100+$K2492)</f>
        <v>0</v>
      </c>
      <c r="T2492" s="37" t="str">
        <f aca="false">IF($A2492="","",IF($B2492="","NO ACCOUNT",IF($Q2492=0,"UNMAPPED",IF($R2492=-1,"OUTSIDE FY RANGE","OK"))))</f>
        <v/>
      </c>
      <c r="U2492" s="40" t="str">
        <f aca="false">IF($A2492="","",$B2492&amp;"|"&amp;TEXT($A2492,"yyyymmdd")&amp;"|"&amp;TEXT($I2492,"0.00"))</f>
        <v/>
      </c>
      <c r="V2492" s="35" t="str">
        <f aca="false">IF($A2492="","",COUNTIF($U$8:$U$5007,$U2492))</f>
        <v/>
      </c>
    </row>
    <row r="2493" customFormat="false" ht="15" hidden="false" customHeight="false" outlineLevel="0" collapsed="false">
      <c r="A2493" s="31"/>
      <c r="B2493" s="32"/>
      <c r="C2493" s="32"/>
      <c r="D2493" s="32"/>
      <c r="E2493" s="32"/>
      <c r="F2493" s="32"/>
      <c r="G2493" s="33"/>
      <c r="H2493" s="33"/>
      <c r="I2493" s="34" t="str">
        <f aca="false">IF($A2493="","",$G2493-$H2493)</f>
        <v/>
      </c>
      <c r="J2493" s="35" t="str">
        <f aca="false">IF($A2493="","",IF(Setup!$B$6=1,YEAR($A2493),YEAR($A2493)+IF(MONTH($A2493)&gt;=Setup!$B$6,1,0)))</f>
        <v/>
      </c>
      <c r="K2493" s="35" t="str">
        <f aca="false">IF($A2493="","",MOD(MONTH($A2493)-Setup!$B$6+12,12)+1)</f>
        <v/>
      </c>
      <c r="L2493" s="36" t="str">
        <f aca="false">IF($A2493="","",TEXT($A2493,"MMM-YY"))</f>
        <v/>
      </c>
      <c r="M2493" s="37" t="str">
        <f aca="false">IF($A2493="","",IF($Q2493=0,"UNMAPPED",INDEX(COA_Mapping!$C$7:$C$256,$Q2493)))</f>
        <v/>
      </c>
      <c r="N2493" s="38" t="str">
        <f aca="false">IF($A2493="","",IF($Q2493=0,"",INDEX(COA_Mapping!$E$7:$E$256,$Q2493)))</f>
        <v/>
      </c>
      <c r="O2493" s="38" t="n">
        <f aca="false">IF($A2493="",1,IF($Q2493=0,1,INDEX(COA_Mapping!$F$7:$F$256,$Q2493)))</f>
        <v>1</v>
      </c>
      <c r="P2493" s="34" t="str">
        <f aca="false">IF($A2493="","",$I2493*$O2493)</f>
        <v/>
      </c>
      <c r="Q2493" s="39" t="n">
        <f aca="false">IF($B2493="",0,IFERROR(MATCH($B2493,COA_Mapping!$A$7:$A$256,0),0))</f>
        <v>0</v>
      </c>
      <c r="R2493" s="39" t="n">
        <f aca="false">IF($A2493="",-1,IF($J2493=Setup!$B$7,1,IF($J2493=Setup!$B$9,0,-1)))</f>
        <v>-1</v>
      </c>
      <c r="S2493" s="35" t="n">
        <f aca="false">IF(OR($A2493="",$Q2493=0,$R2493=-1),0,$Q2493*1000+$R2493*100+$K2493)</f>
        <v>0</v>
      </c>
      <c r="T2493" s="37" t="str">
        <f aca="false">IF($A2493="","",IF($B2493="","NO ACCOUNT",IF($Q2493=0,"UNMAPPED",IF($R2493=-1,"OUTSIDE FY RANGE","OK"))))</f>
        <v/>
      </c>
      <c r="U2493" s="40" t="str">
        <f aca="false">IF($A2493="","",$B2493&amp;"|"&amp;TEXT($A2493,"yyyymmdd")&amp;"|"&amp;TEXT($I2493,"0.00"))</f>
        <v/>
      </c>
      <c r="V2493" s="35" t="str">
        <f aca="false">IF($A2493="","",COUNTIF($U$8:$U$5007,$U2493))</f>
        <v/>
      </c>
    </row>
    <row r="2494" customFormat="false" ht="15" hidden="false" customHeight="false" outlineLevel="0" collapsed="false">
      <c r="A2494" s="31"/>
      <c r="B2494" s="32"/>
      <c r="C2494" s="32"/>
      <c r="D2494" s="32"/>
      <c r="E2494" s="32"/>
      <c r="F2494" s="32"/>
      <c r="G2494" s="33"/>
      <c r="H2494" s="33"/>
      <c r="I2494" s="34" t="str">
        <f aca="false">IF($A2494="","",$G2494-$H2494)</f>
        <v/>
      </c>
      <c r="J2494" s="35" t="str">
        <f aca="false">IF($A2494="","",IF(Setup!$B$6=1,YEAR($A2494),YEAR($A2494)+IF(MONTH($A2494)&gt;=Setup!$B$6,1,0)))</f>
        <v/>
      </c>
      <c r="K2494" s="35" t="str">
        <f aca="false">IF($A2494="","",MOD(MONTH($A2494)-Setup!$B$6+12,12)+1)</f>
        <v/>
      </c>
      <c r="L2494" s="36" t="str">
        <f aca="false">IF($A2494="","",TEXT($A2494,"MMM-YY"))</f>
        <v/>
      </c>
      <c r="M2494" s="37" t="str">
        <f aca="false">IF($A2494="","",IF($Q2494=0,"UNMAPPED",INDEX(COA_Mapping!$C$7:$C$256,$Q2494)))</f>
        <v/>
      </c>
      <c r="N2494" s="38" t="str">
        <f aca="false">IF($A2494="","",IF($Q2494=0,"",INDEX(COA_Mapping!$E$7:$E$256,$Q2494)))</f>
        <v/>
      </c>
      <c r="O2494" s="38" t="n">
        <f aca="false">IF($A2494="",1,IF($Q2494=0,1,INDEX(COA_Mapping!$F$7:$F$256,$Q2494)))</f>
        <v>1</v>
      </c>
      <c r="P2494" s="34" t="str">
        <f aca="false">IF($A2494="","",$I2494*$O2494)</f>
        <v/>
      </c>
      <c r="Q2494" s="39" t="n">
        <f aca="false">IF($B2494="",0,IFERROR(MATCH($B2494,COA_Mapping!$A$7:$A$256,0),0))</f>
        <v>0</v>
      </c>
      <c r="R2494" s="39" t="n">
        <f aca="false">IF($A2494="",-1,IF($J2494=Setup!$B$7,1,IF($J2494=Setup!$B$9,0,-1)))</f>
        <v>-1</v>
      </c>
      <c r="S2494" s="35" t="n">
        <f aca="false">IF(OR($A2494="",$Q2494=0,$R2494=-1),0,$Q2494*1000+$R2494*100+$K2494)</f>
        <v>0</v>
      </c>
      <c r="T2494" s="37" t="str">
        <f aca="false">IF($A2494="","",IF($B2494="","NO ACCOUNT",IF($Q2494=0,"UNMAPPED",IF($R2494=-1,"OUTSIDE FY RANGE","OK"))))</f>
        <v/>
      </c>
      <c r="U2494" s="40" t="str">
        <f aca="false">IF($A2494="","",$B2494&amp;"|"&amp;TEXT($A2494,"yyyymmdd")&amp;"|"&amp;TEXT($I2494,"0.00"))</f>
        <v/>
      </c>
      <c r="V2494" s="35" t="str">
        <f aca="false">IF($A2494="","",COUNTIF($U$8:$U$5007,$U2494))</f>
        <v/>
      </c>
    </row>
    <row r="2495" customFormat="false" ht="15" hidden="false" customHeight="false" outlineLevel="0" collapsed="false">
      <c r="A2495" s="31"/>
      <c r="B2495" s="32"/>
      <c r="C2495" s="32"/>
      <c r="D2495" s="32"/>
      <c r="E2495" s="32"/>
      <c r="F2495" s="32"/>
      <c r="G2495" s="33"/>
      <c r="H2495" s="33"/>
      <c r="I2495" s="34" t="str">
        <f aca="false">IF($A2495="","",$G2495-$H2495)</f>
        <v/>
      </c>
      <c r="J2495" s="35" t="str">
        <f aca="false">IF($A2495="","",IF(Setup!$B$6=1,YEAR($A2495),YEAR($A2495)+IF(MONTH($A2495)&gt;=Setup!$B$6,1,0)))</f>
        <v/>
      </c>
      <c r="K2495" s="35" t="str">
        <f aca="false">IF($A2495="","",MOD(MONTH($A2495)-Setup!$B$6+12,12)+1)</f>
        <v/>
      </c>
      <c r="L2495" s="36" t="str">
        <f aca="false">IF($A2495="","",TEXT($A2495,"MMM-YY"))</f>
        <v/>
      </c>
      <c r="M2495" s="37" t="str">
        <f aca="false">IF($A2495="","",IF($Q2495=0,"UNMAPPED",INDEX(COA_Mapping!$C$7:$C$256,$Q2495)))</f>
        <v/>
      </c>
      <c r="N2495" s="38" t="str">
        <f aca="false">IF($A2495="","",IF($Q2495=0,"",INDEX(COA_Mapping!$E$7:$E$256,$Q2495)))</f>
        <v/>
      </c>
      <c r="O2495" s="38" t="n">
        <f aca="false">IF($A2495="",1,IF($Q2495=0,1,INDEX(COA_Mapping!$F$7:$F$256,$Q2495)))</f>
        <v>1</v>
      </c>
      <c r="P2495" s="34" t="str">
        <f aca="false">IF($A2495="","",$I2495*$O2495)</f>
        <v/>
      </c>
      <c r="Q2495" s="39" t="n">
        <f aca="false">IF($B2495="",0,IFERROR(MATCH($B2495,COA_Mapping!$A$7:$A$256,0),0))</f>
        <v>0</v>
      </c>
      <c r="R2495" s="39" t="n">
        <f aca="false">IF($A2495="",-1,IF($J2495=Setup!$B$7,1,IF($J2495=Setup!$B$9,0,-1)))</f>
        <v>-1</v>
      </c>
      <c r="S2495" s="35" t="n">
        <f aca="false">IF(OR($A2495="",$Q2495=0,$R2495=-1),0,$Q2495*1000+$R2495*100+$K2495)</f>
        <v>0</v>
      </c>
      <c r="T2495" s="37" t="str">
        <f aca="false">IF($A2495="","",IF($B2495="","NO ACCOUNT",IF($Q2495=0,"UNMAPPED",IF($R2495=-1,"OUTSIDE FY RANGE","OK"))))</f>
        <v/>
      </c>
      <c r="U2495" s="40" t="str">
        <f aca="false">IF($A2495="","",$B2495&amp;"|"&amp;TEXT($A2495,"yyyymmdd")&amp;"|"&amp;TEXT($I2495,"0.00"))</f>
        <v/>
      </c>
      <c r="V2495" s="35" t="str">
        <f aca="false">IF($A2495="","",COUNTIF($U$8:$U$5007,$U2495))</f>
        <v/>
      </c>
    </row>
    <row r="2496" customFormat="false" ht="15" hidden="false" customHeight="false" outlineLevel="0" collapsed="false">
      <c r="A2496" s="31"/>
      <c r="B2496" s="32"/>
      <c r="C2496" s="32"/>
      <c r="D2496" s="32"/>
      <c r="E2496" s="32"/>
      <c r="F2496" s="32"/>
      <c r="G2496" s="33"/>
      <c r="H2496" s="33"/>
      <c r="I2496" s="34" t="str">
        <f aca="false">IF($A2496="","",$G2496-$H2496)</f>
        <v/>
      </c>
      <c r="J2496" s="35" t="str">
        <f aca="false">IF($A2496="","",IF(Setup!$B$6=1,YEAR($A2496),YEAR($A2496)+IF(MONTH($A2496)&gt;=Setup!$B$6,1,0)))</f>
        <v/>
      </c>
      <c r="K2496" s="35" t="str">
        <f aca="false">IF($A2496="","",MOD(MONTH($A2496)-Setup!$B$6+12,12)+1)</f>
        <v/>
      </c>
      <c r="L2496" s="36" t="str">
        <f aca="false">IF($A2496="","",TEXT($A2496,"MMM-YY"))</f>
        <v/>
      </c>
      <c r="M2496" s="37" t="str">
        <f aca="false">IF($A2496="","",IF($Q2496=0,"UNMAPPED",INDEX(COA_Mapping!$C$7:$C$256,$Q2496)))</f>
        <v/>
      </c>
      <c r="N2496" s="38" t="str">
        <f aca="false">IF($A2496="","",IF($Q2496=0,"",INDEX(COA_Mapping!$E$7:$E$256,$Q2496)))</f>
        <v/>
      </c>
      <c r="O2496" s="38" t="n">
        <f aca="false">IF($A2496="",1,IF($Q2496=0,1,INDEX(COA_Mapping!$F$7:$F$256,$Q2496)))</f>
        <v>1</v>
      </c>
      <c r="P2496" s="34" t="str">
        <f aca="false">IF($A2496="","",$I2496*$O2496)</f>
        <v/>
      </c>
      <c r="Q2496" s="39" t="n">
        <f aca="false">IF($B2496="",0,IFERROR(MATCH($B2496,COA_Mapping!$A$7:$A$256,0),0))</f>
        <v>0</v>
      </c>
      <c r="R2496" s="39" t="n">
        <f aca="false">IF($A2496="",-1,IF($J2496=Setup!$B$7,1,IF($J2496=Setup!$B$9,0,-1)))</f>
        <v>-1</v>
      </c>
      <c r="S2496" s="35" t="n">
        <f aca="false">IF(OR($A2496="",$Q2496=0,$R2496=-1),0,$Q2496*1000+$R2496*100+$K2496)</f>
        <v>0</v>
      </c>
      <c r="T2496" s="37" t="str">
        <f aca="false">IF($A2496="","",IF($B2496="","NO ACCOUNT",IF($Q2496=0,"UNMAPPED",IF($R2496=-1,"OUTSIDE FY RANGE","OK"))))</f>
        <v/>
      </c>
      <c r="U2496" s="40" t="str">
        <f aca="false">IF($A2496="","",$B2496&amp;"|"&amp;TEXT($A2496,"yyyymmdd")&amp;"|"&amp;TEXT($I2496,"0.00"))</f>
        <v/>
      </c>
      <c r="V2496" s="35" t="str">
        <f aca="false">IF($A2496="","",COUNTIF($U$8:$U$5007,$U2496))</f>
        <v/>
      </c>
    </row>
    <row r="2497" customFormat="false" ht="15" hidden="false" customHeight="false" outlineLevel="0" collapsed="false">
      <c r="A2497" s="31"/>
      <c r="B2497" s="32"/>
      <c r="C2497" s="32"/>
      <c r="D2497" s="32"/>
      <c r="E2497" s="32"/>
      <c r="F2497" s="32"/>
      <c r="G2497" s="33"/>
      <c r="H2497" s="33"/>
      <c r="I2497" s="34" t="str">
        <f aca="false">IF($A2497="","",$G2497-$H2497)</f>
        <v/>
      </c>
      <c r="J2497" s="35" t="str">
        <f aca="false">IF($A2497="","",IF(Setup!$B$6=1,YEAR($A2497),YEAR($A2497)+IF(MONTH($A2497)&gt;=Setup!$B$6,1,0)))</f>
        <v/>
      </c>
      <c r="K2497" s="35" t="str">
        <f aca="false">IF($A2497="","",MOD(MONTH($A2497)-Setup!$B$6+12,12)+1)</f>
        <v/>
      </c>
      <c r="L2497" s="36" t="str">
        <f aca="false">IF($A2497="","",TEXT($A2497,"MMM-YY"))</f>
        <v/>
      </c>
      <c r="M2497" s="37" t="str">
        <f aca="false">IF($A2497="","",IF($Q2497=0,"UNMAPPED",INDEX(COA_Mapping!$C$7:$C$256,$Q2497)))</f>
        <v/>
      </c>
      <c r="N2497" s="38" t="str">
        <f aca="false">IF($A2497="","",IF($Q2497=0,"",INDEX(COA_Mapping!$E$7:$E$256,$Q2497)))</f>
        <v/>
      </c>
      <c r="O2497" s="38" t="n">
        <f aca="false">IF($A2497="",1,IF($Q2497=0,1,INDEX(COA_Mapping!$F$7:$F$256,$Q2497)))</f>
        <v>1</v>
      </c>
      <c r="P2497" s="34" t="str">
        <f aca="false">IF($A2497="","",$I2497*$O2497)</f>
        <v/>
      </c>
      <c r="Q2497" s="39" t="n">
        <f aca="false">IF($B2497="",0,IFERROR(MATCH($B2497,COA_Mapping!$A$7:$A$256,0),0))</f>
        <v>0</v>
      </c>
      <c r="R2497" s="39" t="n">
        <f aca="false">IF($A2497="",-1,IF($J2497=Setup!$B$7,1,IF($J2497=Setup!$B$9,0,-1)))</f>
        <v>-1</v>
      </c>
      <c r="S2497" s="35" t="n">
        <f aca="false">IF(OR($A2497="",$Q2497=0,$R2497=-1),0,$Q2497*1000+$R2497*100+$K2497)</f>
        <v>0</v>
      </c>
      <c r="T2497" s="37" t="str">
        <f aca="false">IF($A2497="","",IF($B2497="","NO ACCOUNT",IF($Q2497=0,"UNMAPPED",IF($R2497=-1,"OUTSIDE FY RANGE","OK"))))</f>
        <v/>
      </c>
      <c r="U2497" s="40" t="str">
        <f aca="false">IF($A2497="","",$B2497&amp;"|"&amp;TEXT($A2497,"yyyymmdd")&amp;"|"&amp;TEXT($I2497,"0.00"))</f>
        <v/>
      </c>
      <c r="V2497" s="35" t="str">
        <f aca="false">IF($A2497="","",COUNTIF($U$8:$U$5007,$U2497))</f>
        <v/>
      </c>
    </row>
    <row r="2498" customFormat="false" ht="15" hidden="false" customHeight="false" outlineLevel="0" collapsed="false">
      <c r="A2498" s="31"/>
      <c r="B2498" s="32"/>
      <c r="C2498" s="32"/>
      <c r="D2498" s="32"/>
      <c r="E2498" s="32"/>
      <c r="F2498" s="32"/>
      <c r="G2498" s="33"/>
      <c r="H2498" s="33"/>
      <c r="I2498" s="34" t="str">
        <f aca="false">IF($A2498="","",$G2498-$H2498)</f>
        <v/>
      </c>
      <c r="J2498" s="35" t="str">
        <f aca="false">IF($A2498="","",IF(Setup!$B$6=1,YEAR($A2498),YEAR($A2498)+IF(MONTH($A2498)&gt;=Setup!$B$6,1,0)))</f>
        <v/>
      </c>
      <c r="K2498" s="35" t="str">
        <f aca="false">IF($A2498="","",MOD(MONTH($A2498)-Setup!$B$6+12,12)+1)</f>
        <v/>
      </c>
      <c r="L2498" s="36" t="str">
        <f aca="false">IF($A2498="","",TEXT($A2498,"MMM-YY"))</f>
        <v/>
      </c>
      <c r="M2498" s="37" t="str">
        <f aca="false">IF($A2498="","",IF($Q2498=0,"UNMAPPED",INDEX(COA_Mapping!$C$7:$C$256,$Q2498)))</f>
        <v/>
      </c>
      <c r="N2498" s="38" t="str">
        <f aca="false">IF($A2498="","",IF($Q2498=0,"",INDEX(COA_Mapping!$E$7:$E$256,$Q2498)))</f>
        <v/>
      </c>
      <c r="O2498" s="38" t="n">
        <f aca="false">IF($A2498="",1,IF($Q2498=0,1,INDEX(COA_Mapping!$F$7:$F$256,$Q2498)))</f>
        <v>1</v>
      </c>
      <c r="P2498" s="34" t="str">
        <f aca="false">IF($A2498="","",$I2498*$O2498)</f>
        <v/>
      </c>
      <c r="Q2498" s="39" t="n">
        <f aca="false">IF($B2498="",0,IFERROR(MATCH($B2498,COA_Mapping!$A$7:$A$256,0),0))</f>
        <v>0</v>
      </c>
      <c r="R2498" s="39" t="n">
        <f aca="false">IF($A2498="",-1,IF($J2498=Setup!$B$7,1,IF($J2498=Setup!$B$9,0,-1)))</f>
        <v>-1</v>
      </c>
      <c r="S2498" s="35" t="n">
        <f aca="false">IF(OR($A2498="",$Q2498=0,$R2498=-1),0,$Q2498*1000+$R2498*100+$K2498)</f>
        <v>0</v>
      </c>
      <c r="T2498" s="37" t="str">
        <f aca="false">IF($A2498="","",IF($B2498="","NO ACCOUNT",IF($Q2498=0,"UNMAPPED",IF($R2498=-1,"OUTSIDE FY RANGE","OK"))))</f>
        <v/>
      </c>
      <c r="U2498" s="40" t="str">
        <f aca="false">IF($A2498="","",$B2498&amp;"|"&amp;TEXT($A2498,"yyyymmdd")&amp;"|"&amp;TEXT($I2498,"0.00"))</f>
        <v/>
      </c>
      <c r="V2498" s="35" t="str">
        <f aca="false">IF($A2498="","",COUNTIF($U$8:$U$5007,$U2498))</f>
        <v/>
      </c>
    </row>
    <row r="2499" customFormat="false" ht="15" hidden="false" customHeight="false" outlineLevel="0" collapsed="false">
      <c r="A2499" s="31"/>
      <c r="B2499" s="32"/>
      <c r="C2499" s="32"/>
      <c r="D2499" s="32"/>
      <c r="E2499" s="32"/>
      <c r="F2499" s="32"/>
      <c r="G2499" s="33"/>
      <c r="H2499" s="33"/>
      <c r="I2499" s="34" t="str">
        <f aca="false">IF($A2499="","",$G2499-$H2499)</f>
        <v/>
      </c>
      <c r="J2499" s="35" t="str">
        <f aca="false">IF($A2499="","",IF(Setup!$B$6=1,YEAR($A2499),YEAR($A2499)+IF(MONTH($A2499)&gt;=Setup!$B$6,1,0)))</f>
        <v/>
      </c>
      <c r="K2499" s="35" t="str">
        <f aca="false">IF($A2499="","",MOD(MONTH($A2499)-Setup!$B$6+12,12)+1)</f>
        <v/>
      </c>
      <c r="L2499" s="36" t="str">
        <f aca="false">IF($A2499="","",TEXT($A2499,"MMM-YY"))</f>
        <v/>
      </c>
      <c r="M2499" s="37" t="str">
        <f aca="false">IF($A2499="","",IF($Q2499=0,"UNMAPPED",INDEX(COA_Mapping!$C$7:$C$256,$Q2499)))</f>
        <v/>
      </c>
      <c r="N2499" s="38" t="str">
        <f aca="false">IF($A2499="","",IF($Q2499=0,"",INDEX(COA_Mapping!$E$7:$E$256,$Q2499)))</f>
        <v/>
      </c>
      <c r="O2499" s="38" t="n">
        <f aca="false">IF($A2499="",1,IF($Q2499=0,1,INDEX(COA_Mapping!$F$7:$F$256,$Q2499)))</f>
        <v>1</v>
      </c>
      <c r="P2499" s="34" t="str">
        <f aca="false">IF($A2499="","",$I2499*$O2499)</f>
        <v/>
      </c>
      <c r="Q2499" s="39" t="n">
        <f aca="false">IF($B2499="",0,IFERROR(MATCH($B2499,COA_Mapping!$A$7:$A$256,0),0))</f>
        <v>0</v>
      </c>
      <c r="R2499" s="39" t="n">
        <f aca="false">IF($A2499="",-1,IF($J2499=Setup!$B$7,1,IF($J2499=Setup!$B$9,0,-1)))</f>
        <v>-1</v>
      </c>
      <c r="S2499" s="35" t="n">
        <f aca="false">IF(OR($A2499="",$Q2499=0,$R2499=-1),0,$Q2499*1000+$R2499*100+$K2499)</f>
        <v>0</v>
      </c>
      <c r="T2499" s="37" t="str">
        <f aca="false">IF($A2499="","",IF($B2499="","NO ACCOUNT",IF($Q2499=0,"UNMAPPED",IF($R2499=-1,"OUTSIDE FY RANGE","OK"))))</f>
        <v/>
      </c>
      <c r="U2499" s="40" t="str">
        <f aca="false">IF($A2499="","",$B2499&amp;"|"&amp;TEXT($A2499,"yyyymmdd")&amp;"|"&amp;TEXT($I2499,"0.00"))</f>
        <v/>
      </c>
      <c r="V2499" s="35" t="str">
        <f aca="false">IF($A2499="","",COUNTIF($U$8:$U$5007,$U2499))</f>
        <v/>
      </c>
    </row>
    <row r="2500" customFormat="false" ht="15" hidden="false" customHeight="false" outlineLevel="0" collapsed="false">
      <c r="A2500" s="31"/>
      <c r="B2500" s="32"/>
      <c r="C2500" s="32"/>
      <c r="D2500" s="32"/>
      <c r="E2500" s="32"/>
      <c r="F2500" s="32"/>
      <c r="G2500" s="33"/>
      <c r="H2500" s="33"/>
      <c r="I2500" s="34" t="str">
        <f aca="false">IF($A2500="","",$G2500-$H2500)</f>
        <v/>
      </c>
      <c r="J2500" s="35" t="str">
        <f aca="false">IF($A2500="","",IF(Setup!$B$6=1,YEAR($A2500),YEAR($A2500)+IF(MONTH($A2500)&gt;=Setup!$B$6,1,0)))</f>
        <v/>
      </c>
      <c r="K2500" s="35" t="str">
        <f aca="false">IF($A2500="","",MOD(MONTH($A2500)-Setup!$B$6+12,12)+1)</f>
        <v/>
      </c>
      <c r="L2500" s="36" t="str">
        <f aca="false">IF($A2500="","",TEXT($A2500,"MMM-YY"))</f>
        <v/>
      </c>
      <c r="M2500" s="37" t="str">
        <f aca="false">IF($A2500="","",IF($Q2500=0,"UNMAPPED",INDEX(COA_Mapping!$C$7:$C$256,$Q2500)))</f>
        <v/>
      </c>
      <c r="N2500" s="38" t="str">
        <f aca="false">IF($A2500="","",IF($Q2500=0,"",INDEX(COA_Mapping!$E$7:$E$256,$Q2500)))</f>
        <v/>
      </c>
      <c r="O2500" s="38" t="n">
        <f aca="false">IF($A2500="",1,IF($Q2500=0,1,INDEX(COA_Mapping!$F$7:$F$256,$Q2500)))</f>
        <v>1</v>
      </c>
      <c r="P2500" s="34" t="str">
        <f aca="false">IF($A2500="","",$I2500*$O2500)</f>
        <v/>
      </c>
      <c r="Q2500" s="39" t="n">
        <f aca="false">IF($B2500="",0,IFERROR(MATCH($B2500,COA_Mapping!$A$7:$A$256,0),0))</f>
        <v>0</v>
      </c>
      <c r="R2500" s="39" t="n">
        <f aca="false">IF($A2500="",-1,IF($J2500=Setup!$B$7,1,IF($J2500=Setup!$B$9,0,-1)))</f>
        <v>-1</v>
      </c>
      <c r="S2500" s="35" t="n">
        <f aca="false">IF(OR($A2500="",$Q2500=0,$R2500=-1),0,$Q2500*1000+$R2500*100+$K2500)</f>
        <v>0</v>
      </c>
      <c r="T2500" s="37" t="str">
        <f aca="false">IF($A2500="","",IF($B2500="","NO ACCOUNT",IF($Q2500=0,"UNMAPPED",IF($R2500=-1,"OUTSIDE FY RANGE","OK"))))</f>
        <v/>
      </c>
      <c r="U2500" s="40" t="str">
        <f aca="false">IF($A2500="","",$B2500&amp;"|"&amp;TEXT($A2500,"yyyymmdd")&amp;"|"&amp;TEXT($I2500,"0.00"))</f>
        <v/>
      </c>
      <c r="V2500" s="35" t="str">
        <f aca="false">IF($A2500="","",COUNTIF($U$8:$U$5007,$U2500))</f>
        <v/>
      </c>
    </row>
    <row r="2501" customFormat="false" ht="15" hidden="false" customHeight="false" outlineLevel="0" collapsed="false">
      <c r="A2501" s="31"/>
      <c r="B2501" s="32"/>
      <c r="C2501" s="32"/>
      <c r="D2501" s="32"/>
      <c r="E2501" s="32"/>
      <c r="F2501" s="32"/>
      <c r="G2501" s="33"/>
      <c r="H2501" s="33"/>
      <c r="I2501" s="34" t="str">
        <f aca="false">IF($A2501="","",$G2501-$H2501)</f>
        <v/>
      </c>
      <c r="J2501" s="35" t="str">
        <f aca="false">IF($A2501="","",IF(Setup!$B$6=1,YEAR($A2501),YEAR($A2501)+IF(MONTH($A2501)&gt;=Setup!$B$6,1,0)))</f>
        <v/>
      </c>
      <c r="K2501" s="35" t="str">
        <f aca="false">IF($A2501="","",MOD(MONTH($A2501)-Setup!$B$6+12,12)+1)</f>
        <v/>
      </c>
      <c r="L2501" s="36" t="str">
        <f aca="false">IF($A2501="","",TEXT($A2501,"MMM-YY"))</f>
        <v/>
      </c>
      <c r="M2501" s="37" t="str">
        <f aca="false">IF($A2501="","",IF($Q2501=0,"UNMAPPED",INDEX(COA_Mapping!$C$7:$C$256,$Q2501)))</f>
        <v/>
      </c>
      <c r="N2501" s="38" t="str">
        <f aca="false">IF($A2501="","",IF($Q2501=0,"",INDEX(COA_Mapping!$E$7:$E$256,$Q2501)))</f>
        <v/>
      </c>
      <c r="O2501" s="38" t="n">
        <f aca="false">IF($A2501="",1,IF($Q2501=0,1,INDEX(COA_Mapping!$F$7:$F$256,$Q2501)))</f>
        <v>1</v>
      </c>
      <c r="P2501" s="34" t="str">
        <f aca="false">IF($A2501="","",$I2501*$O2501)</f>
        <v/>
      </c>
      <c r="Q2501" s="39" t="n">
        <f aca="false">IF($B2501="",0,IFERROR(MATCH($B2501,COA_Mapping!$A$7:$A$256,0),0))</f>
        <v>0</v>
      </c>
      <c r="R2501" s="39" t="n">
        <f aca="false">IF($A2501="",-1,IF($J2501=Setup!$B$7,1,IF($J2501=Setup!$B$9,0,-1)))</f>
        <v>-1</v>
      </c>
      <c r="S2501" s="35" t="n">
        <f aca="false">IF(OR($A2501="",$Q2501=0,$R2501=-1),0,$Q2501*1000+$R2501*100+$K2501)</f>
        <v>0</v>
      </c>
      <c r="T2501" s="37" t="str">
        <f aca="false">IF($A2501="","",IF($B2501="","NO ACCOUNT",IF($Q2501=0,"UNMAPPED",IF($R2501=-1,"OUTSIDE FY RANGE","OK"))))</f>
        <v/>
      </c>
      <c r="U2501" s="40" t="str">
        <f aca="false">IF($A2501="","",$B2501&amp;"|"&amp;TEXT($A2501,"yyyymmdd")&amp;"|"&amp;TEXT($I2501,"0.00"))</f>
        <v/>
      </c>
      <c r="V2501" s="35" t="str">
        <f aca="false">IF($A2501="","",COUNTIF($U$8:$U$5007,$U2501))</f>
        <v/>
      </c>
    </row>
    <row r="2502" customFormat="false" ht="15" hidden="false" customHeight="false" outlineLevel="0" collapsed="false">
      <c r="A2502" s="31"/>
      <c r="B2502" s="32"/>
      <c r="C2502" s="32"/>
      <c r="D2502" s="32"/>
      <c r="E2502" s="32"/>
      <c r="F2502" s="32"/>
      <c r="G2502" s="33"/>
      <c r="H2502" s="33"/>
      <c r="I2502" s="34" t="str">
        <f aca="false">IF($A2502="","",$G2502-$H2502)</f>
        <v/>
      </c>
      <c r="J2502" s="35" t="str">
        <f aca="false">IF($A2502="","",IF(Setup!$B$6=1,YEAR($A2502),YEAR($A2502)+IF(MONTH($A2502)&gt;=Setup!$B$6,1,0)))</f>
        <v/>
      </c>
      <c r="K2502" s="35" t="str">
        <f aca="false">IF($A2502="","",MOD(MONTH($A2502)-Setup!$B$6+12,12)+1)</f>
        <v/>
      </c>
      <c r="L2502" s="36" t="str">
        <f aca="false">IF($A2502="","",TEXT($A2502,"MMM-YY"))</f>
        <v/>
      </c>
      <c r="M2502" s="37" t="str">
        <f aca="false">IF($A2502="","",IF($Q2502=0,"UNMAPPED",INDEX(COA_Mapping!$C$7:$C$256,$Q2502)))</f>
        <v/>
      </c>
      <c r="N2502" s="38" t="str">
        <f aca="false">IF($A2502="","",IF($Q2502=0,"",INDEX(COA_Mapping!$E$7:$E$256,$Q2502)))</f>
        <v/>
      </c>
      <c r="O2502" s="38" t="n">
        <f aca="false">IF($A2502="",1,IF($Q2502=0,1,INDEX(COA_Mapping!$F$7:$F$256,$Q2502)))</f>
        <v>1</v>
      </c>
      <c r="P2502" s="34" t="str">
        <f aca="false">IF($A2502="","",$I2502*$O2502)</f>
        <v/>
      </c>
      <c r="Q2502" s="39" t="n">
        <f aca="false">IF($B2502="",0,IFERROR(MATCH($B2502,COA_Mapping!$A$7:$A$256,0),0))</f>
        <v>0</v>
      </c>
      <c r="R2502" s="39" t="n">
        <f aca="false">IF($A2502="",-1,IF($J2502=Setup!$B$7,1,IF($J2502=Setup!$B$9,0,-1)))</f>
        <v>-1</v>
      </c>
      <c r="S2502" s="35" t="n">
        <f aca="false">IF(OR($A2502="",$Q2502=0,$R2502=-1),0,$Q2502*1000+$R2502*100+$K2502)</f>
        <v>0</v>
      </c>
      <c r="T2502" s="37" t="str">
        <f aca="false">IF($A2502="","",IF($B2502="","NO ACCOUNT",IF($Q2502=0,"UNMAPPED",IF($R2502=-1,"OUTSIDE FY RANGE","OK"))))</f>
        <v/>
      </c>
      <c r="U2502" s="40" t="str">
        <f aca="false">IF($A2502="","",$B2502&amp;"|"&amp;TEXT($A2502,"yyyymmdd")&amp;"|"&amp;TEXT($I2502,"0.00"))</f>
        <v/>
      </c>
      <c r="V2502" s="35" t="str">
        <f aca="false">IF($A2502="","",COUNTIF($U$8:$U$5007,$U2502))</f>
        <v/>
      </c>
    </row>
    <row r="2503" customFormat="false" ht="15" hidden="false" customHeight="false" outlineLevel="0" collapsed="false">
      <c r="A2503" s="31"/>
      <c r="B2503" s="32"/>
      <c r="C2503" s="32"/>
      <c r="D2503" s="32"/>
      <c r="E2503" s="32"/>
      <c r="F2503" s="32"/>
      <c r="G2503" s="33"/>
      <c r="H2503" s="33"/>
      <c r="I2503" s="34" t="str">
        <f aca="false">IF($A2503="","",$G2503-$H2503)</f>
        <v/>
      </c>
      <c r="J2503" s="35" t="str">
        <f aca="false">IF($A2503="","",IF(Setup!$B$6=1,YEAR($A2503),YEAR($A2503)+IF(MONTH($A2503)&gt;=Setup!$B$6,1,0)))</f>
        <v/>
      </c>
      <c r="K2503" s="35" t="str">
        <f aca="false">IF($A2503="","",MOD(MONTH($A2503)-Setup!$B$6+12,12)+1)</f>
        <v/>
      </c>
      <c r="L2503" s="36" t="str">
        <f aca="false">IF($A2503="","",TEXT($A2503,"MMM-YY"))</f>
        <v/>
      </c>
      <c r="M2503" s="37" t="str">
        <f aca="false">IF($A2503="","",IF($Q2503=0,"UNMAPPED",INDEX(COA_Mapping!$C$7:$C$256,$Q2503)))</f>
        <v/>
      </c>
      <c r="N2503" s="38" t="str">
        <f aca="false">IF($A2503="","",IF($Q2503=0,"",INDEX(COA_Mapping!$E$7:$E$256,$Q2503)))</f>
        <v/>
      </c>
      <c r="O2503" s="38" t="n">
        <f aca="false">IF($A2503="",1,IF($Q2503=0,1,INDEX(COA_Mapping!$F$7:$F$256,$Q2503)))</f>
        <v>1</v>
      </c>
      <c r="P2503" s="34" t="str">
        <f aca="false">IF($A2503="","",$I2503*$O2503)</f>
        <v/>
      </c>
      <c r="Q2503" s="39" t="n">
        <f aca="false">IF($B2503="",0,IFERROR(MATCH($B2503,COA_Mapping!$A$7:$A$256,0),0))</f>
        <v>0</v>
      </c>
      <c r="R2503" s="39" t="n">
        <f aca="false">IF($A2503="",-1,IF($J2503=Setup!$B$7,1,IF($J2503=Setup!$B$9,0,-1)))</f>
        <v>-1</v>
      </c>
      <c r="S2503" s="35" t="n">
        <f aca="false">IF(OR($A2503="",$Q2503=0,$R2503=-1),0,$Q2503*1000+$R2503*100+$K2503)</f>
        <v>0</v>
      </c>
      <c r="T2503" s="37" t="str">
        <f aca="false">IF($A2503="","",IF($B2503="","NO ACCOUNT",IF($Q2503=0,"UNMAPPED",IF($R2503=-1,"OUTSIDE FY RANGE","OK"))))</f>
        <v/>
      </c>
      <c r="U2503" s="40" t="str">
        <f aca="false">IF($A2503="","",$B2503&amp;"|"&amp;TEXT($A2503,"yyyymmdd")&amp;"|"&amp;TEXT($I2503,"0.00"))</f>
        <v/>
      </c>
      <c r="V2503" s="35" t="str">
        <f aca="false">IF($A2503="","",COUNTIF($U$8:$U$5007,$U2503))</f>
        <v/>
      </c>
    </row>
    <row r="2504" customFormat="false" ht="15" hidden="false" customHeight="false" outlineLevel="0" collapsed="false">
      <c r="A2504" s="31"/>
      <c r="B2504" s="32"/>
      <c r="C2504" s="32"/>
      <c r="D2504" s="32"/>
      <c r="E2504" s="32"/>
      <c r="F2504" s="32"/>
      <c r="G2504" s="33"/>
      <c r="H2504" s="33"/>
      <c r="I2504" s="34" t="str">
        <f aca="false">IF($A2504="","",$G2504-$H2504)</f>
        <v/>
      </c>
      <c r="J2504" s="35" t="str">
        <f aca="false">IF($A2504="","",IF(Setup!$B$6=1,YEAR($A2504),YEAR($A2504)+IF(MONTH($A2504)&gt;=Setup!$B$6,1,0)))</f>
        <v/>
      </c>
      <c r="K2504" s="35" t="str">
        <f aca="false">IF($A2504="","",MOD(MONTH($A2504)-Setup!$B$6+12,12)+1)</f>
        <v/>
      </c>
      <c r="L2504" s="36" t="str">
        <f aca="false">IF($A2504="","",TEXT($A2504,"MMM-YY"))</f>
        <v/>
      </c>
      <c r="M2504" s="37" t="str">
        <f aca="false">IF($A2504="","",IF($Q2504=0,"UNMAPPED",INDEX(COA_Mapping!$C$7:$C$256,$Q2504)))</f>
        <v/>
      </c>
      <c r="N2504" s="38" t="str">
        <f aca="false">IF($A2504="","",IF($Q2504=0,"",INDEX(COA_Mapping!$E$7:$E$256,$Q2504)))</f>
        <v/>
      </c>
      <c r="O2504" s="38" t="n">
        <f aca="false">IF($A2504="",1,IF($Q2504=0,1,INDEX(COA_Mapping!$F$7:$F$256,$Q2504)))</f>
        <v>1</v>
      </c>
      <c r="P2504" s="34" t="str">
        <f aca="false">IF($A2504="","",$I2504*$O2504)</f>
        <v/>
      </c>
      <c r="Q2504" s="39" t="n">
        <f aca="false">IF($B2504="",0,IFERROR(MATCH($B2504,COA_Mapping!$A$7:$A$256,0),0))</f>
        <v>0</v>
      </c>
      <c r="R2504" s="39" t="n">
        <f aca="false">IF($A2504="",-1,IF($J2504=Setup!$B$7,1,IF($J2504=Setup!$B$9,0,-1)))</f>
        <v>-1</v>
      </c>
      <c r="S2504" s="35" t="n">
        <f aca="false">IF(OR($A2504="",$Q2504=0,$R2504=-1),0,$Q2504*1000+$R2504*100+$K2504)</f>
        <v>0</v>
      </c>
      <c r="T2504" s="37" t="str">
        <f aca="false">IF($A2504="","",IF($B2504="","NO ACCOUNT",IF($Q2504=0,"UNMAPPED",IF($R2504=-1,"OUTSIDE FY RANGE","OK"))))</f>
        <v/>
      </c>
      <c r="U2504" s="40" t="str">
        <f aca="false">IF($A2504="","",$B2504&amp;"|"&amp;TEXT($A2504,"yyyymmdd")&amp;"|"&amp;TEXT($I2504,"0.00"))</f>
        <v/>
      </c>
      <c r="V2504" s="35" t="str">
        <f aca="false">IF($A2504="","",COUNTIF($U$8:$U$5007,$U2504))</f>
        <v/>
      </c>
    </row>
    <row r="2505" customFormat="false" ht="15" hidden="false" customHeight="false" outlineLevel="0" collapsed="false">
      <c r="A2505" s="31"/>
      <c r="B2505" s="32"/>
      <c r="C2505" s="32"/>
      <c r="D2505" s="32"/>
      <c r="E2505" s="32"/>
      <c r="F2505" s="32"/>
      <c r="G2505" s="33"/>
      <c r="H2505" s="33"/>
      <c r="I2505" s="34" t="str">
        <f aca="false">IF($A2505="","",$G2505-$H2505)</f>
        <v/>
      </c>
      <c r="J2505" s="35" t="str">
        <f aca="false">IF($A2505="","",IF(Setup!$B$6=1,YEAR($A2505),YEAR($A2505)+IF(MONTH($A2505)&gt;=Setup!$B$6,1,0)))</f>
        <v/>
      </c>
      <c r="K2505" s="35" t="str">
        <f aca="false">IF($A2505="","",MOD(MONTH($A2505)-Setup!$B$6+12,12)+1)</f>
        <v/>
      </c>
      <c r="L2505" s="36" t="str">
        <f aca="false">IF($A2505="","",TEXT($A2505,"MMM-YY"))</f>
        <v/>
      </c>
      <c r="M2505" s="37" t="str">
        <f aca="false">IF($A2505="","",IF($Q2505=0,"UNMAPPED",INDEX(COA_Mapping!$C$7:$C$256,$Q2505)))</f>
        <v/>
      </c>
      <c r="N2505" s="38" t="str">
        <f aca="false">IF($A2505="","",IF($Q2505=0,"",INDEX(COA_Mapping!$E$7:$E$256,$Q2505)))</f>
        <v/>
      </c>
      <c r="O2505" s="38" t="n">
        <f aca="false">IF($A2505="",1,IF($Q2505=0,1,INDEX(COA_Mapping!$F$7:$F$256,$Q2505)))</f>
        <v>1</v>
      </c>
      <c r="P2505" s="34" t="str">
        <f aca="false">IF($A2505="","",$I2505*$O2505)</f>
        <v/>
      </c>
      <c r="Q2505" s="39" t="n">
        <f aca="false">IF($B2505="",0,IFERROR(MATCH($B2505,COA_Mapping!$A$7:$A$256,0),0))</f>
        <v>0</v>
      </c>
      <c r="R2505" s="39" t="n">
        <f aca="false">IF($A2505="",-1,IF($J2505=Setup!$B$7,1,IF($J2505=Setup!$B$9,0,-1)))</f>
        <v>-1</v>
      </c>
      <c r="S2505" s="35" t="n">
        <f aca="false">IF(OR($A2505="",$Q2505=0,$R2505=-1),0,$Q2505*1000+$R2505*100+$K2505)</f>
        <v>0</v>
      </c>
      <c r="T2505" s="37" t="str">
        <f aca="false">IF($A2505="","",IF($B2505="","NO ACCOUNT",IF($Q2505=0,"UNMAPPED",IF($R2505=-1,"OUTSIDE FY RANGE","OK"))))</f>
        <v/>
      </c>
      <c r="U2505" s="40" t="str">
        <f aca="false">IF($A2505="","",$B2505&amp;"|"&amp;TEXT($A2505,"yyyymmdd")&amp;"|"&amp;TEXT($I2505,"0.00"))</f>
        <v/>
      </c>
      <c r="V2505" s="35" t="str">
        <f aca="false">IF($A2505="","",COUNTIF($U$8:$U$5007,$U2505))</f>
        <v/>
      </c>
    </row>
    <row r="2506" customFormat="false" ht="15" hidden="false" customHeight="false" outlineLevel="0" collapsed="false">
      <c r="A2506" s="31"/>
      <c r="B2506" s="32"/>
      <c r="C2506" s="32"/>
      <c r="D2506" s="32"/>
      <c r="E2506" s="32"/>
      <c r="F2506" s="32"/>
      <c r="G2506" s="33"/>
      <c r="H2506" s="33"/>
      <c r="I2506" s="34" t="str">
        <f aca="false">IF($A2506="","",$G2506-$H2506)</f>
        <v/>
      </c>
      <c r="J2506" s="35" t="str">
        <f aca="false">IF($A2506="","",IF(Setup!$B$6=1,YEAR($A2506),YEAR($A2506)+IF(MONTH($A2506)&gt;=Setup!$B$6,1,0)))</f>
        <v/>
      </c>
      <c r="K2506" s="35" t="str">
        <f aca="false">IF($A2506="","",MOD(MONTH($A2506)-Setup!$B$6+12,12)+1)</f>
        <v/>
      </c>
      <c r="L2506" s="36" t="str">
        <f aca="false">IF($A2506="","",TEXT($A2506,"MMM-YY"))</f>
        <v/>
      </c>
      <c r="M2506" s="37" t="str">
        <f aca="false">IF($A2506="","",IF($Q2506=0,"UNMAPPED",INDEX(COA_Mapping!$C$7:$C$256,$Q2506)))</f>
        <v/>
      </c>
      <c r="N2506" s="38" t="str">
        <f aca="false">IF($A2506="","",IF($Q2506=0,"",INDEX(COA_Mapping!$E$7:$E$256,$Q2506)))</f>
        <v/>
      </c>
      <c r="O2506" s="38" t="n">
        <f aca="false">IF($A2506="",1,IF($Q2506=0,1,INDEX(COA_Mapping!$F$7:$F$256,$Q2506)))</f>
        <v>1</v>
      </c>
      <c r="P2506" s="34" t="str">
        <f aca="false">IF($A2506="","",$I2506*$O2506)</f>
        <v/>
      </c>
      <c r="Q2506" s="39" t="n">
        <f aca="false">IF($B2506="",0,IFERROR(MATCH($B2506,COA_Mapping!$A$7:$A$256,0),0))</f>
        <v>0</v>
      </c>
      <c r="R2506" s="39" t="n">
        <f aca="false">IF($A2506="",-1,IF($J2506=Setup!$B$7,1,IF($J2506=Setup!$B$9,0,-1)))</f>
        <v>-1</v>
      </c>
      <c r="S2506" s="35" t="n">
        <f aca="false">IF(OR($A2506="",$Q2506=0,$R2506=-1),0,$Q2506*1000+$R2506*100+$K2506)</f>
        <v>0</v>
      </c>
      <c r="T2506" s="37" t="str">
        <f aca="false">IF($A2506="","",IF($B2506="","NO ACCOUNT",IF($Q2506=0,"UNMAPPED",IF($R2506=-1,"OUTSIDE FY RANGE","OK"))))</f>
        <v/>
      </c>
      <c r="U2506" s="40" t="str">
        <f aca="false">IF($A2506="","",$B2506&amp;"|"&amp;TEXT($A2506,"yyyymmdd")&amp;"|"&amp;TEXT($I2506,"0.00"))</f>
        <v/>
      </c>
      <c r="V2506" s="35" t="str">
        <f aca="false">IF($A2506="","",COUNTIF($U$8:$U$5007,$U2506))</f>
        <v/>
      </c>
    </row>
    <row r="2507" customFormat="false" ht="15" hidden="false" customHeight="false" outlineLevel="0" collapsed="false">
      <c r="A2507" s="31"/>
      <c r="B2507" s="32"/>
      <c r="C2507" s="32"/>
      <c r="D2507" s="32"/>
      <c r="E2507" s="32"/>
      <c r="F2507" s="32"/>
      <c r="G2507" s="33"/>
      <c r="H2507" s="33"/>
      <c r="I2507" s="34" t="str">
        <f aca="false">IF($A2507="","",$G2507-$H2507)</f>
        <v/>
      </c>
      <c r="J2507" s="35" t="str">
        <f aca="false">IF($A2507="","",IF(Setup!$B$6=1,YEAR($A2507),YEAR($A2507)+IF(MONTH($A2507)&gt;=Setup!$B$6,1,0)))</f>
        <v/>
      </c>
      <c r="K2507" s="35" t="str">
        <f aca="false">IF($A2507="","",MOD(MONTH($A2507)-Setup!$B$6+12,12)+1)</f>
        <v/>
      </c>
      <c r="L2507" s="36" t="str">
        <f aca="false">IF($A2507="","",TEXT($A2507,"MMM-YY"))</f>
        <v/>
      </c>
      <c r="M2507" s="37" t="str">
        <f aca="false">IF($A2507="","",IF($Q2507=0,"UNMAPPED",INDEX(COA_Mapping!$C$7:$C$256,$Q2507)))</f>
        <v/>
      </c>
      <c r="N2507" s="38" t="str">
        <f aca="false">IF($A2507="","",IF($Q2507=0,"",INDEX(COA_Mapping!$E$7:$E$256,$Q2507)))</f>
        <v/>
      </c>
      <c r="O2507" s="38" t="n">
        <f aca="false">IF($A2507="",1,IF($Q2507=0,1,INDEX(COA_Mapping!$F$7:$F$256,$Q2507)))</f>
        <v>1</v>
      </c>
      <c r="P2507" s="34" t="str">
        <f aca="false">IF($A2507="","",$I2507*$O2507)</f>
        <v/>
      </c>
      <c r="Q2507" s="39" t="n">
        <f aca="false">IF($B2507="",0,IFERROR(MATCH($B2507,COA_Mapping!$A$7:$A$256,0),0))</f>
        <v>0</v>
      </c>
      <c r="R2507" s="39" t="n">
        <f aca="false">IF($A2507="",-1,IF($J2507=Setup!$B$7,1,IF($J2507=Setup!$B$9,0,-1)))</f>
        <v>-1</v>
      </c>
      <c r="S2507" s="35" t="n">
        <f aca="false">IF(OR($A2507="",$Q2507=0,$R2507=-1),0,$Q2507*1000+$R2507*100+$K2507)</f>
        <v>0</v>
      </c>
      <c r="T2507" s="37" t="str">
        <f aca="false">IF($A2507="","",IF($B2507="","NO ACCOUNT",IF($Q2507=0,"UNMAPPED",IF($R2507=-1,"OUTSIDE FY RANGE","OK"))))</f>
        <v/>
      </c>
      <c r="U2507" s="40" t="str">
        <f aca="false">IF($A2507="","",$B2507&amp;"|"&amp;TEXT($A2507,"yyyymmdd")&amp;"|"&amp;TEXT($I2507,"0.00"))</f>
        <v/>
      </c>
      <c r="V2507" s="35" t="str">
        <f aca="false">IF($A2507="","",COUNTIF($U$8:$U$5007,$U2507))</f>
        <v/>
      </c>
    </row>
    <row r="2508" customFormat="false" ht="15" hidden="false" customHeight="false" outlineLevel="0" collapsed="false">
      <c r="A2508" s="31"/>
      <c r="B2508" s="32"/>
      <c r="C2508" s="32"/>
      <c r="D2508" s="32"/>
      <c r="E2508" s="32"/>
      <c r="F2508" s="32"/>
      <c r="G2508" s="33"/>
      <c r="H2508" s="33"/>
      <c r="I2508" s="34" t="str">
        <f aca="false">IF($A2508="","",$G2508-$H2508)</f>
        <v/>
      </c>
      <c r="J2508" s="35" t="str">
        <f aca="false">IF($A2508="","",IF(Setup!$B$6=1,YEAR($A2508),YEAR($A2508)+IF(MONTH($A2508)&gt;=Setup!$B$6,1,0)))</f>
        <v/>
      </c>
      <c r="K2508" s="35" t="str">
        <f aca="false">IF($A2508="","",MOD(MONTH($A2508)-Setup!$B$6+12,12)+1)</f>
        <v/>
      </c>
      <c r="L2508" s="36" t="str">
        <f aca="false">IF($A2508="","",TEXT($A2508,"MMM-YY"))</f>
        <v/>
      </c>
      <c r="M2508" s="37" t="str">
        <f aca="false">IF($A2508="","",IF($Q2508=0,"UNMAPPED",INDEX(COA_Mapping!$C$7:$C$256,$Q2508)))</f>
        <v/>
      </c>
      <c r="N2508" s="38" t="str">
        <f aca="false">IF($A2508="","",IF($Q2508=0,"",INDEX(COA_Mapping!$E$7:$E$256,$Q2508)))</f>
        <v/>
      </c>
      <c r="O2508" s="38" t="n">
        <f aca="false">IF($A2508="",1,IF($Q2508=0,1,INDEX(COA_Mapping!$F$7:$F$256,$Q2508)))</f>
        <v>1</v>
      </c>
      <c r="P2508" s="34" t="str">
        <f aca="false">IF($A2508="","",$I2508*$O2508)</f>
        <v/>
      </c>
      <c r="Q2508" s="39" t="n">
        <f aca="false">IF($B2508="",0,IFERROR(MATCH($B2508,COA_Mapping!$A$7:$A$256,0),0))</f>
        <v>0</v>
      </c>
      <c r="R2508" s="39" t="n">
        <f aca="false">IF($A2508="",-1,IF($J2508=Setup!$B$7,1,IF($J2508=Setup!$B$9,0,-1)))</f>
        <v>-1</v>
      </c>
      <c r="S2508" s="35" t="n">
        <f aca="false">IF(OR($A2508="",$Q2508=0,$R2508=-1),0,$Q2508*1000+$R2508*100+$K2508)</f>
        <v>0</v>
      </c>
      <c r="T2508" s="37" t="str">
        <f aca="false">IF($A2508="","",IF($B2508="","NO ACCOUNT",IF($Q2508=0,"UNMAPPED",IF($R2508=-1,"OUTSIDE FY RANGE","OK"))))</f>
        <v/>
      </c>
      <c r="U2508" s="40" t="str">
        <f aca="false">IF($A2508="","",$B2508&amp;"|"&amp;TEXT($A2508,"yyyymmdd")&amp;"|"&amp;TEXT($I2508,"0.00"))</f>
        <v/>
      </c>
      <c r="V2508" s="35" t="str">
        <f aca="false">IF($A2508="","",COUNTIF($U$8:$U$5007,$U2508))</f>
        <v/>
      </c>
    </row>
    <row r="2509" customFormat="false" ht="15" hidden="false" customHeight="false" outlineLevel="0" collapsed="false">
      <c r="A2509" s="31"/>
      <c r="B2509" s="32"/>
      <c r="C2509" s="32"/>
      <c r="D2509" s="32"/>
      <c r="E2509" s="32"/>
      <c r="F2509" s="32"/>
      <c r="G2509" s="33"/>
      <c r="H2509" s="33"/>
      <c r="I2509" s="34" t="str">
        <f aca="false">IF($A2509="","",$G2509-$H2509)</f>
        <v/>
      </c>
      <c r="J2509" s="35" t="str">
        <f aca="false">IF($A2509="","",IF(Setup!$B$6=1,YEAR($A2509),YEAR($A2509)+IF(MONTH($A2509)&gt;=Setup!$B$6,1,0)))</f>
        <v/>
      </c>
      <c r="K2509" s="35" t="str">
        <f aca="false">IF($A2509="","",MOD(MONTH($A2509)-Setup!$B$6+12,12)+1)</f>
        <v/>
      </c>
      <c r="L2509" s="36" t="str">
        <f aca="false">IF($A2509="","",TEXT($A2509,"MMM-YY"))</f>
        <v/>
      </c>
      <c r="M2509" s="37" t="str">
        <f aca="false">IF($A2509="","",IF($Q2509=0,"UNMAPPED",INDEX(COA_Mapping!$C$7:$C$256,$Q2509)))</f>
        <v/>
      </c>
      <c r="N2509" s="38" t="str">
        <f aca="false">IF($A2509="","",IF($Q2509=0,"",INDEX(COA_Mapping!$E$7:$E$256,$Q2509)))</f>
        <v/>
      </c>
      <c r="O2509" s="38" t="n">
        <f aca="false">IF($A2509="",1,IF($Q2509=0,1,INDEX(COA_Mapping!$F$7:$F$256,$Q2509)))</f>
        <v>1</v>
      </c>
      <c r="P2509" s="34" t="str">
        <f aca="false">IF($A2509="","",$I2509*$O2509)</f>
        <v/>
      </c>
      <c r="Q2509" s="39" t="n">
        <f aca="false">IF($B2509="",0,IFERROR(MATCH($B2509,COA_Mapping!$A$7:$A$256,0),0))</f>
        <v>0</v>
      </c>
      <c r="R2509" s="39" t="n">
        <f aca="false">IF($A2509="",-1,IF($J2509=Setup!$B$7,1,IF($J2509=Setup!$B$9,0,-1)))</f>
        <v>-1</v>
      </c>
      <c r="S2509" s="35" t="n">
        <f aca="false">IF(OR($A2509="",$Q2509=0,$R2509=-1),0,$Q2509*1000+$R2509*100+$K2509)</f>
        <v>0</v>
      </c>
      <c r="T2509" s="37" t="str">
        <f aca="false">IF($A2509="","",IF($B2509="","NO ACCOUNT",IF($Q2509=0,"UNMAPPED",IF($R2509=-1,"OUTSIDE FY RANGE","OK"))))</f>
        <v/>
      </c>
      <c r="U2509" s="40" t="str">
        <f aca="false">IF($A2509="","",$B2509&amp;"|"&amp;TEXT($A2509,"yyyymmdd")&amp;"|"&amp;TEXT($I2509,"0.00"))</f>
        <v/>
      </c>
      <c r="V2509" s="35" t="str">
        <f aca="false">IF($A2509="","",COUNTIF($U$8:$U$5007,$U2509))</f>
        <v/>
      </c>
    </row>
    <row r="2510" customFormat="false" ht="15" hidden="false" customHeight="false" outlineLevel="0" collapsed="false">
      <c r="A2510" s="31"/>
      <c r="B2510" s="32"/>
      <c r="C2510" s="32"/>
      <c r="D2510" s="32"/>
      <c r="E2510" s="32"/>
      <c r="F2510" s="32"/>
      <c r="G2510" s="33"/>
      <c r="H2510" s="33"/>
      <c r="I2510" s="34" t="str">
        <f aca="false">IF($A2510="","",$G2510-$H2510)</f>
        <v/>
      </c>
      <c r="J2510" s="35" t="str">
        <f aca="false">IF($A2510="","",IF(Setup!$B$6=1,YEAR($A2510),YEAR($A2510)+IF(MONTH($A2510)&gt;=Setup!$B$6,1,0)))</f>
        <v/>
      </c>
      <c r="K2510" s="35" t="str">
        <f aca="false">IF($A2510="","",MOD(MONTH($A2510)-Setup!$B$6+12,12)+1)</f>
        <v/>
      </c>
      <c r="L2510" s="36" t="str">
        <f aca="false">IF($A2510="","",TEXT($A2510,"MMM-YY"))</f>
        <v/>
      </c>
      <c r="M2510" s="37" t="str">
        <f aca="false">IF($A2510="","",IF($Q2510=0,"UNMAPPED",INDEX(COA_Mapping!$C$7:$C$256,$Q2510)))</f>
        <v/>
      </c>
      <c r="N2510" s="38" t="str">
        <f aca="false">IF($A2510="","",IF($Q2510=0,"",INDEX(COA_Mapping!$E$7:$E$256,$Q2510)))</f>
        <v/>
      </c>
      <c r="O2510" s="38" t="n">
        <f aca="false">IF($A2510="",1,IF($Q2510=0,1,INDEX(COA_Mapping!$F$7:$F$256,$Q2510)))</f>
        <v>1</v>
      </c>
      <c r="P2510" s="34" t="str">
        <f aca="false">IF($A2510="","",$I2510*$O2510)</f>
        <v/>
      </c>
      <c r="Q2510" s="39" t="n">
        <f aca="false">IF($B2510="",0,IFERROR(MATCH($B2510,COA_Mapping!$A$7:$A$256,0),0))</f>
        <v>0</v>
      </c>
      <c r="R2510" s="39" t="n">
        <f aca="false">IF($A2510="",-1,IF($J2510=Setup!$B$7,1,IF($J2510=Setup!$B$9,0,-1)))</f>
        <v>-1</v>
      </c>
      <c r="S2510" s="35" t="n">
        <f aca="false">IF(OR($A2510="",$Q2510=0,$R2510=-1),0,$Q2510*1000+$R2510*100+$K2510)</f>
        <v>0</v>
      </c>
      <c r="T2510" s="37" t="str">
        <f aca="false">IF($A2510="","",IF($B2510="","NO ACCOUNT",IF($Q2510=0,"UNMAPPED",IF($R2510=-1,"OUTSIDE FY RANGE","OK"))))</f>
        <v/>
      </c>
      <c r="U2510" s="40" t="str">
        <f aca="false">IF($A2510="","",$B2510&amp;"|"&amp;TEXT($A2510,"yyyymmdd")&amp;"|"&amp;TEXT($I2510,"0.00"))</f>
        <v/>
      </c>
      <c r="V2510" s="35" t="str">
        <f aca="false">IF($A2510="","",COUNTIF($U$8:$U$5007,$U2510))</f>
        <v/>
      </c>
    </row>
    <row r="2511" customFormat="false" ht="15" hidden="false" customHeight="false" outlineLevel="0" collapsed="false">
      <c r="A2511" s="31"/>
      <c r="B2511" s="32"/>
      <c r="C2511" s="32"/>
      <c r="D2511" s="32"/>
      <c r="E2511" s="32"/>
      <c r="F2511" s="32"/>
      <c r="G2511" s="33"/>
      <c r="H2511" s="33"/>
      <c r="I2511" s="34" t="str">
        <f aca="false">IF($A2511="","",$G2511-$H2511)</f>
        <v/>
      </c>
      <c r="J2511" s="35" t="str">
        <f aca="false">IF($A2511="","",IF(Setup!$B$6=1,YEAR($A2511),YEAR($A2511)+IF(MONTH($A2511)&gt;=Setup!$B$6,1,0)))</f>
        <v/>
      </c>
      <c r="K2511" s="35" t="str">
        <f aca="false">IF($A2511="","",MOD(MONTH($A2511)-Setup!$B$6+12,12)+1)</f>
        <v/>
      </c>
      <c r="L2511" s="36" t="str">
        <f aca="false">IF($A2511="","",TEXT($A2511,"MMM-YY"))</f>
        <v/>
      </c>
      <c r="M2511" s="37" t="str">
        <f aca="false">IF($A2511="","",IF($Q2511=0,"UNMAPPED",INDEX(COA_Mapping!$C$7:$C$256,$Q2511)))</f>
        <v/>
      </c>
      <c r="N2511" s="38" t="str">
        <f aca="false">IF($A2511="","",IF($Q2511=0,"",INDEX(COA_Mapping!$E$7:$E$256,$Q2511)))</f>
        <v/>
      </c>
      <c r="O2511" s="38" t="n">
        <f aca="false">IF($A2511="",1,IF($Q2511=0,1,INDEX(COA_Mapping!$F$7:$F$256,$Q2511)))</f>
        <v>1</v>
      </c>
      <c r="P2511" s="34" t="str">
        <f aca="false">IF($A2511="","",$I2511*$O2511)</f>
        <v/>
      </c>
      <c r="Q2511" s="39" t="n">
        <f aca="false">IF($B2511="",0,IFERROR(MATCH($B2511,COA_Mapping!$A$7:$A$256,0),0))</f>
        <v>0</v>
      </c>
      <c r="R2511" s="39" t="n">
        <f aca="false">IF($A2511="",-1,IF($J2511=Setup!$B$7,1,IF($J2511=Setup!$B$9,0,-1)))</f>
        <v>-1</v>
      </c>
      <c r="S2511" s="35" t="n">
        <f aca="false">IF(OR($A2511="",$Q2511=0,$R2511=-1),0,$Q2511*1000+$R2511*100+$K2511)</f>
        <v>0</v>
      </c>
      <c r="T2511" s="37" t="str">
        <f aca="false">IF($A2511="","",IF($B2511="","NO ACCOUNT",IF($Q2511=0,"UNMAPPED",IF($R2511=-1,"OUTSIDE FY RANGE","OK"))))</f>
        <v/>
      </c>
      <c r="U2511" s="40" t="str">
        <f aca="false">IF($A2511="","",$B2511&amp;"|"&amp;TEXT($A2511,"yyyymmdd")&amp;"|"&amp;TEXT($I2511,"0.00"))</f>
        <v/>
      </c>
      <c r="V2511" s="35" t="str">
        <f aca="false">IF($A2511="","",COUNTIF($U$8:$U$5007,$U2511))</f>
        <v/>
      </c>
    </row>
    <row r="2512" customFormat="false" ht="15" hidden="false" customHeight="false" outlineLevel="0" collapsed="false">
      <c r="A2512" s="31"/>
      <c r="B2512" s="32"/>
      <c r="C2512" s="32"/>
      <c r="D2512" s="32"/>
      <c r="E2512" s="32"/>
      <c r="F2512" s="32"/>
      <c r="G2512" s="33"/>
      <c r="H2512" s="33"/>
      <c r="I2512" s="34" t="str">
        <f aca="false">IF($A2512="","",$G2512-$H2512)</f>
        <v/>
      </c>
      <c r="J2512" s="35" t="str">
        <f aca="false">IF($A2512="","",IF(Setup!$B$6=1,YEAR($A2512),YEAR($A2512)+IF(MONTH($A2512)&gt;=Setup!$B$6,1,0)))</f>
        <v/>
      </c>
      <c r="K2512" s="35" t="str">
        <f aca="false">IF($A2512="","",MOD(MONTH($A2512)-Setup!$B$6+12,12)+1)</f>
        <v/>
      </c>
      <c r="L2512" s="36" t="str">
        <f aca="false">IF($A2512="","",TEXT($A2512,"MMM-YY"))</f>
        <v/>
      </c>
      <c r="M2512" s="37" t="str">
        <f aca="false">IF($A2512="","",IF($Q2512=0,"UNMAPPED",INDEX(COA_Mapping!$C$7:$C$256,$Q2512)))</f>
        <v/>
      </c>
      <c r="N2512" s="38" t="str">
        <f aca="false">IF($A2512="","",IF($Q2512=0,"",INDEX(COA_Mapping!$E$7:$E$256,$Q2512)))</f>
        <v/>
      </c>
      <c r="O2512" s="38" t="n">
        <f aca="false">IF($A2512="",1,IF($Q2512=0,1,INDEX(COA_Mapping!$F$7:$F$256,$Q2512)))</f>
        <v>1</v>
      </c>
      <c r="P2512" s="34" t="str">
        <f aca="false">IF($A2512="","",$I2512*$O2512)</f>
        <v/>
      </c>
      <c r="Q2512" s="39" t="n">
        <f aca="false">IF($B2512="",0,IFERROR(MATCH($B2512,COA_Mapping!$A$7:$A$256,0),0))</f>
        <v>0</v>
      </c>
      <c r="R2512" s="39" t="n">
        <f aca="false">IF($A2512="",-1,IF($J2512=Setup!$B$7,1,IF($J2512=Setup!$B$9,0,-1)))</f>
        <v>-1</v>
      </c>
      <c r="S2512" s="35" t="n">
        <f aca="false">IF(OR($A2512="",$Q2512=0,$R2512=-1),0,$Q2512*1000+$R2512*100+$K2512)</f>
        <v>0</v>
      </c>
      <c r="T2512" s="37" t="str">
        <f aca="false">IF($A2512="","",IF($B2512="","NO ACCOUNT",IF($Q2512=0,"UNMAPPED",IF($R2512=-1,"OUTSIDE FY RANGE","OK"))))</f>
        <v/>
      </c>
      <c r="U2512" s="40" t="str">
        <f aca="false">IF($A2512="","",$B2512&amp;"|"&amp;TEXT($A2512,"yyyymmdd")&amp;"|"&amp;TEXT($I2512,"0.00"))</f>
        <v/>
      </c>
      <c r="V2512" s="35" t="str">
        <f aca="false">IF($A2512="","",COUNTIF($U$8:$U$5007,$U2512))</f>
        <v/>
      </c>
    </row>
    <row r="2513" customFormat="false" ht="15" hidden="false" customHeight="false" outlineLevel="0" collapsed="false">
      <c r="A2513" s="31"/>
      <c r="B2513" s="32"/>
      <c r="C2513" s="32"/>
      <c r="D2513" s="32"/>
      <c r="E2513" s="32"/>
      <c r="F2513" s="32"/>
      <c r="G2513" s="33"/>
      <c r="H2513" s="33"/>
      <c r="I2513" s="34" t="str">
        <f aca="false">IF($A2513="","",$G2513-$H2513)</f>
        <v/>
      </c>
      <c r="J2513" s="35" t="str">
        <f aca="false">IF($A2513="","",IF(Setup!$B$6=1,YEAR($A2513),YEAR($A2513)+IF(MONTH($A2513)&gt;=Setup!$B$6,1,0)))</f>
        <v/>
      </c>
      <c r="K2513" s="35" t="str">
        <f aca="false">IF($A2513="","",MOD(MONTH($A2513)-Setup!$B$6+12,12)+1)</f>
        <v/>
      </c>
      <c r="L2513" s="36" t="str">
        <f aca="false">IF($A2513="","",TEXT($A2513,"MMM-YY"))</f>
        <v/>
      </c>
      <c r="M2513" s="37" t="str">
        <f aca="false">IF($A2513="","",IF($Q2513=0,"UNMAPPED",INDEX(COA_Mapping!$C$7:$C$256,$Q2513)))</f>
        <v/>
      </c>
      <c r="N2513" s="38" t="str">
        <f aca="false">IF($A2513="","",IF($Q2513=0,"",INDEX(COA_Mapping!$E$7:$E$256,$Q2513)))</f>
        <v/>
      </c>
      <c r="O2513" s="38" t="n">
        <f aca="false">IF($A2513="",1,IF($Q2513=0,1,INDEX(COA_Mapping!$F$7:$F$256,$Q2513)))</f>
        <v>1</v>
      </c>
      <c r="P2513" s="34" t="str">
        <f aca="false">IF($A2513="","",$I2513*$O2513)</f>
        <v/>
      </c>
      <c r="Q2513" s="39" t="n">
        <f aca="false">IF($B2513="",0,IFERROR(MATCH($B2513,COA_Mapping!$A$7:$A$256,0),0))</f>
        <v>0</v>
      </c>
      <c r="R2513" s="39" t="n">
        <f aca="false">IF($A2513="",-1,IF($J2513=Setup!$B$7,1,IF($J2513=Setup!$B$9,0,-1)))</f>
        <v>-1</v>
      </c>
      <c r="S2513" s="35" t="n">
        <f aca="false">IF(OR($A2513="",$Q2513=0,$R2513=-1),0,$Q2513*1000+$R2513*100+$K2513)</f>
        <v>0</v>
      </c>
      <c r="T2513" s="37" t="str">
        <f aca="false">IF($A2513="","",IF($B2513="","NO ACCOUNT",IF($Q2513=0,"UNMAPPED",IF($R2513=-1,"OUTSIDE FY RANGE","OK"))))</f>
        <v/>
      </c>
      <c r="U2513" s="40" t="str">
        <f aca="false">IF($A2513="","",$B2513&amp;"|"&amp;TEXT($A2513,"yyyymmdd")&amp;"|"&amp;TEXT($I2513,"0.00"))</f>
        <v/>
      </c>
      <c r="V2513" s="35" t="str">
        <f aca="false">IF($A2513="","",COUNTIF($U$8:$U$5007,$U2513))</f>
        <v/>
      </c>
    </row>
    <row r="2514" customFormat="false" ht="15" hidden="false" customHeight="false" outlineLevel="0" collapsed="false">
      <c r="A2514" s="31"/>
      <c r="B2514" s="32"/>
      <c r="C2514" s="32"/>
      <c r="D2514" s="32"/>
      <c r="E2514" s="32"/>
      <c r="F2514" s="32"/>
      <c r="G2514" s="33"/>
      <c r="H2514" s="33"/>
      <c r="I2514" s="34" t="str">
        <f aca="false">IF($A2514="","",$G2514-$H2514)</f>
        <v/>
      </c>
      <c r="J2514" s="35" t="str">
        <f aca="false">IF($A2514="","",IF(Setup!$B$6=1,YEAR($A2514),YEAR($A2514)+IF(MONTH($A2514)&gt;=Setup!$B$6,1,0)))</f>
        <v/>
      </c>
      <c r="K2514" s="35" t="str">
        <f aca="false">IF($A2514="","",MOD(MONTH($A2514)-Setup!$B$6+12,12)+1)</f>
        <v/>
      </c>
      <c r="L2514" s="36" t="str">
        <f aca="false">IF($A2514="","",TEXT($A2514,"MMM-YY"))</f>
        <v/>
      </c>
      <c r="M2514" s="37" t="str">
        <f aca="false">IF($A2514="","",IF($Q2514=0,"UNMAPPED",INDEX(COA_Mapping!$C$7:$C$256,$Q2514)))</f>
        <v/>
      </c>
      <c r="N2514" s="38" t="str">
        <f aca="false">IF($A2514="","",IF($Q2514=0,"",INDEX(COA_Mapping!$E$7:$E$256,$Q2514)))</f>
        <v/>
      </c>
      <c r="O2514" s="38" t="n">
        <f aca="false">IF($A2514="",1,IF($Q2514=0,1,INDEX(COA_Mapping!$F$7:$F$256,$Q2514)))</f>
        <v>1</v>
      </c>
      <c r="P2514" s="34" t="str">
        <f aca="false">IF($A2514="","",$I2514*$O2514)</f>
        <v/>
      </c>
      <c r="Q2514" s="39" t="n">
        <f aca="false">IF($B2514="",0,IFERROR(MATCH($B2514,COA_Mapping!$A$7:$A$256,0),0))</f>
        <v>0</v>
      </c>
      <c r="R2514" s="39" t="n">
        <f aca="false">IF($A2514="",-1,IF($J2514=Setup!$B$7,1,IF($J2514=Setup!$B$9,0,-1)))</f>
        <v>-1</v>
      </c>
      <c r="S2514" s="35" t="n">
        <f aca="false">IF(OR($A2514="",$Q2514=0,$R2514=-1),0,$Q2514*1000+$R2514*100+$K2514)</f>
        <v>0</v>
      </c>
      <c r="T2514" s="37" t="str">
        <f aca="false">IF($A2514="","",IF($B2514="","NO ACCOUNT",IF($Q2514=0,"UNMAPPED",IF($R2514=-1,"OUTSIDE FY RANGE","OK"))))</f>
        <v/>
      </c>
      <c r="U2514" s="40" t="str">
        <f aca="false">IF($A2514="","",$B2514&amp;"|"&amp;TEXT($A2514,"yyyymmdd")&amp;"|"&amp;TEXT($I2514,"0.00"))</f>
        <v/>
      </c>
      <c r="V2514" s="35" t="str">
        <f aca="false">IF($A2514="","",COUNTIF($U$8:$U$5007,$U2514))</f>
        <v/>
      </c>
    </row>
    <row r="2515" customFormat="false" ht="15" hidden="false" customHeight="false" outlineLevel="0" collapsed="false">
      <c r="A2515" s="31"/>
      <c r="B2515" s="32"/>
      <c r="C2515" s="32"/>
      <c r="D2515" s="32"/>
      <c r="E2515" s="32"/>
      <c r="F2515" s="32"/>
      <c r="G2515" s="33"/>
      <c r="H2515" s="33"/>
      <c r="I2515" s="34" t="str">
        <f aca="false">IF($A2515="","",$G2515-$H2515)</f>
        <v/>
      </c>
      <c r="J2515" s="35" t="str">
        <f aca="false">IF($A2515="","",IF(Setup!$B$6=1,YEAR($A2515),YEAR($A2515)+IF(MONTH($A2515)&gt;=Setup!$B$6,1,0)))</f>
        <v/>
      </c>
      <c r="K2515" s="35" t="str">
        <f aca="false">IF($A2515="","",MOD(MONTH($A2515)-Setup!$B$6+12,12)+1)</f>
        <v/>
      </c>
      <c r="L2515" s="36" t="str">
        <f aca="false">IF($A2515="","",TEXT($A2515,"MMM-YY"))</f>
        <v/>
      </c>
      <c r="M2515" s="37" t="str">
        <f aca="false">IF($A2515="","",IF($Q2515=0,"UNMAPPED",INDEX(COA_Mapping!$C$7:$C$256,$Q2515)))</f>
        <v/>
      </c>
      <c r="N2515" s="38" t="str">
        <f aca="false">IF($A2515="","",IF($Q2515=0,"",INDEX(COA_Mapping!$E$7:$E$256,$Q2515)))</f>
        <v/>
      </c>
      <c r="O2515" s="38" t="n">
        <f aca="false">IF($A2515="",1,IF($Q2515=0,1,INDEX(COA_Mapping!$F$7:$F$256,$Q2515)))</f>
        <v>1</v>
      </c>
      <c r="P2515" s="34" t="str">
        <f aca="false">IF($A2515="","",$I2515*$O2515)</f>
        <v/>
      </c>
      <c r="Q2515" s="39" t="n">
        <f aca="false">IF($B2515="",0,IFERROR(MATCH($B2515,COA_Mapping!$A$7:$A$256,0),0))</f>
        <v>0</v>
      </c>
      <c r="R2515" s="39" t="n">
        <f aca="false">IF($A2515="",-1,IF($J2515=Setup!$B$7,1,IF($J2515=Setup!$B$9,0,-1)))</f>
        <v>-1</v>
      </c>
      <c r="S2515" s="35" t="n">
        <f aca="false">IF(OR($A2515="",$Q2515=0,$R2515=-1),0,$Q2515*1000+$R2515*100+$K2515)</f>
        <v>0</v>
      </c>
      <c r="T2515" s="37" t="str">
        <f aca="false">IF($A2515="","",IF($B2515="","NO ACCOUNT",IF($Q2515=0,"UNMAPPED",IF($R2515=-1,"OUTSIDE FY RANGE","OK"))))</f>
        <v/>
      </c>
      <c r="U2515" s="40" t="str">
        <f aca="false">IF($A2515="","",$B2515&amp;"|"&amp;TEXT($A2515,"yyyymmdd")&amp;"|"&amp;TEXT($I2515,"0.00"))</f>
        <v/>
      </c>
      <c r="V2515" s="35" t="str">
        <f aca="false">IF($A2515="","",COUNTIF($U$8:$U$5007,$U2515))</f>
        <v/>
      </c>
    </row>
    <row r="2516" customFormat="false" ht="15" hidden="false" customHeight="false" outlineLevel="0" collapsed="false">
      <c r="A2516" s="31"/>
      <c r="B2516" s="32"/>
      <c r="C2516" s="32"/>
      <c r="D2516" s="32"/>
      <c r="E2516" s="32"/>
      <c r="F2516" s="32"/>
      <c r="G2516" s="33"/>
      <c r="H2516" s="33"/>
      <c r="I2516" s="34" t="str">
        <f aca="false">IF($A2516="","",$G2516-$H2516)</f>
        <v/>
      </c>
      <c r="J2516" s="35" t="str">
        <f aca="false">IF($A2516="","",IF(Setup!$B$6=1,YEAR($A2516),YEAR($A2516)+IF(MONTH($A2516)&gt;=Setup!$B$6,1,0)))</f>
        <v/>
      </c>
      <c r="K2516" s="35" t="str">
        <f aca="false">IF($A2516="","",MOD(MONTH($A2516)-Setup!$B$6+12,12)+1)</f>
        <v/>
      </c>
      <c r="L2516" s="36" t="str">
        <f aca="false">IF($A2516="","",TEXT($A2516,"MMM-YY"))</f>
        <v/>
      </c>
      <c r="M2516" s="37" t="str">
        <f aca="false">IF($A2516="","",IF($Q2516=0,"UNMAPPED",INDEX(COA_Mapping!$C$7:$C$256,$Q2516)))</f>
        <v/>
      </c>
      <c r="N2516" s="38" t="str">
        <f aca="false">IF($A2516="","",IF($Q2516=0,"",INDEX(COA_Mapping!$E$7:$E$256,$Q2516)))</f>
        <v/>
      </c>
      <c r="O2516" s="38" t="n">
        <f aca="false">IF($A2516="",1,IF($Q2516=0,1,INDEX(COA_Mapping!$F$7:$F$256,$Q2516)))</f>
        <v>1</v>
      </c>
      <c r="P2516" s="34" t="str">
        <f aca="false">IF($A2516="","",$I2516*$O2516)</f>
        <v/>
      </c>
      <c r="Q2516" s="39" t="n">
        <f aca="false">IF($B2516="",0,IFERROR(MATCH($B2516,COA_Mapping!$A$7:$A$256,0),0))</f>
        <v>0</v>
      </c>
      <c r="R2516" s="39" t="n">
        <f aca="false">IF($A2516="",-1,IF($J2516=Setup!$B$7,1,IF($J2516=Setup!$B$9,0,-1)))</f>
        <v>-1</v>
      </c>
      <c r="S2516" s="35" t="n">
        <f aca="false">IF(OR($A2516="",$Q2516=0,$R2516=-1),0,$Q2516*1000+$R2516*100+$K2516)</f>
        <v>0</v>
      </c>
      <c r="T2516" s="37" t="str">
        <f aca="false">IF($A2516="","",IF($B2516="","NO ACCOUNT",IF($Q2516=0,"UNMAPPED",IF($R2516=-1,"OUTSIDE FY RANGE","OK"))))</f>
        <v/>
      </c>
      <c r="U2516" s="40" t="str">
        <f aca="false">IF($A2516="","",$B2516&amp;"|"&amp;TEXT($A2516,"yyyymmdd")&amp;"|"&amp;TEXT($I2516,"0.00"))</f>
        <v/>
      </c>
      <c r="V2516" s="35" t="str">
        <f aca="false">IF($A2516="","",COUNTIF($U$8:$U$5007,$U2516))</f>
        <v/>
      </c>
    </row>
    <row r="2517" customFormat="false" ht="15" hidden="false" customHeight="false" outlineLevel="0" collapsed="false">
      <c r="A2517" s="31"/>
      <c r="B2517" s="32"/>
      <c r="C2517" s="32"/>
      <c r="D2517" s="32"/>
      <c r="E2517" s="32"/>
      <c r="F2517" s="32"/>
      <c r="G2517" s="33"/>
      <c r="H2517" s="33"/>
      <c r="I2517" s="34" t="str">
        <f aca="false">IF($A2517="","",$G2517-$H2517)</f>
        <v/>
      </c>
      <c r="J2517" s="35" t="str">
        <f aca="false">IF($A2517="","",IF(Setup!$B$6=1,YEAR($A2517),YEAR($A2517)+IF(MONTH($A2517)&gt;=Setup!$B$6,1,0)))</f>
        <v/>
      </c>
      <c r="K2517" s="35" t="str">
        <f aca="false">IF($A2517="","",MOD(MONTH($A2517)-Setup!$B$6+12,12)+1)</f>
        <v/>
      </c>
      <c r="L2517" s="36" t="str">
        <f aca="false">IF($A2517="","",TEXT($A2517,"MMM-YY"))</f>
        <v/>
      </c>
      <c r="M2517" s="37" t="str">
        <f aca="false">IF($A2517="","",IF($Q2517=0,"UNMAPPED",INDEX(COA_Mapping!$C$7:$C$256,$Q2517)))</f>
        <v/>
      </c>
      <c r="N2517" s="38" t="str">
        <f aca="false">IF($A2517="","",IF($Q2517=0,"",INDEX(COA_Mapping!$E$7:$E$256,$Q2517)))</f>
        <v/>
      </c>
      <c r="O2517" s="38" t="n">
        <f aca="false">IF($A2517="",1,IF($Q2517=0,1,INDEX(COA_Mapping!$F$7:$F$256,$Q2517)))</f>
        <v>1</v>
      </c>
      <c r="P2517" s="34" t="str">
        <f aca="false">IF($A2517="","",$I2517*$O2517)</f>
        <v/>
      </c>
      <c r="Q2517" s="39" t="n">
        <f aca="false">IF($B2517="",0,IFERROR(MATCH($B2517,COA_Mapping!$A$7:$A$256,0),0))</f>
        <v>0</v>
      </c>
      <c r="R2517" s="39" t="n">
        <f aca="false">IF($A2517="",-1,IF($J2517=Setup!$B$7,1,IF($J2517=Setup!$B$9,0,-1)))</f>
        <v>-1</v>
      </c>
      <c r="S2517" s="35" t="n">
        <f aca="false">IF(OR($A2517="",$Q2517=0,$R2517=-1),0,$Q2517*1000+$R2517*100+$K2517)</f>
        <v>0</v>
      </c>
      <c r="T2517" s="37" t="str">
        <f aca="false">IF($A2517="","",IF($B2517="","NO ACCOUNT",IF($Q2517=0,"UNMAPPED",IF($R2517=-1,"OUTSIDE FY RANGE","OK"))))</f>
        <v/>
      </c>
      <c r="U2517" s="40" t="str">
        <f aca="false">IF($A2517="","",$B2517&amp;"|"&amp;TEXT($A2517,"yyyymmdd")&amp;"|"&amp;TEXT($I2517,"0.00"))</f>
        <v/>
      </c>
      <c r="V2517" s="35" t="str">
        <f aca="false">IF($A2517="","",COUNTIF($U$8:$U$5007,$U2517))</f>
        <v/>
      </c>
    </row>
    <row r="2518" customFormat="false" ht="15" hidden="false" customHeight="false" outlineLevel="0" collapsed="false">
      <c r="A2518" s="31"/>
      <c r="B2518" s="32"/>
      <c r="C2518" s="32"/>
      <c r="D2518" s="32"/>
      <c r="E2518" s="32"/>
      <c r="F2518" s="32"/>
      <c r="G2518" s="33"/>
      <c r="H2518" s="33"/>
      <c r="I2518" s="34" t="str">
        <f aca="false">IF($A2518="","",$G2518-$H2518)</f>
        <v/>
      </c>
      <c r="J2518" s="35" t="str">
        <f aca="false">IF($A2518="","",IF(Setup!$B$6=1,YEAR($A2518),YEAR($A2518)+IF(MONTH($A2518)&gt;=Setup!$B$6,1,0)))</f>
        <v/>
      </c>
      <c r="K2518" s="35" t="str">
        <f aca="false">IF($A2518="","",MOD(MONTH($A2518)-Setup!$B$6+12,12)+1)</f>
        <v/>
      </c>
      <c r="L2518" s="36" t="str">
        <f aca="false">IF($A2518="","",TEXT($A2518,"MMM-YY"))</f>
        <v/>
      </c>
      <c r="M2518" s="37" t="str">
        <f aca="false">IF($A2518="","",IF($Q2518=0,"UNMAPPED",INDEX(COA_Mapping!$C$7:$C$256,$Q2518)))</f>
        <v/>
      </c>
      <c r="N2518" s="38" t="str">
        <f aca="false">IF($A2518="","",IF($Q2518=0,"",INDEX(COA_Mapping!$E$7:$E$256,$Q2518)))</f>
        <v/>
      </c>
      <c r="O2518" s="38" t="n">
        <f aca="false">IF($A2518="",1,IF($Q2518=0,1,INDEX(COA_Mapping!$F$7:$F$256,$Q2518)))</f>
        <v>1</v>
      </c>
      <c r="P2518" s="34" t="str">
        <f aca="false">IF($A2518="","",$I2518*$O2518)</f>
        <v/>
      </c>
      <c r="Q2518" s="39" t="n">
        <f aca="false">IF($B2518="",0,IFERROR(MATCH($B2518,COA_Mapping!$A$7:$A$256,0),0))</f>
        <v>0</v>
      </c>
      <c r="R2518" s="39" t="n">
        <f aca="false">IF($A2518="",-1,IF($J2518=Setup!$B$7,1,IF($J2518=Setup!$B$9,0,-1)))</f>
        <v>-1</v>
      </c>
      <c r="S2518" s="35" t="n">
        <f aca="false">IF(OR($A2518="",$Q2518=0,$R2518=-1),0,$Q2518*1000+$R2518*100+$K2518)</f>
        <v>0</v>
      </c>
      <c r="T2518" s="37" t="str">
        <f aca="false">IF($A2518="","",IF($B2518="","NO ACCOUNT",IF($Q2518=0,"UNMAPPED",IF($R2518=-1,"OUTSIDE FY RANGE","OK"))))</f>
        <v/>
      </c>
      <c r="U2518" s="40" t="str">
        <f aca="false">IF($A2518="","",$B2518&amp;"|"&amp;TEXT($A2518,"yyyymmdd")&amp;"|"&amp;TEXT($I2518,"0.00"))</f>
        <v/>
      </c>
      <c r="V2518" s="35" t="str">
        <f aca="false">IF($A2518="","",COUNTIF($U$8:$U$5007,$U2518))</f>
        <v/>
      </c>
    </row>
    <row r="2519" customFormat="false" ht="15" hidden="false" customHeight="false" outlineLevel="0" collapsed="false">
      <c r="A2519" s="31"/>
      <c r="B2519" s="32"/>
      <c r="C2519" s="32"/>
      <c r="D2519" s="32"/>
      <c r="E2519" s="32"/>
      <c r="F2519" s="32"/>
      <c r="G2519" s="33"/>
      <c r="H2519" s="33"/>
      <c r="I2519" s="34" t="str">
        <f aca="false">IF($A2519="","",$G2519-$H2519)</f>
        <v/>
      </c>
      <c r="J2519" s="35" t="str">
        <f aca="false">IF($A2519="","",IF(Setup!$B$6=1,YEAR($A2519),YEAR($A2519)+IF(MONTH($A2519)&gt;=Setup!$B$6,1,0)))</f>
        <v/>
      </c>
      <c r="K2519" s="35" t="str">
        <f aca="false">IF($A2519="","",MOD(MONTH($A2519)-Setup!$B$6+12,12)+1)</f>
        <v/>
      </c>
      <c r="L2519" s="36" t="str">
        <f aca="false">IF($A2519="","",TEXT($A2519,"MMM-YY"))</f>
        <v/>
      </c>
      <c r="M2519" s="37" t="str">
        <f aca="false">IF($A2519="","",IF($Q2519=0,"UNMAPPED",INDEX(COA_Mapping!$C$7:$C$256,$Q2519)))</f>
        <v/>
      </c>
      <c r="N2519" s="38" t="str">
        <f aca="false">IF($A2519="","",IF($Q2519=0,"",INDEX(COA_Mapping!$E$7:$E$256,$Q2519)))</f>
        <v/>
      </c>
      <c r="O2519" s="38" t="n">
        <f aca="false">IF($A2519="",1,IF($Q2519=0,1,INDEX(COA_Mapping!$F$7:$F$256,$Q2519)))</f>
        <v>1</v>
      </c>
      <c r="P2519" s="34" t="str">
        <f aca="false">IF($A2519="","",$I2519*$O2519)</f>
        <v/>
      </c>
      <c r="Q2519" s="39" t="n">
        <f aca="false">IF($B2519="",0,IFERROR(MATCH($B2519,COA_Mapping!$A$7:$A$256,0),0))</f>
        <v>0</v>
      </c>
      <c r="R2519" s="39" t="n">
        <f aca="false">IF($A2519="",-1,IF($J2519=Setup!$B$7,1,IF($J2519=Setup!$B$9,0,-1)))</f>
        <v>-1</v>
      </c>
      <c r="S2519" s="35" t="n">
        <f aca="false">IF(OR($A2519="",$Q2519=0,$R2519=-1),0,$Q2519*1000+$R2519*100+$K2519)</f>
        <v>0</v>
      </c>
      <c r="T2519" s="37" t="str">
        <f aca="false">IF($A2519="","",IF($B2519="","NO ACCOUNT",IF($Q2519=0,"UNMAPPED",IF($R2519=-1,"OUTSIDE FY RANGE","OK"))))</f>
        <v/>
      </c>
      <c r="U2519" s="40" t="str">
        <f aca="false">IF($A2519="","",$B2519&amp;"|"&amp;TEXT($A2519,"yyyymmdd")&amp;"|"&amp;TEXT($I2519,"0.00"))</f>
        <v/>
      </c>
      <c r="V2519" s="35" t="str">
        <f aca="false">IF($A2519="","",COUNTIF($U$8:$U$5007,$U2519))</f>
        <v/>
      </c>
    </row>
    <row r="2520" customFormat="false" ht="15" hidden="false" customHeight="false" outlineLevel="0" collapsed="false">
      <c r="A2520" s="31"/>
      <c r="B2520" s="32"/>
      <c r="C2520" s="32"/>
      <c r="D2520" s="32"/>
      <c r="E2520" s="32"/>
      <c r="F2520" s="32"/>
      <c r="G2520" s="33"/>
      <c r="H2520" s="33"/>
      <c r="I2520" s="34" t="str">
        <f aca="false">IF($A2520="","",$G2520-$H2520)</f>
        <v/>
      </c>
      <c r="J2520" s="35" t="str">
        <f aca="false">IF($A2520="","",IF(Setup!$B$6=1,YEAR($A2520),YEAR($A2520)+IF(MONTH($A2520)&gt;=Setup!$B$6,1,0)))</f>
        <v/>
      </c>
      <c r="K2520" s="35" t="str">
        <f aca="false">IF($A2520="","",MOD(MONTH($A2520)-Setup!$B$6+12,12)+1)</f>
        <v/>
      </c>
      <c r="L2520" s="36" t="str">
        <f aca="false">IF($A2520="","",TEXT($A2520,"MMM-YY"))</f>
        <v/>
      </c>
      <c r="M2520" s="37" t="str">
        <f aca="false">IF($A2520="","",IF($Q2520=0,"UNMAPPED",INDEX(COA_Mapping!$C$7:$C$256,$Q2520)))</f>
        <v/>
      </c>
      <c r="N2520" s="38" t="str">
        <f aca="false">IF($A2520="","",IF($Q2520=0,"",INDEX(COA_Mapping!$E$7:$E$256,$Q2520)))</f>
        <v/>
      </c>
      <c r="O2520" s="38" t="n">
        <f aca="false">IF($A2520="",1,IF($Q2520=0,1,INDEX(COA_Mapping!$F$7:$F$256,$Q2520)))</f>
        <v>1</v>
      </c>
      <c r="P2520" s="34" t="str">
        <f aca="false">IF($A2520="","",$I2520*$O2520)</f>
        <v/>
      </c>
      <c r="Q2520" s="39" t="n">
        <f aca="false">IF($B2520="",0,IFERROR(MATCH($B2520,COA_Mapping!$A$7:$A$256,0),0))</f>
        <v>0</v>
      </c>
      <c r="R2520" s="39" t="n">
        <f aca="false">IF($A2520="",-1,IF($J2520=Setup!$B$7,1,IF($J2520=Setup!$B$9,0,-1)))</f>
        <v>-1</v>
      </c>
      <c r="S2520" s="35" t="n">
        <f aca="false">IF(OR($A2520="",$Q2520=0,$R2520=-1),0,$Q2520*1000+$R2520*100+$K2520)</f>
        <v>0</v>
      </c>
      <c r="T2520" s="37" t="str">
        <f aca="false">IF($A2520="","",IF($B2520="","NO ACCOUNT",IF($Q2520=0,"UNMAPPED",IF($R2520=-1,"OUTSIDE FY RANGE","OK"))))</f>
        <v/>
      </c>
      <c r="U2520" s="40" t="str">
        <f aca="false">IF($A2520="","",$B2520&amp;"|"&amp;TEXT($A2520,"yyyymmdd")&amp;"|"&amp;TEXT($I2520,"0.00"))</f>
        <v/>
      </c>
      <c r="V2520" s="35" t="str">
        <f aca="false">IF($A2520="","",COUNTIF($U$8:$U$5007,$U2520))</f>
        <v/>
      </c>
    </row>
    <row r="2521" customFormat="false" ht="15" hidden="false" customHeight="false" outlineLevel="0" collapsed="false">
      <c r="A2521" s="31"/>
      <c r="B2521" s="32"/>
      <c r="C2521" s="32"/>
      <c r="D2521" s="32"/>
      <c r="E2521" s="32"/>
      <c r="F2521" s="32"/>
      <c r="G2521" s="33"/>
      <c r="H2521" s="33"/>
      <c r="I2521" s="34" t="str">
        <f aca="false">IF($A2521="","",$G2521-$H2521)</f>
        <v/>
      </c>
      <c r="J2521" s="35" t="str">
        <f aca="false">IF($A2521="","",IF(Setup!$B$6=1,YEAR($A2521),YEAR($A2521)+IF(MONTH($A2521)&gt;=Setup!$B$6,1,0)))</f>
        <v/>
      </c>
      <c r="K2521" s="35" t="str">
        <f aca="false">IF($A2521="","",MOD(MONTH($A2521)-Setup!$B$6+12,12)+1)</f>
        <v/>
      </c>
      <c r="L2521" s="36" t="str">
        <f aca="false">IF($A2521="","",TEXT($A2521,"MMM-YY"))</f>
        <v/>
      </c>
      <c r="M2521" s="37" t="str">
        <f aca="false">IF($A2521="","",IF($Q2521=0,"UNMAPPED",INDEX(COA_Mapping!$C$7:$C$256,$Q2521)))</f>
        <v/>
      </c>
      <c r="N2521" s="38" t="str">
        <f aca="false">IF($A2521="","",IF($Q2521=0,"",INDEX(COA_Mapping!$E$7:$E$256,$Q2521)))</f>
        <v/>
      </c>
      <c r="O2521" s="38" t="n">
        <f aca="false">IF($A2521="",1,IF($Q2521=0,1,INDEX(COA_Mapping!$F$7:$F$256,$Q2521)))</f>
        <v>1</v>
      </c>
      <c r="P2521" s="34" t="str">
        <f aca="false">IF($A2521="","",$I2521*$O2521)</f>
        <v/>
      </c>
      <c r="Q2521" s="39" t="n">
        <f aca="false">IF($B2521="",0,IFERROR(MATCH($B2521,COA_Mapping!$A$7:$A$256,0),0))</f>
        <v>0</v>
      </c>
      <c r="R2521" s="39" t="n">
        <f aca="false">IF($A2521="",-1,IF($J2521=Setup!$B$7,1,IF($J2521=Setup!$B$9,0,-1)))</f>
        <v>-1</v>
      </c>
      <c r="S2521" s="35" t="n">
        <f aca="false">IF(OR($A2521="",$Q2521=0,$R2521=-1),0,$Q2521*1000+$R2521*100+$K2521)</f>
        <v>0</v>
      </c>
      <c r="T2521" s="37" t="str">
        <f aca="false">IF($A2521="","",IF($B2521="","NO ACCOUNT",IF($Q2521=0,"UNMAPPED",IF($R2521=-1,"OUTSIDE FY RANGE","OK"))))</f>
        <v/>
      </c>
      <c r="U2521" s="40" t="str">
        <f aca="false">IF($A2521="","",$B2521&amp;"|"&amp;TEXT($A2521,"yyyymmdd")&amp;"|"&amp;TEXT($I2521,"0.00"))</f>
        <v/>
      </c>
      <c r="V2521" s="35" t="str">
        <f aca="false">IF($A2521="","",COUNTIF($U$8:$U$5007,$U2521))</f>
        <v/>
      </c>
    </row>
    <row r="2522" customFormat="false" ht="15" hidden="false" customHeight="false" outlineLevel="0" collapsed="false">
      <c r="A2522" s="31"/>
      <c r="B2522" s="32"/>
      <c r="C2522" s="32"/>
      <c r="D2522" s="32"/>
      <c r="E2522" s="32"/>
      <c r="F2522" s="32"/>
      <c r="G2522" s="33"/>
      <c r="H2522" s="33"/>
      <c r="I2522" s="34" t="str">
        <f aca="false">IF($A2522="","",$G2522-$H2522)</f>
        <v/>
      </c>
      <c r="J2522" s="35" t="str">
        <f aca="false">IF($A2522="","",IF(Setup!$B$6=1,YEAR($A2522),YEAR($A2522)+IF(MONTH($A2522)&gt;=Setup!$B$6,1,0)))</f>
        <v/>
      </c>
      <c r="K2522" s="35" t="str">
        <f aca="false">IF($A2522="","",MOD(MONTH($A2522)-Setup!$B$6+12,12)+1)</f>
        <v/>
      </c>
      <c r="L2522" s="36" t="str">
        <f aca="false">IF($A2522="","",TEXT($A2522,"MMM-YY"))</f>
        <v/>
      </c>
      <c r="M2522" s="37" t="str">
        <f aca="false">IF($A2522="","",IF($Q2522=0,"UNMAPPED",INDEX(COA_Mapping!$C$7:$C$256,$Q2522)))</f>
        <v/>
      </c>
      <c r="N2522" s="38" t="str">
        <f aca="false">IF($A2522="","",IF($Q2522=0,"",INDEX(COA_Mapping!$E$7:$E$256,$Q2522)))</f>
        <v/>
      </c>
      <c r="O2522" s="38" t="n">
        <f aca="false">IF($A2522="",1,IF($Q2522=0,1,INDEX(COA_Mapping!$F$7:$F$256,$Q2522)))</f>
        <v>1</v>
      </c>
      <c r="P2522" s="34" t="str">
        <f aca="false">IF($A2522="","",$I2522*$O2522)</f>
        <v/>
      </c>
      <c r="Q2522" s="39" t="n">
        <f aca="false">IF($B2522="",0,IFERROR(MATCH($B2522,COA_Mapping!$A$7:$A$256,0),0))</f>
        <v>0</v>
      </c>
      <c r="R2522" s="39" t="n">
        <f aca="false">IF($A2522="",-1,IF($J2522=Setup!$B$7,1,IF($J2522=Setup!$B$9,0,-1)))</f>
        <v>-1</v>
      </c>
      <c r="S2522" s="35" t="n">
        <f aca="false">IF(OR($A2522="",$Q2522=0,$R2522=-1),0,$Q2522*1000+$R2522*100+$K2522)</f>
        <v>0</v>
      </c>
      <c r="T2522" s="37" t="str">
        <f aca="false">IF($A2522="","",IF($B2522="","NO ACCOUNT",IF($Q2522=0,"UNMAPPED",IF($R2522=-1,"OUTSIDE FY RANGE","OK"))))</f>
        <v/>
      </c>
      <c r="U2522" s="40" t="str">
        <f aca="false">IF($A2522="","",$B2522&amp;"|"&amp;TEXT($A2522,"yyyymmdd")&amp;"|"&amp;TEXT($I2522,"0.00"))</f>
        <v/>
      </c>
      <c r="V2522" s="35" t="str">
        <f aca="false">IF($A2522="","",COUNTIF($U$8:$U$5007,$U2522))</f>
        <v/>
      </c>
    </row>
    <row r="2523" customFormat="false" ht="15" hidden="false" customHeight="false" outlineLevel="0" collapsed="false">
      <c r="A2523" s="31"/>
      <c r="B2523" s="32"/>
      <c r="C2523" s="32"/>
      <c r="D2523" s="32"/>
      <c r="E2523" s="32"/>
      <c r="F2523" s="32"/>
      <c r="G2523" s="33"/>
      <c r="H2523" s="33"/>
      <c r="I2523" s="34" t="str">
        <f aca="false">IF($A2523="","",$G2523-$H2523)</f>
        <v/>
      </c>
      <c r="J2523" s="35" t="str">
        <f aca="false">IF($A2523="","",IF(Setup!$B$6=1,YEAR($A2523),YEAR($A2523)+IF(MONTH($A2523)&gt;=Setup!$B$6,1,0)))</f>
        <v/>
      </c>
      <c r="K2523" s="35" t="str">
        <f aca="false">IF($A2523="","",MOD(MONTH($A2523)-Setup!$B$6+12,12)+1)</f>
        <v/>
      </c>
      <c r="L2523" s="36" t="str">
        <f aca="false">IF($A2523="","",TEXT($A2523,"MMM-YY"))</f>
        <v/>
      </c>
      <c r="M2523" s="37" t="str">
        <f aca="false">IF($A2523="","",IF($Q2523=0,"UNMAPPED",INDEX(COA_Mapping!$C$7:$C$256,$Q2523)))</f>
        <v/>
      </c>
      <c r="N2523" s="38" t="str">
        <f aca="false">IF($A2523="","",IF($Q2523=0,"",INDEX(COA_Mapping!$E$7:$E$256,$Q2523)))</f>
        <v/>
      </c>
      <c r="O2523" s="38" t="n">
        <f aca="false">IF($A2523="",1,IF($Q2523=0,1,INDEX(COA_Mapping!$F$7:$F$256,$Q2523)))</f>
        <v>1</v>
      </c>
      <c r="P2523" s="34" t="str">
        <f aca="false">IF($A2523="","",$I2523*$O2523)</f>
        <v/>
      </c>
      <c r="Q2523" s="39" t="n">
        <f aca="false">IF($B2523="",0,IFERROR(MATCH($B2523,COA_Mapping!$A$7:$A$256,0),0))</f>
        <v>0</v>
      </c>
      <c r="R2523" s="39" t="n">
        <f aca="false">IF($A2523="",-1,IF($J2523=Setup!$B$7,1,IF($J2523=Setup!$B$9,0,-1)))</f>
        <v>-1</v>
      </c>
      <c r="S2523" s="35" t="n">
        <f aca="false">IF(OR($A2523="",$Q2523=0,$R2523=-1),0,$Q2523*1000+$R2523*100+$K2523)</f>
        <v>0</v>
      </c>
      <c r="T2523" s="37" t="str">
        <f aca="false">IF($A2523="","",IF($B2523="","NO ACCOUNT",IF($Q2523=0,"UNMAPPED",IF($R2523=-1,"OUTSIDE FY RANGE","OK"))))</f>
        <v/>
      </c>
      <c r="U2523" s="40" t="str">
        <f aca="false">IF($A2523="","",$B2523&amp;"|"&amp;TEXT($A2523,"yyyymmdd")&amp;"|"&amp;TEXT($I2523,"0.00"))</f>
        <v/>
      </c>
      <c r="V2523" s="35" t="str">
        <f aca="false">IF($A2523="","",COUNTIF($U$8:$U$5007,$U2523))</f>
        <v/>
      </c>
    </row>
    <row r="2524" customFormat="false" ht="15" hidden="false" customHeight="false" outlineLevel="0" collapsed="false">
      <c r="A2524" s="31"/>
      <c r="B2524" s="32"/>
      <c r="C2524" s="32"/>
      <c r="D2524" s="32"/>
      <c r="E2524" s="32"/>
      <c r="F2524" s="32"/>
      <c r="G2524" s="33"/>
      <c r="H2524" s="33"/>
      <c r="I2524" s="34" t="str">
        <f aca="false">IF($A2524="","",$G2524-$H2524)</f>
        <v/>
      </c>
      <c r="J2524" s="35" t="str">
        <f aca="false">IF($A2524="","",IF(Setup!$B$6=1,YEAR($A2524),YEAR($A2524)+IF(MONTH($A2524)&gt;=Setup!$B$6,1,0)))</f>
        <v/>
      </c>
      <c r="K2524" s="35" t="str">
        <f aca="false">IF($A2524="","",MOD(MONTH($A2524)-Setup!$B$6+12,12)+1)</f>
        <v/>
      </c>
      <c r="L2524" s="36" t="str">
        <f aca="false">IF($A2524="","",TEXT($A2524,"MMM-YY"))</f>
        <v/>
      </c>
      <c r="M2524" s="37" t="str">
        <f aca="false">IF($A2524="","",IF($Q2524=0,"UNMAPPED",INDEX(COA_Mapping!$C$7:$C$256,$Q2524)))</f>
        <v/>
      </c>
      <c r="N2524" s="38" t="str">
        <f aca="false">IF($A2524="","",IF($Q2524=0,"",INDEX(COA_Mapping!$E$7:$E$256,$Q2524)))</f>
        <v/>
      </c>
      <c r="O2524" s="38" t="n">
        <f aca="false">IF($A2524="",1,IF($Q2524=0,1,INDEX(COA_Mapping!$F$7:$F$256,$Q2524)))</f>
        <v>1</v>
      </c>
      <c r="P2524" s="34" t="str">
        <f aca="false">IF($A2524="","",$I2524*$O2524)</f>
        <v/>
      </c>
      <c r="Q2524" s="39" t="n">
        <f aca="false">IF($B2524="",0,IFERROR(MATCH($B2524,COA_Mapping!$A$7:$A$256,0),0))</f>
        <v>0</v>
      </c>
      <c r="R2524" s="39" t="n">
        <f aca="false">IF($A2524="",-1,IF($J2524=Setup!$B$7,1,IF($J2524=Setup!$B$9,0,-1)))</f>
        <v>-1</v>
      </c>
      <c r="S2524" s="35" t="n">
        <f aca="false">IF(OR($A2524="",$Q2524=0,$R2524=-1),0,$Q2524*1000+$R2524*100+$K2524)</f>
        <v>0</v>
      </c>
      <c r="T2524" s="37" t="str">
        <f aca="false">IF($A2524="","",IF($B2524="","NO ACCOUNT",IF($Q2524=0,"UNMAPPED",IF($R2524=-1,"OUTSIDE FY RANGE","OK"))))</f>
        <v/>
      </c>
      <c r="U2524" s="40" t="str">
        <f aca="false">IF($A2524="","",$B2524&amp;"|"&amp;TEXT($A2524,"yyyymmdd")&amp;"|"&amp;TEXT($I2524,"0.00"))</f>
        <v/>
      </c>
      <c r="V2524" s="35" t="str">
        <f aca="false">IF($A2524="","",COUNTIF($U$8:$U$5007,$U2524))</f>
        <v/>
      </c>
    </row>
    <row r="2525" customFormat="false" ht="15" hidden="false" customHeight="false" outlineLevel="0" collapsed="false">
      <c r="A2525" s="31"/>
      <c r="B2525" s="32"/>
      <c r="C2525" s="32"/>
      <c r="D2525" s="32"/>
      <c r="E2525" s="32"/>
      <c r="F2525" s="32"/>
      <c r="G2525" s="33"/>
      <c r="H2525" s="33"/>
      <c r="I2525" s="34" t="str">
        <f aca="false">IF($A2525="","",$G2525-$H2525)</f>
        <v/>
      </c>
      <c r="J2525" s="35" t="str">
        <f aca="false">IF($A2525="","",IF(Setup!$B$6=1,YEAR($A2525),YEAR($A2525)+IF(MONTH($A2525)&gt;=Setup!$B$6,1,0)))</f>
        <v/>
      </c>
      <c r="K2525" s="35" t="str">
        <f aca="false">IF($A2525="","",MOD(MONTH($A2525)-Setup!$B$6+12,12)+1)</f>
        <v/>
      </c>
      <c r="L2525" s="36" t="str">
        <f aca="false">IF($A2525="","",TEXT($A2525,"MMM-YY"))</f>
        <v/>
      </c>
      <c r="M2525" s="37" t="str">
        <f aca="false">IF($A2525="","",IF($Q2525=0,"UNMAPPED",INDEX(COA_Mapping!$C$7:$C$256,$Q2525)))</f>
        <v/>
      </c>
      <c r="N2525" s="38" t="str">
        <f aca="false">IF($A2525="","",IF($Q2525=0,"",INDEX(COA_Mapping!$E$7:$E$256,$Q2525)))</f>
        <v/>
      </c>
      <c r="O2525" s="38" t="n">
        <f aca="false">IF($A2525="",1,IF($Q2525=0,1,INDEX(COA_Mapping!$F$7:$F$256,$Q2525)))</f>
        <v>1</v>
      </c>
      <c r="P2525" s="34" t="str">
        <f aca="false">IF($A2525="","",$I2525*$O2525)</f>
        <v/>
      </c>
      <c r="Q2525" s="39" t="n">
        <f aca="false">IF($B2525="",0,IFERROR(MATCH($B2525,COA_Mapping!$A$7:$A$256,0),0))</f>
        <v>0</v>
      </c>
      <c r="R2525" s="39" t="n">
        <f aca="false">IF($A2525="",-1,IF($J2525=Setup!$B$7,1,IF($J2525=Setup!$B$9,0,-1)))</f>
        <v>-1</v>
      </c>
      <c r="S2525" s="35" t="n">
        <f aca="false">IF(OR($A2525="",$Q2525=0,$R2525=-1),0,$Q2525*1000+$R2525*100+$K2525)</f>
        <v>0</v>
      </c>
      <c r="T2525" s="37" t="str">
        <f aca="false">IF($A2525="","",IF($B2525="","NO ACCOUNT",IF($Q2525=0,"UNMAPPED",IF($R2525=-1,"OUTSIDE FY RANGE","OK"))))</f>
        <v/>
      </c>
      <c r="U2525" s="40" t="str">
        <f aca="false">IF($A2525="","",$B2525&amp;"|"&amp;TEXT($A2525,"yyyymmdd")&amp;"|"&amp;TEXT($I2525,"0.00"))</f>
        <v/>
      </c>
      <c r="V2525" s="35" t="str">
        <f aca="false">IF($A2525="","",COUNTIF($U$8:$U$5007,$U2525))</f>
        <v/>
      </c>
    </row>
    <row r="2526" customFormat="false" ht="15" hidden="false" customHeight="false" outlineLevel="0" collapsed="false">
      <c r="A2526" s="31"/>
      <c r="B2526" s="32"/>
      <c r="C2526" s="32"/>
      <c r="D2526" s="32"/>
      <c r="E2526" s="32"/>
      <c r="F2526" s="32"/>
      <c r="G2526" s="33"/>
      <c r="H2526" s="33"/>
      <c r="I2526" s="34" t="str">
        <f aca="false">IF($A2526="","",$G2526-$H2526)</f>
        <v/>
      </c>
      <c r="J2526" s="35" t="str">
        <f aca="false">IF($A2526="","",IF(Setup!$B$6=1,YEAR($A2526),YEAR($A2526)+IF(MONTH($A2526)&gt;=Setup!$B$6,1,0)))</f>
        <v/>
      </c>
      <c r="K2526" s="35" t="str">
        <f aca="false">IF($A2526="","",MOD(MONTH($A2526)-Setup!$B$6+12,12)+1)</f>
        <v/>
      </c>
      <c r="L2526" s="36" t="str">
        <f aca="false">IF($A2526="","",TEXT($A2526,"MMM-YY"))</f>
        <v/>
      </c>
      <c r="M2526" s="37" t="str">
        <f aca="false">IF($A2526="","",IF($Q2526=0,"UNMAPPED",INDEX(COA_Mapping!$C$7:$C$256,$Q2526)))</f>
        <v/>
      </c>
      <c r="N2526" s="38" t="str">
        <f aca="false">IF($A2526="","",IF($Q2526=0,"",INDEX(COA_Mapping!$E$7:$E$256,$Q2526)))</f>
        <v/>
      </c>
      <c r="O2526" s="38" t="n">
        <f aca="false">IF($A2526="",1,IF($Q2526=0,1,INDEX(COA_Mapping!$F$7:$F$256,$Q2526)))</f>
        <v>1</v>
      </c>
      <c r="P2526" s="34" t="str">
        <f aca="false">IF($A2526="","",$I2526*$O2526)</f>
        <v/>
      </c>
      <c r="Q2526" s="39" t="n">
        <f aca="false">IF($B2526="",0,IFERROR(MATCH($B2526,COA_Mapping!$A$7:$A$256,0),0))</f>
        <v>0</v>
      </c>
      <c r="R2526" s="39" t="n">
        <f aca="false">IF($A2526="",-1,IF($J2526=Setup!$B$7,1,IF($J2526=Setup!$B$9,0,-1)))</f>
        <v>-1</v>
      </c>
      <c r="S2526" s="35" t="n">
        <f aca="false">IF(OR($A2526="",$Q2526=0,$R2526=-1),0,$Q2526*1000+$R2526*100+$K2526)</f>
        <v>0</v>
      </c>
      <c r="T2526" s="37" t="str">
        <f aca="false">IF($A2526="","",IF($B2526="","NO ACCOUNT",IF($Q2526=0,"UNMAPPED",IF($R2526=-1,"OUTSIDE FY RANGE","OK"))))</f>
        <v/>
      </c>
      <c r="U2526" s="40" t="str">
        <f aca="false">IF($A2526="","",$B2526&amp;"|"&amp;TEXT($A2526,"yyyymmdd")&amp;"|"&amp;TEXT($I2526,"0.00"))</f>
        <v/>
      </c>
      <c r="V2526" s="35" t="str">
        <f aca="false">IF($A2526="","",COUNTIF($U$8:$U$5007,$U2526))</f>
        <v/>
      </c>
    </row>
    <row r="2527" customFormat="false" ht="15" hidden="false" customHeight="false" outlineLevel="0" collapsed="false">
      <c r="A2527" s="31"/>
      <c r="B2527" s="32"/>
      <c r="C2527" s="32"/>
      <c r="D2527" s="32"/>
      <c r="E2527" s="32"/>
      <c r="F2527" s="32"/>
      <c r="G2527" s="33"/>
      <c r="H2527" s="33"/>
      <c r="I2527" s="34" t="str">
        <f aca="false">IF($A2527="","",$G2527-$H2527)</f>
        <v/>
      </c>
      <c r="J2527" s="35" t="str">
        <f aca="false">IF($A2527="","",IF(Setup!$B$6=1,YEAR($A2527),YEAR($A2527)+IF(MONTH($A2527)&gt;=Setup!$B$6,1,0)))</f>
        <v/>
      </c>
      <c r="K2527" s="35" t="str">
        <f aca="false">IF($A2527="","",MOD(MONTH($A2527)-Setup!$B$6+12,12)+1)</f>
        <v/>
      </c>
      <c r="L2527" s="36" t="str">
        <f aca="false">IF($A2527="","",TEXT($A2527,"MMM-YY"))</f>
        <v/>
      </c>
      <c r="M2527" s="37" t="str">
        <f aca="false">IF($A2527="","",IF($Q2527=0,"UNMAPPED",INDEX(COA_Mapping!$C$7:$C$256,$Q2527)))</f>
        <v/>
      </c>
      <c r="N2527" s="38" t="str">
        <f aca="false">IF($A2527="","",IF($Q2527=0,"",INDEX(COA_Mapping!$E$7:$E$256,$Q2527)))</f>
        <v/>
      </c>
      <c r="O2527" s="38" t="n">
        <f aca="false">IF($A2527="",1,IF($Q2527=0,1,INDEX(COA_Mapping!$F$7:$F$256,$Q2527)))</f>
        <v>1</v>
      </c>
      <c r="P2527" s="34" t="str">
        <f aca="false">IF($A2527="","",$I2527*$O2527)</f>
        <v/>
      </c>
      <c r="Q2527" s="39" t="n">
        <f aca="false">IF($B2527="",0,IFERROR(MATCH($B2527,COA_Mapping!$A$7:$A$256,0),0))</f>
        <v>0</v>
      </c>
      <c r="R2527" s="39" t="n">
        <f aca="false">IF($A2527="",-1,IF($J2527=Setup!$B$7,1,IF($J2527=Setup!$B$9,0,-1)))</f>
        <v>-1</v>
      </c>
      <c r="S2527" s="35" t="n">
        <f aca="false">IF(OR($A2527="",$Q2527=0,$R2527=-1),0,$Q2527*1000+$R2527*100+$K2527)</f>
        <v>0</v>
      </c>
      <c r="T2527" s="37" t="str">
        <f aca="false">IF($A2527="","",IF($B2527="","NO ACCOUNT",IF($Q2527=0,"UNMAPPED",IF($R2527=-1,"OUTSIDE FY RANGE","OK"))))</f>
        <v/>
      </c>
      <c r="U2527" s="40" t="str">
        <f aca="false">IF($A2527="","",$B2527&amp;"|"&amp;TEXT($A2527,"yyyymmdd")&amp;"|"&amp;TEXT($I2527,"0.00"))</f>
        <v/>
      </c>
      <c r="V2527" s="35" t="str">
        <f aca="false">IF($A2527="","",COUNTIF($U$8:$U$5007,$U2527))</f>
        <v/>
      </c>
    </row>
    <row r="2528" customFormat="false" ht="15" hidden="false" customHeight="false" outlineLevel="0" collapsed="false">
      <c r="A2528" s="31"/>
      <c r="B2528" s="32"/>
      <c r="C2528" s="32"/>
      <c r="D2528" s="32"/>
      <c r="E2528" s="32"/>
      <c r="F2528" s="32"/>
      <c r="G2528" s="33"/>
      <c r="H2528" s="33"/>
      <c r="I2528" s="34" t="str">
        <f aca="false">IF($A2528="","",$G2528-$H2528)</f>
        <v/>
      </c>
      <c r="J2528" s="35" t="str">
        <f aca="false">IF($A2528="","",IF(Setup!$B$6=1,YEAR($A2528),YEAR($A2528)+IF(MONTH($A2528)&gt;=Setup!$B$6,1,0)))</f>
        <v/>
      </c>
      <c r="K2528" s="35" t="str">
        <f aca="false">IF($A2528="","",MOD(MONTH($A2528)-Setup!$B$6+12,12)+1)</f>
        <v/>
      </c>
      <c r="L2528" s="36" t="str">
        <f aca="false">IF($A2528="","",TEXT($A2528,"MMM-YY"))</f>
        <v/>
      </c>
      <c r="M2528" s="37" t="str">
        <f aca="false">IF($A2528="","",IF($Q2528=0,"UNMAPPED",INDEX(COA_Mapping!$C$7:$C$256,$Q2528)))</f>
        <v/>
      </c>
      <c r="N2528" s="38" t="str">
        <f aca="false">IF($A2528="","",IF($Q2528=0,"",INDEX(COA_Mapping!$E$7:$E$256,$Q2528)))</f>
        <v/>
      </c>
      <c r="O2528" s="38" t="n">
        <f aca="false">IF($A2528="",1,IF($Q2528=0,1,INDEX(COA_Mapping!$F$7:$F$256,$Q2528)))</f>
        <v>1</v>
      </c>
      <c r="P2528" s="34" t="str">
        <f aca="false">IF($A2528="","",$I2528*$O2528)</f>
        <v/>
      </c>
      <c r="Q2528" s="39" t="n">
        <f aca="false">IF($B2528="",0,IFERROR(MATCH($B2528,COA_Mapping!$A$7:$A$256,0),0))</f>
        <v>0</v>
      </c>
      <c r="R2528" s="39" t="n">
        <f aca="false">IF($A2528="",-1,IF($J2528=Setup!$B$7,1,IF($J2528=Setup!$B$9,0,-1)))</f>
        <v>-1</v>
      </c>
      <c r="S2528" s="35" t="n">
        <f aca="false">IF(OR($A2528="",$Q2528=0,$R2528=-1),0,$Q2528*1000+$R2528*100+$K2528)</f>
        <v>0</v>
      </c>
      <c r="T2528" s="37" t="str">
        <f aca="false">IF($A2528="","",IF($B2528="","NO ACCOUNT",IF($Q2528=0,"UNMAPPED",IF($R2528=-1,"OUTSIDE FY RANGE","OK"))))</f>
        <v/>
      </c>
      <c r="U2528" s="40" t="str">
        <f aca="false">IF($A2528="","",$B2528&amp;"|"&amp;TEXT($A2528,"yyyymmdd")&amp;"|"&amp;TEXT($I2528,"0.00"))</f>
        <v/>
      </c>
      <c r="V2528" s="35" t="str">
        <f aca="false">IF($A2528="","",COUNTIF($U$8:$U$5007,$U2528))</f>
        <v/>
      </c>
    </row>
    <row r="2529" customFormat="false" ht="15" hidden="false" customHeight="false" outlineLevel="0" collapsed="false">
      <c r="A2529" s="31"/>
      <c r="B2529" s="32"/>
      <c r="C2529" s="32"/>
      <c r="D2529" s="32"/>
      <c r="E2529" s="32"/>
      <c r="F2529" s="32"/>
      <c r="G2529" s="33"/>
      <c r="H2529" s="33"/>
      <c r="I2529" s="34" t="str">
        <f aca="false">IF($A2529="","",$G2529-$H2529)</f>
        <v/>
      </c>
      <c r="J2529" s="35" t="str">
        <f aca="false">IF($A2529="","",IF(Setup!$B$6=1,YEAR($A2529),YEAR($A2529)+IF(MONTH($A2529)&gt;=Setup!$B$6,1,0)))</f>
        <v/>
      </c>
      <c r="K2529" s="35" t="str">
        <f aca="false">IF($A2529="","",MOD(MONTH($A2529)-Setup!$B$6+12,12)+1)</f>
        <v/>
      </c>
      <c r="L2529" s="36" t="str">
        <f aca="false">IF($A2529="","",TEXT($A2529,"MMM-YY"))</f>
        <v/>
      </c>
      <c r="M2529" s="37" t="str">
        <f aca="false">IF($A2529="","",IF($Q2529=0,"UNMAPPED",INDEX(COA_Mapping!$C$7:$C$256,$Q2529)))</f>
        <v/>
      </c>
      <c r="N2529" s="38" t="str">
        <f aca="false">IF($A2529="","",IF($Q2529=0,"",INDEX(COA_Mapping!$E$7:$E$256,$Q2529)))</f>
        <v/>
      </c>
      <c r="O2529" s="38" t="n">
        <f aca="false">IF($A2529="",1,IF($Q2529=0,1,INDEX(COA_Mapping!$F$7:$F$256,$Q2529)))</f>
        <v>1</v>
      </c>
      <c r="P2529" s="34" t="str">
        <f aca="false">IF($A2529="","",$I2529*$O2529)</f>
        <v/>
      </c>
      <c r="Q2529" s="39" t="n">
        <f aca="false">IF($B2529="",0,IFERROR(MATCH($B2529,COA_Mapping!$A$7:$A$256,0),0))</f>
        <v>0</v>
      </c>
      <c r="R2529" s="39" t="n">
        <f aca="false">IF($A2529="",-1,IF($J2529=Setup!$B$7,1,IF($J2529=Setup!$B$9,0,-1)))</f>
        <v>-1</v>
      </c>
      <c r="S2529" s="35" t="n">
        <f aca="false">IF(OR($A2529="",$Q2529=0,$R2529=-1),0,$Q2529*1000+$R2529*100+$K2529)</f>
        <v>0</v>
      </c>
      <c r="T2529" s="37" t="str">
        <f aca="false">IF($A2529="","",IF($B2529="","NO ACCOUNT",IF($Q2529=0,"UNMAPPED",IF($R2529=-1,"OUTSIDE FY RANGE","OK"))))</f>
        <v/>
      </c>
      <c r="U2529" s="40" t="str">
        <f aca="false">IF($A2529="","",$B2529&amp;"|"&amp;TEXT($A2529,"yyyymmdd")&amp;"|"&amp;TEXT($I2529,"0.00"))</f>
        <v/>
      </c>
      <c r="V2529" s="35" t="str">
        <f aca="false">IF($A2529="","",COUNTIF($U$8:$U$5007,$U2529))</f>
        <v/>
      </c>
    </row>
    <row r="2530" customFormat="false" ht="15" hidden="false" customHeight="false" outlineLevel="0" collapsed="false">
      <c r="A2530" s="31"/>
      <c r="B2530" s="32"/>
      <c r="C2530" s="32"/>
      <c r="D2530" s="32"/>
      <c r="E2530" s="32"/>
      <c r="F2530" s="32"/>
      <c r="G2530" s="33"/>
      <c r="H2530" s="33"/>
      <c r="I2530" s="34" t="str">
        <f aca="false">IF($A2530="","",$G2530-$H2530)</f>
        <v/>
      </c>
      <c r="J2530" s="35" t="str">
        <f aca="false">IF($A2530="","",IF(Setup!$B$6=1,YEAR($A2530),YEAR($A2530)+IF(MONTH($A2530)&gt;=Setup!$B$6,1,0)))</f>
        <v/>
      </c>
      <c r="K2530" s="35" t="str">
        <f aca="false">IF($A2530="","",MOD(MONTH($A2530)-Setup!$B$6+12,12)+1)</f>
        <v/>
      </c>
      <c r="L2530" s="36" t="str">
        <f aca="false">IF($A2530="","",TEXT($A2530,"MMM-YY"))</f>
        <v/>
      </c>
      <c r="M2530" s="37" t="str">
        <f aca="false">IF($A2530="","",IF($Q2530=0,"UNMAPPED",INDEX(COA_Mapping!$C$7:$C$256,$Q2530)))</f>
        <v/>
      </c>
      <c r="N2530" s="38" t="str">
        <f aca="false">IF($A2530="","",IF($Q2530=0,"",INDEX(COA_Mapping!$E$7:$E$256,$Q2530)))</f>
        <v/>
      </c>
      <c r="O2530" s="38" t="n">
        <f aca="false">IF($A2530="",1,IF($Q2530=0,1,INDEX(COA_Mapping!$F$7:$F$256,$Q2530)))</f>
        <v>1</v>
      </c>
      <c r="P2530" s="34" t="str">
        <f aca="false">IF($A2530="","",$I2530*$O2530)</f>
        <v/>
      </c>
      <c r="Q2530" s="39" t="n">
        <f aca="false">IF($B2530="",0,IFERROR(MATCH($B2530,COA_Mapping!$A$7:$A$256,0),0))</f>
        <v>0</v>
      </c>
      <c r="R2530" s="39" t="n">
        <f aca="false">IF($A2530="",-1,IF($J2530=Setup!$B$7,1,IF($J2530=Setup!$B$9,0,-1)))</f>
        <v>-1</v>
      </c>
      <c r="S2530" s="35" t="n">
        <f aca="false">IF(OR($A2530="",$Q2530=0,$R2530=-1),0,$Q2530*1000+$R2530*100+$K2530)</f>
        <v>0</v>
      </c>
      <c r="T2530" s="37" t="str">
        <f aca="false">IF($A2530="","",IF($B2530="","NO ACCOUNT",IF($Q2530=0,"UNMAPPED",IF($R2530=-1,"OUTSIDE FY RANGE","OK"))))</f>
        <v/>
      </c>
      <c r="U2530" s="40" t="str">
        <f aca="false">IF($A2530="","",$B2530&amp;"|"&amp;TEXT($A2530,"yyyymmdd")&amp;"|"&amp;TEXT($I2530,"0.00"))</f>
        <v/>
      </c>
      <c r="V2530" s="35" t="str">
        <f aca="false">IF($A2530="","",COUNTIF($U$8:$U$5007,$U2530))</f>
        <v/>
      </c>
    </row>
    <row r="2531" customFormat="false" ht="15" hidden="false" customHeight="false" outlineLevel="0" collapsed="false">
      <c r="A2531" s="31"/>
      <c r="B2531" s="32"/>
      <c r="C2531" s="32"/>
      <c r="D2531" s="32"/>
      <c r="E2531" s="32"/>
      <c r="F2531" s="32"/>
      <c r="G2531" s="33"/>
      <c r="H2531" s="33"/>
      <c r="I2531" s="34" t="str">
        <f aca="false">IF($A2531="","",$G2531-$H2531)</f>
        <v/>
      </c>
      <c r="J2531" s="35" t="str">
        <f aca="false">IF($A2531="","",IF(Setup!$B$6=1,YEAR($A2531),YEAR($A2531)+IF(MONTH($A2531)&gt;=Setup!$B$6,1,0)))</f>
        <v/>
      </c>
      <c r="K2531" s="35" t="str">
        <f aca="false">IF($A2531="","",MOD(MONTH($A2531)-Setup!$B$6+12,12)+1)</f>
        <v/>
      </c>
      <c r="L2531" s="36" t="str">
        <f aca="false">IF($A2531="","",TEXT($A2531,"MMM-YY"))</f>
        <v/>
      </c>
      <c r="M2531" s="37" t="str">
        <f aca="false">IF($A2531="","",IF($Q2531=0,"UNMAPPED",INDEX(COA_Mapping!$C$7:$C$256,$Q2531)))</f>
        <v/>
      </c>
      <c r="N2531" s="38" t="str">
        <f aca="false">IF($A2531="","",IF($Q2531=0,"",INDEX(COA_Mapping!$E$7:$E$256,$Q2531)))</f>
        <v/>
      </c>
      <c r="O2531" s="38" t="n">
        <f aca="false">IF($A2531="",1,IF($Q2531=0,1,INDEX(COA_Mapping!$F$7:$F$256,$Q2531)))</f>
        <v>1</v>
      </c>
      <c r="P2531" s="34" t="str">
        <f aca="false">IF($A2531="","",$I2531*$O2531)</f>
        <v/>
      </c>
      <c r="Q2531" s="39" t="n">
        <f aca="false">IF($B2531="",0,IFERROR(MATCH($B2531,COA_Mapping!$A$7:$A$256,0),0))</f>
        <v>0</v>
      </c>
      <c r="R2531" s="39" t="n">
        <f aca="false">IF($A2531="",-1,IF($J2531=Setup!$B$7,1,IF($J2531=Setup!$B$9,0,-1)))</f>
        <v>-1</v>
      </c>
      <c r="S2531" s="35" t="n">
        <f aca="false">IF(OR($A2531="",$Q2531=0,$R2531=-1),0,$Q2531*1000+$R2531*100+$K2531)</f>
        <v>0</v>
      </c>
      <c r="T2531" s="37" t="str">
        <f aca="false">IF($A2531="","",IF($B2531="","NO ACCOUNT",IF($Q2531=0,"UNMAPPED",IF($R2531=-1,"OUTSIDE FY RANGE","OK"))))</f>
        <v/>
      </c>
      <c r="U2531" s="40" t="str">
        <f aca="false">IF($A2531="","",$B2531&amp;"|"&amp;TEXT($A2531,"yyyymmdd")&amp;"|"&amp;TEXT($I2531,"0.00"))</f>
        <v/>
      </c>
      <c r="V2531" s="35" t="str">
        <f aca="false">IF($A2531="","",COUNTIF($U$8:$U$5007,$U2531))</f>
        <v/>
      </c>
    </row>
    <row r="2532" customFormat="false" ht="15" hidden="false" customHeight="false" outlineLevel="0" collapsed="false">
      <c r="A2532" s="31"/>
      <c r="B2532" s="32"/>
      <c r="C2532" s="32"/>
      <c r="D2532" s="32"/>
      <c r="E2532" s="32"/>
      <c r="F2532" s="32"/>
      <c r="G2532" s="33"/>
      <c r="H2532" s="33"/>
      <c r="I2532" s="34" t="str">
        <f aca="false">IF($A2532="","",$G2532-$H2532)</f>
        <v/>
      </c>
      <c r="J2532" s="35" t="str">
        <f aca="false">IF($A2532="","",IF(Setup!$B$6=1,YEAR($A2532),YEAR($A2532)+IF(MONTH($A2532)&gt;=Setup!$B$6,1,0)))</f>
        <v/>
      </c>
      <c r="K2532" s="35" t="str">
        <f aca="false">IF($A2532="","",MOD(MONTH($A2532)-Setup!$B$6+12,12)+1)</f>
        <v/>
      </c>
      <c r="L2532" s="36" t="str">
        <f aca="false">IF($A2532="","",TEXT($A2532,"MMM-YY"))</f>
        <v/>
      </c>
      <c r="M2532" s="37" t="str">
        <f aca="false">IF($A2532="","",IF($Q2532=0,"UNMAPPED",INDEX(COA_Mapping!$C$7:$C$256,$Q2532)))</f>
        <v/>
      </c>
      <c r="N2532" s="38" t="str">
        <f aca="false">IF($A2532="","",IF($Q2532=0,"",INDEX(COA_Mapping!$E$7:$E$256,$Q2532)))</f>
        <v/>
      </c>
      <c r="O2532" s="38" t="n">
        <f aca="false">IF($A2532="",1,IF($Q2532=0,1,INDEX(COA_Mapping!$F$7:$F$256,$Q2532)))</f>
        <v>1</v>
      </c>
      <c r="P2532" s="34" t="str">
        <f aca="false">IF($A2532="","",$I2532*$O2532)</f>
        <v/>
      </c>
      <c r="Q2532" s="39" t="n">
        <f aca="false">IF($B2532="",0,IFERROR(MATCH($B2532,COA_Mapping!$A$7:$A$256,0),0))</f>
        <v>0</v>
      </c>
      <c r="R2532" s="39" t="n">
        <f aca="false">IF($A2532="",-1,IF($J2532=Setup!$B$7,1,IF($J2532=Setup!$B$9,0,-1)))</f>
        <v>-1</v>
      </c>
      <c r="S2532" s="35" t="n">
        <f aca="false">IF(OR($A2532="",$Q2532=0,$R2532=-1),0,$Q2532*1000+$R2532*100+$K2532)</f>
        <v>0</v>
      </c>
      <c r="T2532" s="37" t="str">
        <f aca="false">IF($A2532="","",IF($B2532="","NO ACCOUNT",IF($Q2532=0,"UNMAPPED",IF($R2532=-1,"OUTSIDE FY RANGE","OK"))))</f>
        <v/>
      </c>
      <c r="U2532" s="40" t="str">
        <f aca="false">IF($A2532="","",$B2532&amp;"|"&amp;TEXT($A2532,"yyyymmdd")&amp;"|"&amp;TEXT($I2532,"0.00"))</f>
        <v/>
      </c>
      <c r="V2532" s="35" t="str">
        <f aca="false">IF($A2532="","",COUNTIF($U$8:$U$5007,$U2532))</f>
        <v/>
      </c>
    </row>
    <row r="2533" customFormat="false" ht="15" hidden="false" customHeight="false" outlineLevel="0" collapsed="false">
      <c r="A2533" s="31"/>
      <c r="B2533" s="32"/>
      <c r="C2533" s="32"/>
      <c r="D2533" s="32"/>
      <c r="E2533" s="32"/>
      <c r="F2533" s="32"/>
      <c r="G2533" s="33"/>
      <c r="H2533" s="33"/>
      <c r="I2533" s="34" t="str">
        <f aca="false">IF($A2533="","",$G2533-$H2533)</f>
        <v/>
      </c>
      <c r="J2533" s="35" t="str">
        <f aca="false">IF($A2533="","",IF(Setup!$B$6=1,YEAR($A2533),YEAR($A2533)+IF(MONTH($A2533)&gt;=Setup!$B$6,1,0)))</f>
        <v/>
      </c>
      <c r="K2533" s="35" t="str">
        <f aca="false">IF($A2533="","",MOD(MONTH($A2533)-Setup!$B$6+12,12)+1)</f>
        <v/>
      </c>
      <c r="L2533" s="36" t="str">
        <f aca="false">IF($A2533="","",TEXT($A2533,"MMM-YY"))</f>
        <v/>
      </c>
      <c r="M2533" s="37" t="str">
        <f aca="false">IF($A2533="","",IF($Q2533=0,"UNMAPPED",INDEX(COA_Mapping!$C$7:$C$256,$Q2533)))</f>
        <v/>
      </c>
      <c r="N2533" s="38" t="str">
        <f aca="false">IF($A2533="","",IF($Q2533=0,"",INDEX(COA_Mapping!$E$7:$E$256,$Q2533)))</f>
        <v/>
      </c>
      <c r="O2533" s="38" t="n">
        <f aca="false">IF($A2533="",1,IF($Q2533=0,1,INDEX(COA_Mapping!$F$7:$F$256,$Q2533)))</f>
        <v>1</v>
      </c>
      <c r="P2533" s="34" t="str">
        <f aca="false">IF($A2533="","",$I2533*$O2533)</f>
        <v/>
      </c>
      <c r="Q2533" s="39" t="n">
        <f aca="false">IF($B2533="",0,IFERROR(MATCH($B2533,COA_Mapping!$A$7:$A$256,0),0))</f>
        <v>0</v>
      </c>
      <c r="R2533" s="39" t="n">
        <f aca="false">IF($A2533="",-1,IF($J2533=Setup!$B$7,1,IF($J2533=Setup!$B$9,0,-1)))</f>
        <v>-1</v>
      </c>
      <c r="S2533" s="35" t="n">
        <f aca="false">IF(OR($A2533="",$Q2533=0,$R2533=-1),0,$Q2533*1000+$R2533*100+$K2533)</f>
        <v>0</v>
      </c>
      <c r="T2533" s="37" t="str">
        <f aca="false">IF($A2533="","",IF($B2533="","NO ACCOUNT",IF($Q2533=0,"UNMAPPED",IF($R2533=-1,"OUTSIDE FY RANGE","OK"))))</f>
        <v/>
      </c>
      <c r="U2533" s="40" t="str">
        <f aca="false">IF($A2533="","",$B2533&amp;"|"&amp;TEXT($A2533,"yyyymmdd")&amp;"|"&amp;TEXT($I2533,"0.00"))</f>
        <v/>
      </c>
      <c r="V2533" s="35" t="str">
        <f aca="false">IF($A2533="","",COUNTIF($U$8:$U$5007,$U2533))</f>
        <v/>
      </c>
    </row>
    <row r="2534" customFormat="false" ht="15" hidden="false" customHeight="false" outlineLevel="0" collapsed="false">
      <c r="A2534" s="31"/>
      <c r="B2534" s="32"/>
      <c r="C2534" s="32"/>
      <c r="D2534" s="32"/>
      <c r="E2534" s="32"/>
      <c r="F2534" s="32"/>
      <c r="G2534" s="33"/>
      <c r="H2534" s="33"/>
      <c r="I2534" s="34" t="str">
        <f aca="false">IF($A2534="","",$G2534-$H2534)</f>
        <v/>
      </c>
      <c r="J2534" s="35" t="str">
        <f aca="false">IF($A2534="","",IF(Setup!$B$6=1,YEAR($A2534),YEAR($A2534)+IF(MONTH($A2534)&gt;=Setup!$B$6,1,0)))</f>
        <v/>
      </c>
      <c r="K2534" s="35" t="str">
        <f aca="false">IF($A2534="","",MOD(MONTH($A2534)-Setup!$B$6+12,12)+1)</f>
        <v/>
      </c>
      <c r="L2534" s="36" t="str">
        <f aca="false">IF($A2534="","",TEXT($A2534,"MMM-YY"))</f>
        <v/>
      </c>
      <c r="M2534" s="37" t="str">
        <f aca="false">IF($A2534="","",IF($Q2534=0,"UNMAPPED",INDEX(COA_Mapping!$C$7:$C$256,$Q2534)))</f>
        <v/>
      </c>
      <c r="N2534" s="38" t="str">
        <f aca="false">IF($A2534="","",IF($Q2534=0,"",INDEX(COA_Mapping!$E$7:$E$256,$Q2534)))</f>
        <v/>
      </c>
      <c r="O2534" s="38" t="n">
        <f aca="false">IF($A2534="",1,IF($Q2534=0,1,INDEX(COA_Mapping!$F$7:$F$256,$Q2534)))</f>
        <v>1</v>
      </c>
      <c r="P2534" s="34" t="str">
        <f aca="false">IF($A2534="","",$I2534*$O2534)</f>
        <v/>
      </c>
      <c r="Q2534" s="39" t="n">
        <f aca="false">IF($B2534="",0,IFERROR(MATCH($B2534,COA_Mapping!$A$7:$A$256,0),0))</f>
        <v>0</v>
      </c>
      <c r="R2534" s="39" t="n">
        <f aca="false">IF($A2534="",-1,IF($J2534=Setup!$B$7,1,IF($J2534=Setup!$B$9,0,-1)))</f>
        <v>-1</v>
      </c>
      <c r="S2534" s="35" t="n">
        <f aca="false">IF(OR($A2534="",$Q2534=0,$R2534=-1),0,$Q2534*1000+$R2534*100+$K2534)</f>
        <v>0</v>
      </c>
      <c r="T2534" s="37" t="str">
        <f aca="false">IF($A2534="","",IF($B2534="","NO ACCOUNT",IF($Q2534=0,"UNMAPPED",IF($R2534=-1,"OUTSIDE FY RANGE","OK"))))</f>
        <v/>
      </c>
      <c r="U2534" s="40" t="str">
        <f aca="false">IF($A2534="","",$B2534&amp;"|"&amp;TEXT($A2534,"yyyymmdd")&amp;"|"&amp;TEXT($I2534,"0.00"))</f>
        <v/>
      </c>
      <c r="V2534" s="35" t="str">
        <f aca="false">IF($A2534="","",COUNTIF($U$8:$U$5007,$U2534))</f>
        <v/>
      </c>
    </row>
    <row r="2535" customFormat="false" ht="15" hidden="false" customHeight="false" outlineLevel="0" collapsed="false">
      <c r="A2535" s="31"/>
      <c r="B2535" s="32"/>
      <c r="C2535" s="32"/>
      <c r="D2535" s="32"/>
      <c r="E2535" s="32"/>
      <c r="F2535" s="32"/>
      <c r="G2535" s="33"/>
      <c r="H2535" s="33"/>
      <c r="I2535" s="34" t="str">
        <f aca="false">IF($A2535="","",$G2535-$H2535)</f>
        <v/>
      </c>
      <c r="J2535" s="35" t="str">
        <f aca="false">IF($A2535="","",IF(Setup!$B$6=1,YEAR($A2535),YEAR($A2535)+IF(MONTH($A2535)&gt;=Setup!$B$6,1,0)))</f>
        <v/>
      </c>
      <c r="K2535" s="35" t="str">
        <f aca="false">IF($A2535="","",MOD(MONTH($A2535)-Setup!$B$6+12,12)+1)</f>
        <v/>
      </c>
      <c r="L2535" s="36" t="str">
        <f aca="false">IF($A2535="","",TEXT($A2535,"MMM-YY"))</f>
        <v/>
      </c>
      <c r="M2535" s="37" t="str">
        <f aca="false">IF($A2535="","",IF($Q2535=0,"UNMAPPED",INDEX(COA_Mapping!$C$7:$C$256,$Q2535)))</f>
        <v/>
      </c>
      <c r="N2535" s="38" t="str">
        <f aca="false">IF($A2535="","",IF($Q2535=0,"",INDEX(COA_Mapping!$E$7:$E$256,$Q2535)))</f>
        <v/>
      </c>
      <c r="O2535" s="38" t="n">
        <f aca="false">IF($A2535="",1,IF($Q2535=0,1,INDEX(COA_Mapping!$F$7:$F$256,$Q2535)))</f>
        <v>1</v>
      </c>
      <c r="P2535" s="34" t="str">
        <f aca="false">IF($A2535="","",$I2535*$O2535)</f>
        <v/>
      </c>
      <c r="Q2535" s="39" t="n">
        <f aca="false">IF($B2535="",0,IFERROR(MATCH($B2535,COA_Mapping!$A$7:$A$256,0),0))</f>
        <v>0</v>
      </c>
      <c r="R2535" s="39" t="n">
        <f aca="false">IF($A2535="",-1,IF($J2535=Setup!$B$7,1,IF($J2535=Setup!$B$9,0,-1)))</f>
        <v>-1</v>
      </c>
      <c r="S2535" s="35" t="n">
        <f aca="false">IF(OR($A2535="",$Q2535=0,$R2535=-1),0,$Q2535*1000+$R2535*100+$K2535)</f>
        <v>0</v>
      </c>
      <c r="T2535" s="37" t="str">
        <f aca="false">IF($A2535="","",IF($B2535="","NO ACCOUNT",IF($Q2535=0,"UNMAPPED",IF($R2535=-1,"OUTSIDE FY RANGE","OK"))))</f>
        <v/>
      </c>
      <c r="U2535" s="40" t="str">
        <f aca="false">IF($A2535="","",$B2535&amp;"|"&amp;TEXT($A2535,"yyyymmdd")&amp;"|"&amp;TEXT($I2535,"0.00"))</f>
        <v/>
      </c>
      <c r="V2535" s="35" t="str">
        <f aca="false">IF($A2535="","",COUNTIF($U$8:$U$5007,$U2535))</f>
        <v/>
      </c>
    </row>
    <row r="2536" customFormat="false" ht="15" hidden="false" customHeight="false" outlineLevel="0" collapsed="false">
      <c r="A2536" s="31"/>
      <c r="B2536" s="32"/>
      <c r="C2536" s="32"/>
      <c r="D2536" s="32"/>
      <c r="E2536" s="32"/>
      <c r="F2536" s="32"/>
      <c r="G2536" s="33"/>
      <c r="H2536" s="33"/>
      <c r="I2536" s="34" t="str">
        <f aca="false">IF($A2536="","",$G2536-$H2536)</f>
        <v/>
      </c>
      <c r="J2536" s="35" t="str">
        <f aca="false">IF($A2536="","",IF(Setup!$B$6=1,YEAR($A2536),YEAR($A2536)+IF(MONTH($A2536)&gt;=Setup!$B$6,1,0)))</f>
        <v/>
      </c>
      <c r="K2536" s="35" t="str">
        <f aca="false">IF($A2536="","",MOD(MONTH($A2536)-Setup!$B$6+12,12)+1)</f>
        <v/>
      </c>
      <c r="L2536" s="36" t="str">
        <f aca="false">IF($A2536="","",TEXT($A2536,"MMM-YY"))</f>
        <v/>
      </c>
      <c r="M2536" s="37" t="str">
        <f aca="false">IF($A2536="","",IF($Q2536=0,"UNMAPPED",INDEX(COA_Mapping!$C$7:$C$256,$Q2536)))</f>
        <v/>
      </c>
      <c r="N2536" s="38" t="str">
        <f aca="false">IF($A2536="","",IF($Q2536=0,"",INDEX(COA_Mapping!$E$7:$E$256,$Q2536)))</f>
        <v/>
      </c>
      <c r="O2536" s="38" t="n">
        <f aca="false">IF($A2536="",1,IF($Q2536=0,1,INDEX(COA_Mapping!$F$7:$F$256,$Q2536)))</f>
        <v>1</v>
      </c>
      <c r="P2536" s="34" t="str">
        <f aca="false">IF($A2536="","",$I2536*$O2536)</f>
        <v/>
      </c>
      <c r="Q2536" s="39" t="n">
        <f aca="false">IF($B2536="",0,IFERROR(MATCH($B2536,COA_Mapping!$A$7:$A$256,0),0))</f>
        <v>0</v>
      </c>
      <c r="R2536" s="39" t="n">
        <f aca="false">IF($A2536="",-1,IF($J2536=Setup!$B$7,1,IF($J2536=Setup!$B$9,0,-1)))</f>
        <v>-1</v>
      </c>
      <c r="S2536" s="35" t="n">
        <f aca="false">IF(OR($A2536="",$Q2536=0,$R2536=-1),0,$Q2536*1000+$R2536*100+$K2536)</f>
        <v>0</v>
      </c>
      <c r="T2536" s="37" t="str">
        <f aca="false">IF($A2536="","",IF($B2536="","NO ACCOUNT",IF($Q2536=0,"UNMAPPED",IF($R2536=-1,"OUTSIDE FY RANGE","OK"))))</f>
        <v/>
      </c>
      <c r="U2536" s="40" t="str">
        <f aca="false">IF($A2536="","",$B2536&amp;"|"&amp;TEXT($A2536,"yyyymmdd")&amp;"|"&amp;TEXT($I2536,"0.00"))</f>
        <v/>
      </c>
      <c r="V2536" s="35" t="str">
        <f aca="false">IF($A2536="","",COUNTIF($U$8:$U$5007,$U2536))</f>
        <v/>
      </c>
    </row>
    <row r="2537" customFormat="false" ht="15" hidden="false" customHeight="false" outlineLevel="0" collapsed="false">
      <c r="A2537" s="31"/>
      <c r="B2537" s="32"/>
      <c r="C2537" s="32"/>
      <c r="D2537" s="32"/>
      <c r="E2537" s="32"/>
      <c r="F2537" s="32"/>
      <c r="G2537" s="33"/>
      <c r="H2537" s="33"/>
      <c r="I2537" s="34" t="str">
        <f aca="false">IF($A2537="","",$G2537-$H2537)</f>
        <v/>
      </c>
      <c r="J2537" s="35" t="str">
        <f aca="false">IF($A2537="","",IF(Setup!$B$6=1,YEAR($A2537),YEAR($A2537)+IF(MONTH($A2537)&gt;=Setup!$B$6,1,0)))</f>
        <v/>
      </c>
      <c r="K2537" s="35" t="str">
        <f aca="false">IF($A2537="","",MOD(MONTH($A2537)-Setup!$B$6+12,12)+1)</f>
        <v/>
      </c>
      <c r="L2537" s="36" t="str">
        <f aca="false">IF($A2537="","",TEXT($A2537,"MMM-YY"))</f>
        <v/>
      </c>
      <c r="M2537" s="37" t="str">
        <f aca="false">IF($A2537="","",IF($Q2537=0,"UNMAPPED",INDEX(COA_Mapping!$C$7:$C$256,$Q2537)))</f>
        <v/>
      </c>
      <c r="N2537" s="38" t="str">
        <f aca="false">IF($A2537="","",IF($Q2537=0,"",INDEX(COA_Mapping!$E$7:$E$256,$Q2537)))</f>
        <v/>
      </c>
      <c r="O2537" s="38" t="n">
        <f aca="false">IF($A2537="",1,IF($Q2537=0,1,INDEX(COA_Mapping!$F$7:$F$256,$Q2537)))</f>
        <v>1</v>
      </c>
      <c r="P2537" s="34" t="str">
        <f aca="false">IF($A2537="","",$I2537*$O2537)</f>
        <v/>
      </c>
      <c r="Q2537" s="39" t="n">
        <f aca="false">IF($B2537="",0,IFERROR(MATCH($B2537,COA_Mapping!$A$7:$A$256,0),0))</f>
        <v>0</v>
      </c>
      <c r="R2537" s="39" t="n">
        <f aca="false">IF($A2537="",-1,IF($J2537=Setup!$B$7,1,IF($J2537=Setup!$B$9,0,-1)))</f>
        <v>-1</v>
      </c>
      <c r="S2537" s="35" t="n">
        <f aca="false">IF(OR($A2537="",$Q2537=0,$R2537=-1),0,$Q2537*1000+$R2537*100+$K2537)</f>
        <v>0</v>
      </c>
      <c r="T2537" s="37" t="str">
        <f aca="false">IF($A2537="","",IF($B2537="","NO ACCOUNT",IF($Q2537=0,"UNMAPPED",IF($R2537=-1,"OUTSIDE FY RANGE","OK"))))</f>
        <v/>
      </c>
      <c r="U2537" s="40" t="str">
        <f aca="false">IF($A2537="","",$B2537&amp;"|"&amp;TEXT($A2537,"yyyymmdd")&amp;"|"&amp;TEXT($I2537,"0.00"))</f>
        <v/>
      </c>
      <c r="V2537" s="35" t="str">
        <f aca="false">IF($A2537="","",COUNTIF($U$8:$U$5007,$U2537))</f>
        <v/>
      </c>
    </row>
    <row r="2538" customFormat="false" ht="15" hidden="false" customHeight="false" outlineLevel="0" collapsed="false">
      <c r="A2538" s="31"/>
      <c r="B2538" s="32"/>
      <c r="C2538" s="32"/>
      <c r="D2538" s="32"/>
      <c r="E2538" s="32"/>
      <c r="F2538" s="32"/>
      <c r="G2538" s="33"/>
      <c r="H2538" s="33"/>
      <c r="I2538" s="34" t="str">
        <f aca="false">IF($A2538="","",$G2538-$H2538)</f>
        <v/>
      </c>
      <c r="J2538" s="35" t="str">
        <f aca="false">IF($A2538="","",IF(Setup!$B$6=1,YEAR($A2538),YEAR($A2538)+IF(MONTH($A2538)&gt;=Setup!$B$6,1,0)))</f>
        <v/>
      </c>
      <c r="K2538" s="35" t="str">
        <f aca="false">IF($A2538="","",MOD(MONTH($A2538)-Setup!$B$6+12,12)+1)</f>
        <v/>
      </c>
      <c r="L2538" s="36" t="str">
        <f aca="false">IF($A2538="","",TEXT($A2538,"MMM-YY"))</f>
        <v/>
      </c>
      <c r="M2538" s="37" t="str">
        <f aca="false">IF($A2538="","",IF($Q2538=0,"UNMAPPED",INDEX(COA_Mapping!$C$7:$C$256,$Q2538)))</f>
        <v/>
      </c>
      <c r="N2538" s="38" t="str">
        <f aca="false">IF($A2538="","",IF($Q2538=0,"",INDEX(COA_Mapping!$E$7:$E$256,$Q2538)))</f>
        <v/>
      </c>
      <c r="O2538" s="38" t="n">
        <f aca="false">IF($A2538="",1,IF($Q2538=0,1,INDEX(COA_Mapping!$F$7:$F$256,$Q2538)))</f>
        <v>1</v>
      </c>
      <c r="P2538" s="34" t="str">
        <f aca="false">IF($A2538="","",$I2538*$O2538)</f>
        <v/>
      </c>
      <c r="Q2538" s="39" t="n">
        <f aca="false">IF($B2538="",0,IFERROR(MATCH($B2538,COA_Mapping!$A$7:$A$256,0),0))</f>
        <v>0</v>
      </c>
      <c r="R2538" s="39" t="n">
        <f aca="false">IF($A2538="",-1,IF($J2538=Setup!$B$7,1,IF($J2538=Setup!$B$9,0,-1)))</f>
        <v>-1</v>
      </c>
      <c r="S2538" s="35" t="n">
        <f aca="false">IF(OR($A2538="",$Q2538=0,$R2538=-1),0,$Q2538*1000+$R2538*100+$K2538)</f>
        <v>0</v>
      </c>
      <c r="T2538" s="37" t="str">
        <f aca="false">IF($A2538="","",IF($B2538="","NO ACCOUNT",IF($Q2538=0,"UNMAPPED",IF($R2538=-1,"OUTSIDE FY RANGE","OK"))))</f>
        <v/>
      </c>
      <c r="U2538" s="40" t="str">
        <f aca="false">IF($A2538="","",$B2538&amp;"|"&amp;TEXT($A2538,"yyyymmdd")&amp;"|"&amp;TEXT($I2538,"0.00"))</f>
        <v/>
      </c>
      <c r="V2538" s="35" t="str">
        <f aca="false">IF($A2538="","",COUNTIF($U$8:$U$5007,$U2538))</f>
        <v/>
      </c>
    </row>
    <row r="2539" customFormat="false" ht="15" hidden="false" customHeight="false" outlineLevel="0" collapsed="false">
      <c r="A2539" s="31"/>
      <c r="B2539" s="32"/>
      <c r="C2539" s="32"/>
      <c r="D2539" s="32"/>
      <c r="E2539" s="32"/>
      <c r="F2539" s="32"/>
      <c r="G2539" s="33"/>
      <c r="H2539" s="33"/>
      <c r="I2539" s="34" t="str">
        <f aca="false">IF($A2539="","",$G2539-$H2539)</f>
        <v/>
      </c>
      <c r="J2539" s="35" t="str">
        <f aca="false">IF($A2539="","",IF(Setup!$B$6=1,YEAR($A2539),YEAR($A2539)+IF(MONTH($A2539)&gt;=Setup!$B$6,1,0)))</f>
        <v/>
      </c>
      <c r="K2539" s="35" t="str">
        <f aca="false">IF($A2539="","",MOD(MONTH($A2539)-Setup!$B$6+12,12)+1)</f>
        <v/>
      </c>
      <c r="L2539" s="36" t="str">
        <f aca="false">IF($A2539="","",TEXT($A2539,"MMM-YY"))</f>
        <v/>
      </c>
      <c r="M2539" s="37" t="str">
        <f aca="false">IF($A2539="","",IF($Q2539=0,"UNMAPPED",INDEX(COA_Mapping!$C$7:$C$256,$Q2539)))</f>
        <v/>
      </c>
      <c r="N2539" s="38" t="str">
        <f aca="false">IF($A2539="","",IF($Q2539=0,"",INDEX(COA_Mapping!$E$7:$E$256,$Q2539)))</f>
        <v/>
      </c>
      <c r="O2539" s="38" t="n">
        <f aca="false">IF($A2539="",1,IF($Q2539=0,1,INDEX(COA_Mapping!$F$7:$F$256,$Q2539)))</f>
        <v>1</v>
      </c>
      <c r="P2539" s="34" t="str">
        <f aca="false">IF($A2539="","",$I2539*$O2539)</f>
        <v/>
      </c>
      <c r="Q2539" s="39" t="n">
        <f aca="false">IF($B2539="",0,IFERROR(MATCH($B2539,COA_Mapping!$A$7:$A$256,0),0))</f>
        <v>0</v>
      </c>
      <c r="R2539" s="39" t="n">
        <f aca="false">IF($A2539="",-1,IF($J2539=Setup!$B$7,1,IF($J2539=Setup!$B$9,0,-1)))</f>
        <v>-1</v>
      </c>
      <c r="S2539" s="35" t="n">
        <f aca="false">IF(OR($A2539="",$Q2539=0,$R2539=-1),0,$Q2539*1000+$R2539*100+$K2539)</f>
        <v>0</v>
      </c>
      <c r="T2539" s="37" t="str">
        <f aca="false">IF($A2539="","",IF($B2539="","NO ACCOUNT",IF($Q2539=0,"UNMAPPED",IF($R2539=-1,"OUTSIDE FY RANGE","OK"))))</f>
        <v/>
      </c>
      <c r="U2539" s="40" t="str">
        <f aca="false">IF($A2539="","",$B2539&amp;"|"&amp;TEXT($A2539,"yyyymmdd")&amp;"|"&amp;TEXT($I2539,"0.00"))</f>
        <v/>
      </c>
      <c r="V2539" s="35" t="str">
        <f aca="false">IF($A2539="","",COUNTIF($U$8:$U$5007,$U2539))</f>
        <v/>
      </c>
    </row>
    <row r="2540" customFormat="false" ht="15" hidden="false" customHeight="false" outlineLevel="0" collapsed="false">
      <c r="A2540" s="31"/>
      <c r="B2540" s="32"/>
      <c r="C2540" s="32"/>
      <c r="D2540" s="32"/>
      <c r="E2540" s="32"/>
      <c r="F2540" s="32"/>
      <c r="G2540" s="33"/>
      <c r="H2540" s="33"/>
      <c r="I2540" s="34" t="str">
        <f aca="false">IF($A2540="","",$G2540-$H2540)</f>
        <v/>
      </c>
      <c r="J2540" s="35" t="str">
        <f aca="false">IF($A2540="","",IF(Setup!$B$6=1,YEAR($A2540),YEAR($A2540)+IF(MONTH($A2540)&gt;=Setup!$B$6,1,0)))</f>
        <v/>
      </c>
      <c r="K2540" s="35" t="str">
        <f aca="false">IF($A2540="","",MOD(MONTH($A2540)-Setup!$B$6+12,12)+1)</f>
        <v/>
      </c>
      <c r="L2540" s="36" t="str">
        <f aca="false">IF($A2540="","",TEXT($A2540,"MMM-YY"))</f>
        <v/>
      </c>
      <c r="M2540" s="37" t="str">
        <f aca="false">IF($A2540="","",IF($Q2540=0,"UNMAPPED",INDEX(COA_Mapping!$C$7:$C$256,$Q2540)))</f>
        <v/>
      </c>
      <c r="N2540" s="38" t="str">
        <f aca="false">IF($A2540="","",IF($Q2540=0,"",INDEX(COA_Mapping!$E$7:$E$256,$Q2540)))</f>
        <v/>
      </c>
      <c r="O2540" s="38" t="n">
        <f aca="false">IF($A2540="",1,IF($Q2540=0,1,INDEX(COA_Mapping!$F$7:$F$256,$Q2540)))</f>
        <v>1</v>
      </c>
      <c r="P2540" s="34" t="str">
        <f aca="false">IF($A2540="","",$I2540*$O2540)</f>
        <v/>
      </c>
      <c r="Q2540" s="39" t="n">
        <f aca="false">IF($B2540="",0,IFERROR(MATCH($B2540,COA_Mapping!$A$7:$A$256,0),0))</f>
        <v>0</v>
      </c>
      <c r="R2540" s="39" t="n">
        <f aca="false">IF($A2540="",-1,IF($J2540=Setup!$B$7,1,IF($J2540=Setup!$B$9,0,-1)))</f>
        <v>-1</v>
      </c>
      <c r="S2540" s="35" t="n">
        <f aca="false">IF(OR($A2540="",$Q2540=0,$R2540=-1),0,$Q2540*1000+$R2540*100+$K2540)</f>
        <v>0</v>
      </c>
      <c r="T2540" s="37" t="str">
        <f aca="false">IF($A2540="","",IF($B2540="","NO ACCOUNT",IF($Q2540=0,"UNMAPPED",IF($R2540=-1,"OUTSIDE FY RANGE","OK"))))</f>
        <v/>
      </c>
      <c r="U2540" s="40" t="str">
        <f aca="false">IF($A2540="","",$B2540&amp;"|"&amp;TEXT($A2540,"yyyymmdd")&amp;"|"&amp;TEXT($I2540,"0.00"))</f>
        <v/>
      </c>
      <c r="V2540" s="35" t="str">
        <f aca="false">IF($A2540="","",COUNTIF($U$8:$U$5007,$U2540))</f>
        <v/>
      </c>
    </row>
    <row r="2541" customFormat="false" ht="15" hidden="false" customHeight="false" outlineLevel="0" collapsed="false">
      <c r="A2541" s="31"/>
      <c r="B2541" s="32"/>
      <c r="C2541" s="32"/>
      <c r="D2541" s="32"/>
      <c r="E2541" s="32"/>
      <c r="F2541" s="32"/>
      <c r="G2541" s="33"/>
      <c r="H2541" s="33"/>
      <c r="I2541" s="34" t="str">
        <f aca="false">IF($A2541="","",$G2541-$H2541)</f>
        <v/>
      </c>
      <c r="J2541" s="35" t="str">
        <f aca="false">IF($A2541="","",IF(Setup!$B$6=1,YEAR($A2541),YEAR($A2541)+IF(MONTH($A2541)&gt;=Setup!$B$6,1,0)))</f>
        <v/>
      </c>
      <c r="K2541" s="35" t="str">
        <f aca="false">IF($A2541="","",MOD(MONTH($A2541)-Setup!$B$6+12,12)+1)</f>
        <v/>
      </c>
      <c r="L2541" s="36" t="str">
        <f aca="false">IF($A2541="","",TEXT($A2541,"MMM-YY"))</f>
        <v/>
      </c>
      <c r="M2541" s="37" t="str">
        <f aca="false">IF($A2541="","",IF($Q2541=0,"UNMAPPED",INDEX(COA_Mapping!$C$7:$C$256,$Q2541)))</f>
        <v/>
      </c>
      <c r="N2541" s="38" t="str">
        <f aca="false">IF($A2541="","",IF($Q2541=0,"",INDEX(COA_Mapping!$E$7:$E$256,$Q2541)))</f>
        <v/>
      </c>
      <c r="O2541" s="38" t="n">
        <f aca="false">IF($A2541="",1,IF($Q2541=0,1,INDEX(COA_Mapping!$F$7:$F$256,$Q2541)))</f>
        <v>1</v>
      </c>
      <c r="P2541" s="34" t="str">
        <f aca="false">IF($A2541="","",$I2541*$O2541)</f>
        <v/>
      </c>
      <c r="Q2541" s="39" t="n">
        <f aca="false">IF($B2541="",0,IFERROR(MATCH($B2541,COA_Mapping!$A$7:$A$256,0),0))</f>
        <v>0</v>
      </c>
      <c r="R2541" s="39" t="n">
        <f aca="false">IF($A2541="",-1,IF($J2541=Setup!$B$7,1,IF($J2541=Setup!$B$9,0,-1)))</f>
        <v>-1</v>
      </c>
      <c r="S2541" s="35" t="n">
        <f aca="false">IF(OR($A2541="",$Q2541=0,$R2541=-1),0,$Q2541*1000+$R2541*100+$K2541)</f>
        <v>0</v>
      </c>
      <c r="T2541" s="37" t="str">
        <f aca="false">IF($A2541="","",IF($B2541="","NO ACCOUNT",IF($Q2541=0,"UNMAPPED",IF($R2541=-1,"OUTSIDE FY RANGE","OK"))))</f>
        <v/>
      </c>
      <c r="U2541" s="40" t="str">
        <f aca="false">IF($A2541="","",$B2541&amp;"|"&amp;TEXT($A2541,"yyyymmdd")&amp;"|"&amp;TEXT($I2541,"0.00"))</f>
        <v/>
      </c>
      <c r="V2541" s="35" t="str">
        <f aca="false">IF($A2541="","",COUNTIF($U$8:$U$5007,$U2541))</f>
        <v/>
      </c>
    </row>
    <row r="2542" customFormat="false" ht="15" hidden="false" customHeight="false" outlineLevel="0" collapsed="false">
      <c r="A2542" s="31"/>
      <c r="B2542" s="32"/>
      <c r="C2542" s="32"/>
      <c r="D2542" s="32"/>
      <c r="E2542" s="32"/>
      <c r="F2542" s="32"/>
      <c r="G2542" s="33"/>
      <c r="H2542" s="33"/>
      <c r="I2542" s="34" t="str">
        <f aca="false">IF($A2542="","",$G2542-$H2542)</f>
        <v/>
      </c>
      <c r="J2542" s="35" t="str">
        <f aca="false">IF($A2542="","",IF(Setup!$B$6=1,YEAR($A2542),YEAR($A2542)+IF(MONTH($A2542)&gt;=Setup!$B$6,1,0)))</f>
        <v/>
      </c>
      <c r="K2542" s="35" t="str">
        <f aca="false">IF($A2542="","",MOD(MONTH($A2542)-Setup!$B$6+12,12)+1)</f>
        <v/>
      </c>
      <c r="L2542" s="36" t="str">
        <f aca="false">IF($A2542="","",TEXT($A2542,"MMM-YY"))</f>
        <v/>
      </c>
      <c r="M2542" s="37" t="str">
        <f aca="false">IF($A2542="","",IF($Q2542=0,"UNMAPPED",INDEX(COA_Mapping!$C$7:$C$256,$Q2542)))</f>
        <v/>
      </c>
      <c r="N2542" s="38" t="str">
        <f aca="false">IF($A2542="","",IF($Q2542=0,"",INDEX(COA_Mapping!$E$7:$E$256,$Q2542)))</f>
        <v/>
      </c>
      <c r="O2542" s="38" t="n">
        <f aca="false">IF($A2542="",1,IF($Q2542=0,1,INDEX(COA_Mapping!$F$7:$F$256,$Q2542)))</f>
        <v>1</v>
      </c>
      <c r="P2542" s="34" t="str">
        <f aca="false">IF($A2542="","",$I2542*$O2542)</f>
        <v/>
      </c>
      <c r="Q2542" s="39" t="n">
        <f aca="false">IF($B2542="",0,IFERROR(MATCH($B2542,COA_Mapping!$A$7:$A$256,0),0))</f>
        <v>0</v>
      </c>
      <c r="R2542" s="39" t="n">
        <f aca="false">IF($A2542="",-1,IF($J2542=Setup!$B$7,1,IF($J2542=Setup!$B$9,0,-1)))</f>
        <v>-1</v>
      </c>
      <c r="S2542" s="35" t="n">
        <f aca="false">IF(OR($A2542="",$Q2542=0,$R2542=-1),0,$Q2542*1000+$R2542*100+$K2542)</f>
        <v>0</v>
      </c>
      <c r="T2542" s="37" t="str">
        <f aca="false">IF($A2542="","",IF($B2542="","NO ACCOUNT",IF($Q2542=0,"UNMAPPED",IF($R2542=-1,"OUTSIDE FY RANGE","OK"))))</f>
        <v/>
      </c>
      <c r="U2542" s="40" t="str">
        <f aca="false">IF($A2542="","",$B2542&amp;"|"&amp;TEXT($A2542,"yyyymmdd")&amp;"|"&amp;TEXT($I2542,"0.00"))</f>
        <v/>
      </c>
      <c r="V2542" s="35" t="str">
        <f aca="false">IF($A2542="","",COUNTIF($U$8:$U$5007,$U2542))</f>
        <v/>
      </c>
    </row>
    <row r="2543" customFormat="false" ht="15" hidden="false" customHeight="false" outlineLevel="0" collapsed="false">
      <c r="A2543" s="31"/>
      <c r="B2543" s="32"/>
      <c r="C2543" s="32"/>
      <c r="D2543" s="32"/>
      <c r="E2543" s="32"/>
      <c r="F2543" s="32"/>
      <c r="G2543" s="33"/>
      <c r="H2543" s="33"/>
      <c r="I2543" s="34" t="str">
        <f aca="false">IF($A2543="","",$G2543-$H2543)</f>
        <v/>
      </c>
      <c r="J2543" s="35" t="str">
        <f aca="false">IF($A2543="","",IF(Setup!$B$6=1,YEAR($A2543),YEAR($A2543)+IF(MONTH($A2543)&gt;=Setup!$B$6,1,0)))</f>
        <v/>
      </c>
      <c r="K2543" s="35" t="str">
        <f aca="false">IF($A2543="","",MOD(MONTH($A2543)-Setup!$B$6+12,12)+1)</f>
        <v/>
      </c>
      <c r="L2543" s="36" t="str">
        <f aca="false">IF($A2543="","",TEXT($A2543,"MMM-YY"))</f>
        <v/>
      </c>
      <c r="M2543" s="37" t="str">
        <f aca="false">IF($A2543="","",IF($Q2543=0,"UNMAPPED",INDEX(COA_Mapping!$C$7:$C$256,$Q2543)))</f>
        <v/>
      </c>
      <c r="N2543" s="38" t="str">
        <f aca="false">IF($A2543="","",IF($Q2543=0,"",INDEX(COA_Mapping!$E$7:$E$256,$Q2543)))</f>
        <v/>
      </c>
      <c r="O2543" s="38" t="n">
        <f aca="false">IF($A2543="",1,IF($Q2543=0,1,INDEX(COA_Mapping!$F$7:$F$256,$Q2543)))</f>
        <v>1</v>
      </c>
      <c r="P2543" s="34" t="str">
        <f aca="false">IF($A2543="","",$I2543*$O2543)</f>
        <v/>
      </c>
      <c r="Q2543" s="39" t="n">
        <f aca="false">IF($B2543="",0,IFERROR(MATCH($B2543,COA_Mapping!$A$7:$A$256,0),0))</f>
        <v>0</v>
      </c>
      <c r="R2543" s="39" t="n">
        <f aca="false">IF($A2543="",-1,IF($J2543=Setup!$B$7,1,IF($J2543=Setup!$B$9,0,-1)))</f>
        <v>-1</v>
      </c>
      <c r="S2543" s="35" t="n">
        <f aca="false">IF(OR($A2543="",$Q2543=0,$R2543=-1),0,$Q2543*1000+$R2543*100+$K2543)</f>
        <v>0</v>
      </c>
      <c r="T2543" s="37" t="str">
        <f aca="false">IF($A2543="","",IF($B2543="","NO ACCOUNT",IF($Q2543=0,"UNMAPPED",IF($R2543=-1,"OUTSIDE FY RANGE","OK"))))</f>
        <v/>
      </c>
      <c r="U2543" s="40" t="str">
        <f aca="false">IF($A2543="","",$B2543&amp;"|"&amp;TEXT($A2543,"yyyymmdd")&amp;"|"&amp;TEXT($I2543,"0.00"))</f>
        <v/>
      </c>
      <c r="V2543" s="35" t="str">
        <f aca="false">IF($A2543="","",COUNTIF($U$8:$U$5007,$U2543))</f>
        <v/>
      </c>
    </row>
    <row r="2544" customFormat="false" ht="15" hidden="false" customHeight="false" outlineLevel="0" collapsed="false">
      <c r="A2544" s="31"/>
      <c r="B2544" s="32"/>
      <c r="C2544" s="32"/>
      <c r="D2544" s="32"/>
      <c r="E2544" s="32"/>
      <c r="F2544" s="32"/>
      <c r="G2544" s="33"/>
      <c r="H2544" s="33"/>
      <c r="I2544" s="34" t="str">
        <f aca="false">IF($A2544="","",$G2544-$H2544)</f>
        <v/>
      </c>
      <c r="J2544" s="35" t="str">
        <f aca="false">IF($A2544="","",IF(Setup!$B$6=1,YEAR($A2544),YEAR($A2544)+IF(MONTH($A2544)&gt;=Setup!$B$6,1,0)))</f>
        <v/>
      </c>
      <c r="K2544" s="35" t="str">
        <f aca="false">IF($A2544="","",MOD(MONTH($A2544)-Setup!$B$6+12,12)+1)</f>
        <v/>
      </c>
      <c r="L2544" s="36" t="str">
        <f aca="false">IF($A2544="","",TEXT($A2544,"MMM-YY"))</f>
        <v/>
      </c>
      <c r="M2544" s="37" t="str">
        <f aca="false">IF($A2544="","",IF($Q2544=0,"UNMAPPED",INDEX(COA_Mapping!$C$7:$C$256,$Q2544)))</f>
        <v/>
      </c>
      <c r="N2544" s="38" t="str">
        <f aca="false">IF($A2544="","",IF($Q2544=0,"",INDEX(COA_Mapping!$E$7:$E$256,$Q2544)))</f>
        <v/>
      </c>
      <c r="O2544" s="38" t="n">
        <f aca="false">IF($A2544="",1,IF($Q2544=0,1,INDEX(COA_Mapping!$F$7:$F$256,$Q2544)))</f>
        <v>1</v>
      </c>
      <c r="P2544" s="34" t="str">
        <f aca="false">IF($A2544="","",$I2544*$O2544)</f>
        <v/>
      </c>
      <c r="Q2544" s="39" t="n">
        <f aca="false">IF($B2544="",0,IFERROR(MATCH($B2544,COA_Mapping!$A$7:$A$256,0),0))</f>
        <v>0</v>
      </c>
      <c r="R2544" s="39" t="n">
        <f aca="false">IF($A2544="",-1,IF($J2544=Setup!$B$7,1,IF($J2544=Setup!$B$9,0,-1)))</f>
        <v>-1</v>
      </c>
      <c r="S2544" s="35" t="n">
        <f aca="false">IF(OR($A2544="",$Q2544=0,$R2544=-1),0,$Q2544*1000+$R2544*100+$K2544)</f>
        <v>0</v>
      </c>
      <c r="T2544" s="37" t="str">
        <f aca="false">IF($A2544="","",IF($B2544="","NO ACCOUNT",IF($Q2544=0,"UNMAPPED",IF($R2544=-1,"OUTSIDE FY RANGE","OK"))))</f>
        <v/>
      </c>
      <c r="U2544" s="40" t="str">
        <f aca="false">IF($A2544="","",$B2544&amp;"|"&amp;TEXT($A2544,"yyyymmdd")&amp;"|"&amp;TEXT($I2544,"0.00"))</f>
        <v/>
      </c>
      <c r="V2544" s="35" t="str">
        <f aca="false">IF($A2544="","",COUNTIF($U$8:$U$5007,$U2544))</f>
        <v/>
      </c>
    </row>
    <row r="2545" customFormat="false" ht="15" hidden="false" customHeight="false" outlineLevel="0" collapsed="false">
      <c r="A2545" s="31"/>
      <c r="B2545" s="32"/>
      <c r="C2545" s="32"/>
      <c r="D2545" s="32"/>
      <c r="E2545" s="32"/>
      <c r="F2545" s="32"/>
      <c r="G2545" s="33"/>
      <c r="H2545" s="33"/>
      <c r="I2545" s="34" t="str">
        <f aca="false">IF($A2545="","",$G2545-$H2545)</f>
        <v/>
      </c>
      <c r="J2545" s="35" t="str">
        <f aca="false">IF($A2545="","",IF(Setup!$B$6=1,YEAR($A2545),YEAR($A2545)+IF(MONTH($A2545)&gt;=Setup!$B$6,1,0)))</f>
        <v/>
      </c>
      <c r="K2545" s="35" t="str">
        <f aca="false">IF($A2545="","",MOD(MONTH($A2545)-Setup!$B$6+12,12)+1)</f>
        <v/>
      </c>
      <c r="L2545" s="36" t="str">
        <f aca="false">IF($A2545="","",TEXT($A2545,"MMM-YY"))</f>
        <v/>
      </c>
      <c r="M2545" s="37" t="str">
        <f aca="false">IF($A2545="","",IF($Q2545=0,"UNMAPPED",INDEX(COA_Mapping!$C$7:$C$256,$Q2545)))</f>
        <v/>
      </c>
      <c r="N2545" s="38" t="str">
        <f aca="false">IF($A2545="","",IF($Q2545=0,"",INDEX(COA_Mapping!$E$7:$E$256,$Q2545)))</f>
        <v/>
      </c>
      <c r="O2545" s="38" t="n">
        <f aca="false">IF($A2545="",1,IF($Q2545=0,1,INDEX(COA_Mapping!$F$7:$F$256,$Q2545)))</f>
        <v>1</v>
      </c>
      <c r="P2545" s="34" t="str">
        <f aca="false">IF($A2545="","",$I2545*$O2545)</f>
        <v/>
      </c>
      <c r="Q2545" s="39" t="n">
        <f aca="false">IF($B2545="",0,IFERROR(MATCH($B2545,COA_Mapping!$A$7:$A$256,0),0))</f>
        <v>0</v>
      </c>
      <c r="R2545" s="39" t="n">
        <f aca="false">IF($A2545="",-1,IF($J2545=Setup!$B$7,1,IF($J2545=Setup!$B$9,0,-1)))</f>
        <v>-1</v>
      </c>
      <c r="S2545" s="35" t="n">
        <f aca="false">IF(OR($A2545="",$Q2545=0,$R2545=-1),0,$Q2545*1000+$R2545*100+$K2545)</f>
        <v>0</v>
      </c>
      <c r="T2545" s="37" t="str">
        <f aca="false">IF($A2545="","",IF($B2545="","NO ACCOUNT",IF($Q2545=0,"UNMAPPED",IF($R2545=-1,"OUTSIDE FY RANGE","OK"))))</f>
        <v/>
      </c>
      <c r="U2545" s="40" t="str">
        <f aca="false">IF($A2545="","",$B2545&amp;"|"&amp;TEXT($A2545,"yyyymmdd")&amp;"|"&amp;TEXT($I2545,"0.00"))</f>
        <v/>
      </c>
      <c r="V2545" s="35" t="str">
        <f aca="false">IF($A2545="","",COUNTIF($U$8:$U$5007,$U2545))</f>
        <v/>
      </c>
    </row>
    <row r="2546" customFormat="false" ht="15" hidden="false" customHeight="false" outlineLevel="0" collapsed="false">
      <c r="A2546" s="31"/>
      <c r="B2546" s="32"/>
      <c r="C2546" s="32"/>
      <c r="D2546" s="32"/>
      <c r="E2546" s="32"/>
      <c r="F2546" s="32"/>
      <c r="G2546" s="33"/>
      <c r="H2546" s="33"/>
      <c r="I2546" s="34" t="str">
        <f aca="false">IF($A2546="","",$G2546-$H2546)</f>
        <v/>
      </c>
      <c r="J2546" s="35" t="str">
        <f aca="false">IF($A2546="","",IF(Setup!$B$6=1,YEAR($A2546),YEAR($A2546)+IF(MONTH($A2546)&gt;=Setup!$B$6,1,0)))</f>
        <v/>
      </c>
      <c r="K2546" s="35" t="str">
        <f aca="false">IF($A2546="","",MOD(MONTH($A2546)-Setup!$B$6+12,12)+1)</f>
        <v/>
      </c>
      <c r="L2546" s="36" t="str">
        <f aca="false">IF($A2546="","",TEXT($A2546,"MMM-YY"))</f>
        <v/>
      </c>
      <c r="M2546" s="37" t="str">
        <f aca="false">IF($A2546="","",IF($Q2546=0,"UNMAPPED",INDEX(COA_Mapping!$C$7:$C$256,$Q2546)))</f>
        <v/>
      </c>
      <c r="N2546" s="38" t="str">
        <f aca="false">IF($A2546="","",IF($Q2546=0,"",INDEX(COA_Mapping!$E$7:$E$256,$Q2546)))</f>
        <v/>
      </c>
      <c r="O2546" s="38" t="n">
        <f aca="false">IF($A2546="",1,IF($Q2546=0,1,INDEX(COA_Mapping!$F$7:$F$256,$Q2546)))</f>
        <v>1</v>
      </c>
      <c r="P2546" s="34" t="str">
        <f aca="false">IF($A2546="","",$I2546*$O2546)</f>
        <v/>
      </c>
      <c r="Q2546" s="39" t="n">
        <f aca="false">IF($B2546="",0,IFERROR(MATCH($B2546,COA_Mapping!$A$7:$A$256,0),0))</f>
        <v>0</v>
      </c>
      <c r="R2546" s="39" t="n">
        <f aca="false">IF($A2546="",-1,IF($J2546=Setup!$B$7,1,IF($J2546=Setup!$B$9,0,-1)))</f>
        <v>-1</v>
      </c>
      <c r="S2546" s="35" t="n">
        <f aca="false">IF(OR($A2546="",$Q2546=0,$R2546=-1),0,$Q2546*1000+$R2546*100+$K2546)</f>
        <v>0</v>
      </c>
      <c r="T2546" s="37" t="str">
        <f aca="false">IF($A2546="","",IF($B2546="","NO ACCOUNT",IF($Q2546=0,"UNMAPPED",IF($R2546=-1,"OUTSIDE FY RANGE","OK"))))</f>
        <v/>
      </c>
      <c r="U2546" s="40" t="str">
        <f aca="false">IF($A2546="","",$B2546&amp;"|"&amp;TEXT($A2546,"yyyymmdd")&amp;"|"&amp;TEXT($I2546,"0.00"))</f>
        <v/>
      </c>
      <c r="V2546" s="35" t="str">
        <f aca="false">IF($A2546="","",COUNTIF($U$8:$U$5007,$U2546))</f>
        <v/>
      </c>
    </row>
    <row r="2547" customFormat="false" ht="15" hidden="false" customHeight="false" outlineLevel="0" collapsed="false">
      <c r="A2547" s="31"/>
      <c r="B2547" s="32"/>
      <c r="C2547" s="32"/>
      <c r="D2547" s="32"/>
      <c r="E2547" s="32"/>
      <c r="F2547" s="32"/>
      <c r="G2547" s="33"/>
      <c r="H2547" s="33"/>
      <c r="I2547" s="34" t="str">
        <f aca="false">IF($A2547="","",$G2547-$H2547)</f>
        <v/>
      </c>
      <c r="J2547" s="35" t="str">
        <f aca="false">IF($A2547="","",IF(Setup!$B$6=1,YEAR($A2547),YEAR($A2547)+IF(MONTH($A2547)&gt;=Setup!$B$6,1,0)))</f>
        <v/>
      </c>
      <c r="K2547" s="35" t="str">
        <f aca="false">IF($A2547="","",MOD(MONTH($A2547)-Setup!$B$6+12,12)+1)</f>
        <v/>
      </c>
      <c r="L2547" s="36" t="str">
        <f aca="false">IF($A2547="","",TEXT($A2547,"MMM-YY"))</f>
        <v/>
      </c>
      <c r="M2547" s="37" t="str">
        <f aca="false">IF($A2547="","",IF($Q2547=0,"UNMAPPED",INDEX(COA_Mapping!$C$7:$C$256,$Q2547)))</f>
        <v/>
      </c>
      <c r="N2547" s="38" t="str">
        <f aca="false">IF($A2547="","",IF($Q2547=0,"",INDEX(COA_Mapping!$E$7:$E$256,$Q2547)))</f>
        <v/>
      </c>
      <c r="O2547" s="38" t="n">
        <f aca="false">IF($A2547="",1,IF($Q2547=0,1,INDEX(COA_Mapping!$F$7:$F$256,$Q2547)))</f>
        <v>1</v>
      </c>
      <c r="P2547" s="34" t="str">
        <f aca="false">IF($A2547="","",$I2547*$O2547)</f>
        <v/>
      </c>
      <c r="Q2547" s="39" t="n">
        <f aca="false">IF($B2547="",0,IFERROR(MATCH($B2547,COA_Mapping!$A$7:$A$256,0),0))</f>
        <v>0</v>
      </c>
      <c r="R2547" s="39" t="n">
        <f aca="false">IF($A2547="",-1,IF($J2547=Setup!$B$7,1,IF($J2547=Setup!$B$9,0,-1)))</f>
        <v>-1</v>
      </c>
      <c r="S2547" s="35" t="n">
        <f aca="false">IF(OR($A2547="",$Q2547=0,$R2547=-1),0,$Q2547*1000+$R2547*100+$K2547)</f>
        <v>0</v>
      </c>
      <c r="T2547" s="37" t="str">
        <f aca="false">IF($A2547="","",IF($B2547="","NO ACCOUNT",IF($Q2547=0,"UNMAPPED",IF($R2547=-1,"OUTSIDE FY RANGE","OK"))))</f>
        <v/>
      </c>
      <c r="U2547" s="40" t="str">
        <f aca="false">IF($A2547="","",$B2547&amp;"|"&amp;TEXT($A2547,"yyyymmdd")&amp;"|"&amp;TEXT($I2547,"0.00"))</f>
        <v/>
      </c>
      <c r="V2547" s="35" t="str">
        <f aca="false">IF($A2547="","",COUNTIF($U$8:$U$5007,$U2547))</f>
        <v/>
      </c>
    </row>
    <row r="2548" customFormat="false" ht="15" hidden="false" customHeight="false" outlineLevel="0" collapsed="false">
      <c r="A2548" s="31"/>
      <c r="B2548" s="32"/>
      <c r="C2548" s="32"/>
      <c r="D2548" s="32"/>
      <c r="E2548" s="32"/>
      <c r="F2548" s="32"/>
      <c r="G2548" s="33"/>
      <c r="H2548" s="33"/>
      <c r="I2548" s="34" t="str">
        <f aca="false">IF($A2548="","",$G2548-$H2548)</f>
        <v/>
      </c>
      <c r="J2548" s="35" t="str">
        <f aca="false">IF($A2548="","",IF(Setup!$B$6=1,YEAR($A2548),YEAR($A2548)+IF(MONTH($A2548)&gt;=Setup!$B$6,1,0)))</f>
        <v/>
      </c>
      <c r="K2548" s="35" t="str">
        <f aca="false">IF($A2548="","",MOD(MONTH($A2548)-Setup!$B$6+12,12)+1)</f>
        <v/>
      </c>
      <c r="L2548" s="36" t="str">
        <f aca="false">IF($A2548="","",TEXT($A2548,"MMM-YY"))</f>
        <v/>
      </c>
      <c r="M2548" s="37" t="str">
        <f aca="false">IF($A2548="","",IF($Q2548=0,"UNMAPPED",INDEX(COA_Mapping!$C$7:$C$256,$Q2548)))</f>
        <v/>
      </c>
      <c r="N2548" s="38" t="str">
        <f aca="false">IF($A2548="","",IF($Q2548=0,"",INDEX(COA_Mapping!$E$7:$E$256,$Q2548)))</f>
        <v/>
      </c>
      <c r="O2548" s="38" t="n">
        <f aca="false">IF($A2548="",1,IF($Q2548=0,1,INDEX(COA_Mapping!$F$7:$F$256,$Q2548)))</f>
        <v>1</v>
      </c>
      <c r="P2548" s="34" t="str">
        <f aca="false">IF($A2548="","",$I2548*$O2548)</f>
        <v/>
      </c>
      <c r="Q2548" s="39" t="n">
        <f aca="false">IF($B2548="",0,IFERROR(MATCH($B2548,COA_Mapping!$A$7:$A$256,0),0))</f>
        <v>0</v>
      </c>
      <c r="R2548" s="39" t="n">
        <f aca="false">IF($A2548="",-1,IF($J2548=Setup!$B$7,1,IF($J2548=Setup!$B$9,0,-1)))</f>
        <v>-1</v>
      </c>
      <c r="S2548" s="35" t="n">
        <f aca="false">IF(OR($A2548="",$Q2548=0,$R2548=-1),0,$Q2548*1000+$R2548*100+$K2548)</f>
        <v>0</v>
      </c>
      <c r="T2548" s="37" t="str">
        <f aca="false">IF($A2548="","",IF($B2548="","NO ACCOUNT",IF($Q2548=0,"UNMAPPED",IF($R2548=-1,"OUTSIDE FY RANGE","OK"))))</f>
        <v/>
      </c>
      <c r="U2548" s="40" t="str">
        <f aca="false">IF($A2548="","",$B2548&amp;"|"&amp;TEXT($A2548,"yyyymmdd")&amp;"|"&amp;TEXT($I2548,"0.00"))</f>
        <v/>
      </c>
      <c r="V2548" s="35" t="str">
        <f aca="false">IF($A2548="","",COUNTIF($U$8:$U$5007,$U2548))</f>
        <v/>
      </c>
    </row>
    <row r="2549" customFormat="false" ht="15" hidden="false" customHeight="false" outlineLevel="0" collapsed="false">
      <c r="A2549" s="31"/>
      <c r="B2549" s="32"/>
      <c r="C2549" s="32"/>
      <c r="D2549" s="32"/>
      <c r="E2549" s="32"/>
      <c r="F2549" s="32"/>
      <c r="G2549" s="33"/>
      <c r="H2549" s="33"/>
      <c r="I2549" s="34" t="str">
        <f aca="false">IF($A2549="","",$G2549-$H2549)</f>
        <v/>
      </c>
      <c r="J2549" s="35" t="str">
        <f aca="false">IF($A2549="","",IF(Setup!$B$6=1,YEAR($A2549),YEAR($A2549)+IF(MONTH($A2549)&gt;=Setup!$B$6,1,0)))</f>
        <v/>
      </c>
      <c r="K2549" s="35" t="str">
        <f aca="false">IF($A2549="","",MOD(MONTH($A2549)-Setup!$B$6+12,12)+1)</f>
        <v/>
      </c>
      <c r="L2549" s="36" t="str">
        <f aca="false">IF($A2549="","",TEXT($A2549,"MMM-YY"))</f>
        <v/>
      </c>
      <c r="M2549" s="37" t="str">
        <f aca="false">IF($A2549="","",IF($Q2549=0,"UNMAPPED",INDEX(COA_Mapping!$C$7:$C$256,$Q2549)))</f>
        <v/>
      </c>
      <c r="N2549" s="38" t="str">
        <f aca="false">IF($A2549="","",IF($Q2549=0,"",INDEX(COA_Mapping!$E$7:$E$256,$Q2549)))</f>
        <v/>
      </c>
      <c r="O2549" s="38" t="n">
        <f aca="false">IF($A2549="",1,IF($Q2549=0,1,INDEX(COA_Mapping!$F$7:$F$256,$Q2549)))</f>
        <v>1</v>
      </c>
      <c r="P2549" s="34" t="str">
        <f aca="false">IF($A2549="","",$I2549*$O2549)</f>
        <v/>
      </c>
      <c r="Q2549" s="39" t="n">
        <f aca="false">IF($B2549="",0,IFERROR(MATCH($B2549,COA_Mapping!$A$7:$A$256,0),0))</f>
        <v>0</v>
      </c>
      <c r="R2549" s="39" t="n">
        <f aca="false">IF($A2549="",-1,IF($J2549=Setup!$B$7,1,IF($J2549=Setup!$B$9,0,-1)))</f>
        <v>-1</v>
      </c>
      <c r="S2549" s="35" t="n">
        <f aca="false">IF(OR($A2549="",$Q2549=0,$R2549=-1),0,$Q2549*1000+$R2549*100+$K2549)</f>
        <v>0</v>
      </c>
      <c r="T2549" s="37" t="str">
        <f aca="false">IF($A2549="","",IF($B2549="","NO ACCOUNT",IF($Q2549=0,"UNMAPPED",IF($R2549=-1,"OUTSIDE FY RANGE","OK"))))</f>
        <v/>
      </c>
      <c r="U2549" s="40" t="str">
        <f aca="false">IF($A2549="","",$B2549&amp;"|"&amp;TEXT($A2549,"yyyymmdd")&amp;"|"&amp;TEXT($I2549,"0.00"))</f>
        <v/>
      </c>
      <c r="V2549" s="35" t="str">
        <f aca="false">IF($A2549="","",COUNTIF($U$8:$U$5007,$U2549))</f>
        <v/>
      </c>
    </row>
    <row r="2550" customFormat="false" ht="15" hidden="false" customHeight="false" outlineLevel="0" collapsed="false">
      <c r="A2550" s="31"/>
      <c r="B2550" s="32"/>
      <c r="C2550" s="32"/>
      <c r="D2550" s="32"/>
      <c r="E2550" s="32"/>
      <c r="F2550" s="32"/>
      <c r="G2550" s="33"/>
      <c r="H2550" s="33"/>
      <c r="I2550" s="34" t="str">
        <f aca="false">IF($A2550="","",$G2550-$H2550)</f>
        <v/>
      </c>
      <c r="J2550" s="35" t="str">
        <f aca="false">IF($A2550="","",IF(Setup!$B$6=1,YEAR($A2550),YEAR($A2550)+IF(MONTH($A2550)&gt;=Setup!$B$6,1,0)))</f>
        <v/>
      </c>
      <c r="K2550" s="35" t="str">
        <f aca="false">IF($A2550="","",MOD(MONTH($A2550)-Setup!$B$6+12,12)+1)</f>
        <v/>
      </c>
      <c r="L2550" s="36" t="str">
        <f aca="false">IF($A2550="","",TEXT($A2550,"MMM-YY"))</f>
        <v/>
      </c>
      <c r="M2550" s="37" t="str">
        <f aca="false">IF($A2550="","",IF($Q2550=0,"UNMAPPED",INDEX(COA_Mapping!$C$7:$C$256,$Q2550)))</f>
        <v/>
      </c>
      <c r="N2550" s="38" t="str">
        <f aca="false">IF($A2550="","",IF($Q2550=0,"",INDEX(COA_Mapping!$E$7:$E$256,$Q2550)))</f>
        <v/>
      </c>
      <c r="O2550" s="38" t="n">
        <f aca="false">IF($A2550="",1,IF($Q2550=0,1,INDEX(COA_Mapping!$F$7:$F$256,$Q2550)))</f>
        <v>1</v>
      </c>
      <c r="P2550" s="34" t="str">
        <f aca="false">IF($A2550="","",$I2550*$O2550)</f>
        <v/>
      </c>
      <c r="Q2550" s="39" t="n">
        <f aca="false">IF($B2550="",0,IFERROR(MATCH($B2550,COA_Mapping!$A$7:$A$256,0),0))</f>
        <v>0</v>
      </c>
      <c r="R2550" s="39" t="n">
        <f aca="false">IF($A2550="",-1,IF($J2550=Setup!$B$7,1,IF($J2550=Setup!$B$9,0,-1)))</f>
        <v>-1</v>
      </c>
      <c r="S2550" s="35" t="n">
        <f aca="false">IF(OR($A2550="",$Q2550=0,$R2550=-1),0,$Q2550*1000+$R2550*100+$K2550)</f>
        <v>0</v>
      </c>
      <c r="T2550" s="37" t="str">
        <f aca="false">IF($A2550="","",IF($B2550="","NO ACCOUNT",IF($Q2550=0,"UNMAPPED",IF($R2550=-1,"OUTSIDE FY RANGE","OK"))))</f>
        <v/>
      </c>
      <c r="U2550" s="40" t="str">
        <f aca="false">IF($A2550="","",$B2550&amp;"|"&amp;TEXT($A2550,"yyyymmdd")&amp;"|"&amp;TEXT($I2550,"0.00"))</f>
        <v/>
      </c>
      <c r="V2550" s="35" t="str">
        <f aca="false">IF($A2550="","",COUNTIF($U$8:$U$5007,$U2550))</f>
        <v/>
      </c>
    </row>
    <row r="2551" customFormat="false" ht="15" hidden="false" customHeight="false" outlineLevel="0" collapsed="false">
      <c r="A2551" s="31"/>
      <c r="B2551" s="32"/>
      <c r="C2551" s="32"/>
      <c r="D2551" s="32"/>
      <c r="E2551" s="32"/>
      <c r="F2551" s="32"/>
      <c r="G2551" s="33"/>
      <c r="H2551" s="33"/>
      <c r="I2551" s="34" t="str">
        <f aca="false">IF($A2551="","",$G2551-$H2551)</f>
        <v/>
      </c>
      <c r="J2551" s="35" t="str">
        <f aca="false">IF($A2551="","",IF(Setup!$B$6=1,YEAR($A2551),YEAR($A2551)+IF(MONTH($A2551)&gt;=Setup!$B$6,1,0)))</f>
        <v/>
      </c>
      <c r="K2551" s="35" t="str">
        <f aca="false">IF($A2551="","",MOD(MONTH($A2551)-Setup!$B$6+12,12)+1)</f>
        <v/>
      </c>
      <c r="L2551" s="36" t="str">
        <f aca="false">IF($A2551="","",TEXT($A2551,"MMM-YY"))</f>
        <v/>
      </c>
      <c r="M2551" s="37" t="str">
        <f aca="false">IF($A2551="","",IF($Q2551=0,"UNMAPPED",INDEX(COA_Mapping!$C$7:$C$256,$Q2551)))</f>
        <v/>
      </c>
      <c r="N2551" s="38" t="str">
        <f aca="false">IF($A2551="","",IF($Q2551=0,"",INDEX(COA_Mapping!$E$7:$E$256,$Q2551)))</f>
        <v/>
      </c>
      <c r="O2551" s="38" t="n">
        <f aca="false">IF($A2551="",1,IF($Q2551=0,1,INDEX(COA_Mapping!$F$7:$F$256,$Q2551)))</f>
        <v>1</v>
      </c>
      <c r="P2551" s="34" t="str">
        <f aca="false">IF($A2551="","",$I2551*$O2551)</f>
        <v/>
      </c>
      <c r="Q2551" s="39" t="n">
        <f aca="false">IF($B2551="",0,IFERROR(MATCH($B2551,COA_Mapping!$A$7:$A$256,0),0))</f>
        <v>0</v>
      </c>
      <c r="R2551" s="39" t="n">
        <f aca="false">IF($A2551="",-1,IF($J2551=Setup!$B$7,1,IF($J2551=Setup!$B$9,0,-1)))</f>
        <v>-1</v>
      </c>
      <c r="S2551" s="35" t="n">
        <f aca="false">IF(OR($A2551="",$Q2551=0,$R2551=-1),0,$Q2551*1000+$R2551*100+$K2551)</f>
        <v>0</v>
      </c>
      <c r="T2551" s="37" t="str">
        <f aca="false">IF($A2551="","",IF($B2551="","NO ACCOUNT",IF($Q2551=0,"UNMAPPED",IF($R2551=-1,"OUTSIDE FY RANGE","OK"))))</f>
        <v/>
      </c>
      <c r="U2551" s="40" t="str">
        <f aca="false">IF($A2551="","",$B2551&amp;"|"&amp;TEXT($A2551,"yyyymmdd")&amp;"|"&amp;TEXT($I2551,"0.00"))</f>
        <v/>
      </c>
      <c r="V2551" s="35" t="str">
        <f aca="false">IF($A2551="","",COUNTIF($U$8:$U$5007,$U2551))</f>
        <v/>
      </c>
    </row>
    <row r="2552" customFormat="false" ht="15" hidden="false" customHeight="false" outlineLevel="0" collapsed="false">
      <c r="A2552" s="31"/>
      <c r="B2552" s="32"/>
      <c r="C2552" s="32"/>
      <c r="D2552" s="32"/>
      <c r="E2552" s="32"/>
      <c r="F2552" s="32"/>
      <c r="G2552" s="33"/>
      <c r="H2552" s="33"/>
      <c r="I2552" s="34" t="str">
        <f aca="false">IF($A2552="","",$G2552-$H2552)</f>
        <v/>
      </c>
      <c r="J2552" s="35" t="str">
        <f aca="false">IF($A2552="","",IF(Setup!$B$6=1,YEAR($A2552),YEAR($A2552)+IF(MONTH($A2552)&gt;=Setup!$B$6,1,0)))</f>
        <v/>
      </c>
      <c r="K2552" s="35" t="str">
        <f aca="false">IF($A2552="","",MOD(MONTH($A2552)-Setup!$B$6+12,12)+1)</f>
        <v/>
      </c>
      <c r="L2552" s="36" t="str">
        <f aca="false">IF($A2552="","",TEXT($A2552,"MMM-YY"))</f>
        <v/>
      </c>
      <c r="M2552" s="37" t="str">
        <f aca="false">IF($A2552="","",IF($Q2552=0,"UNMAPPED",INDEX(COA_Mapping!$C$7:$C$256,$Q2552)))</f>
        <v/>
      </c>
      <c r="N2552" s="38" t="str">
        <f aca="false">IF($A2552="","",IF($Q2552=0,"",INDEX(COA_Mapping!$E$7:$E$256,$Q2552)))</f>
        <v/>
      </c>
      <c r="O2552" s="38" t="n">
        <f aca="false">IF($A2552="",1,IF($Q2552=0,1,INDEX(COA_Mapping!$F$7:$F$256,$Q2552)))</f>
        <v>1</v>
      </c>
      <c r="P2552" s="34" t="str">
        <f aca="false">IF($A2552="","",$I2552*$O2552)</f>
        <v/>
      </c>
      <c r="Q2552" s="39" t="n">
        <f aca="false">IF($B2552="",0,IFERROR(MATCH($B2552,COA_Mapping!$A$7:$A$256,0),0))</f>
        <v>0</v>
      </c>
      <c r="R2552" s="39" t="n">
        <f aca="false">IF($A2552="",-1,IF($J2552=Setup!$B$7,1,IF($J2552=Setup!$B$9,0,-1)))</f>
        <v>-1</v>
      </c>
      <c r="S2552" s="35" t="n">
        <f aca="false">IF(OR($A2552="",$Q2552=0,$R2552=-1),0,$Q2552*1000+$R2552*100+$K2552)</f>
        <v>0</v>
      </c>
      <c r="T2552" s="37" t="str">
        <f aca="false">IF($A2552="","",IF($B2552="","NO ACCOUNT",IF($Q2552=0,"UNMAPPED",IF($R2552=-1,"OUTSIDE FY RANGE","OK"))))</f>
        <v/>
      </c>
      <c r="U2552" s="40" t="str">
        <f aca="false">IF($A2552="","",$B2552&amp;"|"&amp;TEXT($A2552,"yyyymmdd")&amp;"|"&amp;TEXT($I2552,"0.00"))</f>
        <v/>
      </c>
      <c r="V2552" s="35" t="str">
        <f aca="false">IF($A2552="","",COUNTIF($U$8:$U$5007,$U2552))</f>
        <v/>
      </c>
    </row>
    <row r="2553" customFormat="false" ht="15" hidden="false" customHeight="false" outlineLevel="0" collapsed="false">
      <c r="A2553" s="31"/>
      <c r="B2553" s="32"/>
      <c r="C2553" s="32"/>
      <c r="D2553" s="32"/>
      <c r="E2553" s="32"/>
      <c r="F2553" s="32"/>
      <c r="G2553" s="33"/>
      <c r="H2553" s="33"/>
      <c r="I2553" s="34" t="str">
        <f aca="false">IF($A2553="","",$G2553-$H2553)</f>
        <v/>
      </c>
      <c r="J2553" s="35" t="str">
        <f aca="false">IF($A2553="","",IF(Setup!$B$6=1,YEAR($A2553),YEAR($A2553)+IF(MONTH($A2553)&gt;=Setup!$B$6,1,0)))</f>
        <v/>
      </c>
      <c r="K2553" s="35" t="str">
        <f aca="false">IF($A2553="","",MOD(MONTH($A2553)-Setup!$B$6+12,12)+1)</f>
        <v/>
      </c>
      <c r="L2553" s="36" t="str">
        <f aca="false">IF($A2553="","",TEXT($A2553,"MMM-YY"))</f>
        <v/>
      </c>
      <c r="M2553" s="37" t="str">
        <f aca="false">IF($A2553="","",IF($Q2553=0,"UNMAPPED",INDEX(COA_Mapping!$C$7:$C$256,$Q2553)))</f>
        <v/>
      </c>
      <c r="N2553" s="38" t="str">
        <f aca="false">IF($A2553="","",IF($Q2553=0,"",INDEX(COA_Mapping!$E$7:$E$256,$Q2553)))</f>
        <v/>
      </c>
      <c r="O2553" s="38" t="n">
        <f aca="false">IF($A2553="",1,IF($Q2553=0,1,INDEX(COA_Mapping!$F$7:$F$256,$Q2553)))</f>
        <v>1</v>
      </c>
      <c r="P2553" s="34" t="str">
        <f aca="false">IF($A2553="","",$I2553*$O2553)</f>
        <v/>
      </c>
      <c r="Q2553" s="39" t="n">
        <f aca="false">IF($B2553="",0,IFERROR(MATCH($B2553,COA_Mapping!$A$7:$A$256,0),0))</f>
        <v>0</v>
      </c>
      <c r="R2553" s="39" t="n">
        <f aca="false">IF($A2553="",-1,IF($J2553=Setup!$B$7,1,IF($J2553=Setup!$B$9,0,-1)))</f>
        <v>-1</v>
      </c>
      <c r="S2553" s="35" t="n">
        <f aca="false">IF(OR($A2553="",$Q2553=0,$R2553=-1),0,$Q2553*1000+$R2553*100+$K2553)</f>
        <v>0</v>
      </c>
      <c r="T2553" s="37" t="str">
        <f aca="false">IF($A2553="","",IF($B2553="","NO ACCOUNT",IF($Q2553=0,"UNMAPPED",IF($R2553=-1,"OUTSIDE FY RANGE","OK"))))</f>
        <v/>
      </c>
      <c r="U2553" s="40" t="str">
        <f aca="false">IF($A2553="","",$B2553&amp;"|"&amp;TEXT($A2553,"yyyymmdd")&amp;"|"&amp;TEXT($I2553,"0.00"))</f>
        <v/>
      </c>
      <c r="V2553" s="35" t="str">
        <f aca="false">IF($A2553="","",COUNTIF($U$8:$U$5007,$U2553))</f>
        <v/>
      </c>
    </row>
    <row r="2554" customFormat="false" ht="15" hidden="false" customHeight="false" outlineLevel="0" collapsed="false">
      <c r="A2554" s="31"/>
      <c r="B2554" s="32"/>
      <c r="C2554" s="32"/>
      <c r="D2554" s="32"/>
      <c r="E2554" s="32"/>
      <c r="F2554" s="32"/>
      <c r="G2554" s="33"/>
      <c r="H2554" s="33"/>
      <c r="I2554" s="34" t="str">
        <f aca="false">IF($A2554="","",$G2554-$H2554)</f>
        <v/>
      </c>
      <c r="J2554" s="35" t="str">
        <f aca="false">IF($A2554="","",IF(Setup!$B$6=1,YEAR($A2554),YEAR($A2554)+IF(MONTH($A2554)&gt;=Setup!$B$6,1,0)))</f>
        <v/>
      </c>
      <c r="K2554" s="35" t="str">
        <f aca="false">IF($A2554="","",MOD(MONTH($A2554)-Setup!$B$6+12,12)+1)</f>
        <v/>
      </c>
      <c r="L2554" s="36" t="str">
        <f aca="false">IF($A2554="","",TEXT($A2554,"MMM-YY"))</f>
        <v/>
      </c>
      <c r="M2554" s="37" t="str">
        <f aca="false">IF($A2554="","",IF($Q2554=0,"UNMAPPED",INDEX(COA_Mapping!$C$7:$C$256,$Q2554)))</f>
        <v/>
      </c>
      <c r="N2554" s="38" t="str">
        <f aca="false">IF($A2554="","",IF($Q2554=0,"",INDEX(COA_Mapping!$E$7:$E$256,$Q2554)))</f>
        <v/>
      </c>
      <c r="O2554" s="38" t="n">
        <f aca="false">IF($A2554="",1,IF($Q2554=0,1,INDEX(COA_Mapping!$F$7:$F$256,$Q2554)))</f>
        <v>1</v>
      </c>
      <c r="P2554" s="34" t="str">
        <f aca="false">IF($A2554="","",$I2554*$O2554)</f>
        <v/>
      </c>
      <c r="Q2554" s="39" t="n">
        <f aca="false">IF($B2554="",0,IFERROR(MATCH($B2554,COA_Mapping!$A$7:$A$256,0),0))</f>
        <v>0</v>
      </c>
      <c r="R2554" s="39" t="n">
        <f aca="false">IF($A2554="",-1,IF($J2554=Setup!$B$7,1,IF($J2554=Setup!$B$9,0,-1)))</f>
        <v>-1</v>
      </c>
      <c r="S2554" s="35" t="n">
        <f aca="false">IF(OR($A2554="",$Q2554=0,$R2554=-1),0,$Q2554*1000+$R2554*100+$K2554)</f>
        <v>0</v>
      </c>
      <c r="T2554" s="37" t="str">
        <f aca="false">IF($A2554="","",IF($B2554="","NO ACCOUNT",IF($Q2554=0,"UNMAPPED",IF($R2554=-1,"OUTSIDE FY RANGE","OK"))))</f>
        <v/>
      </c>
      <c r="U2554" s="40" t="str">
        <f aca="false">IF($A2554="","",$B2554&amp;"|"&amp;TEXT($A2554,"yyyymmdd")&amp;"|"&amp;TEXT($I2554,"0.00"))</f>
        <v/>
      </c>
      <c r="V2554" s="35" t="str">
        <f aca="false">IF($A2554="","",COUNTIF($U$8:$U$5007,$U2554))</f>
        <v/>
      </c>
    </row>
    <row r="2555" customFormat="false" ht="15" hidden="false" customHeight="false" outlineLevel="0" collapsed="false">
      <c r="A2555" s="31"/>
      <c r="B2555" s="32"/>
      <c r="C2555" s="32"/>
      <c r="D2555" s="32"/>
      <c r="E2555" s="32"/>
      <c r="F2555" s="32"/>
      <c r="G2555" s="33"/>
      <c r="H2555" s="33"/>
      <c r="I2555" s="34" t="str">
        <f aca="false">IF($A2555="","",$G2555-$H2555)</f>
        <v/>
      </c>
      <c r="J2555" s="35" t="str">
        <f aca="false">IF($A2555="","",IF(Setup!$B$6=1,YEAR($A2555),YEAR($A2555)+IF(MONTH($A2555)&gt;=Setup!$B$6,1,0)))</f>
        <v/>
      </c>
      <c r="K2555" s="35" t="str">
        <f aca="false">IF($A2555="","",MOD(MONTH($A2555)-Setup!$B$6+12,12)+1)</f>
        <v/>
      </c>
      <c r="L2555" s="36" t="str">
        <f aca="false">IF($A2555="","",TEXT($A2555,"MMM-YY"))</f>
        <v/>
      </c>
      <c r="M2555" s="37" t="str">
        <f aca="false">IF($A2555="","",IF($Q2555=0,"UNMAPPED",INDEX(COA_Mapping!$C$7:$C$256,$Q2555)))</f>
        <v/>
      </c>
      <c r="N2555" s="38" t="str">
        <f aca="false">IF($A2555="","",IF($Q2555=0,"",INDEX(COA_Mapping!$E$7:$E$256,$Q2555)))</f>
        <v/>
      </c>
      <c r="O2555" s="38" t="n">
        <f aca="false">IF($A2555="",1,IF($Q2555=0,1,INDEX(COA_Mapping!$F$7:$F$256,$Q2555)))</f>
        <v>1</v>
      </c>
      <c r="P2555" s="34" t="str">
        <f aca="false">IF($A2555="","",$I2555*$O2555)</f>
        <v/>
      </c>
      <c r="Q2555" s="39" t="n">
        <f aca="false">IF($B2555="",0,IFERROR(MATCH($B2555,COA_Mapping!$A$7:$A$256,0),0))</f>
        <v>0</v>
      </c>
      <c r="R2555" s="39" t="n">
        <f aca="false">IF($A2555="",-1,IF($J2555=Setup!$B$7,1,IF($J2555=Setup!$B$9,0,-1)))</f>
        <v>-1</v>
      </c>
      <c r="S2555" s="35" t="n">
        <f aca="false">IF(OR($A2555="",$Q2555=0,$R2555=-1),0,$Q2555*1000+$R2555*100+$K2555)</f>
        <v>0</v>
      </c>
      <c r="T2555" s="37" t="str">
        <f aca="false">IF($A2555="","",IF($B2555="","NO ACCOUNT",IF($Q2555=0,"UNMAPPED",IF($R2555=-1,"OUTSIDE FY RANGE","OK"))))</f>
        <v/>
      </c>
      <c r="U2555" s="40" t="str">
        <f aca="false">IF($A2555="","",$B2555&amp;"|"&amp;TEXT($A2555,"yyyymmdd")&amp;"|"&amp;TEXT($I2555,"0.00"))</f>
        <v/>
      </c>
      <c r="V2555" s="35" t="str">
        <f aca="false">IF($A2555="","",COUNTIF($U$8:$U$5007,$U2555))</f>
        <v/>
      </c>
    </row>
    <row r="2556" customFormat="false" ht="15" hidden="false" customHeight="false" outlineLevel="0" collapsed="false">
      <c r="A2556" s="31"/>
      <c r="B2556" s="32"/>
      <c r="C2556" s="32"/>
      <c r="D2556" s="32"/>
      <c r="E2556" s="32"/>
      <c r="F2556" s="32"/>
      <c r="G2556" s="33"/>
      <c r="H2556" s="33"/>
      <c r="I2556" s="34" t="str">
        <f aca="false">IF($A2556="","",$G2556-$H2556)</f>
        <v/>
      </c>
      <c r="J2556" s="35" t="str">
        <f aca="false">IF($A2556="","",IF(Setup!$B$6=1,YEAR($A2556),YEAR($A2556)+IF(MONTH($A2556)&gt;=Setup!$B$6,1,0)))</f>
        <v/>
      </c>
      <c r="K2556" s="35" t="str">
        <f aca="false">IF($A2556="","",MOD(MONTH($A2556)-Setup!$B$6+12,12)+1)</f>
        <v/>
      </c>
      <c r="L2556" s="36" t="str">
        <f aca="false">IF($A2556="","",TEXT($A2556,"MMM-YY"))</f>
        <v/>
      </c>
      <c r="M2556" s="37" t="str">
        <f aca="false">IF($A2556="","",IF($Q2556=0,"UNMAPPED",INDEX(COA_Mapping!$C$7:$C$256,$Q2556)))</f>
        <v/>
      </c>
      <c r="N2556" s="38" t="str">
        <f aca="false">IF($A2556="","",IF($Q2556=0,"",INDEX(COA_Mapping!$E$7:$E$256,$Q2556)))</f>
        <v/>
      </c>
      <c r="O2556" s="38" t="n">
        <f aca="false">IF($A2556="",1,IF($Q2556=0,1,INDEX(COA_Mapping!$F$7:$F$256,$Q2556)))</f>
        <v>1</v>
      </c>
      <c r="P2556" s="34" t="str">
        <f aca="false">IF($A2556="","",$I2556*$O2556)</f>
        <v/>
      </c>
      <c r="Q2556" s="39" t="n">
        <f aca="false">IF($B2556="",0,IFERROR(MATCH($B2556,COA_Mapping!$A$7:$A$256,0),0))</f>
        <v>0</v>
      </c>
      <c r="R2556" s="39" t="n">
        <f aca="false">IF($A2556="",-1,IF($J2556=Setup!$B$7,1,IF($J2556=Setup!$B$9,0,-1)))</f>
        <v>-1</v>
      </c>
      <c r="S2556" s="35" t="n">
        <f aca="false">IF(OR($A2556="",$Q2556=0,$R2556=-1),0,$Q2556*1000+$R2556*100+$K2556)</f>
        <v>0</v>
      </c>
      <c r="T2556" s="37" t="str">
        <f aca="false">IF($A2556="","",IF($B2556="","NO ACCOUNT",IF($Q2556=0,"UNMAPPED",IF($R2556=-1,"OUTSIDE FY RANGE","OK"))))</f>
        <v/>
      </c>
      <c r="U2556" s="40" t="str">
        <f aca="false">IF($A2556="","",$B2556&amp;"|"&amp;TEXT($A2556,"yyyymmdd")&amp;"|"&amp;TEXT($I2556,"0.00"))</f>
        <v/>
      </c>
      <c r="V2556" s="35" t="str">
        <f aca="false">IF($A2556="","",COUNTIF($U$8:$U$5007,$U2556))</f>
        <v/>
      </c>
    </row>
    <row r="2557" customFormat="false" ht="15" hidden="false" customHeight="false" outlineLevel="0" collapsed="false">
      <c r="A2557" s="31"/>
      <c r="B2557" s="32"/>
      <c r="C2557" s="32"/>
      <c r="D2557" s="32"/>
      <c r="E2557" s="32"/>
      <c r="F2557" s="32"/>
      <c r="G2557" s="33"/>
      <c r="H2557" s="33"/>
      <c r="I2557" s="34" t="str">
        <f aca="false">IF($A2557="","",$G2557-$H2557)</f>
        <v/>
      </c>
      <c r="J2557" s="35" t="str">
        <f aca="false">IF($A2557="","",IF(Setup!$B$6=1,YEAR($A2557),YEAR($A2557)+IF(MONTH($A2557)&gt;=Setup!$B$6,1,0)))</f>
        <v/>
      </c>
      <c r="K2557" s="35" t="str">
        <f aca="false">IF($A2557="","",MOD(MONTH($A2557)-Setup!$B$6+12,12)+1)</f>
        <v/>
      </c>
      <c r="L2557" s="36" t="str">
        <f aca="false">IF($A2557="","",TEXT($A2557,"MMM-YY"))</f>
        <v/>
      </c>
      <c r="M2557" s="37" t="str">
        <f aca="false">IF($A2557="","",IF($Q2557=0,"UNMAPPED",INDEX(COA_Mapping!$C$7:$C$256,$Q2557)))</f>
        <v/>
      </c>
      <c r="N2557" s="38" t="str">
        <f aca="false">IF($A2557="","",IF($Q2557=0,"",INDEX(COA_Mapping!$E$7:$E$256,$Q2557)))</f>
        <v/>
      </c>
      <c r="O2557" s="38" t="n">
        <f aca="false">IF($A2557="",1,IF($Q2557=0,1,INDEX(COA_Mapping!$F$7:$F$256,$Q2557)))</f>
        <v>1</v>
      </c>
      <c r="P2557" s="34" t="str">
        <f aca="false">IF($A2557="","",$I2557*$O2557)</f>
        <v/>
      </c>
      <c r="Q2557" s="39" t="n">
        <f aca="false">IF($B2557="",0,IFERROR(MATCH($B2557,COA_Mapping!$A$7:$A$256,0),0))</f>
        <v>0</v>
      </c>
      <c r="R2557" s="39" t="n">
        <f aca="false">IF($A2557="",-1,IF($J2557=Setup!$B$7,1,IF($J2557=Setup!$B$9,0,-1)))</f>
        <v>-1</v>
      </c>
      <c r="S2557" s="35" t="n">
        <f aca="false">IF(OR($A2557="",$Q2557=0,$R2557=-1),0,$Q2557*1000+$R2557*100+$K2557)</f>
        <v>0</v>
      </c>
      <c r="T2557" s="37" t="str">
        <f aca="false">IF($A2557="","",IF($B2557="","NO ACCOUNT",IF($Q2557=0,"UNMAPPED",IF($R2557=-1,"OUTSIDE FY RANGE","OK"))))</f>
        <v/>
      </c>
      <c r="U2557" s="40" t="str">
        <f aca="false">IF($A2557="","",$B2557&amp;"|"&amp;TEXT($A2557,"yyyymmdd")&amp;"|"&amp;TEXT($I2557,"0.00"))</f>
        <v/>
      </c>
      <c r="V2557" s="35" t="str">
        <f aca="false">IF($A2557="","",COUNTIF($U$8:$U$5007,$U2557))</f>
        <v/>
      </c>
    </row>
    <row r="2558" customFormat="false" ht="15" hidden="false" customHeight="false" outlineLevel="0" collapsed="false">
      <c r="A2558" s="31"/>
      <c r="B2558" s="32"/>
      <c r="C2558" s="32"/>
      <c r="D2558" s="32"/>
      <c r="E2558" s="32"/>
      <c r="F2558" s="32"/>
      <c r="G2558" s="33"/>
      <c r="H2558" s="33"/>
      <c r="I2558" s="34" t="str">
        <f aca="false">IF($A2558="","",$G2558-$H2558)</f>
        <v/>
      </c>
      <c r="J2558" s="35" t="str">
        <f aca="false">IF($A2558="","",IF(Setup!$B$6=1,YEAR($A2558),YEAR($A2558)+IF(MONTH($A2558)&gt;=Setup!$B$6,1,0)))</f>
        <v/>
      </c>
      <c r="K2558" s="35" t="str">
        <f aca="false">IF($A2558="","",MOD(MONTH($A2558)-Setup!$B$6+12,12)+1)</f>
        <v/>
      </c>
      <c r="L2558" s="36" t="str">
        <f aca="false">IF($A2558="","",TEXT($A2558,"MMM-YY"))</f>
        <v/>
      </c>
      <c r="M2558" s="37" t="str">
        <f aca="false">IF($A2558="","",IF($Q2558=0,"UNMAPPED",INDEX(COA_Mapping!$C$7:$C$256,$Q2558)))</f>
        <v/>
      </c>
      <c r="N2558" s="38" t="str">
        <f aca="false">IF($A2558="","",IF($Q2558=0,"",INDEX(COA_Mapping!$E$7:$E$256,$Q2558)))</f>
        <v/>
      </c>
      <c r="O2558" s="38" t="n">
        <f aca="false">IF($A2558="",1,IF($Q2558=0,1,INDEX(COA_Mapping!$F$7:$F$256,$Q2558)))</f>
        <v>1</v>
      </c>
      <c r="P2558" s="34" t="str">
        <f aca="false">IF($A2558="","",$I2558*$O2558)</f>
        <v/>
      </c>
      <c r="Q2558" s="39" t="n">
        <f aca="false">IF($B2558="",0,IFERROR(MATCH($B2558,COA_Mapping!$A$7:$A$256,0),0))</f>
        <v>0</v>
      </c>
      <c r="R2558" s="39" t="n">
        <f aca="false">IF($A2558="",-1,IF($J2558=Setup!$B$7,1,IF($J2558=Setup!$B$9,0,-1)))</f>
        <v>-1</v>
      </c>
      <c r="S2558" s="35" t="n">
        <f aca="false">IF(OR($A2558="",$Q2558=0,$R2558=-1),0,$Q2558*1000+$R2558*100+$K2558)</f>
        <v>0</v>
      </c>
      <c r="T2558" s="37" t="str">
        <f aca="false">IF($A2558="","",IF($B2558="","NO ACCOUNT",IF($Q2558=0,"UNMAPPED",IF($R2558=-1,"OUTSIDE FY RANGE","OK"))))</f>
        <v/>
      </c>
      <c r="U2558" s="40" t="str">
        <f aca="false">IF($A2558="","",$B2558&amp;"|"&amp;TEXT($A2558,"yyyymmdd")&amp;"|"&amp;TEXT($I2558,"0.00"))</f>
        <v/>
      </c>
      <c r="V2558" s="35" t="str">
        <f aca="false">IF($A2558="","",COUNTIF($U$8:$U$5007,$U2558))</f>
        <v/>
      </c>
    </row>
    <row r="2559" customFormat="false" ht="15" hidden="false" customHeight="false" outlineLevel="0" collapsed="false">
      <c r="A2559" s="31"/>
      <c r="B2559" s="32"/>
      <c r="C2559" s="32"/>
      <c r="D2559" s="32"/>
      <c r="E2559" s="32"/>
      <c r="F2559" s="32"/>
      <c r="G2559" s="33"/>
      <c r="H2559" s="33"/>
      <c r="I2559" s="34" t="str">
        <f aca="false">IF($A2559="","",$G2559-$H2559)</f>
        <v/>
      </c>
      <c r="J2559" s="35" t="str">
        <f aca="false">IF($A2559="","",IF(Setup!$B$6=1,YEAR($A2559),YEAR($A2559)+IF(MONTH($A2559)&gt;=Setup!$B$6,1,0)))</f>
        <v/>
      </c>
      <c r="K2559" s="35" t="str">
        <f aca="false">IF($A2559="","",MOD(MONTH($A2559)-Setup!$B$6+12,12)+1)</f>
        <v/>
      </c>
      <c r="L2559" s="36" t="str">
        <f aca="false">IF($A2559="","",TEXT($A2559,"MMM-YY"))</f>
        <v/>
      </c>
      <c r="M2559" s="37" t="str">
        <f aca="false">IF($A2559="","",IF($Q2559=0,"UNMAPPED",INDEX(COA_Mapping!$C$7:$C$256,$Q2559)))</f>
        <v/>
      </c>
      <c r="N2559" s="38" t="str">
        <f aca="false">IF($A2559="","",IF($Q2559=0,"",INDEX(COA_Mapping!$E$7:$E$256,$Q2559)))</f>
        <v/>
      </c>
      <c r="O2559" s="38" t="n">
        <f aca="false">IF($A2559="",1,IF($Q2559=0,1,INDEX(COA_Mapping!$F$7:$F$256,$Q2559)))</f>
        <v>1</v>
      </c>
      <c r="P2559" s="34" t="str">
        <f aca="false">IF($A2559="","",$I2559*$O2559)</f>
        <v/>
      </c>
      <c r="Q2559" s="39" t="n">
        <f aca="false">IF($B2559="",0,IFERROR(MATCH($B2559,COA_Mapping!$A$7:$A$256,0),0))</f>
        <v>0</v>
      </c>
      <c r="R2559" s="39" t="n">
        <f aca="false">IF($A2559="",-1,IF($J2559=Setup!$B$7,1,IF($J2559=Setup!$B$9,0,-1)))</f>
        <v>-1</v>
      </c>
      <c r="S2559" s="35" t="n">
        <f aca="false">IF(OR($A2559="",$Q2559=0,$R2559=-1),0,$Q2559*1000+$R2559*100+$K2559)</f>
        <v>0</v>
      </c>
      <c r="T2559" s="37" t="str">
        <f aca="false">IF($A2559="","",IF($B2559="","NO ACCOUNT",IF($Q2559=0,"UNMAPPED",IF($R2559=-1,"OUTSIDE FY RANGE","OK"))))</f>
        <v/>
      </c>
      <c r="U2559" s="40" t="str">
        <f aca="false">IF($A2559="","",$B2559&amp;"|"&amp;TEXT($A2559,"yyyymmdd")&amp;"|"&amp;TEXT($I2559,"0.00"))</f>
        <v/>
      </c>
      <c r="V2559" s="35" t="str">
        <f aca="false">IF($A2559="","",COUNTIF($U$8:$U$5007,$U2559))</f>
        <v/>
      </c>
    </row>
    <row r="2560" customFormat="false" ht="15" hidden="false" customHeight="false" outlineLevel="0" collapsed="false">
      <c r="A2560" s="31"/>
      <c r="B2560" s="32"/>
      <c r="C2560" s="32"/>
      <c r="D2560" s="32"/>
      <c r="E2560" s="32"/>
      <c r="F2560" s="32"/>
      <c r="G2560" s="33"/>
      <c r="H2560" s="33"/>
      <c r="I2560" s="34" t="str">
        <f aca="false">IF($A2560="","",$G2560-$H2560)</f>
        <v/>
      </c>
      <c r="J2560" s="35" t="str">
        <f aca="false">IF($A2560="","",IF(Setup!$B$6=1,YEAR($A2560),YEAR($A2560)+IF(MONTH($A2560)&gt;=Setup!$B$6,1,0)))</f>
        <v/>
      </c>
      <c r="K2560" s="35" t="str">
        <f aca="false">IF($A2560="","",MOD(MONTH($A2560)-Setup!$B$6+12,12)+1)</f>
        <v/>
      </c>
      <c r="L2560" s="36" t="str">
        <f aca="false">IF($A2560="","",TEXT($A2560,"MMM-YY"))</f>
        <v/>
      </c>
      <c r="M2560" s="37" t="str">
        <f aca="false">IF($A2560="","",IF($Q2560=0,"UNMAPPED",INDEX(COA_Mapping!$C$7:$C$256,$Q2560)))</f>
        <v/>
      </c>
      <c r="N2560" s="38" t="str">
        <f aca="false">IF($A2560="","",IF($Q2560=0,"",INDEX(COA_Mapping!$E$7:$E$256,$Q2560)))</f>
        <v/>
      </c>
      <c r="O2560" s="38" t="n">
        <f aca="false">IF($A2560="",1,IF($Q2560=0,1,INDEX(COA_Mapping!$F$7:$F$256,$Q2560)))</f>
        <v>1</v>
      </c>
      <c r="P2560" s="34" t="str">
        <f aca="false">IF($A2560="","",$I2560*$O2560)</f>
        <v/>
      </c>
      <c r="Q2560" s="39" t="n">
        <f aca="false">IF($B2560="",0,IFERROR(MATCH($B2560,COA_Mapping!$A$7:$A$256,0),0))</f>
        <v>0</v>
      </c>
      <c r="R2560" s="39" t="n">
        <f aca="false">IF($A2560="",-1,IF($J2560=Setup!$B$7,1,IF($J2560=Setup!$B$9,0,-1)))</f>
        <v>-1</v>
      </c>
      <c r="S2560" s="35" t="n">
        <f aca="false">IF(OR($A2560="",$Q2560=0,$R2560=-1),0,$Q2560*1000+$R2560*100+$K2560)</f>
        <v>0</v>
      </c>
      <c r="T2560" s="37" t="str">
        <f aca="false">IF($A2560="","",IF($B2560="","NO ACCOUNT",IF($Q2560=0,"UNMAPPED",IF($R2560=-1,"OUTSIDE FY RANGE","OK"))))</f>
        <v/>
      </c>
      <c r="U2560" s="40" t="str">
        <f aca="false">IF($A2560="","",$B2560&amp;"|"&amp;TEXT($A2560,"yyyymmdd")&amp;"|"&amp;TEXT($I2560,"0.00"))</f>
        <v/>
      </c>
      <c r="V2560" s="35" t="str">
        <f aca="false">IF($A2560="","",COUNTIF($U$8:$U$5007,$U2560))</f>
        <v/>
      </c>
    </row>
    <row r="2561" customFormat="false" ht="15" hidden="false" customHeight="false" outlineLevel="0" collapsed="false">
      <c r="A2561" s="31"/>
      <c r="B2561" s="32"/>
      <c r="C2561" s="32"/>
      <c r="D2561" s="32"/>
      <c r="E2561" s="32"/>
      <c r="F2561" s="32"/>
      <c r="G2561" s="33"/>
      <c r="H2561" s="33"/>
      <c r="I2561" s="34" t="str">
        <f aca="false">IF($A2561="","",$G2561-$H2561)</f>
        <v/>
      </c>
      <c r="J2561" s="35" t="str">
        <f aca="false">IF($A2561="","",IF(Setup!$B$6=1,YEAR($A2561),YEAR($A2561)+IF(MONTH($A2561)&gt;=Setup!$B$6,1,0)))</f>
        <v/>
      </c>
      <c r="K2561" s="35" t="str">
        <f aca="false">IF($A2561="","",MOD(MONTH($A2561)-Setup!$B$6+12,12)+1)</f>
        <v/>
      </c>
      <c r="L2561" s="36" t="str">
        <f aca="false">IF($A2561="","",TEXT($A2561,"MMM-YY"))</f>
        <v/>
      </c>
      <c r="M2561" s="37" t="str">
        <f aca="false">IF($A2561="","",IF($Q2561=0,"UNMAPPED",INDEX(COA_Mapping!$C$7:$C$256,$Q2561)))</f>
        <v/>
      </c>
      <c r="N2561" s="38" t="str">
        <f aca="false">IF($A2561="","",IF($Q2561=0,"",INDEX(COA_Mapping!$E$7:$E$256,$Q2561)))</f>
        <v/>
      </c>
      <c r="O2561" s="38" t="n">
        <f aca="false">IF($A2561="",1,IF($Q2561=0,1,INDEX(COA_Mapping!$F$7:$F$256,$Q2561)))</f>
        <v>1</v>
      </c>
      <c r="P2561" s="34" t="str">
        <f aca="false">IF($A2561="","",$I2561*$O2561)</f>
        <v/>
      </c>
      <c r="Q2561" s="39" t="n">
        <f aca="false">IF($B2561="",0,IFERROR(MATCH($B2561,COA_Mapping!$A$7:$A$256,0),0))</f>
        <v>0</v>
      </c>
      <c r="R2561" s="39" t="n">
        <f aca="false">IF($A2561="",-1,IF($J2561=Setup!$B$7,1,IF($J2561=Setup!$B$9,0,-1)))</f>
        <v>-1</v>
      </c>
      <c r="S2561" s="35" t="n">
        <f aca="false">IF(OR($A2561="",$Q2561=0,$R2561=-1),0,$Q2561*1000+$R2561*100+$K2561)</f>
        <v>0</v>
      </c>
      <c r="T2561" s="37" t="str">
        <f aca="false">IF($A2561="","",IF($B2561="","NO ACCOUNT",IF($Q2561=0,"UNMAPPED",IF($R2561=-1,"OUTSIDE FY RANGE","OK"))))</f>
        <v/>
      </c>
      <c r="U2561" s="40" t="str">
        <f aca="false">IF($A2561="","",$B2561&amp;"|"&amp;TEXT($A2561,"yyyymmdd")&amp;"|"&amp;TEXT($I2561,"0.00"))</f>
        <v/>
      </c>
      <c r="V2561" s="35" t="str">
        <f aca="false">IF($A2561="","",COUNTIF($U$8:$U$5007,$U2561))</f>
        <v/>
      </c>
    </row>
    <row r="2562" customFormat="false" ht="15" hidden="false" customHeight="false" outlineLevel="0" collapsed="false">
      <c r="A2562" s="31"/>
      <c r="B2562" s="32"/>
      <c r="C2562" s="32"/>
      <c r="D2562" s="32"/>
      <c r="E2562" s="32"/>
      <c r="F2562" s="32"/>
      <c r="G2562" s="33"/>
      <c r="H2562" s="33"/>
      <c r="I2562" s="34" t="str">
        <f aca="false">IF($A2562="","",$G2562-$H2562)</f>
        <v/>
      </c>
      <c r="J2562" s="35" t="str">
        <f aca="false">IF($A2562="","",IF(Setup!$B$6=1,YEAR($A2562),YEAR($A2562)+IF(MONTH($A2562)&gt;=Setup!$B$6,1,0)))</f>
        <v/>
      </c>
      <c r="K2562" s="35" t="str">
        <f aca="false">IF($A2562="","",MOD(MONTH($A2562)-Setup!$B$6+12,12)+1)</f>
        <v/>
      </c>
      <c r="L2562" s="36" t="str">
        <f aca="false">IF($A2562="","",TEXT($A2562,"MMM-YY"))</f>
        <v/>
      </c>
      <c r="M2562" s="37" t="str">
        <f aca="false">IF($A2562="","",IF($Q2562=0,"UNMAPPED",INDEX(COA_Mapping!$C$7:$C$256,$Q2562)))</f>
        <v/>
      </c>
      <c r="N2562" s="38" t="str">
        <f aca="false">IF($A2562="","",IF($Q2562=0,"",INDEX(COA_Mapping!$E$7:$E$256,$Q2562)))</f>
        <v/>
      </c>
      <c r="O2562" s="38" t="n">
        <f aca="false">IF($A2562="",1,IF($Q2562=0,1,INDEX(COA_Mapping!$F$7:$F$256,$Q2562)))</f>
        <v>1</v>
      </c>
      <c r="P2562" s="34" t="str">
        <f aca="false">IF($A2562="","",$I2562*$O2562)</f>
        <v/>
      </c>
      <c r="Q2562" s="39" t="n">
        <f aca="false">IF($B2562="",0,IFERROR(MATCH($B2562,COA_Mapping!$A$7:$A$256,0),0))</f>
        <v>0</v>
      </c>
      <c r="R2562" s="39" t="n">
        <f aca="false">IF($A2562="",-1,IF($J2562=Setup!$B$7,1,IF($J2562=Setup!$B$9,0,-1)))</f>
        <v>-1</v>
      </c>
      <c r="S2562" s="35" t="n">
        <f aca="false">IF(OR($A2562="",$Q2562=0,$R2562=-1),0,$Q2562*1000+$R2562*100+$K2562)</f>
        <v>0</v>
      </c>
      <c r="T2562" s="37" t="str">
        <f aca="false">IF($A2562="","",IF($B2562="","NO ACCOUNT",IF($Q2562=0,"UNMAPPED",IF($R2562=-1,"OUTSIDE FY RANGE","OK"))))</f>
        <v/>
      </c>
      <c r="U2562" s="40" t="str">
        <f aca="false">IF($A2562="","",$B2562&amp;"|"&amp;TEXT($A2562,"yyyymmdd")&amp;"|"&amp;TEXT($I2562,"0.00"))</f>
        <v/>
      </c>
      <c r="V2562" s="35" t="str">
        <f aca="false">IF($A2562="","",COUNTIF($U$8:$U$5007,$U2562))</f>
        <v/>
      </c>
    </row>
    <row r="2563" customFormat="false" ht="15" hidden="false" customHeight="false" outlineLevel="0" collapsed="false">
      <c r="A2563" s="31"/>
      <c r="B2563" s="32"/>
      <c r="C2563" s="32"/>
      <c r="D2563" s="32"/>
      <c r="E2563" s="32"/>
      <c r="F2563" s="32"/>
      <c r="G2563" s="33"/>
      <c r="H2563" s="33"/>
      <c r="I2563" s="34" t="str">
        <f aca="false">IF($A2563="","",$G2563-$H2563)</f>
        <v/>
      </c>
      <c r="J2563" s="35" t="str">
        <f aca="false">IF($A2563="","",IF(Setup!$B$6=1,YEAR($A2563),YEAR($A2563)+IF(MONTH($A2563)&gt;=Setup!$B$6,1,0)))</f>
        <v/>
      </c>
      <c r="K2563" s="35" t="str">
        <f aca="false">IF($A2563="","",MOD(MONTH($A2563)-Setup!$B$6+12,12)+1)</f>
        <v/>
      </c>
      <c r="L2563" s="36" t="str">
        <f aca="false">IF($A2563="","",TEXT($A2563,"MMM-YY"))</f>
        <v/>
      </c>
      <c r="M2563" s="37" t="str">
        <f aca="false">IF($A2563="","",IF($Q2563=0,"UNMAPPED",INDEX(COA_Mapping!$C$7:$C$256,$Q2563)))</f>
        <v/>
      </c>
      <c r="N2563" s="38" t="str">
        <f aca="false">IF($A2563="","",IF($Q2563=0,"",INDEX(COA_Mapping!$E$7:$E$256,$Q2563)))</f>
        <v/>
      </c>
      <c r="O2563" s="38" t="n">
        <f aca="false">IF($A2563="",1,IF($Q2563=0,1,INDEX(COA_Mapping!$F$7:$F$256,$Q2563)))</f>
        <v>1</v>
      </c>
      <c r="P2563" s="34" t="str">
        <f aca="false">IF($A2563="","",$I2563*$O2563)</f>
        <v/>
      </c>
      <c r="Q2563" s="39" t="n">
        <f aca="false">IF($B2563="",0,IFERROR(MATCH($B2563,COA_Mapping!$A$7:$A$256,0),0))</f>
        <v>0</v>
      </c>
      <c r="R2563" s="39" t="n">
        <f aca="false">IF($A2563="",-1,IF($J2563=Setup!$B$7,1,IF($J2563=Setup!$B$9,0,-1)))</f>
        <v>-1</v>
      </c>
      <c r="S2563" s="35" t="n">
        <f aca="false">IF(OR($A2563="",$Q2563=0,$R2563=-1),0,$Q2563*1000+$R2563*100+$K2563)</f>
        <v>0</v>
      </c>
      <c r="T2563" s="37" t="str">
        <f aca="false">IF($A2563="","",IF($B2563="","NO ACCOUNT",IF($Q2563=0,"UNMAPPED",IF($R2563=-1,"OUTSIDE FY RANGE","OK"))))</f>
        <v/>
      </c>
      <c r="U2563" s="40" t="str">
        <f aca="false">IF($A2563="","",$B2563&amp;"|"&amp;TEXT($A2563,"yyyymmdd")&amp;"|"&amp;TEXT($I2563,"0.00"))</f>
        <v/>
      </c>
      <c r="V2563" s="35" t="str">
        <f aca="false">IF($A2563="","",COUNTIF($U$8:$U$5007,$U2563))</f>
        <v/>
      </c>
    </row>
    <row r="2564" customFormat="false" ht="15" hidden="false" customHeight="false" outlineLevel="0" collapsed="false">
      <c r="A2564" s="31"/>
      <c r="B2564" s="32"/>
      <c r="C2564" s="32"/>
      <c r="D2564" s="32"/>
      <c r="E2564" s="32"/>
      <c r="F2564" s="32"/>
      <c r="G2564" s="33"/>
      <c r="H2564" s="33"/>
      <c r="I2564" s="34" t="str">
        <f aca="false">IF($A2564="","",$G2564-$H2564)</f>
        <v/>
      </c>
      <c r="J2564" s="35" t="str">
        <f aca="false">IF($A2564="","",IF(Setup!$B$6=1,YEAR($A2564),YEAR($A2564)+IF(MONTH($A2564)&gt;=Setup!$B$6,1,0)))</f>
        <v/>
      </c>
      <c r="K2564" s="35" t="str">
        <f aca="false">IF($A2564="","",MOD(MONTH($A2564)-Setup!$B$6+12,12)+1)</f>
        <v/>
      </c>
      <c r="L2564" s="36" t="str">
        <f aca="false">IF($A2564="","",TEXT($A2564,"MMM-YY"))</f>
        <v/>
      </c>
      <c r="M2564" s="37" t="str">
        <f aca="false">IF($A2564="","",IF($Q2564=0,"UNMAPPED",INDEX(COA_Mapping!$C$7:$C$256,$Q2564)))</f>
        <v/>
      </c>
      <c r="N2564" s="38" t="str">
        <f aca="false">IF($A2564="","",IF($Q2564=0,"",INDEX(COA_Mapping!$E$7:$E$256,$Q2564)))</f>
        <v/>
      </c>
      <c r="O2564" s="38" t="n">
        <f aca="false">IF($A2564="",1,IF($Q2564=0,1,INDEX(COA_Mapping!$F$7:$F$256,$Q2564)))</f>
        <v>1</v>
      </c>
      <c r="P2564" s="34" t="str">
        <f aca="false">IF($A2564="","",$I2564*$O2564)</f>
        <v/>
      </c>
      <c r="Q2564" s="39" t="n">
        <f aca="false">IF($B2564="",0,IFERROR(MATCH($B2564,COA_Mapping!$A$7:$A$256,0),0))</f>
        <v>0</v>
      </c>
      <c r="R2564" s="39" t="n">
        <f aca="false">IF($A2564="",-1,IF($J2564=Setup!$B$7,1,IF($J2564=Setup!$B$9,0,-1)))</f>
        <v>-1</v>
      </c>
      <c r="S2564" s="35" t="n">
        <f aca="false">IF(OR($A2564="",$Q2564=0,$R2564=-1),0,$Q2564*1000+$R2564*100+$K2564)</f>
        <v>0</v>
      </c>
      <c r="T2564" s="37" t="str">
        <f aca="false">IF($A2564="","",IF($B2564="","NO ACCOUNT",IF($Q2564=0,"UNMAPPED",IF($R2564=-1,"OUTSIDE FY RANGE","OK"))))</f>
        <v/>
      </c>
      <c r="U2564" s="40" t="str">
        <f aca="false">IF($A2564="","",$B2564&amp;"|"&amp;TEXT($A2564,"yyyymmdd")&amp;"|"&amp;TEXT($I2564,"0.00"))</f>
        <v/>
      </c>
      <c r="V2564" s="35" t="str">
        <f aca="false">IF($A2564="","",COUNTIF($U$8:$U$5007,$U2564))</f>
        <v/>
      </c>
    </row>
    <row r="2565" customFormat="false" ht="15" hidden="false" customHeight="false" outlineLevel="0" collapsed="false">
      <c r="A2565" s="31"/>
      <c r="B2565" s="32"/>
      <c r="C2565" s="32"/>
      <c r="D2565" s="32"/>
      <c r="E2565" s="32"/>
      <c r="F2565" s="32"/>
      <c r="G2565" s="33"/>
      <c r="H2565" s="33"/>
      <c r="I2565" s="34" t="str">
        <f aca="false">IF($A2565="","",$G2565-$H2565)</f>
        <v/>
      </c>
      <c r="J2565" s="35" t="str">
        <f aca="false">IF($A2565="","",IF(Setup!$B$6=1,YEAR($A2565),YEAR($A2565)+IF(MONTH($A2565)&gt;=Setup!$B$6,1,0)))</f>
        <v/>
      </c>
      <c r="K2565" s="35" t="str">
        <f aca="false">IF($A2565="","",MOD(MONTH($A2565)-Setup!$B$6+12,12)+1)</f>
        <v/>
      </c>
      <c r="L2565" s="36" t="str">
        <f aca="false">IF($A2565="","",TEXT($A2565,"MMM-YY"))</f>
        <v/>
      </c>
      <c r="M2565" s="37" t="str">
        <f aca="false">IF($A2565="","",IF($Q2565=0,"UNMAPPED",INDEX(COA_Mapping!$C$7:$C$256,$Q2565)))</f>
        <v/>
      </c>
      <c r="N2565" s="38" t="str">
        <f aca="false">IF($A2565="","",IF($Q2565=0,"",INDEX(COA_Mapping!$E$7:$E$256,$Q2565)))</f>
        <v/>
      </c>
      <c r="O2565" s="38" t="n">
        <f aca="false">IF($A2565="",1,IF($Q2565=0,1,INDEX(COA_Mapping!$F$7:$F$256,$Q2565)))</f>
        <v>1</v>
      </c>
      <c r="P2565" s="34" t="str">
        <f aca="false">IF($A2565="","",$I2565*$O2565)</f>
        <v/>
      </c>
      <c r="Q2565" s="39" t="n">
        <f aca="false">IF($B2565="",0,IFERROR(MATCH($B2565,COA_Mapping!$A$7:$A$256,0),0))</f>
        <v>0</v>
      </c>
      <c r="R2565" s="39" t="n">
        <f aca="false">IF($A2565="",-1,IF($J2565=Setup!$B$7,1,IF($J2565=Setup!$B$9,0,-1)))</f>
        <v>-1</v>
      </c>
      <c r="S2565" s="35" t="n">
        <f aca="false">IF(OR($A2565="",$Q2565=0,$R2565=-1),0,$Q2565*1000+$R2565*100+$K2565)</f>
        <v>0</v>
      </c>
      <c r="T2565" s="37" t="str">
        <f aca="false">IF($A2565="","",IF($B2565="","NO ACCOUNT",IF($Q2565=0,"UNMAPPED",IF($R2565=-1,"OUTSIDE FY RANGE","OK"))))</f>
        <v/>
      </c>
      <c r="U2565" s="40" t="str">
        <f aca="false">IF($A2565="","",$B2565&amp;"|"&amp;TEXT($A2565,"yyyymmdd")&amp;"|"&amp;TEXT($I2565,"0.00"))</f>
        <v/>
      </c>
      <c r="V2565" s="35" t="str">
        <f aca="false">IF($A2565="","",COUNTIF($U$8:$U$5007,$U2565))</f>
        <v/>
      </c>
    </row>
    <row r="2566" customFormat="false" ht="15" hidden="false" customHeight="false" outlineLevel="0" collapsed="false">
      <c r="A2566" s="31"/>
      <c r="B2566" s="32"/>
      <c r="C2566" s="32"/>
      <c r="D2566" s="32"/>
      <c r="E2566" s="32"/>
      <c r="F2566" s="32"/>
      <c r="G2566" s="33"/>
      <c r="H2566" s="33"/>
      <c r="I2566" s="34" t="str">
        <f aca="false">IF($A2566="","",$G2566-$H2566)</f>
        <v/>
      </c>
      <c r="J2566" s="35" t="str">
        <f aca="false">IF($A2566="","",IF(Setup!$B$6=1,YEAR($A2566),YEAR($A2566)+IF(MONTH($A2566)&gt;=Setup!$B$6,1,0)))</f>
        <v/>
      </c>
      <c r="K2566" s="35" t="str">
        <f aca="false">IF($A2566="","",MOD(MONTH($A2566)-Setup!$B$6+12,12)+1)</f>
        <v/>
      </c>
      <c r="L2566" s="36" t="str">
        <f aca="false">IF($A2566="","",TEXT($A2566,"MMM-YY"))</f>
        <v/>
      </c>
      <c r="M2566" s="37" t="str">
        <f aca="false">IF($A2566="","",IF($Q2566=0,"UNMAPPED",INDEX(COA_Mapping!$C$7:$C$256,$Q2566)))</f>
        <v/>
      </c>
      <c r="N2566" s="38" t="str">
        <f aca="false">IF($A2566="","",IF($Q2566=0,"",INDEX(COA_Mapping!$E$7:$E$256,$Q2566)))</f>
        <v/>
      </c>
      <c r="O2566" s="38" t="n">
        <f aca="false">IF($A2566="",1,IF($Q2566=0,1,INDEX(COA_Mapping!$F$7:$F$256,$Q2566)))</f>
        <v>1</v>
      </c>
      <c r="P2566" s="34" t="str">
        <f aca="false">IF($A2566="","",$I2566*$O2566)</f>
        <v/>
      </c>
      <c r="Q2566" s="39" t="n">
        <f aca="false">IF($B2566="",0,IFERROR(MATCH($B2566,COA_Mapping!$A$7:$A$256,0),0))</f>
        <v>0</v>
      </c>
      <c r="R2566" s="39" t="n">
        <f aca="false">IF($A2566="",-1,IF($J2566=Setup!$B$7,1,IF($J2566=Setup!$B$9,0,-1)))</f>
        <v>-1</v>
      </c>
      <c r="S2566" s="35" t="n">
        <f aca="false">IF(OR($A2566="",$Q2566=0,$R2566=-1),0,$Q2566*1000+$R2566*100+$K2566)</f>
        <v>0</v>
      </c>
      <c r="T2566" s="37" t="str">
        <f aca="false">IF($A2566="","",IF($B2566="","NO ACCOUNT",IF($Q2566=0,"UNMAPPED",IF($R2566=-1,"OUTSIDE FY RANGE","OK"))))</f>
        <v/>
      </c>
      <c r="U2566" s="40" t="str">
        <f aca="false">IF($A2566="","",$B2566&amp;"|"&amp;TEXT($A2566,"yyyymmdd")&amp;"|"&amp;TEXT($I2566,"0.00"))</f>
        <v/>
      </c>
      <c r="V2566" s="35" t="str">
        <f aca="false">IF($A2566="","",COUNTIF($U$8:$U$5007,$U2566))</f>
        <v/>
      </c>
    </row>
    <row r="2567" customFormat="false" ht="15" hidden="false" customHeight="false" outlineLevel="0" collapsed="false">
      <c r="A2567" s="31"/>
      <c r="B2567" s="32"/>
      <c r="C2567" s="32"/>
      <c r="D2567" s="32"/>
      <c r="E2567" s="32"/>
      <c r="F2567" s="32"/>
      <c r="G2567" s="33"/>
      <c r="H2567" s="33"/>
      <c r="I2567" s="34" t="str">
        <f aca="false">IF($A2567="","",$G2567-$H2567)</f>
        <v/>
      </c>
      <c r="J2567" s="35" t="str">
        <f aca="false">IF($A2567="","",IF(Setup!$B$6=1,YEAR($A2567),YEAR($A2567)+IF(MONTH($A2567)&gt;=Setup!$B$6,1,0)))</f>
        <v/>
      </c>
      <c r="K2567" s="35" t="str">
        <f aca="false">IF($A2567="","",MOD(MONTH($A2567)-Setup!$B$6+12,12)+1)</f>
        <v/>
      </c>
      <c r="L2567" s="36" t="str">
        <f aca="false">IF($A2567="","",TEXT($A2567,"MMM-YY"))</f>
        <v/>
      </c>
      <c r="M2567" s="37" t="str">
        <f aca="false">IF($A2567="","",IF($Q2567=0,"UNMAPPED",INDEX(COA_Mapping!$C$7:$C$256,$Q2567)))</f>
        <v/>
      </c>
      <c r="N2567" s="38" t="str">
        <f aca="false">IF($A2567="","",IF($Q2567=0,"",INDEX(COA_Mapping!$E$7:$E$256,$Q2567)))</f>
        <v/>
      </c>
      <c r="O2567" s="38" t="n">
        <f aca="false">IF($A2567="",1,IF($Q2567=0,1,INDEX(COA_Mapping!$F$7:$F$256,$Q2567)))</f>
        <v>1</v>
      </c>
      <c r="P2567" s="34" t="str">
        <f aca="false">IF($A2567="","",$I2567*$O2567)</f>
        <v/>
      </c>
      <c r="Q2567" s="39" t="n">
        <f aca="false">IF($B2567="",0,IFERROR(MATCH($B2567,COA_Mapping!$A$7:$A$256,0),0))</f>
        <v>0</v>
      </c>
      <c r="R2567" s="39" t="n">
        <f aca="false">IF($A2567="",-1,IF($J2567=Setup!$B$7,1,IF($J2567=Setup!$B$9,0,-1)))</f>
        <v>-1</v>
      </c>
      <c r="S2567" s="35" t="n">
        <f aca="false">IF(OR($A2567="",$Q2567=0,$R2567=-1),0,$Q2567*1000+$R2567*100+$K2567)</f>
        <v>0</v>
      </c>
      <c r="T2567" s="37" t="str">
        <f aca="false">IF($A2567="","",IF($B2567="","NO ACCOUNT",IF($Q2567=0,"UNMAPPED",IF($R2567=-1,"OUTSIDE FY RANGE","OK"))))</f>
        <v/>
      </c>
      <c r="U2567" s="40" t="str">
        <f aca="false">IF($A2567="","",$B2567&amp;"|"&amp;TEXT($A2567,"yyyymmdd")&amp;"|"&amp;TEXT($I2567,"0.00"))</f>
        <v/>
      </c>
      <c r="V2567" s="35" t="str">
        <f aca="false">IF($A2567="","",COUNTIF($U$8:$U$5007,$U2567))</f>
        <v/>
      </c>
    </row>
    <row r="2568" customFormat="false" ht="15" hidden="false" customHeight="false" outlineLevel="0" collapsed="false">
      <c r="A2568" s="31"/>
      <c r="B2568" s="32"/>
      <c r="C2568" s="32"/>
      <c r="D2568" s="32"/>
      <c r="E2568" s="32"/>
      <c r="F2568" s="32"/>
      <c r="G2568" s="33"/>
      <c r="H2568" s="33"/>
      <c r="I2568" s="34" t="str">
        <f aca="false">IF($A2568="","",$G2568-$H2568)</f>
        <v/>
      </c>
      <c r="J2568" s="35" t="str">
        <f aca="false">IF($A2568="","",IF(Setup!$B$6=1,YEAR($A2568),YEAR($A2568)+IF(MONTH($A2568)&gt;=Setup!$B$6,1,0)))</f>
        <v/>
      </c>
      <c r="K2568" s="35" t="str">
        <f aca="false">IF($A2568="","",MOD(MONTH($A2568)-Setup!$B$6+12,12)+1)</f>
        <v/>
      </c>
      <c r="L2568" s="36" t="str">
        <f aca="false">IF($A2568="","",TEXT($A2568,"MMM-YY"))</f>
        <v/>
      </c>
      <c r="M2568" s="37" t="str">
        <f aca="false">IF($A2568="","",IF($Q2568=0,"UNMAPPED",INDEX(COA_Mapping!$C$7:$C$256,$Q2568)))</f>
        <v/>
      </c>
      <c r="N2568" s="38" t="str">
        <f aca="false">IF($A2568="","",IF($Q2568=0,"",INDEX(COA_Mapping!$E$7:$E$256,$Q2568)))</f>
        <v/>
      </c>
      <c r="O2568" s="38" t="n">
        <f aca="false">IF($A2568="",1,IF($Q2568=0,1,INDEX(COA_Mapping!$F$7:$F$256,$Q2568)))</f>
        <v>1</v>
      </c>
      <c r="P2568" s="34" t="str">
        <f aca="false">IF($A2568="","",$I2568*$O2568)</f>
        <v/>
      </c>
      <c r="Q2568" s="39" t="n">
        <f aca="false">IF($B2568="",0,IFERROR(MATCH($B2568,COA_Mapping!$A$7:$A$256,0),0))</f>
        <v>0</v>
      </c>
      <c r="R2568" s="39" t="n">
        <f aca="false">IF($A2568="",-1,IF($J2568=Setup!$B$7,1,IF($J2568=Setup!$B$9,0,-1)))</f>
        <v>-1</v>
      </c>
      <c r="S2568" s="35" t="n">
        <f aca="false">IF(OR($A2568="",$Q2568=0,$R2568=-1),0,$Q2568*1000+$R2568*100+$K2568)</f>
        <v>0</v>
      </c>
      <c r="T2568" s="37" t="str">
        <f aca="false">IF($A2568="","",IF($B2568="","NO ACCOUNT",IF($Q2568=0,"UNMAPPED",IF($R2568=-1,"OUTSIDE FY RANGE","OK"))))</f>
        <v/>
      </c>
      <c r="U2568" s="40" t="str">
        <f aca="false">IF($A2568="","",$B2568&amp;"|"&amp;TEXT($A2568,"yyyymmdd")&amp;"|"&amp;TEXT($I2568,"0.00"))</f>
        <v/>
      </c>
      <c r="V2568" s="35" t="str">
        <f aca="false">IF($A2568="","",COUNTIF($U$8:$U$5007,$U2568))</f>
        <v/>
      </c>
    </row>
    <row r="2569" customFormat="false" ht="15" hidden="false" customHeight="false" outlineLevel="0" collapsed="false">
      <c r="A2569" s="31"/>
      <c r="B2569" s="32"/>
      <c r="C2569" s="32"/>
      <c r="D2569" s="32"/>
      <c r="E2569" s="32"/>
      <c r="F2569" s="32"/>
      <c r="G2569" s="33"/>
      <c r="H2569" s="33"/>
      <c r="I2569" s="34" t="str">
        <f aca="false">IF($A2569="","",$G2569-$H2569)</f>
        <v/>
      </c>
      <c r="J2569" s="35" t="str">
        <f aca="false">IF($A2569="","",IF(Setup!$B$6=1,YEAR($A2569),YEAR($A2569)+IF(MONTH($A2569)&gt;=Setup!$B$6,1,0)))</f>
        <v/>
      </c>
      <c r="K2569" s="35" t="str">
        <f aca="false">IF($A2569="","",MOD(MONTH($A2569)-Setup!$B$6+12,12)+1)</f>
        <v/>
      </c>
      <c r="L2569" s="36" t="str">
        <f aca="false">IF($A2569="","",TEXT($A2569,"MMM-YY"))</f>
        <v/>
      </c>
      <c r="M2569" s="37" t="str">
        <f aca="false">IF($A2569="","",IF($Q2569=0,"UNMAPPED",INDEX(COA_Mapping!$C$7:$C$256,$Q2569)))</f>
        <v/>
      </c>
      <c r="N2569" s="38" t="str">
        <f aca="false">IF($A2569="","",IF($Q2569=0,"",INDEX(COA_Mapping!$E$7:$E$256,$Q2569)))</f>
        <v/>
      </c>
      <c r="O2569" s="38" t="n">
        <f aca="false">IF($A2569="",1,IF($Q2569=0,1,INDEX(COA_Mapping!$F$7:$F$256,$Q2569)))</f>
        <v>1</v>
      </c>
      <c r="P2569" s="34" t="str">
        <f aca="false">IF($A2569="","",$I2569*$O2569)</f>
        <v/>
      </c>
      <c r="Q2569" s="39" t="n">
        <f aca="false">IF($B2569="",0,IFERROR(MATCH($B2569,COA_Mapping!$A$7:$A$256,0),0))</f>
        <v>0</v>
      </c>
      <c r="R2569" s="39" t="n">
        <f aca="false">IF($A2569="",-1,IF($J2569=Setup!$B$7,1,IF($J2569=Setup!$B$9,0,-1)))</f>
        <v>-1</v>
      </c>
      <c r="S2569" s="35" t="n">
        <f aca="false">IF(OR($A2569="",$Q2569=0,$R2569=-1),0,$Q2569*1000+$R2569*100+$K2569)</f>
        <v>0</v>
      </c>
      <c r="T2569" s="37" t="str">
        <f aca="false">IF($A2569="","",IF($B2569="","NO ACCOUNT",IF($Q2569=0,"UNMAPPED",IF($R2569=-1,"OUTSIDE FY RANGE","OK"))))</f>
        <v/>
      </c>
      <c r="U2569" s="40" t="str">
        <f aca="false">IF($A2569="","",$B2569&amp;"|"&amp;TEXT($A2569,"yyyymmdd")&amp;"|"&amp;TEXT($I2569,"0.00"))</f>
        <v/>
      </c>
      <c r="V2569" s="35" t="str">
        <f aca="false">IF($A2569="","",COUNTIF($U$8:$U$5007,$U2569))</f>
        <v/>
      </c>
    </row>
    <row r="2570" customFormat="false" ht="15" hidden="false" customHeight="false" outlineLevel="0" collapsed="false">
      <c r="A2570" s="31"/>
      <c r="B2570" s="32"/>
      <c r="C2570" s="32"/>
      <c r="D2570" s="32"/>
      <c r="E2570" s="32"/>
      <c r="F2570" s="32"/>
      <c r="G2570" s="33"/>
      <c r="H2570" s="33"/>
      <c r="I2570" s="34" t="str">
        <f aca="false">IF($A2570="","",$G2570-$H2570)</f>
        <v/>
      </c>
      <c r="J2570" s="35" t="str">
        <f aca="false">IF($A2570="","",IF(Setup!$B$6=1,YEAR($A2570),YEAR($A2570)+IF(MONTH($A2570)&gt;=Setup!$B$6,1,0)))</f>
        <v/>
      </c>
      <c r="K2570" s="35" t="str">
        <f aca="false">IF($A2570="","",MOD(MONTH($A2570)-Setup!$B$6+12,12)+1)</f>
        <v/>
      </c>
      <c r="L2570" s="36" t="str">
        <f aca="false">IF($A2570="","",TEXT($A2570,"MMM-YY"))</f>
        <v/>
      </c>
      <c r="M2570" s="37" t="str">
        <f aca="false">IF($A2570="","",IF($Q2570=0,"UNMAPPED",INDEX(COA_Mapping!$C$7:$C$256,$Q2570)))</f>
        <v/>
      </c>
      <c r="N2570" s="38" t="str">
        <f aca="false">IF($A2570="","",IF($Q2570=0,"",INDEX(COA_Mapping!$E$7:$E$256,$Q2570)))</f>
        <v/>
      </c>
      <c r="O2570" s="38" t="n">
        <f aca="false">IF($A2570="",1,IF($Q2570=0,1,INDEX(COA_Mapping!$F$7:$F$256,$Q2570)))</f>
        <v>1</v>
      </c>
      <c r="P2570" s="34" t="str">
        <f aca="false">IF($A2570="","",$I2570*$O2570)</f>
        <v/>
      </c>
      <c r="Q2570" s="39" t="n">
        <f aca="false">IF($B2570="",0,IFERROR(MATCH($B2570,COA_Mapping!$A$7:$A$256,0),0))</f>
        <v>0</v>
      </c>
      <c r="R2570" s="39" t="n">
        <f aca="false">IF($A2570="",-1,IF($J2570=Setup!$B$7,1,IF($J2570=Setup!$B$9,0,-1)))</f>
        <v>-1</v>
      </c>
      <c r="S2570" s="35" t="n">
        <f aca="false">IF(OR($A2570="",$Q2570=0,$R2570=-1),0,$Q2570*1000+$R2570*100+$K2570)</f>
        <v>0</v>
      </c>
      <c r="T2570" s="37" t="str">
        <f aca="false">IF($A2570="","",IF($B2570="","NO ACCOUNT",IF($Q2570=0,"UNMAPPED",IF($R2570=-1,"OUTSIDE FY RANGE","OK"))))</f>
        <v/>
      </c>
      <c r="U2570" s="40" t="str">
        <f aca="false">IF($A2570="","",$B2570&amp;"|"&amp;TEXT($A2570,"yyyymmdd")&amp;"|"&amp;TEXT($I2570,"0.00"))</f>
        <v/>
      </c>
      <c r="V2570" s="35" t="str">
        <f aca="false">IF($A2570="","",COUNTIF($U$8:$U$5007,$U2570))</f>
        <v/>
      </c>
    </row>
    <row r="2571" customFormat="false" ht="15" hidden="false" customHeight="false" outlineLevel="0" collapsed="false">
      <c r="A2571" s="31"/>
      <c r="B2571" s="32"/>
      <c r="C2571" s="32"/>
      <c r="D2571" s="32"/>
      <c r="E2571" s="32"/>
      <c r="F2571" s="32"/>
      <c r="G2571" s="33"/>
      <c r="H2571" s="33"/>
      <c r="I2571" s="34" t="str">
        <f aca="false">IF($A2571="","",$G2571-$H2571)</f>
        <v/>
      </c>
      <c r="J2571" s="35" t="str">
        <f aca="false">IF($A2571="","",IF(Setup!$B$6=1,YEAR($A2571),YEAR($A2571)+IF(MONTH($A2571)&gt;=Setup!$B$6,1,0)))</f>
        <v/>
      </c>
      <c r="K2571" s="35" t="str">
        <f aca="false">IF($A2571="","",MOD(MONTH($A2571)-Setup!$B$6+12,12)+1)</f>
        <v/>
      </c>
      <c r="L2571" s="36" t="str">
        <f aca="false">IF($A2571="","",TEXT($A2571,"MMM-YY"))</f>
        <v/>
      </c>
      <c r="M2571" s="37" t="str">
        <f aca="false">IF($A2571="","",IF($Q2571=0,"UNMAPPED",INDEX(COA_Mapping!$C$7:$C$256,$Q2571)))</f>
        <v/>
      </c>
      <c r="N2571" s="38" t="str">
        <f aca="false">IF($A2571="","",IF($Q2571=0,"",INDEX(COA_Mapping!$E$7:$E$256,$Q2571)))</f>
        <v/>
      </c>
      <c r="O2571" s="38" t="n">
        <f aca="false">IF($A2571="",1,IF($Q2571=0,1,INDEX(COA_Mapping!$F$7:$F$256,$Q2571)))</f>
        <v>1</v>
      </c>
      <c r="P2571" s="34" t="str">
        <f aca="false">IF($A2571="","",$I2571*$O2571)</f>
        <v/>
      </c>
      <c r="Q2571" s="39" t="n">
        <f aca="false">IF($B2571="",0,IFERROR(MATCH($B2571,COA_Mapping!$A$7:$A$256,0),0))</f>
        <v>0</v>
      </c>
      <c r="R2571" s="39" t="n">
        <f aca="false">IF($A2571="",-1,IF($J2571=Setup!$B$7,1,IF($J2571=Setup!$B$9,0,-1)))</f>
        <v>-1</v>
      </c>
      <c r="S2571" s="35" t="n">
        <f aca="false">IF(OR($A2571="",$Q2571=0,$R2571=-1),0,$Q2571*1000+$R2571*100+$K2571)</f>
        <v>0</v>
      </c>
      <c r="T2571" s="37" t="str">
        <f aca="false">IF($A2571="","",IF($B2571="","NO ACCOUNT",IF($Q2571=0,"UNMAPPED",IF($R2571=-1,"OUTSIDE FY RANGE","OK"))))</f>
        <v/>
      </c>
      <c r="U2571" s="40" t="str">
        <f aca="false">IF($A2571="","",$B2571&amp;"|"&amp;TEXT($A2571,"yyyymmdd")&amp;"|"&amp;TEXT($I2571,"0.00"))</f>
        <v/>
      </c>
      <c r="V2571" s="35" t="str">
        <f aca="false">IF($A2571="","",COUNTIF($U$8:$U$5007,$U2571))</f>
        <v/>
      </c>
    </row>
    <row r="2572" customFormat="false" ht="15" hidden="false" customHeight="false" outlineLevel="0" collapsed="false">
      <c r="A2572" s="31"/>
      <c r="B2572" s="32"/>
      <c r="C2572" s="32"/>
      <c r="D2572" s="32"/>
      <c r="E2572" s="32"/>
      <c r="F2572" s="32"/>
      <c r="G2572" s="33"/>
      <c r="H2572" s="33"/>
      <c r="I2572" s="34" t="str">
        <f aca="false">IF($A2572="","",$G2572-$H2572)</f>
        <v/>
      </c>
      <c r="J2572" s="35" t="str">
        <f aca="false">IF($A2572="","",IF(Setup!$B$6=1,YEAR($A2572),YEAR($A2572)+IF(MONTH($A2572)&gt;=Setup!$B$6,1,0)))</f>
        <v/>
      </c>
      <c r="K2572" s="35" t="str">
        <f aca="false">IF($A2572="","",MOD(MONTH($A2572)-Setup!$B$6+12,12)+1)</f>
        <v/>
      </c>
      <c r="L2572" s="36" t="str">
        <f aca="false">IF($A2572="","",TEXT($A2572,"MMM-YY"))</f>
        <v/>
      </c>
      <c r="M2572" s="37" t="str">
        <f aca="false">IF($A2572="","",IF($Q2572=0,"UNMAPPED",INDEX(COA_Mapping!$C$7:$C$256,$Q2572)))</f>
        <v/>
      </c>
      <c r="N2572" s="38" t="str">
        <f aca="false">IF($A2572="","",IF($Q2572=0,"",INDEX(COA_Mapping!$E$7:$E$256,$Q2572)))</f>
        <v/>
      </c>
      <c r="O2572" s="38" t="n">
        <f aca="false">IF($A2572="",1,IF($Q2572=0,1,INDEX(COA_Mapping!$F$7:$F$256,$Q2572)))</f>
        <v>1</v>
      </c>
      <c r="P2572" s="34" t="str">
        <f aca="false">IF($A2572="","",$I2572*$O2572)</f>
        <v/>
      </c>
      <c r="Q2572" s="39" t="n">
        <f aca="false">IF($B2572="",0,IFERROR(MATCH($B2572,COA_Mapping!$A$7:$A$256,0),0))</f>
        <v>0</v>
      </c>
      <c r="R2572" s="39" t="n">
        <f aca="false">IF($A2572="",-1,IF($J2572=Setup!$B$7,1,IF($J2572=Setup!$B$9,0,-1)))</f>
        <v>-1</v>
      </c>
      <c r="S2572" s="35" t="n">
        <f aca="false">IF(OR($A2572="",$Q2572=0,$R2572=-1),0,$Q2572*1000+$R2572*100+$K2572)</f>
        <v>0</v>
      </c>
      <c r="T2572" s="37" t="str">
        <f aca="false">IF($A2572="","",IF($B2572="","NO ACCOUNT",IF($Q2572=0,"UNMAPPED",IF($R2572=-1,"OUTSIDE FY RANGE","OK"))))</f>
        <v/>
      </c>
      <c r="U2572" s="40" t="str">
        <f aca="false">IF($A2572="","",$B2572&amp;"|"&amp;TEXT($A2572,"yyyymmdd")&amp;"|"&amp;TEXT($I2572,"0.00"))</f>
        <v/>
      </c>
      <c r="V2572" s="35" t="str">
        <f aca="false">IF($A2572="","",COUNTIF($U$8:$U$5007,$U2572))</f>
        <v/>
      </c>
    </row>
    <row r="2573" customFormat="false" ht="15" hidden="false" customHeight="false" outlineLevel="0" collapsed="false">
      <c r="A2573" s="31"/>
      <c r="B2573" s="32"/>
      <c r="C2573" s="32"/>
      <c r="D2573" s="32"/>
      <c r="E2573" s="32"/>
      <c r="F2573" s="32"/>
      <c r="G2573" s="33"/>
      <c r="H2573" s="33"/>
      <c r="I2573" s="34" t="str">
        <f aca="false">IF($A2573="","",$G2573-$H2573)</f>
        <v/>
      </c>
      <c r="J2573" s="35" t="str">
        <f aca="false">IF($A2573="","",IF(Setup!$B$6=1,YEAR($A2573),YEAR($A2573)+IF(MONTH($A2573)&gt;=Setup!$B$6,1,0)))</f>
        <v/>
      </c>
      <c r="K2573" s="35" t="str">
        <f aca="false">IF($A2573="","",MOD(MONTH($A2573)-Setup!$B$6+12,12)+1)</f>
        <v/>
      </c>
      <c r="L2573" s="36" t="str">
        <f aca="false">IF($A2573="","",TEXT($A2573,"MMM-YY"))</f>
        <v/>
      </c>
      <c r="M2573" s="37" t="str">
        <f aca="false">IF($A2573="","",IF($Q2573=0,"UNMAPPED",INDEX(COA_Mapping!$C$7:$C$256,$Q2573)))</f>
        <v/>
      </c>
      <c r="N2573" s="38" t="str">
        <f aca="false">IF($A2573="","",IF($Q2573=0,"",INDEX(COA_Mapping!$E$7:$E$256,$Q2573)))</f>
        <v/>
      </c>
      <c r="O2573" s="38" t="n">
        <f aca="false">IF($A2573="",1,IF($Q2573=0,1,INDEX(COA_Mapping!$F$7:$F$256,$Q2573)))</f>
        <v>1</v>
      </c>
      <c r="P2573" s="34" t="str">
        <f aca="false">IF($A2573="","",$I2573*$O2573)</f>
        <v/>
      </c>
      <c r="Q2573" s="39" t="n">
        <f aca="false">IF($B2573="",0,IFERROR(MATCH($B2573,COA_Mapping!$A$7:$A$256,0),0))</f>
        <v>0</v>
      </c>
      <c r="R2573" s="39" t="n">
        <f aca="false">IF($A2573="",-1,IF($J2573=Setup!$B$7,1,IF($J2573=Setup!$B$9,0,-1)))</f>
        <v>-1</v>
      </c>
      <c r="S2573" s="35" t="n">
        <f aca="false">IF(OR($A2573="",$Q2573=0,$R2573=-1),0,$Q2573*1000+$R2573*100+$K2573)</f>
        <v>0</v>
      </c>
      <c r="T2573" s="37" t="str">
        <f aca="false">IF($A2573="","",IF($B2573="","NO ACCOUNT",IF($Q2573=0,"UNMAPPED",IF($R2573=-1,"OUTSIDE FY RANGE","OK"))))</f>
        <v/>
      </c>
      <c r="U2573" s="40" t="str">
        <f aca="false">IF($A2573="","",$B2573&amp;"|"&amp;TEXT($A2573,"yyyymmdd")&amp;"|"&amp;TEXT($I2573,"0.00"))</f>
        <v/>
      </c>
      <c r="V2573" s="35" t="str">
        <f aca="false">IF($A2573="","",COUNTIF($U$8:$U$5007,$U2573))</f>
        <v/>
      </c>
    </row>
    <row r="2574" customFormat="false" ht="15" hidden="false" customHeight="false" outlineLevel="0" collapsed="false">
      <c r="A2574" s="31"/>
      <c r="B2574" s="32"/>
      <c r="C2574" s="32"/>
      <c r="D2574" s="32"/>
      <c r="E2574" s="32"/>
      <c r="F2574" s="32"/>
      <c r="G2574" s="33"/>
      <c r="H2574" s="33"/>
      <c r="I2574" s="34" t="str">
        <f aca="false">IF($A2574="","",$G2574-$H2574)</f>
        <v/>
      </c>
      <c r="J2574" s="35" t="str">
        <f aca="false">IF($A2574="","",IF(Setup!$B$6=1,YEAR($A2574),YEAR($A2574)+IF(MONTH($A2574)&gt;=Setup!$B$6,1,0)))</f>
        <v/>
      </c>
      <c r="K2574" s="35" t="str">
        <f aca="false">IF($A2574="","",MOD(MONTH($A2574)-Setup!$B$6+12,12)+1)</f>
        <v/>
      </c>
      <c r="L2574" s="36" t="str">
        <f aca="false">IF($A2574="","",TEXT($A2574,"MMM-YY"))</f>
        <v/>
      </c>
      <c r="M2574" s="37" t="str">
        <f aca="false">IF($A2574="","",IF($Q2574=0,"UNMAPPED",INDEX(COA_Mapping!$C$7:$C$256,$Q2574)))</f>
        <v/>
      </c>
      <c r="N2574" s="38" t="str">
        <f aca="false">IF($A2574="","",IF($Q2574=0,"",INDEX(COA_Mapping!$E$7:$E$256,$Q2574)))</f>
        <v/>
      </c>
      <c r="O2574" s="38" t="n">
        <f aca="false">IF($A2574="",1,IF($Q2574=0,1,INDEX(COA_Mapping!$F$7:$F$256,$Q2574)))</f>
        <v>1</v>
      </c>
      <c r="P2574" s="34" t="str">
        <f aca="false">IF($A2574="","",$I2574*$O2574)</f>
        <v/>
      </c>
      <c r="Q2574" s="39" t="n">
        <f aca="false">IF($B2574="",0,IFERROR(MATCH($B2574,COA_Mapping!$A$7:$A$256,0),0))</f>
        <v>0</v>
      </c>
      <c r="R2574" s="39" t="n">
        <f aca="false">IF($A2574="",-1,IF($J2574=Setup!$B$7,1,IF($J2574=Setup!$B$9,0,-1)))</f>
        <v>-1</v>
      </c>
      <c r="S2574" s="35" t="n">
        <f aca="false">IF(OR($A2574="",$Q2574=0,$R2574=-1),0,$Q2574*1000+$R2574*100+$K2574)</f>
        <v>0</v>
      </c>
      <c r="T2574" s="37" t="str">
        <f aca="false">IF($A2574="","",IF($B2574="","NO ACCOUNT",IF($Q2574=0,"UNMAPPED",IF($R2574=-1,"OUTSIDE FY RANGE","OK"))))</f>
        <v/>
      </c>
      <c r="U2574" s="40" t="str">
        <f aca="false">IF($A2574="","",$B2574&amp;"|"&amp;TEXT($A2574,"yyyymmdd")&amp;"|"&amp;TEXT($I2574,"0.00"))</f>
        <v/>
      </c>
      <c r="V2574" s="35" t="str">
        <f aca="false">IF($A2574="","",COUNTIF($U$8:$U$5007,$U2574))</f>
        <v/>
      </c>
    </row>
    <row r="2575" customFormat="false" ht="15" hidden="false" customHeight="false" outlineLevel="0" collapsed="false">
      <c r="A2575" s="31"/>
      <c r="B2575" s="32"/>
      <c r="C2575" s="32"/>
      <c r="D2575" s="32"/>
      <c r="E2575" s="32"/>
      <c r="F2575" s="32"/>
      <c r="G2575" s="33"/>
      <c r="H2575" s="33"/>
      <c r="I2575" s="34" t="str">
        <f aca="false">IF($A2575="","",$G2575-$H2575)</f>
        <v/>
      </c>
      <c r="J2575" s="35" t="str">
        <f aca="false">IF($A2575="","",IF(Setup!$B$6=1,YEAR($A2575),YEAR($A2575)+IF(MONTH($A2575)&gt;=Setup!$B$6,1,0)))</f>
        <v/>
      </c>
      <c r="K2575" s="35" t="str">
        <f aca="false">IF($A2575="","",MOD(MONTH($A2575)-Setup!$B$6+12,12)+1)</f>
        <v/>
      </c>
      <c r="L2575" s="36" t="str">
        <f aca="false">IF($A2575="","",TEXT($A2575,"MMM-YY"))</f>
        <v/>
      </c>
      <c r="M2575" s="37" t="str">
        <f aca="false">IF($A2575="","",IF($Q2575=0,"UNMAPPED",INDEX(COA_Mapping!$C$7:$C$256,$Q2575)))</f>
        <v/>
      </c>
      <c r="N2575" s="38" t="str">
        <f aca="false">IF($A2575="","",IF($Q2575=0,"",INDEX(COA_Mapping!$E$7:$E$256,$Q2575)))</f>
        <v/>
      </c>
      <c r="O2575" s="38" t="n">
        <f aca="false">IF($A2575="",1,IF($Q2575=0,1,INDEX(COA_Mapping!$F$7:$F$256,$Q2575)))</f>
        <v>1</v>
      </c>
      <c r="P2575" s="34" t="str">
        <f aca="false">IF($A2575="","",$I2575*$O2575)</f>
        <v/>
      </c>
      <c r="Q2575" s="39" t="n">
        <f aca="false">IF($B2575="",0,IFERROR(MATCH($B2575,COA_Mapping!$A$7:$A$256,0),0))</f>
        <v>0</v>
      </c>
      <c r="R2575" s="39" t="n">
        <f aca="false">IF($A2575="",-1,IF($J2575=Setup!$B$7,1,IF($J2575=Setup!$B$9,0,-1)))</f>
        <v>-1</v>
      </c>
      <c r="S2575" s="35" t="n">
        <f aca="false">IF(OR($A2575="",$Q2575=0,$R2575=-1),0,$Q2575*1000+$R2575*100+$K2575)</f>
        <v>0</v>
      </c>
      <c r="T2575" s="37" t="str">
        <f aca="false">IF($A2575="","",IF($B2575="","NO ACCOUNT",IF($Q2575=0,"UNMAPPED",IF($R2575=-1,"OUTSIDE FY RANGE","OK"))))</f>
        <v/>
      </c>
      <c r="U2575" s="40" t="str">
        <f aca="false">IF($A2575="","",$B2575&amp;"|"&amp;TEXT($A2575,"yyyymmdd")&amp;"|"&amp;TEXT($I2575,"0.00"))</f>
        <v/>
      </c>
      <c r="V2575" s="35" t="str">
        <f aca="false">IF($A2575="","",COUNTIF($U$8:$U$5007,$U2575))</f>
        <v/>
      </c>
    </row>
    <row r="2576" customFormat="false" ht="15" hidden="false" customHeight="false" outlineLevel="0" collapsed="false">
      <c r="A2576" s="31"/>
      <c r="B2576" s="32"/>
      <c r="C2576" s="32"/>
      <c r="D2576" s="32"/>
      <c r="E2576" s="32"/>
      <c r="F2576" s="32"/>
      <c r="G2576" s="33"/>
      <c r="H2576" s="33"/>
      <c r="I2576" s="34" t="str">
        <f aca="false">IF($A2576="","",$G2576-$H2576)</f>
        <v/>
      </c>
      <c r="J2576" s="35" t="str">
        <f aca="false">IF($A2576="","",IF(Setup!$B$6=1,YEAR($A2576),YEAR($A2576)+IF(MONTH($A2576)&gt;=Setup!$B$6,1,0)))</f>
        <v/>
      </c>
      <c r="K2576" s="35" t="str">
        <f aca="false">IF($A2576="","",MOD(MONTH($A2576)-Setup!$B$6+12,12)+1)</f>
        <v/>
      </c>
      <c r="L2576" s="36" t="str">
        <f aca="false">IF($A2576="","",TEXT($A2576,"MMM-YY"))</f>
        <v/>
      </c>
      <c r="M2576" s="37" t="str">
        <f aca="false">IF($A2576="","",IF($Q2576=0,"UNMAPPED",INDEX(COA_Mapping!$C$7:$C$256,$Q2576)))</f>
        <v/>
      </c>
      <c r="N2576" s="38" t="str">
        <f aca="false">IF($A2576="","",IF($Q2576=0,"",INDEX(COA_Mapping!$E$7:$E$256,$Q2576)))</f>
        <v/>
      </c>
      <c r="O2576" s="38" t="n">
        <f aca="false">IF($A2576="",1,IF($Q2576=0,1,INDEX(COA_Mapping!$F$7:$F$256,$Q2576)))</f>
        <v>1</v>
      </c>
      <c r="P2576" s="34" t="str">
        <f aca="false">IF($A2576="","",$I2576*$O2576)</f>
        <v/>
      </c>
      <c r="Q2576" s="39" t="n">
        <f aca="false">IF($B2576="",0,IFERROR(MATCH($B2576,COA_Mapping!$A$7:$A$256,0),0))</f>
        <v>0</v>
      </c>
      <c r="R2576" s="39" t="n">
        <f aca="false">IF($A2576="",-1,IF($J2576=Setup!$B$7,1,IF($J2576=Setup!$B$9,0,-1)))</f>
        <v>-1</v>
      </c>
      <c r="S2576" s="35" t="n">
        <f aca="false">IF(OR($A2576="",$Q2576=0,$R2576=-1),0,$Q2576*1000+$R2576*100+$K2576)</f>
        <v>0</v>
      </c>
      <c r="T2576" s="37" t="str">
        <f aca="false">IF($A2576="","",IF($B2576="","NO ACCOUNT",IF($Q2576=0,"UNMAPPED",IF($R2576=-1,"OUTSIDE FY RANGE","OK"))))</f>
        <v/>
      </c>
      <c r="U2576" s="40" t="str">
        <f aca="false">IF($A2576="","",$B2576&amp;"|"&amp;TEXT($A2576,"yyyymmdd")&amp;"|"&amp;TEXT($I2576,"0.00"))</f>
        <v/>
      </c>
      <c r="V2576" s="35" t="str">
        <f aca="false">IF($A2576="","",COUNTIF($U$8:$U$5007,$U2576))</f>
        <v/>
      </c>
    </row>
    <row r="2577" customFormat="false" ht="15" hidden="false" customHeight="false" outlineLevel="0" collapsed="false">
      <c r="A2577" s="31"/>
      <c r="B2577" s="32"/>
      <c r="C2577" s="32"/>
      <c r="D2577" s="32"/>
      <c r="E2577" s="32"/>
      <c r="F2577" s="32"/>
      <c r="G2577" s="33"/>
      <c r="H2577" s="33"/>
      <c r="I2577" s="34" t="str">
        <f aca="false">IF($A2577="","",$G2577-$H2577)</f>
        <v/>
      </c>
      <c r="J2577" s="35" t="str">
        <f aca="false">IF($A2577="","",IF(Setup!$B$6=1,YEAR($A2577),YEAR($A2577)+IF(MONTH($A2577)&gt;=Setup!$B$6,1,0)))</f>
        <v/>
      </c>
      <c r="K2577" s="35" t="str">
        <f aca="false">IF($A2577="","",MOD(MONTH($A2577)-Setup!$B$6+12,12)+1)</f>
        <v/>
      </c>
      <c r="L2577" s="36" t="str">
        <f aca="false">IF($A2577="","",TEXT($A2577,"MMM-YY"))</f>
        <v/>
      </c>
      <c r="M2577" s="37" t="str">
        <f aca="false">IF($A2577="","",IF($Q2577=0,"UNMAPPED",INDEX(COA_Mapping!$C$7:$C$256,$Q2577)))</f>
        <v/>
      </c>
      <c r="N2577" s="38" t="str">
        <f aca="false">IF($A2577="","",IF($Q2577=0,"",INDEX(COA_Mapping!$E$7:$E$256,$Q2577)))</f>
        <v/>
      </c>
      <c r="O2577" s="38" t="n">
        <f aca="false">IF($A2577="",1,IF($Q2577=0,1,INDEX(COA_Mapping!$F$7:$F$256,$Q2577)))</f>
        <v>1</v>
      </c>
      <c r="P2577" s="34" t="str">
        <f aca="false">IF($A2577="","",$I2577*$O2577)</f>
        <v/>
      </c>
      <c r="Q2577" s="39" t="n">
        <f aca="false">IF($B2577="",0,IFERROR(MATCH($B2577,COA_Mapping!$A$7:$A$256,0),0))</f>
        <v>0</v>
      </c>
      <c r="R2577" s="39" t="n">
        <f aca="false">IF($A2577="",-1,IF($J2577=Setup!$B$7,1,IF($J2577=Setup!$B$9,0,-1)))</f>
        <v>-1</v>
      </c>
      <c r="S2577" s="35" t="n">
        <f aca="false">IF(OR($A2577="",$Q2577=0,$R2577=-1),0,$Q2577*1000+$R2577*100+$K2577)</f>
        <v>0</v>
      </c>
      <c r="T2577" s="37" t="str">
        <f aca="false">IF($A2577="","",IF($B2577="","NO ACCOUNT",IF($Q2577=0,"UNMAPPED",IF($R2577=-1,"OUTSIDE FY RANGE","OK"))))</f>
        <v/>
      </c>
      <c r="U2577" s="40" t="str">
        <f aca="false">IF($A2577="","",$B2577&amp;"|"&amp;TEXT($A2577,"yyyymmdd")&amp;"|"&amp;TEXT($I2577,"0.00"))</f>
        <v/>
      </c>
      <c r="V2577" s="35" t="str">
        <f aca="false">IF($A2577="","",COUNTIF($U$8:$U$5007,$U2577))</f>
        <v/>
      </c>
    </row>
    <row r="2578" customFormat="false" ht="15" hidden="false" customHeight="false" outlineLevel="0" collapsed="false">
      <c r="A2578" s="31"/>
      <c r="B2578" s="32"/>
      <c r="C2578" s="32"/>
      <c r="D2578" s="32"/>
      <c r="E2578" s="32"/>
      <c r="F2578" s="32"/>
      <c r="G2578" s="33"/>
      <c r="H2578" s="33"/>
      <c r="I2578" s="34" t="str">
        <f aca="false">IF($A2578="","",$G2578-$H2578)</f>
        <v/>
      </c>
      <c r="J2578" s="35" t="str">
        <f aca="false">IF($A2578="","",IF(Setup!$B$6=1,YEAR($A2578),YEAR($A2578)+IF(MONTH($A2578)&gt;=Setup!$B$6,1,0)))</f>
        <v/>
      </c>
      <c r="K2578" s="35" t="str">
        <f aca="false">IF($A2578="","",MOD(MONTH($A2578)-Setup!$B$6+12,12)+1)</f>
        <v/>
      </c>
      <c r="L2578" s="36" t="str">
        <f aca="false">IF($A2578="","",TEXT($A2578,"MMM-YY"))</f>
        <v/>
      </c>
      <c r="M2578" s="37" t="str">
        <f aca="false">IF($A2578="","",IF($Q2578=0,"UNMAPPED",INDEX(COA_Mapping!$C$7:$C$256,$Q2578)))</f>
        <v/>
      </c>
      <c r="N2578" s="38" t="str">
        <f aca="false">IF($A2578="","",IF($Q2578=0,"",INDEX(COA_Mapping!$E$7:$E$256,$Q2578)))</f>
        <v/>
      </c>
      <c r="O2578" s="38" t="n">
        <f aca="false">IF($A2578="",1,IF($Q2578=0,1,INDEX(COA_Mapping!$F$7:$F$256,$Q2578)))</f>
        <v>1</v>
      </c>
      <c r="P2578" s="34" t="str">
        <f aca="false">IF($A2578="","",$I2578*$O2578)</f>
        <v/>
      </c>
      <c r="Q2578" s="39" t="n">
        <f aca="false">IF($B2578="",0,IFERROR(MATCH($B2578,COA_Mapping!$A$7:$A$256,0),0))</f>
        <v>0</v>
      </c>
      <c r="R2578" s="39" t="n">
        <f aca="false">IF($A2578="",-1,IF($J2578=Setup!$B$7,1,IF($J2578=Setup!$B$9,0,-1)))</f>
        <v>-1</v>
      </c>
      <c r="S2578" s="35" t="n">
        <f aca="false">IF(OR($A2578="",$Q2578=0,$R2578=-1),0,$Q2578*1000+$R2578*100+$K2578)</f>
        <v>0</v>
      </c>
      <c r="T2578" s="37" t="str">
        <f aca="false">IF($A2578="","",IF($B2578="","NO ACCOUNT",IF($Q2578=0,"UNMAPPED",IF($R2578=-1,"OUTSIDE FY RANGE","OK"))))</f>
        <v/>
      </c>
      <c r="U2578" s="40" t="str">
        <f aca="false">IF($A2578="","",$B2578&amp;"|"&amp;TEXT($A2578,"yyyymmdd")&amp;"|"&amp;TEXT($I2578,"0.00"))</f>
        <v/>
      </c>
      <c r="V2578" s="35" t="str">
        <f aca="false">IF($A2578="","",COUNTIF($U$8:$U$5007,$U2578))</f>
        <v/>
      </c>
    </row>
    <row r="2579" customFormat="false" ht="15" hidden="false" customHeight="false" outlineLevel="0" collapsed="false">
      <c r="A2579" s="31"/>
      <c r="B2579" s="32"/>
      <c r="C2579" s="32"/>
      <c r="D2579" s="32"/>
      <c r="E2579" s="32"/>
      <c r="F2579" s="32"/>
      <c r="G2579" s="33"/>
      <c r="H2579" s="33"/>
      <c r="I2579" s="34" t="str">
        <f aca="false">IF($A2579="","",$G2579-$H2579)</f>
        <v/>
      </c>
      <c r="J2579" s="35" t="str">
        <f aca="false">IF($A2579="","",IF(Setup!$B$6=1,YEAR($A2579),YEAR($A2579)+IF(MONTH($A2579)&gt;=Setup!$B$6,1,0)))</f>
        <v/>
      </c>
      <c r="K2579" s="35" t="str">
        <f aca="false">IF($A2579="","",MOD(MONTH($A2579)-Setup!$B$6+12,12)+1)</f>
        <v/>
      </c>
      <c r="L2579" s="36" t="str">
        <f aca="false">IF($A2579="","",TEXT($A2579,"MMM-YY"))</f>
        <v/>
      </c>
      <c r="M2579" s="37" t="str">
        <f aca="false">IF($A2579="","",IF($Q2579=0,"UNMAPPED",INDEX(COA_Mapping!$C$7:$C$256,$Q2579)))</f>
        <v/>
      </c>
      <c r="N2579" s="38" t="str">
        <f aca="false">IF($A2579="","",IF($Q2579=0,"",INDEX(COA_Mapping!$E$7:$E$256,$Q2579)))</f>
        <v/>
      </c>
      <c r="O2579" s="38" t="n">
        <f aca="false">IF($A2579="",1,IF($Q2579=0,1,INDEX(COA_Mapping!$F$7:$F$256,$Q2579)))</f>
        <v>1</v>
      </c>
      <c r="P2579" s="34" t="str">
        <f aca="false">IF($A2579="","",$I2579*$O2579)</f>
        <v/>
      </c>
      <c r="Q2579" s="39" t="n">
        <f aca="false">IF($B2579="",0,IFERROR(MATCH($B2579,COA_Mapping!$A$7:$A$256,0),0))</f>
        <v>0</v>
      </c>
      <c r="R2579" s="39" t="n">
        <f aca="false">IF($A2579="",-1,IF($J2579=Setup!$B$7,1,IF($J2579=Setup!$B$9,0,-1)))</f>
        <v>-1</v>
      </c>
      <c r="S2579" s="35" t="n">
        <f aca="false">IF(OR($A2579="",$Q2579=0,$R2579=-1),0,$Q2579*1000+$R2579*100+$K2579)</f>
        <v>0</v>
      </c>
      <c r="T2579" s="37" t="str">
        <f aca="false">IF($A2579="","",IF($B2579="","NO ACCOUNT",IF($Q2579=0,"UNMAPPED",IF($R2579=-1,"OUTSIDE FY RANGE","OK"))))</f>
        <v/>
      </c>
      <c r="U2579" s="40" t="str">
        <f aca="false">IF($A2579="","",$B2579&amp;"|"&amp;TEXT($A2579,"yyyymmdd")&amp;"|"&amp;TEXT($I2579,"0.00"))</f>
        <v/>
      </c>
      <c r="V2579" s="35" t="str">
        <f aca="false">IF($A2579="","",COUNTIF($U$8:$U$5007,$U2579))</f>
        <v/>
      </c>
    </row>
    <row r="2580" customFormat="false" ht="15" hidden="false" customHeight="false" outlineLevel="0" collapsed="false">
      <c r="A2580" s="31"/>
      <c r="B2580" s="32"/>
      <c r="C2580" s="32"/>
      <c r="D2580" s="32"/>
      <c r="E2580" s="32"/>
      <c r="F2580" s="32"/>
      <c r="G2580" s="33"/>
      <c r="H2580" s="33"/>
      <c r="I2580" s="34" t="str">
        <f aca="false">IF($A2580="","",$G2580-$H2580)</f>
        <v/>
      </c>
      <c r="J2580" s="35" t="str">
        <f aca="false">IF($A2580="","",IF(Setup!$B$6=1,YEAR($A2580),YEAR($A2580)+IF(MONTH($A2580)&gt;=Setup!$B$6,1,0)))</f>
        <v/>
      </c>
      <c r="K2580" s="35" t="str">
        <f aca="false">IF($A2580="","",MOD(MONTH($A2580)-Setup!$B$6+12,12)+1)</f>
        <v/>
      </c>
      <c r="L2580" s="36" t="str">
        <f aca="false">IF($A2580="","",TEXT($A2580,"MMM-YY"))</f>
        <v/>
      </c>
      <c r="M2580" s="37" t="str">
        <f aca="false">IF($A2580="","",IF($Q2580=0,"UNMAPPED",INDEX(COA_Mapping!$C$7:$C$256,$Q2580)))</f>
        <v/>
      </c>
      <c r="N2580" s="38" t="str">
        <f aca="false">IF($A2580="","",IF($Q2580=0,"",INDEX(COA_Mapping!$E$7:$E$256,$Q2580)))</f>
        <v/>
      </c>
      <c r="O2580" s="38" t="n">
        <f aca="false">IF($A2580="",1,IF($Q2580=0,1,INDEX(COA_Mapping!$F$7:$F$256,$Q2580)))</f>
        <v>1</v>
      </c>
      <c r="P2580" s="34" t="str">
        <f aca="false">IF($A2580="","",$I2580*$O2580)</f>
        <v/>
      </c>
      <c r="Q2580" s="39" t="n">
        <f aca="false">IF($B2580="",0,IFERROR(MATCH($B2580,COA_Mapping!$A$7:$A$256,0),0))</f>
        <v>0</v>
      </c>
      <c r="R2580" s="39" t="n">
        <f aca="false">IF($A2580="",-1,IF($J2580=Setup!$B$7,1,IF($J2580=Setup!$B$9,0,-1)))</f>
        <v>-1</v>
      </c>
      <c r="S2580" s="35" t="n">
        <f aca="false">IF(OR($A2580="",$Q2580=0,$R2580=-1),0,$Q2580*1000+$R2580*100+$K2580)</f>
        <v>0</v>
      </c>
      <c r="T2580" s="37" t="str">
        <f aca="false">IF($A2580="","",IF($B2580="","NO ACCOUNT",IF($Q2580=0,"UNMAPPED",IF($R2580=-1,"OUTSIDE FY RANGE","OK"))))</f>
        <v/>
      </c>
      <c r="U2580" s="40" t="str">
        <f aca="false">IF($A2580="","",$B2580&amp;"|"&amp;TEXT($A2580,"yyyymmdd")&amp;"|"&amp;TEXT($I2580,"0.00"))</f>
        <v/>
      </c>
      <c r="V2580" s="35" t="str">
        <f aca="false">IF($A2580="","",COUNTIF($U$8:$U$5007,$U2580))</f>
        <v/>
      </c>
    </row>
    <row r="2581" customFormat="false" ht="15" hidden="false" customHeight="false" outlineLevel="0" collapsed="false">
      <c r="A2581" s="31"/>
      <c r="B2581" s="32"/>
      <c r="C2581" s="32"/>
      <c r="D2581" s="32"/>
      <c r="E2581" s="32"/>
      <c r="F2581" s="32"/>
      <c r="G2581" s="33"/>
      <c r="H2581" s="33"/>
      <c r="I2581" s="34" t="str">
        <f aca="false">IF($A2581="","",$G2581-$H2581)</f>
        <v/>
      </c>
      <c r="J2581" s="35" t="str">
        <f aca="false">IF($A2581="","",IF(Setup!$B$6=1,YEAR($A2581),YEAR($A2581)+IF(MONTH($A2581)&gt;=Setup!$B$6,1,0)))</f>
        <v/>
      </c>
      <c r="K2581" s="35" t="str">
        <f aca="false">IF($A2581="","",MOD(MONTH($A2581)-Setup!$B$6+12,12)+1)</f>
        <v/>
      </c>
      <c r="L2581" s="36" t="str">
        <f aca="false">IF($A2581="","",TEXT($A2581,"MMM-YY"))</f>
        <v/>
      </c>
      <c r="M2581" s="37" t="str">
        <f aca="false">IF($A2581="","",IF($Q2581=0,"UNMAPPED",INDEX(COA_Mapping!$C$7:$C$256,$Q2581)))</f>
        <v/>
      </c>
      <c r="N2581" s="38" t="str">
        <f aca="false">IF($A2581="","",IF($Q2581=0,"",INDEX(COA_Mapping!$E$7:$E$256,$Q2581)))</f>
        <v/>
      </c>
      <c r="O2581" s="38" t="n">
        <f aca="false">IF($A2581="",1,IF($Q2581=0,1,INDEX(COA_Mapping!$F$7:$F$256,$Q2581)))</f>
        <v>1</v>
      </c>
      <c r="P2581" s="34" t="str">
        <f aca="false">IF($A2581="","",$I2581*$O2581)</f>
        <v/>
      </c>
      <c r="Q2581" s="39" t="n">
        <f aca="false">IF($B2581="",0,IFERROR(MATCH($B2581,COA_Mapping!$A$7:$A$256,0),0))</f>
        <v>0</v>
      </c>
      <c r="R2581" s="39" t="n">
        <f aca="false">IF($A2581="",-1,IF($J2581=Setup!$B$7,1,IF($J2581=Setup!$B$9,0,-1)))</f>
        <v>-1</v>
      </c>
      <c r="S2581" s="35" t="n">
        <f aca="false">IF(OR($A2581="",$Q2581=0,$R2581=-1),0,$Q2581*1000+$R2581*100+$K2581)</f>
        <v>0</v>
      </c>
      <c r="T2581" s="37" t="str">
        <f aca="false">IF($A2581="","",IF($B2581="","NO ACCOUNT",IF($Q2581=0,"UNMAPPED",IF($R2581=-1,"OUTSIDE FY RANGE","OK"))))</f>
        <v/>
      </c>
      <c r="U2581" s="40" t="str">
        <f aca="false">IF($A2581="","",$B2581&amp;"|"&amp;TEXT($A2581,"yyyymmdd")&amp;"|"&amp;TEXT($I2581,"0.00"))</f>
        <v/>
      </c>
      <c r="V2581" s="35" t="str">
        <f aca="false">IF($A2581="","",COUNTIF($U$8:$U$5007,$U2581))</f>
        <v/>
      </c>
    </row>
    <row r="2582" customFormat="false" ht="15" hidden="false" customHeight="false" outlineLevel="0" collapsed="false">
      <c r="A2582" s="31"/>
      <c r="B2582" s="32"/>
      <c r="C2582" s="32"/>
      <c r="D2582" s="32"/>
      <c r="E2582" s="32"/>
      <c r="F2582" s="32"/>
      <c r="G2582" s="33"/>
      <c r="H2582" s="33"/>
      <c r="I2582" s="34" t="str">
        <f aca="false">IF($A2582="","",$G2582-$H2582)</f>
        <v/>
      </c>
      <c r="J2582" s="35" t="str">
        <f aca="false">IF($A2582="","",IF(Setup!$B$6=1,YEAR($A2582),YEAR($A2582)+IF(MONTH($A2582)&gt;=Setup!$B$6,1,0)))</f>
        <v/>
      </c>
      <c r="K2582" s="35" t="str">
        <f aca="false">IF($A2582="","",MOD(MONTH($A2582)-Setup!$B$6+12,12)+1)</f>
        <v/>
      </c>
      <c r="L2582" s="36" t="str">
        <f aca="false">IF($A2582="","",TEXT($A2582,"MMM-YY"))</f>
        <v/>
      </c>
      <c r="M2582" s="37" t="str">
        <f aca="false">IF($A2582="","",IF($Q2582=0,"UNMAPPED",INDEX(COA_Mapping!$C$7:$C$256,$Q2582)))</f>
        <v/>
      </c>
      <c r="N2582" s="38" t="str">
        <f aca="false">IF($A2582="","",IF($Q2582=0,"",INDEX(COA_Mapping!$E$7:$E$256,$Q2582)))</f>
        <v/>
      </c>
      <c r="O2582" s="38" t="n">
        <f aca="false">IF($A2582="",1,IF($Q2582=0,1,INDEX(COA_Mapping!$F$7:$F$256,$Q2582)))</f>
        <v>1</v>
      </c>
      <c r="P2582" s="34" t="str">
        <f aca="false">IF($A2582="","",$I2582*$O2582)</f>
        <v/>
      </c>
      <c r="Q2582" s="39" t="n">
        <f aca="false">IF($B2582="",0,IFERROR(MATCH($B2582,COA_Mapping!$A$7:$A$256,0),0))</f>
        <v>0</v>
      </c>
      <c r="R2582" s="39" t="n">
        <f aca="false">IF($A2582="",-1,IF($J2582=Setup!$B$7,1,IF($J2582=Setup!$B$9,0,-1)))</f>
        <v>-1</v>
      </c>
      <c r="S2582" s="35" t="n">
        <f aca="false">IF(OR($A2582="",$Q2582=0,$R2582=-1),0,$Q2582*1000+$R2582*100+$K2582)</f>
        <v>0</v>
      </c>
      <c r="T2582" s="37" t="str">
        <f aca="false">IF($A2582="","",IF($B2582="","NO ACCOUNT",IF($Q2582=0,"UNMAPPED",IF($R2582=-1,"OUTSIDE FY RANGE","OK"))))</f>
        <v/>
      </c>
      <c r="U2582" s="40" t="str">
        <f aca="false">IF($A2582="","",$B2582&amp;"|"&amp;TEXT($A2582,"yyyymmdd")&amp;"|"&amp;TEXT($I2582,"0.00"))</f>
        <v/>
      </c>
      <c r="V2582" s="35" t="str">
        <f aca="false">IF($A2582="","",COUNTIF($U$8:$U$5007,$U2582))</f>
        <v/>
      </c>
    </row>
    <row r="2583" customFormat="false" ht="15" hidden="false" customHeight="false" outlineLevel="0" collapsed="false">
      <c r="A2583" s="31"/>
      <c r="B2583" s="32"/>
      <c r="C2583" s="32"/>
      <c r="D2583" s="32"/>
      <c r="E2583" s="32"/>
      <c r="F2583" s="32"/>
      <c r="G2583" s="33"/>
      <c r="H2583" s="33"/>
      <c r="I2583" s="34" t="str">
        <f aca="false">IF($A2583="","",$G2583-$H2583)</f>
        <v/>
      </c>
      <c r="J2583" s="35" t="str">
        <f aca="false">IF($A2583="","",IF(Setup!$B$6=1,YEAR($A2583),YEAR($A2583)+IF(MONTH($A2583)&gt;=Setup!$B$6,1,0)))</f>
        <v/>
      </c>
      <c r="K2583" s="35" t="str">
        <f aca="false">IF($A2583="","",MOD(MONTH($A2583)-Setup!$B$6+12,12)+1)</f>
        <v/>
      </c>
      <c r="L2583" s="36" t="str">
        <f aca="false">IF($A2583="","",TEXT($A2583,"MMM-YY"))</f>
        <v/>
      </c>
      <c r="M2583" s="37" t="str">
        <f aca="false">IF($A2583="","",IF($Q2583=0,"UNMAPPED",INDEX(COA_Mapping!$C$7:$C$256,$Q2583)))</f>
        <v/>
      </c>
      <c r="N2583" s="38" t="str">
        <f aca="false">IF($A2583="","",IF($Q2583=0,"",INDEX(COA_Mapping!$E$7:$E$256,$Q2583)))</f>
        <v/>
      </c>
      <c r="O2583" s="38" t="n">
        <f aca="false">IF($A2583="",1,IF($Q2583=0,1,INDEX(COA_Mapping!$F$7:$F$256,$Q2583)))</f>
        <v>1</v>
      </c>
      <c r="P2583" s="34" t="str">
        <f aca="false">IF($A2583="","",$I2583*$O2583)</f>
        <v/>
      </c>
      <c r="Q2583" s="39" t="n">
        <f aca="false">IF($B2583="",0,IFERROR(MATCH($B2583,COA_Mapping!$A$7:$A$256,0),0))</f>
        <v>0</v>
      </c>
      <c r="R2583" s="39" t="n">
        <f aca="false">IF($A2583="",-1,IF($J2583=Setup!$B$7,1,IF($J2583=Setup!$B$9,0,-1)))</f>
        <v>-1</v>
      </c>
      <c r="S2583" s="35" t="n">
        <f aca="false">IF(OR($A2583="",$Q2583=0,$R2583=-1),0,$Q2583*1000+$R2583*100+$K2583)</f>
        <v>0</v>
      </c>
      <c r="T2583" s="37" t="str">
        <f aca="false">IF($A2583="","",IF($B2583="","NO ACCOUNT",IF($Q2583=0,"UNMAPPED",IF($R2583=-1,"OUTSIDE FY RANGE","OK"))))</f>
        <v/>
      </c>
      <c r="U2583" s="40" t="str">
        <f aca="false">IF($A2583="","",$B2583&amp;"|"&amp;TEXT($A2583,"yyyymmdd")&amp;"|"&amp;TEXT($I2583,"0.00"))</f>
        <v/>
      </c>
      <c r="V2583" s="35" t="str">
        <f aca="false">IF($A2583="","",COUNTIF($U$8:$U$5007,$U2583))</f>
        <v/>
      </c>
    </row>
    <row r="2584" customFormat="false" ht="15" hidden="false" customHeight="false" outlineLevel="0" collapsed="false">
      <c r="A2584" s="31"/>
      <c r="B2584" s="32"/>
      <c r="C2584" s="32"/>
      <c r="D2584" s="32"/>
      <c r="E2584" s="32"/>
      <c r="F2584" s="32"/>
      <c r="G2584" s="33"/>
      <c r="H2584" s="33"/>
      <c r="I2584" s="34" t="str">
        <f aca="false">IF($A2584="","",$G2584-$H2584)</f>
        <v/>
      </c>
      <c r="J2584" s="35" t="str">
        <f aca="false">IF($A2584="","",IF(Setup!$B$6=1,YEAR($A2584),YEAR($A2584)+IF(MONTH($A2584)&gt;=Setup!$B$6,1,0)))</f>
        <v/>
      </c>
      <c r="K2584" s="35" t="str">
        <f aca="false">IF($A2584="","",MOD(MONTH($A2584)-Setup!$B$6+12,12)+1)</f>
        <v/>
      </c>
      <c r="L2584" s="36" t="str">
        <f aca="false">IF($A2584="","",TEXT($A2584,"MMM-YY"))</f>
        <v/>
      </c>
      <c r="M2584" s="37" t="str">
        <f aca="false">IF($A2584="","",IF($Q2584=0,"UNMAPPED",INDEX(COA_Mapping!$C$7:$C$256,$Q2584)))</f>
        <v/>
      </c>
      <c r="N2584" s="38" t="str">
        <f aca="false">IF($A2584="","",IF($Q2584=0,"",INDEX(COA_Mapping!$E$7:$E$256,$Q2584)))</f>
        <v/>
      </c>
      <c r="O2584" s="38" t="n">
        <f aca="false">IF($A2584="",1,IF($Q2584=0,1,INDEX(COA_Mapping!$F$7:$F$256,$Q2584)))</f>
        <v>1</v>
      </c>
      <c r="P2584" s="34" t="str">
        <f aca="false">IF($A2584="","",$I2584*$O2584)</f>
        <v/>
      </c>
      <c r="Q2584" s="39" t="n">
        <f aca="false">IF($B2584="",0,IFERROR(MATCH($B2584,COA_Mapping!$A$7:$A$256,0),0))</f>
        <v>0</v>
      </c>
      <c r="R2584" s="39" t="n">
        <f aca="false">IF($A2584="",-1,IF($J2584=Setup!$B$7,1,IF($J2584=Setup!$B$9,0,-1)))</f>
        <v>-1</v>
      </c>
      <c r="S2584" s="35" t="n">
        <f aca="false">IF(OR($A2584="",$Q2584=0,$R2584=-1),0,$Q2584*1000+$R2584*100+$K2584)</f>
        <v>0</v>
      </c>
      <c r="T2584" s="37" t="str">
        <f aca="false">IF($A2584="","",IF($B2584="","NO ACCOUNT",IF($Q2584=0,"UNMAPPED",IF($R2584=-1,"OUTSIDE FY RANGE","OK"))))</f>
        <v/>
      </c>
      <c r="U2584" s="40" t="str">
        <f aca="false">IF($A2584="","",$B2584&amp;"|"&amp;TEXT($A2584,"yyyymmdd")&amp;"|"&amp;TEXT($I2584,"0.00"))</f>
        <v/>
      </c>
      <c r="V2584" s="35" t="str">
        <f aca="false">IF($A2584="","",COUNTIF($U$8:$U$5007,$U2584))</f>
        <v/>
      </c>
    </row>
    <row r="2585" customFormat="false" ht="15" hidden="false" customHeight="false" outlineLevel="0" collapsed="false">
      <c r="A2585" s="31"/>
      <c r="B2585" s="32"/>
      <c r="C2585" s="32"/>
      <c r="D2585" s="32"/>
      <c r="E2585" s="32"/>
      <c r="F2585" s="32"/>
      <c r="G2585" s="33"/>
      <c r="H2585" s="33"/>
      <c r="I2585" s="34" t="str">
        <f aca="false">IF($A2585="","",$G2585-$H2585)</f>
        <v/>
      </c>
      <c r="J2585" s="35" t="str">
        <f aca="false">IF($A2585="","",IF(Setup!$B$6=1,YEAR($A2585),YEAR($A2585)+IF(MONTH($A2585)&gt;=Setup!$B$6,1,0)))</f>
        <v/>
      </c>
      <c r="K2585" s="35" t="str">
        <f aca="false">IF($A2585="","",MOD(MONTH($A2585)-Setup!$B$6+12,12)+1)</f>
        <v/>
      </c>
      <c r="L2585" s="36" t="str">
        <f aca="false">IF($A2585="","",TEXT($A2585,"MMM-YY"))</f>
        <v/>
      </c>
      <c r="M2585" s="37" t="str">
        <f aca="false">IF($A2585="","",IF($Q2585=0,"UNMAPPED",INDEX(COA_Mapping!$C$7:$C$256,$Q2585)))</f>
        <v/>
      </c>
      <c r="N2585" s="38" t="str">
        <f aca="false">IF($A2585="","",IF($Q2585=0,"",INDEX(COA_Mapping!$E$7:$E$256,$Q2585)))</f>
        <v/>
      </c>
      <c r="O2585" s="38" t="n">
        <f aca="false">IF($A2585="",1,IF($Q2585=0,1,INDEX(COA_Mapping!$F$7:$F$256,$Q2585)))</f>
        <v>1</v>
      </c>
      <c r="P2585" s="34" t="str">
        <f aca="false">IF($A2585="","",$I2585*$O2585)</f>
        <v/>
      </c>
      <c r="Q2585" s="39" t="n">
        <f aca="false">IF($B2585="",0,IFERROR(MATCH($B2585,COA_Mapping!$A$7:$A$256,0),0))</f>
        <v>0</v>
      </c>
      <c r="R2585" s="39" t="n">
        <f aca="false">IF($A2585="",-1,IF($J2585=Setup!$B$7,1,IF($J2585=Setup!$B$9,0,-1)))</f>
        <v>-1</v>
      </c>
      <c r="S2585" s="35" t="n">
        <f aca="false">IF(OR($A2585="",$Q2585=0,$R2585=-1),0,$Q2585*1000+$R2585*100+$K2585)</f>
        <v>0</v>
      </c>
      <c r="T2585" s="37" t="str">
        <f aca="false">IF($A2585="","",IF($B2585="","NO ACCOUNT",IF($Q2585=0,"UNMAPPED",IF($R2585=-1,"OUTSIDE FY RANGE","OK"))))</f>
        <v/>
      </c>
      <c r="U2585" s="40" t="str">
        <f aca="false">IF($A2585="","",$B2585&amp;"|"&amp;TEXT($A2585,"yyyymmdd")&amp;"|"&amp;TEXT($I2585,"0.00"))</f>
        <v/>
      </c>
      <c r="V2585" s="35" t="str">
        <f aca="false">IF($A2585="","",COUNTIF($U$8:$U$5007,$U2585))</f>
        <v/>
      </c>
    </row>
    <row r="2586" customFormat="false" ht="15" hidden="false" customHeight="false" outlineLevel="0" collapsed="false">
      <c r="A2586" s="31"/>
      <c r="B2586" s="32"/>
      <c r="C2586" s="32"/>
      <c r="D2586" s="32"/>
      <c r="E2586" s="32"/>
      <c r="F2586" s="32"/>
      <c r="G2586" s="33"/>
      <c r="H2586" s="33"/>
      <c r="I2586" s="34" t="str">
        <f aca="false">IF($A2586="","",$G2586-$H2586)</f>
        <v/>
      </c>
      <c r="J2586" s="35" t="str">
        <f aca="false">IF($A2586="","",IF(Setup!$B$6=1,YEAR($A2586),YEAR($A2586)+IF(MONTH($A2586)&gt;=Setup!$B$6,1,0)))</f>
        <v/>
      </c>
      <c r="K2586" s="35" t="str">
        <f aca="false">IF($A2586="","",MOD(MONTH($A2586)-Setup!$B$6+12,12)+1)</f>
        <v/>
      </c>
      <c r="L2586" s="36" t="str">
        <f aca="false">IF($A2586="","",TEXT($A2586,"MMM-YY"))</f>
        <v/>
      </c>
      <c r="M2586" s="37" t="str">
        <f aca="false">IF($A2586="","",IF($Q2586=0,"UNMAPPED",INDEX(COA_Mapping!$C$7:$C$256,$Q2586)))</f>
        <v/>
      </c>
      <c r="N2586" s="38" t="str">
        <f aca="false">IF($A2586="","",IF($Q2586=0,"",INDEX(COA_Mapping!$E$7:$E$256,$Q2586)))</f>
        <v/>
      </c>
      <c r="O2586" s="38" t="n">
        <f aca="false">IF($A2586="",1,IF($Q2586=0,1,INDEX(COA_Mapping!$F$7:$F$256,$Q2586)))</f>
        <v>1</v>
      </c>
      <c r="P2586" s="34" t="str">
        <f aca="false">IF($A2586="","",$I2586*$O2586)</f>
        <v/>
      </c>
      <c r="Q2586" s="39" t="n">
        <f aca="false">IF($B2586="",0,IFERROR(MATCH($B2586,COA_Mapping!$A$7:$A$256,0),0))</f>
        <v>0</v>
      </c>
      <c r="R2586" s="39" t="n">
        <f aca="false">IF($A2586="",-1,IF($J2586=Setup!$B$7,1,IF($J2586=Setup!$B$9,0,-1)))</f>
        <v>-1</v>
      </c>
      <c r="S2586" s="35" t="n">
        <f aca="false">IF(OR($A2586="",$Q2586=0,$R2586=-1),0,$Q2586*1000+$R2586*100+$K2586)</f>
        <v>0</v>
      </c>
      <c r="T2586" s="37" t="str">
        <f aca="false">IF($A2586="","",IF($B2586="","NO ACCOUNT",IF($Q2586=0,"UNMAPPED",IF($R2586=-1,"OUTSIDE FY RANGE","OK"))))</f>
        <v/>
      </c>
      <c r="U2586" s="40" t="str">
        <f aca="false">IF($A2586="","",$B2586&amp;"|"&amp;TEXT($A2586,"yyyymmdd")&amp;"|"&amp;TEXT($I2586,"0.00"))</f>
        <v/>
      </c>
      <c r="V2586" s="35" t="str">
        <f aca="false">IF($A2586="","",COUNTIF($U$8:$U$5007,$U2586))</f>
        <v/>
      </c>
    </row>
    <row r="2587" customFormat="false" ht="15" hidden="false" customHeight="false" outlineLevel="0" collapsed="false">
      <c r="A2587" s="31"/>
      <c r="B2587" s="32"/>
      <c r="C2587" s="32"/>
      <c r="D2587" s="32"/>
      <c r="E2587" s="32"/>
      <c r="F2587" s="32"/>
      <c r="G2587" s="33"/>
      <c r="H2587" s="33"/>
      <c r="I2587" s="34" t="str">
        <f aca="false">IF($A2587="","",$G2587-$H2587)</f>
        <v/>
      </c>
      <c r="J2587" s="35" t="str">
        <f aca="false">IF($A2587="","",IF(Setup!$B$6=1,YEAR($A2587),YEAR($A2587)+IF(MONTH($A2587)&gt;=Setup!$B$6,1,0)))</f>
        <v/>
      </c>
      <c r="K2587" s="35" t="str">
        <f aca="false">IF($A2587="","",MOD(MONTH($A2587)-Setup!$B$6+12,12)+1)</f>
        <v/>
      </c>
      <c r="L2587" s="36" t="str">
        <f aca="false">IF($A2587="","",TEXT($A2587,"MMM-YY"))</f>
        <v/>
      </c>
      <c r="M2587" s="37" t="str">
        <f aca="false">IF($A2587="","",IF($Q2587=0,"UNMAPPED",INDEX(COA_Mapping!$C$7:$C$256,$Q2587)))</f>
        <v/>
      </c>
      <c r="N2587" s="38" t="str">
        <f aca="false">IF($A2587="","",IF($Q2587=0,"",INDEX(COA_Mapping!$E$7:$E$256,$Q2587)))</f>
        <v/>
      </c>
      <c r="O2587" s="38" t="n">
        <f aca="false">IF($A2587="",1,IF($Q2587=0,1,INDEX(COA_Mapping!$F$7:$F$256,$Q2587)))</f>
        <v>1</v>
      </c>
      <c r="P2587" s="34" t="str">
        <f aca="false">IF($A2587="","",$I2587*$O2587)</f>
        <v/>
      </c>
      <c r="Q2587" s="39" t="n">
        <f aca="false">IF($B2587="",0,IFERROR(MATCH($B2587,COA_Mapping!$A$7:$A$256,0),0))</f>
        <v>0</v>
      </c>
      <c r="R2587" s="39" t="n">
        <f aca="false">IF($A2587="",-1,IF($J2587=Setup!$B$7,1,IF($J2587=Setup!$B$9,0,-1)))</f>
        <v>-1</v>
      </c>
      <c r="S2587" s="35" t="n">
        <f aca="false">IF(OR($A2587="",$Q2587=0,$R2587=-1),0,$Q2587*1000+$R2587*100+$K2587)</f>
        <v>0</v>
      </c>
      <c r="T2587" s="37" t="str">
        <f aca="false">IF($A2587="","",IF($B2587="","NO ACCOUNT",IF($Q2587=0,"UNMAPPED",IF($R2587=-1,"OUTSIDE FY RANGE","OK"))))</f>
        <v/>
      </c>
      <c r="U2587" s="40" t="str">
        <f aca="false">IF($A2587="","",$B2587&amp;"|"&amp;TEXT($A2587,"yyyymmdd")&amp;"|"&amp;TEXT($I2587,"0.00"))</f>
        <v/>
      </c>
      <c r="V2587" s="35" t="str">
        <f aca="false">IF($A2587="","",COUNTIF($U$8:$U$5007,$U2587))</f>
        <v/>
      </c>
    </row>
    <row r="2588" customFormat="false" ht="15" hidden="false" customHeight="false" outlineLevel="0" collapsed="false">
      <c r="A2588" s="31"/>
      <c r="B2588" s="32"/>
      <c r="C2588" s="32"/>
      <c r="D2588" s="32"/>
      <c r="E2588" s="32"/>
      <c r="F2588" s="32"/>
      <c r="G2588" s="33"/>
      <c r="H2588" s="33"/>
      <c r="I2588" s="34" t="str">
        <f aca="false">IF($A2588="","",$G2588-$H2588)</f>
        <v/>
      </c>
      <c r="J2588" s="35" t="str">
        <f aca="false">IF($A2588="","",IF(Setup!$B$6=1,YEAR($A2588),YEAR($A2588)+IF(MONTH($A2588)&gt;=Setup!$B$6,1,0)))</f>
        <v/>
      </c>
      <c r="K2588" s="35" t="str">
        <f aca="false">IF($A2588="","",MOD(MONTH($A2588)-Setup!$B$6+12,12)+1)</f>
        <v/>
      </c>
      <c r="L2588" s="36" t="str">
        <f aca="false">IF($A2588="","",TEXT($A2588,"MMM-YY"))</f>
        <v/>
      </c>
      <c r="M2588" s="37" t="str">
        <f aca="false">IF($A2588="","",IF($Q2588=0,"UNMAPPED",INDEX(COA_Mapping!$C$7:$C$256,$Q2588)))</f>
        <v/>
      </c>
      <c r="N2588" s="38" t="str">
        <f aca="false">IF($A2588="","",IF($Q2588=0,"",INDEX(COA_Mapping!$E$7:$E$256,$Q2588)))</f>
        <v/>
      </c>
      <c r="O2588" s="38" t="n">
        <f aca="false">IF($A2588="",1,IF($Q2588=0,1,INDEX(COA_Mapping!$F$7:$F$256,$Q2588)))</f>
        <v>1</v>
      </c>
      <c r="P2588" s="34" t="str">
        <f aca="false">IF($A2588="","",$I2588*$O2588)</f>
        <v/>
      </c>
      <c r="Q2588" s="39" t="n">
        <f aca="false">IF($B2588="",0,IFERROR(MATCH($B2588,COA_Mapping!$A$7:$A$256,0),0))</f>
        <v>0</v>
      </c>
      <c r="R2588" s="39" t="n">
        <f aca="false">IF($A2588="",-1,IF($J2588=Setup!$B$7,1,IF($J2588=Setup!$B$9,0,-1)))</f>
        <v>-1</v>
      </c>
      <c r="S2588" s="35" t="n">
        <f aca="false">IF(OR($A2588="",$Q2588=0,$R2588=-1),0,$Q2588*1000+$R2588*100+$K2588)</f>
        <v>0</v>
      </c>
      <c r="T2588" s="37" t="str">
        <f aca="false">IF($A2588="","",IF($B2588="","NO ACCOUNT",IF($Q2588=0,"UNMAPPED",IF($R2588=-1,"OUTSIDE FY RANGE","OK"))))</f>
        <v/>
      </c>
      <c r="U2588" s="40" t="str">
        <f aca="false">IF($A2588="","",$B2588&amp;"|"&amp;TEXT($A2588,"yyyymmdd")&amp;"|"&amp;TEXT($I2588,"0.00"))</f>
        <v/>
      </c>
      <c r="V2588" s="35" t="str">
        <f aca="false">IF($A2588="","",COUNTIF($U$8:$U$5007,$U2588))</f>
        <v/>
      </c>
    </row>
    <row r="2589" customFormat="false" ht="15" hidden="false" customHeight="false" outlineLevel="0" collapsed="false">
      <c r="A2589" s="31"/>
      <c r="B2589" s="32"/>
      <c r="C2589" s="32"/>
      <c r="D2589" s="32"/>
      <c r="E2589" s="32"/>
      <c r="F2589" s="32"/>
      <c r="G2589" s="33"/>
      <c r="H2589" s="33"/>
      <c r="I2589" s="34" t="str">
        <f aca="false">IF($A2589="","",$G2589-$H2589)</f>
        <v/>
      </c>
      <c r="J2589" s="35" t="str">
        <f aca="false">IF($A2589="","",IF(Setup!$B$6=1,YEAR($A2589),YEAR($A2589)+IF(MONTH($A2589)&gt;=Setup!$B$6,1,0)))</f>
        <v/>
      </c>
      <c r="K2589" s="35" t="str">
        <f aca="false">IF($A2589="","",MOD(MONTH($A2589)-Setup!$B$6+12,12)+1)</f>
        <v/>
      </c>
      <c r="L2589" s="36" t="str">
        <f aca="false">IF($A2589="","",TEXT($A2589,"MMM-YY"))</f>
        <v/>
      </c>
      <c r="M2589" s="37" t="str">
        <f aca="false">IF($A2589="","",IF($Q2589=0,"UNMAPPED",INDEX(COA_Mapping!$C$7:$C$256,$Q2589)))</f>
        <v/>
      </c>
      <c r="N2589" s="38" t="str">
        <f aca="false">IF($A2589="","",IF($Q2589=0,"",INDEX(COA_Mapping!$E$7:$E$256,$Q2589)))</f>
        <v/>
      </c>
      <c r="O2589" s="38" t="n">
        <f aca="false">IF($A2589="",1,IF($Q2589=0,1,INDEX(COA_Mapping!$F$7:$F$256,$Q2589)))</f>
        <v>1</v>
      </c>
      <c r="P2589" s="34" t="str">
        <f aca="false">IF($A2589="","",$I2589*$O2589)</f>
        <v/>
      </c>
      <c r="Q2589" s="39" t="n">
        <f aca="false">IF($B2589="",0,IFERROR(MATCH($B2589,COA_Mapping!$A$7:$A$256,0),0))</f>
        <v>0</v>
      </c>
      <c r="R2589" s="39" t="n">
        <f aca="false">IF($A2589="",-1,IF($J2589=Setup!$B$7,1,IF($J2589=Setup!$B$9,0,-1)))</f>
        <v>-1</v>
      </c>
      <c r="S2589" s="35" t="n">
        <f aca="false">IF(OR($A2589="",$Q2589=0,$R2589=-1),0,$Q2589*1000+$R2589*100+$K2589)</f>
        <v>0</v>
      </c>
      <c r="T2589" s="37" t="str">
        <f aca="false">IF($A2589="","",IF($B2589="","NO ACCOUNT",IF($Q2589=0,"UNMAPPED",IF($R2589=-1,"OUTSIDE FY RANGE","OK"))))</f>
        <v/>
      </c>
      <c r="U2589" s="40" t="str">
        <f aca="false">IF($A2589="","",$B2589&amp;"|"&amp;TEXT($A2589,"yyyymmdd")&amp;"|"&amp;TEXT($I2589,"0.00"))</f>
        <v/>
      </c>
      <c r="V2589" s="35" t="str">
        <f aca="false">IF($A2589="","",COUNTIF($U$8:$U$5007,$U2589))</f>
        <v/>
      </c>
    </row>
    <row r="2590" customFormat="false" ht="15" hidden="false" customHeight="false" outlineLevel="0" collapsed="false">
      <c r="A2590" s="31"/>
      <c r="B2590" s="32"/>
      <c r="C2590" s="32"/>
      <c r="D2590" s="32"/>
      <c r="E2590" s="32"/>
      <c r="F2590" s="32"/>
      <c r="G2590" s="33"/>
      <c r="H2590" s="33"/>
      <c r="I2590" s="34" t="str">
        <f aca="false">IF($A2590="","",$G2590-$H2590)</f>
        <v/>
      </c>
      <c r="J2590" s="35" t="str">
        <f aca="false">IF($A2590="","",IF(Setup!$B$6=1,YEAR($A2590),YEAR($A2590)+IF(MONTH($A2590)&gt;=Setup!$B$6,1,0)))</f>
        <v/>
      </c>
      <c r="K2590" s="35" t="str">
        <f aca="false">IF($A2590="","",MOD(MONTH($A2590)-Setup!$B$6+12,12)+1)</f>
        <v/>
      </c>
      <c r="L2590" s="36" t="str">
        <f aca="false">IF($A2590="","",TEXT($A2590,"MMM-YY"))</f>
        <v/>
      </c>
      <c r="M2590" s="37" t="str">
        <f aca="false">IF($A2590="","",IF($Q2590=0,"UNMAPPED",INDEX(COA_Mapping!$C$7:$C$256,$Q2590)))</f>
        <v/>
      </c>
      <c r="N2590" s="38" t="str">
        <f aca="false">IF($A2590="","",IF($Q2590=0,"",INDEX(COA_Mapping!$E$7:$E$256,$Q2590)))</f>
        <v/>
      </c>
      <c r="O2590" s="38" t="n">
        <f aca="false">IF($A2590="",1,IF($Q2590=0,1,INDEX(COA_Mapping!$F$7:$F$256,$Q2590)))</f>
        <v>1</v>
      </c>
      <c r="P2590" s="34" t="str">
        <f aca="false">IF($A2590="","",$I2590*$O2590)</f>
        <v/>
      </c>
      <c r="Q2590" s="39" t="n">
        <f aca="false">IF($B2590="",0,IFERROR(MATCH($B2590,COA_Mapping!$A$7:$A$256,0),0))</f>
        <v>0</v>
      </c>
      <c r="R2590" s="39" t="n">
        <f aca="false">IF($A2590="",-1,IF($J2590=Setup!$B$7,1,IF($J2590=Setup!$B$9,0,-1)))</f>
        <v>-1</v>
      </c>
      <c r="S2590" s="35" t="n">
        <f aca="false">IF(OR($A2590="",$Q2590=0,$R2590=-1),0,$Q2590*1000+$R2590*100+$K2590)</f>
        <v>0</v>
      </c>
      <c r="T2590" s="37" t="str">
        <f aca="false">IF($A2590="","",IF($B2590="","NO ACCOUNT",IF($Q2590=0,"UNMAPPED",IF($R2590=-1,"OUTSIDE FY RANGE","OK"))))</f>
        <v/>
      </c>
      <c r="U2590" s="40" t="str">
        <f aca="false">IF($A2590="","",$B2590&amp;"|"&amp;TEXT($A2590,"yyyymmdd")&amp;"|"&amp;TEXT($I2590,"0.00"))</f>
        <v/>
      </c>
      <c r="V2590" s="35" t="str">
        <f aca="false">IF($A2590="","",COUNTIF($U$8:$U$5007,$U2590))</f>
        <v/>
      </c>
    </row>
    <row r="2591" customFormat="false" ht="15" hidden="false" customHeight="false" outlineLevel="0" collapsed="false">
      <c r="A2591" s="31"/>
      <c r="B2591" s="32"/>
      <c r="C2591" s="32"/>
      <c r="D2591" s="32"/>
      <c r="E2591" s="32"/>
      <c r="F2591" s="32"/>
      <c r="G2591" s="33"/>
      <c r="H2591" s="33"/>
      <c r="I2591" s="34" t="str">
        <f aca="false">IF($A2591="","",$G2591-$H2591)</f>
        <v/>
      </c>
      <c r="J2591" s="35" t="str">
        <f aca="false">IF($A2591="","",IF(Setup!$B$6=1,YEAR($A2591),YEAR($A2591)+IF(MONTH($A2591)&gt;=Setup!$B$6,1,0)))</f>
        <v/>
      </c>
      <c r="K2591" s="35" t="str">
        <f aca="false">IF($A2591="","",MOD(MONTH($A2591)-Setup!$B$6+12,12)+1)</f>
        <v/>
      </c>
      <c r="L2591" s="36" t="str">
        <f aca="false">IF($A2591="","",TEXT($A2591,"MMM-YY"))</f>
        <v/>
      </c>
      <c r="M2591" s="37" t="str">
        <f aca="false">IF($A2591="","",IF($Q2591=0,"UNMAPPED",INDEX(COA_Mapping!$C$7:$C$256,$Q2591)))</f>
        <v/>
      </c>
      <c r="N2591" s="38" t="str">
        <f aca="false">IF($A2591="","",IF($Q2591=0,"",INDEX(COA_Mapping!$E$7:$E$256,$Q2591)))</f>
        <v/>
      </c>
      <c r="O2591" s="38" t="n">
        <f aca="false">IF($A2591="",1,IF($Q2591=0,1,INDEX(COA_Mapping!$F$7:$F$256,$Q2591)))</f>
        <v>1</v>
      </c>
      <c r="P2591" s="34" t="str">
        <f aca="false">IF($A2591="","",$I2591*$O2591)</f>
        <v/>
      </c>
      <c r="Q2591" s="39" t="n">
        <f aca="false">IF($B2591="",0,IFERROR(MATCH($B2591,COA_Mapping!$A$7:$A$256,0),0))</f>
        <v>0</v>
      </c>
      <c r="R2591" s="39" t="n">
        <f aca="false">IF($A2591="",-1,IF($J2591=Setup!$B$7,1,IF($J2591=Setup!$B$9,0,-1)))</f>
        <v>-1</v>
      </c>
      <c r="S2591" s="35" t="n">
        <f aca="false">IF(OR($A2591="",$Q2591=0,$R2591=-1),0,$Q2591*1000+$R2591*100+$K2591)</f>
        <v>0</v>
      </c>
      <c r="T2591" s="37" t="str">
        <f aca="false">IF($A2591="","",IF($B2591="","NO ACCOUNT",IF($Q2591=0,"UNMAPPED",IF($R2591=-1,"OUTSIDE FY RANGE","OK"))))</f>
        <v/>
      </c>
      <c r="U2591" s="40" t="str">
        <f aca="false">IF($A2591="","",$B2591&amp;"|"&amp;TEXT($A2591,"yyyymmdd")&amp;"|"&amp;TEXT($I2591,"0.00"))</f>
        <v/>
      </c>
      <c r="V2591" s="35" t="str">
        <f aca="false">IF($A2591="","",COUNTIF($U$8:$U$5007,$U2591))</f>
        <v/>
      </c>
    </row>
    <row r="2592" customFormat="false" ht="15" hidden="false" customHeight="false" outlineLevel="0" collapsed="false">
      <c r="A2592" s="31"/>
      <c r="B2592" s="32"/>
      <c r="C2592" s="32"/>
      <c r="D2592" s="32"/>
      <c r="E2592" s="32"/>
      <c r="F2592" s="32"/>
      <c r="G2592" s="33"/>
      <c r="H2592" s="33"/>
      <c r="I2592" s="34" t="str">
        <f aca="false">IF($A2592="","",$G2592-$H2592)</f>
        <v/>
      </c>
      <c r="J2592" s="35" t="str">
        <f aca="false">IF($A2592="","",IF(Setup!$B$6=1,YEAR($A2592),YEAR($A2592)+IF(MONTH($A2592)&gt;=Setup!$B$6,1,0)))</f>
        <v/>
      </c>
      <c r="K2592" s="35" t="str">
        <f aca="false">IF($A2592="","",MOD(MONTH($A2592)-Setup!$B$6+12,12)+1)</f>
        <v/>
      </c>
      <c r="L2592" s="36" t="str">
        <f aca="false">IF($A2592="","",TEXT($A2592,"MMM-YY"))</f>
        <v/>
      </c>
      <c r="M2592" s="37" t="str">
        <f aca="false">IF($A2592="","",IF($Q2592=0,"UNMAPPED",INDEX(COA_Mapping!$C$7:$C$256,$Q2592)))</f>
        <v/>
      </c>
      <c r="N2592" s="38" t="str">
        <f aca="false">IF($A2592="","",IF($Q2592=0,"",INDEX(COA_Mapping!$E$7:$E$256,$Q2592)))</f>
        <v/>
      </c>
      <c r="O2592" s="38" t="n">
        <f aca="false">IF($A2592="",1,IF($Q2592=0,1,INDEX(COA_Mapping!$F$7:$F$256,$Q2592)))</f>
        <v>1</v>
      </c>
      <c r="P2592" s="34" t="str">
        <f aca="false">IF($A2592="","",$I2592*$O2592)</f>
        <v/>
      </c>
      <c r="Q2592" s="39" t="n">
        <f aca="false">IF($B2592="",0,IFERROR(MATCH($B2592,COA_Mapping!$A$7:$A$256,0),0))</f>
        <v>0</v>
      </c>
      <c r="R2592" s="39" t="n">
        <f aca="false">IF($A2592="",-1,IF($J2592=Setup!$B$7,1,IF($J2592=Setup!$B$9,0,-1)))</f>
        <v>-1</v>
      </c>
      <c r="S2592" s="35" t="n">
        <f aca="false">IF(OR($A2592="",$Q2592=0,$R2592=-1),0,$Q2592*1000+$R2592*100+$K2592)</f>
        <v>0</v>
      </c>
      <c r="T2592" s="37" t="str">
        <f aca="false">IF($A2592="","",IF($B2592="","NO ACCOUNT",IF($Q2592=0,"UNMAPPED",IF($R2592=-1,"OUTSIDE FY RANGE","OK"))))</f>
        <v/>
      </c>
      <c r="U2592" s="40" t="str">
        <f aca="false">IF($A2592="","",$B2592&amp;"|"&amp;TEXT($A2592,"yyyymmdd")&amp;"|"&amp;TEXT($I2592,"0.00"))</f>
        <v/>
      </c>
      <c r="V2592" s="35" t="str">
        <f aca="false">IF($A2592="","",COUNTIF($U$8:$U$5007,$U2592))</f>
        <v/>
      </c>
    </row>
    <row r="2593" customFormat="false" ht="15" hidden="false" customHeight="false" outlineLevel="0" collapsed="false">
      <c r="A2593" s="31"/>
      <c r="B2593" s="32"/>
      <c r="C2593" s="32"/>
      <c r="D2593" s="32"/>
      <c r="E2593" s="32"/>
      <c r="F2593" s="32"/>
      <c r="G2593" s="33"/>
      <c r="H2593" s="33"/>
      <c r="I2593" s="34" t="str">
        <f aca="false">IF($A2593="","",$G2593-$H2593)</f>
        <v/>
      </c>
      <c r="J2593" s="35" t="str">
        <f aca="false">IF($A2593="","",IF(Setup!$B$6=1,YEAR($A2593),YEAR($A2593)+IF(MONTH($A2593)&gt;=Setup!$B$6,1,0)))</f>
        <v/>
      </c>
      <c r="K2593" s="35" t="str">
        <f aca="false">IF($A2593="","",MOD(MONTH($A2593)-Setup!$B$6+12,12)+1)</f>
        <v/>
      </c>
      <c r="L2593" s="36" t="str">
        <f aca="false">IF($A2593="","",TEXT($A2593,"MMM-YY"))</f>
        <v/>
      </c>
      <c r="M2593" s="37" t="str">
        <f aca="false">IF($A2593="","",IF($Q2593=0,"UNMAPPED",INDEX(COA_Mapping!$C$7:$C$256,$Q2593)))</f>
        <v/>
      </c>
      <c r="N2593" s="38" t="str">
        <f aca="false">IF($A2593="","",IF($Q2593=0,"",INDEX(COA_Mapping!$E$7:$E$256,$Q2593)))</f>
        <v/>
      </c>
      <c r="O2593" s="38" t="n">
        <f aca="false">IF($A2593="",1,IF($Q2593=0,1,INDEX(COA_Mapping!$F$7:$F$256,$Q2593)))</f>
        <v>1</v>
      </c>
      <c r="P2593" s="34" t="str">
        <f aca="false">IF($A2593="","",$I2593*$O2593)</f>
        <v/>
      </c>
      <c r="Q2593" s="39" t="n">
        <f aca="false">IF($B2593="",0,IFERROR(MATCH($B2593,COA_Mapping!$A$7:$A$256,0),0))</f>
        <v>0</v>
      </c>
      <c r="R2593" s="39" t="n">
        <f aca="false">IF($A2593="",-1,IF($J2593=Setup!$B$7,1,IF($J2593=Setup!$B$9,0,-1)))</f>
        <v>-1</v>
      </c>
      <c r="S2593" s="35" t="n">
        <f aca="false">IF(OR($A2593="",$Q2593=0,$R2593=-1),0,$Q2593*1000+$R2593*100+$K2593)</f>
        <v>0</v>
      </c>
      <c r="T2593" s="37" t="str">
        <f aca="false">IF($A2593="","",IF($B2593="","NO ACCOUNT",IF($Q2593=0,"UNMAPPED",IF($R2593=-1,"OUTSIDE FY RANGE","OK"))))</f>
        <v/>
      </c>
      <c r="U2593" s="40" t="str">
        <f aca="false">IF($A2593="","",$B2593&amp;"|"&amp;TEXT($A2593,"yyyymmdd")&amp;"|"&amp;TEXT($I2593,"0.00"))</f>
        <v/>
      </c>
      <c r="V2593" s="35" t="str">
        <f aca="false">IF($A2593="","",COUNTIF($U$8:$U$5007,$U2593))</f>
        <v/>
      </c>
    </row>
    <row r="2594" customFormat="false" ht="15" hidden="false" customHeight="false" outlineLevel="0" collapsed="false">
      <c r="A2594" s="31"/>
      <c r="B2594" s="32"/>
      <c r="C2594" s="32"/>
      <c r="D2594" s="32"/>
      <c r="E2594" s="32"/>
      <c r="F2594" s="32"/>
      <c r="G2594" s="33"/>
      <c r="H2594" s="33"/>
      <c r="I2594" s="34" t="str">
        <f aca="false">IF($A2594="","",$G2594-$H2594)</f>
        <v/>
      </c>
      <c r="J2594" s="35" t="str">
        <f aca="false">IF($A2594="","",IF(Setup!$B$6=1,YEAR($A2594),YEAR($A2594)+IF(MONTH($A2594)&gt;=Setup!$B$6,1,0)))</f>
        <v/>
      </c>
      <c r="K2594" s="35" t="str">
        <f aca="false">IF($A2594="","",MOD(MONTH($A2594)-Setup!$B$6+12,12)+1)</f>
        <v/>
      </c>
      <c r="L2594" s="36" t="str">
        <f aca="false">IF($A2594="","",TEXT($A2594,"MMM-YY"))</f>
        <v/>
      </c>
      <c r="M2594" s="37" t="str">
        <f aca="false">IF($A2594="","",IF($Q2594=0,"UNMAPPED",INDEX(COA_Mapping!$C$7:$C$256,$Q2594)))</f>
        <v/>
      </c>
      <c r="N2594" s="38" t="str">
        <f aca="false">IF($A2594="","",IF($Q2594=0,"",INDEX(COA_Mapping!$E$7:$E$256,$Q2594)))</f>
        <v/>
      </c>
      <c r="O2594" s="38" t="n">
        <f aca="false">IF($A2594="",1,IF($Q2594=0,1,INDEX(COA_Mapping!$F$7:$F$256,$Q2594)))</f>
        <v>1</v>
      </c>
      <c r="P2594" s="34" t="str">
        <f aca="false">IF($A2594="","",$I2594*$O2594)</f>
        <v/>
      </c>
      <c r="Q2594" s="39" t="n">
        <f aca="false">IF($B2594="",0,IFERROR(MATCH($B2594,COA_Mapping!$A$7:$A$256,0),0))</f>
        <v>0</v>
      </c>
      <c r="R2594" s="39" t="n">
        <f aca="false">IF($A2594="",-1,IF($J2594=Setup!$B$7,1,IF($J2594=Setup!$B$9,0,-1)))</f>
        <v>-1</v>
      </c>
      <c r="S2594" s="35" t="n">
        <f aca="false">IF(OR($A2594="",$Q2594=0,$R2594=-1),0,$Q2594*1000+$R2594*100+$K2594)</f>
        <v>0</v>
      </c>
      <c r="T2594" s="37" t="str">
        <f aca="false">IF($A2594="","",IF($B2594="","NO ACCOUNT",IF($Q2594=0,"UNMAPPED",IF($R2594=-1,"OUTSIDE FY RANGE","OK"))))</f>
        <v/>
      </c>
      <c r="U2594" s="40" t="str">
        <f aca="false">IF($A2594="","",$B2594&amp;"|"&amp;TEXT($A2594,"yyyymmdd")&amp;"|"&amp;TEXT($I2594,"0.00"))</f>
        <v/>
      </c>
      <c r="V2594" s="35" t="str">
        <f aca="false">IF($A2594="","",COUNTIF($U$8:$U$5007,$U2594))</f>
        <v/>
      </c>
    </row>
    <row r="2595" customFormat="false" ht="15" hidden="false" customHeight="false" outlineLevel="0" collapsed="false">
      <c r="A2595" s="31"/>
      <c r="B2595" s="32"/>
      <c r="C2595" s="32"/>
      <c r="D2595" s="32"/>
      <c r="E2595" s="32"/>
      <c r="F2595" s="32"/>
      <c r="G2595" s="33"/>
      <c r="H2595" s="33"/>
      <c r="I2595" s="34" t="str">
        <f aca="false">IF($A2595="","",$G2595-$H2595)</f>
        <v/>
      </c>
      <c r="J2595" s="35" t="str">
        <f aca="false">IF($A2595="","",IF(Setup!$B$6=1,YEAR($A2595),YEAR($A2595)+IF(MONTH($A2595)&gt;=Setup!$B$6,1,0)))</f>
        <v/>
      </c>
      <c r="K2595" s="35" t="str">
        <f aca="false">IF($A2595="","",MOD(MONTH($A2595)-Setup!$B$6+12,12)+1)</f>
        <v/>
      </c>
      <c r="L2595" s="36" t="str">
        <f aca="false">IF($A2595="","",TEXT($A2595,"MMM-YY"))</f>
        <v/>
      </c>
      <c r="M2595" s="37" t="str">
        <f aca="false">IF($A2595="","",IF($Q2595=0,"UNMAPPED",INDEX(COA_Mapping!$C$7:$C$256,$Q2595)))</f>
        <v/>
      </c>
      <c r="N2595" s="38" t="str">
        <f aca="false">IF($A2595="","",IF($Q2595=0,"",INDEX(COA_Mapping!$E$7:$E$256,$Q2595)))</f>
        <v/>
      </c>
      <c r="O2595" s="38" t="n">
        <f aca="false">IF($A2595="",1,IF($Q2595=0,1,INDEX(COA_Mapping!$F$7:$F$256,$Q2595)))</f>
        <v>1</v>
      </c>
      <c r="P2595" s="34" t="str">
        <f aca="false">IF($A2595="","",$I2595*$O2595)</f>
        <v/>
      </c>
      <c r="Q2595" s="39" t="n">
        <f aca="false">IF($B2595="",0,IFERROR(MATCH($B2595,COA_Mapping!$A$7:$A$256,0),0))</f>
        <v>0</v>
      </c>
      <c r="R2595" s="39" t="n">
        <f aca="false">IF($A2595="",-1,IF($J2595=Setup!$B$7,1,IF($J2595=Setup!$B$9,0,-1)))</f>
        <v>-1</v>
      </c>
      <c r="S2595" s="35" t="n">
        <f aca="false">IF(OR($A2595="",$Q2595=0,$R2595=-1),0,$Q2595*1000+$R2595*100+$K2595)</f>
        <v>0</v>
      </c>
      <c r="T2595" s="37" t="str">
        <f aca="false">IF($A2595="","",IF($B2595="","NO ACCOUNT",IF($Q2595=0,"UNMAPPED",IF($R2595=-1,"OUTSIDE FY RANGE","OK"))))</f>
        <v/>
      </c>
      <c r="U2595" s="40" t="str">
        <f aca="false">IF($A2595="","",$B2595&amp;"|"&amp;TEXT($A2595,"yyyymmdd")&amp;"|"&amp;TEXT($I2595,"0.00"))</f>
        <v/>
      </c>
      <c r="V2595" s="35" t="str">
        <f aca="false">IF($A2595="","",COUNTIF($U$8:$U$5007,$U2595))</f>
        <v/>
      </c>
    </row>
    <row r="2596" customFormat="false" ht="15" hidden="false" customHeight="false" outlineLevel="0" collapsed="false">
      <c r="A2596" s="31"/>
      <c r="B2596" s="32"/>
      <c r="C2596" s="32"/>
      <c r="D2596" s="32"/>
      <c r="E2596" s="32"/>
      <c r="F2596" s="32"/>
      <c r="G2596" s="33"/>
      <c r="H2596" s="33"/>
      <c r="I2596" s="34" t="str">
        <f aca="false">IF($A2596="","",$G2596-$H2596)</f>
        <v/>
      </c>
      <c r="J2596" s="35" t="str">
        <f aca="false">IF($A2596="","",IF(Setup!$B$6=1,YEAR($A2596),YEAR($A2596)+IF(MONTH($A2596)&gt;=Setup!$B$6,1,0)))</f>
        <v/>
      </c>
      <c r="K2596" s="35" t="str">
        <f aca="false">IF($A2596="","",MOD(MONTH($A2596)-Setup!$B$6+12,12)+1)</f>
        <v/>
      </c>
      <c r="L2596" s="36" t="str">
        <f aca="false">IF($A2596="","",TEXT($A2596,"MMM-YY"))</f>
        <v/>
      </c>
      <c r="M2596" s="37" t="str">
        <f aca="false">IF($A2596="","",IF($Q2596=0,"UNMAPPED",INDEX(COA_Mapping!$C$7:$C$256,$Q2596)))</f>
        <v/>
      </c>
      <c r="N2596" s="38" t="str">
        <f aca="false">IF($A2596="","",IF($Q2596=0,"",INDEX(COA_Mapping!$E$7:$E$256,$Q2596)))</f>
        <v/>
      </c>
      <c r="O2596" s="38" t="n">
        <f aca="false">IF($A2596="",1,IF($Q2596=0,1,INDEX(COA_Mapping!$F$7:$F$256,$Q2596)))</f>
        <v>1</v>
      </c>
      <c r="P2596" s="34" t="str">
        <f aca="false">IF($A2596="","",$I2596*$O2596)</f>
        <v/>
      </c>
      <c r="Q2596" s="39" t="n">
        <f aca="false">IF($B2596="",0,IFERROR(MATCH($B2596,COA_Mapping!$A$7:$A$256,0),0))</f>
        <v>0</v>
      </c>
      <c r="R2596" s="39" t="n">
        <f aca="false">IF($A2596="",-1,IF($J2596=Setup!$B$7,1,IF($J2596=Setup!$B$9,0,-1)))</f>
        <v>-1</v>
      </c>
      <c r="S2596" s="35" t="n">
        <f aca="false">IF(OR($A2596="",$Q2596=0,$R2596=-1),0,$Q2596*1000+$R2596*100+$K2596)</f>
        <v>0</v>
      </c>
      <c r="T2596" s="37" t="str">
        <f aca="false">IF($A2596="","",IF($B2596="","NO ACCOUNT",IF($Q2596=0,"UNMAPPED",IF($R2596=-1,"OUTSIDE FY RANGE","OK"))))</f>
        <v/>
      </c>
      <c r="U2596" s="40" t="str">
        <f aca="false">IF($A2596="","",$B2596&amp;"|"&amp;TEXT($A2596,"yyyymmdd")&amp;"|"&amp;TEXT($I2596,"0.00"))</f>
        <v/>
      </c>
      <c r="V2596" s="35" t="str">
        <f aca="false">IF($A2596="","",COUNTIF($U$8:$U$5007,$U2596))</f>
        <v/>
      </c>
    </row>
    <row r="2597" customFormat="false" ht="15" hidden="false" customHeight="false" outlineLevel="0" collapsed="false">
      <c r="A2597" s="31"/>
      <c r="B2597" s="32"/>
      <c r="C2597" s="32"/>
      <c r="D2597" s="32"/>
      <c r="E2597" s="32"/>
      <c r="F2597" s="32"/>
      <c r="G2597" s="33"/>
      <c r="H2597" s="33"/>
      <c r="I2597" s="34" t="str">
        <f aca="false">IF($A2597="","",$G2597-$H2597)</f>
        <v/>
      </c>
      <c r="J2597" s="35" t="str">
        <f aca="false">IF($A2597="","",IF(Setup!$B$6=1,YEAR($A2597),YEAR($A2597)+IF(MONTH($A2597)&gt;=Setup!$B$6,1,0)))</f>
        <v/>
      </c>
      <c r="K2597" s="35" t="str">
        <f aca="false">IF($A2597="","",MOD(MONTH($A2597)-Setup!$B$6+12,12)+1)</f>
        <v/>
      </c>
      <c r="L2597" s="36" t="str">
        <f aca="false">IF($A2597="","",TEXT($A2597,"MMM-YY"))</f>
        <v/>
      </c>
      <c r="M2597" s="37" t="str">
        <f aca="false">IF($A2597="","",IF($Q2597=0,"UNMAPPED",INDEX(COA_Mapping!$C$7:$C$256,$Q2597)))</f>
        <v/>
      </c>
      <c r="N2597" s="38" t="str">
        <f aca="false">IF($A2597="","",IF($Q2597=0,"",INDEX(COA_Mapping!$E$7:$E$256,$Q2597)))</f>
        <v/>
      </c>
      <c r="O2597" s="38" t="n">
        <f aca="false">IF($A2597="",1,IF($Q2597=0,1,INDEX(COA_Mapping!$F$7:$F$256,$Q2597)))</f>
        <v>1</v>
      </c>
      <c r="P2597" s="34" t="str">
        <f aca="false">IF($A2597="","",$I2597*$O2597)</f>
        <v/>
      </c>
      <c r="Q2597" s="39" t="n">
        <f aca="false">IF($B2597="",0,IFERROR(MATCH($B2597,COA_Mapping!$A$7:$A$256,0),0))</f>
        <v>0</v>
      </c>
      <c r="R2597" s="39" t="n">
        <f aca="false">IF($A2597="",-1,IF($J2597=Setup!$B$7,1,IF($J2597=Setup!$B$9,0,-1)))</f>
        <v>-1</v>
      </c>
      <c r="S2597" s="35" t="n">
        <f aca="false">IF(OR($A2597="",$Q2597=0,$R2597=-1),0,$Q2597*1000+$R2597*100+$K2597)</f>
        <v>0</v>
      </c>
      <c r="T2597" s="37" t="str">
        <f aca="false">IF($A2597="","",IF($B2597="","NO ACCOUNT",IF($Q2597=0,"UNMAPPED",IF($R2597=-1,"OUTSIDE FY RANGE","OK"))))</f>
        <v/>
      </c>
      <c r="U2597" s="40" t="str">
        <f aca="false">IF($A2597="","",$B2597&amp;"|"&amp;TEXT($A2597,"yyyymmdd")&amp;"|"&amp;TEXT($I2597,"0.00"))</f>
        <v/>
      </c>
      <c r="V2597" s="35" t="str">
        <f aca="false">IF($A2597="","",COUNTIF($U$8:$U$5007,$U2597))</f>
        <v/>
      </c>
    </row>
    <row r="2598" customFormat="false" ht="15" hidden="false" customHeight="false" outlineLevel="0" collapsed="false">
      <c r="A2598" s="31"/>
      <c r="B2598" s="32"/>
      <c r="C2598" s="32"/>
      <c r="D2598" s="32"/>
      <c r="E2598" s="32"/>
      <c r="F2598" s="32"/>
      <c r="G2598" s="33"/>
      <c r="H2598" s="33"/>
      <c r="I2598" s="34" t="str">
        <f aca="false">IF($A2598="","",$G2598-$H2598)</f>
        <v/>
      </c>
      <c r="J2598" s="35" t="str">
        <f aca="false">IF($A2598="","",IF(Setup!$B$6=1,YEAR($A2598),YEAR($A2598)+IF(MONTH($A2598)&gt;=Setup!$B$6,1,0)))</f>
        <v/>
      </c>
      <c r="K2598" s="35" t="str">
        <f aca="false">IF($A2598="","",MOD(MONTH($A2598)-Setup!$B$6+12,12)+1)</f>
        <v/>
      </c>
      <c r="L2598" s="36" t="str">
        <f aca="false">IF($A2598="","",TEXT($A2598,"MMM-YY"))</f>
        <v/>
      </c>
      <c r="M2598" s="37" t="str">
        <f aca="false">IF($A2598="","",IF($Q2598=0,"UNMAPPED",INDEX(COA_Mapping!$C$7:$C$256,$Q2598)))</f>
        <v/>
      </c>
      <c r="N2598" s="38" t="str">
        <f aca="false">IF($A2598="","",IF($Q2598=0,"",INDEX(COA_Mapping!$E$7:$E$256,$Q2598)))</f>
        <v/>
      </c>
      <c r="O2598" s="38" t="n">
        <f aca="false">IF($A2598="",1,IF($Q2598=0,1,INDEX(COA_Mapping!$F$7:$F$256,$Q2598)))</f>
        <v>1</v>
      </c>
      <c r="P2598" s="34" t="str">
        <f aca="false">IF($A2598="","",$I2598*$O2598)</f>
        <v/>
      </c>
      <c r="Q2598" s="39" t="n">
        <f aca="false">IF($B2598="",0,IFERROR(MATCH($B2598,COA_Mapping!$A$7:$A$256,0),0))</f>
        <v>0</v>
      </c>
      <c r="R2598" s="39" t="n">
        <f aca="false">IF($A2598="",-1,IF($J2598=Setup!$B$7,1,IF($J2598=Setup!$B$9,0,-1)))</f>
        <v>-1</v>
      </c>
      <c r="S2598" s="35" t="n">
        <f aca="false">IF(OR($A2598="",$Q2598=0,$R2598=-1),0,$Q2598*1000+$R2598*100+$K2598)</f>
        <v>0</v>
      </c>
      <c r="T2598" s="37" t="str">
        <f aca="false">IF($A2598="","",IF($B2598="","NO ACCOUNT",IF($Q2598=0,"UNMAPPED",IF($R2598=-1,"OUTSIDE FY RANGE","OK"))))</f>
        <v/>
      </c>
      <c r="U2598" s="40" t="str">
        <f aca="false">IF($A2598="","",$B2598&amp;"|"&amp;TEXT($A2598,"yyyymmdd")&amp;"|"&amp;TEXT($I2598,"0.00"))</f>
        <v/>
      </c>
      <c r="V2598" s="35" t="str">
        <f aca="false">IF($A2598="","",COUNTIF($U$8:$U$5007,$U2598))</f>
        <v/>
      </c>
    </row>
    <row r="2599" customFormat="false" ht="15" hidden="false" customHeight="false" outlineLevel="0" collapsed="false">
      <c r="A2599" s="31"/>
      <c r="B2599" s="32"/>
      <c r="C2599" s="32"/>
      <c r="D2599" s="32"/>
      <c r="E2599" s="32"/>
      <c r="F2599" s="32"/>
      <c r="G2599" s="33"/>
      <c r="H2599" s="33"/>
      <c r="I2599" s="34" t="str">
        <f aca="false">IF($A2599="","",$G2599-$H2599)</f>
        <v/>
      </c>
      <c r="J2599" s="35" t="str">
        <f aca="false">IF($A2599="","",IF(Setup!$B$6=1,YEAR($A2599),YEAR($A2599)+IF(MONTH($A2599)&gt;=Setup!$B$6,1,0)))</f>
        <v/>
      </c>
      <c r="K2599" s="35" t="str">
        <f aca="false">IF($A2599="","",MOD(MONTH($A2599)-Setup!$B$6+12,12)+1)</f>
        <v/>
      </c>
      <c r="L2599" s="36" t="str">
        <f aca="false">IF($A2599="","",TEXT($A2599,"MMM-YY"))</f>
        <v/>
      </c>
      <c r="M2599" s="37" t="str">
        <f aca="false">IF($A2599="","",IF($Q2599=0,"UNMAPPED",INDEX(COA_Mapping!$C$7:$C$256,$Q2599)))</f>
        <v/>
      </c>
      <c r="N2599" s="38" t="str">
        <f aca="false">IF($A2599="","",IF($Q2599=0,"",INDEX(COA_Mapping!$E$7:$E$256,$Q2599)))</f>
        <v/>
      </c>
      <c r="O2599" s="38" t="n">
        <f aca="false">IF($A2599="",1,IF($Q2599=0,1,INDEX(COA_Mapping!$F$7:$F$256,$Q2599)))</f>
        <v>1</v>
      </c>
      <c r="P2599" s="34" t="str">
        <f aca="false">IF($A2599="","",$I2599*$O2599)</f>
        <v/>
      </c>
      <c r="Q2599" s="39" t="n">
        <f aca="false">IF($B2599="",0,IFERROR(MATCH($B2599,COA_Mapping!$A$7:$A$256,0),0))</f>
        <v>0</v>
      </c>
      <c r="R2599" s="39" t="n">
        <f aca="false">IF($A2599="",-1,IF($J2599=Setup!$B$7,1,IF($J2599=Setup!$B$9,0,-1)))</f>
        <v>-1</v>
      </c>
      <c r="S2599" s="35" t="n">
        <f aca="false">IF(OR($A2599="",$Q2599=0,$R2599=-1),0,$Q2599*1000+$R2599*100+$K2599)</f>
        <v>0</v>
      </c>
      <c r="T2599" s="37" t="str">
        <f aca="false">IF($A2599="","",IF($B2599="","NO ACCOUNT",IF($Q2599=0,"UNMAPPED",IF($R2599=-1,"OUTSIDE FY RANGE","OK"))))</f>
        <v/>
      </c>
      <c r="U2599" s="40" t="str">
        <f aca="false">IF($A2599="","",$B2599&amp;"|"&amp;TEXT($A2599,"yyyymmdd")&amp;"|"&amp;TEXT($I2599,"0.00"))</f>
        <v/>
      </c>
      <c r="V2599" s="35" t="str">
        <f aca="false">IF($A2599="","",COUNTIF($U$8:$U$5007,$U2599))</f>
        <v/>
      </c>
    </row>
    <row r="2600" customFormat="false" ht="15" hidden="false" customHeight="false" outlineLevel="0" collapsed="false">
      <c r="A2600" s="31"/>
      <c r="B2600" s="32"/>
      <c r="C2600" s="32"/>
      <c r="D2600" s="32"/>
      <c r="E2600" s="32"/>
      <c r="F2600" s="32"/>
      <c r="G2600" s="33"/>
      <c r="H2600" s="33"/>
      <c r="I2600" s="34" t="str">
        <f aca="false">IF($A2600="","",$G2600-$H2600)</f>
        <v/>
      </c>
      <c r="J2600" s="35" t="str">
        <f aca="false">IF($A2600="","",IF(Setup!$B$6=1,YEAR($A2600),YEAR($A2600)+IF(MONTH($A2600)&gt;=Setup!$B$6,1,0)))</f>
        <v/>
      </c>
      <c r="K2600" s="35" t="str">
        <f aca="false">IF($A2600="","",MOD(MONTH($A2600)-Setup!$B$6+12,12)+1)</f>
        <v/>
      </c>
      <c r="L2600" s="36" t="str">
        <f aca="false">IF($A2600="","",TEXT($A2600,"MMM-YY"))</f>
        <v/>
      </c>
      <c r="M2600" s="37" t="str">
        <f aca="false">IF($A2600="","",IF($Q2600=0,"UNMAPPED",INDEX(COA_Mapping!$C$7:$C$256,$Q2600)))</f>
        <v/>
      </c>
      <c r="N2600" s="38" t="str">
        <f aca="false">IF($A2600="","",IF($Q2600=0,"",INDEX(COA_Mapping!$E$7:$E$256,$Q2600)))</f>
        <v/>
      </c>
      <c r="O2600" s="38" t="n">
        <f aca="false">IF($A2600="",1,IF($Q2600=0,1,INDEX(COA_Mapping!$F$7:$F$256,$Q2600)))</f>
        <v>1</v>
      </c>
      <c r="P2600" s="34" t="str">
        <f aca="false">IF($A2600="","",$I2600*$O2600)</f>
        <v/>
      </c>
      <c r="Q2600" s="39" t="n">
        <f aca="false">IF($B2600="",0,IFERROR(MATCH($B2600,COA_Mapping!$A$7:$A$256,0),0))</f>
        <v>0</v>
      </c>
      <c r="R2600" s="39" t="n">
        <f aca="false">IF($A2600="",-1,IF($J2600=Setup!$B$7,1,IF($J2600=Setup!$B$9,0,-1)))</f>
        <v>-1</v>
      </c>
      <c r="S2600" s="35" t="n">
        <f aca="false">IF(OR($A2600="",$Q2600=0,$R2600=-1),0,$Q2600*1000+$R2600*100+$K2600)</f>
        <v>0</v>
      </c>
      <c r="T2600" s="37" t="str">
        <f aca="false">IF($A2600="","",IF($B2600="","NO ACCOUNT",IF($Q2600=0,"UNMAPPED",IF($R2600=-1,"OUTSIDE FY RANGE","OK"))))</f>
        <v/>
      </c>
      <c r="U2600" s="40" t="str">
        <f aca="false">IF($A2600="","",$B2600&amp;"|"&amp;TEXT($A2600,"yyyymmdd")&amp;"|"&amp;TEXT($I2600,"0.00"))</f>
        <v/>
      </c>
      <c r="V2600" s="35" t="str">
        <f aca="false">IF($A2600="","",COUNTIF($U$8:$U$5007,$U2600))</f>
        <v/>
      </c>
    </row>
    <row r="2601" customFormat="false" ht="15" hidden="false" customHeight="false" outlineLevel="0" collapsed="false">
      <c r="A2601" s="31"/>
      <c r="B2601" s="32"/>
      <c r="C2601" s="32"/>
      <c r="D2601" s="32"/>
      <c r="E2601" s="32"/>
      <c r="F2601" s="32"/>
      <c r="G2601" s="33"/>
      <c r="H2601" s="33"/>
      <c r="I2601" s="34" t="str">
        <f aca="false">IF($A2601="","",$G2601-$H2601)</f>
        <v/>
      </c>
      <c r="J2601" s="35" t="str">
        <f aca="false">IF($A2601="","",IF(Setup!$B$6=1,YEAR($A2601),YEAR($A2601)+IF(MONTH($A2601)&gt;=Setup!$B$6,1,0)))</f>
        <v/>
      </c>
      <c r="K2601" s="35" t="str">
        <f aca="false">IF($A2601="","",MOD(MONTH($A2601)-Setup!$B$6+12,12)+1)</f>
        <v/>
      </c>
      <c r="L2601" s="36" t="str">
        <f aca="false">IF($A2601="","",TEXT($A2601,"MMM-YY"))</f>
        <v/>
      </c>
      <c r="M2601" s="37" t="str">
        <f aca="false">IF($A2601="","",IF($Q2601=0,"UNMAPPED",INDEX(COA_Mapping!$C$7:$C$256,$Q2601)))</f>
        <v/>
      </c>
      <c r="N2601" s="38" t="str">
        <f aca="false">IF($A2601="","",IF($Q2601=0,"",INDEX(COA_Mapping!$E$7:$E$256,$Q2601)))</f>
        <v/>
      </c>
      <c r="O2601" s="38" t="n">
        <f aca="false">IF($A2601="",1,IF($Q2601=0,1,INDEX(COA_Mapping!$F$7:$F$256,$Q2601)))</f>
        <v>1</v>
      </c>
      <c r="P2601" s="34" t="str">
        <f aca="false">IF($A2601="","",$I2601*$O2601)</f>
        <v/>
      </c>
      <c r="Q2601" s="39" t="n">
        <f aca="false">IF($B2601="",0,IFERROR(MATCH($B2601,COA_Mapping!$A$7:$A$256,0),0))</f>
        <v>0</v>
      </c>
      <c r="R2601" s="39" t="n">
        <f aca="false">IF($A2601="",-1,IF($J2601=Setup!$B$7,1,IF($J2601=Setup!$B$9,0,-1)))</f>
        <v>-1</v>
      </c>
      <c r="S2601" s="35" t="n">
        <f aca="false">IF(OR($A2601="",$Q2601=0,$R2601=-1),0,$Q2601*1000+$R2601*100+$K2601)</f>
        <v>0</v>
      </c>
      <c r="T2601" s="37" t="str">
        <f aca="false">IF($A2601="","",IF($B2601="","NO ACCOUNT",IF($Q2601=0,"UNMAPPED",IF($R2601=-1,"OUTSIDE FY RANGE","OK"))))</f>
        <v/>
      </c>
      <c r="U2601" s="40" t="str">
        <f aca="false">IF($A2601="","",$B2601&amp;"|"&amp;TEXT($A2601,"yyyymmdd")&amp;"|"&amp;TEXT($I2601,"0.00"))</f>
        <v/>
      </c>
      <c r="V2601" s="35" t="str">
        <f aca="false">IF($A2601="","",COUNTIF($U$8:$U$5007,$U2601))</f>
        <v/>
      </c>
    </row>
    <row r="2602" customFormat="false" ht="15" hidden="false" customHeight="false" outlineLevel="0" collapsed="false">
      <c r="A2602" s="31"/>
      <c r="B2602" s="32"/>
      <c r="C2602" s="32"/>
      <c r="D2602" s="32"/>
      <c r="E2602" s="32"/>
      <c r="F2602" s="32"/>
      <c r="G2602" s="33"/>
      <c r="H2602" s="33"/>
      <c r="I2602" s="34" t="str">
        <f aca="false">IF($A2602="","",$G2602-$H2602)</f>
        <v/>
      </c>
      <c r="J2602" s="35" t="str">
        <f aca="false">IF($A2602="","",IF(Setup!$B$6=1,YEAR($A2602),YEAR($A2602)+IF(MONTH($A2602)&gt;=Setup!$B$6,1,0)))</f>
        <v/>
      </c>
      <c r="K2602" s="35" t="str">
        <f aca="false">IF($A2602="","",MOD(MONTH($A2602)-Setup!$B$6+12,12)+1)</f>
        <v/>
      </c>
      <c r="L2602" s="36" t="str">
        <f aca="false">IF($A2602="","",TEXT($A2602,"MMM-YY"))</f>
        <v/>
      </c>
      <c r="M2602" s="37" t="str">
        <f aca="false">IF($A2602="","",IF($Q2602=0,"UNMAPPED",INDEX(COA_Mapping!$C$7:$C$256,$Q2602)))</f>
        <v/>
      </c>
      <c r="N2602" s="38" t="str">
        <f aca="false">IF($A2602="","",IF($Q2602=0,"",INDEX(COA_Mapping!$E$7:$E$256,$Q2602)))</f>
        <v/>
      </c>
      <c r="O2602" s="38" t="n">
        <f aca="false">IF($A2602="",1,IF($Q2602=0,1,INDEX(COA_Mapping!$F$7:$F$256,$Q2602)))</f>
        <v>1</v>
      </c>
      <c r="P2602" s="34" t="str">
        <f aca="false">IF($A2602="","",$I2602*$O2602)</f>
        <v/>
      </c>
      <c r="Q2602" s="39" t="n">
        <f aca="false">IF($B2602="",0,IFERROR(MATCH($B2602,COA_Mapping!$A$7:$A$256,0),0))</f>
        <v>0</v>
      </c>
      <c r="R2602" s="39" t="n">
        <f aca="false">IF($A2602="",-1,IF($J2602=Setup!$B$7,1,IF($J2602=Setup!$B$9,0,-1)))</f>
        <v>-1</v>
      </c>
      <c r="S2602" s="35" t="n">
        <f aca="false">IF(OR($A2602="",$Q2602=0,$R2602=-1),0,$Q2602*1000+$R2602*100+$K2602)</f>
        <v>0</v>
      </c>
      <c r="T2602" s="37" t="str">
        <f aca="false">IF($A2602="","",IF($B2602="","NO ACCOUNT",IF($Q2602=0,"UNMAPPED",IF($R2602=-1,"OUTSIDE FY RANGE","OK"))))</f>
        <v/>
      </c>
      <c r="U2602" s="40" t="str">
        <f aca="false">IF($A2602="","",$B2602&amp;"|"&amp;TEXT($A2602,"yyyymmdd")&amp;"|"&amp;TEXT($I2602,"0.00"))</f>
        <v/>
      </c>
      <c r="V2602" s="35" t="str">
        <f aca="false">IF($A2602="","",COUNTIF($U$8:$U$5007,$U2602))</f>
        <v/>
      </c>
    </row>
    <row r="2603" customFormat="false" ht="15" hidden="false" customHeight="false" outlineLevel="0" collapsed="false">
      <c r="A2603" s="31"/>
      <c r="B2603" s="32"/>
      <c r="C2603" s="32"/>
      <c r="D2603" s="32"/>
      <c r="E2603" s="32"/>
      <c r="F2603" s="32"/>
      <c r="G2603" s="33"/>
      <c r="H2603" s="33"/>
      <c r="I2603" s="34" t="str">
        <f aca="false">IF($A2603="","",$G2603-$H2603)</f>
        <v/>
      </c>
      <c r="J2603" s="35" t="str">
        <f aca="false">IF($A2603="","",IF(Setup!$B$6=1,YEAR($A2603),YEAR($A2603)+IF(MONTH($A2603)&gt;=Setup!$B$6,1,0)))</f>
        <v/>
      </c>
      <c r="K2603" s="35" t="str">
        <f aca="false">IF($A2603="","",MOD(MONTH($A2603)-Setup!$B$6+12,12)+1)</f>
        <v/>
      </c>
      <c r="L2603" s="36" t="str">
        <f aca="false">IF($A2603="","",TEXT($A2603,"MMM-YY"))</f>
        <v/>
      </c>
      <c r="M2603" s="37" t="str">
        <f aca="false">IF($A2603="","",IF($Q2603=0,"UNMAPPED",INDEX(COA_Mapping!$C$7:$C$256,$Q2603)))</f>
        <v/>
      </c>
      <c r="N2603" s="38" t="str">
        <f aca="false">IF($A2603="","",IF($Q2603=0,"",INDEX(COA_Mapping!$E$7:$E$256,$Q2603)))</f>
        <v/>
      </c>
      <c r="O2603" s="38" t="n">
        <f aca="false">IF($A2603="",1,IF($Q2603=0,1,INDEX(COA_Mapping!$F$7:$F$256,$Q2603)))</f>
        <v>1</v>
      </c>
      <c r="P2603" s="34" t="str">
        <f aca="false">IF($A2603="","",$I2603*$O2603)</f>
        <v/>
      </c>
      <c r="Q2603" s="39" t="n">
        <f aca="false">IF($B2603="",0,IFERROR(MATCH($B2603,COA_Mapping!$A$7:$A$256,0),0))</f>
        <v>0</v>
      </c>
      <c r="R2603" s="39" t="n">
        <f aca="false">IF($A2603="",-1,IF($J2603=Setup!$B$7,1,IF($J2603=Setup!$B$9,0,-1)))</f>
        <v>-1</v>
      </c>
      <c r="S2603" s="35" t="n">
        <f aca="false">IF(OR($A2603="",$Q2603=0,$R2603=-1),0,$Q2603*1000+$R2603*100+$K2603)</f>
        <v>0</v>
      </c>
      <c r="T2603" s="37" t="str">
        <f aca="false">IF($A2603="","",IF($B2603="","NO ACCOUNT",IF($Q2603=0,"UNMAPPED",IF($R2603=-1,"OUTSIDE FY RANGE","OK"))))</f>
        <v/>
      </c>
      <c r="U2603" s="40" t="str">
        <f aca="false">IF($A2603="","",$B2603&amp;"|"&amp;TEXT($A2603,"yyyymmdd")&amp;"|"&amp;TEXT($I2603,"0.00"))</f>
        <v/>
      </c>
      <c r="V2603" s="35" t="str">
        <f aca="false">IF($A2603="","",COUNTIF($U$8:$U$5007,$U2603))</f>
        <v/>
      </c>
    </row>
    <row r="2604" customFormat="false" ht="15" hidden="false" customHeight="false" outlineLevel="0" collapsed="false">
      <c r="A2604" s="31"/>
      <c r="B2604" s="32"/>
      <c r="C2604" s="32"/>
      <c r="D2604" s="32"/>
      <c r="E2604" s="32"/>
      <c r="F2604" s="32"/>
      <c r="G2604" s="33"/>
      <c r="H2604" s="33"/>
      <c r="I2604" s="34" t="str">
        <f aca="false">IF($A2604="","",$G2604-$H2604)</f>
        <v/>
      </c>
      <c r="J2604" s="35" t="str">
        <f aca="false">IF($A2604="","",IF(Setup!$B$6=1,YEAR($A2604),YEAR($A2604)+IF(MONTH($A2604)&gt;=Setup!$B$6,1,0)))</f>
        <v/>
      </c>
      <c r="K2604" s="35" t="str">
        <f aca="false">IF($A2604="","",MOD(MONTH($A2604)-Setup!$B$6+12,12)+1)</f>
        <v/>
      </c>
      <c r="L2604" s="36" t="str">
        <f aca="false">IF($A2604="","",TEXT($A2604,"MMM-YY"))</f>
        <v/>
      </c>
      <c r="M2604" s="37" t="str">
        <f aca="false">IF($A2604="","",IF($Q2604=0,"UNMAPPED",INDEX(COA_Mapping!$C$7:$C$256,$Q2604)))</f>
        <v/>
      </c>
      <c r="N2604" s="38" t="str">
        <f aca="false">IF($A2604="","",IF($Q2604=0,"",INDEX(COA_Mapping!$E$7:$E$256,$Q2604)))</f>
        <v/>
      </c>
      <c r="O2604" s="38" t="n">
        <f aca="false">IF($A2604="",1,IF($Q2604=0,1,INDEX(COA_Mapping!$F$7:$F$256,$Q2604)))</f>
        <v>1</v>
      </c>
      <c r="P2604" s="34" t="str">
        <f aca="false">IF($A2604="","",$I2604*$O2604)</f>
        <v/>
      </c>
      <c r="Q2604" s="39" t="n">
        <f aca="false">IF($B2604="",0,IFERROR(MATCH($B2604,COA_Mapping!$A$7:$A$256,0),0))</f>
        <v>0</v>
      </c>
      <c r="R2604" s="39" t="n">
        <f aca="false">IF($A2604="",-1,IF($J2604=Setup!$B$7,1,IF($J2604=Setup!$B$9,0,-1)))</f>
        <v>-1</v>
      </c>
      <c r="S2604" s="35" t="n">
        <f aca="false">IF(OR($A2604="",$Q2604=0,$R2604=-1),0,$Q2604*1000+$R2604*100+$K2604)</f>
        <v>0</v>
      </c>
      <c r="T2604" s="37" t="str">
        <f aca="false">IF($A2604="","",IF($B2604="","NO ACCOUNT",IF($Q2604=0,"UNMAPPED",IF($R2604=-1,"OUTSIDE FY RANGE","OK"))))</f>
        <v/>
      </c>
      <c r="U2604" s="40" t="str">
        <f aca="false">IF($A2604="","",$B2604&amp;"|"&amp;TEXT($A2604,"yyyymmdd")&amp;"|"&amp;TEXT($I2604,"0.00"))</f>
        <v/>
      </c>
      <c r="V2604" s="35" t="str">
        <f aca="false">IF($A2604="","",COUNTIF($U$8:$U$5007,$U2604))</f>
        <v/>
      </c>
    </row>
    <row r="2605" customFormat="false" ht="15" hidden="false" customHeight="false" outlineLevel="0" collapsed="false">
      <c r="A2605" s="31"/>
      <c r="B2605" s="32"/>
      <c r="C2605" s="32"/>
      <c r="D2605" s="32"/>
      <c r="E2605" s="32"/>
      <c r="F2605" s="32"/>
      <c r="G2605" s="33"/>
      <c r="H2605" s="33"/>
      <c r="I2605" s="34" t="str">
        <f aca="false">IF($A2605="","",$G2605-$H2605)</f>
        <v/>
      </c>
      <c r="J2605" s="35" t="str">
        <f aca="false">IF($A2605="","",IF(Setup!$B$6=1,YEAR($A2605),YEAR($A2605)+IF(MONTH($A2605)&gt;=Setup!$B$6,1,0)))</f>
        <v/>
      </c>
      <c r="K2605" s="35" t="str">
        <f aca="false">IF($A2605="","",MOD(MONTH($A2605)-Setup!$B$6+12,12)+1)</f>
        <v/>
      </c>
      <c r="L2605" s="36" t="str">
        <f aca="false">IF($A2605="","",TEXT($A2605,"MMM-YY"))</f>
        <v/>
      </c>
      <c r="M2605" s="37" t="str">
        <f aca="false">IF($A2605="","",IF($Q2605=0,"UNMAPPED",INDEX(COA_Mapping!$C$7:$C$256,$Q2605)))</f>
        <v/>
      </c>
      <c r="N2605" s="38" t="str">
        <f aca="false">IF($A2605="","",IF($Q2605=0,"",INDEX(COA_Mapping!$E$7:$E$256,$Q2605)))</f>
        <v/>
      </c>
      <c r="O2605" s="38" t="n">
        <f aca="false">IF($A2605="",1,IF($Q2605=0,1,INDEX(COA_Mapping!$F$7:$F$256,$Q2605)))</f>
        <v>1</v>
      </c>
      <c r="P2605" s="34" t="str">
        <f aca="false">IF($A2605="","",$I2605*$O2605)</f>
        <v/>
      </c>
      <c r="Q2605" s="39" t="n">
        <f aca="false">IF($B2605="",0,IFERROR(MATCH($B2605,COA_Mapping!$A$7:$A$256,0),0))</f>
        <v>0</v>
      </c>
      <c r="R2605" s="39" t="n">
        <f aca="false">IF($A2605="",-1,IF($J2605=Setup!$B$7,1,IF($J2605=Setup!$B$9,0,-1)))</f>
        <v>-1</v>
      </c>
      <c r="S2605" s="35" t="n">
        <f aca="false">IF(OR($A2605="",$Q2605=0,$R2605=-1),0,$Q2605*1000+$R2605*100+$K2605)</f>
        <v>0</v>
      </c>
      <c r="T2605" s="37" t="str">
        <f aca="false">IF($A2605="","",IF($B2605="","NO ACCOUNT",IF($Q2605=0,"UNMAPPED",IF($R2605=-1,"OUTSIDE FY RANGE","OK"))))</f>
        <v/>
      </c>
      <c r="U2605" s="40" t="str">
        <f aca="false">IF($A2605="","",$B2605&amp;"|"&amp;TEXT($A2605,"yyyymmdd")&amp;"|"&amp;TEXT($I2605,"0.00"))</f>
        <v/>
      </c>
      <c r="V2605" s="35" t="str">
        <f aca="false">IF($A2605="","",COUNTIF($U$8:$U$5007,$U2605))</f>
        <v/>
      </c>
    </row>
    <row r="2606" customFormat="false" ht="15" hidden="false" customHeight="false" outlineLevel="0" collapsed="false">
      <c r="A2606" s="31"/>
      <c r="B2606" s="32"/>
      <c r="C2606" s="32"/>
      <c r="D2606" s="32"/>
      <c r="E2606" s="32"/>
      <c r="F2606" s="32"/>
      <c r="G2606" s="33"/>
      <c r="H2606" s="33"/>
      <c r="I2606" s="34" t="str">
        <f aca="false">IF($A2606="","",$G2606-$H2606)</f>
        <v/>
      </c>
      <c r="J2606" s="35" t="str">
        <f aca="false">IF($A2606="","",IF(Setup!$B$6=1,YEAR($A2606),YEAR($A2606)+IF(MONTH($A2606)&gt;=Setup!$B$6,1,0)))</f>
        <v/>
      </c>
      <c r="K2606" s="35" t="str">
        <f aca="false">IF($A2606="","",MOD(MONTH($A2606)-Setup!$B$6+12,12)+1)</f>
        <v/>
      </c>
      <c r="L2606" s="36" t="str">
        <f aca="false">IF($A2606="","",TEXT($A2606,"MMM-YY"))</f>
        <v/>
      </c>
      <c r="M2606" s="37" t="str">
        <f aca="false">IF($A2606="","",IF($Q2606=0,"UNMAPPED",INDEX(COA_Mapping!$C$7:$C$256,$Q2606)))</f>
        <v/>
      </c>
      <c r="N2606" s="38" t="str">
        <f aca="false">IF($A2606="","",IF($Q2606=0,"",INDEX(COA_Mapping!$E$7:$E$256,$Q2606)))</f>
        <v/>
      </c>
      <c r="O2606" s="38" t="n">
        <f aca="false">IF($A2606="",1,IF($Q2606=0,1,INDEX(COA_Mapping!$F$7:$F$256,$Q2606)))</f>
        <v>1</v>
      </c>
      <c r="P2606" s="34" t="str">
        <f aca="false">IF($A2606="","",$I2606*$O2606)</f>
        <v/>
      </c>
      <c r="Q2606" s="39" t="n">
        <f aca="false">IF($B2606="",0,IFERROR(MATCH($B2606,COA_Mapping!$A$7:$A$256,0),0))</f>
        <v>0</v>
      </c>
      <c r="R2606" s="39" t="n">
        <f aca="false">IF($A2606="",-1,IF($J2606=Setup!$B$7,1,IF($J2606=Setup!$B$9,0,-1)))</f>
        <v>-1</v>
      </c>
      <c r="S2606" s="35" t="n">
        <f aca="false">IF(OR($A2606="",$Q2606=0,$R2606=-1),0,$Q2606*1000+$R2606*100+$K2606)</f>
        <v>0</v>
      </c>
      <c r="T2606" s="37" t="str">
        <f aca="false">IF($A2606="","",IF($B2606="","NO ACCOUNT",IF($Q2606=0,"UNMAPPED",IF($R2606=-1,"OUTSIDE FY RANGE","OK"))))</f>
        <v/>
      </c>
      <c r="U2606" s="40" t="str">
        <f aca="false">IF($A2606="","",$B2606&amp;"|"&amp;TEXT($A2606,"yyyymmdd")&amp;"|"&amp;TEXT($I2606,"0.00"))</f>
        <v/>
      </c>
      <c r="V2606" s="35" t="str">
        <f aca="false">IF($A2606="","",COUNTIF($U$8:$U$5007,$U2606))</f>
        <v/>
      </c>
    </row>
    <row r="2607" customFormat="false" ht="15" hidden="false" customHeight="false" outlineLevel="0" collapsed="false">
      <c r="A2607" s="31"/>
      <c r="B2607" s="32"/>
      <c r="C2607" s="32"/>
      <c r="D2607" s="32"/>
      <c r="E2607" s="32"/>
      <c r="F2607" s="32"/>
      <c r="G2607" s="33"/>
      <c r="H2607" s="33"/>
      <c r="I2607" s="34" t="str">
        <f aca="false">IF($A2607="","",$G2607-$H2607)</f>
        <v/>
      </c>
      <c r="J2607" s="35" t="str">
        <f aca="false">IF($A2607="","",IF(Setup!$B$6=1,YEAR($A2607),YEAR($A2607)+IF(MONTH($A2607)&gt;=Setup!$B$6,1,0)))</f>
        <v/>
      </c>
      <c r="K2607" s="35" t="str">
        <f aca="false">IF($A2607="","",MOD(MONTH($A2607)-Setup!$B$6+12,12)+1)</f>
        <v/>
      </c>
      <c r="L2607" s="36" t="str">
        <f aca="false">IF($A2607="","",TEXT($A2607,"MMM-YY"))</f>
        <v/>
      </c>
      <c r="M2607" s="37" t="str">
        <f aca="false">IF($A2607="","",IF($Q2607=0,"UNMAPPED",INDEX(COA_Mapping!$C$7:$C$256,$Q2607)))</f>
        <v/>
      </c>
      <c r="N2607" s="38" t="str">
        <f aca="false">IF($A2607="","",IF($Q2607=0,"",INDEX(COA_Mapping!$E$7:$E$256,$Q2607)))</f>
        <v/>
      </c>
      <c r="O2607" s="38" t="n">
        <f aca="false">IF($A2607="",1,IF($Q2607=0,1,INDEX(COA_Mapping!$F$7:$F$256,$Q2607)))</f>
        <v>1</v>
      </c>
      <c r="P2607" s="34" t="str">
        <f aca="false">IF($A2607="","",$I2607*$O2607)</f>
        <v/>
      </c>
      <c r="Q2607" s="39" t="n">
        <f aca="false">IF($B2607="",0,IFERROR(MATCH($B2607,COA_Mapping!$A$7:$A$256,0),0))</f>
        <v>0</v>
      </c>
      <c r="R2607" s="39" t="n">
        <f aca="false">IF($A2607="",-1,IF($J2607=Setup!$B$7,1,IF($J2607=Setup!$B$9,0,-1)))</f>
        <v>-1</v>
      </c>
      <c r="S2607" s="35" t="n">
        <f aca="false">IF(OR($A2607="",$Q2607=0,$R2607=-1),0,$Q2607*1000+$R2607*100+$K2607)</f>
        <v>0</v>
      </c>
      <c r="T2607" s="37" t="str">
        <f aca="false">IF($A2607="","",IF($B2607="","NO ACCOUNT",IF($Q2607=0,"UNMAPPED",IF($R2607=-1,"OUTSIDE FY RANGE","OK"))))</f>
        <v/>
      </c>
      <c r="U2607" s="40" t="str">
        <f aca="false">IF($A2607="","",$B2607&amp;"|"&amp;TEXT($A2607,"yyyymmdd")&amp;"|"&amp;TEXT($I2607,"0.00"))</f>
        <v/>
      </c>
      <c r="V2607" s="35" t="str">
        <f aca="false">IF($A2607="","",COUNTIF($U$8:$U$5007,$U2607))</f>
        <v/>
      </c>
    </row>
    <row r="2608" customFormat="false" ht="15" hidden="false" customHeight="false" outlineLevel="0" collapsed="false">
      <c r="A2608" s="31"/>
      <c r="B2608" s="32"/>
      <c r="C2608" s="32"/>
      <c r="D2608" s="32"/>
      <c r="E2608" s="32"/>
      <c r="F2608" s="32"/>
      <c r="G2608" s="33"/>
      <c r="H2608" s="33"/>
      <c r="I2608" s="34" t="str">
        <f aca="false">IF($A2608="","",$G2608-$H2608)</f>
        <v/>
      </c>
      <c r="J2608" s="35" t="str">
        <f aca="false">IF($A2608="","",IF(Setup!$B$6=1,YEAR($A2608),YEAR($A2608)+IF(MONTH($A2608)&gt;=Setup!$B$6,1,0)))</f>
        <v/>
      </c>
      <c r="K2608" s="35" t="str">
        <f aca="false">IF($A2608="","",MOD(MONTH($A2608)-Setup!$B$6+12,12)+1)</f>
        <v/>
      </c>
      <c r="L2608" s="36" t="str">
        <f aca="false">IF($A2608="","",TEXT($A2608,"MMM-YY"))</f>
        <v/>
      </c>
      <c r="M2608" s="37" t="str">
        <f aca="false">IF($A2608="","",IF($Q2608=0,"UNMAPPED",INDEX(COA_Mapping!$C$7:$C$256,$Q2608)))</f>
        <v/>
      </c>
      <c r="N2608" s="38" t="str">
        <f aca="false">IF($A2608="","",IF($Q2608=0,"",INDEX(COA_Mapping!$E$7:$E$256,$Q2608)))</f>
        <v/>
      </c>
      <c r="O2608" s="38" t="n">
        <f aca="false">IF($A2608="",1,IF($Q2608=0,1,INDEX(COA_Mapping!$F$7:$F$256,$Q2608)))</f>
        <v>1</v>
      </c>
      <c r="P2608" s="34" t="str">
        <f aca="false">IF($A2608="","",$I2608*$O2608)</f>
        <v/>
      </c>
      <c r="Q2608" s="39" t="n">
        <f aca="false">IF($B2608="",0,IFERROR(MATCH($B2608,COA_Mapping!$A$7:$A$256,0),0))</f>
        <v>0</v>
      </c>
      <c r="R2608" s="39" t="n">
        <f aca="false">IF($A2608="",-1,IF($J2608=Setup!$B$7,1,IF($J2608=Setup!$B$9,0,-1)))</f>
        <v>-1</v>
      </c>
      <c r="S2608" s="35" t="n">
        <f aca="false">IF(OR($A2608="",$Q2608=0,$R2608=-1),0,$Q2608*1000+$R2608*100+$K2608)</f>
        <v>0</v>
      </c>
      <c r="T2608" s="37" t="str">
        <f aca="false">IF($A2608="","",IF($B2608="","NO ACCOUNT",IF($Q2608=0,"UNMAPPED",IF($R2608=-1,"OUTSIDE FY RANGE","OK"))))</f>
        <v/>
      </c>
      <c r="U2608" s="40" t="str">
        <f aca="false">IF($A2608="","",$B2608&amp;"|"&amp;TEXT($A2608,"yyyymmdd")&amp;"|"&amp;TEXT($I2608,"0.00"))</f>
        <v/>
      </c>
      <c r="V2608" s="35" t="str">
        <f aca="false">IF($A2608="","",COUNTIF($U$8:$U$5007,$U2608))</f>
        <v/>
      </c>
    </row>
    <row r="2609" customFormat="false" ht="15" hidden="false" customHeight="false" outlineLevel="0" collapsed="false">
      <c r="A2609" s="31"/>
      <c r="B2609" s="32"/>
      <c r="C2609" s="32"/>
      <c r="D2609" s="32"/>
      <c r="E2609" s="32"/>
      <c r="F2609" s="32"/>
      <c r="G2609" s="33"/>
      <c r="H2609" s="33"/>
      <c r="I2609" s="34" t="str">
        <f aca="false">IF($A2609="","",$G2609-$H2609)</f>
        <v/>
      </c>
      <c r="J2609" s="35" t="str">
        <f aca="false">IF($A2609="","",IF(Setup!$B$6=1,YEAR($A2609),YEAR($A2609)+IF(MONTH($A2609)&gt;=Setup!$B$6,1,0)))</f>
        <v/>
      </c>
      <c r="K2609" s="35" t="str">
        <f aca="false">IF($A2609="","",MOD(MONTH($A2609)-Setup!$B$6+12,12)+1)</f>
        <v/>
      </c>
      <c r="L2609" s="36" t="str">
        <f aca="false">IF($A2609="","",TEXT($A2609,"MMM-YY"))</f>
        <v/>
      </c>
      <c r="M2609" s="37" t="str">
        <f aca="false">IF($A2609="","",IF($Q2609=0,"UNMAPPED",INDEX(COA_Mapping!$C$7:$C$256,$Q2609)))</f>
        <v/>
      </c>
      <c r="N2609" s="38" t="str">
        <f aca="false">IF($A2609="","",IF($Q2609=0,"",INDEX(COA_Mapping!$E$7:$E$256,$Q2609)))</f>
        <v/>
      </c>
      <c r="O2609" s="38" t="n">
        <f aca="false">IF($A2609="",1,IF($Q2609=0,1,INDEX(COA_Mapping!$F$7:$F$256,$Q2609)))</f>
        <v>1</v>
      </c>
      <c r="P2609" s="34" t="str">
        <f aca="false">IF($A2609="","",$I2609*$O2609)</f>
        <v/>
      </c>
      <c r="Q2609" s="39" t="n">
        <f aca="false">IF($B2609="",0,IFERROR(MATCH($B2609,COA_Mapping!$A$7:$A$256,0),0))</f>
        <v>0</v>
      </c>
      <c r="R2609" s="39" t="n">
        <f aca="false">IF($A2609="",-1,IF($J2609=Setup!$B$7,1,IF($J2609=Setup!$B$9,0,-1)))</f>
        <v>-1</v>
      </c>
      <c r="S2609" s="35" t="n">
        <f aca="false">IF(OR($A2609="",$Q2609=0,$R2609=-1),0,$Q2609*1000+$R2609*100+$K2609)</f>
        <v>0</v>
      </c>
      <c r="T2609" s="37" t="str">
        <f aca="false">IF($A2609="","",IF($B2609="","NO ACCOUNT",IF($Q2609=0,"UNMAPPED",IF($R2609=-1,"OUTSIDE FY RANGE","OK"))))</f>
        <v/>
      </c>
      <c r="U2609" s="40" t="str">
        <f aca="false">IF($A2609="","",$B2609&amp;"|"&amp;TEXT($A2609,"yyyymmdd")&amp;"|"&amp;TEXT($I2609,"0.00"))</f>
        <v/>
      </c>
      <c r="V2609" s="35" t="str">
        <f aca="false">IF($A2609="","",COUNTIF($U$8:$U$5007,$U2609))</f>
        <v/>
      </c>
    </row>
    <row r="2610" customFormat="false" ht="15" hidden="false" customHeight="false" outlineLevel="0" collapsed="false">
      <c r="A2610" s="31"/>
      <c r="B2610" s="32"/>
      <c r="C2610" s="32"/>
      <c r="D2610" s="32"/>
      <c r="E2610" s="32"/>
      <c r="F2610" s="32"/>
      <c r="G2610" s="33"/>
      <c r="H2610" s="33"/>
      <c r="I2610" s="34" t="str">
        <f aca="false">IF($A2610="","",$G2610-$H2610)</f>
        <v/>
      </c>
      <c r="J2610" s="35" t="str">
        <f aca="false">IF($A2610="","",IF(Setup!$B$6=1,YEAR($A2610),YEAR($A2610)+IF(MONTH($A2610)&gt;=Setup!$B$6,1,0)))</f>
        <v/>
      </c>
      <c r="K2610" s="35" t="str">
        <f aca="false">IF($A2610="","",MOD(MONTH($A2610)-Setup!$B$6+12,12)+1)</f>
        <v/>
      </c>
      <c r="L2610" s="36" t="str">
        <f aca="false">IF($A2610="","",TEXT($A2610,"MMM-YY"))</f>
        <v/>
      </c>
      <c r="M2610" s="37" t="str">
        <f aca="false">IF($A2610="","",IF($Q2610=0,"UNMAPPED",INDEX(COA_Mapping!$C$7:$C$256,$Q2610)))</f>
        <v/>
      </c>
      <c r="N2610" s="38" t="str">
        <f aca="false">IF($A2610="","",IF($Q2610=0,"",INDEX(COA_Mapping!$E$7:$E$256,$Q2610)))</f>
        <v/>
      </c>
      <c r="O2610" s="38" t="n">
        <f aca="false">IF($A2610="",1,IF($Q2610=0,1,INDEX(COA_Mapping!$F$7:$F$256,$Q2610)))</f>
        <v>1</v>
      </c>
      <c r="P2610" s="34" t="str">
        <f aca="false">IF($A2610="","",$I2610*$O2610)</f>
        <v/>
      </c>
      <c r="Q2610" s="39" t="n">
        <f aca="false">IF($B2610="",0,IFERROR(MATCH($B2610,COA_Mapping!$A$7:$A$256,0),0))</f>
        <v>0</v>
      </c>
      <c r="R2610" s="39" t="n">
        <f aca="false">IF($A2610="",-1,IF($J2610=Setup!$B$7,1,IF($J2610=Setup!$B$9,0,-1)))</f>
        <v>-1</v>
      </c>
      <c r="S2610" s="35" t="n">
        <f aca="false">IF(OR($A2610="",$Q2610=0,$R2610=-1),0,$Q2610*1000+$R2610*100+$K2610)</f>
        <v>0</v>
      </c>
      <c r="T2610" s="37" t="str">
        <f aca="false">IF($A2610="","",IF($B2610="","NO ACCOUNT",IF($Q2610=0,"UNMAPPED",IF($R2610=-1,"OUTSIDE FY RANGE","OK"))))</f>
        <v/>
      </c>
      <c r="U2610" s="40" t="str">
        <f aca="false">IF($A2610="","",$B2610&amp;"|"&amp;TEXT($A2610,"yyyymmdd")&amp;"|"&amp;TEXT($I2610,"0.00"))</f>
        <v/>
      </c>
      <c r="V2610" s="35" t="str">
        <f aca="false">IF($A2610="","",COUNTIF($U$8:$U$5007,$U2610))</f>
        <v/>
      </c>
    </row>
    <row r="2611" customFormat="false" ht="15" hidden="false" customHeight="false" outlineLevel="0" collapsed="false">
      <c r="A2611" s="31"/>
      <c r="B2611" s="32"/>
      <c r="C2611" s="32"/>
      <c r="D2611" s="32"/>
      <c r="E2611" s="32"/>
      <c r="F2611" s="32"/>
      <c r="G2611" s="33"/>
      <c r="H2611" s="33"/>
      <c r="I2611" s="34" t="str">
        <f aca="false">IF($A2611="","",$G2611-$H2611)</f>
        <v/>
      </c>
      <c r="J2611" s="35" t="str">
        <f aca="false">IF($A2611="","",IF(Setup!$B$6=1,YEAR($A2611),YEAR($A2611)+IF(MONTH($A2611)&gt;=Setup!$B$6,1,0)))</f>
        <v/>
      </c>
      <c r="K2611" s="35" t="str">
        <f aca="false">IF($A2611="","",MOD(MONTH($A2611)-Setup!$B$6+12,12)+1)</f>
        <v/>
      </c>
      <c r="L2611" s="36" t="str">
        <f aca="false">IF($A2611="","",TEXT($A2611,"MMM-YY"))</f>
        <v/>
      </c>
      <c r="M2611" s="37" t="str">
        <f aca="false">IF($A2611="","",IF($Q2611=0,"UNMAPPED",INDEX(COA_Mapping!$C$7:$C$256,$Q2611)))</f>
        <v/>
      </c>
      <c r="N2611" s="38" t="str">
        <f aca="false">IF($A2611="","",IF($Q2611=0,"",INDEX(COA_Mapping!$E$7:$E$256,$Q2611)))</f>
        <v/>
      </c>
      <c r="O2611" s="38" t="n">
        <f aca="false">IF($A2611="",1,IF($Q2611=0,1,INDEX(COA_Mapping!$F$7:$F$256,$Q2611)))</f>
        <v>1</v>
      </c>
      <c r="P2611" s="34" t="str">
        <f aca="false">IF($A2611="","",$I2611*$O2611)</f>
        <v/>
      </c>
      <c r="Q2611" s="39" t="n">
        <f aca="false">IF($B2611="",0,IFERROR(MATCH($B2611,COA_Mapping!$A$7:$A$256,0),0))</f>
        <v>0</v>
      </c>
      <c r="R2611" s="39" t="n">
        <f aca="false">IF($A2611="",-1,IF($J2611=Setup!$B$7,1,IF($J2611=Setup!$B$9,0,-1)))</f>
        <v>-1</v>
      </c>
      <c r="S2611" s="35" t="n">
        <f aca="false">IF(OR($A2611="",$Q2611=0,$R2611=-1),0,$Q2611*1000+$R2611*100+$K2611)</f>
        <v>0</v>
      </c>
      <c r="T2611" s="37" t="str">
        <f aca="false">IF($A2611="","",IF($B2611="","NO ACCOUNT",IF($Q2611=0,"UNMAPPED",IF($R2611=-1,"OUTSIDE FY RANGE","OK"))))</f>
        <v/>
      </c>
      <c r="U2611" s="40" t="str">
        <f aca="false">IF($A2611="","",$B2611&amp;"|"&amp;TEXT($A2611,"yyyymmdd")&amp;"|"&amp;TEXT($I2611,"0.00"))</f>
        <v/>
      </c>
      <c r="V2611" s="35" t="str">
        <f aca="false">IF($A2611="","",COUNTIF($U$8:$U$5007,$U2611))</f>
        <v/>
      </c>
    </row>
    <row r="2612" customFormat="false" ht="15" hidden="false" customHeight="false" outlineLevel="0" collapsed="false">
      <c r="A2612" s="31"/>
      <c r="B2612" s="32"/>
      <c r="C2612" s="32"/>
      <c r="D2612" s="32"/>
      <c r="E2612" s="32"/>
      <c r="F2612" s="32"/>
      <c r="G2612" s="33"/>
      <c r="H2612" s="33"/>
      <c r="I2612" s="34" t="str">
        <f aca="false">IF($A2612="","",$G2612-$H2612)</f>
        <v/>
      </c>
      <c r="J2612" s="35" t="str">
        <f aca="false">IF($A2612="","",IF(Setup!$B$6=1,YEAR($A2612),YEAR($A2612)+IF(MONTH($A2612)&gt;=Setup!$B$6,1,0)))</f>
        <v/>
      </c>
      <c r="K2612" s="35" t="str">
        <f aca="false">IF($A2612="","",MOD(MONTH($A2612)-Setup!$B$6+12,12)+1)</f>
        <v/>
      </c>
      <c r="L2612" s="36" t="str">
        <f aca="false">IF($A2612="","",TEXT($A2612,"MMM-YY"))</f>
        <v/>
      </c>
      <c r="M2612" s="37" t="str">
        <f aca="false">IF($A2612="","",IF($Q2612=0,"UNMAPPED",INDEX(COA_Mapping!$C$7:$C$256,$Q2612)))</f>
        <v/>
      </c>
      <c r="N2612" s="38" t="str">
        <f aca="false">IF($A2612="","",IF($Q2612=0,"",INDEX(COA_Mapping!$E$7:$E$256,$Q2612)))</f>
        <v/>
      </c>
      <c r="O2612" s="38" t="n">
        <f aca="false">IF($A2612="",1,IF($Q2612=0,1,INDEX(COA_Mapping!$F$7:$F$256,$Q2612)))</f>
        <v>1</v>
      </c>
      <c r="P2612" s="34" t="str">
        <f aca="false">IF($A2612="","",$I2612*$O2612)</f>
        <v/>
      </c>
      <c r="Q2612" s="39" t="n">
        <f aca="false">IF($B2612="",0,IFERROR(MATCH($B2612,COA_Mapping!$A$7:$A$256,0),0))</f>
        <v>0</v>
      </c>
      <c r="R2612" s="39" t="n">
        <f aca="false">IF($A2612="",-1,IF($J2612=Setup!$B$7,1,IF($J2612=Setup!$B$9,0,-1)))</f>
        <v>-1</v>
      </c>
      <c r="S2612" s="35" t="n">
        <f aca="false">IF(OR($A2612="",$Q2612=0,$R2612=-1),0,$Q2612*1000+$R2612*100+$K2612)</f>
        <v>0</v>
      </c>
      <c r="T2612" s="37" t="str">
        <f aca="false">IF($A2612="","",IF($B2612="","NO ACCOUNT",IF($Q2612=0,"UNMAPPED",IF($R2612=-1,"OUTSIDE FY RANGE","OK"))))</f>
        <v/>
      </c>
      <c r="U2612" s="40" t="str">
        <f aca="false">IF($A2612="","",$B2612&amp;"|"&amp;TEXT($A2612,"yyyymmdd")&amp;"|"&amp;TEXT($I2612,"0.00"))</f>
        <v/>
      </c>
      <c r="V2612" s="35" t="str">
        <f aca="false">IF($A2612="","",COUNTIF($U$8:$U$5007,$U2612))</f>
        <v/>
      </c>
    </row>
    <row r="2613" customFormat="false" ht="15" hidden="false" customHeight="false" outlineLevel="0" collapsed="false">
      <c r="A2613" s="31"/>
      <c r="B2613" s="32"/>
      <c r="C2613" s="32"/>
      <c r="D2613" s="32"/>
      <c r="E2613" s="32"/>
      <c r="F2613" s="32"/>
      <c r="G2613" s="33"/>
      <c r="H2613" s="33"/>
      <c r="I2613" s="34" t="str">
        <f aca="false">IF($A2613="","",$G2613-$H2613)</f>
        <v/>
      </c>
      <c r="J2613" s="35" t="str">
        <f aca="false">IF($A2613="","",IF(Setup!$B$6=1,YEAR($A2613),YEAR($A2613)+IF(MONTH($A2613)&gt;=Setup!$B$6,1,0)))</f>
        <v/>
      </c>
      <c r="K2613" s="35" t="str">
        <f aca="false">IF($A2613="","",MOD(MONTH($A2613)-Setup!$B$6+12,12)+1)</f>
        <v/>
      </c>
      <c r="L2613" s="36" t="str">
        <f aca="false">IF($A2613="","",TEXT($A2613,"MMM-YY"))</f>
        <v/>
      </c>
      <c r="M2613" s="37" t="str">
        <f aca="false">IF($A2613="","",IF($Q2613=0,"UNMAPPED",INDEX(COA_Mapping!$C$7:$C$256,$Q2613)))</f>
        <v/>
      </c>
      <c r="N2613" s="38" t="str">
        <f aca="false">IF($A2613="","",IF($Q2613=0,"",INDEX(COA_Mapping!$E$7:$E$256,$Q2613)))</f>
        <v/>
      </c>
      <c r="O2613" s="38" t="n">
        <f aca="false">IF($A2613="",1,IF($Q2613=0,1,INDEX(COA_Mapping!$F$7:$F$256,$Q2613)))</f>
        <v>1</v>
      </c>
      <c r="P2613" s="34" t="str">
        <f aca="false">IF($A2613="","",$I2613*$O2613)</f>
        <v/>
      </c>
      <c r="Q2613" s="39" t="n">
        <f aca="false">IF($B2613="",0,IFERROR(MATCH($B2613,COA_Mapping!$A$7:$A$256,0),0))</f>
        <v>0</v>
      </c>
      <c r="R2613" s="39" t="n">
        <f aca="false">IF($A2613="",-1,IF($J2613=Setup!$B$7,1,IF($J2613=Setup!$B$9,0,-1)))</f>
        <v>-1</v>
      </c>
      <c r="S2613" s="35" t="n">
        <f aca="false">IF(OR($A2613="",$Q2613=0,$R2613=-1),0,$Q2613*1000+$R2613*100+$K2613)</f>
        <v>0</v>
      </c>
      <c r="T2613" s="37" t="str">
        <f aca="false">IF($A2613="","",IF($B2613="","NO ACCOUNT",IF($Q2613=0,"UNMAPPED",IF($R2613=-1,"OUTSIDE FY RANGE","OK"))))</f>
        <v/>
      </c>
      <c r="U2613" s="40" t="str">
        <f aca="false">IF($A2613="","",$B2613&amp;"|"&amp;TEXT($A2613,"yyyymmdd")&amp;"|"&amp;TEXT($I2613,"0.00"))</f>
        <v/>
      </c>
      <c r="V2613" s="35" t="str">
        <f aca="false">IF($A2613="","",COUNTIF($U$8:$U$5007,$U2613))</f>
        <v/>
      </c>
    </row>
    <row r="2614" customFormat="false" ht="15" hidden="false" customHeight="false" outlineLevel="0" collapsed="false">
      <c r="A2614" s="31"/>
      <c r="B2614" s="32"/>
      <c r="C2614" s="32"/>
      <c r="D2614" s="32"/>
      <c r="E2614" s="32"/>
      <c r="F2614" s="32"/>
      <c r="G2614" s="33"/>
      <c r="H2614" s="33"/>
      <c r="I2614" s="34" t="str">
        <f aca="false">IF($A2614="","",$G2614-$H2614)</f>
        <v/>
      </c>
      <c r="J2614" s="35" t="str">
        <f aca="false">IF($A2614="","",IF(Setup!$B$6=1,YEAR($A2614),YEAR($A2614)+IF(MONTH($A2614)&gt;=Setup!$B$6,1,0)))</f>
        <v/>
      </c>
      <c r="K2614" s="35" t="str">
        <f aca="false">IF($A2614="","",MOD(MONTH($A2614)-Setup!$B$6+12,12)+1)</f>
        <v/>
      </c>
      <c r="L2614" s="36" t="str">
        <f aca="false">IF($A2614="","",TEXT($A2614,"MMM-YY"))</f>
        <v/>
      </c>
      <c r="M2614" s="37" t="str">
        <f aca="false">IF($A2614="","",IF($Q2614=0,"UNMAPPED",INDEX(COA_Mapping!$C$7:$C$256,$Q2614)))</f>
        <v/>
      </c>
      <c r="N2614" s="38" t="str">
        <f aca="false">IF($A2614="","",IF($Q2614=0,"",INDEX(COA_Mapping!$E$7:$E$256,$Q2614)))</f>
        <v/>
      </c>
      <c r="O2614" s="38" t="n">
        <f aca="false">IF($A2614="",1,IF($Q2614=0,1,INDEX(COA_Mapping!$F$7:$F$256,$Q2614)))</f>
        <v>1</v>
      </c>
      <c r="P2614" s="34" t="str">
        <f aca="false">IF($A2614="","",$I2614*$O2614)</f>
        <v/>
      </c>
      <c r="Q2614" s="39" t="n">
        <f aca="false">IF($B2614="",0,IFERROR(MATCH($B2614,COA_Mapping!$A$7:$A$256,0),0))</f>
        <v>0</v>
      </c>
      <c r="R2614" s="39" t="n">
        <f aca="false">IF($A2614="",-1,IF($J2614=Setup!$B$7,1,IF($J2614=Setup!$B$9,0,-1)))</f>
        <v>-1</v>
      </c>
      <c r="S2614" s="35" t="n">
        <f aca="false">IF(OR($A2614="",$Q2614=0,$R2614=-1),0,$Q2614*1000+$R2614*100+$K2614)</f>
        <v>0</v>
      </c>
      <c r="T2614" s="37" t="str">
        <f aca="false">IF($A2614="","",IF($B2614="","NO ACCOUNT",IF($Q2614=0,"UNMAPPED",IF($R2614=-1,"OUTSIDE FY RANGE","OK"))))</f>
        <v/>
      </c>
      <c r="U2614" s="40" t="str">
        <f aca="false">IF($A2614="","",$B2614&amp;"|"&amp;TEXT($A2614,"yyyymmdd")&amp;"|"&amp;TEXT($I2614,"0.00"))</f>
        <v/>
      </c>
      <c r="V2614" s="35" t="str">
        <f aca="false">IF($A2614="","",COUNTIF($U$8:$U$5007,$U2614))</f>
        <v/>
      </c>
    </row>
    <row r="2615" customFormat="false" ht="15" hidden="false" customHeight="false" outlineLevel="0" collapsed="false">
      <c r="A2615" s="31"/>
      <c r="B2615" s="32"/>
      <c r="C2615" s="32"/>
      <c r="D2615" s="32"/>
      <c r="E2615" s="32"/>
      <c r="F2615" s="32"/>
      <c r="G2615" s="33"/>
      <c r="H2615" s="33"/>
      <c r="I2615" s="34" t="str">
        <f aca="false">IF($A2615="","",$G2615-$H2615)</f>
        <v/>
      </c>
      <c r="J2615" s="35" t="str">
        <f aca="false">IF($A2615="","",IF(Setup!$B$6=1,YEAR($A2615),YEAR($A2615)+IF(MONTH($A2615)&gt;=Setup!$B$6,1,0)))</f>
        <v/>
      </c>
      <c r="K2615" s="35" t="str">
        <f aca="false">IF($A2615="","",MOD(MONTH($A2615)-Setup!$B$6+12,12)+1)</f>
        <v/>
      </c>
      <c r="L2615" s="36" t="str">
        <f aca="false">IF($A2615="","",TEXT($A2615,"MMM-YY"))</f>
        <v/>
      </c>
      <c r="M2615" s="37" t="str">
        <f aca="false">IF($A2615="","",IF($Q2615=0,"UNMAPPED",INDEX(COA_Mapping!$C$7:$C$256,$Q2615)))</f>
        <v/>
      </c>
      <c r="N2615" s="38" t="str">
        <f aca="false">IF($A2615="","",IF($Q2615=0,"",INDEX(COA_Mapping!$E$7:$E$256,$Q2615)))</f>
        <v/>
      </c>
      <c r="O2615" s="38" t="n">
        <f aca="false">IF($A2615="",1,IF($Q2615=0,1,INDEX(COA_Mapping!$F$7:$F$256,$Q2615)))</f>
        <v>1</v>
      </c>
      <c r="P2615" s="34" t="str">
        <f aca="false">IF($A2615="","",$I2615*$O2615)</f>
        <v/>
      </c>
      <c r="Q2615" s="39" t="n">
        <f aca="false">IF($B2615="",0,IFERROR(MATCH($B2615,COA_Mapping!$A$7:$A$256,0),0))</f>
        <v>0</v>
      </c>
      <c r="R2615" s="39" t="n">
        <f aca="false">IF($A2615="",-1,IF($J2615=Setup!$B$7,1,IF($J2615=Setup!$B$9,0,-1)))</f>
        <v>-1</v>
      </c>
      <c r="S2615" s="35" t="n">
        <f aca="false">IF(OR($A2615="",$Q2615=0,$R2615=-1),0,$Q2615*1000+$R2615*100+$K2615)</f>
        <v>0</v>
      </c>
      <c r="T2615" s="37" t="str">
        <f aca="false">IF($A2615="","",IF($B2615="","NO ACCOUNT",IF($Q2615=0,"UNMAPPED",IF($R2615=-1,"OUTSIDE FY RANGE","OK"))))</f>
        <v/>
      </c>
      <c r="U2615" s="40" t="str">
        <f aca="false">IF($A2615="","",$B2615&amp;"|"&amp;TEXT($A2615,"yyyymmdd")&amp;"|"&amp;TEXT($I2615,"0.00"))</f>
        <v/>
      </c>
      <c r="V2615" s="35" t="str">
        <f aca="false">IF($A2615="","",COUNTIF($U$8:$U$5007,$U2615))</f>
        <v/>
      </c>
    </row>
    <row r="2616" customFormat="false" ht="15" hidden="false" customHeight="false" outlineLevel="0" collapsed="false">
      <c r="A2616" s="31"/>
      <c r="B2616" s="32"/>
      <c r="C2616" s="32"/>
      <c r="D2616" s="32"/>
      <c r="E2616" s="32"/>
      <c r="F2616" s="32"/>
      <c r="G2616" s="33"/>
      <c r="H2616" s="33"/>
      <c r="I2616" s="34" t="str">
        <f aca="false">IF($A2616="","",$G2616-$H2616)</f>
        <v/>
      </c>
      <c r="J2616" s="35" t="str">
        <f aca="false">IF($A2616="","",IF(Setup!$B$6=1,YEAR($A2616),YEAR($A2616)+IF(MONTH($A2616)&gt;=Setup!$B$6,1,0)))</f>
        <v/>
      </c>
      <c r="K2616" s="35" t="str">
        <f aca="false">IF($A2616="","",MOD(MONTH($A2616)-Setup!$B$6+12,12)+1)</f>
        <v/>
      </c>
      <c r="L2616" s="36" t="str">
        <f aca="false">IF($A2616="","",TEXT($A2616,"MMM-YY"))</f>
        <v/>
      </c>
      <c r="M2616" s="37" t="str">
        <f aca="false">IF($A2616="","",IF($Q2616=0,"UNMAPPED",INDEX(COA_Mapping!$C$7:$C$256,$Q2616)))</f>
        <v/>
      </c>
      <c r="N2616" s="38" t="str">
        <f aca="false">IF($A2616="","",IF($Q2616=0,"",INDEX(COA_Mapping!$E$7:$E$256,$Q2616)))</f>
        <v/>
      </c>
      <c r="O2616" s="38" t="n">
        <f aca="false">IF($A2616="",1,IF($Q2616=0,1,INDEX(COA_Mapping!$F$7:$F$256,$Q2616)))</f>
        <v>1</v>
      </c>
      <c r="P2616" s="34" t="str">
        <f aca="false">IF($A2616="","",$I2616*$O2616)</f>
        <v/>
      </c>
      <c r="Q2616" s="39" t="n">
        <f aca="false">IF($B2616="",0,IFERROR(MATCH($B2616,COA_Mapping!$A$7:$A$256,0),0))</f>
        <v>0</v>
      </c>
      <c r="R2616" s="39" t="n">
        <f aca="false">IF($A2616="",-1,IF($J2616=Setup!$B$7,1,IF($J2616=Setup!$B$9,0,-1)))</f>
        <v>-1</v>
      </c>
      <c r="S2616" s="35" t="n">
        <f aca="false">IF(OR($A2616="",$Q2616=0,$R2616=-1),0,$Q2616*1000+$R2616*100+$K2616)</f>
        <v>0</v>
      </c>
      <c r="T2616" s="37" t="str">
        <f aca="false">IF($A2616="","",IF($B2616="","NO ACCOUNT",IF($Q2616=0,"UNMAPPED",IF($R2616=-1,"OUTSIDE FY RANGE","OK"))))</f>
        <v/>
      </c>
      <c r="U2616" s="40" t="str">
        <f aca="false">IF($A2616="","",$B2616&amp;"|"&amp;TEXT($A2616,"yyyymmdd")&amp;"|"&amp;TEXT($I2616,"0.00"))</f>
        <v/>
      </c>
      <c r="V2616" s="35" t="str">
        <f aca="false">IF($A2616="","",COUNTIF($U$8:$U$5007,$U2616))</f>
        <v/>
      </c>
    </row>
    <row r="2617" customFormat="false" ht="15" hidden="false" customHeight="false" outlineLevel="0" collapsed="false">
      <c r="A2617" s="31"/>
      <c r="B2617" s="32"/>
      <c r="C2617" s="32"/>
      <c r="D2617" s="32"/>
      <c r="E2617" s="32"/>
      <c r="F2617" s="32"/>
      <c r="G2617" s="33"/>
      <c r="H2617" s="33"/>
      <c r="I2617" s="34" t="str">
        <f aca="false">IF($A2617="","",$G2617-$H2617)</f>
        <v/>
      </c>
      <c r="J2617" s="35" t="str">
        <f aca="false">IF($A2617="","",IF(Setup!$B$6=1,YEAR($A2617),YEAR($A2617)+IF(MONTH($A2617)&gt;=Setup!$B$6,1,0)))</f>
        <v/>
      </c>
      <c r="K2617" s="35" t="str">
        <f aca="false">IF($A2617="","",MOD(MONTH($A2617)-Setup!$B$6+12,12)+1)</f>
        <v/>
      </c>
      <c r="L2617" s="36" t="str">
        <f aca="false">IF($A2617="","",TEXT($A2617,"MMM-YY"))</f>
        <v/>
      </c>
      <c r="M2617" s="37" t="str">
        <f aca="false">IF($A2617="","",IF($Q2617=0,"UNMAPPED",INDEX(COA_Mapping!$C$7:$C$256,$Q2617)))</f>
        <v/>
      </c>
      <c r="N2617" s="38" t="str">
        <f aca="false">IF($A2617="","",IF($Q2617=0,"",INDEX(COA_Mapping!$E$7:$E$256,$Q2617)))</f>
        <v/>
      </c>
      <c r="O2617" s="38" t="n">
        <f aca="false">IF($A2617="",1,IF($Q2617=0,1,INDEX(COA_Mapping!$F$7:$F$256,$Q2617)))</f>
        <v>1</v>
      </c>
      <c r="P2617" s="34" t="str">
        <f aca="false">IF($A2617="","",$I2617*$O2617)</f>
        <v/>
      </c>
      <c r="Q2617" s="39" t="n">
        <f aca="false">IF($B2617="",0,IFERROR(MATCH($B2617,COA_Mapping!$A$7:$A$256,0),0))</f>
        <v>0</v>
      </c>
      <c r="R2617" s="39" t="n">
        <f aca="false">IF($A2617="",-1,IF($J2617=Setup!$B$7,1,IF($J2617=Setup!$B$9,0,-1)))</f>
        <v>-1</v>
      </c>
      <c r="S2617" s="35" t="n">
        <f aca="false">IF(OR($A2617="",$Q2617=0,$R2617=-1),0,$Q2617*1000+$R2617*100+$K2617)</f>
        <v>0</v>
      </c>
      <c r="T2617" s="37" t="str">
        <f aca="false">IF($A2617="","",IF($B2617="","NO ACCOUNT",IF($Q2617=0,"UNMAPPED",IF($R2617=-1,"OUTSIDE FY RANGE","OK"))))</f>
        <v/>
      </c>
      <c r="U2617" s="40" t="str">
        <f aca="false">IF($A2617="","",$B2617&amp;"|"&amp;TEXT($A2617,"yyyymmdd")&amp;"|"&amp;TEXT($I2617,"0.00"))</f>
        <v/>
      </c>
      <c r="V2617" s="35" t="str">
        <f aca="false">IF($A2617="","",COUNTIF($U$8:$U$5007,$U2617))</f>
        <v/>
      </c>
    </row>
    <row r="2618" customFormat="false" ht="15" hidden="false" customHeight="false" outlineLevel="0" collapsed="false">
      <c r="A2618" s="31"/>
      <c r="B2618" s="32"/>
      <c r="C2618" s="32"/>
      <c r="D2618" s="32"/>
      <c r="E2618" s="32"/>
      <c r="F2618" s="32"/>
      <c r="G2618" s="33"/>
      <c r="H2618" s="33"/>
      <c r="I2618" s="34" t="str">
        <f aca="false">IF($A2618="","",$G2618-$H2618)</f>
        <v/>
      </c>
      <c r="J2618" s="35" t="str">
        <f aca="false">IF($A2618="","",IF(Setup!$B$6=1,YEAR($A2618),YEAR($A2618)+IF(MONTH($A2618)&gt;=Setup!$B$6,1,0)))</f>
        <v/>
      </c>
      <c r="K2618" s="35" t="str">
        <f aca="false">IF($A2618="","",MOD(MONTH($A2618)-Setup!$B$6+12,12)+1)</f>
        <v/>
      </c>
      <c r="L2618" s="36" t="str">
        <f aca="false">IF($A2618="","",TEXT($A2618,"MMM-YY"))</f>
        <v/>
      </c>
      <c r="M2618" s="37" t="str">
        <f aca="false">IF($A2618="","",IF($Q2618=0,"UNMAPPED",INDEX(COA_Mapping!$C$7:$C$256,$Q2618)))</f>
        <v/>
      </c>
      <c r="N2618" s="38" t="str">
        <f aca="false">IF($A2618="","",IF($Q2618=0,"",INDEX(COA_Mapping!$E$7:$E$256,$Q2618)))</f>
        <v/>
      </c>
      <c r="O2618" s="38" t="n">
        <f aca="false">IF($A2618="",1,IF($Q2618=0,1,INDEX(COA_Mapping!$F$7:$F$256,$Q2618)))</f>
        <v>1</v>
      </c>
      <c r="P2618" s="34" t="str">
        <f aca="false">IF($A2618="","",$I2618*$O2618)</f>
        <v/>
      </c>
      <c r="Q2618" s="39" t="n">
        <f aca="false">IF($B2618="",0,IFERROR(MATCH($B2618,COA_Mapping!$A$7:$A$256,0),0))</f>
        <v>0</v>
      </c>
      <c r="R2618" s="39" t="n">
        <f aca="false">IF($A2618="",-1,IF($J2618=Setup!$B$7,1,IF($J2618=Setup!$B$9,0,-1)))</f>
        <v>-1</v>
      </c>
      <c r="S2618" s="35" t="n">
        <f aca="false">IF(OR($A2618="",$Q2618=0,$R2618=-1),0,$Q2618*1000+$R2618*100+$K2618)</f>
        <v>0</v>
      </c>
      <c r="T2618" s="37" t="str">
        <f aca="false">IF($A2618="","",IF($B2618="","NO ACCOUNT",IF($Q2618=0,"UNMAPPED",IF($R2618=-1,"OUTSIDE FY RANGE","OK"))))</f>
        <v/>
      </c>
      <c r="U2618" s="40" t="str">
        <f aca="false">IF($A2618="","",$B2618&amp;"|"&amp;TEXT($A2618,"yyyymmdd")&amp;"|"&amp;TEXT($I2618,"0.00"))</f>
        <v/>
      </c>
      <c r="V2618" s="35" t="str">
        <f aca="false">IF($A2618="","",COUNTIF($U$8:$U$5007,$U2618))</f>
        <v/>
      </c>
    </row>
    <row r="2619" customFormat="false" ht="15" hidden="false" customHeight="false" outlineLevel="0" collapsed="false">
      <c r="A2619" s="31"/>
      <c r="B2619" s="32"/>
      <c r="C2619" s="32"/>
      <c r="D2619" s="32"/>
      <c r="E2619" s="32"/>
      <c r="F2619" s="32"/>
      <c r="G2619" s="33"/>
      <c r="H2619" s="33"/>
      <c r="I2619" s="34" t="str">
        <f aca="false">IF($A2619="","",$G2619-$H2619)</f>
        <v/>
      </c>
      <c r="J2619" s="35" t="str">
        <f aca="false">IF($A2619="","",IF(Setup!$B$6=1,YEAR($A2619),YEAR($A2619)+IF(MONTH($A2619)&gt;=Setup!$B$6,1,0)))</f>
        <v/>
      </c>
      <c r="K2619" s="35" t="str">
        <f aca="false">IF($A2619="","",MOD(MONTH($A2619)-Setup!$B$6+12,12)+1)</f>
        <v/>
      </c>
      <c r="L2619" s="36" t="str">
        <f aca="false">IF($A2619="","",TEXT($A2619,"MMM-YY"))</f>
        <v/>
      </c>
      <c r="M2619" s="37" t="str">
        <f aca="false">IF($A2619="","",IF($Q2619=0,"UNMAPPED",INDEX(COA_Mapping!$C$7:$C$256,$Q2619)))</f>
        <v/>
      </c>
      <c r="N2619" s="38" t="str">
        <f aca="false">IF($A2619="","",IF($Q2619=0,"",INDEX(COA_Mapping!$E$7:$E$256,$Q2619)))</f>
        <v/>
      </c>
      <c r="O2619" s="38" t="n">
        <f aca="false">IF($A2619="",1,IF($Q2619=0,1,INDEX(COA_Mapping!$F$7:$F$256,$Q2619)))</f>
        <v>1</v>
      </c>
      <c r="P2619" s="34" t="str">
        <f aca="false">IF($A2619="","",$I2619*$O2619)</f>
        <v/>
      </c>
      <c r="Q2619" s="39" t="n">
        <f aca="false">IF($B2619="",0,IFERROR(MATCH($B2619,COA_Mapping!$A$7:$A$256,0),0))</f>
        <v>0</v>
      </c>
      <c r="R2619" s="39" t="n">
        <f aca="false">IF($A2619="",-1,IF($J2619=Setup!$B$7,1,IF($J2619=Setup!$B$9,0,-1)))</f>
        <v>-1</v>
      </c>
      <c r="S2619" s="35" t="n">
        <f aca="false">IF(OR($A2619="",$Q2619=0,$R2619=-1),0,$Q2619*1000+$R2619*100+$K2619)</f>
        <v>0</v>
      </c>
      <c r="T2619" s="37" t="str">
        <f aca="false">IF($A2619="","",IF($B2619="","NO ACCOUNT",IF($Q2619=0,"UNMAPPED",IF($R2619=-1,"OUTSIDE FY RANGE","OK"))))</f>
        <v/>
      </c>
      <c r="U2619" s="40" t="str">
        <f aca="false">IF($A2619="","",$B2619&amp;"|"&amp;TEXT($A2619,"yyyymmdd")&amp;"|"&amp;TEXT($I2619,"0.00"))</f>
        <v/>
      </c>
      <c r="V2619" s="35" t="str">
        <f aca="false">IF($A2619="","",COUNTIF($U$8:$U$5007,$U2619))</f>
        <v/>
      </c>
    </row>
    <row r="2620" customFormat="false" ht="15" hidden="false" customHeight="false" outlineLevel="0" collapsed="false">
      <c r="A2620" s="31"/>
      <c r="B2620" s="32"/>
      <c r="C2620" s="32"/>
      <c r="D2620" s="32"/>
      <c r="E2620" s="32"/>
      <c r="F2620" s="32"/>
      <c r="G2620" s="33"/>
      <c r="H2620" s="33"/>
      <c r="I2620" s="34" t="str">
        <f aca="false">IF($A2620="","",$G2620-$H2620)</f>
        <v/>
      </c>
      <c r="J2620" s="35" t="str">
        <f aca="false">IF($A2620="","",IF(Setup!$B$6=1,YEAR($A2620),YEAR($A2620)+IF(MONTH($A2620)&gt;=Setup!$B$6,1,0)))</f>
        <v/>
      </c>
      <c r="K2620" s="35" t="str">
        <f aca="false">IF($A2620="","",MOD(MONTH($A2620)-Setup!$B$6+12,12)+1)</f>
        <v/>
      </c>
      <c r="L2620" s="36" t="str">
        <f aca="false">IF($A2620="","",TEXT($A2620,"MMM-YY"))</f>
        <v/>
      </c>
      <c r="M2620" s="37" t="str">
        <f aca="false">IF($A2620="","",IF($Q2620=0,"UNMAPPED",INDEX(COA_Mapping!$C$7:$C$256,$Q2620)))</f>
        <v/>
      </c>
      <c r="N2620" s="38" t="str">
        <f aca="false">IF($A2620="","",IF($Q2620=0,"",INDEX(COA_Mapping!$E$7:$E$256,$Q2620)))</f>
        <v/>
      </c>
      <c r="O2620" s="38" t="n">
        <f aca="false">IF($A2620="",1,IF($Q2620=0,1,INDEX(COA_Mapping!$F$7:$F$256,$Q2620)))</f>
        <v>1</v>
      </c>
      <c r="P2620" s="34" t="str">
        <f aca="false">IF($A2620="","",$I2620*$O2620)</f>
        <v/>
      </c>
      <c r="Q2620" s="39" t="n">
        <f aca="false">IF($B2620="",0,IFERROR(MATCH($B2620,COA_Mapping!$A$7:$A$256,0),0))</f>
        <v>0</v>
      </c>
      <c r="R2620" s="39" t="n">
        <f aca="false">IF($A2620="",-1,IF($J2620=Setup!$B$7,1,IF($J2620=Setup!$B$9,0,-1)))</f>
        <v>-1</v>
      </c>
      <c r="S2620" s="35" t="n">
        <f aca="false">IF(OR($A2620="",$Q2620=0,$R2620=-1),0,$Q2620*1000+$R2620*100+$K2620)</f>
        <v>0</v>
      </c>
      <c r="T2620" s="37" t="str">
        <f aca="false">IF($A2620="","",IF($B2620="","NO ACCOUNT",IF($Q2620=0,"UNMAPPED",IF($R2620=-1,"OUTSIDE FY RANGE","OK"))))</f>
        <v/>
      </c>
      <c r="U2620" s="40" t="str">
        <f aca="false">IF($A2620="","",$B2620&amp;"|"&amp;TEXT($A2620,"yyyymmdd")&amp;"|"&amp;TEXT($I2620,"0.00"))</f>
        <v/>
      </c>
      <c r="V2620" s="35" t="str">
        <f aca="false">IF($A2620="","",COUNTIF($U$8:$U$5007,$U2620))</f>
        <v/>
      </c>
    </row>
    <row r="2621" customFormat="false" ht="15" hidden="false" customHeight="false" outlineLevel="0" collapsed="false">
      <c r="A2621" s="31"/>
      <c r="B2621" s="32"/>
      <c r="C2621" s="32"/>
      <c r="D2621" s="32"/>
      <c r="E2621" s="32"/>
      <c r="F2621" s="32"/>
      <c r="G2621" s="33"/>
      <c r="H2621" s="33"/>
      <c r="I2621" s="34" t="str">
        <f aca="false">IF($A2621="","",$G2621-$H2621)</f>
        <v/>
      </c>
      <c r="J2621" s="35" t="str">
        <f aca="false">IF($A2621="","",IF(Setup!$B$6=1,YEAR($A2621),YEAR($A2621)+IF(MONTH($A2621)&gt;=Setup!$B$6,1,0)))</f>
        <v/>
      </c>
      <c r="K2621" s="35" t="str">
        <f aca="false">IF($A2621="","",MOD(MONTH($A2621)-Setup!$B$6+12,12)+1)</f>
        <v/>
      </c>
      <c r="L2621" s="36" t="str">
        <f aca="false">IF($A2621="","",TEXT($A2621,"MMM-YY"))</f>
        <v/>
      </c>
      <c r="M2621" s="37" t="str">
        <f aca="false">IF($A2621="","",IF($Q2621=0,"UNMAPPED",INDEX(COA_Mapping!$C$7:$C$256,$Q2621)))</f>
        <v/>
      </c>
      <c r="N2621" s="38" t="str">
        <f aca="false">IF($A2621="","",IF($Q2621=0,"",INDEX(COA_Mapping!$E$7:$E$256,$Q2621)))</f>
        <v/>
      </c>
      <c r="O2621" s="38" t="n">
        <f aca="false">IF($A2621="",1,IF($Q2621=0,1,INDEX(COA_Mapping!$F$7:$F$256,$Q2621)))</f>
        <v>1</v>
      </c>
      <c r="P2621" s="34" t="str">
        <f aca="false">IF($A2621="","",$I2621*$O2621)</f>
        <v/>
      </c>
      <c r="Q2621" s="39" t="n">
        <f aca="false">IF($B2621="",0,IFERROR(MATCH($B2621,COA_Mapping!$A$7:$A$256,0),0))</f>
        <v>0</v>
      </c>
      <c r="R2621" s="39" t="n">
        <f aca="false">IF($A2621="",-1,IF($J2621=Setup!$B$7,1,IF($J2621=Setup!$B$9,0,-1)))</f>
        <v>-1</v>
      </c>
      <c r="S2621" s="35" t="n">
        <f aca="false">IF(OR($A2621="",$Q2621=0,$R2621=-1),0,$Q2621*1000+$R2621*100+$K2621)</f>
        <v>0</v>
      </c>
      <c r="T2621" s="37" t="str">
        <f aca="false">IF($A2621="","",IF($B2621="","NO ACCOUNT",IF($Q2621=0,"UNMAPPED",IF($R2621=-1,"OUTSIDE FY RANGE","OK"))))</f>
        <v/>
      </c>
      <c r="U2621" s="40" t="str">
        <f aca="false">IF($A2621="","",$B2621&amp;"|"&amp;TEXT($A2621,"yyyymmdd")&amp;"|"&amp;TEXT($I2621,"0.00"))</f>
        <v/>
      </c>
      <c r="V2621" s="35" t="str">
        <f aca="false">IF($A2621="","",COUNTIF($U$8:$U$5007,$U2621))</f>
        <v/>
      </c>
    </row>
    <row r="2622" customFormat="false" ht="15" hidden="false" customHeight="false" outlineLevel="0" collapsed="false">
      <c r="A2622" s="31"/>
      <c r="B2622" s="32"/>
      <c r="C2622" s="32"/>
      <c r="D2622" s="32"/>
      <c r="E2622" s="32"/>
      <c r="F2622" s="32"/>
      <c r="G2622" s="33"/>
      <c r="H2622" s="33"/>
      <c r="I2622" s="34" t="str">
        <f aca="false">IF($A2622="","",$G2622-$H2622)</f>
        <v/>
      </c>
      <c r="J2622" s="35" t="str">
        <f aca="false">IF($A2622="","",IF(Setup!$B$6=1,YEAR($A2622),YEAR($A2622)+IF(MONTH($A2622)&gt;=Setup!$B$6,1,0)))</f>
        <v/>
      </c>
      <c r="K2622" s="35" t="str">
        <f aca="false">IF($A2622="","",MOD(MONTH($A2622)-Setup!$B$6+12,12)+1)</f>
        <v/>
      </c>
      <c r="L2622" s="36" t="str">
        <f aca="false">IF($A2622="","",TEXT($A2622,"MMM-YY"))</f>
        <v/>
      </c>
      <c r="M2622" s="37" t="str">
        <f aca="false">IF($A2622="","",IF($Q2622=0,"UNMAPPED",INDEX(COA_Mapping!$C$7:$C$256,$Q2622)))</f>
        <v/>
      </c>
      <c r="N2622" s="38" t="str">
        <f aca="false">IF($A2622="","",IF($Q2622=0,"",INDEX(COA_Mapping!$E$7:$E$256,$Q2622)))</f>
        <v/>
      </c>
      <c r="O2622" s="38" t="n">
        <f aca="false">IF($A2622="",1,IF($Q2622=0,1,INDEX(COA_Mapping!$F$7:$F$256,$Q2622)))</f>
        <v>1</v>
      </c>
      <c r="P2622" s="34" t="str">
        <f aca="false">IF($A2622="","",$I2622*$O2622)</f>
        <v/>
      </c>
      <c r="Q2622" s="39" t="n">
        <f aca="false">IF($B2622="",0,IFERROR(MATCH($B2622,COA_Mapping!$A$7:$A$256,0),0))</f>
        <v>0</v>
      </c>
      <c r="R2622" s="39" t="n">
        <f aca="false">IF($A2622="",-1,IF($J2622=Setup!$B$7,1,IF($J2622=Setup!$B$9,0,-1)))</f>
        <v>-1</v>
      </c>
      <c r="S2622" s="35" t="n">
        <f aca="false">IF(OR($A2622="",$Q2622=0,$R2622=-1),0,$Q2622*1000+$R2622*100+$K2622)</f>
        <v>0</v>
      </c>
      <c r="T2622" s="37" t="str">
        <f aca="false">IF($A2622="","",IF($B2622="","NO ACCOUNT",IF($Q2622=0,"UNMAPPED",IF($R2622=-1,"OUTSIDE FY RANGE","OK"))))</f>
        <v/>
      </c>
      <c r="U2622" s="40" t="str">
        <f aca="false">IF($A2622="","",$B2622&amp;"|"&amp;TEXT($A2622,"yyyymmdd")&amp;"|"&amp;TEXT($I2622,"0.00"))</f>
        <v/>
      </c>
      <c r="V2622" s="35" t="str">
        <f aca="false">IF($A2622="","",COUNTIF($U$8:$U$5007,$U2622))</f>
        <v/>
      </c>
    </row>
    <row r="2623" customFormat="false" ht="15" hidden="false" customHeight="false" outlineLevel="0" collapsed="false">
      <c r="A2623" s="31"/>
      <c r="B2623" s="32"/>
      <c r="C2623" s="32"/>
      <c r="D2623" s="32"/>
      <c r="E2623" s="32"/>
      <c r="F2623" s="32"/>
      <c r="G2623" s="33"/>
      <c r="H2623" s="33"/>
      <c r="I2623" s="34" t="str">
        <f aca="false">IF($A2623="","",$G2623-$H2623)</f>
        <v/>
      </c>
      <c r="J2623" s="35" t="str">
        <f aca="false">IF($A2623="","",IF(Setup!$B$6=1,YEAR($A2623),YEAR($A2623)+IF(MONTH($A2623)&gt;=Setup!$B$6,1,0)))</f>
        <v/>
      </c>
      <c r="K2623" s="35" t="str">
        <f aca="false">IF($A2623="","",MOD(MONTH($A2623)-Setup!$B$6+12,12)+1)</f>
        <v/>
      </c>
      <c r="L2623" s="36" t="str">
        <f aca="false">IF($A2623="","",TEXT($A2623,"MMM-YY"))</f>
        <v/>
      </c>
      <c r="M2623" s="37" t="str">
        <f aca="false">IF($A2623="","",IF($Q2623=0,"UNMAPPED",INDEX(COA_Mapping!$C$7:$C$256,$Q2623)))</f>
        <v/>
      </c>
      <c r="N2623" s="38" t="str">
        <f aca="false">IF($A2623="","",IF($Q2623=0,"",INDEX(COA_Mapping!$E$7:$E$256,$Q2623)))</f>
        <v/>
      </c>
      <c r="O2623" s="38" t="n">
        <f aca="false">IF($A2623="",1,IF($Q2623=0,1,INDEX(COA_Mapping!$F$7:$F$256,$Q2623)))</f>
        <v>1</v>
      </c>
      <c r="P2623" s="34" t="str">
        <f aca="false">IF($A2623="","",$I2623*$O2623)</f>
        <v/>
      </c>
      <c r="Q2623" s="39" t="n">
        <f aca="false">IF($B2623="",0,IFERROR(MATCH($B2623,COA_Mapping!$A$7:$A$256,0),0))</f>
        <v>0</v>
      </c>
      <c r="R2623" s="39" t="n">
        <f aca="false">IF($A2623="",-1,IF($J2623=Setup!$B$7,1,IF($J2623=Setup!$B$9,0,-1)))</f>
        <v>-1</v>
      </c>
      <c r="S2623" s="35" t="n">
        <f aca="false">IF(OR($A2623="",$Q2623=0,$R2623=-1),0,$Q2623*1000+$R2623*100+$K2623)</f>
        <v>0</v>
      </c>
      <c r="T2623" s="37" t="str">
        <f aca="false">IF($A2623="","",IF($B2623="","NO ACCOUNT",IF($Q2623=0,"UNMAPPED",IF($R2623=-1,"OUTSIDE FY RANGE","OK"))))</f>
        <v/>
      </c>
      <c r="U2623" s="40" t="str">
        <f aca="false">IF($A2623="","",$B2623&amp;"|"&amp;TEXT($A2623,"yyyymmdd")&amp;"|"&amp;TEXT($I2623,"0.00"))</f>
        <v/>
      </c>
      <c r="V2623" s="35" t="str">
        <f aca="false">IF($A2623="","",COUNTIF($U$8:$U$5007,$U2623))</f>
        <v/>
      </c>
    </row>
    <row r="2624" customFormat="false" ht="15" hidden="false" customHeight="false" outlineLevel="0" collapsed="false">
      <c r="A2624" s="31"/>
      <c r="B2624" s="32"/>
      <c r="C2624" s="32"/>
      <c r="D2624" s="32"/>
      <c r="E2624" s="32"/>
      <c r="F2624" s="32"/>
      <c r="G2624" s="33"/>
      <c r="H2624" s="33"/>
      <c r="I2624" s="34" t="str">
        <f aca="false">IF($A2624="","",$G2624-$H2624)</f>
        <v/>
      </c>
      <c r="J2624" s="35" t="str">
        <f aca="false">IF($A2624="","",IF(Setup!$B$6=1,YEAR($A2624),YEAR($A2624)+IF(MONTH($A2624)&gt;=Setup!$B$6,1,0)))</f>
        <v/>
      </c>
      <c r="K2624" s="35" t="str">
        <f aca="false">IF($A2624="","",MOD(MONTH($A2624)-Setup!$B$6+12,12)+1)</f>
        <v/>
      </c>
      <c r="L2624" s="36" t="str">
        <f aca="false">IF($A2624="","",TEXT($A2624,"MMM-YY"))</f>
        <v/>
      </c>
      <c r="M2624" s="37" t="str">
        <f aca="false">IF($A2624="","",IF($Q2624=0,"UNMAPPED",INDEX(COA_Mapping!$C$7:$C$256,$Q2624)))</f>
        <v/>
      </c>
      <c r="N2624" s="38" t="str">
        <f aca="false">IF($A2624="","",IF($Q2624=0,"",INDEX(COA_Mapping!$E$7:$E$256,$Q2624)))</f>
        <v/>
      </c>
      <c r="O2624" s="38" t="n">
        <f aca="false">IF($A2624="",1,IF($Q2624=0,1,INDEX(COA_Mapping!$F$7:$F$256,$Q2624)))</f>
        <v>1</v>
      </c>
      <c r="P2624" s="34" t="str">
        <f aca="false">IF($A2624="","",$I2624*$O2624)</f>
        <v/>
      </c>
      <c r="Q2624" s="39" t="n">
        <f aca="false">IF($B2624="",0,IFERROR(MATCH($B2624,COA_Mapping!$A$7:$A$256,0),0))</f>
        <v>0</v>
      </c>
      <c r="R2624" s="39" t="n">
        <f aca="false">IF($A2624="",-1,IF($J2624=Setup!$B$7,1,IF($J2624=Setup!$B$9,0,-1)))</f>
        <v>-1</v>
      </c>
      <c r="S2624" s="35" t="n">
        <f aca="false">IF(OR($A2624="",$Q2624=0,$R2624=-1),0,$Q2624*1000+$R2624*100+$K2624)</f>
        <v>0</v>
      </c>
      <c r="T2624" s="37" t="str">
        <f aca="false">IF($A2624="","",IF($B2624="","NO ACCOUNT",IF($Q2624=0,"UNMAPPED",IF($R2624=-1,"OUTSIDE FY RANGE","OK"))))</f>
        <v/>
      </c>
      <c r="U2624" s="40" t="str">
        <f aca="false">IF($A2624="","",$B2624&amp;"|"&amp;TEXT($A2624,"yyyymmdd")&amp;"|"&amp;TEXT($I2624,"0.00"))</f>
        <v/>
      </c>
      <c r="V2624" s="35" t="str">
        <f aca="false">IF($A2624="","",COUNTIF($U$8:$U$5007,$U2624))</f>
        <v/>
      </c>
    </row>
    <row r="2625" customFormat="false" ht="15" hidden="false" customHeight="false" outlineLevel="0" collapsed="false">
      <c r="A2625" s="31"/>
      <c r="B2625" s="32"/>
      <c r="C2625" s="32"/>
      <c r="D2625" s="32"/>
      <c r="E2625" s="32"/>
      <c r="F2625" s="32"/>
      <c r="G2625" s="33"/>
      <c r="H2625" s="33"/>
      <c r="I2625" s="34" t="str">
        <f aca="false">IF($A2625="","",$G2625-$H2625)</f>
        <v/>
      </c>
      <c r="J2625" s="35" t="str">
        <f aca="false">IF($A2625="","",IF(Setup!$B$6=1,YEAR($A2625),YEAR($A2625)+IF(MONTH($A2625)&gt;=Setup!$B$6,1,0)))</f>
        <v/>
      </c>
      <c r="K2625" s="35" t="str">
        <f aca="false">IF($A2625="","",MOD(MONTH($A2625)-Setup!$B$6+12,12)+1)</f>
        <v/>
      </c>
      <c r="L2625" s="36" t="str">
        <f aca="false">IF($A2625="","",TEXT($A2625,"MMM-YY"))</f>
        <v/>
      </c>
      <c r="M2625" s="37" t="str">
        <f aca="false">IF($A2625="","",IF($Q2625=0,"UNMAPPED",INDEX(COA_Mapping!$C$7:$C$256,$Q2625)))</f>
        <v/>
      </c>
      <c r="N2625" s="38" t="str">
        <f aca="false">IF($A2625="","",IF($Q2625=0,"",INDEX(COA_Mapping!$E$7:$E$256,$Q2625)))</f>
        <v/>
      </c>
      <c r="O2625" s="38" t="n">
        <f aca="false">IF($A2625="",1,IF($Q2625=0,1,INDEX(COA_Mapping!$F$7:$F$256,$Q2625)))</f>
        <v>1</v>
      </c>
      <c r="P2625" s="34" t="str">
        <f aca="false">IF($A2625="","",$I2625*$O2625)</f>
        <v/>
      </c>
      <c r="Q2625" s="39" t="n">
        <f aca="false">IF($B2625="",0,IFERROR(MATCH($B2625,COA_Mapping!$A$7:$A$256,0),0))</f>
        <v>0</v>
      </c>
      <c r="R2625" s="39" t="n">
        <f aca="false">IF($A2625="",-1,IF($J2625=Setup!$B$7,1,IF($J2625=Setup!$B$9,0,-1)))</f>
        <v>-1</v>
      </c>
      <c r="S2625" s="35" t="n">
        <f aca="false">IF(OR($A2625="",$Q2625=0,$R2625=-1),0,$Q2625*1000+$R2625*100+$K2625)</f>
        <v>0</v>
      </c>
      <c r="T2625" s="37" t="str">
        <f aca="false">IF($A2625="","",IF($B2625="","NO ACCOUNT",IF($Q2625=0,"UNMAPPED",IF($R2625=-1,"OUTSIDE FY RANGE","OK"))))</f>
        <v/>
      </c>
      <c r="U2625" s="40" t="str">
        <f aca="false">IF($A2625="","",$B2625&amp;"|"&amp;TEXT($A2625,"yyyymmdd")&amp;"|"&amp;TEXT($I2625,"0.00"))</f>
        <v/>
      </c>
      <c r="V2625" s="35" t="str">
        <f aca="false">IF($A2625="","",COUNTIF($U$8:$U$5007,$U2625))</f>
        <v/>
      </c>
    </row>
    <row r="2626" customFormat="false" ht="15" hidden="false" customHeight="false" outlineLevel="0" collapsed="false">
      <c r="A2626" s="31"/>
      <c r="B2626" s="32"/>
      <c r="C2626" s="32"/>
      <c r="D2626" s="32"/>
      <c r="E2626" s="32"/>
      <c r="F2626" s="32"/>
      <c r="G2626" s="33"/>
      <c r="H2626" s="33"/>
      <c r="I2626" s="34" t="str">
        <f aca="false">IF($A2626="","",$G2626-$H2626)</f>
        <v/>
      </c>
      <c r="J2626" s="35" t="str">
        <f aca="false">IF($A2626="","",IF(Setup!$B$6=1,YEAR($A2626),YEAR($A2626)+IF(MONTH($A2626)&gt;=Setup!$B$6,1,0)))</f>
        <v/>
      </c>
      <c r="K2626" s="35" t="str">
        <f aca="false">IF($A2626="","",MOD(MONTH($A2626)-Setup!$B$6+12,12)+1)</f>
        <v/>
      </c>
      <c r="L2626" s="36" t="str">
        <f aca="false">IF($A2626="","",TEXT($A2626,"MMM-YY"))</f>
        <v/>
      </c>
      <c r="M2626" s="37" t="str">
        <f aca="false">IF($A2626="","",IF($Q2626=0,"UNMAPPED",INDEX(COA_Mapping!$C$7:$C$256,$Q2626)))</f>
        <v/>
      </c>
      <c r="N2626" s="38" t="str">
        <f aca="false">IF($A2626="","",IF($Q2626=0,"",INDEX(COA_Mapping!$E$7:$E$256,$Q2626)))</f>
        <v/>
      </c>
      <c r="O2626" s="38" t="n">
        <f aca="false">IF($A2626="",1,IF($Q2626=0,1,INDEX(COA_Mapping!$F$7:$F$256,$Q2626)))</f>
        <v>1</v>
      </c>
      <c r="P2626" s="34" t="str">
        <f aca="false">IF($A2626="","",$I2626*$O2626)</f>
        <v/>
      </c>
      <c r="Q2626" s="39" t="n">
        <f aca="false">IF($B2626="",0,IFERROR(MATCH($B2626,COA_Mapping!$A$7:$A$256,0),0))</f>
        <v>0</v>
      </c>
      <c r="R2626" s="39" t="n">
        <f aca="false">IF($A2626="",-1,IF($J2626=Setup!$B$7,1,IF($J2626=Setup!$B$9,0,-1)))</f>
        <v>-1</v>
      </c>
      <c r="S2626" s="35" t="n">
        <f aca="false">IF(OR($A2626="",$Q2626=0,$R2626=-1),0,$Q2626*1000+$R2626*100+$K2626)</f>
        <v>0</v>
      </c>
      <c r="T2626" s="37" t="str">
        <f aca="false">IF($A2626="","",IF($B2626="","NO ACCOUNT",IF($Q2626=0,"UNMAPPED",IF($R2626=-1,"OUTSIDE FY RANGE","OK"))))</f>
        <v/>
      </c>
      <c r="U2626" s="40" t="str">
        <f aca="false">IF($A2626="","",$B2626&amp;"|"&amp;TEXT($A2626,"yyyymmdd")&amp;"|"&amp;TEXT($I2626,"0.00"))</f>
        <v/>
      </c>
      <c r="V2626" s="35" t="str">
        <f aca="false">IF($A2626="","",COUNTIF($U$8:$U$5007,$U2626))</f>
        <v/>
      </c>
    </row>
    <row r="2627" customFormat="false" ht="15" hidden="false" customHeight="false" outlineLevel="0" collapsed="false">
      <c r="A2627" s="31"/>
      <c r="B2627" s="32"/>
      <c r="C2627" s="32"/>
      <c r="D2627" s="32"/>
      <c r="E2627" s="32"/>
      <c r="F2627" s="32"/>
      <c r="G2627" s="33"/>
      <c r="H2627" s="33"/>
      <c r="I2627" s="34" t="str">
        <f aca="false">IF($A2627="","",$G2627-$H2627)</f>
        <v/>
      </c>
      <c r="J2627" s="35" t="str">
        <f aca="false">IF($A2627="","",IF(Setup!$B$6=1,YEAR($A2627),YEAR($A2627)+IF(MONTH($A2627)&gt;=Setup!$B$6,1,0)))</f>
        <v/>
      </c>
      <c r="K2627" s="35" t="str">
        <f aca="false">IF($A2627="","",MOD(MONTH($A2627)-Setup!$B$6+12,12)+1)</f>
        <v/>
      </c>
      <c r="L2627" s="36" t="str">
        <f aca="false">IF($A2627="","",TEXT($A2627,"MMM-YY"))</f>
        <v/>
      </c>
      <c r="M2627" s="37" t="str">
        <f aca="false">IF($A2627="","",IF($Q2627=0,"UNMAPPED",INDEX(COA_Mapping!$C$7:$C$256,$Q2627)))</f>
        <v/>
      </c>
      <c r="N2627" s="38" t="str">
        <f aca="false">IF($A2627="","",IF($Q2627=0,"",INDEX(COA_Mapping!$E$7:$E$256,$Q2627)))</f>
        <v/>
      </c>
      <c r="O2627" s="38" t="n">
        <f aca="false">IF($A2627="",1,IF($Q2627=0,1,INDEX(COA_Mapping!$F$7:$F$256,$Q2627)))</f>
        <v>1</v>
      </c>
      <c r="P2627" s="34" t="str">
        <f aca="false">IF($A2627="","",$I2627*$O2627)</f>
        <v/>
      </c>
      <c r="Q2627" s="39" t="n">
        <f aca="false">IF($B2627="",0,IFERROR(MATCH($B2627,COA_Mapping!$A$7:$A$256,0),0))</f>
        <v>0</v>
      </c>
      <c r="R2627" s="39" t="n">
        <f aca="false">IF($A2627="",-1,IF($J2627=Setup!$B$7,1,IF($J2627=Setup!$B$9,0,-1)))</f>
        <v>-1</v>
      </c>
      <c r="S2627" s="35" t="n">
        <f aca="false">IF(OR($A2627="",$Q2627=0,$R2627=-1),0,$Q2627*1000+$R2627*100+$K2627)</f>
        <v>0</v>
      </c>
      <c r="T2627" s="37" t="str">
        <f aca="false">IF($A2627="","",IF($B2627="","NO ACCOUNT",IF($Q2627=0,"UNMAPPED",IF($R2627=-1,"OUTSIDE FY RANGE","OK"))))</f>
        <v/>
      </c>
      <c r="U2627" s="40" t="str">
        <f aca="false">IF($A2627="","",$B2627&amp;"|"&amp;TEXT($A2627,"yyyymmdd")&amp;"|"&amp;TEXT($I2627,"0.00"))</f>
        <v/>
      </c>
      <c r="V2627" s="35" t="str">
        <f aca="false">IF($A2627="","",COUNTIF($U$8:$U$5007,$U2627))</f>
        <v/>
      </c>
    </row>
    <row r="2628" customFormat="false" ht="15" hidden="false" customHeight="false" outlineLevel="0" collapsed="false">
      <c r="A2628" s="31"/>
      <c r="B2628" s="32"/>
      <c r="C2628" s="32"/>
      <c r="D2628" s="32"/>
      <c r="E2628" s="32"/>
      <c r="F2628" s="32"/>
      <c r="G2628" s="33"/>
      <c r="H2628" s="33"/>
      <c r="I2628" s="34" t="str">
        <f aca="false">IF($A2628="","",$G2628-$H2628)</f>
        <v/>
      </c>
      <c r="J2628" s="35" t="str">
        <f aca="false">IF($A2628="","",IF(Setup!$B$6=1,YEAR($A2628),YEAR($A2628)+IF(MONTH($A2628)&gt;=Setup!$B$6,1,0)))</f>
        <v/>
      </c>
      <c r="K2628" s="35" t="str">
        <f aca="false">IF($A2628="","",MOD(MONTH($A2628)-Setup!$B$6+12,12)+1)</f>
        <v/>
      </c>
      <c r="L2628" s="36" t="str">
        <f aca="false">IF($A2628="","",TEXT($A2628,"MMM-YY"))</f>
        <v/>
      </c>
      <c r="M2628" s="37" t="str">
        <f aca="false">IF($A2628="","",IF($Q2628=0,"UNMAPPED",INDEX(COA_Mapping!$C$7:$C$256,$Q2628)))</f>
        <v/>
      </c>
      <c r="N2628" s="38" t="str">
        <f aca="false">IF($A2628="","",IF($Q2628=0,"",INDEX(COA_Mapping!$E$7:$E$256,$Q2628)))</f>
        <v/>
      </c>
      <c r="O2628" s="38" t="n">
        <f aca="false">IF($A2628="",1,IF($Q2628=0,1,INDEX(COA_Mapping!$F$7:$F$256,$Q2628)))</f>
        <v>1</v>
      </c>
      <c r="P2628" s="34" t="str">
        <f aca="false">IF($A2628="","",$I2628*$O2628)</f>
        <v/>
      </c>
      <c r="Q2628" s="39" t="n">
        <f aca="false">IF($B2628="",0,IFERROR(MATCH($B2628,COA_Mapping!$A$7:$A$256,0),0))</f>
        <v>0</v>
      </c>
      <c r="R2628" s="39" t="n">
        <f aca="false">IF($A2628="",-1,IF($J2628=Setup!$B$7,1,IF($J2628=Setup!$B$9,0,-1)))</f>
        <v>-1</v>
      </c>
      <c r="S2628" s="35" t="n">
        <f aca="false">IF(OR($A2628="",$Q2628=0,$R2628=-1),0,$Q2628*1000+$R2628*100+$K2628)</f>
        <v>0</v>
      </c>
      <c r="T2628" s="37" t="str">
        <f aca="false">IF($A2628="","",IF($B2628="","NO ACCOUNT",IF($Q2628=0,"UNMAPPED",IF($R2628=-1,"OUTSIDE FY RANGE","OK"))))</f>
        <v/>
      </c>
      <c r="U2628" s="40" t="str">
        <f aca="false">IF($A2628="","",$B2628&amp;"|"&amp;TEXT($A2628,"yyyymmdd")&amp;"|"&amp;TEXT($I2628,"0.00"))</f>
        <v/>
      </c>
      <c r="V2628" s="35" t="str">
        <f aca="false">IF($A2628="","",COUNTIF($U$8:$U$5007,$U2628))</f>
        <v/>
      </c>
    </row>
    <row r="2629" customFormat="false" ht="15" hidden="false" customHeight="false" outlineLevel="0" collapsed="false">
      <c r="A2629" s="31"/>
      <c r="B2629" s="32"/>
      <c r="C2629" s="32"/>
      <c r="D2629" s="32"/>
      <c r="E2629" s="32"/>
      <c r="F2629" s="32"/>
      <c r="G2629" s="33"/>
      <c r="H2629" s="33"/>
      <c r="I2629" s="34" t="str">
        <f aca="false">IF($A2629="","",$G2629-$H2629)</f>
        <v/>
      </c>
      <c r="J2629" s="35" t="str">
        <f aca="false">IF($A2629="","",IF(Setup!$B$6=1,YEAR($A2629),YEAR($A2629)+IF(MONTH($A2629)&gt;=Setup!$B$6,1,0)))</f>
        <v/>
      </c>
      <c r="K2629" s="35" t="str">
        <f aca="false">IF($A2629="","",MOD(MONTH($A2629)-Setup!$B$6+12,12)+1)</f>
        <v/>
      </c>
      <c r="L2629" s="36" t="str">
        <f aca="false">IF($A2629="","",TEXT($A2629,"MMM-YY"))</f>
        <v/>
      </c>
      <c r="M2629" s="37" t="str">
        <f aca="false">IF($A2629="","",IF($Q2629=0,"UNMAPPED",INDEX(COA_Mapping!$C$7:$C$256,$Q2629)))</f>
        <v/>
      </c>
      <c r="N2629" s="38" t="str">
        <f aca="false">IF($A2629="","",IF($Q2629=0,"",INDEX(COA_Mapping!$E$7:$E$256,$Q2629)))</f>
        <v/>
      </c>
      <c r="O2629" s="38" t="n">
        <f aca="false">IF($A2629="",1,IF($Q2629=0,1,INDEX(COA_Mapping!$F$7:$F$256,$Q2629)))</f>
        <v>1</v>
      </c>
      <c r="P2629" s="34" t="str">
        <f aca="false">IF($A2629="","",$I2629*$O2629)</f>
        <v/>
      </c>
      <c r="Q2629" s="39" t="n">
        <f aca="false">IF($B2629="",0,IFERROR(MATCH($B2629,COA_Mapping!$A$7:$A$256,0),0))</f>
        <v>0</v>
      </c>
      <c r="R2629" s="39" t="n">
        <f aca="false">IF($A2629="",-1,IF($J2629=Setup!$B$7,1,IF($J2629=Setup!$B$9,0,-1)))</f>
        <v>-1</v>
      </c>
      <c r="S2629" s="35" t="n">
        <f aca="false">IF(OR($A2629="",$Q2629=0,$R2629=-1),0,$Q2629*1000+$R2629*100+$K2629)</f>
        <v>0</v>
      </c>
      <c r="T2629" s="37" t="str">
        <f aca="false">IF($A2629="","",IF($B2629="","NO ACCOUNT",IF($Q2629=0,"UNMAPPED",IF($R2629=-1,"OUTSIDE FY RANGE","OK"))))</f>
        <v/>
      </c>
      <c r="U2629" s="40" t="str">
        <f aca="false">IF($A2629="","",$B2629&amp;"|"&amp;TEXT($A2629,"yyyymmdd")&amp;"|"&amp;TEXT($I2629,"0.00"))</f>
        <v/>
      </c>
      <c r="V2629" s="35" t="str">
        <f aca="false">IF($A2629="","",COUNTIF($U$8:$U$5007,$U2629))</f>
        <v/>
      </c>
    </row>
    <row r="2630" customFormat="false" ht="15" hidden="false" customHeight="false" outlineLevel="0" collapsed="false">
      <c r="A2630" s="31"/>
      <c r="B2630" s="32"/>
      <c r="C2630" s="32"/>
      <c r="D2630" s="32"/>
      <c r="E2630" s="32"/>
      <c r="F2630" s="32"/>
      <c r="G2630" s="33"/>
      <c r="H2630" s="33"/>
      <c r="I2630" s="34" t="str">
        <f aca="false">IF($A2630="","",$G2630-$H2630)</f>
        <v/>
      </c>
      <c r="J2630" s="35" t="str">
        <f aca="false">IF($A2630="","",IF(Setup!$B$6=1,YEAR($A2630),YEAR($A2630)+IF(MONTH($A2630)&gt;=Setup!$B$6,1,0)))</f>
        <v/>
      </c>
      <c r="K2630" s="35" t="str">
        <f aca="false">IF($A2630="","",MOD(MONTH($A2630)-Setup!$B$6+12,12)+1)</f>
        <v/>
      </c>
      <c r="L2630" s="36" t="str">
        <f aca="false">IF($A2630="","",TEXT($A2630,"MMM-YY"))</f>
        <v/>
      </c>
      <c r="M2630" s="37" t="str">
        <f aca="false">IF($A2630="","",IF($Q2630=0,"UNMAPPED",INDEX(COA_Mapping!$C$7:$C$256,$Q2630)))</f>
        <v/>
      </c>
      <c r="N2630" s="38" t="str">
        <f aca="false">IF($A2630="","",IF($Q2630=0,"",INDEX(COA_Mapping!$E$7:$E$256,$Q2630)))</f>
        <v/>
      </c>
      <c r="O2630" s="38" t="n">
        <f aca="false">IF($A2630="",1,IF($Q2630=0,1,INDEX(COA_Mapping!$F$7:$F$256,$Q2630)))</f>
        <v>1</v>
      </c>
      <c r="P2630" s="34" t="str">
        <f aca="false">IF($A2630="","",$I2630*$O2630)</f>
        <v/>
      </c>
      <c r="Q2630" s="39" t="n">
        <f aca="false">IF($B2630="",0,IFERROR(MATCH($B2630,COA_Mapping!$A$7:$A$256,0),0))</f>
        <v>0</v>
      </c>
      <c r="R2630" s="39" t="n">
        <f aca="false">IF($A2630="",-1,IF($J2630=Setup!$B$7,1,IF($J2630=Setup!$B$9,0,-1)))</f>
        <v>-1</v>
      </c>
      <c r="S2630" s="35" t="n">
        <f aca="false">IF(OR($A2630="",$Q2630=0,$R2630=-1),0,$Q2630*1000+$R2630*100+$K2630)</f>
        <v>0</v>
      </c>
      <c r="T2630" s="37" t="str">
        <f aca="false">IF($A2630="","",IF($B2630="","NO ACCOUNT",IF($Q2630=0,"UNMAPPED",IF($R2630=-1,"OUTSIDE FY RANGE","OK"))))</f>
        <v/>
      </c>
      <c r="U2630" s="40" t="str">
        <f aca="false">IF($A2630="","",$B2630&amp;"|"&amp;TEXT($A2630,"yyyymmdd")&amp;"|"&amp;TEXT($I2630,"0.00"))</f>
        <v/>
      </c>
      <c r="V2630" s="35" t="str">
        <f aca="false">IF($A2630="","",COUNTIF($U$8:$U$5007,$U2630))</f>
        <v/>
      </c>
    </row>
    <row r="2631" customFormat="false" ht="15" hidden="false" customHeight="false" outlineLevel="0" collapsed="false">
      <c r="A2631" s="31"/>
      <c r="B2631" s="32"/>
      <c r="C2631" s="32"/>
      <c r="D2631" s="32"/>
      <c r="E2631" s="32"/>
      <c r="F2631" s="32"/>
      <c r="G2631" s="33"/>
      <c r="H2631" s="33"/>
      <c r="I2631" s="34" t="str">
        <f aca="false">IF($A2631="","",$G2631-$H2631)</f>
        <v/>
      </c>
      <c r="J2631" s="35" t="str">
        <f aca="false">IF($A2631="","",IF(Setup!$B$6=1,YEAR($A2631),YEAR($A2631)+IF(MONTH($A2631)&gt;=Setup!$B$6,1,0)))</f>
        <v/>
      </c>
      <c r="K2631" s="35" t="str">
        <f aca="false">IF($A2631="","",MOD(MONTH($A2631)-Setup!$B$6+12,12)+1)</f>
        <v/>
      </c>
      <c r="L2631" s="36" t="str">
        <f aca="false">IF($A2631="","",TEXT($A2631,"MMM-YY"))</f>
        <v/>
      </c>
      <c r="M2631" s="37" t="str">
        <f aca="false">IF($A2631="","",IF($Q2631=0,"UNMAPPED",INDEX(COA_Mapping!$C$7:$C$256,$Q2631)))</f>
        <v/>
      </c>
      <c r="N2631" s="38" t="str">
        <f aca="false">IF($A2631="","",IF($Q2631=0,"",INDEX(COA_Mapping!$E$7:$E$256,$Q2631)))</f>
        <v/>
      </c>
      <c r="O2631" s="38" t="n">
        <f aca="false">IF($A2631="",1,IF($Q2631=0,1,INDEX(COA_Mapping!$F$7:$F$256,$Q2631)))</f>
        <v>1</v>
      </c>
      <c r="P2631" s="34" t="str">
        <f aca="false">IF($A2631="","",$I2631*$O2631)</f>
        <v/>
      </c>
      <c r="Q2631" s="39" t="n">
        <f aca="false">IF($B2631="",0,IFERROR(MATCH($B2631,COA_Mapping!$A$7:$A$256,0),0))</f>
        <v>0</v>
      </c>
      <c r="R2631" s="39" t="n">
        <f aca="false">IF($A2631="",-1,IF($J2631=Setup!$B$7,1,IF($J2631=Setup!$B$9,0,-1)))</f>
        <v>-1</v>
      </c>
      <c r="S2631" s="35" t="n">
        <f aca="false">IF(OR($A2631="",$Q2631=0,$R2631=-1),0,$Q2631*1000+$R2631*100+$K2631)</f>
        <v>0</v>
      </c>
      <c r="T2631" s="37" t="str">
        <f aca="false">IF($A2631="","",IF($B2631="","NO ACCOUNT",IF($Q2631=0,"UNMAPPED",IF($R2631=-1,"OUTSIDE FY RANGE","OK"))))</f>
        <v/>
      </c>
      <c r="U2631" s="40" t="str">
        <f aca="false">IF($A2631="","",$B2631&amp;"|"&amp;TEXT($A2631,"yyyymmdd")&amp;"|"&amp;TEXT($I2631,"0.00"))</f>
        <v/>
      </c>
      <c r="V2631" s="35" t="str">
        <f aca="false">IF($A2631="","",COUNTIF($U$8:$U$5007,$U2631))</f>
        <v/>
      </c>
    </row>
    <row r="2632" customFormat="false" ht="15" hidden="false" customHeight="false" outlineLevel="0" collapsed="false">
      <c r="A2632" s="31"/>
      <c r="B2632" s="32"/>
      <c r="C2632" s="32"/>
      <c r="D2632" s="32"/>
      <c r="E2632" s="32"/>
      <c r="F2632" s="32"/>
      <c r="G2632" s="33"/>
      <c r="H2632" s="33"/>
      <c r="I2632" s="34" t="str">
        <f aca="false">IF($A2632="","",$G2632-$H2632)</f>
        <v/>
      </c>
      <c r="J2632" s="35" t="str">
        <f aca="false">IF($A2632="","",IF(Setup!$B$6=1,YEAR($A2632),YEAR($A2632)+IF(MONTH($A2632)&gt;=Setup!$B$6,1,0)))</f>
        <v/>
      </c>
      <c r="K2632" s="35" t="str">
        <f aca="false">IF($A2632="","",MOD(MONTH($A2632)-Setup!$B$6+12,12)+1)</f>
        <v/>
      </c>
      <c r="L2632" s="36" t="str">
        <f aca="false">IF($A2632="","",TEXT($A2632,"MMM-YY"))</f>
        <v/>
      </c>
      <c r="M2632" s="37" t="str">
        <f aca="false">IF($A2632="","",IF($Q2632=0,"UNMAPPED",INDEX(COA_Mapping!$C$7:$C$256,$Q2632)))</f>
        <v/>
      </c>
      <c r="N2632" s="38" t="str">
        <f aca="false">IF($A2632="","",IF($Q2632=0,"",INDEX(COA_Mapping!$E$7:$E$256,$Q2632)))</f>
        <v/>
      </c>
      <c r="O2632" s="38" t="n">
        <f aca="false">IF($A2632="",1,IF($Q2632=0,1,INDEX(COA_Mapping!$F$7:$F$256,$Q2632)))</f>
        <v>1</v>
      </c>
      <c r="P2632" s="34" t="str">
        <f aca="false">IF($A2632="","",$I2632*$O2632)</f>
        <v/>
      </c>
      <c r="Q2632" s="39" t="n">
        <f aca="false">IF($B2632="",0,IFERROR(MATCH($B2632,COA_Mapping!$A$7:$A$256,0),0))</f>
        <v>0</v>
      </c>
      <c r="R2632" s="39" t="n">
        <f aca="false">IF($A2632="",-1,IF($J2632=Setup!$B$7,1,IF($J2632=Setup!$B$9,0,-1)))</f>
        <v>-1</v>
      </c>
      <c r="S2632" s="35" t="n">
        <f aca="false">IF(OR($A2632="",$Q2632=0,$R2632=-1),0,$Q2632*1000+$R2632*100+$K2632)</f>
        <v>0</v>
      </c>
      <c r="T2632" s="37" t="str">
        <f aca="false">IF($A2632="","",IF($B2632="","NO ACCOUNT",IF($Q2632=0,"UNMAPPED",IF($R2632=-1,"OUTSIDE FY RANGE","OK"))))</f>
        <v/>
      </c>
      <c r="U2632" s="40" t="str">
        <f aca="false">IF($A2632="","",$B2632&amp;"|"&amp;TEXT($A2632,"yyyymmdd")&amp;"|"&amp;TEXT($I2632,"0.00"))</f>
        <v/>
      </c>
      <c r="V2632" s="35" t="str">
        <f aca="false">IF($A2632="","",COUNTIF($U$8:$U$5007,$U2632))</f>
        <v/>
      </c>
    </row>
    <row r="2633" customFormat="false" ht="15" hidden="false" customHeight="false" outlineLevel="0" collapsed="false">
      <c r="A2633" s="31"/>
      <c r="B2633" s="32"/>
      <c r="C2633" s="32"/>
      <c r="D2633" s="32"/>
      <c r="E2633" s="32"/>
      <c r="F2633" s="32"/>
      <c r="G2633" s="33"/>
      <c r="H2633" s="33"/>
      <c r="I2633" s="34" t="str">
        <f aca="false">IF($A2633="","",$G2633-$H2633)</f>
        <v/>
      </c>
      <c r="J2633" s="35" t="str">
        <f aca="false">IF($A2633="","",IF(Setup!$B$6=1,YEAR($A2633),YEAR($A2633)+IF(MONTH($A2633)&gt;=Setup!$B$6,1,0)))</f>
        <v/>
      </c>
      <c r="K2633" s="35" t="str">
        <f aca="false">IF($A2633="","",MOD(MONTH($A2633)-Setup!$B$6+12,12)+1)</f>
        <v/>
      </c>
      <c r="L2633" s="36" t="str">
        <f aca="false">IF($A2633="","",TEXT($A2633,"MMM-YY"))</f>
        <v/>
      </c>
      <c r="M2633" s="37" t="str">
        <f aca="false">IF($A2633="","",IF($Q2633=0,"UNMAPPED",INDEX(COA_Mapping!$C$7:$C$256,$Q2633)))</f>
        <v/>
      </c>
      <c r="N2633" s="38" t="str">
        <f aca="false">IF($A2633="","",IF($Q2633=0,"",INDEX(COA_Mapping!$E$7:$E$256,$Q2633)))</f>
        <v/>
      </c>
      <c r="O2633" s="38" t="n">
        <f aca="false">IF($A2633="",1,IF($Q2633=0,1,INDEX(COA_Mapping!$F$7:$F$256,$Q2633)))</f>
        <v>1</v>
      </c>
      <c r="P2633" s="34" t="str">
        <f aca="false">IF($A2633="","",$I2633*$O2633)</f>
        <v/>
      </c>
      <c r="Q2633" s="39" t="n">
        <f aca="false">IF($B2633="",0,IFERROR(MATCH($B2633,COA_Mapping!$A$7:$A$256,0),0))</f>
        <v>0</v>
      </c>
      <c r="R2633" s="39" t="n">
        <f aca="false">IF($A2633="",-1,IF($J2633=Setup!$B$7,1,IF($J2633=Setup!$B$9,0,-1)))</f>
        <v>-1</v>
      </c>
      <c r="S2633" s="35" t="n">
        <f aca="false">IF(OR($A2633="",$Q2633=0,$R2633=-1),0,$Q2633*1000+$R2633*100+$K2633)</f>
        <v>0</v>
      </c>
      <c r="T2633" s="37" t="str">
        <f aca="false">IF($A2633="","",IF($B2633="","NO ACCOUNT",IF($Q2633=0,"UNMAPPED",IF($R2633=-1,"OUTSIDE FY RANGE","OK"))))</f>
        <v/>
      </c>
      <c r="U2633" s="40" t="str">
        <f aca="false">IF($A2633="","",$B2633&amp;"|"&amp;TEXT($A2633,"yyyymmdd")&amp;"|"&amp;TEXT($I2633,"0.00"))</f>
        <v/>
      </c>
      <c r="V2633" s="35" t="str">
        <f aca="false">IF($A2633="","",COUNTIF($U$8:$U$5007,$U2633))</f>
        <v/>
      </c>
    </row>
    <row r="2634" customFormat="false" ht="15" hidden="false" customHeight="false" outlineLevel="0" collapsed="false">
      <c r="A2634" s="31"/>
      <c r="B2634" s="32"/>
      <c r="C2634" s="32"/>
      <c r="D2634" s="32"/>
      <c r="E2634" s="32"/>
      <c r="F2634" s="32"/>
      <c r="G2634" s="33"/>
      <c r="H2634" s="33"/>
      <c r="I2634" s="34" t="str">
        <f aca="false">IF($A2634="","",$G2634-$H2634)</f>
        <v/>
      </c>
      <c r="J2634" s="35" t="str">
        <f aca="false">IF($A2634="","",IF(Setup!$B$6=1,YEAR($A2634),YEAR($A2634)+IF(MONTH($A2634)&gt;=Setup!$B$6,1,0)))</f>
        <v/>
      </c>
      <c r="K2634" s="35" t="str">
        <f aca="false">IF($A2634="","",MOD(MONTH($A2634)-Setup!$B$6+12,12)+1)</f>
        <v/>
      </c>
      <c r="L2634" s="36" t="str">
        <f aca="false">IF($A2634="","",TEXT($A2634,"MMM-YY"))</f>
        <v/>
      </c>
      <c r="M2634" s="37" t="str">
        <f aca="false">IF($A2634="","",IF($Q2634=0,"UNMAPPED",INDEX(COA_Mapping!$C$7:$C$256,$Q2634)))</f>
        <v/>
      </c>
      <c r="N2634" s="38" t="str">
        <f aca="false">IF($A2634="","",IF($Q2634=0,"",INDEX(COA_Mapping!$E$7:$E$256,$Q2634)))</f>
        <v/>
      </c>
      <c r="O2634" s="38" t="n">
        <f aca="false">IF($A2634="",1,IF($Q2634=0,1,INDEX(COA_Mapping!$F$7:$F$256,$Q2634)))</f>
        <v>1</v>
      </c>
      <c r="P2634" s="34" t="str">
        <f aca="false">IF($A2634="","",$I2634*$O2634)</f>
        <v/>
      </c>
      <c r="Q2634" s="39" t="n">
        <f aca="false">IF($B2634="",0,IFERROR(MATCH($B2634,COA_Mapping!$A$7:$A$256,0),0))</f>
        <v>0</v>
      </c>
      <c r="R2634" s="39" t="n">
        <f aca="false">IF($A2634="",-1,IF($J2634=Setup!$B$7,1,IF($J2634=Setup!$B$9,0,-1)))</f>
        <v>-1</v>
      </c>
      <c r="S2634" s="35" t="n">
        <f aca="false">IF(OR($A2634="",$Q2634=0,$R2634=-1),0,$Q2634*1000+$R2634*100+$K2634)</f>
        <v>0</v>
      </c>
      <c r="T2634" s="37" t="str">
        <f aca="false">IF($A2634="","",IF($B2634="","NO ACCOUNT",IF($Q2634=0,"UNMAPPED",IF($R2634=-1,"OUTSIDE FY RANGE","OK"))))</f>
        <v/>
      </c>
      <c r="U2634" s="40" t="str">
        <f aca="false">IF($A2634="","",$B2634&amp;"|"&amp;TEXT($A2634,"yyyymmdd")&amp;"|"&amp;TEXT($I2634,"0.00"))</f>
        <v/>
      </c>
      <c r="V2634" s="35" t="str">
        <f aca="false">IF($A2634="","",COUNTIF($U$8:$U$5007,$U2634))</f>
        <v/>
      </c>
    </row>
    <row r="2635" customFormat="false" ht="15" hidden="false" customHeight="false" outlineLevel="0" collapsed="false">
      <c r="A2635" s="31"/>
      <c r="B2635" s="32"/>
      <c r="C2635" s="32"/>
      <c r="D2635" s="32"/>
      <c r="E2635" s="32"/>
      <c r="F2635" s="32"/>
      <c r="G2635" s="33"/>
      <c r="H2635" s="33"/>
      <c r="I2635" s="34" t="str">
        <f aca="false">IF($A2635="","",$G2635-$H2635)</f>
        <v/>
      </c>
      <c r="J2635" s="35" t="str">
        <f aca="false">IF($A2635="","",IF(Setup!$B$6=1,YEAR($A2635),YEAR($A2635)+IF(MONTH($A2635)&gt;=Setup!$B$6,1,0)))</f>
        <v/>
      </c>
      <c r="K2635" s="35" t="str">
        <f aca="false">IF($A2635="","",MOD(MONTH($A2635)-Setup!$B$6+12,12)+1)</f>
        <v/>
      </c>
      <c r="L2635" s="36" t="str">
        <f aca="false">IF($A2635="","",TEXT($A2635,"MMM-YY"))</f>
        <v/>
      </c>
      <c r="M2635" s="37" t="str">
        <f aca="false">IF($A2635="","",IF($Q2635=0,"UNMAPPED",INDEX(COA_Mapping!$C$7:$C$256,$Q2635)))</f>
        <v/>
      </c>
      <c r="N2635" s="38" t="str">
        <f aca="false">IF($A2635="","",IF($Q2635=0,"",INDEX(COA_Mapping!$E$7:$E$256,$Q2635)))</f>
        <v/>
      </c>
      <c r="O2635" s="38" t="n">
        <f aca="false">IF($A2635="",1,IF($Q2635=0,1,INDEX(COA_Mapping!$F$7:$F$256,$Q2635)))</f>
        <v>1</v>
      </c>
      <c r="P2635" s="34" t="str">
        <f aca="false">IF($A2635="","",$I2635*$O2635)</f>
        <v/>
      </c>
      <c r="Q2635" s="39" t="n">
        <f aca="false">IF($B2635="",0,IFERROR(MATCH($B2635,COA_Mapping!$A$7:$A$256,0),0))</f>
        <v>0</v>
      </c>
      <c r="R2635" s="39" t="n">
        <f aca="false">IF($A2635="",-1,IF($J2635=Setup!$B$7,1,IF($J2635=Setup!$B$9,0,-1)))</f>
        <v>-1</v>
      </c>
      <c r="S2635" s="35" t="n">
        <f aca="false">IF(OR($A2635="",$Q2635=0,$R2635=-1),0,$Q2635*1000+$R2635*100+$K2635)</f>
        <v>0</v>
      </c>
      <c r="T2635" s="37" t="str">
        <f aca="false">IF($A2635="","",IF($B2635="","NO ACCOUNT",IF($Q2635=0,"UNMAPPED",IF($R2635=-1,"OUTSIDE FY RANGE","OK"))))</f>
        <v/>
      </c>
      <c r="U2635" s="40" t="str">
        <f aca="false">IF($A2635="","",$B2635&amp;"|"&amp;TEXT($A2635,"yyyymmdd")&amp;"|"&amp;TEXT($I2635,"0.00"))</f>
        <v/>
      </c>
      <c r="V2635" s="35" t="str">
        <f aca="false">IF($A2635="","",COUNTIF($U$8:$U$5007,$U2635))</f>
        <v/>
      </c>
    </row>
    <row r="2636" customFormat="false" ht="15" hidden="false" customHeight="false" outlineLevel="0" collapsed="false">
      <c r="A2636" s="31"/>
      <c r="B2636" s="32"/>
      <c r="C2636" s="32"/>
      <c r="D2636" s="32"/>
      <c r="E2636" s="32"/>
      <c r="F2636" s="32"/>
      <c r="G2636" s="33"/>
      <c r="H2636" s="33"/>
      <c r="I2636" s="34" t="str">
        <f aca="false">IF($A2636="","",$G2636-$H2636)</f>
        <v/>
      </c>
      <c r="J2636" s="35" t="str">
        <f aca="false">IF($A2636="","",IF(Setup!$B$6=1,YEAR($A2636),YEAR($A2636)+IF(MONTH($A2636)&gt;=Setup!$B$6,1,0)))</f>
        <v/>
      </c>
      <c r="K2636" s="35" t="str">
        <f aca="false">IF($A2636="","",MOD(MONTH($A2636)-Setup!$B$6+12,12)+1)</f>
        <v/>
      </c>
      <c r="L2636" s="36" t="str">
        <f aca="false">IF($A2636="","",TEXT($A2636,"MMM-YY"))</f>
        <v/>
      </c>
      <c r="M2636" s="37" t="str">
        <f aca="false">IF($A2636="","",IF($Q2636=0,"UNMAPPED",INDEX(COA_Mapping!$C$7:$C$256,$Q2636)))</f>
        <v/>
      </c>
      <c r="N2636" s="38" t="str">
        <f aca="false">IF($A2636="","",IF($Q2636=0,"",INDEX(COA_Mapping!$E$7:$E$256,$Q2636)))</f>
        <v/>
      </c>
      <c r="O2636" s="38" t="n">
        <f aca="false">IF($A2636="",1,IF($Q2636=0,1,INDEX(COA_Mapping!$F$7:$F$256,$Q2636)))</f>
        <v>1</v>
      </c>
      <c r="P2636" s="34" t="str">
        <f aca="false">IF($A2636="","",$I2636*$O2636)</f>
        <v/>
      </c>
      <c r="Q2636" s="39" t="n">
        <f aca="false">IF($B2636="",0,IFERROR(MATCH($B2636,COA_Mapping!$A$7:$A$256,0),0))</f>
        <v>0</v>
      </c>
      <c r="R2636" s="39" t="n">
        <f aca="false">IF($A2636="",-1,IF($J2636=Setup!$B$7,1,IF($J2636=Setup!$B$9,0,-1)))</f>
        <v>-1</v>
      </c>
      <c r="S2636" s="35" t="n">
        <f aca="false">IF(OR($A2636="",$Q2636=0,$R2636=-1),0,$Q2636*1000+$R2636*100+$K2636)</f>
        <v>0</v>
      </c>
      <c r="T2636" s="37" t="str">
        <f aca="false">IF($A2636="","",IF($B2636="","NO ACCOUNT",IF($Q2636=0,"UNMAPPED",IF($R2636=-1,"OUTSIDE FY RANGE","OK"))))</f>
        <v/>
      </c>
      <c r="U2636" s="40" t="str">
        <f aca="false">IF($A2636="","",$B2636&amp;"|"&amp;TEXT($A2636,"yyyymmdd")&amp;"|"&amp;TEXT($I2636,"0.00"))</f>
        <v/>
      </c>
      <c r="V2636" s="35" t="str">
        <f aca="false">IF($A2636="","",COUNTIF($U$8:$U$5007,$U2636))</f>
        <v/>
      </c>
    </row>
    <row r="2637" customFormat="false" ht="15" hidden="false" customHeight="false" outlineLevel="0" collapsed="false">
      <c r="A2637" s="31"/>
      <c r="B2637" s="32"/>
      <c r="C2637" s="32"/>
      <c r="D2637" s="32"/>
      <c r="E2637" s="32"/>
      <c r="F2637" s="32"/>
      <c r="G2637" s="33"/>
      <c r="H2637" s="33"/>
      <c r="I2637" s="34" t="str">
        <f aca="false">IF($A2637="","",$G2637-$H2637)</f>
        <v/>
      </c>
      <c r="J2637" s="35" t="str">
        <f aca="false">IF($A2637="","",IF(Setup!$B$6=1,YEAR($A2637),YEAR($A2637)+IF(MONTH($A2637)&gt;=Setup!$B$6,1,0)))</f>
        <v/>
      </c>
      <c r="K2637" s="35" t="str">
        <f aca="false">IF($A2637="","",MOD(MONTH($A2637)-Setup!$B$6+12,12)+1)</f>
        <v/>
      </c>
      <c r="L2637" s="36" t="str">
        <f aca="false">IF($A2637="","",TEXT($A2637,"MMM-YY"))</f>
        <v/>
      </c>
      <c r="M2637" s="37" t="str">
        <f aca="false">IF($A2637="","",IF($Q2637=0,"UNMAPPED",INDEX(COA_Mapping!$C$7:$C$256,$Q2637)))</f>
        <v/>
      </c>
      <c r="N2637" s="38" t="str">
        <f aca="false">IF($A2637="","",IF($Q2637=0,"",INDEX(COA_Mapping!$E$7:$E$256,$Q2637)))</f>
        <v/>
      </c>
      <c r="O2637" s="38" t="n">
        <f aca="false">IF($A2637="",1,IF($Q2637=0,1,INDEX(COA_Mapping!$F$7:$F$256,$Q2637)))</f>
        <v>1</v>
      </c>
      <c r="P2637" s="34" t="str">
        <f aca="false">IF($A2637="","",$I2637*$O2637)</f>
        <v/>
      </c>
      <c r="Q2637" s="39" t="n">
        <f aca="false">IF($B2637="",0,IFERROR(MATCH($B2637,COA_Mapping!$A$7:$A$256,0),0))</f>
        <v>0</v>
      </c>
      <c r="R2637" s="39" t="n">
        <f aca="false">IF($A2637="",-1,IF($J2637=Setup!$B$7,1,IF($J2637=Setup!$B$9,0,-1)))</f>
        <v>-1</v>
      </c>
      <c r="S2637" s="35" t="n">
        <f aca="false">IF(OR($A2637="",$Q2637=0,$R2637=-1),0,$Q2637*1000+$R2637*100+$K2637)</f>
        <v>0</v>
      </c>
      <c r="T2637" s="37" t="str">
        <f aca="false">IF($A2637="","",IF($B2637="","NO ACCOUNT",IF($Q2637=0,"UNMAPPED",IF($R2637=-1,"OUTSIDE FY RANGE","OK"))))</f>
        <v/>
      </c>
      <c r="U2637" s="40" t="str">
        <f aca="false">IF($A2637="","",$B2637&amp;"|"&amp;TEXT($A2637,"yyyymmdd")&amp;"|"&amp;TEXT($I2637,"0.00"))</f>
        <v/>
      </c>
      <c r="V2637" s="35" t="str">
        <f aca="false">IF($A2637="","",COUNTIF($U$8:$U$5007,$U2637))</f>
        <v/>
      </c>
    </row>
    <row r="2638" customFormat="false" ht="15" hidden="false" customHeight="false" outlineLevel="0" collapsed="false">
      <c r="A2638" s="31"/>
      <c r="B2638" s="32"/>
      <c r="C2638" s="32"/>
      <c r="D2638" s="32"/>
      <c r="E2638" s="32"/>
      <c r="F2638" s="32"/>
      <c r="G2638" s="33"/>
      <c r="H2638" s="33"/>
      <c r="I2638" s="34" t="str">
        <f aca="false">IF($A2638="","",$G2638-$H2638)</f>
        <v/>
      </c>
      <c r="J2638" s="35" t="str">
        <f aca="false">IF($A2638="","",IF(Setup!$B$6=1,YEAR($A2638),YEAR($A2638)+IF(MONTH($A2638)&gt;=Setup!$B$6,1,0)))</f>
        <v/>
      </c>
      <c r="K2638" s="35" t="str">
        <f aca="false">IF($A2638="","",MOD(MONTH($A2638)-Setup!$B$6+12,12)+1)</f>
        <v/>
      </c>
      <c r="L2638" s="36" t="str">
        <f aca="false">IF($A2638="","",TEXT($A2638,"MMM-YY"))</f>
        <v/>
      </c>
      <c r="M2638" s="37" t="str">
        <f aca="false">IF($A2638="","",IF($Q2638=0,"UNMAPPED",INDEX(COA_Mapping!$C$7:$C$256,$Q2638)))</f>
        <v/>
      </c>
      <c r="N2638" s="38" t="str">
        <f aca="false">IF($A2638="","",IF($Q2638=0,"",INDEX(COA_Mapping!$E$7:$E$256,$Q2638)))</f>
        <v/>
      </c>
      <c r="O2638" s="38" t="n">
        <f aca="false">IF($A2638="",1,IF($Q2638=0,1,INDEX(COA_Mapping!$F$7:$F$256,$Q2638)))</f>
        <v>1</v>
      </c>
      <c r="P2638" s="34" t="str">
        <f aca="false">IF($A2638="","",$I2638*$O2638)</f>
        <v/>
      </c>
      <c r="Q2638" s="39" t="n">
        <f aca="false">IF($B2638="",0,IFERROR(MATCH($B2638,COA_Mapping!$A$7:$A$256,0),0))</f>
        <v>0</v>
      </c>
      <c r="R2638" s="39" t="n">
        <f aca="false">IF($A2638="",-1,IF($J2638=Setup!$B$7,1,IF($J2638=Setup!$B$9,0,-1)))</f>
        <v>-1</v>
      </c>
      <c r="S2638" s="35" t="n">
        <f aca="false">IF(OR($A2638="",$Q2638=0,$R2638=-1),0,$Q2638*1000+$R2638*100+$K2638)</f>
        <v>0</v>
      </c>
      <c r="T2638" s="37" t="str">
        <f aca="false">IF($A2638="","",IF($B2638="","NO ACCOUNT",IF($Q2638=0,"UNMAPPED",IF($R2638=-1,"OUTSIDE FY RANGE","OK"))))</f>
        <v/>
      </c>
      <c r="U2638" s="40" t="str">
        <f aca="false">IF($A2638="","",$B2638&amp;"|"&amp;TEXT($A2638,"yyyymmdd")&amp;"|"&amp;TEXT($I2638,"0.00"))</f>
        <v/>
      </c>
      <c r="V2638" s="35" t="str">
        <f aca="false">IF($A2638="","",COUNTIF($U$8:$U$5007,$U2638))</f>
        <v/>
      </c>
    </row>
    <row r="2639" customFormat="false" ht="15" hidden="false" customHeight="false" outlineLevel="0" collapsed="false">
      <c r="A2639" s="31"/>
      <c r="B2639" s="32"/>
      <c r="C2639" s="32"/>
      <c r="D2639" s="32"/>
      <c r="E2639" s="32"/>
      <c r="F2639" s="32"/>
      <c r="G2639" s="33"/>
      <c r="H2639" s="33"/>
      <c r="I2639" s="34" t="str">
        <f aca="false">IF($A2639="","",$G2639-$H2639)</f>
        <v/>
      </c>
      <c r="J2639" s="35" t="str">
        <f aca="false">IF($A2639="","",IF(Setup!$B$6=1,YEAR($A2639),YEAR($A2639)+IF(MONTH($A2639)&gt;=Setup!$B$6,1,0)))</f>
        <v/>
      </c>
      <c r="K2639" s="35" t="str">
        <f aca="false">IF($A2639="","",MOD(MONTH($A2639)-Setup!$B$6+12,12)+1)</f>
        <v/>
      </c>
      <c r="L2639" s="36" t="str">
        <f aca="false">IF($A2639="","",TEXT($A2639,"MMM-YY"))</f>
        <v/>
      </c>
      <c r="M2639" s="37" t="str">
        <f aca="false">IF($A2639="","",IF($Q2639=0,"UNMAPPED",INDEX(COA_Mapping!$C$7:$C$256,$Q2639)))</f>
        <v/>
      </c>
      <c r="N2639" s="38" t="str">
        <f aca="false">IF($A2639="","",IF($Q2639=0,"",INDEX(COA_Mapping!$E$7:$E$256,$Q2639)))</f>
        <v/>
      </c>
      <c r="O2639" s="38" t="n">
        <f aca="false">IF($A2639="",1,IF($Q2639=0,1,INDEX(COA_Mapping!$F$7:$F$256,$Q2639)))</f>
        <v>1</v>
      </c>
      <c r="P2639" s="34" t="str">
        <f aca="false">IF($A2639="","",$I2639*$O2639)</f>
        <v/>
      </c>
      <c r="Q2639" s="39" t="n">
        <f aca="false">IF($B2639="",0,IFERROR(MATCH($B2639,COA_Mapping!$A$7:$A$256,0),0))</f>
        <v>0</v>
      </c>
      <c r="R2639" s="39" t="n">
        <f aca="false">IF($A2639="",-1,IF($J2639=Setup!$B$7,1,IF($J2639=Setup!$B$9,0,-1)))</f>
        <v>-1</v>
      </c>
      <c r="S2639" s="35" t="n">
        <f aca="false">IF(OR($A2639="",$Q2639=0,$R2639=-1),0,$Q2639*1000+$R2639*100+$K2639)</f>
        <v>0</v>
      </c>
      <c r="T2639" s="37" t="str">
        <f aca="false">IF($A2639="","",IF($B2639="","NO ACCOUNT",IF($Q2639=0,"UNMAPPED",IF($R2639=-1,"OUTSIDE FY RANGE","OK"))))</f>
        <v/>
      </c>
      <c r="U2639" s="40" t="str">
        <f aca="false">IF($A2639="","",$B2639&amp;"|"&amp;TEXT($A2639,"yyyymmdd")&amp;"|"&amp;TEXT($I2639,"0.00"))</f>
        <v/>
      </c>
      <c r="V2639" s="35" t="str">
        <f aca="false">IF($A2639="","",COUNTIF($U$8:$U$5007,$U2639))</f>
        <v/>
      </c>
    </row>
    <row r="2640" customFormat="false" ht="15" hidden="false" customHeight="false" outlineLevel="0" collapsed="false">
      <c r="A2640" s="31"/>
      <c r="B2640" s="32"/>
      <c r="C2640" s="32"/>
      <c r="D2640" s="32"/>
      <c r="E2640" s="32"/>
      <c r="F2640" s="32"/>
      <c r="G2640" s="33"/>
      <c r="H2640" s="33"/>
      <c r="I2640" s="34" t="str">
        <f aca="false">IF($A2640="","",$G2640-$H2640)</f>
        <v/>
      </c>
      <c r="J2640" s="35" t="str">
        <f aca="false">IF($A2640="","",IF(Setup!$B$6=1,YEAR($A2640),YEAR($A2640)+IF(MONTH($A2640)&gt;=Setup!$B$6,1,0)))</f>
        <v/>
      </c>
      <c r="K2640" s="35" t="str">
        <f aca="false">IF($A2640="","",MOD(MONTH($A2640)-Setup!$B$6+12,12)+1)</f>
        <v/>
      </c>
      <c r="L2640" s="36" t="str">
        <f aca="false">IF($A2640="","",TEXT($A2640,"MMM-YY"))</f>
        <v/>
      </c>
      <c r="M2640" s="37" t="str">
        <f aca="false">IF($A2640="","",IF($Q2640=0,"UNMAPPED",INDEX(COA_Mapping!$C$7:$C$256,$Q2640)))</f>
        <v/>
      </c>
      <c r="N2640" s="38" t="str">
        <f aca="false">IF($A2640="","",IF($Q2640=0,"",INDEX(COA_Mapping!$E$7:$E$256,$Q2640)))</f>
        <v/>
      </c>
      <c r="O2640" s="38" t="n">
        <f aca="false">IF($A2640="",1,IF($Q2640=0,1,INDEX(COA_Mapping!$F$7:$F$256,$Q2640)))</f>
        <v>1</v>
      </c>
      <c r="P2640" s="34" t="str">
        <f aca="false">IF($A2640="","",$I2640*$O2640)</f>
        <v/>
      </c>
      <c r="Q2640" s="39" t="n">
        <f aca="false">IF($B2640="",0,IFERROR(MATCH($B2640,COA_Mapping!$A$7:$A$256,0),0))</f>
        <v>0</v>
      </c>
      <c r="R2640" s="39" t="n">
        <f aca="false">IF($A2640="",-1,IF($J2640=Setup!$B$7,1,IF($J2640=Setup!$B$9,0,-1)))</f>
        <v>-1</v>
      </c>
      <c r="S2640" s="35" t="n">
        <f aca="false">IF(OR($A2640="",$Q2640=0,$R2640=-1),0,$Q2640*1000+$R2640*100+$K2640)</f>
        <v>0</v>
      </c>
      <c r="T2640" s="37" t="str">
        <f aca="false">IF($A2640="","",IF($B2640="","NO ACCOUNT",IF($Q2640=0,"UNMAPPED",IF($R2640=-1,"OUTSIDE FY RANGE","OK"))))</f>
        <v/>
      </c>
      <c r="U2640" s="40" t="str">
        <f aca="false">IF($A2640="","",$B2640&amp;"|"&amp;TEXT($A2640,"yyyymmdd")&amp;"|"&amp;TEXT($I2640,"0.00"))</f>
        <v/>
      </c>
      <c r="V2640" s="35" t="str">
        <f aca="false">IF($A2640="","",COUNTIF($U$8:$U$5007,$U2640))</f>
        <v/>
      </c>
    </row>
    <row r="2641" customFormat="false" ht="15" hidden="false" customHeight="false" outlineLevel="0" collapsed="false">
      <c r="A2641" s="31"/>
      <c r="B2641" s="32"/>
      <c r="C2641" s="32"/>
      <c r="D2641" s="32"/>
      <c r="E2641" s="32"/>
      <c r="F2641" s="32"/>
      <c r="G2641" s="33"/>
      <c r="H2641" s="33"/>
      <c r="I2641" s="34" t="str">
        <f aca="false">IF($A2641="","",$G2641-$H2641)</f>
        <v/>
      </c>
      <c r="J2641" s="35" t="str">
        <f aca="false">IF($A2641="","",IF(Setup!$B$6=1,YEAR($A2641),YEAR($A2641)+IF(MONTH($A2641)&gt;=Setup!$B$6,1,0)))</f>
        <v/>
      </c>
      <c r="K2641" s="35" t="str">
        <f aca="false">IF($A2641="","",MOD(MONTH($A2641)-Setup!$B$6+12,12)+1)</f>
        <v/>
      </c>
      <c r="L2641" s="36" t="str">
        <f aca="false">IF($A2641="","",TEXT($A2641,"MMM-YY"))</f>
        <v/>
      </c>
      <c r="M2641" s="37" t="str">
        <f aca="false">IF($A2641="","",IF($Q2641=0,"UNMAPPED",INDEX(COA_Mapping!$C$7:$C$256,$Q2641)))</f>
        <v/>
      </c>
      <c r="N2641" s="38" t="str">
        <f aca="false">IF($A2641="","",IF($Q2641=0,"",INDEX(COA_Mapping!$E$7:$E$256,$Q2641)))</f>
        <v/>
      </c>
      <c r="O2641" s="38" t="n">
        <f aca="false">IF($A2641="",1,IF($Q2641=0,1,INDEX(COA_Mapping!$F$7:$F$256,$Q2641)))</f>
        <v>1</v>
      </c>
      <c r="P2641" s="34" t="str">
        <f aca="false">IF($A2641="","",$I2641*$O2641)</f>
        <v/>
      </c>
      <c r="Q2641" s="39" t="n">
        <f aca="false">IF($B2641="",0,IFERROR(MATCH($B2641,COA_Mapping!$A$7:$A$256,0),0))</f>
        <v>0</v>
      </c>
      <c r="R2641" s="39" t="n">
        <f aca="false">IF($A2641="",-1,IF($J2641=Setup!$B$7,1,IF($J2641=Setup!$B$9,0,-1)))</f>
        <v>-1</v>
      </c>
      <c r="S2641" s="35" t="n">
        <f aca="false">IF(OR($A2641="",$Q2641=0,$R2641=-1),0,$Q2641*1000+$R2641*100+$K2641)</f>
        <v>0</v>
      </c>
      <c r="T2641" s="37" t="str">
        <f aca="false">IF($A2641="","",IF($B2641="","NO ACCOUNT",IF($Q2641=0,"UNMAPPED",IF($R2641=-1,"OUTSIDE FY RANGE","OK"))))</f>
        <v/>
      </c>
      <c r="U2641" s="40" t="str">
        <f aca="false">IF($A2641="","",$B2641&amp;"|"&amp;TEXT($A2641,"yyyymmdd")&amp;"|"&amp;TEXT($I2641,"0.00"))</f>
        <v/>
      </c>
      <c r="V2641" s="35" t="str">
        <f aca="false">IF($A2641="","",COUNTIF($U$8:$U$5007,$U2641))</f>
        <v/>
      </c>
    </row>
    <row r="2642" customFormat="false" ht="15" hidden="false" customHeight="false" outlineLevel="0" collapsed="false">
      <c r="A2642" s="31"/>
      <c r="B2642" s="32"/>
      <c r="C2642" s="32"/>
      <c r="D2642" s="32"/>
      <c r="E2642" s="32"/>
      <c r="F2642" s="32"/>
      <c r="G2642" s="33"/>
      <c r="H2642" s="33"/>
      <c r="I2642" s="34" t="str">
        <f aca="false">IF($A2642="","",$G2642-$H2642)</f>
        <v/>
      </c>
      <c r="J2642" s="35" t="str">
        <f aca="false">IF($A2642="","",IF(Setup!$B$6=1,YEAR($A2642),YEAR($A2642)+IF(MONTH($A2642)&gt;=Setup!$B$6,1,0)))</f>
        <v/>
      </c>
      <c r="K2642" s="35" t="str">
        <f aca="false">IF($A2642="","",MOD(MONTH($A2642)-Setup!$B$6+12,12)+1)</f>
        <v/>
      </c>
      <c r="L2642" s="36" t="str">
        <f aca="false">IF($A2642="","",TEXT($A2642,"MMM-YY"))</f>
        <v/>
      </c>
      <c r="M2642" s="37" t="str">
        <f aca="false">IF($A2642="","",IF($Q2642=0,"UNMAPPED",INDEX(COA_Mapping!$C$7:$C$256,$Q2642)))</f>
        <v/>
      </c>
      <c r="N2642" s="38" t="str">
        <f aca="false">IF($A2642="","",IF($Q2642=0,"",INDEX(COA_Mapping!$E$7:$E$256,$Q2642)))</f>
        <v/>
      </c>
      <c r="O2642" s="38" t="n">
        <f aca="false">IF($A2642="",1,IF($Q2642=0,1,INDEX(COA_Mapping!$F$7:$F$256,$Q2642)))</f>
        <v>1</v>
      </c>
      <c r="P2642" s="34" t="str">
        <f aca="false">IF($A2642="","",$I2642*$O2642)</f>
        <v/>
      </c>
      <c r="Q2642" s="39" t="n">
        <f aca="false">IF($B2642="",0,IFERROR(MATCH($B2642,COA_Mapping!$A$7:$A$256,0),0))</f>
        <v>0</v>
      </c>
      <c r="R2642" s="39" t="n">
        <f aca="false">IF($A2642="",-1,IF($J2642=Setup!$B$7,1,IF($J2642=Setup!$B$9,0,-1)))</f>
        <v>-1</v>
      </c>
      <c r="S2642" s="35" t="n">
        <f aca="false">IF(OR($A2642="",$Q2642=0,$R2642=-1),0,$Q2642*1000+$R2642*100+$K2642)</f>
        <v>0</v>
      </c>
      <c r="T2642" s="37" t="str">
        <f aca="false">IF($A2642="","",IF($B2642="","NO ACCOUNT",IF($Q2642=0,"UNMAPPED",IF($R2642=-1,"OUTSIDE FY RANGE","OK"))))</f>
        <v/>
      </c>
      <c r="U2642" s="40" t="str">
        <f aca="false">IF($A2642="","",$B2642&amp;"|"&amp;TEXT($A2642,"yyyymmdd")&amp;"|"&amp;TEXT($I2642,"0.00"))</f>
        <v/>
      </c>
      <c r="V2642" s="35" t="str">
        <f aca="false">IF($A2642="","",COUNTIF($U$8:$U$5007,$U2642))</f>
        <v/>
      </c>
    </row>
    <row r="2643" customFormat="false" ht="15" hidden="false" customHeight="false" outlineLevel="0" collapsed="false">
      <c r="A2643" s="31"/>
      <c r="B2643" s="32"/>
      <c r="C2643" s="32"/>
      <c r="D2643" s="32"/>
      <c r="E2643" s="32"/>
      <c r="F2643" s="32"/>
      <c r="G2643" s="33"/>
      <c r="H2643" s="33"/>
      <c r="I2643" s="34" t="str">
        <f aca="false">IF($A2643="","",$G2643-$H2643)</f>
        <v/>
      </c>
      <c r="J2643" s="35" t="str">
        <f aca="false">IF($A2643="","",IF(Setup!$B$6=1,YEAR($A2643),YEAR($A2643)+IF(MONTH($A2643)&gt;=Setup!$B$6,1,0)))</f>
        <v/>
      </c>
      <c r="K2643" s="35" t="str">
        <f aca="false">IF($A2643="","",MOD(MONTH($A2643)-Setup!$B$6+12,12)+1)</f>
        <v/>
      </c>
      <c r="L2643" s="36" t="str">
        <f aca="false">IF($A2643="","",TEXT($A2643,"MMM-YY"))</f>
        <v/>
      </c>
      <c r="M2643" s="37" t="str">
        <f aca="false">IF($A2643="","",IF($Q2643=0,"UNMAPPED",INDEX(COA_Mapping!$C$7:$C$256,$Q2643)))</f>
        <v/>
      </c>
      <c r="N2643" s="38" t="str">
        <f aca="false">IF($A2643="","",IF($Q2643=0,"",INDEX(COA_Mapping!$E$7:$E$256,$Q2643)))</f>
        <v/>
      </c>
      <c r="O2643" s="38" t="n">
        <f aca="false">IF($A2643="",1,IF($Q2643=0,1,INDEX(COA_Mapping!$F$7:$F$256,$Q2643)))</f>
        <v>1</v>
      </c>
      <c r="P2643" s="34" t="str">
        <f aca="false">IF($A2643="","",$I2643*$O2643)</f>
        <v/>
      </c>
      <c r="Q2643" s="39" t="n">
        <f aca="false">IF($B2643="",0,IFERROR(MATCH($B2643,COA_Mapping!$A$7:$A$256,0),0))</f>
        <v>0</v>
      </c>
      <c r="R2643" s="39" t="n">
        <f aca="false">IF($A2643="",-1,IF($J2643=Setup!$B$7,1,IF($J2643=Setup!$B$9,0,-1)))</f>
        <v>-1</v>
      </c>
      <c r="S2643" s="35" t="n">
        <f aca="false">IF(OR($A2643="",$Q2643=0,$R2643=-1),0,$Q2643*1000+$R2643*100+$K2643)</f>
        <v>0</v>
      </c>
      <c r="T2643" s="37" t="str">
        <f aca="false">IF($A2643="","",IF($B2643="","NO ACCOUNT",IF($Q2643=0,"UNMAPPED",IF($R2643=-1,"OUTSIDE FY RANGE","OK"))))</f>
        <v/>
      </c>
      <c r="U2643" s="40" t="str">
        <f aca="false">IF($A2643="","",$B2643&amp;"|"&amp;TEXT($A2643,"yyyymmdd")&amp;"|"&amp;TEXT($I2643,"0.00"))</f>
        <v/>
      </c>
      <c r="V2643" s="35" t="str">
        <f aca="false">IF($A2643="","",COUNTIF($U$8:$U$5007,$U2643))</f>
        <v/>
      </c>
    </row>
    <row r="2644" customFormat="false" ht="15" hidden="false" customHeight="false" outlineLevel="0" collapsed="false">
      <c r="A2644" s="31"/>
      <c r="B2644" s="32"/>
      <c r="C2644" s="32"/>
      <c r="D2644" s="32"/>
      <c r="E2644" s="32"/>
      <c r="F2644" s="32"/>
      <c r="G2644" s="33"/>
      <c r="H2644" s="33"/>
      <c r="I2644" s="34" t="str">
        <f aca="false">IF($A2644="","",$G2644-$H2644)</f>
        <v/>
      </c>
      <c r="J2644" s="35" t="str">
        <f aca="false">IF($A2644="","",IF(Setup!$B$6=1,YEAR($A2644),YEAR($A2644)+IF(MONTH($A2644)&gt;=Setup!$B$6,1,0)))</f>
        <v/>
      </c>
      <c r="K2644" s="35" t="str">
        <f aca="false">IF($A2644="","",MOD(MONTH($A2644)-Setup!$B$6+12,12)+1)</f>
        <v/>
      </c>
      <c r="L2644" s="36" t="str">
        <f aca="false">IF($A2644="","",TEXT($A2644,"MMM-YY"))</f>
        <v/>
      </c>
      <c r="M2644" s="37" t="str">
        <f aca="false">IF($A2644="","",IF($Q2644=0,"UNMAPPED",INDEX(COA_Mapping!$C$7:$C$256,$Q2644)))</f>
        <v/>
      </c>
      <c r="N2644" s="38" t="str">
        <f aca="false">IF($A2644="","",IF($Q2644=0,"",INDEX(COA_Mapping!$E$7:$E$256,$Q2644)))</f>
        <v/>
      </c>
      <c r="O2644" s="38" t="n">
        <f aca="false">IF($A2644="",1,IF($Q2644=0,1,INDEX(COA_Mapping!$F$7:$F$256,$Q2644)))</f>
        <v>1</v>
      </c>
      <c r="P2644" s="34" t="str">
        <f aca="false">IF($A2644="","",$I2644*$O2644)</f>
        <v/>
      </c>
      <c r="Q2644" s="39" t="n">
        <f aca="false">IF($B2644="",0,IFERROR(MATCH($B2644,COA_Mapping!$A$7:$A$256,0),0))</f>
        <v>0</v>
      </c>
      <c r="R2644" s="39" t="n">
        <f aca="false">IF($A2644="",-1,IF($J2644=Setup!$B$7,1,IF($J2644=Setup!$B$9,0,-1)))</f>
        <v>-1</v>
      </c>
      <c r="S2644" s="35" t="n">
        <f aca="false">IF(OR($A2644="",$Q2644=0,$R2644=-1),0,$Q2644*1000+$R2644*100+$K2644)</f>
        <v>0</v>
      </c>
      <c r="T2644" s="37" t="str">
        <f aca="false">IF($A2644="","",IF($B2644="","NO ACCOUNT",IF($Q2644=0,"UNMAPPED",IF($R2644=-1,"OUTSIDE FY RANGE","OK"))))</f>
        <v/>
      </c>
      <c r="U2644" s="40" t="str">
        <f aca="false">IF($A2644="","",$B2644&amp;"|"&amp;TEXT($A2644,"yyyymmdd")&amp;"|"&amp;TEXT($I2644,"0.00"))</f>
        <v/>
      </c>
      <c r="V2644" s="35" t="str">
        <f aca="false">IF($A2644="","",COUNTIF($U$8:$U$5007,$U2644))</f>
        <v/>
      </c>
    </row>
    <row r="2645" customFormat="false" ht="15" hidden="false" customHeight="false" outlineLevel="0" collapsed="false">
      <c r="A2645" s="31"/>
      <c r="B2645" s="32"/>
      <c r="C2645" s="32"/>
      <c r="D2645" s="32"/>
      <c r="E2645" s="32"/>
      <c r="F2645" s="32"/>
      <c r="G2645" s="33"/>
      <c r="H2645" s="33"/>
      <c r="I2645" s="34" t="str">
        <f aca="false">IF($A2645="","",$G2645-$H2645)</f>
        <v/>
      </c>
      <c r="J2645" s="35" t="str">
        <f aca="false">IF($A2645="","",IF(Setup!$B$6=1,YEAR($A2645),YEAR($A2645)+IF(MONTH($A2645)&gt;=Setup!$B$6,1,0)))</f>
        <v/>
      </c>
      <c r="K2645" s="35" t="str">
        <f aca="false">IF($A2645="","",MOD(MONTH($A2645)-Setup!$B$6+12,12)+1)</f>
        <v/>
      </c>
      <c r="L2645" s="36" t="str">
        <f aca="false">IF($A2645="","",TEXT($A2645,"MMM-YY"))</f>
        <v/>
      </c>
      <c r="M2645" s="37" t="str">
        <f aca="false">IF($A2645="","",IF($Q2645=0,"UNMAPPED",INDEX(COA_Mapping!$C$7:$C$256,$Q2645)))</f>
        <v/>
      </c>
      <c r="N2645" s="38" t="str">
        <f aca="false">IF($A2645="","",IF($Q2645=0,"",INDEX(COA_Mapping!$E$7:$E$256,$Q2645)))</f>
        <v/>
      </c>
      <c r="O2645" s="38" t="n">
        <f aca="false">IF($A2645="",1,IF($Q2645=0,1,INDEX(COA_Mapping!$F$7:$F$256,$Q2645)))</f>
        <v>1</v>
      </c>
      <c r="P2645" s="34" t="str">
        <f aca="false">IF($A2645="","",$I2645*$O2645)</f>
        <v/>
      </c>
      <c r="Q2645" s="39" t="n">
        <f aca="false">IF($B2645="",0,IFERROR(MATCH($B2645,COA_Mapping!$A$7:$A$256,0),0))</f>
        <v>0</v>
      </c>
      <c r="R2645" s="39" t="n">
        <f aca="false">IF($A2645="",-1,IF($J2645=Setup!$B$7,1,IF($J2645=Setup!$B$9,0,-1)))</f>
        <v>-1</v>
      </c>
      <c r="S2645" s="35" t="n">
        <f aca="false">IF(OR($A2645="",$Q2645=0,$R2645=-1),0,$Q2645*1000+$R2645*100+$K2645)</f>
        <v>0</v>
      </c>
      <c r="T2645" s="37" t="str">
        <f aca="false">IF($A2645="","",IF($B2645="","NO ACCOUNT",IF($Q2645=0,"UNMAPPED",IF($R2645=-1,"OUTSIDE FY RANGE","OK"))))</f>
        <v/>
      </c>
      <c r="U2645" s="40" t="str">
        <f aca="false">IF($A2645="","",$B2645&amp;"|"&amp;TEXT($A2645,"yyyymmdd")&amp;"|"&amp;TEXT($I2645,"0.00"))</f>
        <v/>
      </c>
      <c r="V2645" s="35" t="str">
        <f aca="false">IF($A2645="","",COUNTIF($U$8:$U$5007,$U2645))</f>
        <v/>
      </c>
    </row>
    <row r="2646" customFormat="false" ht="15" hidden="false" customHeight="false" outlineLevel="0" collapsed="false">
      <c r="A2646" s="31"/>
      <c r="B2646" s="32"/>
      <c r="C2646" s="32"/>
      <c r="D2646" s="32"/>
      <c r="E2646" s="32"/>
      <c r="F2646" s="32"/>
      <c r="G2646" s="33"/>
      <c r="H2646" s="33"/>
      <c r="I2646" s="34" t="str">
        <f aca="false">IF($A2646="","",$G2646-$H2646)</f>
        <v/>
      </c>
      <c r="J2646" s="35" t="str">
        <f aca="false">IF($A2646="","",IF(Setup!$B$6=1,YEAR($A2646),YEAR($A2646)+IF(MONTH($A2646)&gt;=Setup!$B$6,1,0)))</f>
        <v/>
      </c>
      <c r="K2646" s="35" t="str">
        <f aca="false">IF($A2646="","",MOD(MONTH($A2646)-Setup!$B$6+12,12)+1)</f>
        <v/>
      </c>
      <c r="L2646" s="36" t="str">
        <f aca="false">IF($A2646="","",TEXT($A2646,"MMM-YY"))</f>
        <v/>
      </c>
      <c r="M2646" s="37" t="str">
        <f aca="false">IF($A2646="","",IF($Q2646=0,"UNMAPPED",INDEX(COA_Mapping!$C$7:$C$256,$Q2646)))</f>
        <v/>
      </c>
      <c r="N2646" s="38" t="str">
        <f aca="false">IF($A2646="","",IF($Q2646=0,"",INDEX(COA_Mapping!$E$7:$E$256,$Q2646)))</f>
        <v/>
      </c>
      <c r="O2646" s="38" t="n">
        <f aca="false">IF($A2646="",1,IF($Q2646=0,1,INDEX(COA_Mapping!$F$7:$F$256,$Q2646)))</f>
        <v>1</v>
      </c>
      <c r="P2646" s="34" t="str">
        <f aca="false">IF($A2646="","",$I2646*$O2646)</f>
        <v/>
      </c>
      <c r="Q2646" s="39" t="n">
        <f aca="false">IF($B2646="",0,IFERROR(MATCH($B2646,COA_Mapping!$A$7:$A$256,0),0))</f>
        <v>0</v>
      </c>
      <c r="R2646" s="39" t="n">
        <f aca="false">IF($A2646="",-1,IF($J2646=Setup!$B$7,1,IF($J2646=Setup!$B$9,0,-1)))</f>
        <v>-1</v>
      </c>
      <c r="S2646" s="35" t="n">
        <f aca="false">IF(OR($A2646="",$Q2646=0,$R2646=-1),0,$Q2646*1000+$R2646*100+$K2646)</f>
        <v>0</v>
      </c>
      <c r="T2646" s="37" t="str">
        <f aca="false">IF($A2646="","",IF($B2646="","NO ACCOUNT",IF($Q2646=0,"UNMAPPED",IF($R2646=-1,"OUTSIDE FY RANGE","OK"))))</f>
        <v/>
      </c>
      <c r="U2646" s="40" t="str">
        <f aca="false">IF($A2646="","",$B2646&amp;"|"&amp;TEXT($A2646,"yyyymmdd")&amp;"|"&amp;TEXT($I2646,"0.00"))</f>
        <v/>
      </c>
      <c r="V2646" s="35" t="str">
        <f aca="false">IF($A2646="","",COUNTIF($U$8:$U$5007,$U2646))</f>
        <v/>
      </c>
    </row>
    <row r="2647" customFormat="false" ht="15" hidden="false" customHeight="false" outlineLevel="0" collapsed="false">
      <c r="A2647" s="31"/>
      <c r="B2647" s="32"/>
      <c r="C2647" s="32"/>
      <c r="D2647" s="32"/>
      <c r="E2647" s="32"/>
      <c r="F2647" s="32"/>
      <c r="G2647" s="33"/>
      <c r="H2647" s="33"/>
      <c r="I2647" s="34" t="str">
        <f aca="false">IF($A2647="","",$G2647-$H2647)</f>
        <v/>
      </c>
      <c r="J2647" s="35" t="str">
        <f aca="false">IF($A2647="","",IF(Setup!$B$6=1,YEAR($A2647),YEAR($A2647)+IF(MONTH($A2647)&gt;=Setup!$B$6,1,0)))</f>
        <v/>
      </c>
      <c r="K2647" s="35" t="str">
        <f aca="false">IF($A2647="","",MOD(MONTH($A2647)-Setup!$B$6+12,12)+1)</f>
        <v/>
      </c>
      <c r="L2647" s="36" t="str">
        <f aca="false">IF($A2647="","",TEXT($A2647,"MMM-YY"))</f>
        <v/>
      </c>
      <c r="M2647" s="37" t="str">
        <f aca="false">IF($A2647="","",IF($Q2647=0,"UNMAPPED",INDEX(COA_Mapping!$C$7:$C$256,$Q2647)))</f>
        <v/>
      </c>
      <c r="N2647" s="38" t="str">
        <f aca="false">IF($A2647="","",IF($Q2647=0,"",INDEX(COA_Mapping!$E$7:$E$256,$Q2647)))</f>
        <v/>
      </c>
      <c r="O2647" s="38" t="n">
        <f aca="false">IF($A2647="",1,IF($Q2647=0,1,INDEX(COA_Mapping!$F$7:$F$256,$Q2647)))</f>
        <v>1</v>
      </c>
      <c r="P2647" s="34" t="str">
        <f aca="false">IF($A2647="","",$I2647*$O2647)</f>
        <v/>
      </c>
      <c r="Q2647" s="39" t="n">
        <f aca="false">IF($B2647="",0,IFERROR(MATCH($B2647,COA_Mapping!$A$7:$A$256,0),0))</f>
        <v>0</v>
      </c>
      <c r="R2647" s="39" t="n">
        <f aca="false">IF($A2647="",-1,IF($J2647=Setup!$B$7,1,IF($J2647=Setup!$B$9,0,-1)))</f>
        <v>-1</v>
      </c>
      <c r="S2647" s="35" t="n">
        <f aca="false">IF(OR($A2647="",$Q2647=0,$R2647=-1),0,$Q2647*1000+$R2647*100+$K2647)</f>
        <v>0</v>
      </c>
      <c r="T2647" s="37" t="str">
        <f aca="false">IF($A2647="","",IF($B2647="","NO ACCOUNT",IF($Q2647=0,"UNMAPPED",IF($R2647=-1,"OUTSIDE FY RANGE","OK"))))</f>
        <v/>
      </c>
      <c r="U2647" s="40" t="str">
        <f aca="false">IF($A2647="","",$B2647&amp;"|"&amp;TEXT($A2647,"yyyymmdd")&amp;"|"&amp;TEXT($I2647,"0.00"))</f>
        <v/>
      </c>
      <c r="V2647" s="35" t="str">
        <f aca="false">IF($A2647="","",COUNTIF($U$8:$U$5007,$U2647))</f>
        <v/>
      </c>
    </row>
    <row r="2648" customFormat="false" ht="15" hidden="false" customHeight="false" outlineLevel="0" collapsed="false">
      <c r="A2648" s="31"/>
      <c r="B2648" s="32"/>
      <c r="C2648" s="32"/>
      <c r="D2648" s="32"/>
      <c r="E2648" s="32"/>
      <c r="F2648" s="32"/>
      <c r="G2648" s="33"/>
      <c r="H2648" s="33"/>
      <c r="I2648" s="34" t="str">
        <f aca="false">IF($A2648="","",$G2648-$H2648)</f>
        <v/>
      </c>
      <c r="J2648" s="35" t="str">
        <f aca="false">IF($A2648="","",IF(Setup!$B$6=1,YEAR($A2648),YEAR($A2648)+IF(MONTH($A2648)&gt;=Setup!$B$6,1,0)))</f>
        <v/>
      </c>
      <c r="K2648" s="35" t="str">
        <f aca="false">IF($A2648="","",MOD(MONTH($A2648)-Setup!$B$6+12,12)+1)</f>
        <v/>
      </c>
      <c r="L2648" s="36" t="str">
        <f aca="false">IF($A2648="","",TEXT($A2648,"MMM-YY"))</f>
        <v/>
      </c>
      <c r="M2648" s="37" t="str">
        <f aca="false">IF($A2648="","",IF($Q2648=0,"UNMAPPED",INDEX(COA_Mapping!$C$7:$C$256,$Q2648)))</f>
        <v/>
      </c>
      <c r="N2648" s="38" t="str">
        <f aca="false">IF($A2648="","",IF($Q2648=0,"",INDEX(COA_Mapping!$E$7:$E$256,$Q2648)))</f>
        <v/>
      </c>
      <c r="O2648" s="38" t="n">
        <f aca="false">IF($A2648="",1,IF($Q2648=0,1,INDEX(COA_Mapping!$F$7:$F$256,$Q2648)))</f>
        <v>1</v>
      </c>
      <c r="P2648" s="34" t="str">
        <f aca="false">IF($A2648="","",$I2648*$O2648)</f>
        <v/>
      </c>
      <c r="Q2648" s="39" t="n">
        <f aca="false">IF($B2648="",0,IFERROR(MATCH($B2648,COA_Mapping!$A$7:$A$256,0),0))</f>
        <v>0</v>
      </c>
      <c r="R2648" s="39" t="n">
        <f aca="false">IF($A2648="",-1,IF($J2648=Setup!$B$7,1,IF($J2648=Setup!$B$9,0,-1)))</f>
        <v>-1</v>
      </c>
      <c r="S2648" s="35" t="n">
        <f aca="false">IF(OR($A2648="",$Q2648=0,$R2648=-1),0,$Q2648*1000+$R2648*100+$K2648)</f>
        <v>0</v>
      </c>
      <c r="T2648" s="37" t="str">
        <f aca="false">IF($A2648="","",IF($B2648="","NO ACCOUNT",IF($Q2648=0,"UNMAPPED",IF($R2648=-1,"OUTSIDE FY RANGE","OK"))))</f>
        <v/>
      </c>
      <c r="U2648" s="40" t="str">
        <f aca="false">IF($A2648="","",$B2648&amp;"|"&amp;TEXT($A2648,"yyyymmdd")&amp;"|"&amp;TEXT($I2648,"0.00"))</f>
        <v/>
      </c>
      <c r="V2648" s="35" t="str">
        <f aca="false">IF($A2648="","",COUNTIF($U$8:$U$5007,$U2648))</f>
        <v/>
      </c>
    </row>
    <row r="2649" customFormat="false" ht="15" hidden="false" customHeight="false" outlineLevel="0" collapsed="false">
      <c r="A2649" s="31"/>
      <c r="B2649" s="32"/>
      <c r="C2649" s="32"/>
      <c r="D2649" s="32"/>
      <c r="E2649" s="32"/>
      <c r="F2649" s="32"/>
      <c r="G2649" s="33"/>
      <c r="H2649" s="33"/>
      <c r="I2649" s="34" t="str">
        <f aca="false">IF($A2649="","",$G2649-$H2649)</f>
        <v/>
      </c>
      <c r="J2649" s="35" t="str">
        <f aca="false">IF($A2649="","",IF(Setup!$B$6=1,YEAR($A2649),YEAR($A2649)+IF(MONTH($A2649)&gt;=Setup!$B$6,1,0)))</f>
        <v/>
      </c>
      <c r="K2649" s="35" t="str">
        <f aca="false">IF($A2649="","",MOD(MONTH($A2649)-Setup!$B$6+12,12)+1)</f>
        <v/>
      </c>
      <c r="L2649" s="36" t="str">
        <f aca="false">IF($A2649="","",TEXT($A2649,"MMM-YY"))</f>
        <v/>
      </c>
      <c r="M2649" s="37" t="str">
        <f aca="false">IF($A2649="","",IF($Q2649=0,"UNMAPPED",INDEX(COA_Mapping!$C$7:$C$256,$Q2649)))</f>
        <v/>
      </c>
      <c r="N2649" s="38" t="str">
        <f aca="false">IF($A2649="","",IF($Q2649=0,"",INDEX(COA_Mapping!$E$7:$E$256,$Q2649)))</f>
        <v/>
      </c>
      <c r="O2649" s="38" t="n">
        <f aca="false">IF($A2649="",1,IF($Q2649=0,1,INDEX(COA_Mapping!$F$7:$F$256,$Q2649)))</f>
        <v>1</v>
      </c>
      <c r="P2649" s="34" t="str">
        <f aca="false">IF($A2649="","",$I2649*$O2649)</f>
        <v/>
      </c>
      <c r="Q2649" s="39" t="n">
        <f aca="false">IF($B2649="",0,IFERROR(MATCH($B2649,COA_Mapping!$A$7:$A$256,0),0))</f>
        <v>0</v>
      </c>
      <c r="R2649" s="39" t="n">
        <f aca="false">IF($A2649="",-1,IF($J2649=Setup!$B$7,1,IF($J2649=Setup!$B$9,0,-1)))</f>
        <v>-1</v>
      </c>
      <c r="S2649" s="35" t="n">
        <f aca="false">IF(OR($A2649="",$Q2649=0,$R2649=-1),0,$Q2649*1000+$R2649*100+$K2649)</f>
        <v>0</v>
      </c>
      <c r="T2649" s="37" t="str">
        <f aca="false">IF($A2649="","",IF($B2649="","NO ACCOUNT",IF($Q2649=0,"UNMAPPED",IF($R2649=-1,"OUTSIDE FY RANGE","OK"))))</f>
        <v/>
      </c>
      <c r="U2649" s="40" t="str">
        <f aca="false">IF($A2649="","",$B2649&amp;"|"&amp;TEXT($A2649,"yyyymmdd")&amp;"|"&amp;TEXT($I2649,"0.00"))</f>
        <v/>
      </c>
      <c r="V2649" s="35" t="str">
        <f aca="false">IF($A2649="","",COUNTIF($U$8:$U$5007,$U2649))</f>
        <v/>
      </c>
    </row>
    <row r="2650" customFormat="false" ht="15" hidden="false" customHeight="false" outlineLevel="0" collapsed="false">
      <c r="A2650" s="31"/>
      <c r="B2650" s="32"/>
      <c r="C2650" s="32"/>
      <c r="D2650" s="32"/>
      <c r="E2650" s="32"/>
      <c r="F2650" s="32"/>
      <c r="G2650" s="33"/>
      <c r="H2650" s="33"/>
      <c r="I2650" s="34" t="str">
        <f aca="false">IF($A2650="","",$G2650-$H2650)</f>
        <v/>
      </c>
      <c r="J2650" s="35" t="str">
        <f aca="false">IF($A2650="","",IF(Setup!$B$6=1,YEAR($A2650),YEAR($A2650)+IF(MONTH($A2650)&gt;=Setup!$B$6,1,0)))</f>
        <v/>
      </c>
      <c r="K2650" s="35" t="str">
        <f aca="false">IF($A2650="","",MOD(MONTH($A2650)-Setup!$B$6+12,12)+1)</f>
        <v/>
      </c>
      <c r="L2650" s="36" t="str">
        <f aca="false">IF($A2650="","",TEXT($A2650,"MMM-YY"))</f>
        <v/>
      </c>
      <c r="M2650" s="37" t="str">
        <f aca="false">IF($A2650="","",IF($Q2650=0,"UNMAPPED",INDEX(COA_Mapping!$C$7:$C$256,$Q2650)))</f>
        <v/>
      </c>
      <c r="N2650" s="38" t="str">
        <f aca="false">IF($A2650="","",IF($Q2650=0,"",INDEX(COA_Mapping!$E$7:$E$256,$Q2650)))</f>
        <v/>
      </c>
      <c r="O2650" s="38" t="n">
        <f aca="false">IF($A2650="",1,IF($Q2650=0,1,INDEX(COA_Mapping!$F$7:$F$256,$Q2650)))</f>
        <v>1</v>
      </c>
      <c r="P2650" s="34" t="str">
        <f aca="false">IF($A2650="","",$I2650*$O2650)</f>
        <v/>
      </c>
      <c r="Q2650" s="39" t="n">
        <f aca="false">IF($B2650="",0,IFERROR(MATCH($B2650,COA_Mapping!$A$7:$A$256,0),0))</f>
        <v>0</v>
      </c>
      <c r="R2650" s="39" t="n">
        <f aca="false">IF($A2650="",-1,IF($J2650=Setup!$B$7,1,IF($J2650=Setup!$B$9,0,-1)))</f>
        <v>-1</v>
      </c>
      <c r="S2650" s="35" t="n">
        <f aca="false">IF(OR($A2650="",$Q2650=0,$R2650=-1),0,$Q2650*1000+$R2650*100+$K2650)</f>
        <v>0</v>
      </c>
      <c r="T2650" s="37" t="str">
        <f aca="false">IF($A2650="","",IF($B2650="","NO ACCOUNT",IF($Q2650=0,"UNMAPPED",IF($R2650=-1,"OUTSIDE FY RANGE","OK"))))</f>
        <v/>
      </c>
      <c r="U2650" s="40" t="str">
        <f aca="false">IF($A2650="","",$B2650&amp;"|"&amp;TEXT($A2650,"yyyymmdd")&amp;"|"&amp;TEXT($I2650,"0.00"))</f>
        <v/>
      </c>
      <c r="V2650" s="35" t="str">
        <f aca="false">IF($A2650="","",COUNTIF($U$8:$U$5007,$U2650))</f>
        <v/>
      </c>
    </row>
    <row r="2651" customFormat="false" ht="15" hidden="false" customHeight="false" outlineLevel="0" collapsed="false">
      <c r="A2651" s="31"/>
      <c r="B2651" s="32"/>
      <c r="C2651" s="32"/>
      <c r="D2651" s="32"/>
      <c r="E2651" s="32"/>
      <c r="F2651" s="32"/>
      <c r="G2651" s="33"/>
      <c r="H2651" s="33"/>
      <c r="I2651" s="34" t="str">
        <f aca="false">IF($A2651="","",$G2651-$H2651)</f>
        <v/>
      </c>
      <c r="J2651" s="35" t="str">
        <f aca="false">IF($A2651="","",IF(Setup!$B$6=1,YEAR($A2651),YEAR($A2651)+IF(MONTH($A2651)&gt;=Setup!$B$6,1,0)))</f>
        <v/>
      </c>
      <c r="K2651" s="35" t="str">
        <f aca="false">IF($A2651="","",MOD(MONTH($A2651)-Setup!$B$6+12,12)+1)</f>
        <v/>
      </c>
      <c r="L2651" s="36" t="str">
        <f aca="false">IF($A2651="","",TEXT($A2651,"MMM-YY"))</f>
        <v/>
      </c>
      <c r="M2651" s="37" t="str">
        <f aca="false">IF($A2651="","",IF($Q2651=0,"UNMAPPED",INDEX(COA_Mapping!$C$7:$C$256,$Q2651)))</f>
        <v/>
      </c>
      <c r="N2651" s="38" t="str">
        <f aca="false">IF($A2651="","",IF($Q2651=0,"",INDEX(COA_Mapping!$E$7:$E$256,$Q2651)))</f>
        <v/>
      </c>
      <c r="O2651" s="38" t="n">
        <f aca="false">IF($A2651="",1,IF($Q2651=0,1,INDEX(COA_Mapping!$F$7:$F$256,$Q2651)))</f>
        <v>1</v>
      </c>
      <c r="P2651" s="34" t="str">
        <f aca="false">IF($A2651="","",$I2651*$O2651)</f>
        <v/>
      </c>
      <c r="Q2651" s="39" t="n">
        <f aca="false">IF($B2651="",0,IFERROR(MATCH($B2651,COA_Mapping!$A$7:$A$256,0),0))</f>
        <v>0</v>
      </c>
      <c r="R2651" s="39" t="n">
        <f aca="false">IF($A2651="",-1,IF($J2651=Setup!$B$7,1,IF($J2651=Setup!$B$9,0,-1)))</f>
        <v>-1</v>
      </c>
      <c r="S2651" s="35" t="n">
        <f aca="false">IF(OR($A2651="",$Q2651=0,$R2651=-1),0,$Q2651*1000+$R2651*100+$K2651)</f>
        <v>0</v>
      </c>
      <c r="T2651" s="37" t="str">
        <f aca="false">IF($A2651="","",IF($B2651="","NO ACCOUNT",IF($Q2651=0,"UNMAPPED",IF($R2651=-1,"OUTSIDE FY RANGE","OK"))))</f>
        <v/>
      </c>
      <c r="U2651" s="40" t="str">
        <f aca="false">IF($A2651="","",$B2651&amp;"|"&amp;TEXT($A2651,"yyyymmdd")&amp;"|"&amp;TEXT($I2651,"0.00"))</f>
        <v/>
      </c>
      <c r="V2651" s="35" t="str">
        <f aca="false">IF($A2651="","",COUNTIF($U$8:$U$5007,$U2651))</f>
        <v/>
      </c>
    </row>
    <row r="2652" customFormat="false" ht="15" hidden="false" customHeight="false" outlineLevel="0" collapsed="false">
      <c r="A2652" s="31"/>
      <c r="B2652" s="32"/>
      <c r="C2652" s="32"/>
      <c r="D2652" s="32"/>
      <c r="E2652" s="32"/>
      <c r="F2652" s="32"/>
      <c r="G2652" s="33"/>
      <c r="H2652" s="33"/>
      <c r="I2652" s="34" t="str">
        <f aca="false">IF($A2652="","",$G2652-$H2652)</f>
        <v/>
      </c>
      <c r="J2652" s="35" t="str">
        <f aca="false">IF($A2652="","",IF(Setup!$B$6=1,YEAR($A2652),YEAR($A2652)+IF(MONTH($A2652)&gt;=Setup!$B$6,1,0)))</f>
        <v/>
      </c>
      <c r="K2652" s="35" t="str">
        <f aca="false">IF($A2652="","",MOD(MONTH($A2652)-Setup!$B$6+12,12)+1)</f>
        <v/>
      </c>
      <c r="L2652" s="36" t="str">
        <f aca="false">IF($A2652="","",TEXT($A2652,"MMM-YY"))</f>
        <v/>
      </c>
      <c r="M2652" s="37" t="str">
        <f aca="false">IF($A2652="","",IF($Q2652=0,"UNMAPPED",INDEX(COA_Mapping!$C$7:$C$256,$Q2652)))</f>
        <v/>
      </c>
      <c r="N2652" s="38" t="str">
        <f aca="false">IF($A2652="","",IF($Q2652=0,"",INDEX(COA_Mapping!$E$7:$E$256,$Q2652)))</f>
        <v/>
      </c>
      <c r="O2652" s="38" t="n">
        <f aca="false">IF($A2652="",1,IF($Q2652=0,1,INDEX(COA_Mapping!$F$7:$F$256,$Q2652)))</f>
        <v>1</v>
      </c>
      <c r="P2652" s="34" t="str">
        <f aca="false">IF($A2652="","",$I2652*$O2652)</f>
        <v/>
      </c>
      <c r="Q2652" s="39" t="n">
        <f aca="false">IF($B2652="",0,IFERROR(MATCH($B2652,COA_Mapping!$A$7:$A$256,0),0))</f>
        <v>0</v>
      </c>
      <c r="R2652" s="39" t="n">
        <f aca="false">IF($A2652="",-1,IF($J2652=Setup!$B$7,1,IF($J2652=Setup!$B$9,0,-1)))</f>
        <v>-1</v>
      </c>
      <c r="S2652" s="35" t="n">
        <f aca="false">IF(OR($A2652="",$Q2652=0,$R2652=-1),0,$Q2652*1000+$R2652*100+$K2652)</f>
        <v>0</v>
      </c>
      <c r="T2652" s="37" t="str">
        <f aca="false">IF($A2652="","",IF($B2652="","NO ACCOUNT",IF($Q2652=0,"UNMAPPED",IF($R2652=-1,"OUTSIDE FY RANGE","OK"))))</f>
        <v/>
      </c>
      <c r="U2652" s="40" t="str">
        <f aca="false">IF($A2652="","",$B2652&amp;"|"&amp;TEXT($A2652,"yyyymmdd")&amp;"|"&amp;TEXT($I2652,"0.00"))</f>
        <v/>
      </c>
      <c r="V2652" s="35" t="str">
        <f aca="false">IF($A2652="","",COUNTIF($U$8:$U$5007,$U2652))</f>
        <v/>
      </c>
    </row>
    <row r="2653" customFormat="false" ht="15" hidden="false" customHeight="false" outlineLevel="0" collapsed="false">
      <c r="A2653" s="31"/>
      <c r="B2653" s="32"/>
      <c r="C2653" s="32"/>
      <c r="D2653" s="32"/>
      <c r="E2653" s="32"/>
      <c r="F2653" s="32"/>
      <c r="G2653" s="33"/>
      <c r="H2653" s="33"/>
      <c r="I2653" s="34" t="str">
        <f aca="false">IF($A2653="","",$G2653-$H2653)</f>
        <v/>
      </c>
      <c r="J2653" s="35" t="str">
        <f aca="false">IF($A2653="","",IF(Setup!$B$6=1,YEAR($A2653),YEAR($A2653)+IF(MONTH($A2653)&gt;=Setup!$B$6,1,0)))</f>
        <v/>
      </c>
      <c r="K2653" s="35" t="str">
        <f aca="false">IF($A2653="","",MOD(MONTH($A2653)-Setup!$B$6+12,12)+1)</f>
        <v/>
      </c>
      <c r="L2653" s="36" t="str">
        <f aca="false">IF($A2653="","",TEXT($A2653,"MMM-YY"))</f>
        <v/>
      </c>
      <c r="M2653" s="37" t="str">
        <f aca="false">IF($A2653="","",IF($Q2653=0,"UNMAPPED",INDEX(COA_Mapping!$C$7:$C$256,$Q2653)))</f>
        <v/>
      </c>
      <c r="N2653" s="38" t="str">
        <f aca="false">IF($A2653="","",IF($Q2653=0,"",INDEX(COA_Mapping!$E$7:$E$256,$Q2653)))</f>
        <v/>
      </c>
      <c r="O2653" s="38" t="n">
        <f aca="false">IF($A2653="",1,IF($Q2653=0,1,INDEX(COA_Mapping!$F$7:$F$256,$Q2653)))</f>
        <v>1</v>
      </c>
      <c r="P2653" s="34" t="str">
        <f aca="false">IF($A2653="","",$I2653*$O2653)</f>
        <v/>
      </c>
      <c r="Q2653" s="39" t="n">
        <f aca="false">IF($B2653="",0,IFERROR(MATCH($B2653,COA_Mapping!$A$7:$A$256,0),0))</f>
        <v>0</v>
      </c>
      <c r="R2653" s="39" t="n">
        <f aca="false">IF($A2653="",-1,IF($J2653=Setup!$B$7,1,IF($J2653=Setup!$B$9,0,-1)))</f>
        <v>-1</v>
      </c>
      <c r="S2653" s="35" t="n">
        <f aca="false">IF(OR($A2653="",$Q2653=0,$R2653=-1),0,$Q2653*1000+$R2653*100+$K2653)</f>
        <v>0</v>
      </c>
      <c r="T2653" s="37" t="str">
        <f aca="false">IF($A2653="","",IF($B2653="","NO ACCOUNT",IF($Q2653=0,"UNMAPPED",IF($R2653=-1,"OUTSIDE FY RANGE","OK"))))</f>
        <v/>
      </c>
      <c r="U2653" s="40" t="str">
        <f aca="false">IF($A2653="","",$B2653&amp;"|"&amp;TEXT($A2653,"yyyymmdd")&amp;"|"&amp;TEXT($I2653,"0.00"))</f>
        <v/>
      </c>
      <c r="V2653" s="35" t="str">
        <f aca="false">IF($A2653="","",COUNTIF($U$8:$U$5007,$U2653))</f>
        <v/>
      </c>
    </row>
    <row r="2654" customFormat="false" ht="15" hidden="false" customHeight="false" outlineLevel="0" collapsed="false">
      <c r="A2654" s="31"/>
      <c r="B2654" s="32"/>
      <c r="C2654" s="32"/>
      <c r="D2654" s="32"/>
      <c r="E2654" s="32"/>
      <c r="F2654" s="32"/>
      <c r="G2654" s="33"/>
      <c r="H2654" s="33"/>
      <c r="I2654" s="34" t="str">
        <f aca="false">IF($A2654="","",$G2654-$H2654)</f>
        <v/>
      </c>
      <c r="J2654" s="35" t="str">
        <f aca="false">IF($A2654="","",IF(Setup!$B$6=1,YEAR($A2654),YEAR($A2654)+IF(MONTH($A2654)&gt;=Setup!$B$6,1,0)))</f>
        <v/>
      </c>
      <c r="K2654" s="35" t="str">
        <f aca="false">IF($A2654="","",MOD(MONTH($A2654)-Setup!$B$6+12,12)+1)</f>
        <v/>
      </c>
      <c r="L2654" s="36" t="str">
        <f aca="false">IF($A2654="","",TEXT($A2654,"MMM-YY"))</f>
        <v/>
      </c>
      <c r="M2654" s="37" t="str">
        <f aca="false">IF($A2654="","",IF($Q2654=0,"UNMAPPED",INDEX(COA_Mapping!$C$7:$C$256,$Q2654)))</f>
        <v/>
      </c>
      <c r="N2654" s="38" t="str">
        <f aca="false">IF($A2654="","",IF($Q2654=0,"",INDEX(COA_Mapping!$E$7:$E$256,$Q2654)))</f>
        <v/>
      </c>
      <c r="O2654" s="38" t="n">
        <f aca="false">IF($A2654="",1,IF($Q2654=0,1,INDEX(COA_Mapping!$F$7:$F$256,$Q2654)))</f>
        <v>1</v>
      </c>
      <c r="P2654" s="34" t="str">
        <f aca="false">IF($A2654="","",$I2654*$O2654)</f>
        <v/>
      </c>
      <c r="Q2654" s="39" t="n">
        <f aca="false">IF($B2654="",0,IFERROR(MATCH($B2654,COA_Mapping!$A$7:$A$256,0),0))</f>
        <v>0</v>
      </c>
      <c r="R2654" s="39" t="n">
        <f aca="false">IF($A2654="",-1,IF($J2654=Setup!$B$7,1,IF($J2654=Setup!$B$9,0,-1)))</f>
        <v>-1</v>
      </c>
      <c r="S2654" s="35" t="n">
        <f aca="false">IF(OR($A2654="",$Q2654=0,$R2654=-1),0,$Q2654*1000+$R2654*100+$K2654)</f>
        <v>0</v>
      </c>
      <c r="T2654" s="37" t="str">
        <f aca="false">IF($A2654="","",IF($B2654="","NO ACCOUNT",IF($Q2654=0,"UNMAPPED",IF($R2654=-1,"OUTSIDE FY RANGE","OK"))))</f>
        <v/>
      </c>
      <c r="U2654" s="40" t="str">
        <f aca="false">IF($A2654="","",$B2654&amp;"|"&amp;TEXT($A2654,"yyyymmdd")&amp;"|"&amp;TEXT($I2654,"0.00"))</f>
        <v/>
      </c>
      <c r="V2654" s="35" t="str">
        <f aca="false">IF($A2654="","",COUNTIF($U$8:$U$5007,$U2654))</f>
        <v/>
      </c>
    </row>
    <row r="2655" customFormat="false" ht="15" hidden="false" customHeight="false" outlineLevel="0" collapsed="false">
      <c r="A2655" s="31"/>
      <c r="B2655" s="32"/>
      <c r="C2655" s="32"/>
      <c r="D2655" s="32"/>
      <c r="E2655" s="32"/>
      <c r="F2655" s="32"/>
      <c r="G2655" s="33"/>
      <c r="H2655" s="33"/>
      <c r="I2655" s="34" t="str">
        <f aca="false">IF($A2655="","",$G2655-$H2655)</f>
        <v/>
      </c>
      <c r="J2655" s="35" t="str">
        <f aca="false">IF($A2655="","",IF(Setup!$B$6=1,YEAR($A2655),YEAR($A2655)+IF(MONTH($A2655)&gt;=Setup!$B$6,1,0)))</f>
        <v/>
      </c>
      <c r="K2655" s="35" t="str">
        <f aca="false">IF($A2655="","",MOD(MONTH($A2655)-Setup!$B$6+12,12)+1)</f>
        <v/>
      </c>
      <c r="L2655" s="36" t="str">
        <f aca="false">IF($A2655="","",TEXT($A2655,"MMM-YY"))</f>
        <v/>
      </c>
      <c r="M2655" s="37" t="str">
        <f aca="false">IF($A2655="","",IF($Q2655=0,"UNMAPPED",INDEX(COA_Mapping!$C$7:$C$256,$Q2655)))</f>
        <v/>
      </c>
      <c r="N2655" s="38" t="str">
        <f aca="false">IF($A2655="","",IF($Q2655=0,"",INDEX(COA_Mapping!$E$7:$E$256,$Q2655)))</f>
        <v/>
      </c>
      <c r="O2655" s="38" t="n">
        <f aca="false">IF($A2655="",1,IF($Q2655=0,1,INDEX(COA_Mapping!$F$7:$F$256,$Q2655)))</f>
        <v>1</v>
      </c>
      <c r="P2655" s="34" t="str">
        <f aca="false">IF($A2655="","",$I2655*$O2655)</f>
        <v/>
      </c>
      <c r="Q2655" s="39" t="n">
        <f aca="false">IF($B2655="",0,IFERROR(MATCH($B2655,COA_Mapping!$A$7:$A$256,0),0))</f>
        <v>0</v>
      </c>
      <c r="R2655" s="39" t="n">
        <f aca="false">IF($A2655="",-1,IF($J2655=Setup!$B$7,1,IF($J2655=Setup!$B$9,0,-1)))</f>
        <v>-1</v>
      </c>
      <c r="S2655" s="35" t="n">
        <f aca="false">IF(OR($A2655="",$Q2655=0,$R2655=-1),0,$Q2655*1000+$R2655*100+$K2655)</f>
        <v>0</v>
      </c>
      <c r="T2655" s="37" t="str">
        <f aca="false">IF($A2655="","",IF($B2655="","NO ACCOUNT",IF($Q2655=0,"UNMAPPED",IF($R2655=-1,"OUTSIDE FY RANGE","OK"))))</f>
        <v/>
      </c>
      <c r="U2655" s="40" t="str">
        <f aca="false">IF($A2655="","",$B2655&amp;"|"&amp;TEXT($A2655,"yyyymmdd")&amp;"|"&amp;TEXT($I2655,"0.00"))</f>
        <v/>
      </c>
      <c r="V2655" s="35" t="str">
        <f aca="false">IF($A2655="","",COUNTIF($U$8:$U$5007,$U2655))</f>
        <v/>
      </c>
    </row>
    <row r="2656" customFormat="false" ht="15" hidden="false" customHeight="false" outlineLevel="0" collapsed="false">
      <c r="A2656" s="31"/>
      <c r="B2656" s="32"/>
      <c r="C2656" s="32"/>
      <c r="D2656" s="32"/>
      <c r="E2656" s="32"/>
      <c r="F2656" s="32"/>
      <c r="G2656" s="33"/>
      <c r="H2656" s="33"/>
      <c r="I2656" s="34" t="str">
        <f aca="false">IF($A2656="","",$G2656-$H2656)</f>
        <v/>
      </c>
      <c r="J2656" s="35" t="str">
        <f aca="false">IF($A2656="","",IF(Setup!$B$6=1,YEAR($A2656),YEAR($A2656)+IF(MONTH($A2656)&gt;=Setup!$B$6,1,0)))</f>
        <v/>
      </c>
      <c r="K2656" s="35" t="str">
        <f aca="false">IF($A2656="","",MOD(MONTH($A2656)-Setup!$B$6+12,12)+1)</f>
        <v/>
      </c>
      <c r="L2656" s="36" t="str">
        <f aca="false">IF($A2656="","",TEXT($A2656,"MMM-YY"))</f>
        <v/>
      </c>
      <c r="M2656" s="37" t="str">
        <f aca="false">IF($A2656="","",IF($Q2656=0,"UNMAPPED",INDEX(COA_Mapping!$C$7:$C$256,$Q2656)))</f>
        <v/>
      </c>
      <c r="N2656" s="38" t="str">
        <f aca="false">IF($A2656="","",IF($Q2656=0,"",INDEX(COA_Mapping!$E$7:$E$256,$Q2656)))</f>
        <v/>
      </c>
      <c r="O2656" s="38" t="n">
        <f aca="false">IF($A2656="",1,IF($Q2656=0,1,INDEX(COA_Mapping!$F$7:$F$256,$Q2656)))</f>
        <v>1</v>
      </c>
      <c r="P2656" s="34" t="str">
        <f aca="false">IF($A2656="","",$I2656*$O2656)</f>
        <v/>
      </c>
      <c r="Q2656" s="39" t="n">
        <f aca="false">IF($B2656="",0,IFERROR(MATCH($B2656,COA_Mapping!$A$7:$A$256,0),0))</f>
        <v>0</v>
      </c>
      <c r="R2656" s="39" t="n">
        <f aca="false">IF($A2656="",-1,IF($J2656=Setup!$B$7,1,IF($J2656=Setup!$B$9,0,-1)))</f>
        <v>-1</v>
      </c>
      <c r="S2656" s="35" t="n">
        <f aca="false">IF(OR($A2656="",$Q2656=0,$R2656=-1),0,$Q2656*1000+$R2656*100+$K2656)</f>
        <v>0</v>
      </c>
      <c r="T2656" s="37" t="str">
        <f aca="false">IF($A2656="","",IF($B2656="","NO ACCOUNT",IF($Q2656=0,"UNMAPPED",IF($R2656=-1,"OUTSIDE FY RANGE","OK"))))</f>
        <v/>
      </c>
      <c r="U2656" s="40" t="str">
        <f aca="false">IF($A2656="","",$B2656&amp;"|"&amp;TEXT($A2656,"yyyymmdd")&amp;"|"&amp;TEXT($I2656,"0.00"))</f>
        <v/>
      </c>
      <c r="V2656" s="35" t="str">
        <f aca="false">IF($A2656="","",COUNTIF($U$8:$U$5007,$U2656))</f>
        <v/>
      </c>
    </row>
    <row r="2657" customFormat="false" ht="15" hidden="false" customHeight="false" outlineLevel="0" collapsed="false">
      <c r="A2657" s="31"/>
      <c r="B2657" s="32"/>
      <c r="C2657" s="32"/>
      <c r="D2657" s="32"/>
      <c r="E2657" s="32"/>
      <c r="F2657" s="32"/>
      <c r="G2657" s="33"/>
      <c r="H2657" s="33"/>
      <c r="I2657" s="34" t="str">
        <f aca="false">IF($A2657="","",$G2657-$H2657)</f>
        <v/>
      </c>
      <c r="J2657" s="35" t="str">
        <f aca="false">IF($A2657="","",IF(Setup!$B$6=1,YEAR($A2657),YEAR($A2657)+IF(MONTH($A2657)&gt;=Setup!$B$6,1,0)))</f>
        <v/>
      </c>
      <c r="K2657" s="35" t="str">
        <f aca="false">IF($A2657="","",MOD(MONTH($A2657)-Setup!$B$6+12,12)+1)</f>
        <v/>
      </c>
      <c r="L2657" s="36" t="str">
        <f aca="false">IF($A2657="","",TEXT($A2657,"MMM-YY"))</f>
        <v/>
      </c>
      <c r="M2657" s="37" t="str">
        <f aca="false">IF($A2657="","",IF($Q2657=0,"UNMAPPED",INDEX(COA_Mapping!$C$7:$C$256,$Q2657)))</f>
        <v/>
      </c>
      <c r="N2657" s="38" t="str">
        <f aca="false">IF($A2657="","",IF($Q2657=0,"",INDEX(COA_Mapping!$E$7:$E$256,$Q2657)))</f>
        <v/>
      </c>
      <c r="O2657" s="38" t="n">
        <f aca="false">IF($A2657="",1,IF($Q2657=0,1,INDEX(COA_Mapping!$F$7:$F$256,$Q2657)))</f>
        <v>1</v>
      </c>
      <c r="P2657" s="34" t="str">
        <f aca="false">IF($A2657="","",$I2657*$O2657)</f>
        <v/>
      </c>
      <c r="Q2657" s="39" t="n">
        <f aca="false">IF($B2657="",0,IFERROR(MATCH($B2657,COA_Mapping!$A$7:$A$256,0),0))</f>
        <v>0</v>
      </c>
      <c r="R2657" s="39" t="n">
        <f aca="false">IF($A2657="",-1,IF($J2657=Setup!$B$7,1,IF($J2657=Setup!$B$9,0,-1)))</f>
        <v>-1</v>
      </c>
      <c r="S2657" s="35" t="n">
        <f aca="false">IF(OR($A2657="",$Q2657=0,$R2657=-1),0,$Q2657*1000+$R2657*100+$K2657)</f>
        <v>0</v>
      </c>
      <c r="T2657" s="37" t="str">
        <f aca="false">IF($A2657="","",IF($B2657="","NO ACCOUNT",IF($Q2657=0,"UNMAPPED",IF($R2657=-1,"OUTSIDE FY RANGE","OK"))))</f>
        <v/>
      </c>
      <c r="U2657" s="40" t="str">
        <f aca="false">IF($A2657="","",$B2657&amp;"|"&amp;TEXT($A2657,"yyyymmdd")&amp;"|"&amp;TEXT($I2657,"0.00"))</f>
        <v/>
      </c>
      <c r="V2657" s="35" t="str">
        <f aca="false">IF($A2657="","",COUNTIF($U$8:$U$5007,$U2657))</f>
        <v/>
      </c>
    </row>
    <row r="2658" customFormat="false" ht="15" hidden="false" customHeight="false" outlineLevel="0" collapsed="false">
      <c r="A2658" s="31"/>
      <c r="B2658" s="32"/>
      <c r="C2658" s="32"/>
      <c r="D2658" s="32"/>
      <c r="E2658" s="32"/>
      <c r="F2658" s="32"/>
      <c r="G2658" s="33"/>
      <c r="H2658" s="33"/>
      <c r="I2658" s="34" t="str">
        <f aca="false">IF($A2658="","",$G2658-$H2658)</f>
        <v/>
      </c>
      <c r="J2658" s="35" t="str">
        <f aca="false">IF($A2658="","",IF(Setup!$B$6=1,YEAR($A2658),YEAR($A2658)+IF(MONTH($A2658)&gt;=Setup!$B$6,1,0)))</f>
        <v/>
      </c>
      <c r="K2658" s="35" t="str">
        <f aca="false">IF($A2658="","",MOD(MONTH($A2658)-Setup!$B$6+12,12)+1)</f>
        <v/>
      </c>
      <c r="L2658" s="36" t="str">
        <f aca="false">IF($A2658="","",TEXT($A2658,"MMM-YY"))</f>
        <v/>
      </c>
      <c r="M2658" s="37" t="str">
        <f aca="false">IF($A2658="","",IF($Q2658=0,"UNMAPPED",INDEX(COA_Mapping!$C$7:$C$256,$Q2658)))</f>
        <v/>
      </c>
      <c r="N2658" s="38" t="str">
        <f aca="false">IF($A2658="","",IF($Q2658=0,"",INDEX(COA_Mapping!$E$7:$E$256,$Q2658)))</f>
        <v/>
      </c>
      <c r="O2658" s="38" t="n">
        <f aca="false">IF($A2658="",1,IF($Q2658=0,1,INDEX(COA_Mapping!$F$7:$F$256,$Q2658)))</f>
        <v>1</v>
      </c>
      <c r="P2658" s="34" t="str">
        <f aca="false">IF($A2658="","",$I2658*$O2658)</f>
        <v/>
      </c>
      <c r="Q2658" s="39" t="n">
        <f aca="false">IF($B2658="",0,IFERROR(MATCH($B2658,COA_Mapping!$A$7:$A$256,0),0))</f>
        <v>0</v>
      </c>
      <c r="R2658" s="39" t="n">
        <f aca="false">IF($A2658="",-1,IF($J2658=Setup!$B$7,1,IF($J2658=Setup!$B$9,0,-1)))</f>
        <v>-1</v>
      </c>
      <c r="S2658" s="35" t="n">
        <f aca="false">IF(OR($A2658="",$Q2658=0,$R2658=-1),0,$Q2658*1000+$R2658*100+$K2658)</f>
        <v>0</v>
      </c>
      <c r="T2658" s="37" t="str">
        <f aca="false">IF($A2658="","",IF($B2658="","NO ACCOUNT",IF($Q2658=0,"UNMAPPED",IF($R2658=-1,"OUTSIDE FY RANGE","OK"))))</f>
        <v/>
      </c>
      <c r="U2658" s="40" t="str">
        <f aca="false">IF($A2658="","",$B2658&amp;"|"&amp;TEXT($A2658,"yyyymmdd")&amp;"|"&amp;TEXT($I2658,"0.00"))</f>
        <v/>
      </c>
      <c r="V2658" s="35" t="str">
        <f aca="false">IF($A2658="","",COUNTIF($U$8:$U$5007,$U2658))</f>
        <v/>
      </c>
    </row>
    <row r="2659" customFormat="false" ht="15" hidden="false" customHeight="false" outlineLevel="0" collapsed="false">
      <c r="A2659" s="31"/>
      <c r="B2659" s="32"/>
      <c r="C2659" s="32"/>
      <c r="D2659" s="32"/>
      <c r="E2659" s="32"/>
      <c r="F2659" s="32"/>
      <c r="G2659" s="33"/>
      <c r="H2659" s="33"/>
      <c r="I2659" s="34" t="str">
        <f aca="false">IF($A2659="","",$G2659-$H2659)</f>
        <v/>
      </c>
      <c r="J2659" s="35" t="str">
        <f aca="false">IF($A2659="","",IF(Setup!$B$6=1,YEAR($A2659),YEAR($A2659)+IF(MONTH($A2659)&gt;=Setup!$B$6,1,0)))</f>
        <v/>
      </c>
      <c r="K2659" s="35" t="str">
        <f aca="false">IF($A2659="","",MOD(MONTH($A2659)-Setup!$B$6+12,12)+1)</f>
        <v/>
      </c>
      <c r="L2659" s="36" t="str">
        <f aca="false">IF($A2659="","",TEXT($A2659,"MMM-YY"))</f>
        <v/>
      </c>
      <c r="M2659" s="37" t="str">
        <f aca="false">IF($A2659="","",IF($Q2659=0,"UNMAPPED",INDEX(COA_Mapping!$C$7:$C$256,$Q2659)))</f>
        <v/>
      </c>
      <c r="N2659" s="38" t="str">
        <f aca="false">IF($A2659="","",IF($Q2659=0,"",INDEX(COA_Mapping!$E$7:$E$256,$Q2659)))</f>
        <v/>
      </c>
      <c r="O2659" s="38" t="n">
        <f aca="false">IF($A2659="",1,IF($Q2659=0,1,INDEX(COA_Mapping!$F$7:$F$256,$Q2659)))</f>
        <v>1</v>
      </c>
      <c r="P2659" s="34" t="str">
        <f aca="false">IF($A2659="","",$I2659*$O2659)</f>
        <v/>
      </c>
      <c r="Q2659" s="39" t="n">
        <f aca="false">IF($B2659="",0,IFERROR(MATCH($B2659,COA_Mapping!$A$7:$A$256,0),0))</f>
        <v>0</v>
      </c>
      <c r="R2659" s="39" t="n">
        <f aca="false">IF($A2659="",-1,IF($J2659=Setup!$B$7,1,IF($J2659=Setup!$B$9,0,-1)))</f>
        <v>-1</v>
      </c>
      <c r="S2659" s="35" t="n">
        <f aca="false">IF(OR($A2659="",$Q2659=0,$R2659=-1),0,$Q2659*1000+$R2659*100+$K2659)</f>
        <v>0</v>
      </c>
      <c r="T2659" s="37" t="str">
        <f aca="false">IF($A2659="","",IF($B2659="","NO ACCOUNT",IF($Q2659=0,"UNMAPPED",IF($R2659=-1,"OUTSIDE FY RANGE","OK"))))</f>
        <v/>
      </c>
      <c r="U2659" s="40" t="str">
        <f aca="false">IF($A2659="","",$B2659&amp;"|"&amp;TEXT($A2659,"yyyymmdd")&amp;"|"&amp;TEXT($I2659,"0.00"))</f>
        <v/>
      </c>
      <c r="V2659" s="35" t="str">
        <f aca="false">IF($A2659="","",COUNTIF($U$8:$U$5007,$U2659))</f>
        <v/>
      </c>
    </row>
    <row r="2660" customFormat="false" ht="15" hidden="false" customHeight="false" outlineLevel="0" collapsed="false">
      <c r="A2660" s="31"/>
      <c r="B2660" s="32"/>
      <c r="C2660" s="32"/>
      <c r="D2660" s="32"/>
      <c r="E2660" s="32"/>
      <c r="F2660" s="32"/>
      <c r="G2660" s="33"/>
      <c r="H2660" s="33"/>
      <c r="I2660" s="34" t="str">
        <f aca="false">IF($A2660="","",$G2660-$H2660)</f>
        <v/>
      </c>
      <c r="J2660" s="35" t="str">
        <f aca="false">IF($A2660="","",IF(Setup!$B$6=1,YEAR($A2660),YEAR($A2660)+IF(MONTH($A2660)&gt;=Setup!$B$6,1,0)))</f>
        <v/>
      </c>
      <c r="K2660" s="35" t="str">
        <f aca="false">IF($A2660="","",MOD(MONTH($A2660)-Setup!$B$6+12,12)+1)</f>
        <v/>
      </c>
      <c r="L2660" s="36" t="str">
        <f aca="false">IF($A2660="","",TEXT($A2660,"MMM-YY"))</f>
        <v/>
      </c>
      <c r="M2660" s="37" t="str">
        <f aca="false">IF($A2660="","",IF($Q2660=0,"UNMAPPED",INDEX(COA_Mapping!$C$7:$C$256,$Q2660)))</f>
        <v/>
      </c>
      <c r="N2660" s="38" t="str">
        <f aca="false">IF($A2660="","",IF($Q2660=0,"",INDEX(COA_Mapping!$E$7:$E$256,$Q2660)))</f>
        <v/>
      </c>
      <c r="O2660" s="38" t="n">
        <f aca="false">IF($A2660="",1,IF($Q2660=0,1,INDEX(COA_Mapping!$F$7:$F$256,$Q2660)))</f>
        <v>1</v>
      </c>
      <c r="P2660" s="34" t="str">
        <f aca="false">IF($A2660="","",$I2660*$O2660)</f>
        <v/>
      </c>
      <c r="Q2660" s="39" t="n">
        <f aca="false">IF($B2660="",0,IFERROR(MATCH($B2660,COA_Mapping!$A$7:$A$256,0),0))</f>
        <v>0</v>
      </c>
      <c r="R2660" s="39" t="n">
        <f aca="false">IF($A2660="",-1,IF($J2660=Setup!$B$7,1,IF($J2660=Setup!$B$9,0,-1)))</f>
        <v>-1</v>
      </c>
      <c r="S2660" s="35" t="n">
        <f aca="false">IF(OR($A2660="",$Q2660=0,$R2660=-1),0,$Q2660*1000+$R2660*100+$K2660)</f>
        <v>0</v>
      </c>
      <c r="T2660" s="37" t="str">
        <f aca="false">IF($A2660="","",IF($B2660="","NO ACCOUNT",IF($Q2660=0,"UNMAPPED",IF($R2660=-1,"OUTSIDE FY RANGE","OK"))))</f>
        <v/>
      </c>
      <c r="U2660" s="40" t="str">
        <f aca="false">IF($A2660="","",$B2660&amp;"|"&amp;TEXT($A2660,"yyyymmdd")&amp;"|"&amp;TEXT($I2660,"0.00"))</f>
        <v/>
      </c>
      <c r="V2660" s="35" t="str">
        <f aca="false">IF($A2660="","",COUNTIF($U$8:$U$5007,$U2660))</f>
        <v/>
      </c>
    </row>
    <row r="2661" customFormat="false" ht="15" hidden="false" customHeight="false" outlineLevel="0" collapsed="false">
      <c r="A2661" s="31"/>
      <c r="B2661" s="32"/>
      <c r="C2661" s="32"/>
      <c r="D2661" s="32"/>
      <c r="E2661" s="32"/>
      <c r="F2661" s="32"/>
      <c r="G2661" s="33"/>
      <c r="H2661" s="33"/>
      <c r="I2661" s="34" t="str">
        <f aca="false">IF($A2661="","",$G2661-$H2661)</f>
        <v/>
      </c>
      <c r="J2661" s="35" t="str">
        <f aca="false">IF($A2661="","",IF(Setup!$B$6=1,YEAR($A2661),YEAR($A2661)+IF(MONTH($A2661)&gt;=Setup!$B$6,1,0)))</f>
        <v/>
      </c>
      <c r="K2661" s="35" t="str">
        <f aca="false">IF($A2661="","",MOD(MONTH($A2661)-Setup!$B$6+12,12)+1)</f>
        <v/>
      </c>
      <c r="L2661" s="36" t="str">
        <f aca="false">IF($A2661="","",TEXT($A2661,"MMM-YY"))</f>
        <v/>
      </c>
      <c r="M2661" s="37" t="str">
        <f aca="false">IF($A2661="","",IF($Q2661=0,"UNMAPPED",INDEX(COA_Mapping!$C$7:$C$256,$Q2661)))</f>
        <v/>
      </c>
      <c r="N2661" s="38" t="str">
        <f aca="false">IF($A2661="","",IF($Q2661=0,"",INDEX(COA_Mapping!$E$7:$E$256,$Q2661)))</f>
        <v/>
      </c>
      <c r="O2661" s="38" t="n">
        <f aca="false">IF($A2661="",1,IF($Q2661=0,1,INDEX(COA_Mapping!$F$7:$F$256,$Q2661)))</f>
        <v>1</v>
      </c>
      <c r="P2661" s="34" t="str">
        <f aca="false">IF($A2661="","",$I2661*$O2661)</f>
        <v/>
      </c>
      <c r="Q2661" s="39" t="n">
        <f aca="false">IF($B2661="",0,IFERROR(MATCH($B2661,COA_Mapping!$A$7:$A$256,0),0))</f>
        <v>0</v>
      </c>
      <c r="R2661" s="39" t="n">
        <f aca="false">IF($A2661="",-1,IF($J2661=Setup!$B$7,1,IF($J2661=Setup!$B$9,0,-1)))</f>
        <v>-1</v>
      </c>
      <c r="S2661" s="35" t="n">
        <f aca="false">IF(OR($A2661="",$Q2661=0,$R2661=-1),0,$Q2661*1000+$R2661*100+$K2661)</f>
        <v>0</v>
      </c>
      <c r="T2661" s="37" t="str">
        <f aca="false">IF($A2661="","",IF($B2661="","NO ACCOUNT",IF($Q2661=0,"UNMAPPED",IF($R2661=-1,"OUTSIDE FY RANGE","OK"))))</f>
        <v/>
      </c>
      <c r="U2661" s="40" t="str">
        <f aca="false">IF($A2661="","",$B2661&amp;"|"&amp;TEXT($A2661,"yyyymmdd")&amp;"|"&amp;TEXT($I2661,"0.00"))</f>
        <v/>
      </c>
      <c r="V2661" s="35" t="str">
        <f aca="false">IF($A2661="","",COUNTIF($U$8:$U$5007,$U2661))</f>
        <v/>
      </c>
    </row>
    <row r="2662" customFormat="false" ht="15" hidden="false" customHeight="false" outlineLevel="0" collapsed="false">
      <c r="A2662" s="31"/>
      <c r="B2662" s="32"/>
      <c r="C2662" s="32"/>
      <c r="D2662" s="32"/>
      <c r="E2662" s="32"/>
      <c r="F2662" s="32"/>
      <c r="G2662" s="33"/>
      <c r="H2662" s="33"/>
      <c r="I2662" s="34" t="str">
        <f aca="false">IF($A2662="","",$G2662-$H2662)</f>
        <v/>
      </c>
      <c r="J2662" s="35" t="str">
        <f aca="false">IF($A2662="","",IF(Setup!$B$6=1,YEAR($A2662),YEAR($A2662)+IF(MONTH($A2662)&gt;=Setup!$B$6,1,0)))</f>
        <v/>
      </c>
      <c r="K2662" s="35" t="str">
        <f aca="false">IF($A2662="","",MOD(MONTH($A2662)-Setup!$B$6+12,12)+1)</f>
        <v/>
      </c>
      <c r="L2662" s="36" t="str">
        <f aca="false">IF($A2662="","",TEXT($A2662,"MMM-YY"))</f>
        <v/>
      </c>
      <c r="M2662" s="37" t="str">
        <f aca="false">IF($A2662="","",IF($Q2662=0,"UNMAPPED",INDEX(COA_Mapping!$C$7:$C$256,$Q2662)))</f>
        <v/>
      </c>
      <c r="N2662" s="38" t="str">
        <f aca="false">IF($A2662="","",IF($Q2662=0,"",INDEX(COA_Mapping!$E$7:$E$256,$Q2662)))</f>
        <v/>
      </c>
      <c r="O2662" s="38" t="n">
        <f aca="false">IF($A2662="",1,IF($Q2662=0,1,INDEX(COA_Mapping!$F$7:$F$256,$Q2662)))</f>
        <v>1</v>
      </c>
      <c r="P2662" s="34" t="str">
        <f aca="false">IF($A2662="","",$I2662*$O2662)</f>
        <v/>
      </c>
      <c r="Q2662" s="39" t="n">
        <f aca="false">IF($B2662="",0,IFERROR(MATCH($B2662,COA_Mapping!$A$7:$A$256,0),0))</f>
        <v>0</v>
      </c>
      <c r="R2662" s="39" t="n">
        <f aca="false">IF($A2662="",-1,IF($J2662=Setup!$B$7,1,IF($J2662=Setup!$B$9,0,-1)))</f>
        <v>-1</v>
      </c>
      <c r="S2662" s="35" t="n">
        <f aca="false">IF(OR($A2662="",$Q2662=0,$R2662=-1),0,$Q2662*1000+$R2662*100+$K2662)</f>
        <v>0</v>
      </c>
      <c r="T2662" s="37" t="str">
        <f aca="false">IF($A2662="","",IF($B2662="","NO ACCOUNT",IF($Q2662=0,"UNMAPPED",IF($R2662=-1,"OUTSIDE FY RANGE","OK"))))</f>
        <v/>
      </c>
      <c r="U2662" s="40" t="str">
        <f aca="false">IF($A2662="","",$B2662&amp;"|"&amp;TEXT($A2662,"yyyymmdd")&amp;"|"&amp;TEXT($I2662,"0.00"))</f>
        <v/>
      </c>
      <c r="V2662" s="35" t="str">
        <f aca="false">IF($A2662="","",COUNTIF($U$8:$U$5007,$U2662))</f>
        <v/>
      </c>
    </row>
    <row r="2663" customFormat="false" ht="15" hidden="false" customHeight="false" outlineLevel="0" collapsed="false">
      <c r="A2663" s="31"/>
      <c r="B2663" s="32"/>
      <c r="C2663" s="32"/>
      <c r="D2663" s="32"/>
      <c r="E2663" s="32"/>
      <c r="F2663" s="32"/>
      <c r="G2663" s="33"/>
      <c r="H2663" s="33"/>
      <c r="I2663" s="34" t="str">
        <f aca="false">IF($A2663="","",$G2663-$H2663)</f>
        <v/>
      </c>
      <c r="J2663" s="35" t="str">
        <f aca="false">IF($A2663="","",IF(Setup!$B$6=1,YEAR($A2663),YEAR($A2663)+IF(MONTH($A2663)&gt;=Setup!$B$6,1,0)))</f>
        <v/>
      </c>
      <c r="K2663" s="35" t="str">
        <f aca="false">IF($A2663="","",MOD(MONTH($A2663)-Setup!$B$6+12,12)+1)</f>
        <v/>
      </c>
      <c r="L2663" s="36" t="str">
        <f aca="false">IF($A2663="","",TEXT($A2663,"MMM-YY"))</f>
        <v/>
      </c>
      <c r="M2663" s="37" t="str">
        <f aca="false">IF($A2663="","",IF($Q2663=0,"UNMAPPED",INDEX(COA_Mapping!$C$7:$C$256,$Q2663)))</f>
        <v/>
      </c>
      <c r="N2663" s="38" t="str">
        <f aca="false">IF($A2663="","",IF($Q2663=0,"",INDEX(COA_Mapping!$E$7:$E$256,$Q2663)))</f>
        <v/>
      </c>
      <c r="O2663" s="38" t="n">
        <f aca="false">IF($A2663="",1,IF($Q2663=0,1,INDEX(COA_Mapping!$F$7:$F$256,$Q2663)))</f>
        <v>1</v>
      </c>
      <c r="P2663" s="34" t="str">
        <f aca="false">IF($A2663="","",$I2663*$O2663)</f>
        <v/>
      </c>
      <c r="Q2663" s="39" t="n">
        <f aca="false">IF($B2663="",0,IFERROR(MATCH($B2663,COA_Mapping!$A$7:$A$256,0),0))</f>
        <v>0</v>
      </c>
      <c r="R2663" s="39" t="n">
        <f aca="false">IF($A2663="",-1,IF($J2663=Setup!$B$7,1,IF($J2663=Setup!$B$9,0,-1)))</f>
        <v>-1</v>
      </c>
      <c r="S2663" s="35" t="n">
        <f aca="false">IF(OR($A2663="",$Q2663=0,$R2663=-1),0,$Q2663*1000+$R2663*100+$K2663)</f>
        <v>0</v>
      </c>
      <c r="T2663" s="37" t="str">
        <f aca="false">IF($A2663="","",IF($B2663="","NO ACCOUNT",IF($Q2663=0,"UNMAPPED",IF($R2663=-1,"OUTSIDE FY RANGE","OK"))))</f>
        <v/>
      </c>
      <c r="U2663" s="40" t="str">
        <f aca="false">IF($A2663="","",$B2663&amp;"|"&amp;TEXT($A2663,"yyyymmdd")&amp;"|"&amp;TEXT($I2663,"0.00"))</f>
        <v/>
      </c>
      <c r="V2663" s="35" t="str">
        <f aca="false">IF($A2663="","",COUNTIF($U$8:$U$5007,$U2663))</f>
        <v/>
      </c>
    </row>
    <row r="2664" customFormat="false" ht="15" hidden="false" customHeight="false" outlineLevel="0" collapsed="false">
      <c r="A2664" s="31"/>
      <c r="B2664" s="32"/>
      <c r="C2664" s="32"/>
      <c r="D2664" s="32"/>
      <c r="E2664" s="32"/>
      <c r="F2664" s="32"/>
      <c r="G2664" s="33"/>
      <c r="H2664" s="33"/>
      <c r="I2664" s="34" t="str">
        <f aca="false">IF($A2664="","",$G2664-$H2664)</f>
        <v/>
      </c>
      <c r="J2664" s="35" t="str">
        <f aca="false">IF($A2664="","",IF(Setup!$B$6=1,YEAR($A2664),YEAR($A2664)+IF(MONTH($A2664)&gt;=Setup!$B$6,1,0)))</f>
        <v/>
      </c>
      <c r="K2664" s="35" t="str">
        <f aca="false">IF($A2664="","",MOD(MONTH($A2664)-Setup!$B$6+12,12)+1)</f>
        <v/>
      </c>
      <c r="L2664" s="36" t="str">
        <f aca="false">IF($A2664="","",TEXT($A2664,"MMM-YY"))</f>
        <v/>
      </c>
      <c r="M2664" s="37" t="str">
        <f aca="false">IF($A2664="","",IF($Q2664=0,"UNMAPPED",INDEX(COA_Mapping!$C$7:$C$256,$Q2664)))</f>
        <v/>
      </c>
      <c r="N2664" s="38" t="str">
        <f aca="false">IF($A2664="","",IF($Q2664=0,"",INDEX(COA_Mapping!$E$7:$E$256,$Q2664)))</f>
        <v/>
      </c>
      <c r="O2664" s="38" t="n">
        <f aca="false">IF($A2664="",1,IF($Q2664=0,1,INDEX(COA_Mapping!$F$7:$F$256,$Q2664)))</f>
        <v>1</v>
      </c>
      <c r="P2664" s="34" t="str">
        <f aca="false">IF($A2664="","",$I2664*$O2664)</f>
        <v/>
      </c>
      <c r="Q2664" s="39" t="n">
        <f aca="false">IF($B2664="",0,IFERROR(MATCH($B2664,COA_Mapping!$A$7:$A$256,0),0))</f>
        <v>0</v>
      </c>
      <c r="R2664" s="39" t="n">
        <f aca="false">IF($A2664="",-1,IF($J2664=Setup!$B$7,1,IF($J2664=Setup!$B$9,0,-1)))</f>
        <v>-1</v>
      </c>
      <c r="S2664" s="35" t="n">
        <f aca="false">IF(OR($A2664="",$Q2664=0,$R2664=-1),0,$Q2664*1000+$R2664*100+$K2664)</f>
        <v>0</v>
      </c>
      <c r="T2664" s="37" t="str">
        <f aca="false">IF($A2664="","",IF($B2664="","NO ACCOUNT",IF($Q2664=0,"UNMAPPED",IF($R2664=-1,"OUTSIDE FY RANGE","OK"))))</f>
        <v/>
      </c>
      <c r="U2664" s="40" t="str">
        <f aca="false">IF($A2664="","",$B2664&amp;"|"&amp;TEXT($A2664,"yyyymmdd")&amp;"|"&amp;TEXT($I2664,"0.00"))</f>
        <v/>
      </c>
      <c r="V2664" s="35" t="str">
        <f aca="false">IF($A2664="","",COUNTIF($U$8:$U$5007,$U2664))</f>
        <v/>
      </c>
    </row>
    <row r="2665" customFormat="false" ht="15" hidden="false" customHeight="false" outlineLevel="0" collapsed="false">
      <c r="A2665" s="31"/>
      <c r="B2665" s="32"/>
      <c r="C2665" s="32"/>
      <c r="D2665" s="32"/>
      <c r="E2665" s="32"/>
      <c r="F2665" s="32"/>
      <c r="G2665" s="33"/>
      <c r="H2665" s="33"/>
      <c r="I2665" s="34" t="str">
        <f aca="false">IF($A2665="","",$G2665-$H2665)</f>
        <v/>
      </c>
      <c r="J2665" s="35" t="str">
        <f aca="false">IF($A2665="","",IF(Setup!$B$6=1,YEAR($A2665),YEAR($A2665)+IF(MONTH($A2665)&gt;=Setup!$B$6,1,0)))</f>
        <v/>
      </c>
      <c r="K2665" s="35" t="str">
        <f aca="false">IF($A2665="","",MOD(MONTH($A2665)-Setup!$B$6+12,12)+1)</f>
        <v/>
      </c>
      <c r="L2665" s="36" t="str">
        <f aca="false">IF($A2665="","",TEXT($A2665,"MMM-YY"))</f>
        <v/>
      </c>
      <c r="M2665" s="37" t="str">
        <f aca="false">IF($A2665="","",IF($Q2665=0,"UNMAPPED",INDEX(COA_Mapping!$C$7:$C$256,$Q2665)))</f>
        <v/>
      </c>
      <c r="N2665" s="38" t="str">
        <f aca="false">IF($A2665="","",IF($Q2665=0,"",INDEX(COA_Mapping!$E$7:$E$256,$Q2665)))</f>
        <v/>
      </c>
      <c r="O2665" s="38" t="n">
        <f aca="false">IF($A2665="",1,IF($Q2665=0,1,INDEX(COA_Mapping!$F$7:$F$256,$Q2665)))</f>
        <v>1</v>
      </c>
      <c r="P2665" s="34" t="str">
        <f aca="false">IF($A2665="","",$I2665*$O2665)</f>
        <v/>
      </c>
      <c r="Q2665" s="39" t="n">
        <f aca="false">IF($B2665="",0,IFERROR(MATCH($B2665,COA_Mapping!$A$7:$A$256,0),0))</f>
        <v>0</v>
      </c>
      <c r="R2665" s="39" t="n">
        <f aca="false">IF($A2665="",-1,IF($J2665=Setup!$B$7,1,IF($J2665=Setup!$B$9,0,-1)))</f>
        <v>-1</v>
      </c>
      <c r="S2665" s="35" t="n">
        <f aca="false">IF(OR($A2665="",$Q2665=0,$R2665=-1),0,$Q2665*1000+$R2665*100+$K2665)</f>
        <v>0</v>
      </c>
      <c r="T2665" s="37" t="str">
        <f aca="false">IF($A2665="","",IF($B2665="","NO ACCOUNT",IF($Q2665=0,"UNMAPPED",IF($R2665=-1,"OUTSIDE FY RANGE","OK"))))</f>
        <v/>
      </c>
      <c r="U2665" s="40" t="str">
        <f aca="false">IF($A2665="","",$B2665&amp;"|"&amp;TEXT($A2665,"yyyymmdd")&amp;"|"&amp;TEXT($I2665,"0.00"))</f>
        <v/>
      </c>
      <c r="V2665" s="35" t="str">
        <f aca="false">IF($A2665="","",COUNTIF($U$8:$U$5007,$U2665))</f>
        <v/>
      </c>
    </row>
    <row r="2666" customFormat="false" ht="15" hidden="false" customHeight="false" outlineLevel="0" collapsed="false">
      <c r="A2666" s="31"/>
      <c r="B2666" s="32"/>
      <c r="C2666" s="32"/>
      <c r="D2666" s="32"/>
      <c r="E2666" s="32"/>
      <c r="F2666" s="32"/>
      <c r="G2666" s="33"/>
      <c r="H2666" s="33"/>
      <c r="I2666" s="34" t="str">
        <f aca="false">IF($A2666="","",$G2666-$H2666)</f>
        <v/>
      </c>
      <c r="J2666" s="35" t="str">
        <f aca="false">IF($A2666="","",IF(Setup!$B$6=1,YEAR($A2666),YEAR($A2666)+IF(MONTH($A2666)&gt;=Setup!$B$6,1,0)))</f>
        <v/>
      </c>
      <c r="K2666" s="35" t="str">
        <f aca="false">IF($A2666="","",MOD(MONTH($A2666)-Setup!$B$6+12,12)+1)</f>
        <v/>
      </c>
      <c r="L2666" s="36" t="str">
        <f aca="false">IF($A2666="","",TEXT($A2666,"MMM-YY"))</f>
        <v/>
      </c>
      <c r="M2666" s="37" t="str">
        <f aca="false">IF($A2666="","",IF($Q2666=0,"UNMAPPED",INDEX(COA_Mapping!$C$7:$C$256,$Q2666)))</f>
        <v/>
      </c>
      <c r="N2666" s="38" t="str">
        <f aca="false">IF($A2666="","",IF($Q2666=0,"",INDEX(COA_Mapping!$E$7:$E$256,$Q2666)))</f>
        <v/>
      </c>
      <c r="O2666" s="38" t="n">
        <f aca="false">IF($A2666="",1,IF($Q2666=0,1,INDEX(COA_Mapping!$F$7:$F$256,$Q2666)))</f>
        <v>1</v>
      </c>
      <c r="P2666" s="34" t="str">
        <f aca="false">IF($A2666="","",$I2666*$O2666)</f>
        <v/>
      </c>
      <c r="Q2666" s="39" t="n">
        <f aca="false">IF($B2666="",0,IFERROR(MATCH($B2666,COA_Mapping!$A$7:$A$256,0),0))</f>
        <v>0</v>
      </c>
      <c r="R2666" s="39" t="n">
        <f aca="false">IF($A2666="",-1,IF($J2666=Setup!$B$7,1,IF($J2666=Setup!$B$9,0,-1)))</f>
        <v>-1</v>
      </c>
      <c r="S2666" s="35" t="n">
        <f aca="false">IF(OR($A2666="",$Q2666=0,$R2666=-1),0,$Q2666*1000+$R2666*100+$K2666)</f>
        <v>0</v>
      </c>
      <c r="T2666" s="37" t="str">
        <f aca="false">IF($A2666="","",IF($B2666="","NO ACCOUNT",IF($Q2666=0,"UNMAPPED",IF($R2666=-1,"OUTSIDE FY RANGE","OK"))))</f>
        <v/>
      </c>
      <c r="U2666" s="40" t="str">
        <f aca="false">IF($A2666="","",$B2666&amp;"|"&amp;TEXT($A2666,"yyyymmdd")&amp;"|"&amp;TEXT($I2666,"0.00"))</f>
        <v/>
      </c>
      <c r="V2666" s="35" t="str">
        <f aca="false">IF($A2666="","",COUNTIF($U$8:$U$5007,$U2666))</f>
        <v/>
      </c>
    </row>
    <row r="2667" customFormat="false" ht="15" hidden="false" customHeight="false" outlineLevel="0" collapsed="false">
      <c r="A2667" s="31"/>
      <c r="B2667" s="32"/>
      <c r="C2667" s="32"/>
      <c r="D2667" s="32"/>
      <c r="E2667" s="32"/>
      <c r="F2667" s="32"/>
      <c r="G2667" s="33"/>
      <c r="H2667" s="33"/>
      <c r="I2667" s="34" t="str">
        <f aca="false">IF($A2667="","",$G2667-$H2667)</f>
        <v/>
      </c>
      <c r="J2667" s="35" t="str">
        <f aca="false">IF($A2667="","",IF(Setup!$B$6=1,YEAR($A2667),YEAR($A2667)+IF(MONTH($A2667)&gt;=Setup!$B$6,1,0)))</f>
        <v/>
      </c>
      <c r="K2667" s="35" t="str">
        <f aca="false">IF($A2667="","",MOD(MONTH($A2667)-Setup!$B$6+12,12)+1)</f>
        <v/>
      </c>
      <c r="L2667" s="36" t="str">
        <f aca="false">IF($A2667="","",TEXT($A2667,"MMM-YY"))</f>
        <v/>
      </c>
      <c r="M2667" s="37" t="str">
        <f aca="false">IF($A2667="","",IF($Q2667=0,"UNMAPPED",INDEX(COA_Mapping!$C$7:$C$256,$Q2667)))</f>
        <v/>
      </c>
      <c r="N2667" s="38" t="str">
        <f aca="false">IF($A2667="","",IF($Q2667=0,"",INDEX(COA_Mapping!$E$7:$E$256,$Q2667)))</f>
        <v/>
      </c>
      <c r="O2667" s="38" t="n">
        <f aca="false">IF($A2667="",1,IF($Q2667=0,1,INDEX(COA_Mapping!$F$7:$F$256,$Q2667)))</f>
        <v>1</v>
      </c>
      <c r="P2667" s="34" t="str">
        <f aca="false">IF($A2667="","",$I2667*$O2667)</f>
        <v/>
      </c>
      <c r="Q2667" s="39" t="n">
        <f aca="false">IF($B2667="",0,IFERROR(MATCH($B2667,COA_Mapping!$A$7:$A$256,0),0))</f>
        <v>0</v>
      </c>
      <c r="R2667" s="39" t="n">
        <f aca="false">IF($A2667="",-1,IF($J2667=Setup!$B$7,1,IF($J2667=Setup!$B$9,0,-1)))</f>
        <v>-1</v>
      </c>
      <c r="S2667" s="35" t="n">
        <f aca="false">IF(OR($A2667="",$Q2667=0,$R2667=-1),0,$Q2667*1000+$R2667*100+$K2667)</f>
        <v>0</v>
      </c>
      <c r="T2667" s="37" t="str">
        <f aca="false">IF($A2667="","",IF($B2667="","NO ACCOUNT",IF($Q2667=0,"UNMAPPED",IF($R2667=-1,"OUTSIDE FY RANGE","OK"))))</f>
        <v/>
      </c>
      <c r="U2667" s="40" t="str">
        <f aca="false">IF($A2667="","",$B2667&amp;"|"&amp;TEXT($A2667,"yyyymmdd")&amp;"|"&amp;TEXT($I2667,"0.00"))</f>
        <v/>
      </c>
      <c r="V2667" s="35" t="str">
        <f aca="false">IF($A2667="","",COUNTIF($U$8:$U$5007,$U2667))</f>
        <v/>
      </c>
    </row>
    <row r="2668" customFormat="false" ht="15" hidden="false" customHeight="false" outlineLevel="0" collapsed="false">
      <c r="A2668" s="31"/>
      <c r="B2668" s="32"/>
      <c r="C2668" s="32"/>
      <c r="D2668" s="32"/>
      <c r="E2668" s="32"/>
      <c r="F2668" s="32"/>
      <c r="G2668" s="33"/>
      <c r="H2668" s="33"/>
      <c r="I2668" s="34" t="str">
        <f aca="false">IF($A2668="","",$G2668-$H2668)</f>
        <v/>
      </c>
      <c r="J2668" s="35" t="str">
        <f aca="false">IF($A2668="","",IF(Setup!$B$6=1,YEAR($A2668),YEAR($A2668)+IF(MONTH($A2668)&gt;=Setup!$B$6,1,0)))</f>
        <v/>
      </c>
      <c r="K2668" s="35" t="str">
        <f aca="false">IF($A2668="","",MOD(MONTH($A2668)-Setup!$B$6+12,12)+1)</f>
        <v/>
      </c>
      <c r="L2668" s="36" t="str">
        <f aca="false">IF($A2668="","",TEXT($A2668,"MMM-YY"))</f>
        <v/>
      </c>
      <c r="M2668" s="37" t="str">
        <f aca="false">IF($A2668="","",IF($Q2668=0,"UNMAPPED",INDEX(COA_Mapping!$C$7:$C$256,$Q2668)))</f>
        <v/>
      </c>
      <c r="N2668" s="38" t="str">
        <f aca="false">IF($A2668="","",IF($Q2668=0,"",INDEX(COA_Mapping!$E$7:$E$256,$Q2668)))</f>
        <v/>
      </c>
      <c r="O2668" s="38" t="n">
        <f aca="false">IF($A2668="",1,IF($Q2668=0,1,INDEX(COA_Mapping!$F$7:$F$256,$Q2668)))</f>
        <v>1</v>
      </c>
      <c r="P2668" s="34" t="str">
        <f aca="false">IF($A2668="","",$I2668*$O2668)</f>
        <v/>
      </c>
      <c r="Q2668" s="39" t="n">
        <f aca="false">IF($B2668="",0,IFERROR(MATCH($B2668,COA_Mapping!$A$7:$A$256,0),0))</f>
        <v>0</v>
      </c>
      <c r="R2668" s="39" t="n">
        <f aca="false">IF($A2668="",-1,IF($J2668=Setup!$B$7,1,IF($J2668=Setup!$B$9,0,-1)))</f>
        <v>-1</v>
      </c>
      <c r="S2668" s="35" t="n">
        <f aca="false">IF(OR($A2668="",$Q2668=0,$R2668=-1),0,$Q2668*1000+$R2668*100+$K2668)</f>
        <v>0</v>
      </c>
      <c r="T2668" s="37" t="str">
        <f aca="false">IF($A2668="","",IF($B2668="","NO ACCOUNT",IF($Q2668=0,"UNMAPPED",IF($R2668=-1,"OUTSIDE FY RANGE","OK"))))</f>
        <v/>
      </c>
      <c r="U2668" s="40" t="str">
        <f aca="false">IF($A2668="","",$B2668&amp;"|"&amp;TEXT($A2668,"yyyymmdd")&amp;"|"&amp;TEXT($I2668,"0.00"))</f>
        <v/>
      </c>
      <c r="V2668" s="35" t="str">
        <f aca="false">IF($A2668="","",COUNTIF($U$8:$U$5007,$U2668))</f>
        <v/>
      </c>
    </row>
    <row r="2669" customFormat="false" ht="15" hidden="false" customHeight="false" outlineLevel="0" collapsed="false">
      <c r="A2669" s="31"/>
      <c r="B2669" s="32"/>
      <c r="C2669" s="32"/>
      <c r="D2669" s="32"/>
      <c r="E2669" s="32"/>
      <c r="F2669" s="32"/>
      <c r="G2669" s="33"/>
      <c r="H2669" s="33"/>
      <c r="I2669" s="34" t="str">
        <f aca="false">IF($A2669="","",$G2669-$H2669)</f>
        <v/>
      </c>
      <c r="J2669" s="35" t="str">
        <f aca="false">IF($A2669="","",IF(Setup!$B$6=1,YEAR($A2669),YEAR($A2669)+IF(MONTH($A2669)&gt;=Setup!$B$6,1,0)))</f>
        <v/>
      </c>
      <c r="K2669" s="35" t="str">
        <f aca="false">IF($A2669="","",MOD(MONTH($A2669)-Setup!$B$6+12,12)+1)</f>
        <v/>
      </c>
      <c r="L2669" s="36" t="str">
        <f aca="false">IF($A2669="","",TEXT($A2669,"MMM-YY"))</f>
        <v/>
      </c>
      <c r="M2669" s="37" t="str">
        <f aca="false">IF($A2669="","",IF($Q2669=0,"UNMAPPED",INDEX(COA_Mapping!$C$7:$C$256,$Q2669)))</f>
        <v/>
      </c>
      <c r="N2669" s="38" t="str">
        <f aca="false">IF($A2669="","",IF($Q2669=0,"",INDEX(COA_Mapping!$E$7:$E$256,$Q2669)))</f>
        <v/>
      </c>
      <c r="O2669" s="38" t="n">
        <f aca="false">IF($A2669="",1,IF($Q2669=0,1,INDEX(COA_Mapping!$F$7:$F$256,$Q2669)))</f>
        <v>1</v>
      </c>
      <c r="P2669" s="34" t="str">
        <f aca="false">IF($A2669="","",$I2669*$O2669)</f>
        <v/>
      </c>
      <c r="Q2669" s="39" t="n">
        <f aca="false">IF($B2669="",0,IFERROR(MATCH($B2669,COA_Mapping!$A$7:$A$256,0),0))</f>
        <v>0</v>
      </c>
      <c r="R2669" s="39" t="n">
        <f aca="false">IF($A2669="",-1,IF($J2669=Setup!$B$7,1,IF($J2669=Setup!$B$9,0,-1)))</f>
        <v>-1</v>
      </c>
      <c r="S2669" s="35" t="n">
        <f aca="false">IF(OR($A2669="",$Q2669=0,$R2669=-1),0,$Q2669*1000+$R2669*100+$K2669)</f>
        <v>0</v>
      </c>
      <c r="T2669" s="37" t="str">
        <f aca="false">IF($A2669="","",IF($B2669="","NO ACCOUNT",IF($Q2669=0,"UNMAPPED",IF($R2669=-1,"OUTSIDE FY RANGE","OK"))))</f>
        <v/>
      </c>
      <c r="U2669" s="40" t="str">
        <f aca="false">IF($A2669="","",$B2669&amp;"|"&amp;TEXT($A2669,"yyyymmdd")&amp;"|"&amp;TEXT($I2669,"0.00"))</f>
        <v/>
      </c>
      <c r="V2669" s="35" t="str">
        <f aca="false">IF($A2669="","",COUNTIF($U$8:$U$5007,$U2669))</f>
        <v/>
      </c>
    </row>
    <row r="2670" customFormat="false" ht="15" hidden="false" customHeight="false" outlineLevel="0" collapsed="false">
      <c r="A2670" s="31"/>
      <c r="B2670" s="32"/>
      <c r="C2670" s="32"/>
      <c r="D2670" s="32"/>
      <c r="E2670" s="32"/>
      <c r="F2670" s="32"/>
      <c r="G2670" s="33"/>
      <c r="H2670" s="33"/>
      <c r="I2670" s="34" t="str">
        <f aca="false">IF($A2670="","",$G2670-$H2670)</f>
        <v/>
      </c>
      <c r="J2670" s="35" t="str">
        <f aca="false">IF($A2670="","",IF(Setup!$B$6=1,YEAR($A2670),YEAR($A2670)+IF(MONTH($A2670)&gt;=Setup!$B$6,1,0)))</f>
        <v/>
      </c>
      <c r="K2670" s="35" t="str">
        <f aca="false">IF($A2670="","",MOD(MONTH($A2670)-Setup!$B$6+12,12)+1)</f>
        <v/>
      </c>
      <c r="L2670" s="36" t="str">
        <f aca="false">IF($A2670="","",TEXT($A2670,"MMM-YY"))</f>
        <v/>
      </c>
      <c r="M2670" s="37" t="str">
        <f aca="false">IF($A2670="","",IF($Q2670=0,"UNMAPPED",INDEX(COA_Mapping!$C$7:$C$256,$Q2670)))</f>
        <v/>
      </c>
      <c r="N2670" s="38" t="str">
        <f aca="false">IF($A2670="","",IF($Q2670=0,"",INDEX(COA_Mapping!$E$7:$E$256,$Q2670)))</f>
        <v/>
      </c>
      <c r="O2670" s="38" t="n">
        <f aca="false">IF($A2670="",1,IF($Q2670=0,1,INDEX(COA_Mapping!$F$7:$F$256,$Q2670)))</f>
        <v>1</v>
      </c>
      <c r="P2670" s="34" t="str">
        <f aca="false">IF($A2670="","",$I2670*$O2670)</f>
        <v/>
      </c>
      <c r="Q2670" s="39" t="n">
        <f aca="false">IF($B2670="",0,IFERROR(MATCH($B2670,COA_Mapping!$A$7:$A$256,0),0))</f>
        <v>0</v>
      </c>
      <c r="R2670" s="39" t="n">
        <f aca="false">IF($A2670="",-1,IF($J2670=Setup!$B$7,1,IF($J2670=Setup!$B$9,0,-1)))</f>
        <v>-1</v>
      </c>
      <c r="S2670" s="35" t="n">
        <f aca="false">IF(OR($A2670="",$Q2670=0,$R2670=-1),0,$Q2670*1000+$R2670*100+$K2670)</f>
        <v>0</v>
      </c>
      <c r="T2670" s="37" t="str">
        <f aca="false">IF($A2670="","",IF($B2670="","NO ACCOUNT",IF($Q2670=0,"UNMAPPED",IF($R2670=-1,"OUTSIDE FY RANGE","OK"))))</f>
        <v/>
      </c>
      <c r="U2670" s="40" t="str">
        <f aca="false">IF($A2670="","",$B2670&amp;"|"&amp;TEXT($A2670,"yyyymmdd")&amp;"|"&amp;TEXT($I2670,"0.00"))</f>
        <v/>
      </c>
      <c r="V2670" s="35" t="str">
        <f aca="false">IF($A2670="","",COUNTIF($U$8:$U$5007,$U2670))</f>
        <v/>
      </c>
    </row>
    <row r="2671" customFormat="false" ht="15" hidden="false" customHeight="false" outlineLevel="0" collapsed="false">
      <c r="A2671" s="31"/>
      <c r="B2671" s="32"/>
      <c r="C2671" s="32"/>
      <c r="D2671" s="32"/>
      <c r="E2671" s="32"/>
      <c r="F2671" s="32"/>
      <c r="G2671" s="33"/>
      <c r="H2671" s="33"/>
      <c r="I2671" s="34" t="str">
        <f aca="false">IF($A2671="","",$G2671-$H2671)</f>
        <v/>
      </c>
      <c r="J2671" s="35" t="str">
        <f aca="false">IF($A2671="","",IF(Setup!$B$6=1,YEAR($A2671),YEAR($A2671)+IF(MONTH($A2671)&gt;=Setup!$B$6,1,0)))</f>
        <v/>
      </c>
      <c r="K2671" s="35" t="str">
        <f aca="false">IF($A2671="","",MOD(MONTH($A2671)-Setup!$B$6+12,12)+1)</f>
        <v/>
      </c>
      <c r="L2671" s="36" t="str">
        <f aca="false">IF($A2671="","",TEXT($A2671,"MMM-YY"))</f>
        <v/>
      </c>
      <c r="M2671" s="37" t="str">
        <f aca="false">IF($A2671="","",IF($Q2671=0,"UNMAPPED",INDEX(COA_Mapping!$C$7:$C$256,$Q2671)))</f>
        <v/>
      </c>
      <c r="N2671" s="38" t="str">
        <f aca="false">IF($A2671="","",IF($Q2671=0,"",INDEX(COA_Mapping!$E$7:$E$256,$Q2671)))</f>
        <v/>
      </c>
      <c r="O2671" s="38" t="n">
        <f aca="false">IF($A2671="",1,IF($Q2671=0,1,INDEX(COA_Mapping!$F$7:$F$256,$Q2671)))</f>
        <v>1</v>
      </c>
      <c r="P2671" s="34" t="str">
        <f aca="false">IF($A2671="","",$I2671*$O2671)</f>
        <v/>
      </c>
      <c r="Q2671" s="39" t="n">
        <f aca="false">IF($B2671="",0,IFERROR(MATCH($B2671,COA_Mapping!$A$7:$A$256,0),0))</f>
        <v>0</v>
      </c>
      <c r="R2671" s="39" t="n">
        <f aca="false">IF($A2671="",-1,IF($J2671=Setup!$B$7,1,IF($J2671=Setup!$B$9,0,-1)))</f>
        <v>-1</v>
      </c>
      <c r="S2671" s="35" t="n">
        <f aca="false">IF(OR($A2671="",$Q2671=0,$R2671=-1),0,$Q2671*1000+$R2671*100+$K2671)</f>
        <v>0</v>
      </c>
      <c r="T2671" s="37" t="str">
        <f aca="false">IF($A2671="","",IF($B2671="","NO ACCOUNT",IF($Q2671=0,"UNMAPPED",IF($R2671=-1,"OUTSIDE FY RANGE","OK"))))</f>
        <v/>
      </c>
      <c r="U2671" s="40" t="str">
        <f aca="false">IF($A2671="","",$B2671&amp;"|"&amp;TEXT($A2671,"yyyymmdd")&amp;"|"&amp;TEXT($I2671,"0.00"))</f>
        <v/>
      </c>
      <c r="V2671" s="35" t="str">
        <f aca="false">IF($A2671="","",COUNTIF($U$8:$U$5007,$U2671))</f>
        <v/>
      </c>
    </row>
    <row r="2672" customFormat="false" ht="15" hidden="false" customHeight="false" outlineLevel="0" collapsed="false">
      <c r="A2672" s="31"/>
      <c r="B2672" s="32"/>
      <c r="C2672" s="32"/>
      <c r="D2672" s="32"/>
      <c r="E2672" s="32"/>
      <c r="F2672" s="32"/>
      <c r="G2672" s="33"/>
      <c r="H2672" s="33"/>
      <c r="I2672" s="34" t="str">
        <f aca="false">IF($A2672="","",$G2672-$H2672)</f>
        <v/>
      </c>
      <c r="J2672" s="35" t="str">
        <f aca="false">IF($A2672="","",IF(Setup!$B$6=1,YEAR($A2672),YEAR($A2672)+IF(MONTH($A2672)&gt;=Setup!$B$6,1,0)))</f>
        <v/>
      </c>
      <c r="K2672" s="35" t="str">
        <f aca="false">IF($A2672="","",MOD(MONTH($A2672)-Setup!$B$6+12,12)+1)</f>
        <v/>
      </c>
      <c r="L2672" s="36" t="str">
        <f aca="false">IF($A2672="","",TEXT($A2672,"MMM-YY"))</f>
        <v/>
      </c>
      <c r="M2672" s="37" t="str">
        <f aca="false">IF($A2672="","",IF($Q2672=0,"UNMAPPED",INDEX(COA_Mapping!$C$7:$C$256,$Q2672)))</f>
        <v/>
      </c>
      <c r="N2672" s="38" t="str">
        <f aca="false">IF($A2672="","",IF($Q2672=0,"",INDEX(COA_Mapping!$E$7:$E$256,$Q2672)))</f>
        <v/>
      </c>
      <c r="O2672" s="38" t="n">
        <f aca="false">IF($A2672="",1,IF($Q2672=0,1,INDEX(COA_Mapping!$F$7:$F$256,$Q2672)))</f>
        <v>1</v>
      </c>
      <c r="P2672" s="34" t="str">
        <f aca="false">IF($A2672="","",$I2672*$O2672)</f>
        <v/>
      </c>
      <c r="Q2672" s="39" t="n">
        <f aca="false">IF($B2672="",0,IFERROR(MATCH($B2672,COA_Mapping!$A$7:$A$256,0),0))</f>
        <v>0</v>
      </c>
      <c r="R2672" s="39" t="n">
        <f aca="false">IF($A2672="",-1,IF($J2672=Setup!$B$7,1,IF($J2672=Setup!$B$9,0,-1)))</f>
        <v>-1</v>
      </c>
      <c r="S2672" s="35" t="n">
        <f aca="false">IF(OR($A2672="",$Q2672=0,$R2672=-1),0,$Q2672*1000+$R2672*100+$K2672)</f>
        <v>0</v>
      </c>
      <c r="T2672" s="37" t="str">
        <f aca="false">IF($A2672="","",IF($B2672="","NO ACCOUNT",IF($Q2672=0,"UNMAPPED",IF($R2672=-1,"OUTSIDE FY RANGE","OK"))))</f>
        <v/>
      </c>
      <c r="U2672" s="40" t="str">
        <f aca="false">IF($A2672="","",$B2672&amp;"|"&amp;TEXT($A2672,"yyyymmdd")&amp;"|"&amp;TEXT($I2672,"0.00"))</f>
        <v/>
      </c>
      <c r="V2672" s="35" t="str">
        <f aca="false">IF($A2672="","",COUNTIF($U$8:$U$5007,$U2672))</f>
        <v/>
      </c>
    </row>
    <row r="2673" customFormat="false" ht="15" hidden="false" customHeight="false" outlineLevel="0" collapsed="false">
      <c r="A2673" s="31"/>
      <c r="B2673" s="32"/>
      <c r="C2673" s="32"/>
      <c r="D2673" s="32"/>
      <c r="E2673" s="32"/>
      <c r="F2673" s="32"/>
      <c r="G2673" s="33"/>
      <c r="H2673" s="33"/>
      <c r="I2673" s="34" t="str">
        <f aca="false">IF($A2673="","",$G2673-$H2673)</f>
        <v/>
      </c>
      <c r="J2673" s="35" t="str">
        <f aca="false">IF($A2673="","",IF(Setup!$B$6=1,YEAR($A2673),YEAR($A2673)+IF(MONTH($A2673)&gt;=Setup!$B$6,1,0)))</f>
        <v/>
      </c>
      <c r="K2673" s="35" t="str">
        <f aca="false">IF($A2673="","",MOD(MONTH($A2673)-Setup!$B$6+12,12)+1)</f>
        <v/>
      </c>
      <c r="L2673" s="36" t="str">
        <f aca="false">IF($A2673="","",TEXT($A2673,"MMM-YY"))</f>
        <v/>
      </c>
      <c r="M2673" s="37" t="str">
        <f aca="false">IF($A2673="","",IF($Q2673=0,"UNMAPPED",INDEX(COA_Mapping!$C$7:$C$256,$Q2673)))</f>
        <v/>
      </c>
      <c r="N2673" s="38" t="str">
        <f aca="false">IF($A2673="","",IF($Q2673=0,"",INDEX(COA_Mapping!$E$7:$E$256,$Q2673)))</f>
        <v/>
      </c>
      <c r="O2673" s="38" t="n">
        <f aca="false">IF($A2673="",1,IF($Q2673=0,1,INDEX(COA_Mapping!$F$7:$F$256,$Q2673)))</f>
        <v>1</v>
      </c>
      <c r="P2673" s="34" t="str">
        <f aca="false">IF($A2673="","",$I2673*$O2673)</f>
        <v/>
      </c>
      <c r="Q2673" s="39" t="n">
        <f aca="false">IF($B2673="",0,IFERROR(MATCH($B2673,COA_Mapping!$A$7:$A$256,0),0))</f>
        <v>0</v>
      </c>
      <c r="R2673" s="39" t="n">
        <f aca="false">IF($A2673="",-1,IF($J2673=Setup!$B$7,1,IF($J2673=Setup!$B$9,0,-1)))</f>
        <v>-1</v>
      </c>
      <c r="S2673" s="35" t="n">
        <f aca="false">IF(OR($A2673="",$Q2673=0,$R2673=-1),0,$Q2673*1000+$R2673*100+$K2673)</f>
        <v>0</v>
      </c>
      <c r="T2673" s="37" t="str">
        <f aca="false">IF($A2673="","",IF($B2673="","NO ACCOUNT",IF($Q2673=0,"UNMAPPED",IF($R2673=-1,"OUTSIDE FY RANGE","OK"))))</f>
        <v/>
      </c>
      <c r="U2673" s="40" t="str">
        <f aca="false">IF($A2673="","",$B2673&amp;"|"&amp;TEXT($A2673,"yyyymmdd")&amp;"|"&amp;TEXT($I2673,"0.00"))</f>
        <v/>
      </c>
      <c r="V2673" s="35" t="str">
        <f aca="false">IF($A2673="","",COUNTIF($U$8:$U$5007,$U2673))</f>
        <v/>
      </c>
    </row>
    <row r="2674" customFormat="false" ht="15" hidden="false" customHeight="false" outlineLevel="0" collapsed="false">
      <c r="A2674" s="31"/>
      <c r="B2674" s="32"/>
      <c r="C2674" s="32"/>
      <c r="D2674" s="32"/>
      <c r="E2674" s="32"/>
      <c r="F2674" s="32"/>
      <c r="G2674" s="33"/>
      <c r="H2674" s="33"/>
      <c r="I2674" s="34" t="str">
        <f aca="false">IF($A2674="","",$G2674-$H2674)</f>
        <v/>
      </c>
      <c r="J2674" s="35" t="str">
        <f aca="false">IF($A2674="","",IF(Setup!$B$6=1,YEAR($A2674),YEAR($A2674)+IF(MONTH($A2674)&gt;=Setup!$B$6,1,0)))</f>
        <v/>
      </c>
      <c r="K2674" s="35" t="str">
        <f aca="false">IF($A2674="","",MOD(MONTH($A2674)-Setup!$B$6+12,12)+1)</f>
        <v/>
      </c>
      <c r="L2674" s="36" t="str">
        <f aca="false">IF($A2674="","",TEXT($A2674,"MMM-YY"))</f>
        <v/>
      </c>
      <c r="M2674" s="37" t="str">
        <f aca="false">IF($A2674="","",IF($Q2674=0,"UNMAPPED",INDEX(COA_Mapping!$C$7:$C$256,$Q2674)))</f>
        <v/>
      </c>
      <c r="N2674" s="38" t="str">
        <f aca="false">IF($A2674="","",IF($Q2674=0,"",INDEX(COA_Mapping!$E$7:$E$256,$Q2674)))</f>
        <v/>
      </c>
      <c r="O2674" s="38" t="n">
        <f aca="false">IF($A2674="",1,IF($Q2674=0,1,INDEX(COA_Mapping!$F$7:$F$256,$Q2674)))</f>
        <v>1</v>
      </c>
      <c r="P2674" s="34" t="str">
        <f aca="false">IF($A2674="","",$I2674*$O2674)</f>
        <v/>
      </c>
      <c r="Q2674" s="39" t="n">
        <f aca="false">IF($B2674="",0,IFERROR(MATCH($B2674,COA_Mapping!$A$7:$A$256,0),0))</f>
        <v>0</v>
      </c>
      <c r="R2674" s="39" t="n">
        <f aca="false">IF($A2674="",-1,IF($J2674=Setup!$B$7,1,IF($J2674=Setup!$B$9,0,-1)))</f>
        <v>-1</v>
      </c>
      <c r="S2674" s="35" t="n">
        <f aca="false">IF(OR($A2674="",$Q2674=0,$R2674=-1),0,$Q2674*1000+$R2674*100+$K2674)</f>
        <v>0</v>
      </c>
      <c r="T2674" s="37" t="str">
        <f aca="false">IF($A2674="","",IF($B2674="","NO ACCOUNT",IF($Q2674=0,"UNMAPPED",IF($R2674=-1,"OUTSIDE FY RANGE","OK"))))</f>
        <v/>
      </c>
      <c r="U2674" s="40" t="str">
        <f aca="false">IF($A2674="","",$B2674&amp;"|"&amp;TEXT($A2674,"yyyymmdd")&amp;"|"&amp;TEXT($I2674,"0.00"))</f>
        <v/>
      </c>
      <c r="V2674" s="35" t="str">
        <f aca="false">IF($A2674="","",COUNTIF($U$8:$U$5007,$U2674))</f>
        <v/>
      </c>
    </row>
    <row r="2675" customFormat="false" ht="15" hidden="false" customHeight="false" outlineLevel="0" collapsed="false">
      <c r="A2675" s="31"/>
      <c r="B2675" s="32"/>
      <c r="C2675" s="32"/>
      <c r="D2675" s="32"/>
      <c r="E2675" s="32"/>
      <c r="F2675" s="32"/>
      <c r="G2675" s="33"/>
      <c r="H2675" s="33"/>
      <c r="I2675" s="34" t="str">
        <f aca="false">IF($A2675="","",$G2675-$H2675)</f>
        <v/>
      </c>
      <c r="J2675" s="35" t="str">
        <f aca="false">IF($A2675="","",IF(Setup!$B$6=1,YEAR($A2675),YEAR($A2675)+IF(MONTH($A2675)&gt;=Setup!$B$6,1,0)))</f>
        <v/>
      </c>
      <c r="K2675" s="35" t="str">
        <f aca="false">IF($A2675="","",MOD(MONTH($A2675)-Setup!$B$6+12,12)+1)</f>
        <v/>
      </c>
      <c r="L2675" s="36" t="str">
        <f aca="false">IF($A2675="","",TEXT($A2675,"MMM-YY"))</f>
        <v/>
      </c>
      <c r="M2675" s="37" t="str">
        <f aca="false">IF($A2675="","",IF($Q2675=0,"UNMAPPED",INDEX(COA_Mapping!$C$7:$C$256,$Q2675)))</f>
        <v/>
      </c>
      <c r="N2675" s="38" t="str">
        <f aca="false">IF($A2675="","",IF($Q2675=0,"",INDEX(COA_Mapping!$E$7:$E$256,$Q2675)))</f>
        <v/>
      </c>
      <c r="O2675" s="38" t="n">
        <f aca="false">IF($A2675="",1,IF($Q2675=0,1,INDEX(COA_Mapping!$F$7:$F$256,$Q2675)))</f>
        <v>1</v>
      </c>
      <c r="P2675" s="34" t="str">
        <f aca="false">IF($A2675="","",$I2675*$O2675)</f>
        <v/>
      </c>
      <c r="Q2675" s="39" t="n">
        <f aca="false">IF($B2675="",0,IFERROR(MATCH($B2675,COA_Mapping!$A$7:$A$256,0),0))</f>
        <v>0</v>
      </c>
      <c r="R2675" s="39" t="n">
        <f aca="false">IF($A2675="",-1,IF($J2675=Setup!$B$7,1,IF($J2675=Setup!$B$9,0,-1)))</f>
        <v>-1</v>
      </c>
      <c r="S2675" s="35" t="n">
        <f aca="false">IF(OR($A2675="",$Q2675=0,$R2675=-1),0,$Q2675*1000+$R2675*100+$K2675)</f>
        <v>0</v>
      </c>
      <c r="T2675" s="37" t="str">
        <f aca="false">IF($A2675="","",IF($B2675="","NO ACCOUNT",IF($Q2675=0,"UNMAPPED",IF($R2675=-1,"OUTSIDE FY RANGE","OK"))))</f>
        <v/>
      </c>
      <c r="U2675" s="40" t="str">
        <f aca="false">IF($A2675="","",$B2675&amp;"|"&amp;TEXT($A2675,"yyyymmdd")&amp;"|"&amp;TEXT($I2675,"0.00"))</f>
        <v/>
      </c>
      <c r="V2675" s="35" t="str">
        <f aca="false">IF($A2675="","",COUNTIF($U$8:$U$5007,$U2675))</f>
        <v/>
      </c>
    </row>
    <row r="2676" customFormat="false" ht="15" hidden="false" customHeight="false" outlineLevel="0" collapsed="false">
      <c r="A2676" s="31"/>
      <c r="B2676" s="32"/>
      <c r="C2676" s="32"/>
      <c r="D2676" s="32"/>
      <c r="E2676" s="32"/>
      <c r="F2676" s="32"/>
      <c r="G2676" s="33"/>
      <c r="H2676" s="33"/>
      <c r="I2676" s="34" t="str">
        <f aca="false">IF($A2676="","",$G2676-$H2676)</f>
        <v/>
      </c>
      <c r="J2676" s="35" t="str">
        <f aca="false">IF($A2676="","",IF(Setup!$B$6=1,YEAR($A2676),YEAR($A2676)+IF(MONTH($A2676)&gt;=Setup!$B$6,1,0)))</f>
        <v/>
      </c>
      <c r="K2676" s="35" t="str">
        <f aca="false">IF($A2676="","",MOD(MONTH($A2676)-Setup!$B$6+12,12)+1)</f>
        <v/>
      </c>
      <c r="L2676" s="36" t="str">
        <f aca="false">IF($A2676="","",TEXT($A2676,"MMM-YY"))</f>
        <v/>
      </c>
      <c r="M2676" s="37" t="str">
        <f aca="false">IF($A2676="","",IF($Q2676=0,"UNMAPPED",INDEX(COA_Mapping!$C$7:$C$256,$Q2676)))</f>
        <v/>
      </c>
      <c r="N2676" s="38" t="str">
        <f aca="false">IF($A2676="","",IF($Q2676=0,"",INDEX(COA_Mapping!$E$7:$E$256,$Q2676)))</f>
        <v/>
      </c>
      <c r="O2676" s="38" t="n">
        <f aca="false">IF($A2676="",1,IF($Q2676=0,1,INDEX(COA_Mapping!$F$7:$F$256,$Q2676)))</f>
        <v>1</v>
      </c>
      <c r="P2676" s="34" t="str">
        <f aca="false">IF($A2676="","",$I2676*$O2676)</f>
        <v/>
      </c>
      <c r="Q2676" s="39" t="n">
        <f aca="false">IF($B2676="",0,IFERROR(MATCH($B2676,COA_Mapping!$A$7:$A$256,0),0))</f>
        <v>0</v>
      </c>
      <c r="R2676" s="39" t="n">
        <f aca="false">IF($A2676="",-1,IF($J2676=Setup!$B$7,1,IF($J2676=Setup!$B$9,0,-1)))</f>
        <v>-1</v>
      </c>
      <c r="S2676" s="35" t="n">
        <f aca="false">IF(OR($A2676="",$Q2676=0,$R2676=-1),0,$Q2676*1000+$R2676*100+$K2676)</f>
        <v>0</v>
      </c>
      <c r="T2676" s="37" t="str">
        <f aca="false">IF($A2676="","",IF($B2676="","NO ACCOUNT",IF($Q2676=0,"UNMAPPED",IF($R2676=-1,"OUTSIDE FY RANGE","OK"))))</f>
        <v/>
      </c>
      <c r="U2676" s="40" t="str">
        <f aca="false">IF($A2676="","",$B2676&amp;"|"&amp;TEXT($A2676,"yyyymmdd")&amp;"|"&amp;TEXT($I2676,"0.00"))</f>
        <v/>
      </c>
      <c r="V2676" s="35" t="str">
        <f aca="false">IF($A2676="","",COUNTIF($U$8:$U$5007,$U2676))</f>
        <v/>
      </c>
    </row>
    <row r="2677" customFormat="false" ht="15" hidden="false" customHeight="false" outlineLevel="0" collapsed="false">
      <c r="A2677" s="31"/>
      <c r="B2677" s="32"/>
      <c r="C2677" s="32"/>
      <c r="D2677" s="32"/>
      <c r="E2677" s="32"/>
      <c r="F2677" s="32"/>
      <c r="G2677" s="33"/>
      <c r="H2677" s="33"/>
      <c r="I2677" s="34" t="str">
        <f aca="false">IF($A2677="","",$G2677-$H2677)</f>
        <v/>
      </c>
      <c r="J2677" s="35" t="str">
        <f aca="false">IF($A2677="","",IF(Setup!$B$6=1,YEAR($A2677),YEAR($A2677)+IF(MONTH($A2677)&gt;=Setup!$B$6,1,0)))</f>
        <v/>
      </c>
      <c r="K2677" s="35" t="str">
        <f aca="false">IF($A2677="","",MOD(MONTH($A2677)-Setup!$B$6+12,12)+1)</f>
        <v/>
      </c>
      <c r="L2677" s="36" t="str">
        <f aca="false">IF($A2677="","",TEXT($A2677,"MMM-YY"))</f>
        <v/>
      </c>
      <c r="M2677" s="37" t="str">
        <f aca="false">IF($A2677="","",IF($Q2677=0,"UNMAPPED",INDEX(COA_Mapping!$C$7:$C$256,$Q2677)))</f>
        <v/>
      </c>
      <c r="N2677" s="38" t="str">
        <f aca="false">IF($A2677="","",IF($Q2677=0,"",INDEX(COA_Mapping!$E$7:$E$256,$Q2677)))</f>
        <v/>
      </c>
      <c r="O2677" s="38" t="n">
        <f aca="false">IF($A2677="",1,IF($Q2677=0,1,INDEX(COA_Mapping!$F$7:$F$256,$Q2677)))</f>
        <v>1</v>
      </c>
      <c r="P2677" s="34" t="str">
        <f aca="false">IF($A2677="","",$I2677*$O2677)</f>
        <v/>
      </c>
      <c r="Q2677" s="39" t="n">
        <f aca="false">IF($B2677="",0,IFERROR(MATCH($B2677,COA_Mapping!$A$7:$A$256,0),0))</f>
        <v>0</v>
      </c>
      <c r="R2677" s="39" t="n">
        <f aca="false">IF($A2677="",-1,IF($J2677=Setup!$B$7,1,IF($J2677=Setup!$B$9,0,-1)))</f>
        <v>-1</v>
      </c>
      <c r="S2677" s="35" t="n">
        <f aca="false">IF(OR($A2677="",$Q2677=0,$R2677=-1),0,$Q2677*1000+$R2677*100+$K2677)</f>
        <v>0</v>
      </c>
      <c r="T2677" s="37" t="str">
        <f aca="false">IF($A2677="","",IF($B2677="","NO ACCOUNT",IF($Q2677=0,"UNMAPPED",IF($R2677=-1,"OUTSIDE FY RANGE","OK"))))</f>
        <v/>
      </c>
      <c r="U2677" s="40" t="str">
        <f aca="false">IF($A2677="","",$B2677&amp;"|"&amp;TEXT($A2677,"yyyymmdd")&amp;"|"&amp;TEXT($I2677,"0.00"))</f>
        <v/>
      </c>
      <c r="V2677" s="35" t="str">
        <f aca="false">IF($A2677="","",COUNTIF($U$8:$U$5007,$U2677))</f>
        <v/>
      </c>
    </row>
    <row r="2678" customFormat="false" ht="15" hidden="false" customHeight="false" outlineLevel="0" collapsed="false">
      <c r="A2678" s="31"/>
      <c r="B2678" s="32"/>
      <c r="C2678" s="32"/>
      <c r="D2678" s="32"/>
      <c r="E2678" s="32"/>
      <c r="F2678" s="32"/>
      <c r="G2678" s="33"/>
      <c r="H2678" s="33"/>
      <c r="I2678" s="34" t="str">
        <f aca="false">IF($A2678="","",$G2678-$H2678)</f>
        <v/>
      </c>
      <c r="J2678" s="35" t="str">
        <f aca="false">IF($A2678="","",IF(Setup!$B$6=1,YEAR($A2678),YEAR($A2678)+IF(MONTH($A2678)&gt;=Setup!$B$6,1,0)))</f>
        <v/>
      </c>
      <c r="K2678" s="35" t="str">
        <f aca="false">IF($A2678="","",MOD(MONTH($A2678)-Setup!$B$6+12,12)+1)</f>
        <v/>
      </c>
      <c r="L2678" s="36" t="str">
        <f aca="false">IF($A2678="","",TEXT($A2678,"MMM-YY"))</f>
        <v/>
      </c>
      <c r="M2678" s="37" t="str">
        <f aca="false">IF($A2678="","",IF($Q2678=0,"UNMAPPED",INDEX(COA_Mapping!$C$7:$C$256,$Q2678)))</f>
        <v/>
      </c>
      <c r="N2678" s="38" t="str">
        <f aca="false">IF($A2678="","",IF($Q2678=0,"",INDEX(COA_Mapping!$E$7:$E$256,$Q2678)))</f>
        <v/>
      </c>
      <c r="O2678" s="38" t="n">
        <f aca="false">IF($A2678="",1,IF($Q2678=0,1,INDEX(COA_Mapping!$F$7:$F$256,$Q2678)))</f>
        <v>1</v>
      </c>
      <c r="P2678" s="34" t="str">
        <f aca="false">IF($A2678="","",$I2678*$O2678)</f>
        <v/>
      </c>
      <c r="Q2678" s="39" t="n">
        <f aca="false">IF($B2678="",0,IFERROR(MATCH($B2678,COA_Mapping!$A$7:$A$256,0),0))</f>
        <v>0</v>
      </c>
      <c r="R2678" s="39" t="n">
        <f aca="false">IF($A2678="",-1,IF($J2678=Setup!$B$7,1,IF($J2678=Setup!$B$9,0,-1)))</f>
        <v>-1</v>
      </c>
      <c r="S2678" s="35" t="n">
        <f aca="false">IF(OR($A2678="",$Q2678=0,$R2678=-1),0,$Q2678*1000+$R2678*100+$K2678)</f>
        <v>0</v>
      </c>
      <c r="T2678" s="37" t="str">
        <f aca="false">IF($A2678="","",IF($B2678="","NO ACCOUNT",IF($Q2678=0,"UNMAPPED",IF($R2678=-1,"OUTSIDE FY RANGE","OK"))))</f>
        <v/>
      </c>
      <c r="U2678" s="40" t="str">
        <f aca="false">IF($A2678="","",$B2678&amp;"|"&amp;TEXT($A2678,"yyyymmdd")&amp;"|"&amp;TEXT($I2678,"0.00"))</f>
        <v/>
      </c>
      <c r="V2678" s="35" t="str">
        <f aca="false">IF($A2678="","",COUNTIF($U$8:$U$5007,$U2678))</f>
        <v/>
      </c>
    </row>
    <row r="2679" customFormat="false" ht="15" hidden="false" customHeight="false" outlineLevel="0" collapsed="false">
      <c r="A2679" s="31"/>
      <c r="B2679" s="32"/>
      <c r="C2679" s="32"/>
      <c r="D2679" s="32"/>
      <c r="E2679" s="32"/>
      <c r="F2679" s="32"/>
      <c r="G2679" s="33"/>
      <c r="H2679" s="33"/>
      <c r="I2679" s="34" t="str">
        <f aca="false">IF($A2679="","",$G2679-$H2679)</f>
        <v/>
      </c>
      <c r="J2679" s="35" t="str">
        <f aca="false">IF($A2679="","",IF(Setup!$B$6=1,YEAR($A2679),YEAR($A2679)+IF(MONTH($A2679)&gt;=Setup!$B$6,1,0)))</f>
        <v/>
      </c>
      <c r="K2679" s="35" t="str">
        <f aca="false">IF($A2679="","",MOD(MONTH($A2679)-Setup!$B$6+12,12)+1)</f>
        <v/>
      </c>
      <c r="L2679" s="36" t="str">
        <f aca="false">IF($A2679="","",TEXT($A2679,"MMM-YY"))</f>
        <v/>
      </c>
      <c r="M2679" s="37" t="str">
        <f aca="false">IF($A2679="","",IF($Q2679=0,"UNMAPPED",INDEX(COA_Mapping!$C$7:$C$256,$Q2679)))</f>
        <v/>
      </c>
      <c r="N2679" s="38" t="str">
        <f aca="false">IF($A2679="","",IF($Q2679=0,"",INDEX(COA_Mapping!$E$7:$E$256,$Q2679)))</f>
        <v/>
      </c>
      <c r="O2679" s="38" t="n">
        <f aca="false">IF($A2679="",1,IF($Q2679=0,1,INDEX(COA_Mapping!$F$7:$F$256,$Q2679)))</f>
        <v>1</v>
      </c>
      <c r="P2679" s="34" t="str">
        <f aca="false">IF($A2679="","",$I2679*$O2679)</f>
        <v/>
      </c>
      <c r="Q2679" s="39" t="n">
        <f aca="false">IF($B2679="",0,IFERROR(MATCH($B2679,COA_Mapping!$A$7:$A$256,0),0))</f>
        <v>0</v>
      </c>
      <c r="R2679" s="39" t="n">
        <f aca="false">IF($A2679="",-1,IF($J2679=Setup!$B$7,1,IF($J2679=Setup!$B$9,0,-1)))</f>
        <v>-1</v>
      </c>
      <c r="S2679" s="35" t="n">
        <f aca="false">IF(OR($A2679="",$Q2679=0,$R2679=-1),0,$Q2679*1000+$R2679*100+$K2679)</f>
        <v>0</v>
      </c>
      <c r="T2679" s="37" t="str">
        <f aca="false">IF($A2679="","",IF($B2679="","NO ACCOUNT",IF($Q2679=0,"UNMAPPED",IF($R2679=-1,"OUTSIDE FY RANGE","OK"))))</f>
        <v/>
      </c>
      <c r="U2679" s="40" t="str">
        <f aca="false">IF($A2679="","",$B2679&amp;"|"&amp;TEXT($A2679,"yyyymmdd")&amp;"|"&amp;TEXT($I2679,"0.00"))</f>
        <v/>
      </c>
      <c r="V2679" s="35" t="str">
        <f aca="false">IF($A2679="","",COUNTIF($U$8:$U$5007,$U2679))</f>
        <v/>
      </c>
    </row>
    <row r="2680" customFormat="false" ht="15" hidden="false" customHeight="false" outlineLevel="0" collapsed="false">
      <c r="A2680" s="31"/>
      <c r="B2680" s="32"/>
      <c r="C2680" s="32"/>
      <c r="D2680" s="32"/>
      <c r="E2680" s="32"/>
      <c r="F2680" s="32"/>
      <c r="G2680" s="33"/>
      <c r="H2680" s="33"/>
      <c r="I2680" s="34" t="str">
        <f aca="false">IF($A2680="","",$G2680-$H2680)</f>
        <v/>
      </c>
      <c r="J2680" s="35" t="str">
        <f aca="false">IF($A2680="","",IF(Setup!$B$6=1,YEAR($A2680),YEAR($A2680)+IF(MONTH($A2680)&gt;=Setup!$B$6,1,0)))</f>
        <v/>
      </c>
      <c r="K2680" s="35" t="str">
        <f aca="false">IF($A2680="","",MOD(MONTH($A2680)-Setup!$B$6+12,12)+1)</f>
        <v/>
      </c>
      <c r="L2680" s="36" t="str">
        <f aca="false">IF($A2680="","",TEXT($A2680,"MMM-YY"))</f>
        <v/>
      </c>
      <c r="M2680" s="37" t="str">
        <f aca="false">IF($A2680="","",IF($Q2680=0,"UNMAPPED",INDEX(COA_Mapping!$C$7:$C$256,$Q2680)))</f>
        <v/>
      </c>
      <c r="N2680" s="38" t="str">
        <f aca="false">IF($A2680="","",IF($Q2680=0,"",INDEX(COA_Mapping!$E$7:$E$256,$Q2680)))</f>
        <v/>
      </c>
      <c r="O2680" s="38" t="n">
        <f aca="false">IF($A2680="",1,IF($Q2680=0,1,INDEX(COA_Mapping!$F$7:$F$256,$Q2680)))</f>
        <v>1</v>
      </c>
      <c r="P2680" s="34" t="str">
        <f aca="false">IF($A2680="","",$I2680*$O2680)</f>
        <v/>
      </c>
      <c r="Q2680" s="39" t="n">
        <f aca="false">IF($B2680="",0,IFERROR(MATCH($B2680,COA_Mapping!$A$7:$A$256,0),0))</f>
        <v>0</v>
      </c>
      <c r="R2680" s="39" t="n">
        <f aca="false">IF($A2680="",-1,IF($J2680=Setup!$B$7,1,IF($J2680=Setup!$B$9,0,-1)))</f>
        <v>-1</v>
      </c>
      <c r="S2680" s="35" t="n">
        <f aca="false">IF(OR($A2680="",$Q2680=0,$R2680=-1),0,$Q2680*1000+$R2680*100+$K2680)</f>
        <v>0</v>
      </c>
      <c r="T2680" s="37" t="str">
        <f aca="false">IF($A2680="","",IF($B2680="","NO ACCOUNT",IF($Q2680=0,"UNMAPPED",IF($R2680=-1,"OUTSIDE FY RANGE","OK"))))</f>
        <v/>
      </c>
      <c r="U2680" s="40" t="str">
        <f aca="false">IF($A2680="","",$B2680&amp;"|"&amp;TEXT($A2680,"yyyymmdd")&amp;"|"&amp;TEXT($I2680,"0.00"))</f>
        <v/>
      </c>
      <c r="V2680" s="35" t="str">
        <f aca="false">IF($A2680="","",COUNTIF($U$8:$U$5007,$U2680))</f>
        <v/>
      </c>
    </row>
    <row r="2681" customFormat="false" ht="15" hidden="false" customHeight="false" outlineLevel="0" collapsed="false">
      <c r="A2681" s="31"/>
      <c r="B2681" s="32"/>
      <c r="C2681" s="32"/>
      <c r="D2681" s="32"/>
      <c r="E2681" s="32"/>
      <c r="F2681" s="32"/>
      <c r="G2681" s="33"/>
      <c r="H2681" s="33"/>
      <c r="I2681" s="34" t="str">
        <f aca="false">IF($A2681="","",$G2681-$H2681)</f>
        <v/>
      </c>
      <c r="J2681" s="35" t="str">
        <f aca="false">IF($A2681="","",IF(Setup!$B$6=1,YEAR($A2681),YEAR($A2681)+IF(MONTH($A2681)&gt;=Setup!$B$6,1,0)))</f>
        <v/>
      </c>
      <c r="K2681" s="35" t="str">
        <f aca="false">IF($A2681="","",MOD(MONTH($A2681)-Setup!$B$6+12,12)+1)</f>
        <v/>
      </c>
      <c r="L2681" s="36" t="str">
        <f aca="false">IF($A2681="","",TEXT($A2681,"MMM-YY"))</f>
        <v/>
      </c>
      <c r="M2681" s="37" t="str">
        <f aca="false">IF($A2681="","",IF($Q2681=0,"UNMAPPED",INDEX(COA_Mapping!$C$7:$C$256,$Q2681)))</f>
        <v/>
      </c>
      <c r="N2681" s="38" t="str">
        <f aca="false">IF($A2681="","",IF($Q2681=0,"",INDEX(COA_Mapping!$E$7:$E$256,$Q2681)))</f>
        <v/>
      </c>
      <c r="O2681" s="38" t="n">
        <f aca="false">IF($A2681="",1,IF($Q2681=0,1,INDEX(COA_Mapping!$F$7:$F$256,$Q2681)))</f>
        <v>1</v>
      </c>
      <c r="P2681" s="34" t="str">
        <f aca="false">IF($A2681="","",$I2681*$O2681)</f>
        <v/>
      </c>
      <c r="Q2681" s="39" t="n">
        <f aca="false">IF($B2681="",0,IFERROR(MATCH($B2681,COA_Mapping!$A$7:$A$256,0),0))</f>
        <v>0</v>
      </c>
      <c r="R2681" s="39" t="n">
        <f aca="false">IF($A2681="",-1,IF($J2681=Setup!$B$7,1,IF($J2681=Setup!$B$9,0,-1)))</f>
        <v>-1</v>
      </c>
      <c r="S2681" s="35" t="n">
        <f aca="false">IF(OR($A2681="",$Q2681=0,$R2681=-1),0,$Q2681*1000+$R2681*100+$K2681)</f>
        <v>0</v>
      </c>
      <c r="T2681" s="37" t="str">
        <f aca="false">IF($A2681="","",IF($B2681="","NO ACCOUNT",IF($Q2681=0,"UNMAPPED",IF($R2681=-1,"OUTSIDE FY RANGE","OK"))))</f>
        <v/>
      </c>
      <c r="U2681" s="40" t="str">
        <f aca="false">IF($A2681="","",$B2681&amp;"|"&amp;TEXT($A2681,"yyyymmdd")&amp;"|"&amp;TEXT($I2681,"0.00"))</f>
        <v/>
      </c>
      <c r="V2681" s="35" t="str">
        <f aca="false">IF($A2681="","",COUNTIF($U$8:$U$5007,$U2681))</f>
        <v/>
      </c>
    </row>
    <row r="2682" customFormat="false" ht="15" hidden="false" customHeight="false" outlineLevel="0" collapsed="false">
      <c r="A2682" s="31"/>
      <c r="B2682" s="32"/>
      <c r="C2682" s="32"/>
      <c r="D2682" s="32"/>
      <c r="E2682" s="32"/>
      <c r="F2682" s="32"/>
      <c r="G2682" s="33"/>
      <c r="H2682" s="33"/>
      <c r="I2682" s="34" t="str">
        <f aca="false">IF($A2682="","",$G2682-$H2682)</f>
        <v/>
      </c>
      <c r="J2682" s="35" t="str">
        <f aca="false">IF($A2682="","",IF(Setup!$B$6=1,YEAR($A2682),YEAR($A2682)+IF(MONTH($A2682)&gt;=Setup!$B$6,1,0)))</f>
        <v/>
      </c>
      <c r="K2682" s="35" t="str">
        <f aca="false">IF($A2682="","",MOD(MONTH($A2682)-Setup!$B$6+12,12)+1)</f>
        <v/>
      </c>
      <c r="L2682" s="36" t="str">
        <f aca="false">IF($A2682="","",TEXT($A2682,"MMM-YY"))</f>
        <v/>
      </c>
      <c r="M2682" s="37" t="str">
        <f aca="false">IF($A2682="","",IF($Q2682=0,"UNMAPPED",INDEX(COA_Mapping!$C$7:$C$256,$Q2682)))</f>
        <v/>
      </c>
      <c r="N2682" s="38" t="str">
        <f aca="false">IF($A2682="","",IF($Q2682=0,"",INDEX(COA_Mapping!$E$7:$E$256,$Q2682)))</f>
        <v/>
      </c>
      <c r="O2682" s="38" t="n">
        <f aca="false">IF($A2682="",1,IF($Q2682=0,1,INDEX(COA_Mapping!$F$7:$F$256,$Q2682)))</f>
        <v>1</v>
      </c>
      <c r="P2682" s="34" t="str">
        <f aca="false">IF($A2682="","",$I2682*$O2682)</f>
        <v/>
      </c>
      <c r="Q2682" s="39" t="n">
        <f aca="false">IF($B2682="",0,IFERROR(MATCH($B2682,COA_Mapping!$A$7:$A$256,0),0))</f>
        <v>0</v>
      </c>
      <c r="R2682" s="39" t="n">
        <f aca="false">IF($A2682="",-1,IF($J2682=Setup!$B$7,1,IF($J2682=Setup!$B$9,0,-1)))</f>
        <v>-1</v>
      </c>
      <c r="S2682" s="35" t="n">
        <f aca="false">IF(OR($A2682="",$Q2682=0,$R2682=-1),0,$Q2682*1000+$R2682*100+$K2682)</f>
        <v>0</v>
      </c>
      <c r="T2682" s="37" t="str">
        <f aca="false">IF($A2682="","",IF($B2682="","NO ACCOUNT",IF($Q2682=0,"UNMAPPED",IF($R2682=-1,"OUTSIDE FY RANGE","OK"))))</f>
        <v/>
      </c>
      <c r="U2682" s="40" t="str">
        <f aca="false">IF($A2682="","",$B2682&amp;"|"&amp;TEXT($A2682,"yyyymmdd")&amp;"|"&amp;TEXT($I2682,"0.00"))</f>
        <v/>
      </c>
      <c r="V2682" s="35" t="str">
        <f aca="false">IF($A2682="","",COUNTIF($U$8:$U$5007,$U2682))</f>
        <v/>
      </c>
    </row>
    <row r="2683" customFormat="false" ht="15" hidden="false" customHeight="false" outlineLevel="0" collapsed="false">
      <c r="A2683" s="31"/>
      <c r="B2683" s="32"/>
      <c r="C2683" s="32"/>
      <c r="D2683" s="32"/>
      <c r="E2683" s="32"/>
      <c r="F2683" s="32"/>
      <c r="G2683" s="33"/>
      <c r="H2683" s="33"/>
      <c r="I2683" s="34" t="str">
        <f aca="false">IF($A2683="","",$G2683-$H2683)</f>
        <v/>
      </c>
      <c r="J2683" s="35" t="str">
        <f aca="false">IF($A2683="","",IF(Setup!$B$6=1,YEAR($A2683),YEAR($A2683)+IF(MONTH($A2683)&gt;=Setup!$B$6,1,0)))</f>
        <v/>
      </c>
      <c r="K2683" s="35" t="str">
        <f aca="false">IF($A2683="","",MOD(MONTH($A2683)-Setup!$B$6+12,12)+1)</f>
        <v/>
      </c>
      <c r="L2683" s="36" t="str">
        <f aca="false">IF($A2683="","",TEXT($A2683,"MMM-YY"))</f>
        <v/>
      </c>
      <c r="M2683" s="37" t="str">
        <f aca="false">IF($A2683="","",IF($Q2683=0,"UNMAPPED",INDEX(COA_Mapping!$C$7:$C$256,$Q2683)))</f>
        <v/>
      </c>
      <c r="N2683" s="38" t="str">
        <f aca="false">IF($A2683="","",IF($Q2683=0,"",INDEX(COA_Mapping!$E$7:$E$256,$Q2683)))</f>
        <v/>
      </c>
      <c r="O2683" s="38" t="n">
        <f aca="false">IF($A2683="",1,IF($Q2683=0,1,INDEX(COA_Mapping!$F$7:$F$256,$Q2683)))</f>
        <v>1</v>
      </c>
      <c r="P2683" s="34" t="str">
        <f aca="false">IF($A2683="","",$I2683*$O2683)</f>
        <v/>
      </c>
      <c r="Q2683" s="39" t="n">
        <f aca="false">IF($B2683="",0,IFERROR(MATCH($B2683,COA_Mapping!$A$7:$A$256,0),0))</f>
        <v>0</v>
      </c>
      <c r="R2683" s="39" t="n">
        <f aca="false">IF($A2683="",-1,IF($J2683=Setup!$B$7,1,IF($J2683=Setup!$B$9,0,-1)))</f>
        <v>-1</v>
      </c>
      <c r="S2683" s="35" t="n">
        <f aca="false">IF(OR($A2683="",$Q2683=0,$R2683=-1),0,$Q2683*1000+$R2683*100+$K2683)</f>
        <v>0</v>
      </c>
      <c r="T2683" s="37" t="str">
        <f aca="false">IF($A2683="","",IF($B2683="","NO ACCOUNT",IF($Q2683=0,"UNMAPPED",IF($R2683=-1,"OUTSIDE FY RANGE","OK"))))</f>
        <v/>
      </c>
      <c r="U2683" s="40" t="str">
        <f aca="false">IF($A2683="","",$B2683&amp;"|"&amp;TEXT($A2683,"yyyymmdd")&amp;"|"&amp;TEXT($I2683,"0.00"))</f>
        <v/>
      </c>
      <c r="V2683" s="35" t="str">
        <f aca="false">IF($A2683="","",COUNTIF($U$8:$U$5007,$U2683))</f>
        <v/>
      </c>
    </row>
    <row r="2684" customFormat="false" ht="15" hidden="false" customHeight="false" outlineLevel="0" collapsed="false">
      <c r="A2684" s="31"/>
      <c r="B2684" s="32"/>
      <c r="C2684" s="32"/>
      <c r="D2684" s="32"/>
      <c r="E2684" s="32"/>
      <c r="F2684" s="32"/>
      <c r="G2684" s="33"/>
      <c r="H2684" s="33"/>
      <c r="I2684" s="34" t="str">
        <f aca="false">IF($A2684="","",$G2684-$H2684)</f>
        <v/>
      </c>
      <c r="J2684" s="35" t="str">
        <f aca="false">IF($A2684="","",IF(Setup!$B$6=1,YEAR($A2684),YEAR($A2684)+IF(MONTH($A2684)&gt;=Setup!$B$6,1,0)))</f>
        <v/>
      </c>
      <c r="K2684" s="35" t="str">
        <f aca="false">IF($A2684="","",MOD(MONTH($A2684)-Setup!$B$6+12,12)+1)</f>
        <v/>
      </c>
      <c r="L2684" s="36" t="str">
        <f aca="false">IF($A2684="","",TEXT($A2684,"MMM-YY"))</f>
        <v/>
      </c>
      <c r="M2684" s="37" t="str">
        <f aca="false">IF($A2684="","",IF($Q2684=0,"UNMAPPED",INDEX(COA_Mapping!$C$7:$C$256,$Q2684)))</f>
        <v/>
      </c>
      <c r="N2684" s="38" t="str">
        <f aca="false">IF($A2684="","",IF($Q2684=0,"",INDEX(COA_Mapping!$E$7:$E$256,$Q2684)))</f>
        <v/>
      </c>
      <c r="O2684" s="38" t="n">
        <f aca="false">IF($A2684="",1,IF($Q2684=0,1,INDEX(COA_Mapping!$F$7:$F$256,$Q2684)))</f>
        <v>1</v>
      </c>
      <c r="P2684" s="34" t="str">
        <f aca="false">IF($A2684="","",$I2684*$O2684)</f>
        <v/>
      </c>
      <c r="Q2684" s="39" t="n">
        <f aca="false">IF($B2684="",0,IFERROR(MATCH($B2684,COA_Mapping!$A$7:$A$256,0),0))</f>
        <v>0</v>
      </c>
      <c r="R2684" s="39" t="n">
        <f aca="false">IF($A2684="",-1,IF($J2684=Setup!$B$7,1,IF($J2684=Setup!$B$9,0,-1)))</f>
        <v>-1</v>
      </c>
      <c r="S2684" s="35" t="n">
        <f aca="false">IF(OR($A2684="",$Q2684=0,$R2684=-1),0,$Q2684*1000+$R2684*100+$K2684)</f>
        <v>0</v>
      </c>
      <c r="T2684" s="37" t="str">
        <f aca="false">IF($A2684="","",IF($B2684="","NO ACCOUNT",IF($Q2684=0,"UNMAPPED",IF($R2684=-1,"OUTSIDE FY RANGE","OK"))))</f>
        <v/>
      </c>
      <c r="U2684" s="40" t="str">
        <f aca="false">IF($A2684="","",$B2684&amp;"|"&amp;TEXT($A2684,"yyyymmdd")&amp;"|"&amp;TEXT($I2684,"0.00"))</f>
        <v/>
      </c>
      <c r="V2684" s="35" t="str">
        <f aca="false">IF($A2684="","",COUNTIF($U$8:$U$5007,$U2684))</f>
        <v/>
      </c>
    </row>
    <row r="2685" customFormat="false" ht="15" hidden="false" customHeight="false" outlineLevel="0" collapsed="false">
      <c r="A2685" s="31"/>
      <c r="B2685" s="32"/>
      <c r="C2685" s="32"/>
      <c r="D2685" s="32"/>
      <c r="E2685" s="32"/>
      <c r="F2685" s="32"/>
      <c r="G2685" s="33"/>
      <c r="H2685" s="33"/>
      <c r="I2685" s="34" t="str">
        <f aca="false">IF($A2685="","",$G2685-$H2685)</f>
        <v/>
      </c>
      <c r="J2685" s="35" t="str">
        <f aca="false">IF($A2685="","",IF(Setup!$B$6=1,YEAR($A2685),YEAR($A2685)+IF(MONTH($A2685)&gt;=Setup!$B$6,1,0)))</f>
        <v/>
      </c>
      <c r="K2685" s="35" t="str">
        <f aca="false">IF($A2685="","",MOD(MONTH($A2685)-Setup!$B$6+12,12)+1)</f>
        <v/>
      </c>
      <c r="L2685" s="36" t="str">
        <f aca="false">IF($A2685="","",TEXT($A2685,"MMM-YY"))</f>
        <v/>
      </c>
      <c r="M2685" s="37" t="str">
        <f aca="false">IF($A2685="","",IF($Q2685=0,"UNMAPPED",INDEX(COA_Mapping!$C$7:$C$256,$Q2685)))</f>
        <v/>
      </c>
      <c r="N2685" s="38" t="str">
        <f aca="false">IF($A2685="","",IF($Q2685=0,"",INDEX(COA_Mapping!$E$7:$E$256,$Q2685)))</f>
        <v/>
      </c>
      <c r="O2685" s="38" t="n">
        <f aca="false">IF($A2685="",1,IF($Q2685=0,1,INDEX(COA_Mapping!$F$7:$F$256,$Q2685)))</f>
        <v>1</v>
      </c>
      <c r="P2685" s="34" t="str">
        <f aca="false">IF($A2685="","",$I2685*$O2685)</f>
        <v/>
      </c>
      <c r="Q2685" s="39" t="n">
        <f aca="false">IF($B2685="",0,IFERROR(MATCH($B2685,COA_Mapping!$A$7:$A$256,0),0))</f>
        <v>0</v>
      </c>
      <c r="R2685" s="39" t="n">
        <f aca="false">IF($A2685="",-1,IF($J2685=Setup!$B$7,1,IF($J2685=Setup!$B$9,0,-1)))</f>
        <v>-1</v>
      </c>
      <c r="S2685" s="35" t="n">
        <f aca="false">IF(OR($A2685="",$Q2685=0,$R2685=-1),0,$Q2685*1000+$R2685*100+$K2685)</f>
        <v>0</v>
      </c>
      <c r="T2685" s="37" t="str">
        <f aca="false">IF($A2685="","",IF($B2685="","NO ACCOUNT",IF($Q2685=0,"UNMAPPED",IF($R2685=-1,"OUTSIDE FY RANGE","OK"))))</f>
        <v/>
      </c>
      <c r="U2685" s="40" t="str">
        <f aca="false">IF($A2685="","",$B2685&amp;"|"&amp;TEXT($A2685,"yyyymmdd")&amp;"|"&amp;TEXT($I2685,"0.00"))</f>
        <v/>
      </c>
      <c r="V2685" s="35" t="str">
        <f aca="false">IF($A2685="","",COUNTIF($U$8:$U$5007,$U2685))</f>
        <v/>
      </c>
    </row>
    <row r="2686" customFormat="false" ht="15" hidden="false" customHeight="false" outlineLevel="0" collapsed="false">
      <c r="A2686" s="31"/>
      <c r="B2686" s="32"/>
      <c r="C2686" s="32"/>
      <c r="D2686" s="32"/>
      <c r="E2686" s="32"/>
      <c r="F2686" s="32"/>
      <c r="G2686" s="33"/>
      <c r="H2686" s="33"/>
      <c r="I2686" s="34" t="str">
        <f aca="false">IF($A2686="","",$G2686-$H2686)</f>
        <v/>
      </c>
      <c r="J2686" s="35" t="str">
        <f aca="false">IF($A2686="","",IF(Setup!$B$6=1,YEAR($A2686),YEAR($A2686)+IF(MONTH($A2686)&gt;=Setup!$B$6,1,0)))</f>
        <v/>
      </c>
      <c r="K2686" s="35" t="str">
        <f aca="false">IF($A2686="","",MOD(MONTH($A2686)-Setup!$B$6+12,12)+1)</f>
        <v/>
      </c>
      <c r="L2686" s="36" t="str">
        <f aca="false">IF($A2686="","",TEXT($A2686,"MMM-YY"))</f>
        <v/>
      </c>
      <c r="M2686" s="37" t="str">
        <f aca="false">IF($A2686="","",IF($Q2686=0,"UNMAPPED",INDEX(COA_Mapping!$C$7:$C$256,$Q2686)))</f>
        <v/>
      </c>
      <c r="N2686" s="38" t="str">
        <f aca="false">IF($A2686="","",IF($Q2686=0,"",INDEX(COA_Mapping!$E$7:$E$256,$Q2686)))</f>
        <v/>
      </c>
      <c r="O2686" s="38" t="n">
        <f aca="false">IF($A2686="",1,IF($Q2686=0,1,INDEX(COA_Mapping!$F$7:$F$256,$Q2686)))</f>
        <v>1</v>
      </c>
      <c r="P2686" s="34" t="str">
        <f aca="false">IF($A2686="","",$I2686*$O2686)</f>
        <v/>
      </c>
      <c r="Q2686" s="39" t="n">
        <f aca="false">IF($B2686="",0,IFERROR(MATCH($B2686,COA_Mapping!$A$7:$A$256,0),0))</f>
        <v>0</v>
      </c>
      <c r="R2686" s="39" t="n">
        <f aca="false">IF($A2686="",-1,IF($J2686=Setup!$B$7,1,IF($J2686=Setup!$B$9,0,-1)))</f>
        <v>-1</v>
      </c>
      <c r="S2686" s="35" t="n">
        <f aca="false">IF(OR($A2686="",$Q2686=0,$R2686=-1),0,$Q2686*1000+$R2686*100+$K2686)</f>
        <v>0</v>
      </c>
      <c r="T2686" s="37" t="str">
        <f aca="false">IF($A2686="","",IF($B2686="","NO ACCOUNT",IF($Q2686=0,"UNMAPPED",IF($R2686=-1,"OUTSIDE FY RANGE","OK"))))</f>
        <v/>
      </c>
      <c r="U2686" s="40" t="str">
        <f aca="false">IF($A2686="","",$B2686&amp;"|"&amp;TEXT($A2686,"yyyymmdd")&amp;"|"&amp;TEXT($I2686,"0.00"))</f>
        <v/>
      </c>
      <c r="V2686" s="35" t="str">
        <f aca="false">IF($A2686="","",COUNTIF($U$8:$U$5007,$U2686))</f>
        <v/>
      </c>
    </row>
    <row r="2687" customFormat="false" ht="15" hidden="false" customHeight="false" outlineLevel="0" collapsed="false">
      <c r="A2687" s="31"/>
      <c r="B2687" s="32"/>
      <c r="C2687" s="32"/>
      <c r="D2687" s="32"/>
      <c r="E2687" s="32"/>
      <c r="F2687" s="32"/>
      <c r="G2687" s="33"/>
      <c r="H2687" s="33"/>
      <c r="I2687" s="34" t="str">
        <f aca="false">IF($A2687="","",$G2687-$H2687)</f>
        <v/>
      </c>
      <c r="J2687" s="35" t="str">
        <f aca="false">IF($A2687="","",IF(Setup!$B$6=1,YEAR($A2687),YEAR($A2687)+IF(MONTH($A2687)&gt;=Setup!$B$6,1,0)))</f>
        <v/>
      </c>
      <c r="K2687" s="35" t="str">
        <f aca="false">IF($A2687="","",MOD(MONTH($A2687)-Setup!$B$6+12,12)+1)</f>
        <v/>
      </c>
      <c r="L2687" s="36" t="str">
        <f aca="false">IF($A2687="","",TEXT($A2687,"MMM-YY"))</f>
        <v/>
      </c>
      <c r="M2687" s="37" t="str">
        <f aca="false">IF($A2687="","",IF($Q2687=0,"UNMAPPED",INDEX(COA_Mapping!$C$7:$C$256,$Q2687)))</f>
        <v/>
      </c>
      <c r="N2687" s="38" t="str">
        <f aca="false">IF($A2687="","",IF($Q2687=0,"",INDEX(COA_Mapping!$E$7:$E$256,$Q2687)))</f>
        <v/>
      </c>
      <c r="O2687" s="38" t="n">
        <f aca="false">IF($A2687="",1,IF($Q2687=0,1,INDEX(COA_Mapping!$F$7:$F$256,$Q2687)))</f>
        <v>1</v>
      </c>
      <c r="P2687" s="34" t="str">
        <f aca="false">IF($A2687="","",$I2687*$O2687)</f>
        <v/>
      </c>
      <c r="Q2687" s="39" t="n">
        <f aca="false">IF($B2687="",0,IFERROR(MATCH($B2687,COA_Mapping!$A$7:$A$256,0),0))</f>
        <v>0</v>
      </c>
      <c r="R2687" s="39" t="n">
        <f aca="false">IF($A2687="",-1,IF($J2687=Setup!$B$7,1,IF($J2687=Setup!$B$9,0,-1)))</f>
        <v>-1</v>
      </c>
      <c r="S2687" s="35" t="n">
        <f aca="false">IF(OR($A2687="",$Q2687=0,$R2687=-1),0,$Q2687*1000+$R2687*100+$K2687)</f>
        <v>0</v>
      </c>
      <c r="T2687" s="37" t="str">
        <f aca="false">IF($A2687="","",IF($B2687="","NO ACCOUNT",IF($Q2687=0,"UNMAPPED",IF($R2687=-1,"OUTSIDE FY RANGE","OK"))))</f>
        <v/>
      </c>
      <c r="U2687" s="40" t="str">
        <f aca="false">IF($A2687="","",$B2687&amp;"|"&amp;TEXT($A2687,"yyyymmdd")&amp;"|"&amp;TEXT($I2687,"0.00"))</f>
        <v/>
      </c>
      <c r="V2687" s="35" t="str">
        <f aca="false">IF($A2687="","",COUNTIF($U$8:$U$5007,$U2687))</f>
        <v/>
      </c>
    </row>
    <row r="2688" customFormat="false" ht="15" hidden="false" customHeight="false" outlineLevel="0" collapsed="false">
      <c r="A2688" s="31"/>
      <c r="B2688" s="32"/>
      <c r="C2688" s="32"/>
      <c r="D2688" s="32"/>
      <c r="E2688" s="32"/>
      <c r="F2688" s="32"/>
      <c r="G2688" s="33"/>
      <c r="H2688" s="33"/>
      <c r="I2688" s="34" t="str">
        <f aca="false">IF($A2688="","",$G2688-$H2688)</f>
        <v/>
      </c>
      <c r="J2688" s="35" t="str">
        <f aca="false">IF($A2688="","",IF(Setup!$B$6=1,YEAR($A2688),YEAR($A2688)+IF(MONTH($A2688)&gt;=Setup!$B$6,1,0)))</f>
        <v/>
      </c>
      <c r="K2688" s="35" t="str">
        <f aca="false">IF($A2688="","",MOD(MONTH($A2688)-Setup!$B$6+12,12)+1)</f>
        <v/>
      </c>
      <c r="L2688" s="36" t="str">
        <f aca="false">IF($A2688="","",TEXT($A2688,"MMM-YY"))</f>
        <v/>
      </c>
      <c r="M2688" s="37" t="str">
        <f aca="false">IF($A2688="","",IF($Q2688=0,"UNMAPPED",INDEX(COA_Mapping!$C$7:$C$256,$Q2688)))</f>
        <v/>
      </c>
      <c r="N2688" s="38" t="str">
        <f aca="false">IF($A2688="","",IF($Q2688=0,"",INDEX(COA_Mapping!$E$7:$E$256,$Q2688)))</f>
        <v/>
      </c>
      <c r="O2688" s="38" t="n">
        <f aca="false">IF($A2688="",1,IF($Q2688=0,1,INDEX(COA_Mapping!$F$7:$F$256,$Q2688)))</f>
        <v>1</v>
      </c>
      <c r="P2688" s="34" t="str">
        <f aca="false">IF($A2688="","",$I2688*$O2688)</f>
        <v/>
      </c>
      <c r="Q2688" s="39" t="n">
        <f aca="false">IF($B2688="",0,IFERROR(MATCH($B2688,COA_Mapping!$A$7:$A$256,0),0))</f>
        <v>0</v>
      </c>
      <c r="R2688" s="39" t="n">
        <f aca="false">IF($A2688="",-1,IF($J2688=Setup!$B$7,1,IF($J2688=Setup!$B$9,0,-1)))</f>
        <v>-1</v>
      </c>
      <c r="S2688" s="35" t="n">
        <f aca="false">IF(OR($A2688="",$Q2688=0,$R2688=-1),0,$Q2688*1000+$R2688*100+$K2688)</f>
        <v>0</v>
      </c>
      <c r="T2688" s="37" t="str">
        <f aca="false">IF($A2688="","",IF($B2688="","NO ACCOUNT",IF($Q2688=0,"UNMAPPED",IF($R2688=-1,"OUTSIDE FY RANGE","OK"))))</f>
        <v/>
      </c>
      <c r="U2688" s="40" t="str">
        <f aca="false">IF($A2688="","",$B2688&amp;"|"&amp;TEXT($A2688,"yyyymmdd")&amp;"|"&amp;TEXT($I2688,"0.00"))</f>
        <v/>
      </c>
      <c r="V2688" s="35" t="str">
        <f aca="false">IF($A2688="","",COUNTIF($U$8:$U$5007,$U2688))</f>
        <v/>
      </c>
    </row>
    <row r="2689" customFormat="false" ht="15" hidden="false" customHeight="false" outlineLevel="0" collapsed="false">
      <c r="A2689" s="31"/>
      <c r="B2689" s="32"/>
      <c r="C2689" s="32"/>
      <c r="D2689" s="32"/>
      <c r="E2689" s="32"/>
      <c r="F2689" s="32"/>
      <c r="G2689" s="33"/>
      <c r="H2689" s="33"/>
      <c r="I2689" s="34" t="str">
        <f aca="false">IF($A2689="","",$G2689-$H2689)</f>
        <v/>
      </c>
      <c r="J2689" s="35" t="str">
        <f aca="false">IF($A2689="","",IF(Setup!$B$6=1,YEAR($A2689),YEAR($A2689)+IF(MONTH($A2689)&gt;=Setup!$B$6,1,0)))</f>
        <v/>
      </c>
      <c r="K2689" s="35" t="str">
        <f aca="false">IF($A2689="","",MOD(MONTH($A2689)-Setup!$B$6+12,12)+1)</f>
        <v/>
      </c>
      <c r="L2689" s="36" t="str">
        <f aca="false">IF($A2689="","",TEXT($A2689,"MMM-YY"))</f>
        <v/>
      </c>
      <c r="M2689" s="37" t="str">
        <f aca="false">IF($A2689="","",IF($Q2689=0,"UNMAPPED",INDEX(COA_Mapping!$C$7:$C$256,$Q2689)))</f>
        <v/>
      </c>
      <c r="N2689" s="38" t="str">
        <f aca="false">IF($A2689="","",IF($Q2689=0,"",INDEX(COA_Mapping!$E$7:$E$256,$Q2689)))</f>
        <v/>
      </c>
      <c r="O2689" s="38" t="n">
        <f aca="false">IF($A2689="",1,IF($Q2689=0,1,INDEX(COA_Mapping!$F$7:$F$256,$Q2689)))</f>
        <v>1</v>
      </c>
      <c r="P2689" s="34" t="str">
        <f aca="false">IF($A2689="","",$I2689*$O2689)</f>
        <v/>
      </c>
      <c r="Q2689" s="39" t="n">
        <f aca="false">IF($B2689="",0,IFERROR(MATCH($B2689,COA_Mapping!$A$7:$A$256,0),0))</f>
        <v>0</v>
      </c>
      <c r="R2689" s="39" t="n">
        <f aca="false">IF($A2689="",-1,IF($J2689=Setup!$B$7,1,IF($J2689=Setup!$B$9,0,-1)))</f>
        <v>-1</v>
      </c>
      <c r="S2689" s="35" t="n">
        <f aca="false">IF(OR($A2689="",$Q2689=0,$R2689=-1),0,$Q2689*1000+$R2689*100+$K2689)</f>
        <v>0</v>
      </c>
      <c r="T2689" s="37" t="str">
        <f aca="false">IF($A2689="","",IF($B2689="","NO ACCOUNT",IF($Q2689=0,"UNMAPPED",IF($R2689=-1,"OUTSIDE FY RANGE","OK"))))</f>
        <v/>
      </c>
      <c r="U2689" s="40" t="str">
        <f aca="false">IF($A2689="","",$B2689&amp;"|"&amp;TEXT($A2689,"yyyymmdd")&amp;"|"&amp;TEXT($I2689,"0.00"))</f>
        <v/>
      </c>
      <c r="V2689" s="35" t="str">
        <f aca="false">IF($A2689="","",COUNTIF($U$8:$U$5007,$U2689))</f>
        <v/>
      </c>
    </row>
    <row r="2690" customFormat="false" ht="15" hidden="false" customHeight="false" outlineLevel="0" collapsed="false">
      <c r="A2690" s="31"/>
      <c r="B2690" s="32"/>
      <c r="C2690" s="32"/>
      <c r="D2690" s="32"/>
      <c r="E2690" s="32"/>
      <c r="F2690" s="32"/>
      <c r="G2690" s="33"/>
      <c r="H2690" s="33"/>
      <c r="I2690" s="34" t="str">
        <f aca="false">IF($A2690="","",$G2690-$H2690)</f>
        <v/>
      </c>
      <c r="J2690" s="35" t="str">
        <f aca="false">IF($A2690="","",IF(Setup!$B$6=1,YEAR($A2690),YEAR($A2690)+IF(MONTH($A2690)&gt;=Setup!$B$6,1,0)))</f>
        <v/>
      </c>
      <c r="K2690" s="35" t="str">
        <f aca="false">IF($A2690="","",MOD(MONTH($A2690)-Setup!$B$6+12,12)+1)</f>
        <v/>
      </c>
      <c r="L2690" s="36" t="str">
        <f aca="false">IF($A2690="","",TEXT($A2690,"MMM-YY"))</f>
        <v/>
      </c>
      <c r="M2690" s="37" t="str">
        <f aca="false">IF($A2690="","",IF($Q2690=0,"UNMAPPED",INDEX(COA_Mapping!$C$7:$C$256,$Q2690)))</f>
        <v/>
      </c>
      <c r="N2690" s="38" t="str">
        <f aca="false">IF($A2690="","",IF($Q2690=0,"",INDEX(COA_Mapping!$E$7:$E$256,$Q2690)))</f>
        <v/>
      </c>
      <c r="O2690" s="38" t="n">
        <f aca="false">IF($A2690="",1,IF($Q2690=0,1,INDEX(COA_Mapping!$F$7:$F$256,$Q2690)))</f>
        <v>1</v>
      </c>
      <c r="P2690" s="34" t="str">
        <f aca="false">IF($A2690="","",$I2690*$O2690)</f>
        <v/>
      </c>
      <c r="Q2690" s="39" t="n">
        <f aca="false">IF($B2690="",0,IFERROR(MATCH($B2690,COA_Mapping!$A$7:$A$256,0),0))</f>
        <v>0</v>
      </c>
      <c r="R2690" s="39" t="n">
        <f aca="false">IF($A2690="",-1,IF($J2690=Setup!$B$7,1,IF($J2690=Setup!$B$9,0,-1)))</f>
        <v>-1</v>
      </c>
      <c r="S2690" s="35" t="n">
        <f aca="false">IF(OR($A2690="",$Q2690=0,$R2690=-1),0,$Q2690*1000+$R2690*100+$K2690)</f>
        <v>0</v>
      </c>
      <c r="T2690" s="37" t="str">
        <f aca="false">IF($A2690="","",IF($B2690="","NO ACCOUNT",IF($Q2690=0,"UNMAPPED",IF($R2690=-1,"OUTSIDE FY RANGE","OK"))))</f>
        <v/>
      </c>
      <c r="U2690" s="40" t="str">
        <f aca="false">IF($A2690="","",$B2690&amp;"|"&amp;TEXT($A2690,"yyyymmdd")&amp;"|"&amp;TEXT($I2690,"0.00"))</f>
        <v/>
      </c>
      <c r="V2690" s="35" t="str">
        <f aca="false">IF($A2690="","",COUNTIF($U$8:$U$5007,$U2690))</f>
        <v/>
      </c>
    </row>
    <row r="2691" customFormat="false" ht="15" hidden="false" customHeight="false" outlineLevel="0" collapsed="false">
      <c r="A2691" s="31"/>
      <c r="B2691" s="32"/>
      <c r="C2691" s="32"/>
      <c r="D2691" s="32"/>
      <c r="E2691" s="32"/>
      <c r="F2691" s="32"/>
      <c r="G2691" s="33"/>
      <c r="H2691" s="33"/>
      <c r="I2691" s="34" t="str">
        <f aca="false">IF($A2691="","",$G2691-$H2691)</f>
        <v/>
      </c>
      <c r="J2691" s="35" t="str">
        <f aca="false">IF($A2691="","",IF(Setup!$B$6=1,YEAR($A2691),YEAR($A2691)+IF(MONTH($A2691)&gt;=Setup!$B$6,1,0)))</f>
        <v/>
      </c>
      <c r="K2691" s="35" t="str">
        <f aca="false">IF($A2691="","",MOD(MONTH($A2691)-Setup!$B$6+12,12)+1)</f>
        <v/>
      </c>
      <c r="L2691" s="36" t="str">
        <f aca="false">IF($A2691="","",TEXT($A2691,"MMM-YY"))</f>
        <v/>
      </c>
      <c r="M2691" s="37" t="str">
        <f aca="false">IF($A2691="","",IF($Q2691=0,"UNMAPPED",INDEX(COA_Mapping!$C$7:$C$256,$Q2691)))</f>
        <v/>
      </c>
      <c r="N2691" s="38" t="str">
        <f aca="false">IF($A2691="","",IF($Q2691=0,"",INDEX(COA_Mapping!$E$7:$E$256,$Q2691)))</f>
        <v/>
      </c>
      <c r="O2691" s="38" t="n">
        <f aca="false">IF($A2691="",1,IF($Q2691=0,1,INDEX(COA_Mapping!$F$7:$F$256,$Q2691)))</f>
        <v>1</v>
      </c>
      <c r="P2691" s="34" t="str">
        <f aca="false">IF($A2691="","",$I2691*$O2691)</f>
        <v/>
      </c>
      <c r="Q2691" s="39" t="n">
        <f aca="false">IF($B2691="",0,IFERROR(MATCH($B2691,COA_Mapping!$A$7:$A$256,0),0))</f>
        <v>0</v>
      </c>
      <c r="R2691" s="39" t="n">
        <f aca="false">IF($A2691="",-1,IF($J2691=Setup!$B$7,1,IF($J2691=Setup!$B$9,0,-1)))</f>
        <v>-1</v>
      </c>
      <c r="S2691" s="35" t="n">
        <f aca="false">IF(OR($A2691="",$Q2691=0,$R2691=-1),0,$Q2691*1000+$R2691*100+$K2691)</f>
        <v>0</v>
      </c>
      <c r="T2691" s="37" t="str">
        <f aca="false">IF($A2691="","",IF($B2691="","NO ACCOUNT",IF($Q2691=0,"UNMAPPED",IF($R2691=-1,"OUTSIDE FY RANGE","OK"))))</f>
        <v/>
      </c>
      <c r="U2691" s="40" t="str">
        <f aca="false">IF($A2691="","",$B2691&amp;"|"&amp;TEXT($A2691,"yyyymmdd")&amp;"|"&amp;TEXT($I2691,"0.00"))</f>
        <v/>
      </c>
      <c r="V2691" s="35" t="str">
        <f aca="false">IF($A2691="","",COUNTIF($U$8:$U$5007,$U2691))</f>
        <v/>
      </c>
    </row>
    <row r="2692" customFormat="false" ht="15" hidden="false" customHeight="false" outlineLevel="0" collapsed="false">
      <c r="A2692" s="31"/>
      <c r="B2692" s="32"/>
      <c r="C2692" s="32"/>
      <c r="D2692" s="32"/>
      <c r="E2692" s="32"/>
      <c r="F2692" s="32"/>
      <c r="G2692" s="33"/>
      <c r="H2692" s="33"/>
      <c r="I2692" s="34" t="str">
        <f aca="false">IF($A2692="","",$G2692-$H2692)</f>
        <v/>
      </c>
      <c r="J2692" s="35" t="str">
        <f aca="false">IF($A2692="","",IF(Setup!$B$6=1,YEAR($A2692),YEAR($A2692)+IF(MONTH($A2692)&gt;=Setup!$B$6,1,0)))</f>
        <v/>
      </c>
      <c r="K2692" s="35" t="str">
        <f aca="false">IF($A2692="","",MOD(MONTH($A2692)-Setup!$B$6+12,12)+1)</f>
        <v/>
      </c>
      <c r="L2692" s="36" t="str">
        <f aca="false">IF($A2692="","",TEXT($A2692,"MMM-YY"))</f>
        <v/>
      </c>
      <c r="M2692" s="37" t="str">
        <f aca="false">IF($A2692="","",IF($Q2692=0,"UNMAPPED",INDEX(COA_Mapping!$C$7:$C$256,$Q2692)))</f>
        <v/>
      </c>
      <c r="N2692" s="38" t="str">
        <f aca="false">IF($A2692="","",IF($Q2692=0,"",INDEX(COA_Mapping!$E$7:$E$256,$Q2692)))</f>
        <v/>
      </c>
      <c r="O2692" s="38" t="n">
        <f aca="false">IF($A2692="",1,IF($Q2692=0,1,INDEX(COA_Mapping!$F$7:$F$256,$Q2692)))</f>
        <v>1</v>
      </c>
      <c r="P2692" s="34" t="str">
        <f aca="false">IF($A2692="","",$I2692*$O2692)</f>
        <v/>
      </c>
      <c r="Q2692" s="39" t="n">
        <f aca="false">IF($B2692="",0,IFERROR(MATCH($B2692,COA_Mapping!$A$7:$A$256,0),0))</f>
        <v>0</v>
      </c>
      <c r="R2692" s="39" t="n">
        <f aca="false">IF($A2692="",-1,IF($J2692=Setup!$B$7,1,IF($J2692=Setup!$B$9,0,-1)))</f>
        <v>-1</v>
      </c>
      <c r="S2692" s="35" t="n">
        <f aca="false">IF(OR($A2692="",$Q2692=0,$R2692=-1),0,$Q2692*1000+$R2692*100+$K2692)</f>
        <v>0</v>
      </c>
      <c r="T2692" s="37" t="str">
        <f aca="false">IF($A2692="","",IF($B2692="","NO ACCOUNT",IF($Q2692=0,"UNMAPPED",IF($R2692=-1,"OUTSIDE FY RANGE","OK"))))</f>
        <v/>
      </c>
      <c r="U2692" s="40" t="str">
        <f aca="false">IF($A2692="","",$B2692&amp;"|"&amp;TEXT($A2692,"yyyymmdd")&amp;"|"&amp;TEXT($I2692,"0.00"))</f>
        <v/>
      </c>
      <c r="V2692" s="35" t="str">
        <f aca="false">IF($A2692="","",COUNTIF($U$8:$U$5007,$U2692))</f>
        <v/>
      </c>
    </row>
    <row r="2693" customFormat="false" ht="15" hidden="false" customHeight="false" outlineLevel="0" collapsed="false">
      <c r="A2693" s="31"/>
      <c r="B2693" s="32"/>
      <c r="C2693" s="32"/>
      <c r="D2693" s="32"/>
      <c r="E2693" s="32"/>
      <c r="F2693" s="32"/>
      <c r="G2693" s="33"/>
      <c r="H2693" s="33"/>
      <c r="I2693" s="34" t="str">
        <f aca="false">IF($A2693="","",$G2693-$H2693)</f>
        <v/>
      </c>
      <c r="J2693" s="35" t="str">
        <f aca="false">IF($A2693="","",IF(Setup!$B$6=1,YEAR($A2693),YEAR($A2693)+IF(MONTH($A2693)&gt;=Setup!$B$6,1,0)))</f>
        <v/>
      </c>
      <c r="K2693" s="35" t="str">
        <f aca="false">IF($A2693="","",MOD(MONTH($A2693)-Setup!$B$6+12,12)+1)</f>
        <v/>
      </c>
      <c r="L2693" s="36" t="str">
        <f aca="false">IF($A2693="","",TEXT($A2693,"MMM-YY"))</f>
        <v/>
      </c>
      <c r="M2693" s="37" t="str">
        <f aca="false">IF($A2693="","",IF($Q2693=0,"UNMAPPED",INDEX(COA_Mapping!$C$7:$C$256,$Q2693)))</f>
        <v/>
      </c>
      <c r="N2693" s="38" t="str">
        <f aca="false">IF($A2693="","",IF($Q2693=0,"",INDEX(COA_Mapping!$E$7:$E$256,$Q2693)))</f>
        <v/>
      </c>
      <c r="O2693" s="38" t="n">
        <f aca="false">IF($A2693="",1,IF($Q2693=0,1,INDEX(COA_Mapping!$F$7:$F$256,$Q2693)))</f>
        <v>1</v>
      </c>
      <c r="P2693" s="34" t="str">
        <f aca="false">IF($A2693="","",$I2693*$O2693)</f>
        <v/>
      </c>
      <c r="Q2693" s="39" t="n">
        <f aca="false">IF($B2693="",0,IFERROR(MATCH($B2693,COA_Mapping!$A$7:$A$256,0),0))</f>
        <v>0</v>
      </c>
      <c r="R2693" s="39" t="n">
        <f aca="false">IF($A2693="",-1,IF($J2693=Setup!$B$7,1,IF($J2693=Setup!$B$9,0,-1)))</f>
        <v>-1</v>
      </c>
      <c r="S2693" s="35" t="n">
        <f aca="false">IF(OR($A2693="",$Q2693=0,$R2693=-1),0,$Q2693*1000+$R2693*100+$K2693)</f>
        <v>0</v>
      </c>
      <c r="T2693" s="37" t="str">
        <f aca="false">IF($A2693="","",IF($B2693="","NO ACCOUNT",IF($Q2693=0,"UNMAPPED",IF($R2693=-1,"OUTSIDE FY RANGE","OK"))))</f>
        <v/>
      </c>
      <c r="U2693" s="40" t="str">
        <f aca="false">IF($A2693="","",$B2693&amp;"|"&amp;TEXT($A2693,"yyyymmdd")&amp;"|"&amp;TEXT($I2693,"0.00"))</f>
        <v/>
      </c>
      <c r="V2693" s="35" t="str">
        <f aca="false">IF($A2693="","",COUNTIF($U$8:$U$5007,$U2693))</f>
        <v/>
      </c>
    </row>
    <row r="2694" customFormat="false" ht="15" hidden="false" customHeight="false" outlineLevel="0" collapsed="false">
      <c r="A2694" s="31"/>
      <c r="B2694" s="32"/>
      <c r="C2694" s="32"/>
      <c r="D2694" s="32"/>
      <c r="E2694" s="32"/>
      <c r="F2694" s="32"/>
      <c r="G2694" s="33"/>
      <c r="H2694" s="33"/>
      <c r="I2694" s="34" t="str">
        <f aca="false">IF($A2694="","",$G2694-$H2694)</f>
        <v/>
      </c>
      <c r="J2694" s="35" t="str">
        <f aca="false">IF($A2694="","",IF(Setup!$B$6=1,YEAR($A2694),YEAR($A2694)+IF(MONTH($A2694)&gt;=Setup!$B$6,1,0)))</f>
        <v/>
      </c>
      <c r="K2694" s="35" t="str">
        <f aca="false">IF($A2694="","",MOD(MONTH($A2694)-Setup!$B$6+12,12)+1)</f>
        <v/>
      </c>
      <c r="L2694" s="36" t="str">
        <f aca="false">IF($A2694="","",TEXT($A2694,"MMM-YY"))</f>
        <v/>
      </c>
      <c r="M2694" s="37" t="str">
        <f aca="false">IF($A2694="","",IF($Q2694=0,"UNMAPPED",INDEX(COA_Mapping!$C$7:$C$256,$Q2694)))</f>
        <v/>
      </c>
      <c r="N2694" s="38" t="str">
        <f aca="false">IF($A2694="","",IF($Q2694=0,"",INDEX(COA_Mapping!$E$7:$E$256,$Q2694)))</f>
        <v/>
      </c>
      <c r="O2694" s="38" t="n">
        <f aca="false">IF($A2694="",1,IF($Q2694=0,1,INDEX(COA_Mapping!$F$7:$F$256,$Q2694)))</f>
        <v>1</v>
      </c>
      <c r="P2694" s="34" t="str">
        <f aca="false">IF($A2694="","",$I2694*$O2694)</f>
        <v/>
      </c>
      <c r="Q2694" s="39" t="n">
        <f aca="false">IF($B2694="",0,IFERROR(MATCH($B2694,COA_Mapping!$A$7:$A$256,0),0))</f>
        <v>0</v>
      </c>
      <c r="R2694" s="39" t="n">
        <f aca="false">IF($A2694="",-1,IF($J2694=Setup!$B$7,1,IF($J2694=Setup!$B$9,0,-1)))</f>
        <v>-1</v>
      </c>
      <c r="S2694" s="35" t="n">
        <f aca="false">IF(OR($A2694="",$Q2694=0,$R2694=-1),0,$Q2694*1000+$R2694*100+$K2694)</f>
        <v>0</v>
      </c>
      <c r="T2694" s="37" t="str">
        <f aca="false">IF($A2694="","",IF($B2694="","NO ACCOUNT",IF($Q2694=0,"UNMAPPED",IF($R2694=-1,"OUTSIDE FY RANGE","OK"))))</f>
        <v/>
      </c>
      <c r="U2694" s="40" t="str">
        <f aca="false">IF($A2694="","",$B2694&amp;"|"&amp;TEXT($A2694,"yyyymmdd")&amp;"|"&amp;TEXT($I2694,"0.00"))</f>
        <v/>
      </c>
      <c r="V2694" s="35" t="str">
        <f aca="false">IF($A2694="","",COUNTIF($U$8:$U$5007,$U2694))</f>
        <v/>
      </c>
    </row>
    <row r="2695" customFormat="false" ht="15" hidden="false" customHeight="false" outlineLevel="0" collapsed="false">
      <c r="A2695" s="31"/>
      <c r="B2695" s="32"/>
      <c r="C2695" s="32"/>
      <c r="D2695" s="32"/>
      <c r="E2695" s="32"/>
      <c r="F2695" s="32"/>
      <c r="G2695" s="33"/>
      <c r="H2695" s="33"/>
      <c r="I2695" s="34" t="str">
        <f aca="false">IF($A2695="","",$G2695-$H2695)</f>
        <v/>
      </c>
      <c r="J2695" s="35" t="str">
        <f aca="false">IF($A2695="","",IF(Setup!$B$6=1,YEAR($A2695),YEAR($A2695)+IF(MONTH($A2695)&gt;=Setup!$B$6,1,0)))</f>
        <v/>
      </c>
      <c r="K2695" s="35" t="str">
        <f aca="false">IF($A2695="","",MOD(MONTH($A2695)-Setup!$B$6+12,12)+1)</f>
        <v/>
      </c>
      <c r="L2695" s="36" t="str">
        <f aca="false">IF($A2695="","",TEXT($A2695,"MMM-YY"))</f>
        <v/>
      </c>
      <c r="M2695" s="37" t="str">
        <f aca="false">IF($A2695="","",IF($Q2695=0,"UNMAPPED",INDEX(COA_Mapping!$C$7:$C$256,$Q2695)))</f>
        <v/>
      </c>
      <c r="N2695" s="38" t="str">
        <f aca="false">IF($A2695="","",IF($Q2695=0,"",INDEX(COA_Mapping!$E$7:$E$256,$Q2695)))</f>
        <v/>
      </c>
      <c r="O2695" s="38" t="n">
        <f aca="false">IF($A2695="",1,IF($Q2695=0,1,INDEX(COA_Mapping!$F$7:$F$256,$Q2695)))</f>
        <v>1</v>
      </c>
      <c r="P2695" s="34" t="str">
        <f aca="false">IF($A2695="","",$I2695*$O2695)</f>
        <v/>
      </c>
      <c r="Q2695" s="39" t="n">
        <f aca="false">IF($B2695="",0,IFERROR(MATCH($B2695,COA_Mapping!$A$7:$A$256,0),0))</f>
        <v>0</v>
      </c>
      <c r="R2695" s="39" t="n">
        <f aca="false">IF($A2695="",-1,IF($J2695=Setup!$B$7,1,IF($J2695=Setup!$B$9,0,-1)))</f>
        <v>-1</v>
      </c>
      <c r="S2695" s="35" t="n">
        <f aca="false">IF(OR($A2695="",$Q2695=0,$R2695=-1),0,$Q2695*1000+$R2695*100+$K2695)</f>
        <v>0</v>
      </c>
      <c r="T2695" s="37" t="str">
        <f aca="false">IF($A2695="","",IF($B2695="","NO ACCOUNT",IF($Q2695=0,"UNMAPPED",IF($R2695=-1,"OUTSIDE FY RANGE","OK"))))</f>
        <v/>
      </c>
      <c r="U2695" s="40" t="str">
        <f aca="false">IF($A2695="","",$B2695&amp;"|"&amp;TEXT($A2695,"yyyymmdd")&amp;"|"&amp;TEXT($I2695,"0.00"))</f>
        <v/>
      </c>
      <c r="V2695" s="35" t="str">
        <f aca="false">IF($A2695="","",COUNTIF($U$8:$U$5007,$U2695))</f>
        <v/>
      </c>
    </row>
    <row r="2696" customFormat="false" ht="15" hidden="false" customHeight="false" outlineLevel="0" collapsed="false">
      <c r="A2696" s="31"/>
      <c r="B2696" s="32"/>
      <c r="C2696" s="32"/>
      <c r="D2696" s="32"/>
      <c r="E2696" s="32"/>
      <c r="F2696" s="32"/>
      <c r="G2696" s="33"/>
      <c r="H2696" s="33"/>
      <c r="I2696" s="34" t="str">
        <f aca="false">IF($A2696="","",$G2696-$H2696)</f>
        <v/>
      </c>
      <c r="J2696" s="35" t="str">
        <f aca="false">IF($A2696="","",IF(Setup!$B$6=1,YEAR($A2696),YEAR($A2696)+IF(MONTH($A2696)&gt;=Setup!$B$6,1,0)))</f>
        <v/>
      </c>
      <c r="K2696" s="35" t="str">
        <f aca="false">IF($A2696="","",MOD(MONTH($A2696)-Setup!$B$6+12,12)+1)</f>
        <v/>
      </c>
      <c r="L2696" s="36" t="str">
        <f aca="false">IF($A2696="","",TEXT($A2696,"MMM-YY"))</f>
        <v/>
      </c>
      <c r="M2696" s="37" t="str">
        <f aca="false">IF($A2696="","",IF($Q2696=0,"UNMAPPED",INDEX(COA_Mapping!$C$7:$C$256,$Q2696)))</f>
        <v/>
      </c>
      <c r="N2696" s="38" t="str">
        <f aca="false">IF($A2696="","",IF($Q2696=0,"",INDEX(COA_Mapping!$E$7:$E$256,$Q2696)))</f>
        <v/>
      </c>
      <c r="O2696" s="38" t="n">
        <f aca="false">IF($A2696="",1,IF($Q2696=0,1,INDEX(COA_Mapping!$F$7:$F$256,$Q2696)))</f>
        <v>1</v>
      </c>
      <c r="P2696" s="34" t="str">
        <f aca="false">IF($A2696="","",$I2696*$O2696)</f>
        <v/>
      </c>
      <c r="Q2696" s="39" t="n">
        <f aca="false">IF($B2696="",0,IFERROR(MATCH($B2696,COA_Mapping!$A$7:$A$256,0),0))</f>
        <v>0</v>
      </c>
      <c r="R2696" s="39" t="n">
        <f aca="false">IF($A2696="",-1,IF($J2696=Setup!$B$7,1,IF($J2696=Setup!$B$9,0,-1)))</f>
        <v>-1</v>
      </c>
      <c r="S2696" s="35" t="n">
        <f aca="false">IF(OR($A2696="",$Q2696=0,$R2696=-1),0,$Q2696*1000+$R2696*100+$K2696)</f>
        <v>0</v>
      </c>
      <c r="T2696" s="37" t="str">
        <f aca="false">IF($A2696="","",IF($B2696="","NO ACCOUNT",IF($Q2696=0,"UNMAPPED",IF($R2696=-1,"OUTSIDE FY RANGE","OK"))))</f>
        <v/>
      </c>
      <c r="U2696" s="40" t="str">
        <f aca="false">IF($A2696="","",$B2696&amp;"|"&amp;TEXT($A2696,"yyyymmdd")&amp;"|"&amp;TEXT($I2696,"0.00"))</f>
        <v/>
      </c>
      <c r="V2696" s="35" t="str">
        <f aca="false">IF($A2696="","",COUNTIF($U$8:$U$5007,$U2696))</f>
        <v/>
      </c>
    </row>
    <row r="2697" customFormat="false" ht="15" hidden="false" customHeight="false" outlineLevel="0" collapsed="false">
      <c r="A2697" s="31"/>
      <c r="B2697" s="32"/>
      <c r="C2697" s="32"/>
      <c r="D2697" s="32"/>
      <c r="E2697" s="32"/>
      <c r="F2697" s="32"/>
      <c r="G2697" s="33"/>
      <c r="H2697" s="33"/>
      <c r="I2697" s="34" t="str">
        <f aca="false">IF($A2697="","",$G2697-$H2697)</f>
        <v/>
      </c>
      <c r="J2697" s="35" t="str">
        <f aca="false">IF($A2697="","",IF(Setup!$B$6=1,YEAR($A2697),YEAR($A2697)+IF(MONTH($A2697)&gt;=Setup!$B$6,1,0)))</f>
        <v/>
      </c>
      <c r="K2697" s="35" t="str">
        <f aca="false">IF($A2697="","",MOD(MONTH($A2697)-Setup!$B$6+12,12)+1)</f>
        <v/>
      </c>
      <c r="L2697" s="36" t="str">
        <f aca="false">IF($A2697="","",TEXT($A2697,"MMM-YY"))</f>
        <v/>
      </c>
      <c r="M2697" s="37" t="str">
        <f aca="false">IF($A2697="","",IF($Q2697=0,"UNMAPPED",INDEX(COA_Mapping!$C$7:$C$256,$Q2697)))</f>
        <v/>
      </c>
      <c r="N2697" s="38" t="str">
        <f aca="false">IF($A2697="","",IF($Q2697=0,"",INDEX(COA_Mapping!$E$7:$E$256,$Q2697)))</f>
        <v/>
      </c>
      <c r="O2697" s="38" t="n">
        <f aca="false">IF($A2697="",1,IF($Q2697=0,1,INDEX(COA_Mapping!$F$7:$F$256,$Q2697)))</f>
        <v>1</v>
      </c>
      <c r="P2697" s="34" t="str">
        <f aca="false">IF($A2697="","",$I2697*$O2697)</f>
        <v/>
      </c>
      <c r="Q2697" s="39" t="n">
        <f aca="false">IF($B2697="",0,IFERROR(MATCH($B2697,COA_Mapping!$A$7:$A$256,0),0))</f>
        <v>0</v>
      </c>
      <c r="R2697" s="39" t="n">
        <f aca="false">IF($A2697="",-1,IF($J2697=Setup!$B$7,1,IF($J2697=Setup!$B$9,0,-1)))</f>
        <v>-1</v>
      </c>
      <c r="S2697" s="35" t="n">
        <f aca="false">IF(OR($A2697="",$Q2697=0,$R2697=-1),0,$Q2697*1000+$R2697*100+$K2697)</f>
        <v>0</v>
      </c>
      <c r="T2697" s="37" t="str">
        <f aca="false">IF($A2697="","",IF($B2697="","NO ACCOUNT",IF($Q2697=0,"UNMAPPED",IF($R2697=-1,"OUTSIDE FY RANGE","OK"))))</f>
        <v/>
      </c>
      <c r="U2697" s="40" t="str">
        <f aca="false">IF($A2697="","",$B2697&amp;"|"&amp;TEXT($A2697,"yyyymmdd")&amp;"|"&amp;TEXT($I2697,"0.00"))</f>
        <v/>
      </c>
      <c r="V2697" s="35" t="str">
        <f aca="false">IF($A2697="","",COUNTIF($U$8:$U$5007,$U2697))</f>
        <v/>
      </c>
    </row>
    <row r="2698" customFormat="false" ht="15" hidden="false" customHeight="false" outlineLevel="0" collapsed="false">
      <c r="A2698" s="31"/>
      <c r="B2698" s="32"/>
      <c r="C2698" s="32"/>
      <c r="D2698" s="32"/>
      <c r="E2698" s="32"/>
      <c r="F2698" s="32"/>
      <c r="G2698" s="33"/>
      <c r="H2698" s="33"/>
      <c r="I2698" s="34" t="str">
        <f aca="false">IF($A2698="","",$G2698-$H2698)</f>
        <v/>
      </c>
      <c r="J2698" s="35" t="str">
        <f aca="false">IF($A2698="","",IF(Setup!$B$6=1,YEAR($A2698),YEAR($A2698)+IF(MONTH($A2698)&gt;=Setup!$B$6,1,0)))</f>
        <v/>
      </c>
      <c r="K2698" s="35" t="str">
        <f aca="false">IF($A2698="","",MOD(MONTH($A2698)-Setup!$B$6+12,12)+1)</f>
        <v/>
      </c>
      <c r="L2698" s="36" t="str">
        <f aca="false">IF($A2698="","",TEXT($A2698,"MMM-YY"))</f>
        <v/>
      </c>
      <c r="M2698" s="37" t="str">
        <f aca="false">IF($A2698="","",IF($Q2698=0,"UNMAPPED",INDEX(COA_Mapping!$C$7:$C$256,$Q2698)))</f>
        <v/>
      </c>
      <c r="N2698" s="38" t="str">
        <f aca="false">IF($A2698="","",IF($Q2698=0,"",INDEX(COA_Mapping!$E$7:$E$256,$Q2698)))</f>
        <v/>
      </c>
      <c r="O2698" s="38" t="n">
        <f aca="false">IF($A2698="",1,IF($Q2698=0,1,INDEX(COA_Mapping!$F$7:$F$256,$Q2698)))</f>
        <v>1</v>
      </c>
      <c r="P2698" s="34" t="str">
        <f aca="false">IF($A2698="","",$I2698*$O2698)</f>
        <v/>
      </c>
      <c r="Q2698" s="39" t="n">
        <f aca="false">IF($B2698="",0,IFERROR(MATCH($B2698,COA_Mapping!$A$7:$A$256,0),0))</f>
        <v>0</v>
      </c>
      <c r="R2698" s="39" t="n">
        <f aca="false">IF($A2698="",-1,IF($J2698=Setup!$B$7,1,IF($J2698=Setup!$B$9,0,-1)))</f>
        <v>-1</v>
      </c>
      <c r="S2698" s="35" t="n">
        <f aca="false">IF(OR($A2698="",$Q2698=0,$R2698=-1),0,$Q2698*1000+$R2698*100+$K2698)</f>
        <v>0</v>
      </c>
      <c r="T2698" s="37" t="str">
        <f aca="false">IF($A2698="","",IF($B2698="","NO ACCOUNT",IF($Q2698=0,"UNMAPPED",IF($R2698=-1,"OUTSIDE FY RANGE","OK"))))</f>
        <v/>
      </c>
      <c r="U2698" s="40" t="str">
        <f aca="false">IF($A2698="","",$B2698&amp;"|"&amp;TEXT($A2698,"yyyymmdd")&amp;"|"&amp;TEXT($I2698,"0.00"))</f>
        <v/>
      </c>
      <c r="V2698" s="35" t="str">
        <f aca="false">IF($A2698="","",COUNTIF($U$8:$U$5007,$U2698))</f>
        <v/>
      </c>
    </row>
    <row r="2699" customFormat="false" ht="15" hidden="false" customHeight="false" outlineLevel="0" collapsed="false">
      <c r="A2699" s="31"/>
      <c r="B2699" s="32"/>
      <c r="C2699" s="32"/>
      <c r="D2699" s="32"/>
      <c r="E2699" s="32"/>
      <c r="F2699" s="32"/>
      <c r="G2699" s="33"/>
      <c r="H2699" s="33"/>
      <c r="I2699" s="34" t="str">
        <f aca="false">IF($A2699="","",$G2699-$H2699)</f>
        <v/>
      </c>
      <c r="J2699" s="35" t="str">
        <f aca="false">IF($A2699="","",IF(Setup!$B$6=1,YEAR($A2699),YEAR($A2699)+IF(MONTH($A2699)&gt;=Setup!$B$6,1,0)))</f>
        <v/>
      </c>
      <c r="K2699" s="35" t="str">
        <f aca="false">IF($A2699="","",MOD(MONTH($A2699)-Setup!$B$6+12,12)+1)</f>
        <v/>
      </c>
      <c r="L2699" s="36" t="str">
        <f aca="false">IF($A2699="","",TEXT($A2699,"MMM-YY"))</f>
        <v/>
      </c>
      <c r="M2699" s="37" t="str">
        <f aca="false">IF($A2699="","",IF($Q2699=0,"UNMAPPED",INDEX(COA_Mapping!$C$7:$C$256,$Q2699)))</f>
        <v/>
      </c>
      <c r="N2699" s="38" t="str">
        <f aca="false">IF($A2699="","",IF($Q2699=0,"",INDEX(COA_Mapping!$E$7:$E$256,$Q2699)))</f>
        <v/>
      </c>
      <c r="O2699" s="38" t="n">
        <f aca="false">IF($A2699="",1,IF($Q2699=0,1,INDEX(COA_Mapping!$F$7:$F$256,$Q2699)))</f>
        <v>1</v>
      </c>
      <c r="P2699" s="34" t="str">
        <f aca="false">IF($A2699="","",$I2699*$O2699)</f>
        <v/>
      </c>
      <c r="Q2699" s="39" t="n">
        <f aca="false">IF($B2699="",0,IFERROR(MATCH($B2699,COA_Mapping!$A$7:$A$256,0),0))</f>
        <v>0</v>
      </c>
      <c r="R2699" s="39" t="n">
        <f aca="false">IF($A2699="",-1,IF($J2699=Setup!$B$7,1,IF($J2699=Setup!$B$9,0,-1)))</f>
        <v>-1</v>
      </c>
      <c r="S2699" s="35" t="n">
        <f aca="false">IF(OR($A2699="",$Q2699=0,$R2699=-1),0,$Q2699*1000+$R2699*100+$K2699)</f>
        <v>0</v>
      </c>
      <c r="T2699" s="37" t="str">
        <f aca="false">IF($A2699="","",IF($B2699="","NO ACCOUNT",IF($Q2699=0,"UNMAPPED",IF($R2699=-1,"OUTSIDE FY RANGE","OK"))))</f>
        <v/>
      </c>
      <c r="U2699" s="40" t="str">
        <f aca="false">IF($A2699="","",$B2699&amp;"|"&amp;TEXT($A2699,"yyyymmdd")&amp;"|"&amp;TEXT($I2699,"0.00"))</f>
        <v/>
      </c>
      <c r="V2699" s="35" t="str">
        <f aca="false">IF($A2699="","",COUNTIF($U$8:$U$5007,$U2699))</f>
        <v/>
      </c>
    </row>
    <row r="2700" customFormat="false" ht="15" hidden="false" customHeight="false" outlineLevel="0" collapsed="false">
      <c r="A2700" s="31"/>
      <c r="B2700" s="32"/>
      <c r="C2700" s="32"/>
      <c r="D2700" s="32"/>
      <c r="E2700" s="32"/>
      <c r="F2700" s="32"/>
      <c r="G2700" s="33"/>
      <c r="H2700" s="33"/>
      <c r="I2700" s="34" t="str">
        <f aca="false">IF($A2700="","",$G2700-$H2700)</f>
        <v/>
      </c>
      <c r="J2700" s="35" t="str">
        <f aca="false">IF($A2700="","",IF(Setup!$B$6=1,YEAR($A2700),YEAR($A2700)+IF(MONTH($A2700)&gt;=Setup!$B$6,1,0)))</f>
        <v/>
      </c>
      <c r="K2700" s="35" t="str">
        <f aca="false">IF($A2700="","",MOD(MONTH($A2700)-Setup!$B$6+12,12)+1)</f>
        <v/>
      </c>
      <c r="L2700" s="36" t="str">
        <f aca="false">IF($A2700="","",TEXT($A2700,"MMM-YY"))</f>
        <v/>
      </c>
      <c r="M2700" s="37" t="str">
        <f aca="false">IF($A2700="","",IF($Q2700=0,"UNMAPPED",INDEX(COA_Mapping!$C$7:$C$256,$Q2700)))</f>
        <v/>
      </c>
      <c r="N2700" s="38" t="str">
        <f aca="false">IF($A2700="","",IF($Q2700=0,"",INDEX(COA_Mapping!$E$7:$E$256,$Q2700)))</f>
        <v/>
      </c>
      <c r="O2700" s="38" t="n">
        <f aca="false">IF($A2700="",1,IF($Q2700=0,1,INDEX(COA_Mapping!$F$7:$F$256,$Q2700)))</f>
        <v>1</v>
      </c>
      <c r="P2700" s="34" t="str">
        <f aca="false">IF($A2700="","",$I2700*$O2700)</f>
        <v/>
      </c>
      <c r="Q2700" s="39" t="n">
        <f aca="false">IF($B2700="",0,IFERROR(MATCH($B2700,COA_Mapping!$A$7:$A$256,0),0))</f>
        <v>0</v>
      </c>
      <c r="R2700" s="39" t="n">
        <f aca="false">IF($A2700="",-1,IF($J2700=Setup!$B$7,1,IF($J2700=Setup!$B$9,0,-1)))</f>
        <v>-1</v>
      </c>
      <c r="S2700" s="35" t="n">
        <f aca="false">IF(OR($A2700="",$Q2700=0,$R2700=-1),0,$Q2700*1000+$R2700*100+$K2700)</f>
        <v>0</v>
      </c>
      <c r="T2700" s="37" t="str">
        <f aca="false">IF($A2700="","",IF($B2700="","NO ACCOUNT",IF($Q2700=0,"UNMAPPED",IF($R2700=-1,"OUTSIDE FY RANGE","OK"))))</f>
        <v/>
      </c>
      <c r="U2700" s="40" t="str">
        <f aca="false">IF($A2700="","",$B2700&amp;"|"&amp;TEXT($A2700,"yyyymmdd")&amp;"|"&amp;TEXT($I2700,"0.00"))</f>
        <v/>
      </c>
      <c r="V2700" s="35" t="str">
        <f aca="false">IF($A2700="","",COUNTIF($U$8:$U$5007,$U2700))</f>
        <v/>
      </c>
    </row>
    <row r="2701" customFormat="false" ht="15" hidden="false" customHeight="false" outlineLevel="0" collapsed="false">
      <c r="A2701" s="31"/>
      <c r="B2701" s="32"/>
      <c r="C2701" s="32"/>
      <c r="D2701" s="32"/>
      <c r="E2701" s="32"/>
      <c r="F2701" s="32"/>
      <c r="G2701" s="33"/>
      <c r="H2701" s="33"/>
      <c r="I2701" s="34" t="str">
        <f aca="false">IF($A2701="","",$G2701-$H2701)</f>
        <v/>
      </c>
      <c r="J2701" s="35" t="str">
        <f aca="false">IF($A2701="","",IF(Setup!$B$6=1,YEAR($A2701),YEAR($A2701)+IF(MONTH($A2701)&gt;=Setup!$B$6,1,0)))</f>
        <v/>
      </c>
      <c r="K2701" s="35" t="str">
        <f aca="false">IF($A2701="","",MOD(MONTH($A2701)-Setup!$B$6+12,12)+1)</f>
        <v/>
      </c>
      <c r="L2701" s="36" t="str">
        <f aca="false">IF($A2701="","",TEXT($A2701,"MMM-YY"))</f>
        <v/>
      </c>
      <c r="M2701" s="37" t="str">
        <f aca="false">IF($A2701="","",IF($Q2701=0,"UNMAPPED",INDEX(COA_Mapping!$C$7:$C$256,$Q2701)))</f>
        <v/>
      </c>
      <c r="N2701" s="38" t="str">
        <f aca="false">IF($A2701="","",IF($Q2701=0,"",INDEX(COA_Mapping!$E$7:$E$256,$Q2701)))</f>
        <v/>
      </c>
      <c r="O2701" s="38" t="n">
        <f aca="false">IF($A2701="",1,IF($Q2701=0,1,INDEX(COA_Mapping!$F$7:$F$256,$Q2701)))</f>
        <v>1</v>
      </c>
      <c r="P2701" s="34" t="str">
        <f aca="false">IF($A2701="","",$I2701*$O2701)</f>
        <v/>
      </c>
      <c r="Q2701" s="39" t="n">
        <f aca="false">IF($B2701="",0,IFERROR(MATCH($B2701,COA_Mapping!$A$7:$A$256,0),0))</f>
        <v>0</v>
      </c>
      <c r="R2701" s="39" t="n">
        <f aca="false">IF($A2701="",-1,IF($J2701=Setup!$B$7,1,IF($J2701=Setup!$B$9,0,-1)))</f>
        <v>-1</v>
      </c>
      <c r="S2701" s="35" t="n">
        <f aca="false">IF(OR($A2701="",$Q2701=0,$R2701=-1),0,$Q2701*1000+$R2701*100+$K2701)</f>
        <v>0</v>
      </c>
      <c r="T2701" s="37" t="str">
        <f aca="false">IF($A2701="","",IF($B2701="","NO ACCOUNT",IF($Q2701=0,"UNMAPPED",IF($R2701=-1,"OUTSIDE FY RANGE","OK"))))</f>
        <v/>
      </c>
      <c r="U2701" s="40" t="str">
        <f aca="false">IF($A2701="","",$B2701&amp;"|"&amp;TEXT($A2701,"yyyymmdd")&amp;"|"&amp;TEXT($I2701,"0.00"))</f>
        <v/>
      </c>
      <c r="V2701" s="35" t="str">
        <f aca="false">IF($A2701="","",COUNTIF($U$8:$U$5007,$U2701))</f>
        <v/>
      </c>
    </row>
    <row r="2702" customFormat="false" ht="15" hidden="false" customHeight="false" outlineLevel="0" collapsed="false">
      <c r="A2702" s="31"/>
      <c r="B2702" s="32"/>
      <c r="C2702" s="32"/>
      <c r="D2702" s="32"/>
      <c r="E2702" s="32"/>
      <c r="F2702" s="32"/>
      <c r="G2702" s="33"/>
      <c r="H2702" s="33"/>
      <c r="I2702" s="34" t="str">
        <f aca="false">IF($A2702="","",$G2702-$H2702)</f>
        <v/>
      </c>
      <c r="J2702" s="35" t="str">
        <f aca="false">IF($A2702="","",IF(Setup!$B$6=1,YEAR($A2702),YEAR($A2702)+IF(MONTH($A2702)&gt;=Setup!$B$6,1,0)))</f>
        <v/>
      </c>
      <c r="K2702" s="35" t="str">
        <f aca="false">IF($A2702="","",MOD(MONTH($A2702)-Setup!$B$6+12,12)+1)</f>
        <v/>
      </c>
      <c r="L2702" s="36" t="str">
        <f aca="false">IF($A2702="","",TEXT($A2702,"MMM-YY"))</f>
        <v/>
      </c>
      <c r="M2702" s="37" t="str">
        <f aca="false">IF($A2702="","",IF($Q2702=0,"UNMAPPED",INDEX(COA_Mapping!$C$7:$C$256,$Q2702)))</f>
        <v/>
      </c>
      <c r="N2702" s="38" t="str">
        <f aca="false">IF($A2702="","",IF($Q2702=0,"",INDEX(COA_Mapping!$E$7:$E$256,$Q2702)))</f>
        <v/>
      </c>
      <c r="O2702" s="38" t="n">
        <f aca="false">IF($A2702="",1,IF($Q2702=0,1,INDEX(COA_Mapping!$F$7:$F$256,$Q2702)))</f>
        <v>1</v>
      </c>
      <c r="P2702" s="34" t="str">
        <f aca="false">IF($A2702="","",$I2702*$O2702)</f>
        <v/>
      </c>
      <c r="Q2702" s="39" t="n">
        <f aca="false">IF($B2702="",0,IFERROR(MATCH($B2702,COA_Mapping!$A$7:$A$256,0),0))</f>
        <v>0</v>
      </c>
      <c r="R2702" s="39" t="n">
        <f aca="false">IF($A2702="",-1,IF($J2702=Setup!$B$7,1,IF($J2702=Setup!$B$9,0,-1)))</f>
        <v>-1</v>
      </c>
      <c r="S2702" s="35" t="n">
        <f aca="false">IF(OR($A2702="",$Q2702=0,$R2702=-1),0,$Q2702*1000+$R2702*100+$K2702)</f>
        <v>0</v>
      </c>
      <c r="T2702" s="37" t="str">
        <f aca="false">IF($A2702="","",IF($B2702="","NO ACCOUNT",IF($Q2702=0,"UNMAPPED",IF($R2702=-1,"OUTSIDE FY RANGE","OK"))))</f>
        <v/>
      </c>
      <c r="U2702" s="40" t="str">
        <f aca="false">IF($A2702="","",$B2702&amp;"|"&amp;TEXT($A2702,"yyyymmdd")&amp;"|"&amp;TEXT($I2702,"0.00"))</f>
        <v/>
      </c>
      <c r="V2702" s="35" t="str">
        <f aca="false">IF($A2702="","",COUNTIF($U$8:$U$5007,$U2702))</f>
        <v/>
      </c>
    </row>
    <row r="2703" customFormat="false" ht="15" hidden="false" customHeight="false" outlineLevel="0" collapsed="false">
      <c r="A2703" s="31"/>
      <c r="B2703" s="32"/>
      <c r="C2703" s="32"/>
      <c r="D2703" s="32"/>
      <c r="E2703" s="32"/>
      <c r="F2703" s="32"/>
      <c r="G2703" s="33"/>
      <c r="H2703" s="33"/>
      <c r="I2703" s="34" t="str">
        <f aca="false">IF($A2703="","",$G2703-$H2703)</f>
        <v/>
      </c>
      <c r="J2703" s="35" t="str">
        <f aca="false">IF($A2703="","",IF(Setup!$B$6=1,YEAR($A2703),YEAR($A2703)+IF(MONTH($A2703)&gt;=Setup!$B$6,1,0)))</f>
        <v/>
      </c>
      <c r="K2703" s="35" t="str">
        <f aca="false">IF($A2703="","",MOD(MONTH($A2703)-Setup!$B$6+12,12)+1)</f>
        <v/>
      </c>
      <c r="L2703" s="36" t="str">
        <f aca="false">IF($A2703="","",TEXT($A2703,"MMM-YY"))</f>
        <v/>
      </c>
      <c r="M2703" s="37" t="str">
        <f aca="false">IF($A2703="","",IF($Q2703=0,"UNMAPPED",INDEX(COA_Mapping!$C$7:$C$256,$Q2703)))</f>
        <v/>
      </c>
      <c r="N2703" s="38" t="str">
        <f aca="false">IF($A2703="","",IF($Q2703=0,"",INDEX(COA_Mapping!$E$7:$E$256,$Q2703)))</f>
        <v/>
      </c>
      <c r="O2703" s="38" t="n">
        <f aca="false">IF($A2703="",1,IF($Q2703=0,1,INDEX(COA_Mapping!$F$7:$F$256,$Q2703)))</f>
        <v>1</v>
      </c>
      <c r="P2703" s="34" t="str">
        <f aca="false">IF($A2703="","",$I2703*$O2703)</f>
        <v/>
      </c>
      <c r="Q2703" s="39" t="n">
        <f aca="false">IF($B2703="",0,IFERROR(MATCH($B2703,COA_Mapping!$A$7:$A$256,0),0))</f>
        <v>0</v>
      </c>
      <c r="R2703" s="39" t="n">
        <f aca="false">IF($A2703="",-1,IF($J2703=Setup!$B$7,1,IF($J2703=Setup!$B$9,0,-1)))</f>
        <v>-1</v>
      </c>
      <c r="S2703" s="35" t="n">
        <f aca="false">IF(OR($A2703="",$Q2703=0,$R2703=-1),0,$Q2703*1000+$R2703*100+$K2703)</f>
        <v>0</v>
      </c>
      <c r="T2703" s="37" t="str">
        <f aca="false">IF($A2703="","",IF($B2703="","NO ACCOUNT",IF($Q2703=0,"UNMAPPED",IF($R2703=-1,"OUTSIDE FY RANGE","OK"))))</f>
        <v/>
      </c>
      <c r="U2703" s="40" t="str">
        <f aca="false">IF($A2703="","",$B2703&amp;"|"&amp;TEXT($A2703,"yyyymmdd")&amp;"|"&amp;TEXT($I2703,"0.00"))</f>
        <v/>
      </c>
      <c r="V2703" s="35" t="str">
        <f aca="false">IF($A2703="","",COUNTIF($U$8:$U$5007,$U2703))</f>
        <v/>
      </c>
    </row>
    <row r="2704" customFormat="false" ht="15" hidden="false" customHeight="false" outlineLevel="0" collapsed="false">
      <c r="A2704" s="31"/>
      <c r="B2704" s="32"/>
      <c r="C2704" s="32"/>
      <c r="D2704" s="32"/>
      <c r="E2704" s="32"/>
      <c r="F2704" s="32"/>
      <c r="G2704" s="33"/>
      <c r="H2704" s="33"/>
      <c r="I2704" s="34" t="str">
        <f aca="false">IF($A2704="","",$G2704-$H2704)</f>
        <v/>
      </c>
      <c r="J2704" s="35" t="str">
        <f aca="false">IF($A2704="","",IF(Setup!$B$6=1,YEAR($A2704),YEAR($A2704)+IF(MONTH($A2704)&gt;=Setup!$B$6,1,0)))</f>
        <v/>
      </c>
      <c r="K2704" s="35" t="str">
        <f aca="false">IF($A2704="","",MOD(MONTH($A2704)-Setup!$B$6+12,12)+1)</f>
        <v/>
      </c>
      <c r="L2704" s="36" t="str">
        <f aca="false">IF($A2704="","",TEXT($A2704,"MMM-YY"))</f>
        <v/>
      </c>
      <c r="M2704" s="37" t="str">
        <f aca="false">IF($A2704="","",IF($Q2704=0,"UNMAPPED",INDEX(COA_Mapping!$C$7:$C$256,$Q2704)))</f>
        <v/>
      </c>
      <c r="N2704" s="38" t="str">
        <f aca="false">IF($A2704="","",IF($Q2704=0,"",INDEX(COA_Mapping!$E$7:$E$256,$Q2704)))</f>
        <v/>
      </c>
      <c r="O2704" s="38" t="n">
        <f aca="false">IF($A2704="",1,IF($Q2704=0,1,INDEX(COA_Mapping!$F$7:$F$256,$Q2704)))</f>
        <v>1</v>
      </c>
      <c r="P2704" s="34" t="str">
        <f aca="false">IF($A2704="","",$I2704*$O2704)</f>
        <v/>
      </c>
      <c r="Q2704" s="39" t="n">
        <f aca="false">IF($B2704="",0,IFERROR(MATCH($B2704,COA_Mapping!$A$7:$A$256,0),0))</f>
        <v>0</v>
      </c>
      <c r="R2704" s="39" t="n">
        <f aca="false">IF($A2704="",-1,IF($J2704=Setup!$B$7,1,IF($J2704=Setup!$B$9,0,-1)))</f>
        <v>-1</v>
      </c>
      <c r="S2704" s="35" t="n">
        <f aca="false">IF(OR($A2704="",$Q2704=0,$R2704=-1),0,$Q2704*1000+$R2704*100+$K2704)</f>
        <v>0</v>
      </c>
      <c r="T2704" s="37" t="str">
        <f aca="false">IF($A2704="","",IF($B2704="","NO ACCOUNT",IF($Q2704=0,"UNMAPPED",IF($R2704=-1,"OUTSIDE FY RANGE","OK"))))</f>
        <v/>
      </c>
      <c r="U2704" s="40" t="str">
        <f aca="false">IF($A2704="","",$B2704&amp;"|"&amp;TEXT($A2704,"yyyymmdd")&amp;"|"&amp;TEXT($I2704,"0.00"))</f>
        <v/>
      </c>
      <c r="V2704" s="35" t="str">
        <f aca="false">IF($A2704="","",COUNTIF($U$8:$U$5007,$U2704))</f>
        <v/>
      </c>
    </row>
    <row r="2705" customFormat="false" ht="15" hidden="false" customHeight="false" outlineLevel="0" collapsed="false">
      <c r="A2705" s="31"/>
      <c r="B2705" s="32"/>
      <c r="C2705" s="32"/>
      <c r="D2705" s="32"/>
      <c r="E2705" s="32"/>
      <c r="F2705" s="32"/>
      <c r="G2705" s="33"/>
      <c r="H2705" s="33"/>
      <c r="I2705" s="34" t="str">
        <f aca="false">IF($A2705="","",$G2705-$H2705)</f>
        <v/>
      </c>
      <c r="J2705" s="35" t="str">
        <f aca="false">IF($A2705="","",IF(Setup!$B$6=1,YEAR($A2705),YEAR($A2705)+IF(MONTH($A2705)&gt;=Setup!$B$6,1,0)))</f>
        <v/>
      </c>
      <c r="K2705" s="35" t="str">
        <f aca="false">IF($A2705="","",MOD(MONTH($A2705)-Setup!$B$6+12,12)+1)</f>
        <v/>
      </c>
      <c r="L2705" s="36" t="str">
        <f aca="false">IF($A2705="","",TEXT($A2705,"MMM-YY"))</f>
        <v/>
      </c>
      <c r="M2705" s="37" t="str">
        <f aca="false">IF($A2705="","",IF($Q2705=0,"UNMAPPED",INDEX(COA_Mapping!$C$7:$C$256,$Q2705)))</f>
        <v/>
      </c>
      <c r="N2705" s="38" t="str">
        <f aca="false">IF($A2705="","",IF($Q2705=0,"",INDEX(COA_Mapping!$E$7:$E$256,$Q2705)))</f>
        <v/>
      </c>
      <c r="O2705" s="38" t="n">
        <f aca="false">IF($A2705="",1,IF($Q2705=0,1,INDEX(COA_Mapping!$F$7:$F$256,$Q2705)))</f>
        <v>1</v>
      </c>
      <c r="P2705" s="34" t="str">
        <f aca="false">IF($A2705="","",$I2705*$O2705)</f>
        <v/>
      </c>
      <c r="Q2705" s="39" t="n">
        <f aca="false">IF($B2705="",0,IFERROR(MATCH($B2705,COA_Mapping!$A$7:$A$256,0),0))</f>
        <v>0</v>
      </c>
      <c r="R2705" s="39" t="n">
        <f aca="false">IF($A2705="",-1,IF($J2705=Setup!$B$7,1,IF($J2705=Setup!$B$9,0,-1)))</f>
        <v>-1</v>
      </c>
      <c r="S2705" s="35" t="n">
        <f aca="false">IF(OR($A2705="",$Q2705=0,$R2705=-1),0,$Q2705*1000+$R2705*100+$K2705)</f>
        <v>0</v>
      </c>
      <c r="T2705" s="37" t="str">
        <f aca="false">IF($A2705="","",IF($B2705="","NO ACCOUNT",IF($Q2705=0,"UNMAPPED",IF($R2705=-1,"OUTSIDE FY RANGE","OK"))))</f>
        <v/>
      </c>
      <c r="U2705" s="40" t="str">
        <f aca="false">IF($A2705="","",$B2705&amp;"|"&amp;TEXT($A2705,"yyyymmdd")&amp;"|"&amp;TEXT($I2705,"0.00"))</f>
        <v/>
      </c>
      <c r="V2705" s="35" t="str">
        <f aca="false">IF($A2705="","",COUNTIF($U$8:$U$5007,$U2705))</f>
        <v/>
      </c>
    </row>
    <row r="2706" customFormat="false" ht="15" hidden="false" customHeight="false" outlineLevel="0" collapsed="false">
      <c r="A2706" s="31"/>
      <c r="B2706" s="32"/>
      <c r="C2706" s="32"/>
      <c r="D2706" s="32"/>
      <c r="E2706" s="32"/>
      <c r="F2706" s="32"/>
      <c r="G2706" s="33"/>
      <c r="H2706" s="33"/>
      <c r="I2706" s="34" t="str">
        <f aca="false">IF($A2706="","",$G2706-$H2706)</f>
        <v/>
      </c>
      <c r="J2706" s="35" t="str">
        <f aca="false">IF($A2706="","",IF(Setup!$B$6=1,YEAR($A2706),YEAR($A2706)+IF(MONTH($A2706)&gt;=Setup!$B$6,1,0)))</f>
        <v/>
      </c>
      <c r="K2706" s="35" t="str">
        <f aca="false">IF($A2706="","",MOD(MONTH($A2706)-Setup!$B$6+12,12)+1)</f>
        <v/>
      </c>
      <c r="L2706" s="36" t="str">
        <f aca="false">IF($A2706="","",TEXT($A2706,"MMM-YY"))</f>
        <v/>
      </c>
      <c r="M2706" s="37" t="str">
        <f aca="false">IF($A2706="","",IF($Q2706=0,"UNMAPPED",INDEX(COA_Mapping!$C$7:$C$256,$Q2706)))</f>
        <v/>
      </c>
      <c r="N2706" s="38" t="str">
        <f aca="false">IF($A2706="","",IF($Q2706=0,"",INDEX(COA_Mapping!$E$7:$E$256,$Q2706)))</f>
        <v/>
      </c>
      <c r="O2706" s="38" t="n">
        <f aca="false">IF($A2706="",1,IF($Q2706=0,1,INDEX(COA_Mapping!$F$7:$F$256,$Q2706)))</f>
        <v>1</v>
      </c>
      <c r="P2706" s="34" t="str">
        <f aca="false">IF($A2706="","",$I2706*$O2706)</f>
        <v/>
      </c>
      <c r="Q2706" s="39" t="n">
        <f aca="false">IF($B2706="",0,IFERROR(MATCH($B2706,COA_Mapping!$A$7:$A$256,0),0))</f>
        <v>0</v>
      </c>
      <c r="R2706" s="39" t="n">
        <f aca="false">IF($A2706="",-1,IF($J2706=Setup!$B$7,1,IF($J2706=Setup!$B$9,0,-1)))</f>
        <v>-1</v>
      </c>
      <c r="S2706" s="35" t="n">
        <f aca="false">IF(OR($A2706="",$Q2706=0,$R2706=-1),0,$Q2706*1000+$R2706*100+$K2706)</f>
        <v>0</v>
      </c>
      <c r="T2706" s="37" t="str">
        <f aca="false">IF($A2706="","",IF($B2706="","NO ACCOUNT",IF($Q2706=0,"UNMAPPED",IF($R2706=-1,"OUTSIDE FY RANGE","OK"))))</f>
        <v/>
      </c>
      <c r="U2706" s="40" t="str">
        <f aca="false">IF($A2706="","",$B2706&amp;"|"&amp;TEXT($A2706,"yyyymmdd")&amp;"|"&amp;TEXT($I2706,"0.00"))</f>
        <v/>
      </c>
      <c r="V2706" s="35" t="str">
        <f aca="false">IF($A2706="","",COUNTIF($U$8:$U$5007,$U2706))</f>
        <v/>
      </c>
    </row>
    <row r="2707" customFormat="false" ht="15" hidden="false" customHeight="false" outlineLevel="0" collapsed="false">
      <c r="A2707" s="31"/>
      <c r="B2707" s="32"/>
      <c r="C2707" s="32"/>
      <c r="D2707" s="32"/>
      <c r="E2707" s="32"/>
      <c r="F2707" s="32"/>
      <c r="G2707" s="33"/>
      <c r="H2707" s="33"/>
      <c r="I2707" s="34" t="str">
        <f aca="false">IF($A2707="","",$G2707-$H2707)</f>
        <v/>
      </c>
      <c r="J2707" s="35" t="str">
        <f aca="false">IF($A2707="","",IF(Setup!$B$6=1,YEAR($A2707),YEAR($A2707)+IF(MONTH($A2707)&gt;=Setup!$B$6,1,0)))</f>
        <v/>
      </c>
      <c r="K2707" s="35" t="str">
        <f aca="false">IF($A2707="","",MOD(MONTH($A2707)-Setup!$B$6+12,12)+1)</f>
        <v/>
      </c>
      <c r="L2707" s="36" t="str">
        <f aca="false">IF($A2707="","",TEXT($A2707,"MMM-YY"))</f>
        <v/>
      </c>
      <c r="M2707" s="37" t="str">
        <f aca="false">IF($A2707="","",IF($Q2707=0,"UNMAPPED",INDEX(COA_Mapping!$C$7:$C$256,$Q2707)))</f>
        <v/>
      </c>
      <c r="N2707" s="38" t="str">
        <f aca="false">IF($A2707="","",IF($Q2707=0,"",INDEX(COA_Mapping!$E$7:$E$256,$Q2707)))</f>
        <v/>
      </c>
      <c r="O2707" s="38" t="n">
        <f aca="false">IF($A2707="",1,IF($Q2707=0,1,INDEX(COA_Mapping!$F$7:$F$256,$Q2707)))</f>
        <v>1</v>
      </c>
      <c r="P2707" s="34" t="str">
        <f aca="false">IF($A2707="","",$I2707*$O2707)</f>
        <v/>
      </c>
      <c r="Q2707" s="39" t="n">
        <f aca="false">IF($B2707="",0,IFERROR(MATCH($B2707,COA_Mapping!$A$7:$A$256,0),0))</f>
        <v>0</v>
      </c>
      <c r="R2707" s="39" t="n">
        <f aca="false">IF($A2707="",-1,IF($J2707=Setup!$B$7,1,IF($J2707=Setup!$B$9,0,-1)))</f>
        <v>-1</v>
      </c>
      <c r="S2707" s="35" t="n">
        <f aca="false">IF(OR($A2707="",$Q2707=0,$R2707=-1),0,$Q2707*1000+$R2707*100+$K2707)</f>
        <v>0</v>
      </c>
      <c r="T2707" s="37" t="str">
        <f aca="false">IF($A2707="","",IF($B2707="","NO ACCOUNT",IF($Q2707=0,"UNMAPPED",IF($R2707=-1,"OUTSIDE FY RANGE","OK"))))</f>
        <v/>
      </c>
      <c r="U2707" s="40" t="str">
        <f aca="false">IF($A2707="","",$B2707&amp;"|"&amp;TEXT($A2707,"yyyymmdd")&amp;"|"&amp;TEXT($I2707,"0.00"))</f>
        <v/>
      </c>
      <c r="V2707" s="35" t="str">
        <f aca="false">IF($A2707="","",COUNTIF($U$8:$U$5007,$U2707))</f>
        <v/>
      </c>
    </row>
    <row r="2708" customFormat="false" ht="15" hidden="false" customHeight="false" outlineLevel="0" collapsed="false">
      <c r="A2708" s="31"/>
      <c r="B2708" s="32"/>
      <c r="C2708" s="32"/>
      <c r="D2708" s="32"/>
      <c r="E2708" s="32"/>
      <c r="F2708" s="32"/>
      <c r="G2708" s="33"/>
      <c r="H2708" s="33"/>
      <c r="I2708" s="34" t="str">
        <f aca="false">IF($A2708="","",$G2708-$H2708)</f>
        <v/>
      </c>
      <c r="J2708" s="35" t="str">
        <f aca="false">IF($A2708="","",IF(Setup!$B$6=1,YEAR($A2708),YEAR($A2708)+IF(MONTH($A2708)&gt;=Setup!$B$6,1,0)))</f>
        <v/>
      </c>
      <c r="K2708" s="35" t="str">
        <f aca="false">IF($A2708="","",MOD(MONTH($A2708)-Setup!$B$6+12,12)+1)</f>
        <v/>
      </c>
      <c r="L2708" s="36" t="str">
        <f aca="false">IF($A2708="","",TEXT($A2708,"MMM-YY"))</f>
        <v/>
      </c>
      <c r="M2708" s="37" t="str">
        <f aca="false">IF($A2708="","",IF($Q2708=0,"UNMAPPED",INDEX(COA_Mapping!$C$7:$C$256,$Q2708)))</f>
        <v/>
      </c>
      <c r="N2708" s="38" t="str">
        <f aca="false">IF($A2708="","",IF($Q2708=0,"",INDEX(COA_Mapping!$E$7:$E$256,$Q2708)))</f>
        <v/>
      </c>
      <c r="O2708" s="38" t="n">
        <f aca="false">IF($A2708="",1,IF($Q2708=0,1,INDEX(COA_Mapping!$F$7:$F$256,$Q2708)))</f>
        <v>1</v>
      </c>
      <c r="P2708" s="34" t="str">
        <f aca="false">IF($A2708="","",$I2708*$O2708)</f>
        <v/>
      </c>
      <c r="Q2708" s="39" t="n">
        <f aca="false">IF($B2708="",0,IFERROR(MATCH($B2708,COA_Mapping!$A$7:$A$256,0),0))</f>
        <v>0</v>
      </c>
      <c r="R2708" s="39" t="n">
        <f aca="false">IF($A2708="",-1,IF($J2708=Setup!$B$7,1,IF($J2708=Setup!$B$9,0,-1)))</f>
        <v>-1</v>
      </c>
      <c r="S2708" s="35" t="n">
        <f aca="false">IF(OR($A2708="",$Q2708=0,$R2708=-1),0,$Q2708*1000+$R2708*100+$K2708)</f>
        <v>0</v>
      </c>
      <c r="T2708" s="37" t="str">
        <f aca="false">IF($A2708="","",IF($B2708="","NO ACCOUNT",IF($Q2708=0,"UNMAPPED",IF($R2708=-1,"OUTSIDE FY RANGE","OK"))))</f>
        <v/>
      </c>
      <c r="U2708" s="40" t="str">
        <f aca="false">IF($A2708="","",$B2708&amp;"|"&amp;TEXT($A2708,"yyyymmdd")&amp;"|"&amp;TEXT($I2708,"0.00"))</f>
        <v/>
      </c>
      <c r="V2708" s="35" t="str">
        <f aca="false">IF($A2708="","",COUNTIF($U$8:$U$5007,$U2708))</f>
        <v/>
      </c>
    </row>
    <row r="2709" customFormat="false" ht="15" hidden="false" customHeight="false" outlineLevel="0" collapsed="false">
      <c r="A2709" s="31"/>
      <c r="B2709" s="32"/>
      <c r="C2709" s="32"/>
      <c r="D2709" s="32"/>
      <c r="E2709" s="32"/>
      <c r="F2709" s="32"/>
      <c r="G2709" s="33"/>
      <c r="H2709" s="33"/>
      <c r="I2709" s="34" t="str">
        <f aca="false">IF($A2709="","",$G2709-$H2709)</f>
        <v/>
      </c>
      <c r="J2709" s="35" t="str">
        <f aca="false">IF($A2709="","",IF(Setup!$B$6=1,YEAR($A2709),YEAR($A2709)+IF(MONTH($A2709)&gt;=Setup!$B$6,1,0)))</f>
        <v/>
      </c>
      <c r="K2709" s="35" t="str">
        <f aca="false">IF($A2709="","",MOD(MONTH($A2709)-Setup!$B$6+12,12)+1)</f>
        <v/>
      </c>
      <c r="L2709" s="36" t="str">
        <f aca="false">IF($A2709="","",TEXT($A2709,"MMM-YY"))</f>
        <v/>
      </c>
      <c r="M2709" s="37" t="str">
        <f aca="false">IF($A2709="","",IF($Q2709=0,"UNMAPPED",INDEX(COA_Mapping!$C$7:$C$256,$Q2709)))</f>
        <v/>
      </c>
      <c r="N2709" s="38" t="str">
        <f aca="false">IF($A2709="","",IF($Q2709=0,"",INDEX(COA_Mapping!$E$7:$E$256,$Q2709)))</f>
        <v/>
      </c>
      <c r="O2709" s="38" t="n">
        <f aca="false">IF($A2709="",1,IF($Q2709=0,1,INDEX(COA_Mapping!$F$7:$F$256,$Q2709)))</f>
        <v>1</v>
      </c>
      <c r="P2709" s="34" t="str">
        <f aca="false">IF($A2709="","",$I2709*$O2709)</f>
        <v/>
      </c>
      <c r="Q2709" s="39" t="n">
        <f aca="false">IF($B2709="",0,IFERROR(MATCH($B2709,COA_Mapping!$A$7:$A$256,0),0))</f>
        <v>0</v>
      </c>
      <c r="R2709" s="39" t="n">
        <f aca="false">IF($A2709="",-1,IF($J2709=Setup!$B$7,1,IF($J2709=Setup!$B$9,0,-1)))</f>
        <v>-1</v>
      </c>
      <c r="S2709" s="35" t="n">
        <f aca="false">IF(OR($A2709="",$Q2709=0,$R2709=-1),0,$Q2709*1000+$R2709*100+$K2709)</f>
        <v>0</v>
      </c>
      <c r="T2709" s="37" t="str">
        <f aca="false">IF($A2709="","",IF($B2709="","NO ACCOUNT",IF($Q2709=0,"UNMAPPED",IF($R2709=-1,"OUTSIDE FY RANGE","OK"))))</f>
        <v/>
      </c>
      <c r="U2709" s="40" t="str">
        <f aca="false">IF($A2709="","",$B2709&amp;"|"&amp;TEXT($A2709,"yyyymmdd")&amp;"|"&amp;TEXT($I2709,"0.00"))</f>
        <v/>
      </c>
      <c r="V2709" s="35" t="str">
        <f aca="false">IF($A2709="","",COUNTIF($U$8:$U$5007,$U2709))</f>
        <v/>
      </c>
    </row>
    <row r="2710" customFormat="false" ht="15" hidden="false" customHeight="false" outlineLevel="0" collapsed="false">
      <c r="A2710" s="31"/>
      <c r="B2710" s="32"/>
      <c r="C2710" s="32"/>
      <c r="D2710" s="32"/>
      <c r="E2710" s="32"/>
      <c r="F2710" s="32"/>
      <c r="G2710" s="33"/>
      <c r="H2710" s="33"/>
      <c r="I2710" s="34" t="str">
        <f aca="false">IF($A2710="","",$G2710-$H2710)</f>
        <v/>
      </c>
      <c r="J2710" s="35" t="str">
        <f aca="false">IF($A2710="","",IF(Setup!$B$6=1,YEAR($A2710),YEAR($A2710)+IF(MONTH($A2710)&gt;=Setup!$B$6,1,0)))</f>
        <v/>
      </c>
      <c r="K2710" s="35" t="str">
        <f aca="false">IF($A2710="","",MOD(MONTH($A2710)-Setup!$B$6+12,12)+1)</f>
        <v/>
      </c>
      <c r="L2710" s="36" t="str">
        <f aca="false">IF($A2710="","",TEXT($A2710,"MMM-YY"))</f>
        <v/>
      </c>
      <c r="M2710" s="37" t="str">
        <f aca="false">IF($A2710="","",IF($Q2710=0,"UNMAPPED",INDEX(COA_Mapping!$C$7:$C$256,$Q2710)))</f>
        <v/>
      </c>
      <c r="N2710" s="38" t="str">
        <f aca="false">IF($A2710="","",IF($Q2710=0,"",INDEX(COA_Mapping!$E$7:$E$256,$Q2710)))</f>
        <v/>
      </c>
      <c r="O2710" s="38" t="n">
        <f aca="false">IF($A2710="",1,IF($Q2710=0,1,INDEX(COA_Mapping!$F$7:$F$256,$Q2710)))</f>
        <v>1</v>
      </c>
      <c r="P2710" s="34" t="str">
        <f aca="false">IF($A2710="","",$I2710*$O2710)</f>
        <v/>
      </c>
      <c r="Q2710" s="39" t="n">
        <f aca="false">IF($B2710="",0,IFERROR(MATCH($B2710,COA_Mapping!$A$7:$A$256,0),0))</f>
        <v>0</v>
      </c>
      <c r="R2710" s="39" t="n">
        <f aca="false">IF($A2710="",-1,IF($J2710=Setup!$B$7,1,IF($J2710=Setup!$B$9,0,-1)))</f>
        <v>-1</v>
      </c>
      <c r="S2710" s="35" t="n">
        <f aca="false">IF(OR($A2710="",$Q2710=0,$R2710=-1),0,$Q2710*1000+$R2710*100+$K2710)</f>
        <v>0</v>
      </c>
      <c r="T2710" s="37" t="str">
        <f aca="false">IF($A2710="","",IF($B2710="","NO ACCOUNT",IF($Q2710=0,"UNMAPPED",IF($R2710=-1,"OUTSIDE FY RANGE","OK"))))</f>
        <v/>
      </c>
      <c r="U2710" s="40" t="str">
        <f aca="false">IF($A2710="","",$B2710&amp;"|"&amp;TEXT($A2710,"yyyymmdd")&amp;"|"&amp;TEXT($I2710,"0.00"))</f>
        <v/>
      </c>
      <c r="V2710" s="35" t="str">
        <f aca="false">IF($A2710="","",COUNTIF($U$8:$U$5007,$U2710))</f>
        <v/>
      </c>
    </row>
    <row r="2711" customFormat="false" ht="15" hidden="false" customHeight="false" outlineLevel="0" collapsed="false">
      <c r="A2711" s="31"/>
      <c r="B2711" s="32"/>
      <c r="C2711" s="32"/>
      <c r="D2711" s="32"/>
      <c r="E2711" s="32"/>
      <c r="F2711" s="32"/>
      <c r="G2711" s="33"/>
      <c r="H2711" s="33"/>
      <c r="I2711" s="34" t="str">
        <f aca="false">IF($A2711="","",$G2711-$H2711)</f>
        <v/>
      </c>
      <c r="J2711" s="35" t="str">
        <f aca="false">IF($A2711="","",IF(Setup!$B$6=1,YEAR($A2711),YEAR($A2711)+IF(MONTH($A2711)&gt;=Setup!$B$6,1,0)))</f>
        <v/>
      </c>
      <c r="K2711" s="35" t="str">
        <f aca="false">IF($A2711="","",MOD(MONTH($A2711)-Setup!$B$6+12,12)+1)</f>
        <v/>
      </c>
      <c r="L2711" s="36" t="str">
        <f aca="false">IF($A2711="","",TEXT($A2711,"MMM-YY"))</f>
        <v/>
      </c>
      <c r="M2711" s="37" t="str">
        <f aca="false">IF($A2711="","",IF($Q2711=0,"UNMAPPED",INDEX(COA_Mapping!$C$7:$C$256,$Q2711)))</f>
        <v/>
      </c>
      <c r="N2711" s="38" t="str">
        <f aca="false">IF($A2711="","",IF($Q2711=0,"",INDEX(COA_Mapping!$E$7:$E$256,$Q2711)))</f>
        <v/>
      </c>
      <c r="O2711" s="38" t="n">
        <f aca="false">IF($A2711="",1,IF($Q2711=0,1,INDEX(COA_Mapping!$F$7:$F$256,$Q2711)))</f>
        <v>1</v>
      </c>
      <c r="P2711" s="34" t="str">
        <f aca="false">IF($A2711="","",$I2711*$O2711)</f>
        <v/>
      </c>
      <c r="Q2711" s="39" t="n">
        <f aca="false">IF($B2711="",0,IFERROR(MATCH($B2711,COA_Mapping!$A$7:$A$256,0),0))</f>
        <v>0</v>
      </c>
      <c r="R2711" s="39" t="n">
        <f aca="false">IF($A2711="",-1,IF($J2711=Setup!$B$7,1,IF($J2711=Setup!$B$9,0,-1)))</f>
        <v>-1</v>
      </c>
      <c r="S2711" s="35" t="n">
        <f aca="false">IF(OR($A2711="",$Q2711=0,$R2711=-1),0,$Q2711*1000+$R2711*100+$K2711)</f>
        <v>0</v>
      </c>
      <c r="T2711" s="37" t="str">
        <f aca="false">IF($A2711="","",IF($B2711="","NO ACCOUNT",IF($Q2711=0,"UNMAPPED",IF($R2711=-1,"OUTSIDE FY RANGE","OK"))))</f>
        <v/>
      </c>
      <c r="U2711" s="40" t="str">
        <f aca="false">IF($A2711="","",$B2711&amp;"|"&amp;TEXT($A2711,"yyyymmdd")&amp;"|"&amp;TEXT($I2711,"0.00"))</f>
        <v/>
      </c>
      <c r="V2711" s="35" t="str">
        <f aca="false">IF($A2711="","",COUNTIF($U$8:$U$5007,$U2711))</f>
        <v/>
      </c>
    </row>
    <row r="2712" customFormat="false" ht="15" hidden="false" customHeight="false" outlineLevel="0" collapsed="false">
      <c r="A2712" s="31"/>
      <c r="B2712" s="32"/>
      <c r="C2712" s="32"/>
      <c r="D2712" s="32"/>
      <c r="E2712" s="32"/>
      <c r="F2712" s="32"/>
      <c r="G2712" s="33"/>
      <c r="H2712" s="33"/>
      <c r="I2712" s="34" t="str">
        <f aca="false">IF($A2712="","",$G2712-$H2712)</f>
        <v/>
      </c>
      <c r="J2712" s="35" t="str">
        <f aca="false">IF($A2712="","",IF(Setup!$B$6=1,YEAR($A2712),YEAR($A2712)+IF(MONTH($A2712)&gt;=Setup!$B$6,1,0)))</f>
        <v/>
      </c>
      <c r="K2712" s="35" t="str">
        <f aca="false">IF($A2712="","",MOD(MONTH($A2712)-Setup!$B$6+12,12)+1)</f>
        <v/>
      </c>
      <c r="L2712" s="36" t="str">
        <f aca="false">IF($A2712="","",TEXT($A2712,"MMM-YY"))</f>
        <v/>
      </c>
      <c r="M2712" s="37" t="str">
        <f aca="false">IF($A2712="","",IF($Q2712=0,"UNMAPPED",INDEX(COA_Mapping!$C$7:$C$256,$Q2712)))</f>
        <v/>
      </c>
      <c r="N2712" s="38" t="str">
        <f aca="false">IF($A2712="","",IF($Q2712=0,"",INDEX(COA_Mapping!$E$7:$E$256,$Q2712)))</f>
        <v/>
      </c>
      <c r="O2712" s="38" t="n">
        <f aca="false">IF($A2712="",1,IF($Q2712=0,1,INDEX(COA_Mapping!$F$7:$F$256,$Q2712)))</f>
        <v>1</v>
      </c>
      <c r="P2712" s="34" t="str">
        <f aca="false">IF($A2712="","",$I2712*$O2712)</f>
        <v/>
      </c>
      <c r="Q2712" s="39" t="n">
        <f aca="false">IF($B2712="",0,IFERROR(MATCH($B2712,COA_Mapping!$A$7:$A$256,0),0))</f>
        <v>0</v>
      </c>
      <c r="R2712" s="39" t="n">
        <f aca="false">IF($A2712="",-1,IF($J2712=Setup!$B$7,1,IF($J2712=Setup!$B$9,0,-1)))</f>
        <v>-1</v>
      </c>
      <c r="S2712" s="35" t="n">
        <f aca="false">IF(OR($A2712="",$Q2712=0,$R2712=-1),0,$Q2712*1000+$R2712*100+$K2712)</f>
        <v>0</v>
      </c>
      <c r="T2712" s="37" t="str">
        <f aca="false">IF($A2712="","",IF($B2712="","NO ACCOUNT",IF($Q2712=0,"UNMAPPED",IF($R2712=-1,"OUTSIDE FY RANGE","OK"))))</f>
        <v/>
      </c>
      <c r="U2712" s="40" t="str">
        <f aca="false">IF($A2712="","",$B2712&amp;"|"&amp;TEXT($A2712,"yyyymmdd")&amp;"|"&amp;TEXT($I2712,"0.00"))</f>
        <v/>
      </c>
      <c r="V2712" s="35" t="str">
        <f aca="false">IF($A2712="","",COUNTIF($U$8:$U$5007,$U2712))</f>
        <v/>
      </c>
    </row>
    <row r="2713" customFormat="false" ht="15" hidden="false" customHeight="false" outlineLevel="0" collapsed="false">
      <c r="A2713" s="31"/>
      <c r="B2713" s="32"/>
      <c r="C2713" s="32"/>
      <c r="D2713" s="32"/>
      <c r="E2713" s="32"/>
      <c r="F2713" s="32"/>
      <c r="G2713" s="33"/>
      <c r="H2713" s="33"/>
      <c r="I2713" s="34" t="str">
        <f aca="false">IF($A2713="","",$G2713-$H2713)</f>
        <v/>
      </c>
      <c r="J2713" s="35" t="str">
        <f aca="false">IF($A2713="","",IF(Setup!$B$6=1,YEAR($A2713),YEAR($A2713)+IF(MONTH($A2713)&gt;=Setup!$B$6,1,0)))</f>
        <v/>
      </c>
      <c r="K2713" s="35" t="str">
        <f aca="false">IF($A2713="","",MOD(MONTH($A2713)-Setup!$B$6+12,12)+1)</f>
        <v/>
      </c>
      <c r="L2713" s="36" t="str">
        <f aca="false">IF($A2713="","",TEXT($A2713,"MMM-YY"))</f>
        <v/>
      </c>
      <c r="M2713" s="37" t="str">
        <f aca="false">IF($A2713="","",IF($Q2713=0,"UNMAPPED",INDEX(COA_Mapping!$C$7:$C$256,$Q2713)))</f>
        <v/>
      </c>
      <c r="N2713" s="38" t="str">
        <f aca="false">IF($A2713="","",IF($Q2713=0,"",INDEX(COA_Mapping!$E$7:$E$256,$Q2713)))</f>
        <v/>
      </c>
      <c r="O2713" s="38" t="n">
        <f aca="false">IF($A2713="",1,IF($Q2713=0,1,INDEX(COA_Mapping!$F$7:$F$256,$Q2713)))</f>
        <v>1</v>
      </c>
      <c r="P2713" s="34" t="str">
        <f aca="false">IF($A2713="","",$I2713*$O2713)</f>
        <v/>
      </c>
      <c r="Q2713" s="39" t="n">
        <f aca="false">IF($B2713="",0,IFERROR(MATCH($B2713,COA_Mapping!$A$7:$A$256,0),0))</f>
        <v>0</v>
      </c>
      <c r="R2713" s="39" t="n">
        <f aca="false">IF($A2713="",-1,IF($J2713=Setup!$B$7,1,IF($J2713=Setup!$B$9,0,-1)))</f>
        <v>-1</v>
      </c>
      <c r="S2713" s="35" t="n">
        <f aca="false">IF(OR($A2713="",$Q2713=0,$R2713=-1),0,$Q2713*1000+$R2713*100+$K2713)</f>
        <v>0</v>
      </c>
      <c r="T2713" s="37" t="str">
        <f aca="false">IF($A2713="","",IF($B2713="","NO ACCOUNT",IF($Q2713=0,"UNMAPPED",IF($R2713=-1,"OUTSIDE FY RANGE","OK"))))</f>
        <v/>
      </c>
      <c r="U2713" s="40" t="str">
        <f aca="false">IF($A2713="","",$B2713&amp;"|"&amp;TEXT($A2713,"yyyymmdd")&amp;"|"&amp;TEXT($I2713,"0.00"))</f>
        <v/>
      </c>
      <c r="V2713" s="35" t="str">
        <f aca="false">IF($A2713="","",COUNTIF($U$8:$U$5007,$U2713))</f>
        <v/>
      </c>
    </row>
    <row r="2714" customFormat="false" ht="15" hidden="false" customHeight="false" outlineLevel="0" collapsed="false">
      <c r="A2714" s="31"/>
      <c r="B2714" s="32"/>
      <c r="C2714" s="32"/>
      <c r="D2714" s="32"/>
      <c r="E2714" s="32"/>
      <c r="F2714" s="32"/>
      <c r="G2714" s="33"/>
      <c r="H2714" s="33"/>
      <c r="I2714" s="34" t="str">
        <f aca="false">IF($A2714="","",$G2714-$H2714)</f>
        <v/>
      </c>
      <c r="J2714" s="35" t="str">
        <f aca="false">IF($A2714="","",IF(Setup!$B$6=1,YEAR($A2714),YEAR($A2714)+IF(MONTH($A2714)&gt;=Setup!$B$6,1,0)))</f>
        <v/>
      </c>
      <c r="K2714" s="35" t="str">
        <f aca="false">IF($A2714="","",MOD(MONTH($A2714)-Setup!$B$6+12,12)+1)</f>
        <v/>
      </c>
      <c r="L2714" s="36" t="str">
        <f aca="false">IF($A2714="","",TEXT($A2714,"MMM-YY"))</f>
        <v/>
      </c>
      <c r="M2714" s="37" t="str">
        <f aca="false">IF($A2714="","",IF($Q2714=0,"UNMAPPED",INDEX(COA_Mapping!$C$7:$C$256,$Q2714)))</f>
        <v/>
      </c>
      <c r="N2714" s="38" t="str">
        <f aca="false">IF($A2714="","",IF($Q2714=0,"",INDEX(COA_Mapping!$E$7:$E$256,$Q2714)))</f>
        <v/>
      </c>
      <c r="O2714" s="38" t="n">
        <f aca="false">IF($A2714="",1,IF($Q2714=0,1,INDEX(COA_Mapping!$F$7:$F$256,$Q2714)))</f>
        <v>1</v>
      </c>
      <c r="P2714" s="34" t="str">
        <f aca="false">IF($A2714="","",$I2714*$O2714)</f>
        <v/>
      </c>
      <c r="Q2714" s="39" t="n">
        <f aca="false">IF($B2714="",0,IFERROR(MATCH($B2714,COA_Mapping!$A$7:$A$256,0),0))</f>
        <v>0</v>
      </c>
      <c r="R2714" s="39" t="n">
        <f aca="false">IF($A2714="",-1,IF($J2714=Setup!$B$7,1,IF($J2714=Setup!$B$9,0,-1)))</f>
        <v>-1</v>
      </c>
      <c r="S2714" s="35" t="n">
        <f aca="false">IF(OR($A2714="",$Q2714=0,$R2714=-1),0,$Q2714*1000+$R2714*100+$K2714)</f>
        <v>0</v>
      </c>
      <c r="T2714" s="37" t="str">
        <f aca="false">IF($A2714="","",IF($B2714="","NO ACCOUNT",IF($Q2714=0,"UNMAPPED",IF($R2714=-1,"OUTSIDE FY RANGE","OK"))))</f>
        <v/>
      </c>
      <c r="U2714" s="40" t="str">
        <f aca="false">IF($A2714="","",$B2714&amp;"|"&amp;TEXT($A2714,"yyyymmdd")&amp;"|"&amp;TEXT($I2714,"0.00"))</f>
        <v/>
      </c>
      <c r="V2714" s="35" t="str">
        <f aca="false">IF($A2714="","",COUNTIF($U$8:$U$5007,$U2714))</f>
        <v/>
      </c>
    </row>
    <row r="2715" customFormat="false" ht="15" hidden="false" customHeight="false" outlineLevel="0" collapsed="false">
      <c r="A2715" s="31"/>
      <c r="B2715" s="32"/>
      <c r="C2715" s="32"/>
      <c r="D2715" s="32"/>
      <c r="E2715" s="32"/>
      <c r="F2715" s="32"/>
      <c r="G2715" s="33"/>
      <c r="H2715" s="33"/>
      <c r="I2715" s="34" t="str">
        <f aca="false">IF($A2715="","",$G2715-$H2715)</f>
        <v/>
      </c>
      <c r="J2715" s="35" t="str">
        <f aca="false">IF($A2715="","",IF(Setup!$B$6=1,YEAR($A2715),YEAR($A2715)+IF(MONTH($A2715)&gt;=Setup!$B$6,1,0)))</f>
        <v/>
      </c>
      <c r="K2715" s="35" t="str">
        <f aca="false">IF($A2715="","",MOD(MONTH($A2715)-Setup!$B$6+12,12)+1)</f>
        <v/>
      </c>
      <c r="L2715" s="36" t="str">
        <f aca="false">IF($A2715="","",TEXT($A2715,"MMM-YY"))</f>
        <v/>
      </c>
      <c r="M2715" s="37" t="str">
        <f aca="false">IF($A2715="","",IF($Q2715=0,"UNMAPPED",INDEX(COA_Mapping!$C$7:$C$256,$Q2715)))</f>
        <v/>
      </c>
      <c r="N2715" s="38" t="str">
        <f aca="false">IF($A2715="","",IF($Q2715=0,"",INDEX(COA_Mapping!$E$7:$E$256,$Q2715)))</f>
        <v/>
      </c>
      <c r="O2715" s="38" t="n">
        <f aca="false">IF($A2715="",1,IF($Q2715=0,1,INDEX(COA_Mapping!$F$7:$F$256,$Q2715)))</f>
        <v>1</v>
      </c>
      <c r="P2715" s="34" t="str">
        <f aca="false">IF($A2715="","",$I2715*$O2715)</f>
        <v/>
      </c>
      <c r="Q2715" s="39" t="n">
        <f aca="false">IF($B2715="",0,IFERROR(MATCH($B2715,COA_Mapping!$A$7:$A$256,0),0))</f>
        <v>0</v>
      </c>
      <c r="R2715" s="39" t="n">
        <f aca="false">IF($A2715="",-1,IF($J2715=Setup!$B$7,1,IF($J2715=Setup!$B$9,0,-1)))</f>
        <v>-1</v>
      </c>
      <c r="S2715" s="35" t="n">
        <f aca="false">IF(OR($A2715="",$Q2715=0,$R2715=-1),0,$Q2715*1000+$R2715*100+$K2715)</f>
        <v>0</v>
      </c>
      <c r="T2715" s="37" t="str">
        <f aca="false">IF($A2715="","",IF($B2715="","NO ACCOUNT",IF($Q2715=0,"UNMAPPED",IF($R2715=-1,"OUTSIDE FY RANGE","OK"))))</f>
        <v/>
      </c>
      <c r="U2715" s="40" t="str">
        <f aca="false">IF($A2715="","",$B2715&amp;"|"&amp;TEXT($A2715,"yyyymmdd")&amp;"|"&amp;TEXT($I2715,"0.00"))</f>
        <v/>
      </c>
      <c r="V2715" s="35" t="str">
        <f aca="false">IF($A2715="","",COUNTIF($U$8:$U$5007,$U2715))</f>
        <v/>
      </c>
    </row>
    <row r="2716" customFormat="false" ht="15" hidden="false" customHeight="false" outlineLevel="0" collapsed="false">
      <c r="A2716" s="31"/>
      <c r="B2716" s="32"/>
      <c r="C2716" s="32"/>
      <c r="D2716" s="32"/>
      <c r="E2716" s="32"/>
      <c r="F2716" s="32"/>
      <c r="G2716" s="33"/>
      <c r="H2716" s="33"/>
      <c r="I2716" s="34" t="str">
        <f aca="false">IF($A2716="","",$G2716-$H2716)</f>
        <v/>
      </c>
      <c r="J2716" s="35" t="str">
        <f aca="false">IF($A2716="","",IF(Setup!$B$6=1,YEAR($A2716),YEAR($A2716)+IF(MONTH($A2716)&gt;=Setup!$B$6,1,0)))</f>
        <v/>
      </c>
      <c r="K2716" s="35" t="str">
        <f aca="false">IF($A2716="","",MOD(MONTH($A2716)-Setup!$B$6+12,12)+1)</f>
        <v/>
      </c>
      <c r="L2716" s="36" t="str">
        <f aca="false">IF($A2716="","",TEXT($A2716,"MMM-YY"))</f>
        <v/>
      </c>
      <c r="M2716" s="37" t="str">
        <f aca="false">IF($A2716="","",IF($Q2716=0,"UNMAPPED",INDEX(COA_Mapping!$C$7:$C$256,$Q2716)))</f>
        <v/>
      </c>
      <c r="N2716" s="38" t="str">
        <f aca="false">IF($A2716="","",IF($Q2716=0,"",INDEX(COA_Mapping!$E$7:$E$256,$Q2716)))</f>
        <v/>
      </c>
      <c r="O2716" s="38" t="n">
        <f aca="false">IF($A2716="",1,IF($Q2716=0,1,INDEX(COA_Mapping!$F$7:$F$256,$Q2716)))</f>
        <v>1</v>
      </c>
      <c r="P2716" s="34" t="str">
        <f aca="false">IF($A2716="","",$I2716*$O2716)</f>
        <v/>
      </c>
      <c r="Q2716" s="39" t="n">
        <f aca="false">IF($B2716="",0,IFERROR(MATCH($B2716,COA_Mapping!$A$7:$A$256,0),0))</f>
        <v>0</v>
      </c>
      <c r="R2716" s="39" t="n">
        <f aca="false">IF($A2716="",-1,IF($J2716=Setup!$B$7,1,IF($J2716=Setup!$B$9,0,-1)))</f>
        <v>-1</v>
      </c>
      <c r="S2716" s="35" t="n">
        <f aca="false">IF(OR($A2716="",$Q2716=0,$R2716=-1),0,$Q2716*1000+$R2716*100+$K2716)</f>
        <v>0</v>
      </c>
      <c r="T2716" s="37" t="str">
        <f aca="false">IF($A2716="","",IF($B2716="","NO ACCOUNT",IF($Q2716=0,"UNMAPPED",IF($R2716=-1,"OUTSIDE FY RANGE","OK"))))</f>
        <v/>
      </c>
      <c r="U2716" s="40" t="str">
        <f aca="false">IF($A2716="","",$B2716&amp;"|"&amp;TEXT($A2716,"yyyymmdd")&amp;"|"&amp;TEXT($I2716,"0.00"))</f>
        <v/>
      </c>
      <c r="V2716" s="35" t="str">
        <f aca="false">IF($A2716="","",COUNTIF($U$8:$U$5007,$U2716))</f>
        <v/>
      </c>
    </row>
    <row r="2717" customFormat="false" ht="15" hidden="false" customHeight="false" outlineLevel="0" collapsed="false">
      <c r="A2717" s="31"/>
      <c r="B2717" s="32"/>
      <c r="C2717" s="32"/>
      <c r="D2717" s="32"/>
      <c r="E2717" s="32"/>
      <c r="F2717" s="32"/>
      <c r="G2717" s="33"/>
      <c r="H2717" s="33"/>
      <c r="I2717" s="34" t="str">
        <f aca="false">IF($A2717="","",$G2717-$H2717)</f>
        <v/>
      </c>
      <c r="J2717" s="35" t="str">
        <f aca="false">IF($A2717="","",IF(Setup!$B$6=1,YEAR($A2717),YEAR($A2717)+IF(MONTH($A2717)&gt;=Setup!$B$6,1,0)))</f>
        <v/>
      </c>
      <c r="K2717" s="35" t="str">
        <f aca="false">IF($A2717="","",MOD(MONTH($A2717)-Setup!$B$6+12,12)+1)</f>
        <v/>
      </c>
      <c r="L2717" s="36" t="str">
        <f aca="false">IF($A2717="","",TEXT($A2717,"MMM-YY"))</f>
        <v/>
      </c>
      <c r="M2717" s="37" t="str">
        <f aca="false">IF($A2717="","",IF($Q2717=0,"UNMAPPED",INDEX(COA_Mapping!$C$7:$C$256,$Q2717)))</f>
        <v/>
      </c>
      <c r="N2717" s="38" t="str">
        <f aca="false">IF($A2717="","",IF($Q2717=0,"",INDEX(COA_Mapping!$E$7:$E$256,$Q2717)))</f>
        <v/>
      </c>
      <c r="O2717" s="38" t="n">
        <f aca="false">IF($A2717="",1,IF($Q2717=0,1,INDEX(COA_Mapping!$F$7:$F$256,$Q2717)))</f>
        <v>1</v>
      </c>
      <c r="P2717" s="34" t="str">
        <f aca="false">IF($A2717="","",$I2717*$O2717)</f>
        <v/>
      </c>
      <c r="Q2717" s="39" t="n">
        <f aca="false">IF($B2717="",0,IFERROR(MATCH($B2717,COA_Mapping!$A$7:$A$256,0),0))</f>
        <v>0</v>
      </c>
      <c r="R2717" s="39" t="n">
        <f aca="false">IF($A2717="",-1,IF($J2717=Setup!$B$7,1,IF($J2717=Setup!$B$9,0,-1)))</f>
        <v>-1</v>
      </c>
      <c r="S2717" s="35" t="n">
        <f aca="false">IF(OR($A2717="",$Q2717=0,$R2717=-1),0,$Q2717*1000+$R2717*100+$K2717)</f>
        <v>0</v>
      </c>
      <c r="T2717" s="37" t="str">
        <f aca="false">IF($A2717="","",IF($B2717="","NO ACCOUNT",IF($Q2717=0,"UNMAPPED",IF($R2717=-1,"OUTSIDE FY RANGE","OK"))))</f>
        <v/>
      </c>
      <c r="U2717" s="40" t="str">
        <f aca="false">IF($A2717="","",$B2717&amp;"|"&amp;TEXT($A2717,"yyyymmdd")&amp;"|"&amp;TEXT($I2717,"0.00"))</f>
        <v/>
      </c>
      <c r="V2717" s="35" t="str">
        <f aca="false">IF($A2717="","",COUNTIF($U$8:$U$5007,$U2717))</f>
        <v/>
      </c>
    </row>
    <row r="2718" customFormat="false" ht="15" hidden="false" customHeight="false" outlineLevel="0" collapsed="false">
      <c r="A2718" s="31"/>
      <c r="B2718" s="32"/>
      <c r="C2718" s="32"/>
      <c r="D2718" s="32"/>
      <c r="E2718" s="32"/>
      <c r="F2718" s="32"/>
      <c r="G2718" s="33"/>
      <c r="H2718" s="33"/>
      <c r="I2718" s="34" t="str">
        <f aca="false">IF($A2718="","",$G2718-$H2718)</f>
        <v/>
      </c>
      <c r="J2718" s="35" t="str">
        <f aca="false">IF($A2718="","",IF(Setup!$B$6=1,YEAR($A2718),YEAR($A2718)+IF(MONTH($A2718)&gt;=Setup!$B$6,1,0)))</f>
        <v/>
      </c>
      <c r="K2718" s="35" t="str">
        <f aca="false">IF($A2718="","",MOD(MONTH($A2718)-Setup!$B$6+12,12)+1)</f>
        <v/>
      </c>
      <c r="L2718" s="36" t="str">
        <f aca="false">IF($A2718="","",TEXT($A2718,"MMM-YY"))</f>
        <v/>
      </c>
      <c r="M2718" s="37" t="str">
        <f aca="false">IF($A2718="","",IF($Q2718=0,"UNMAPPED",INDEX(COA_Mapping!$C$7:$C$256,$Q2718)))</f>
        <v/>
      </c>
      <c r="N2718" s="38" t="str">
        <f aca="false">IF($A2718="","",IF($Q2718=0,"",INDEX(COA_Mapping!$E$7:$E$256,$Q2718)))</f>
        <v/>
      </c>
      <c r="O2718" s="38" t="n">
        <f aca="false">IF($A2718="",1,IF($Q2718=0,1,INDEX(COA_Mapping!$F$7:$F$256,$Q2718)))</f>
        <v>1</v>
      </c>
      <c r="P2718" s="34" t="str">
        <f aca="false">IF($A2718="","",$I2718*$O2718)</f>
        <v/>
      </c>
      <c r="Q2718" s="39" t="n">
        <f aca="false">IF($B2718="",0,IFERROR(MATCH($B2718,COA_Mapping!$A$7:$A$256,0),0))</f>
        <v>0</v>
      </c>
      <c r="R2718" s="39" t="n">
        <f aca="false">IF($A2718="",-1,IF($J2718=Setup!$B$7,1,IF($J2718=Setup!$B$9,0,-1)))</f>
        <v>-1</v>
      </c>
      <c r="S2718" s="35" t="n">
        <f aca="false">IF(OR($A2718="",$Q2718=0,$R2718=-1),0,$Q2718*1000+$R2718*100+$K2718)</f>
        <v>0</v>
      </c>
      <c r="T2718" s="37" t="str">
        <f aca="false">IF($A2718="","",IF($B2718="","NO ACCOUNT",IF($Q2718=0,"UNMAPPED",IF($R2718=-1,"OUTSIDE FY RANGE","OK"))))</f>
        <v/>
      </c>
      <c r="U2718" s="40" t="str">
        <f aca="false">IF($A2718="","",$B2718&amp;"|"&amp;TEXT($A2718,"yyyymmdd")&amp;"|"&amp;TEXT($I2718,"0.00"))</f>
        <v/>
      </c>
      <c r="V2718" s="35" t="str">
        <f aca="false">IF($A2718="","",COUNTIF($U$8:$U$5007,$U2718))</f>
        <v/>
      </c>
    </row>
    <row r="2719" customFormat="false" ht="15" hidden="false" customHeight="false" outlineLevel="0" collapsed="false">
      <c r="A2719" s="31"/>
      <c r="B2719" s="32"/>
      <c r="C2719" s="32"/>
      <c r="D2719" s="32"/>
      <c r="E2719" s="32"/>
      <c r="F2719" s="32"/>
      <c r="G2719" s="33"/>
      <c r="H2719" s="33"/>
      <c r="I2719" s="34" t="str">
        <f aca="false">IF($A2719="","",$G2719-$H2719)</f>
        <v/>
      </c>
      <c r="J2719" s="35" t="str">
        <f aca="false">IF($A2719="","",IF(Setup!$B$6=1,YEAR($A2719),YEAR($A2719)+IF(MONTH($A2719)&gt;=Setup!$B$6,1,0)))</f>
        <v/>
      </c>
      <c r="K2719" s="35" t="str">
        <f aca="false">IF($A2719="","",MOD(MONTH($A2719)-Setup!$B$6+12,12)+1)</f>
        <v/>
      </c>
      <c r="L2719" s="36" t="str">
        <f aca="false">IF($A2719="","",TEXT($A2719,"MMM-YY"))</f>
        <v/>
      </c>
      <c r="M2719" s="37" t="str">
        <f aca="false">IF($A2719="","",IF($Q2719=0,"UNMAPPED",INDEX(COA_Mapping!$C$7:$C$256,$Q2719)))</f>
        <v/>
      </c>
      <c r="N2719" s="38" t="str">
        <f aca="false">IF($A2719="","",IF($Q2719=0,"",INDEX(COA_Mapping!$E$7:$E$256,$Q2719)))</f>
        <v/>
      </c>
      <c r="O2719" s="38" t="n">
        <f aca="false">IF($A2719="",1,IF($Q2719=0,1,INDEX(COA_Mapping!$F$7:$F$256,$Q2719)))</f>
        <v>1</v>
      </c>
      <c r="P2719" s="34" t="str">
        <f aca="false">IF($A2719="","",$I2719*$O2719)</f>
        <v/>
      </c>
      <c r="Q2719" s="39" t="n">
        <f aca="false">IF($B2719="",0,IFERROR(MATCH($B2719,COA_Mapping!$A$7:$A$256,0),0))</f>
        <v>0</v>
      </c>
      <c r="R2719" s="39" t="n">
        <f aca="false">IF($A2719="",-1,IF($J2719=Setup!$B$7,1,IF($J2719=Setup!$B$9,0,-1)))</f>
        <v>-1</v>
      </c>
      <c r="S2719" s="35" t="n">
        <f aca="false">IF(OR($A2719="",$Q2719=0,$R2719=-1),0,$Q2719*1000+$R2719*100+$K2719)</f>
        <v>0</v>
      </c>
      <c r="T2719" s="37" t="str">
        <f aca="false">IF($A2719="","",IF($B2719="","NO ACCOUNT",IF($Q2719=0,"UNMAPPED",IF($R2719=-1,"OUTSIDE FY RANGE","OK"))))</f>
        <v/>
      </c>
      <c r="U2719" s="40" t="str">
        <f aca="false">IF($A2719="","",$B2719&amp;"|"&amp;TEXT($A2719,"yyyymmdd")&amp;"|"&amp;TEXT($I2719,"0.00"))</f>
        <v/>
      </c>
      <c r="V2719" s="35" t="str">
        <f aca="false">IF($A2719="","",COUNTIF($U$8:$U$5007,$U2719))</f>
        <v/>
      </c>
    </row>
    <row r="2720" customFormat="false" ht="15" hidden="false" customHeight="false" outlineLevel="0" collapsed="false">
      <c r="A2720" s="31"/>
      <c r="B2720" s="32"/>
      <c r="C2720" s="32"/>
      <c r="D2720" s="32"/>
      <c r="E2720" s="32"/>
      <c r="F2720" s="32"/>
      <c r="G2720" s="33"/>
      <c r="H2720" s="33"/>
      <c r="I2720" s="34" t="str">
        <f aca="false">IF($A2720="","",$G2720-$H2720)</f>
        <v/>
      </c>
      <c r="J2720" s="35" t="str">
        <f aca="false">IF($A2720="","",IF(Setup!$B$6=1,YEAR($A2720),YEAR($A2720)+IF(MONTH($A2720)&gt;=Setup!$B$6,1,0)))</f>
        <v/>
      </c>
      <c r="K2720" s="35" t="str">
        <f aca="false">IF($A2720="","",MOD(MONTH($A2720)-Setup!$B$6+12,12)+1)</f>
        <v/>
      </c>
      <c r="L2720" s="36" t="str">
        <f aca="false">IF($A2720="","",TEXT($A2720,"MMM-YY"))</f>
        <v/>
      </c>
      <c r="M2720" s="37" t="str">
        <f aca="false">IF($A2720="","",IF($Q2720=0,"UNMAPPED",INDEX(COA_Mapping!$C$7:$C$256,$Q2720)))</f>
        <v/>
      </c>
      <c r="N2720" s="38" t="str">
        <f aca="false">IF($A2720="","",IF($Q2720=0,"",INDEX(COA_Mapping!$E$7:$E$256,$Q2720)))</f>
        <v/>
      </c>
      <c r="O2720" s="38" t="n">
        <f aca="false">IF($A2720="",1,IF($Q2720=0,1,INDEX(COA_Mapping!$F$7:$F$256,$Q2720)))</f>
        <v>1</v>
      </c>
      <c r="P2720" s="34" t="str">
        <f aca="false">IF($A2720="","",$I2720*$O2720)</f>
        <v/>
      </c>
      <c r="Q2720" s="39" t="n">
        <f aca="false">IF($B2720="",0,IFERROR(MATCH($B2720,COA_Mapping!$A$7:$A$256,0),0))</f>
        <v>0</v>
      </c>
      <c r="R2720" s="39" t="n">
        <f aca="false">IF($A2720="",-1,IF($J2720=Setup!$B$7,1,IF($J2720=Setup!$B$9,0,-1)))</f>
        <v>-1</v>
      </c>
      <c r="S2720" s="35" t="n">
        <f aca="false">IF(OR($A2720="",$Q2720=0,$R2720=-1),0,$Q2720*1000+$R2720*100+$K2720)</f>
        <v>0</v>
      </c>
      <c r="T2720" s="37" t="str">
        <f aca="false">IF($A2720="","",IF($B2720="","NO ACCOUNT",IF($Q2720=0,"UNMAPPED",IF($R2720=-1,"OUTSIDE FY RANGE","OK"))))</f>
        <v/>
      </c>
      <c r="U2720" s="40" t="str">
        <f aca="false">IF($A2720="","",$B2720&amp;"|"&amp;TEXT($A2720,"yyyymmdd")&amp;"|"&amp;TEXT($I2720,"0.00"))</f>
        <v/>
      </c>
      <c r="V2720" s="35" t="str">
        <f aca="false">IF($A2720="","",COUNTIF($U$8:$U$5007,$U2720))</f>
        <v/>
      </c>
    </row>
    <row r="2721" customFormat="false" ht="15" hidden="false" customHeight="false" outlineLevel="0" collapsed="false">
      <c r="A2721" s="31"/>
      <c r="B2721" s="32"/>
      <c r="C2721" s="32"/>
      <c r="D2721" s="32"/>
      <c r="E2721" s="32"/>
      <c r="F2721" s="32"/>
      <c r="G2721" s="33"/>
      <c r="H2721" s="33"/>
      <c r="I2721" s="34" t="str">
        <f aca="false">IF($A2721="","",$G2721-$H2721)</f>
        <v/>
      </c>
      <c r="J2721" s="35" t="str">
        <f aca="false">IF($A2721="","",IF(Setup!$B$6=1,YEAR($A2721),YEAR($A2721)+IF(MONTH($A2721)&gt;=Setup!$B$6,1,0)))</f>
        <v/>
      </c>
      <c r="K2721" s="35" t="str">
        <f aca="false">IF($A2721="","",MOD(MONTH($A2721)-Setup!$B$6+12,12)+1)</f>
        <v/>
      </c>
      <c r="L2721" s="36" t="str">
        <f aca="false">IF($A2721="","",TEXT($A2721,"MMM-YY"))</f>
        <v/>
      </c>
      <c r="M2721" s="37" t="str">
        <f aca="false">IF($A2721="","",IF($Q2721=0,"UNMAPPED",INDEX(COA_Mapping!$C$7:$C$256,$Q2721)))</f>
        <v/>
      </c>
      <c r="N2721" s="38" t="str">
        <f aca="false">IF($A2721="","",IF($Q2721=0,"",INDEX(COA_Mapping!$E$7:$E$256,$Q2721)))</f>
        <v/>
      </c>
      <c r="O2721" s="38" t="n">
        <f aca="false">IF($A2721="",1,IF($Q2721=0,1,INDEX(COA_Mapping!$F$7:$F$256,$Q2721)))</f>
        <v>1</v>
      </c>
      <c r="P2721" s="34" t="str">
        <f aca="false">IF($A2721="","",$I2721*$O2721)</f>
        <v/>
      </c>
      <c r="Q2721" s="39" t="n">
        <f aca="false">IF($B2721="",0,IFERROR(MATCH($B2721,COA_Mapping!$A$7:$A$256,0),0))</f>
        <v>0</v>
      </c>
      <c r="R2721" s="39" t="n">
        <f aca="false">IF($A2721="",-1,IF($J2721=Setup!$B$7,1,IF($J2721=Setup!$B$9,0,-1)))</f>
        <v>-1</v>
      </c>
      <c r="S2721" s="35" t="n">
        <f aca="false">IF(OR($A2721="",$Q2721=0,$R2721=-1),0,$Q2721*1000+$R2721*100+$K2721)</f>
        <v>0</v>
      </c>
      <c r="T2721" s="37" t="str">
        <f aca="false">IF($A2721="","",IF($B2721="","NO ACCOUNT",IF($Q2721=0,"UNMAPPED",IF($R2721=-1,"OUTSIDE FY RANGE","OK"))))</f>
        <v/>
      </c>
      <c r="U2721" s="40" t="str">
        <f aca="false">IF($A2721="","",$B2721&amp;"|"&amp;TEXT($A2721,"yyyymmdd")&amp;"|"&amp;TEXT($I2721,"0.00"))</f>
        <v/>
      </c>
      <c r="V2721" s="35" t="str">
        <f aca="false">IF($A2721="","",COUNTIF($U$8:$U$5007,$U2721))</f>
        <v/>
      </c>
    </row>
    <row r="2722" customFormat="false" ht="15" hidden="false" customHeight="false" outlineLevel="0" collapsed="false">
      <c r="A2722" s="31"/>
      <c r="B2722" s="32"/>
      <c r="C2722" s="32"/>
      <c r="D2722" s="32"/>
      <c r="E2722" s="32"/>
      <c r="F2722" s="32"/>
      <c r="G2722" s="33"/>
      <c r="H2722" s="33"/>
      <c r="I2722" s="34" t="str">
        <f aca="false">IF($A2722="","",$G2722-$H2722)</f>
        <v/>
      </c>
      <c r="J2722" s="35" t="str">
        <f aca="false">IF($A2722="","",IF(Setup!$B$6=1,YEAR($A2722),YEAR($A2722)+IF(MONTH($A2722)&gt;=Setup!$B$6,1,0)))</f>
        <v/>
      </c>
      <c r="K2722" s="35" t="str">
        <f aca="false">IF($A2722="","",MOD(MONTH($A2722)-Setup!$B$6+12,12)+1)</f>
        <v/>
      </c>
      <c r="L2722" s="36" t="str">
        <f aca="false">IF($A2722="","",TEXT($A2722,"MMM-YY"))</f>
        <v/>
      </c>
      <c r="M2722" s="37" t="str">
        <f aca="false">IF($A2722="","",IF($Q2722=0,"UNMAPPED",INDEX(COA_Mapping!$C$7:$C$256,$Q2722)))</f>
        <v/>
      </c>
      <c r="N2722" s="38" t="str">
        <f aca="false">IF($A2722="","",IF($Q2722=0,"",INDEX(COA_Mapping!$E$7:$E$256,$Q2722)))</f>
        <v/>
      </c>
      <c r="O2722" s="38" t="n">
        <f aca="false">IF($A2722="",1,IF($Q2722=0,1,INDEX(COA_Mapping!$F$7:$F$256,$Q2722)))</f>
        <v>1</v>
      </c>
      <c r="P2722" s="34" t="str">
        <f aca="false">IF($A2722="","",$I2722*$O2722)</f>
        <v/>
      </c>
      <c r="Q2722" s="39" t="n">
        <f aca="false">IF($B2722="",0,IFERROR(MATCH($B2722,COA_Mapping!$A$7:$A$256,0),0))</f>
        <v>0</v>
      </c>
      <c r="R2722" s="39" t="n">
        <f aca="false">IF($A2722="",-1,IF($J2722=Setup!$B$7,1,IF($J2722=Setup!$B$9,0,-1)))</f>
        <v>-1</v>
      </c>
      <c r="S2722" s="35" t="n">
        <f aca="false">IF(OR($A2722="",$Q2722=0,$R2722=-1),0,$Q2722*1000+$R2722*100+$K2722)</f>
        <v>0</v>
      </c>
      <c r="T2722" s="37" t="str">
        <f aca="false">IF($A2722="","",IF($B2722="","NO ACCOUNT",IF($Q2722=0,"UNMAPPED",IF($R2722=-1,"OUTSIDE FY RANGE","OK"))))</f>
        <v/>
      </c>
      <c r="U2722" s="40" t="str">
        <f aca="false">IF($A2722="","",$B2722&amp;"|"&amp;TEXT($A2722,"yyyymmdd")&amp;"|"&amp;TEXT($I2722,"0.00"))</f>
        <v/>
      </c>
      <c r="V2722" s="35" t="str">
        <f aca="false">IF($A2722="","",COUNTIF($U$8:$U$5007,$U2722))</f>
        <v/>
      </c>
    </row>
    <row r="2723" customFormat="false" ht="15" hidden="false" customHeight="false" outlineLevel="0" collapsed="false">
      <c r="A2723" s="31"/>
      <c r="B2723" s="32"/>
      <c r="C2723" s="32"/>
      <c r="D2723" s="32"/>
      <c r="E2723" s="32"/>
      <c r="F2723" s="32"/>
      <c r="G2723" s="33"/>
      <c r="H2723" s="33"/>
      <c r="I2723" s="34" t="str">
        <f aca="false">IF($A2723="","",$G2723-$H2723)</f>
        <v/>
      </c>
      <c r="J2723" s="35" t="str">
        <f aca="false">IF($A2723="","",IF(Setup!$B$6=1,YEAR($A2723),YEAR($A2723)+IF(MONTH($A2723)&gt;=Setup!$B$6,1,0)))</f>
        <v/>
      </c>
      <c r="K2723" s="35" t="str">
        <f aca="false">IF($A2723="","",MOD(MONTH($A2723)-Setup!$B$6+12,12)+1)</f>
        <v/>
      </c>
      <c r="L2723" s="36" t="str">
        <f aca="false">IF($A2723="","",TEXT($A2723,"MMM-YY"))</f>
        <v/>
      </c>
      <c r="M2723" s="37" t="str">
        <f aca="false">IF($A2723="","",IF($Q2723=0,"UNMAPPED",INDEX(COA_Mapping!$C$7:$C$256,$Q2723)))</f>
        <v/>
      </c>
      <c r="N2723" s="38" t="str">
        <f aca="false">IF($A2723="","",IF($Q2723=0,"",INDEX(COA_Mapping!$E$7:$E$256,$Q2723)))</f>
        <v/>
      </c>
      <c r="O2723" s="38" t="n">
        <f aca="false">IF($A2723="",1,IF($Q2723=0,1,INDEX(COA_Mapping!$F$7:$F$256,$Q2723)))</f>
        <v>1</v>
      </c>
      <c r="P2723" s="34" t="str">
        <f aca="false">IF($A2723="","",$I2723*$O2723)</f>
        <v/>
      </c>
      <c r="Q2723" s="39" t="n">
        <f aca="false">IF($B2723="",0,IFERROR(MATCH($B2723,COA_Mapping!$A$7:$A$256,0),0))</f>
        <v>0</v>
      </c>
      <c r="R2723" s="39" t="n">
        <f aca="false">IF($A2723="",-1,IF($J2723=Setup!$B$7,1,IF($J2723=Setup!$B$9,0,-1)))</f>
        <v>-1</v>
      </c>
      <c r="S2723" s="35" t="n">
        <f aca="false">IF(OR($A2723="",$Q2723=0,$R2723=-1),0,$Q2723*1000+$R2723*100+$K2723)</f>
        <v>0</v>
      </c>
      <c r="T2723" s="37" t="str">
        <f aca="false">IF($A2723="","",IF($B2723="","NO ACCOUNT",IF($Q2723=0,"UNMAPPED",IF($R2723=-1,"OUTSIDE FY RANGE","OK"))))</f>
        <v/>
      </c>
      <c r="U2723" s="40" t="str">
        <f aca="false">IF($A2723="","",$B2723&amp;"|"&amp;TEXT($A2723,"yyyymmdd")&amp;"|"&amp;TEXT($I2723,"0.00"))</f>
        <v/>
      </c>
      <c r="V2723" s="35" t="str">
        <f aca="false">IF($A2723="","",COUNTIF($U$8:$U$5007,$U2723))</f>
        <v/>
      </c>
    </row>
    <row r="2724" customFormat="false" ht="15" hidden="false" customHeight="false" outlineLevel="0" collapsed="false">
      <c r="A2724" s="31"/>
      <c r="B2724" s="32"/>
      <c r="C2724" s="32"/>
      <c r="D2724" s="32"/>
      <c r="E2724" s="32"/>
      <c r="F2724" s="32"/>
      <c r="G2724" s="33"/>
      <c r="H2724" s="33"/>
      <c r="I2724" s="34" t="str">
        <f aca="false">IF($A2724="","",$G2724-$H2724)</f>
        <v/>
      </c>
      <c r="J2724" s="35" t="str">
        <f aca="false">IF($A2724="","",IF(Setup!$B$6=1,YEAR($A2724),YEAR($A2724)+IF(MONTH($A2724)&gt;=Setup!$B$6,1,0)))</f>
        <v/>
      </c>
      <c r="K2724" s="35" t="str">
        <f aca="false">IF($A2724="","",MOD(MONTH($A2724)-Setup!$B$6+12,12)+1)</f>
        <v/>
      </c>
      <c r="L2724" s="36" t="str">
        <f aca="false">IF($A2724="","",TEXT($A2724,"MMM-YY"))</f>
        <v/>
      </c>
      <c r="M2724" s="37" t="str">
        <f aca="false">IF($A2724="","",IF($Q2724=0,"UNMAPPED",INDEX(COA_Mapping!$C$7:$C$256,$Q2724)))</f>
        <v/>
      </c>
      <c r="N2724" s="38" t="str">
        <f aca="false">IF($A2724="","",IF($Q2724=0,"",INDEX(COA_Mapping!$E$7:$E$256,$Q2724)))</f>
        <v/>
      </c>
      <c r="O2724" s="38" t="n">
        <f aca="false">IF($A2724="",1,IF($Q2724=0,1,INDEX(COA_Mapping!$F$7:$F$256,$Q2724)))</f>
        <v>1</v>
      </c>
      <c r="P2724" s="34" t="str">
        <f aca="false">IF($A2724="","",$I2724*$O2724)</f>
        <v/>
      </c>
      <c r="Q2724" s="39" t="n">
        <f aca="false">IF($B2724="",0,IFERROR(MATCH($B2724,COA_Mapping!$A$7:$A$256,0),0))</f>
        <v>0</v>
      </c>
      <c r="R2724" s="39" t="n">
        <f aca="false">IF($A2724="",-1,IF($J2724=Setup!$B$7,1,IF($J2724=Setup!$B$9,0,-1)))</f>
        <v>-1</v>
      </c>
      <c r="S2724" s="35" t="n">
        <f aca="false">IF(OR($A2724="",$Q2724=0,$R2724=-1),0,$Q2724*1000+$R2724*100+$K2724)</f>
        <v>0</v>
      </c>
      <c r="T2724" s="37" t="str">
        <f aca="false">IF($A2724="","",IF($B2724="","NO ACCOUNT",IF($Q2724=0,"UNMAPPED",IF($R2724=-1,"OUTSIDE FY RANGE","OK"))))</f>
        <v/>
      </c>
      <c r="U2724" s="40" t="str">
        <f aca="false">IF($A2724="","",$B2724&amp;"|"&amp;TEXT($A2724,"yyyymmdd")&amp;"|"&amp;TEXT($I2724,"0.00"))</f>
        <v/>
      </c>
      <c r="V2724" s="35" t="str">
        <f aca="false">IF($A2724="","",COUNTIF($U$8:$U$5007,$U2724))</f>
        <v/>
      </c>
    </row>
    <row r="2725" customFormat="false" ht="15" hidden="false" customHeight="false" outlineLevel="0" collapsed="false">
      <c r="A2725" s="31"/>
      <c r="B2725" s="32"/>
      <c r="C2725" s="32"/>
      <c r="D2725" s="32"/>
      <c r="E2725" s="32"/>
      <c r="F2725" s="32"/>
      <c r="G2725" s="33"/>
      <c r="H2725" s="33"/>
      <c r="I2725" s="34" t="str">
        <f aca="false">IF($A2725="","",$G2725-$H2725)</f>
        <v/>
      </c>
      <c r="J2725" s="35" t="str">
        <f aca="false">IF($A2725="","",IF(Setup!$B$6=1,YEAR($A2725),YEAR($A2725)+IF(MONTH($A2725)&gt;=Setup!$B$6,1,0)))</f>
        <v/>
      </c>
      <c r="K2725" s="35" t="str">
        <f aca="false">IF($A2725="","",MOD(MONTH($A2725)-Setup!$B$6+12,12)+1)</f>
        <v/>
      </c>
      <c r="L2725" s="36" t="str">
        <f aca="false">IF($A2725="","",TEXT($A2725,"MMM-YY"))</f>
        <v/>
      </c>
      <c r="M2725" s="37" t="str">
        <f aca="false">IF($A2725="","",IF($Q2725=0,"UNMAPPED",INDEX(COA_Mapping!$C$7:$C$256,$Q2725)))</f>
        <v/>
      </c>
      <c r="N2725" s="38" t="str">
        <f aca="false">IF($A2725="","",IF($Q2725=0,"",INDEX(COA_Mapping!$E$7:$E$256,$Q2725)))</f>
        <v/>
      </c>
      <c r="O2725" s="38" t="n">
        <f aca="false">IF($A2725="",1,IF($Q2725=0,1,INDEX(COA_Mapping!$F$7:$F$256,$Q2725)))</f>
        <v>1</v>
      </c>
      <c r="P2725" s="34" t="str">
        <f aca="false">IF($A2725="","",$I2725*$O2725)</f>
        <v/>
      </c>
      <c r="Q2725" s="39" t="n">
        <f aca="false">IF($B2725="",0,IFERROR(MATCH($B2725,COA_Mapping!$A$7:$A$256,0),0))</f>
        <v>0</v>
      </c>
      <c r="R2725" s="39" t="n">
        <f aca="false">IF($A2725="",-1,IF($J2725=Setup!$B$7,1,IF($J2725=Setup!$B$9,0,-1)))</f>
        <v>-1</v>
      </c>
      <c r="S2725" s="35" t="n">
        <f aca="false">IF(OR($A2725="",$Q2725=0,$R2725=-1),0,$Q2725*1000+$R2725*100+$K2725)</f>
        <v>0</v>
      </c>
      <c r="T2725" s="37" t="str">
        <f aca="false">IF($A2725="","",IF($B2725="","NO ACCOUNT",IF($Q2725=0,"UNMAPPED",IF($R2725=-1,"OUTSIDE FY RANGE","OK"))))</f>
        <v/>
      </c>
      <c r="U2725" s="40" t="str">
        <f aca="false">IF($A2725="","",$B2725&amp;"|"&amp;TEXT($A2725,"yyyymmdd")&amp;"|"&amp;TEXT($I2725,"0.00"))</f>
        <v/>
      </c>
      <c r="V2725" s="35" t="str">
        <f aca="false">IF($A2725="","",COUNTIF($U$8:$U$5007,$U2725))</f>
        <v/>
      </c>
    </row>
    <row r="2726" customFormat="false" ht="15" hidden="false" customHeight="false" outlineLevel="0" collapsed="false">
      <c r="A2726" s="31"/>
      <c r="B2726" s="32"/>
      <c r="C2726" s="32"/>
      <c r="D2726" s="32"/>
      <c r="E2726" s="32"/>
      <c r="F2726" s="32"/>
      <c r="G2726" s="33"/>
      <c r="H2726" s="33"/>
      <c r="I2726" s="34" t="str">
        <f aca="false">IF($A2726="","",$G2726-$H2726)</f>
        <v/>
      </c>
      <c r="J2726" s="35" t="str">
        <f aca="false">IF($A2726="","",IF(Setup!$B$6=1,YEAR($A2726),YEAR($A2726)+IF(MONTH($A2726)&gt;=Setup!$B$6,1,0)))</f>
        <v/>
      </c>
      <c r="K2726" s="35" t="str">
        <f aca="false">IF($A2726="","",MOD(MONTH($A2726)-Setup!$B$6+12,12)+1)</f>
        <v/>
      </c>
      <c r="L2726" s="36" t="str">
        <f aca="false">IF($A2726="","",TEXT($A2726,"MMM-YY"))</f>
        <v/>
      </c>
      <c r="M2726" s="37" t="str">
        <f aca="false">IF($A2726="","",IF($Q2726=0,"UNMAPPED",INDEX(COA_Mapping!$C$7:$C$256,$Q2726)))</f>
        <v/>
      </c>
      <c r="N2726" s="38" t="str">
        <f aca="false">IF($A2726="","",IF($Q2726=0,"",INDEX(COA_Mapping!$E$7:$E$256,$Q2726)))</f>
        <v/>
      </c>
      <c r="O2726" s="38" t="n">
        <f aca="false">IF($A2726="",1,IF($Q2726=0,1,INDEX(COA_Mapping!$F$7:$F$256,$Q2726)))</f>
        <v>1</v>
      </c>
      <c r="P2726" s="34" t="str">
        <f aca="false">IF($A2726="","",$I2726*$O2726)</f>
        <v/>
      </c>
      <c r="Q2726" s="39" t="n">
        <f aca="false">IF($B2726="",0,IFERROR(MATCH($B2726,COA_Mapping!$A$7:$A$256,0),0))</f>
        <v>0</v>
      </c>
      <c r="R2726" s="39" t="n">
        <f aca="false">IF($A2726="",-1,IF($J2726=Setup!$B$7,1,IF($J2726=Setup!$B$9,0,-1)))</f>
        <v>-1</v>
      </c>
      <c r="S2726" s="35" t="n">
        <f aca="false">IF(OR($A2726="",$Q2726=0,$R2726=-1),0,$Q2726*1000+$R2726*100+$K2726)</f>
        <v>0</v>
      </c>
      <c r="T2726" s="37" t="str">
        <f aca="false">IF($A2726="","",IF($B2726="","NO ACCOUNT",IF($Q2726=0,"UNMAPPED",IF($R2726=-1,"OUTSIDE FY RANGE","OK"))))</f>
        <v/>
      </c>
      <c r="U2726" s="40" t="str">
        <f aca="false">IF($A2726="","",$B2726&amp;"|"&amp;TEXT($A2726,"yyyymmdd")&amp;"|"&amp;TEXT($I2726,"0.00"))</f>
        <v/>
      </c>
      <c r="V2726" s="35" t="str">
        <f aca="false">IF($A2726="","",COUNTIF($U$8:$U$5007,$U2726))</f>
        <v/>
      </c>
    </row>
    <row r="2727" customFormat="false" ht="15" hidden="false" customHeight="false" outlineLevel="0" collapsed="false">
      <c r="A2727" s="31"/>
      <c r="B2727" s="32"/>
      <c r="C2727" s="32"/>
      <c r="D2727" s="32"/>
      <c r="E2727" s="32"/>
      <c r="F2727" s="32"/>
      <c r="G2727" s="33"/>
      <c r="H2727" s="33"/>
      <c r="I2727" s="34" t="str">
        <f aca="false">IF($A2727="","",$G2727-$H2727)</f>
        <v/>
      </c>
      <c r="J2727" s="35" t="str">
        <f aca="false">IF($A2727="","",IF(Setup!$B$6=1,YEAR($A2727),YEAR($A2727)+IF(MONTH($A2727)&gt;=Setup!$B$6,1,0)))</f>
        <v/>
      </c>
      <c r="K2727" s="35" t="str">
        <f aca="false">IF($A2727="","",MOD(MONTH($A2727)-Setup!$B$6+12,12)+1)</f>
        <v/>
      </c>
      <c r="L2727" s="36" t="str">
        <f aca="false">IF($A2727="","",TEXT($A2727,"MMM-YY"))</f>
        <v/>
      </c>
      <c r="M2727" s="37" t="str">
        <f aca="false">IF($A2727="","",IF($Q2727=0,"UNMAPPED",INDEX(COA_Mapping!$C$7:$C$256,$Q2727)))</f>
        <v/>
      </c>
      <c r="N2727" s="38" t="str">
        <f aca="false">IF($A2727="","",IF($Q2727=0,"",INDEX(COA_Mapping!$E$7:$E$256,$Q2727)))</f>
        <v/>
      </c>
      <c r="O2727" s="38" t="n">
        <f aca="false">IF($A2727="",1,IF($Q2727=0,1,INDEX(COA_Mapping!$F$7:$F$256,$Q2727)))</f>
        <v>1</v>
      </c>
      <c r="P2727" s="34" t="str">
        <f aca="false">IF($A2727="","",$I2727*$O2727)</f>
        <v/>
      </c>
      <c r="Q2727" s="39" t="n">
        <f aca="false">IF($B2727="",0,IFERROR(MATCH($B2727,COA_Mapping!$A$7:$A$256,0),0))</f>
        <v>0</v>
      </c>
      <c r="R2727" s="39" t="n">
        <f aca="false">IF($A2727="",-1,IF($J2727=Setup!$B$7,1,IF($J2727=Setup!$B$9,0,-1)))</f>
        <v>-1</v>
      </c>
      <c r="S2727" s="35" t="n">
        <f aca="false">IF(OR($A2727="",$Q2727=0,$R2727=-1),0,$Q2727*1000+$R2727*100+$K2727)</f>
        <v>0</v>
      </c>
      <c r="T2727" s="37" t="str">
        <f aca="false">IF($A2727="","",IF($B2727="","NO ACCOUNT",IF($Q2727=0,"UNMAPPED",IF($R2727=-1,"OUTSIDE FY RANGE","OK"))))</f>
        <v/>
      </c>
      <c r="U2727" s="40" t="str">
        <f aca="false">IF($A2727="","",$B2727&amp;"|"&amp;TEXT($A2727,"yyyymmdd")&amp;"|"&amp;TEXT($I2727,"0.00"))</f>
        <v/>
      </c>
      <c r="V2727" s="35" t="str">
        <f aca="false">IF($A2727="","",COUNTIF($U$8:$U$5007,$U2727))</f>
        <v/>
      </c>
    </row>
    <row r="2728" customFormat="false" ht="15" hidden="false" customHeight="false" outlineLevel="0" collapsed="false">
      <c r="A2728" s="31"/>
      <c r="B2728" s="32"/>
      <c r="C2728" s="32"/>
      <c r="D2728" s="32"/>
      <c r="E2728" s="32"/>
      <c r="F2728" s="32"/>
      <c r="G2728" s="33"/>
      <c r="H2728" s="33"/>
      <c r="I2728" s="34" t="str">
        <f aca="false">IF($A2728="","",$G2728-$H2728)</f>
        <v/>
      </c>
      <c r="J2728" s="35" t="str">
        <f aca="false">IF($A2728="","",IF(Setup!$B$6=1,YEAR($A2728),YEAR($A2728)+IF(MONTH($A2728)&gt;=Setup!$B$6,1,0)))</f>
        <v/>
      </c>
      <c r="K2728" s="35" t="str">
        <f aca="false">IF($A2728="","",MOD(MONTH($A2728)-Setup!$B$6+12,12)+1)</f>
        <v/>
      </c>
      <c r="L2728" s="36" t="str">
        <f aca="false">IF($A2728="","",TEXT($A2728,"MMM-YY"))</f>
        <v/>
      </c>
      <c r="M2728" s="37" t="str">
        <f aca="false">IF($A2728="","",IF($Q2728=0,"UNMAPPED",INDEX(COA_Mapping!$C$7:$C$256,$Q2728)))</f>
        <v/>
      </c>
      <c r="N2728" s="38" t="str">
        <f aca="false">IF($A2728="","",IF($Q2728=0,"",INDEX(COA_Mapping!$E$7:$E$256,$Q2728)))</f>
        <v/>
      </c>
      <c r="O2728" s="38" t="n">
        <f aca="false">IF($A2728="",1,IF($Q2728=0,1,INDEX(COA_Mapping!$F$7:$F$256,$Q2728)))</f>
        <v>1</v>
      </c>
      <c r="P2728" s="34" t="str">
        <f aca="false">IF($A2728="","",$I2728*$O2728)</f>
        <v/>
      </c>
      <c r="Q2728" s="39" t="n">
        <f aca="false">IF($B2728="",0,IFERROR(MATCH($B2728,COA_Mapping!$A$7:$A$256,0),0))</f>
        <v>0</v>
      </c>
      <c r="R2728" s="39" t="n">
        <f aca="false">IF($A2728="",-1,IF($J2728=Setup!$B$7,1,IF($J2728=Setup!$B$9,0,-1)))</f>
        <v>-1</v>
      </c>
      <c r="S2728" s="35" t="n">
        <f aca="false">IF(OR($A2728="",$Q2728=0,$R2728=-1),0,$Q2728*1000+$R2728*100+$K2728)</f>
        <v>0</v>
      </c>
      <c r="T2728" s="37" t="str">
        <f aca="false">IF($A2728="","",IF($B2728="","NO ACCOUNT",IF($Q2728=0,"UNMAPPED",IF($R2728=-1,"OUTSIDE FY RANGE","OK"))))</f>
        <v/>
      </c>
      <c r="U2728" s="40" t="str">
        <f aca="false">IF($A2728="","",$B2728&amp;"|"&amp;TEXT($A2728,"yyyymmdd")&amp;"|"&amp;TEXT($I2728,"0.00"))</f>
        <v/>
      </c>
      <c r="V2728" s="35" t="str">
        <f aca="false">IF($A2728="","",COUNTIF($U$8:$U$5007,$U2728))</f>
        <v/>
      </c>
    </row>
    <row r="2729" customFormat="false" ht="15" hidden="false" customHeight="false" outlineLevel="0" collapsed="false">
      <c r="A2729" s="31"/>
      <c r="B2729" s="32"/>
      <c r="C2729" s="32"/>
      <c r="D2729" s="32"/>
      <c r="E2729" s="32"/>
      <c r="F2729" s="32"/>
      <c r="G2729" s="33"/>
      <c r="H2729" s="33"/>
      <c r="I2729" s="34" t="str">
        <f aca="false">IF($A2729="","",$G2729-$H2729)</f>
        <v/>
      </c>
      <c r="J2729" s="35" t="str">
        <f aca="false">IF($A2729="","",IF(Setup!$B$6=1,YEAR($A2729),YEAR($A2729)+IF(MONTH($A2729)&gt;=Setup!$B$6,1,0)))</f>
        <v/>
      </c>
      <c r="K2729" s="35" t="str">
        <f aca="false">IF($A2729="","",MOD(MONTH($A2729)-Setup!$B$6+12,12)+1)</f>
        <v/>
      </c>
      <c r="L2729" s="36" t="str">
        <f aca="false">IF($A2729="","",TEXT($A2729,"MMM-YY"))</f>
        <v/>
      </c>
      <c r="M2729" s="37" t="str">
        <f aca="false">IF($A2729="","",IF($Q2729=0,"UNMAPPED",INDEX(COA_Mapping!$C$7:$C$256,$Q2729)))</f>
        <v/>
      </c>
      <c r="N2729" s="38" t="str">
        <f aca="false">IF($A2729="","",IF($Q2729=0,"",INDEX(COA_Mapping!$E$7:$E$256,$Q2729)))</f>
        <v/>
      </c>
      <c r="O2729" s="38" t="n">
        <f aca="false">IF($A2729="",1,IF($Q2729=0,1,INDEX(COA_Mapping!$F$7:$F$256,$Q2729)))</f>
        <v>1</v>
      </c>
      <c r="P2729" s="34" t="str">
        <f aca="false">IF($A2729="","",$I2729*$O2729)</f>
        <v/>
      </c>
      <c r="Q2729" s="39" t="n">
        <f aca="false">IF($B2729="",0,IFERROR(MATCH($B2729,COA_Mapping!$A$7:$A$256,0),0))</f>
        <v>0</v>
      </c>
      <c r="R2729" s="39" t="n">
        <f aca="false">IF($A2729="",-1,IF($J2729=Setup!$B$7,1,IF($J2729=Setup!$B$9,0,-1)))</f>
        <v>-1</v>
      </c>
      <c r="S2729" s="35" t="n">
        <f aca="false">IF(OR($A2729="",$Q2729=0,$R2729=-1),0,$Q2729*1000+$R2729*100+$K2729)</f>
        <v>0</v>
      </c>
      <c r="T2729" s="37" t="str">
        <f aca="false">IF($A2729="","",IF($B2729="","NO ACCOUNT",IF($Q2729=0,"UNMAPPED",IF($R2729=-1,"OUTSIDE FY RANGE","OK"))))</f>
        <v/>
      </c>
      <c r="U2729" s="40" t="str">
        <f aca="false">IF($A2729="","",$B2729&amp;"|"&amp;TEXT($A2729,"yyyymmdd")&amp;"|"&amp;TEXT($I2729,"0.00"))</f>
        <v/>
      </c>
      <c r="V2729" s="35" t="str">
        <f aca="false">IF($A2729="","",COUNTIF($U$8:$U$5007,$U2729))</f>
        <v/>
      </c>
    </row>
    <row r="2730" customFormat="false" ht="15" hidden="false" customHeight="false" outlineLevel="0" collapsed="false">
      <c r="A2730" s="31"/>
      <c r="B2730" s="32"/>
      <c r="C2730" s="32"/>
      <c r="D2730" s="32"/>
      <c r="E2730" s="32"/>
      <c r="F2730" s="32"/>
      <c r="G2730" s="33"/>
      <c r="H2730" s="33"/>
      <c r="I2730" s="34" t="str">
        <f aca="false">IF($A2730="","",$G2730-$H2730)</f>
        <v/>
      </c>
      <c r="J2730" s="35" t="str">
        <f aca="false">IF($A2730="","",IF(Setup!$B$6=1,YEAR($A2730),YEAR($A2730)+IF(MONTH($A2730)&gt;=Setup!$B$6,1,0)))</f>
        <v/>
      </c>
      <c r="K2730" s="35" t="str">
        <f aca="false">IF($A2730="","",MOD(MONTH($A2730)-Setup!$B$6+12,12)+1)</f>
        <v/>
      </c>
      <c r="L2730" s="36" t="str">
        <f aca="false">IF($A2730="","",TEXT($A2730,"MMM-YY"))</f>
        <v/>
      </c>
      <c r="M2730" s="37" t="str">
        <f aca="false">IF($A2730="","",IF($Q2730=0,"UNMAPPED",INDEX(COA_Mapping!$C$7:$C$256,$Q2730)))</f>
        <v/>
      </c>
      <c r="N2730" s="38" t="str">
        <f aca="false">IF($A2730="","",IF($Q2730=0,"",INDEX(COA_Mapping!$E$7:$E$256,$Q2730)))</f>
        <v/>
      </c>
      <c r="O2730" s="38" t="n">
        <f aca="false">IF($A2730="",1,IF($Q2730=0,1,INDEX(COA_Mapping!$F$7:$F$256,$Q2730)))</f>
        <v>1</v>
      </c>
      <c r="P2730" s="34" t="str">
        <f aca="false">IF($A2730="","",$I2730*$O2730)</f>
        <v/>
      </c>
      <c r="Q2730" s="39" t="n">
        <f aca="false">IF($B2730="",0,IFERROR(MATCH($B2730,COA_Mapping!$A$7:$A$256,0),0))</f>
        <v>0</v>
      </c>
      <c r="R2730" s="39" t="n">
        <f aca="false">IF($A2730="",-1,IF($J2730=Setup!$B$7,1,IF($J2730=Setup!$B$9,0,-1)))</f>
        <v>-1</v>
      </c>
      <c r="S2730" s="35" t="n">
        <f aca="false">IF(OR($A2730="",$Q2730=0,$R2730=-1),0,$Q2730*1000+$R2730*100+$K2730)</f>
        <v>0</v>
      </c>
      <c r="T2730" s="37" t="str">
        <f aca="false">IF($A2730="","",IF($B2730="","NO ACCOUNT",IF($Q2730=0,"UNMAPPED",IF($R2730=-1,"OUTSIDE FY RANGE","OK"))))</f>
        <v/>
      </c>
      <c r="U2730" s="40" t="str">
        <f aca="false">IF($A2730="","",$B2730&amp;"|"&amp;TEXT($A2730,"yyyymmdd")&amp;"|"&amp;TEXT($I2730,"0.00"))</f>
        <v/>
      </c>
      <c r="V2730" s="35" t="str">
        <f aca="false">IF($A2730="","",COUNTIF($U$8:$U$5007,$U2730))</f>
        <v/>
      </c>
    </row>
    <row r="2731" customFormat="false" ht="15" hidden="false" customHeight="false" outlineLevel="0" collapsed="false">
      <c r="A2731" s="31"/>
      <c r="B2731" s="32"/>
      <c r="C2731" s="32"/>
      <c r="D2731" s="32"/>
      <c r="E2731" s="32"/>
      <c r="F2731" s="32"/>
      <c r="G2731" s="33"/>
      <c r="H2731" s="33"/>
      <c r="I2731" s="34" t="str">
        <f aca="false">IF($A2731="","",$G2731-$H2731)</f>
        <v/>
      </c>
      <c r="J2731" s="35" t="str">
        <f aca="false">IF($A2731="","",IF(Setup!$B$6=1,YEAR($A2731),YEAR($A2731)+IF(MONTH($A2731)&gt;=Setup!$B$6,1,0)))</f>
        <v/>
      </c>
      <c r="K2731" s="35" t="str">
        <f aca="false">IF($A2731="","",MOD(MONTH($A2731)-Setup!$B$6+12,12)+1)</f>
        <v/>
      </c>
      <c r="L2731" s="36" t="str">
        <f aca="false">IF($A2731="","",TEXT($A2731,"MMM-YY"))</f>
        <v/>
      </c>
      <c r="M2731" s="37" t="str">
        <f aca="false">IF($A2731="","",IF($Q2731=0,"UNMAPPED",INDEX(COA_Mapping!$C$7:$C$256,$Q2731)))</f>
        <v/>
      </c>
      <c r="N2731" s="38" t="str">
        <f aca="false">IF($A2731="","",IF($Q2731=0,"",INDEX(COA_Mapping!$E$7:$E$256,$Q2731)))</f>
        <v/>
      </c>
      <c r="O2731" s="38" t="n">
        <f aca="false">IF($A2731="",1,IF($Q2731=0,1,INDEX(COA_Mapping!$F$7:$F$256,$Q2731)))</f>
        <v>1</v>
      </c>
      <c r="P2731" s="34" t="str">
        <f aca="false">IF($A2731="","",$I2731*$O2731)</f>
        <v/>
      </c>
      <c r="Q2731" s="39" t="n">
        <f aca="false">IF($B2731="",0,IFERROR(MATCH($B2731,COA_Mapping!$A$7:$A$256,0),0))</f>
        <v>0</v>
      </c>
      <c r="R2731" s="39" t="n">
        <f aca="false">IF($A2731="",-1,IF($J2731=Setup!$B$7,1,IF($J2731=Setup!$B$9,0,-1)))</f>
        <v>-1</v>
      </c>
      <c r="S2731" s="35" t="n">
        <f aca="false">IF(OR($A2731="",$Q2731=0,$R2731=-1),0,$Q2731*1000+$R2731*100+$K2731)</f>
        <v>0</v>
      </c>
      <c r="T2731" s="37" t="str">
        <f aca="false">IF($A2731="","",IF($B2731="","NO ACCOUNT",IF($Q2731=0,"UNMAPPED",IF($R2731=-1,"OUTSIDE FY RANGE","OK"))))</f>
        <v/>
      </c>
      <c r="U2731" s="40" t="str">
        <f aca="false">IF($A2731="","",$B2731&amp;"|"&amp;TEXT($A2731,"yyyymmdd")&amp;"|"&amp;TEXT($I2731,"0.00"))</f>
        <v/>
      </c>
      <c r="V2731" s="35" t="str">
        <f aca="false">IF($A2731="","",COUNTIF($U$8:$U$5007,$U2731))</f>
        <v/>
      </c>
    </row>
    <row r="2732" customFormat="false" ht="15" hidden="false" customHeight="false" outlineLevel="0" collapsed="false">
      <c r="A2732" s="31"/>
      <c r="B2732" s="32"/>
      <c r="C2732" s="32"/>
      <c r="D2732" s="32"/>
      <c r="E2732" s="32"/>
      <c r="F2732" s="32"/>
      <c r="G2732" s="33"/>
      <c r="H2732" s="33"/>
      <c r="I2732" s="34" t="str">
        <f aca="false">IF($A2732="","",$G2732-$H2732)</f>
        <v/>
      </c>
      <c r="J2732" s="35" t="str">
        <f aca="false">IF($A2732="","",IF(Setup!$B$6=1,YEAR($A2732),YEAR($A2732)+IF(MONTH($A2732)&gt;=Setup!$B$6,1,0)))</f>
        <v/>
      </c>
      <c r="K2732" s="35" t="str">
        <f aca="false">IF($A2732="","",MOD(MONTH($A2732)-Setup!$B$6+12,12)+1)</f>
        <v/>
      </c>
      <c r="L2732" s="36" t="str">
        <f aca="false">IF($A2732="","",TEXT($A2732,"MMM-YY"))</f>
        <v/>
      </c>
      <c r="M2732" s="37" t="str">
        <f aca="false">IF($A2732="","",IF($Q2732=0,"UNMAPPED",INDEX(COA_Mapping!$C$7:$C$256,$Q2732)))</f>
        <v/>
      </c>
      <c r="N2732" s="38" t="str">
        <f aca="false">IF($A2732="","",IF($Q2732=0,"",INDEX(COA_Mapping!$E$7:$E$256,$Q2732)))</f>
        <v/>
      </c>
      <c r="O2732" s="38" t="n">
        <f aca="false">IF($A2732="",1,IF($Q2732=0,1,INDEX(COA_Mapping!$F$7:$F$256,$Q2732)))</f>
        <v>1</v>
      </c>
      <c r="P2732" s="34" t="str">
        <f aca="false">IF($A2732="","",$I2732*$O2732)</f>
        <v/>
      </c>
      <c r="Q2732" s="39" t="n">
        <f aca="false">IF($B2732="",0,IFERROR(MATCH($B2732,COA_Mapping!$A$7:$A$256,0),0))</f>
        <v>0</v>
      </c>
      <c r="R2732" s="39" t="n">
        <f aca="false">IF($A2732="",-1,IF($J2732=Setup!$B$7,1,IF($J2732=Setup!$B$9,0,-1)))</f>
        <v>-1</v>
      </c>
      <c r="S2732" s="35" t="n">
        <f aca="false">IF(OR($A2732="",$Q2732=0,$R2732=-1),0,$Q2732*1000+$R2732*100+$K2732)</f>
        <v>0</v>
      </c>
      <c r="T2732" s="37" t="str">
        <f aca="false">IF($A2732="","",IF($B2732="","NO ACCOUNT",IF($Q2732=0,"UNMAPPED",IF($R2732=-1,"OUTSIDE FY RANGE","OK"))))</f>
        <v/>
      </c>
      <c r="U2732" s="40" t="str">
        <f aca="false">IF($A2732="","",$B2732&amp;"|"&amp;TEXT($A2732,"yyyymmdd")&amp;"|"&amp;TEXT($I2732,"0.00"))</f>
        <v/>
      </c>
      <c r="V2732" s="35" t="str">
        <f aca="false">IF($A2732="","",COUNTIF($U$8:$U$5007,$U2732))</f>
        <v/>
      </c>
    </row>
    <row r="2733" customFormat="false" ht="15" hidden="false" customHeight="false" outlineLevel="0" collapsed="false">
      <c r="A2733" s="31"/>
      <c r="B2733" s="32"/>
      <c r="C2733" s="32"/>
      <c r="D2733" s="32"/>
      <c r="E2733" s="32"/>
      <c r="F2733" s="32"/>
      <c r="G2733" s="33"/>
      <c r="H2733" s="33"/>
      <c r="I2733" s="34" t="str">
        <f aca="false">IF($A2733="","",$G2733-$H2733)</f>
        <v/>
      </c>
      <c r="J2733" s="35" t="str">
        <f aca="false">IF($A2733="","",IF(Setup!$B$6=1,YEAR($A2733),YEAR($A2733)+IF(MONTH($A2733)&gt;=Setup!$B$6,1,0)))</f>
        <v/>
      </c>
      <c r="K2733" s="35" t="str">
        <f aca="false">IF($A2733="","",MOD(MONTH($A2733)-Setup!$B$6+12,12)+1)</f>
        <v/>
      </c>
      <c r="L2733" s="36" t="str">
        <f aca="false">IF($A2733="","",TEXT($A2733,"MMM-YY"))</f>
        <v/>
      </c>
      <c r="M2733" s="37" t="str">
        <f aca="false">IF($A2733="","",IF($Q2733=0,"UNMAPPED",INDEX(COA_Mapping!$C$7:$C$256,$Q2733)))</f>
        <v/>
      </c>
      <c r="N2733" s="38" t="str">
        <f aca="false">IF($A2733="","",IF($Q2733=0,"",INDEX(COA_Mapping!$E$7:$E$256,$Q2733)))</f>
        <v/>
      </c>
      <c r="O2733" s="38" t="n">
        <f aca="false">IF($A2733="",1,IF($Q2733=0,1,INDEX(COA_Mapping!$F$7:$F$256,$Q2733)))</f>
        <v>1</v>
      </c>
      <c r="P2733" s="34" t="str">
        <f aca="false">IF($A2733="","",$I2733*$O2733)</f>
        <v/>
      </c>
      <c r="Q2733" s="39" t="n">
        <f aca="false">IF($B2733="",0,IFERROR(MATCH($B2733,COA_Mapping!$A$7:$A$256,0),0))</f>
        <v>0</v>
      </c>
      <c r="R2733" s="39" t="n">
        <f aca="false">IF($A2733="",-1,IF($J2733=Setup!$B$7,1,IF($J2733=Setup!$B$9,0,-1)))</f>
        <v>-1</v>
      </c>
      <c r="S2733" s="35" t="n">
        <f aca="false">IF(OR($A2733="",$Q2733=0,$R2733=-1),0,$Q2733*1000+$R2733*100+$K2733)</f>
        <v>0</v>
      </c>
      <c r="T2733" s="37" t="str">
        <f aca="false">IF($A2733="","",IF($B2733="","NO ACCOUNT",IF($Q2733=0,"UNMAPPED",IF($R2733=-1,"OUTSIDE FY RANGE","OK"))))</f>
        <v/>
      </c>
      <c r="U2733" s="40" t="str">
        <f aca="false">IF($A2733="","",$B2733&amp;"|"&amp;TEXT($A2733,"yyyymmdd")&amp;"|"&amp;TEXT($I2733,"0.00"))</f>
        <v/>
      </c>
      <c r="V2733" s="35" t="str">
        <f aca="false">IF($A2733="","",COUNTIF($U$8:$U$5007,$U2733))</f>
        <v/>
      </c>
    </row>
    <row r="2734" customFormat="false" ht="15" hidden="false" customHeight="false" outlineLevel="0" collapsed="false">
      <c r="A2734" s="31"/>
      <c r="B2734" s="32"/>
      <c r="C2734" s="32"/>
      <c r="D2734" s="32"/>
      <c r="E2734" s="32"/>
      <c r="F2734" s="32"/>
      <c r="G2734" s="33"/>
      <c r="H2734" s="33"/>
      <c r="I2734" s="34" t="str">
        <f aca="false">IF($A2734="","",$G2734-$H2734)</f>
        <v/>
      </c>
      <c r="J2734" s="35" t="str">
        <f aca="false">IF($A2734="","",IF(Setup!$B$6=1,YEAR($A2734),YEAR($A2734)+IF(MONTH($A2734)&gt;=Setup!$B$6,1,0)))</f>
        <v/>
      </c>
      <c r="K2734" s="35" t="str">
        <f aca="false">IF($A2734="","",MOD(MONTH($A2734)-Setup!$B$6+12,12)+1)</f>
        <v/>
      </c>
      <c r="L2734" s="36" t="str">
        <f aca="false">IF($A2734="","",TEXT($A2734,"MMM-YY"))</f>
        <v/>
      </c>
      <c r="M2734" s="37" t="str">
        <f aca="false">IF($A2734="","",IF($Q2734=0,"UNMAPPED",INDEX(COA_Mapping!$C$7:$C$256,$Q2734)))</f>
        <v/>
      </c>
      <c r="N2734" s="38" t="str">
        <f aca="false">IF($A2734="","",IF($Q2734=0,"",INDEX(COA_Mapping!$E$7:$E$256,$Q2734)))</f>
        <v/>
      </c>
      <c r="O2734" s="38" t="n">
        <f aca="false">IF($A2734="",1,IF($Q2734=0,1,INDEX(COA_Mapping!$F$7:$F$256,$Q2734)))</f>
        <v>1</v>
      </c>
      <c r="P2734" s="34" t="str">
        <f aca="false">IF($A2734="","",$I2734*$O2734)</f>
        <v/>
      </c>
      <c r="Q2734" s="39" t="n">
        <f aca="false">IF($B2734="",0,IFERROR(MATCH($B2734,COA_Mapping!$A$7:$A$256,0),0))</f>
        <v>0</v>
      </c>
      <c r="R2734" s="39" t="n">
        <f aca="false">IF($A2734="",-1,IF($J2734=Setup!$B$7,1,IF($J2734=Setup!$B$9,0,-1)))</f>
        <v>-1</v>
      </c>
      <c r="S2734" s="35" t="n">
        <f aca="false">IF(OR($A2734="",$Q2734=0,$R2734=-1),0,$Q2734*1000+$R2734*100+$K2734)</f>
        <v>0</v>
      </c>
      <c r="T2734" s="37" t="str">
        <f aca="false">IF($A2734="","",IF($B2734="","NO ACCOUNT",IF($Q2734=0,"UNMAPPED",IF($R2734=-1,"OUTSIDE FY RANGE","OK"))))</f>
        <v/>
      </c>
      <c r="U2734" s="40" t="str">
        <f aca="false">IF($A2734="","",$B2734&amp;"|"&amp;TEXT($A2734,"yyyymmdd")&amp;"|"&amp;TEXT($I2734,"0.00"))</f>
        <v/>
      </c>
      <c r="V2734" s="35" t="str">
        <f aca="false">IF($A2734="","",COUNTIF($U$8:$U$5007,$U2734))</f>
        <v/>
      </c>
    </row>
    <row r="2735" customFormat="false" ht="15" hidden="false" customHeight="false" outlineLevel="0" collapsed="false">
      <c r="A2735" s="31"/>
      <c r="B2735" s="32"/>
      <c r="C2735" s="32"/>
      <c r="D2735" s="32"/>
      <c r="E2735" s="32"/>
      <c r="F2735" s="32"/>
      <c r="G2735" s="33"/>
      <c r="H2735" s="33"/>
      <c r="I2735" s="34" t="str">
        <f aca="false">IF($A2735="","",$G2735-$H2735)</f>
        <v/>
      </c>
      <c r="J2735" s="35" t="str">
        <f aca="false">IF($A2735="","",IF(Setup!$B$6=1,YEAR($A2735),YEAR($A2735)+IF(MONTH($A2735)&gt;=Setup!$B$6,1,0)))</f>
        <v/>
      </c>
      <c r="K2735" s="35" t="str">
        <f aca="false">IF($A2735="","",MOD(MONTH($A2735)-Setup!$B$6+12,12)+1)</f>
        <v/>
      </c>
      <c r="L2735" s="36" t="str">
        <f aca="false">IF($A2735="","",TEXT($A2735,"MMM-YY"))</f>
        <v/>
      </c>
      <c r="M2735" s="37" t="str">
        <f aca="false">IF($A2735="","",IF($Q2735=0,"UNMAPPED",INDEX(COA_Mapping!$C$7:$C$256,$Q2735)))</f>
        <v/>
      </c>
      <c r="N2735" s="38" t="str">
        <f aca="false">IF($A2735="","",IF($Q2735=0,"",INDEX(COA_Mapping!$E$7:$E$256,$Q2735)))</f>
        <v/>
      </c>
      <c r="O2735" s="38" t="n">
        <f aca="false">IF($A2735="",1,IF($Q2735=0,1,INDEX(COA_Mapping!$F$7:$F$256,$Q2735)))</f>
        <v>1</v>
      </c>
      <c r="P2735" s="34" t="str">
        <f aca="false">IF($A2735="","",$I2735*$O2735)</f>
        <v/>
      </c>
      <c r="Q2735" s="39" t="n">
        <f aca="false">IF($B2735="",0,IFERROR(MATCH($B2735,COA_Mapping!$A$7:$A$256,0),0))</f>
        <v>0</v>
      </c>
      <c r="R2735" s="39" t="n">
        <f aca="false">IF($A2735="",-1,IF($J2735=Setup!$B$7,1,IF($J2735=Setup!$B$9,0,-1)))</f>
        <v>-1</v>
      </c>
      <c r="S2735" s="35" t="n">
        <f aca="false">IF(OR($A2735="",$Q2735=0,$R2735=-1),0,$Q2735*1000+$R2735*100+$K2735)</f>
        <v>0</v>
      </c>
      <c r="T2735" s="37" t="str">
        <f aca="false">IF($A2735="","",IF($B2735="","NO ACCOUNT",IF($Q2735=0,"UNMAPPED",IF($R2735=-1,"OUTSIDE FY RANGE","OK"))))</f>
        <v/>
      </c>
      <c r="U2735" s="40" t="str">
        <f aca="false">IF($A2735="","",$B2735&amp;"|"&amp;TEXT($A2735,"yyyymmdd")&amp;"|"&amp;TEXT($I2735,"0.00"))</f>
        <v/>
      </c>
      <c r="V2735" s="35" t="str">
        <f aca="false">IF($A2735="","",COUNTIF($U$8:$U$5007,$U2735))</f>
        <v/>
      </c>
    </row>
    <row r="2736" customFormat="false" ht="15" hidden="false" customHeight="false" outlineLevel="0" collapsed="false">
      <c r="A2736" s="31"/>
      <c r="B2736" s="32"/>
      <c r="C2736" s="32"/>
      <c r="D2736" s="32"/>
      <c r="E2736" s="32"/>
      <c r="F2736" s="32"/>
      <c r="G2736" s="33"/>
      <c r="H2736" s="33"/>
      <c r="I2736" s="34" t="str">
        <f aca="false">IF($A2736="","",$G2736-$H2736)</f>
        <v/>
      </c>
      <c r="J2736" s="35" t="str">
        <f aca="false">IF($A2736="","",IF(Setup!$B$6=1,YEAR($A2736),YEAR($A2736)+IF(MONTH($A2736)&gt;=Setup!$B$6,1,0)))</f>
        <v/>
      </c>
      <c r="K2736" s="35" t="str">
        <f aca="false">IF($A2736="","",MOD(MONTH($A2736)-Setup!$B$6+12,12)+1)</f>
        <v/>
      </c>
      <c r="L2736" s="36" t="str">
        <f aca="false">IF($A2736="","",TEXT($A2736,"MMM-YY"))</f>
        <v/>
      </c>
      <c r="M2736" s="37" t="str">
        <f aca="false">IF($A2736="","",IF($Q2736=0,"UNMAPPED",INDEX(COA_Mapping!$C$7:$C$256,$Q2736)))</f>
        <v/>
      </c>
      <c r="N2736" s="38" t="str">
        <f aca="false">IF($A2736="","",IF($Q2736=0,"",INDEX(COA_Mapping!$E$7:$E$256,$Q2736)))</f>
        <v/>
      </c>
      <c r="O2736" s="38" t="n">
        <f aca="false">IF($A2736="",1,IF($Q2736=0,1,INDEX(COA_Mapping!$F$7:$F$256,$Q2736)))</f>
        <v>1</v>
      </c>
      <c r="P2736" s="34" t="str">
        <f aca="false">IF($A2736="","",$I2736*$O2736)</f>
        <v/>
      </c>
      <c r="Q2736" s="39" t="n">
        <f aca="false">IF($B2736="",0,IFERROR(MATCH($B2736,COA_Mapping!$A$7:$A$256,0),0))</f>
        <v>0</v>
      </c>
      <c r="R2736" s="39" t="n">
        <f aca="false">IF($A2736="",-1,IF($J2736=Setup!$B$7,1,IF($J2736=Setup!$B$9,0,-1)))</f>
        <v>-1</v>
      </c>
      <c r="S2736" s="35" t="n">
        <f aca="false">IF(OR($A2736="",$Q2736=0,$R2736=-1),0,$Q2736*1000+$R2736*100+$K2736)</f>
        <v>0</v>
      </c>
      <c r="T2736" s="37" t="str">
        <f aca="false">IF($A2736="","",IF($B2736="","NO ACCOUNT",IF($Q2736=0,"UNMAPPED",IF($R2736=-1,"OUTSIDE FY RANGE","OK"))))</f>
        <v/>
      </c>
      <c r="U2736" s="40" t="str">
        <f aca="false">IF($A2736="","",$B2736&amp;"|"&amp;TEXT($A2736,"yyyymmdd")&amp;"|"&amp;TEXT($I2736,"0.00"))</f>
        <v/>
      </c>
      <c r="V2736" s="35" t="str">
        <f aca="false">IF($A2736="","",COUNTIF($U$8:$U$5007,$U2736))</f>
        <v/>
      </c>
    </row>
    <row r="2737" customFormat="false" ht="15" hidden="false" customHeight="false" outlineLevel="0" collapsed="false">
      <c r="A2737" s="31"/>
      <c r="B2737" s="32"/>
      <c r="C2737" s="32"/>
      <c r="D2737" s="32"/>
      <c r="E2737" s="32"/>
      <c r="F2737" s="32"/>
      <c r="G2737" s="33"/>
      <c r="H2737" s="33"/>
      <c r="I2737" s="34" t="str">
        <f aca="false">IF($A2737="","",$G2737-$H2737)</f>
        <v/>
      </c>
      <c r="J2737" s="35" t="str">
        <f aca="false">IF($A2737="","",IF(Setup!$B$6=1,YEAR($A2737),YEAR($A2737)+IF(MONTH($A2737)&gt;=Setup!$B$6,1,0)))</f>
        <v/>
      </c>
      <c r="K2737" s="35" t="str">
        <f aca="false">IF($A2737="","",MOD(MONTH($A2737)-Setup!$B$6+12,12)+1)</f>
        <v/>
      </c>
      <c r="L2737" s="36" t="str">
        <f aca="false">IF($A2737="","",TEXT($A2737,"MMM-YY"))</f>
        <v/>
      </c>
      <c r="M2737" s="37" t="str">
        <f aca="false">IF($A2737="","",IF($Q2737=0,"UNMAPPED",INDEX(COA_Mapping!$C$7:$C$256,$Q2737)))</f>
        <v/>
      </c>
      <c r="N2737" s="38" t="str">
        <f aca="false">IF($A2737="","",IF($Q2737=0,"",INDEX(COA_Mapping!$E$7:$E$256,$Q2737)))</f>
        <v/>
      </c>
      <c r="O2737" s="38" t="n">
        <f aca="false">IF($A2737="",1,IF($Q2737=0,1,INDEX(COA_Mapping!$F$7:$F$256,$Q2737)))</f>
        <v>1</v>
      </c>
      <c r="P2737" s="34" t="str">
        <f aca="false">IF($A2737="","",$I2737*$O2737)</f>
        <v/>
      </c>
      <c r="Q2737" s="39" t="n">
        <f aca="false">IF($B2737="",0,IFERROR(MATCH($B2737,COA_Mapping!$A$7:$A$256,0),0))</f>
        <v>0</v>
      </c>
      <c r="R2737" s="39" t="n">
        <f aca="false">IF($A2737="",-1,IF($J2737=Setup!$B$7,1,IF($J2737=Setup!$B$9,0,-1)))</f>
        <v>-1</v>
      </c>
      <c r="S2737" s="35" t="n">
        <f aca="false">IF(OR($A2737="",$Q2737=0,$R2737=-1),0,$Q2737*1000+$R2737*100+$K2737)</f>
        <v>0</v>
      </c>
      <c r="T2737" s="37" t="str">
        <f aca="false">IF($A2737="","",IF($B2737="","NO ACCOUNT",IF($Q2737=0,"UNMAPPED",IF($R2737=-1,"OUTSIDE FY RANGE","OK"))))</f>
        <v/>
      </c>
      <c r="U2737" s="40" t="str">
        <f aca="false">IF($A2737="","",$B2737&amp;"|"&amp;TEXT($A2737,"yyyymmdd")&amp;"|"&amp;TEXT($I2737,"0.00"))</f>
        <v/>
      </c>
      <c r="V2737" s="35" t="str">
        <f aca="false">IF($A2737="","",COUNTIF($U$8:$U$5007,$U2737))</f>
        <v/>
      </c>
    </row>
    <row r="2738" customFormat="false" ht="15" hidden="false" customHeight="false" outlineLevel="0" collapsed="false">
      <c r="A2738" s="31"/>
      <c r="B2738" s="32"/>
      <c r="C2738" s="32"/>
      <c r="D2738" s="32"/>
      <c r="E2738" s="32"/>
      <c r="F2738" s="32"/>
      <c r="G2738" s="33"/>
      <c r="H2738" s="33"/>
      <c r="I2738" s="34" t="str">
        <f aca="false">IF($A2738="","",$G2738-$H2738)</f>
        <v/>
      </c>
      <c r="J2738" s="35" t="str">
        <f aca="false">IF($A2738="","",IF(Setup!$B$6=1,YEAR($A2738),YEAR($A2738)+IF(MONTH($A2738)&gt;=Setup!$B$6,1,0)))</f>
        <v/>
      </c>
      <c r="K2738" s="35" t="str">
        <f aca="false">IF($A2738="","",MOD(MONTH($A2738)-Setup!$B$6+12,12)+1)</f>
        <v/>
      </c>
      <c r="L2738" s="36" t="str">
        <f aca="false">IF($A2738="","",TEXT($A2738,"MMM-YY"))</f>
        <v/>
      </c>
      <c r="M2738" s="37" t="str">
        <f aca="false">IF($A2738="","",IF($Q2738=0,"UNMAPPED",INDEX(COA_Mapping!$C$7:$C$256,$Q2738)))</f>
        <v/>
      </c>
      <c r="N2738" s="38" t="str">
        <f aca="false">IF($A2738="","",IF($Q2738=0,"",INDEX(COA_Mapping!$E$7:$E$256,$Q2738)))</f>
        <v/>
      </c>
      <c r="O2738" s="38" t="n">
        <f aca="false">IF($A2738="",1,IF($Q2738=0,1,INDEX(COA_Mapping!$F$7:$F$256,$Q2738)))</f>
        <v>1</v>
      </c>
      <c r="P2738" s="34" t="str">
        <f aca="false">IF($A2738="","",$I2738*$O2738)</f>
        <v/>
      </c>
      <c r="Q2738" s="39" t="n">
        <f aca="false">IF($B2738="",0,IFERROR(MATCH($B2738,COA_Mapping!$A$7:$A$256,0),0))</f>
        <v>0</v>
      </c>
      <c r="R2738" s="39" t="n">
        <f aca="false">IF($A2738="",-1,IF($J2738=Setup!$B$7,1,IF($J2738=Setup!$B$9,0,-1)))</f>
        <v>-1</v>
      </c>
      <c r="S2738" s="35" t="n">
        <f aca="false">IF(OR($A2738="",$Q2738=0,$R2738=-1),0,$Q2738*1000+$R2738*100+$K2738)</f>
        <v>0</v>
      </c>
      <c r="T2738" s="37" t="str">
        <f aca="false">IF($A2738="","",IF($B2738="","NO ACCOUNT",IF($Q2738=0,"UNMAPPED",IF($R2738=-1,"OUTSIDE FY RANGE","OK"))))</f>
        <v/>
      </c>
      <c r="U2738" s="40" t="str">
        <f aca="false">IF($A2738="","",$B2738&amp;"|"&amp;TEXT($A2738,"yyyymmdd")&amp;"|"&amp;TEXT($I2738,"0.00"))</f>
        <v/>
      </c>
      <c r="V2738" s="35" t="str">
        <f aca="false">IF($A2738="","",COUNTIF($U$8:$U$5007,$U2738))</f>
        <v/>
      </c>
    </row>
    <row r="2739" customFormat="false" ht="15" hidden="false" customHeight="false" outlineLevel="0" collapsed="false">
      <c r="A2739" s="31"/>
      <c r="B2739" s="32"/>
      <c r="C2739" s="32"/>
      <c r="D2739" s="32"/>
      <c r="E2739" s="32"/>
      <c r="F2739" s="32"/>
      <c r="G2739" s="33"/>
      <c r="H2739" s="33"/>
      <c r="I2739" s="34" t="str">
        <f aca="false">IF($A2739="","",$G2739-$H2739)</f>
        <v/>
      </c>
      <c r="J2739" s="35" t="str">
        <f aca="false">IF($A2739="","",IF(Setup!$B$6=1,YEAR($A2739),YEAR($A2739)+IF(MONTH($A2739)&gt;=Setup!$B$6,1,0)))</f>
        <v/>
      </c>
      <c r="K2739" s="35" t="str">
        <f aca="false">IF($A2739="","",MOD(MONTH($A2739)-Setup!$B$6+12,12)+1)</f>
        <v/>
      </c>
      <c r="L2739" s="36" t="str">
        <f aca="false">IF($A2739="","",TEXT($A2739,"MMM-YY"))</f>
        <v/>
      </c>
      <c r="M2739" s="37" t="str">
        <f aca="false">IF($A2739="","",IF($Q2739=0,"UNMAPPED",INDEX(COA_Mapping!$C$7:$C$256,$Q2739)))</f>
        <v/>
      </c>
      <c r="N2739" s="38" t="str">
        <f aca="false">IF($A2739="","",IF($Q2739=0,"",INDEX(COA_Mapping!$E$7:$E$256,$Q2739)))</f>
        <v/>
      </c>
      <c r="O2739" s="38" t="n">
        <f aca="false">IF($A2739="",1,IF($Q2739=0,1,INDEX(COA_Mapping!$F$7:$F$256,$Q2739)))</f>
        <v>1</v>
      </c>
      <c r="P2739" s="34" t="str">
        <f aca="false">IF($A2739="","",$I2739*$O2739)</f>
        <v/>
      </c>
      <c r="Q2739" s="39" t="n">
        <f aca="false">IF($B2739="",0,IFERROR(MATCH($B2739,COA_Mapping!$A$7:$A$256,0),0))</f>
        <v>0</v>
      </c>
      <c r="R2739" s="39" t="n">
        <f aca="false">IF($A2739="",-1,IF($J2739=Setup!$B$7,1,IF($J2739=Setup!$B$9,0,-1)))</f>
        <v>-1</v>
      </c>
      <c r="S2739" s="35" t="n">
        <f aca="false">IF(OR($A2739="",$Q2739=0,$R2739=-1),0,$Q2739*1000+$R2739*100+$K2739)</f>
        <v>0</v>
      </c>
      <c r="T2739" s="37" t="str">
        <f aca="false">IF($A2739="","",IF($B2739="","NO ACCOUNT",IF($Q2739=0,"UNMAPPED",IF($R2739=-1,"OUTSIDE FY RANGE","OK"))))</f>
        <v/>
      </c>
      <c r="U2739" s="40" t="str">
        <f aca="false">IF($A2739="","",$B2739&amp;"|"&amp;TEXT($A2739,"yyyymmdd")&amp;"|"&amp;TEXT($I2739,"0.00"))</f>
        <v/>
      </c>
      <c r="V2739" s="35" t="str">
        <f aca="false">IF($A2739="","",COUNTIF($U$8:$U$5007,$U2739))</f>
        <v/>
      </c>
    </row>
    <row r="2740" customFormat="false" ht="15" hidden="false" customHeight="false" outlineLevel="0" collapsed="false">
      <c r="A2740" s="31"/>
      <c r="B2740" s="32"/>
      <c r="C2740" s="32"/>
      <c r="D2740" s="32"/>
      <c r="E2740" s="32"/>
      <c r="F2740" s="32"/>
      <c r="G2740" s="33"/>
      <c r="H2740" s="33"/>
      <c r="I2740" s="34" t="str">
        <f aca="false">IF($A2740="","",$G2740-$H2740)</f>
        <v/>
      </c>
      <c r="J2740" s="35" t="str">
        <f aca="false">IF($A2740="","",IF(Setup!$B$6=1,YEAR($A2740),YEAR($A2740)+IF(MONTH($A2740)&gt;=Setup!$B$6,1,0)))</f>
        <v/>
      </c>
      <c r="K2740" s="35" t="str">
        <f aca="false">IF($A2740="","",MOD(MONTH($A2740)-Setup!$B$6+12,12)+1)</f>
        <v/>
      </c>
      <c r="L2740" s="36" t="str">
        <f aca="false">IF($A2740="","",TEXT($A2740,"MMM-YY"))</f>
        <v/>
      </c>
      <c r="M2740" s="37" t="str">
        <f aca="false">IF($A2740="","",IF($Q2740=0,"UNMAPPED",INDEX(COA_Mapping!$C$7:$C$256,$Q2740)))</f>
        <v/>
      </c>
      <c r="N2740" s="38" t="str">
        <f aca="false">IF($A2740="","",IF($Q2740=0,"",INDEX(COA_Mapping!$E$7:$E$256,$Q2740)))</f>
        <v/>
      </c>
      <c r="O2740" s="38" t="n">
        <f aca="false">IF($A2740="",1,IF($Q2740=0,1,INDEX(COA_Mapping!$F$7:$F$256,$Q2740)))</f>
        <v>1</v>
      </c>
      <c r="P2740" s="34" t="str">
        <f aca="false">IF($A2740="","",$I2740*$O2740)</f>
        <v/>
      </c>
      <c r="Q2740" s="39" t="n">
        <f aca="false">IF($B2740="",0,IFERROR(MATCH($B2740,COA_Mapping!$A$7:$A$256,0),0))</f>
        <v>0</v>
      </c>
      <c r="R2740" s="39" t="n">
        <f aca="false">IF($A2740="",-1,IF($J2740=Setup!$B$7,1,IF($J2740=Setup!$B$9,0,-1)))</f>
        <v>-1</v>
      </c>
      <c r="S2740" s="35" t="n">
        <f aca="false">IF(OR($A2740="",$Q2740=0,$R2740=-1),0,$Q2740*1000+$R2740*100+$K2740)</f>
        <v>0</v>
      </c>
      <c r="T2740" s="37" t="str">
        <f aca="false">IF($A2740="","",IF($B2740="","NO ACCOUNT",IF($Q2740=0,"UNMAPPED",IF($R2740=-1,"OUTSIDE FY RANGE","OK"))))</f>
        <v/>
      </c>
      <c r="U2740" s="40" t="str">
        <f aca="false">IF($A2740="","",$B2740&amp;"|"&amp;TEXT($A2740,"yyyymmdd")&amp;"|"&amp;TEXT($I2740,"0.00"))</f>
        <v/>
      </c>
      <c r="V2740" s="35" t="str">
        <f aca="false">IF($A2740="","",COUNTIF($U$8:$U$5007,$U2740))</f>
        <v/>
      </c>
    </row>
    <row r="2741" customFormat="false" ht="15" hidden="false" customHeight="false" outlineLevel="0" collapsed="false">
      <c r="A2741" s="31"/>
      <c r="B2741" s="32"/>
      <c r="C2741" s="32"/>
      <c r="D2741" s="32"/>
      <c r="E2741" s="32"/>
      <c r="F2741" s="32"/>
      <c r="G2741" s="33"/>
      <c r="H2741" s="33"/>
      <c r="I2741" s="34" t="str">
        <f aca="false">IF($A2741="","",$G2741-$H2741)</f>
        <v/>
      </c>
      <c r="J2741" s="35" t="str">
        <f aca="false">IF($A2741="","",IF(Setup!$B$6=1,YEAR($A2741),YEAR($A2741)+IF(MONTH($A2741)&gt;=Setup!$B$6,1,0)))</f>
        <v/>
      </c>
      <c r="K2741" s="35" t="str">
        <f aca="false">IF($A2741="","",MOD(MONTH($A2741)-Setup!$B$6+12,12)+1)</f>
        <v/>
      </c>
      <c r="L2741" s="36" t="str">
        <f aca="false">IF($A2741="","",TEXT($A2741,"MMM-YY"))</f>
        <v/>
      </c>
      <c r="M2741" s="37" t="str">
        <f aca="false">IF($A2741="","",IF($Q2741=0,"UNMAPPED",INDEX(COA_Mapping!$C$7:$C$256,$Q2741)))</f>
        <v/>
      </c>
      <c r="N2741" s="38" t="str">
        <f aca="false">IF($A2741="","",IF($Q2741=0,"",INDEX(COA_Mapping!$E$7:$E$256,$Q2741)))</f>
        <v/>
      </c>
      <c r="O2741" s="38" t="n">
        <f aca="false">IF($A2741="",1,IF($Q2741=0,1,INDEX(COA_Mapping!$F$7:$F$256,$Q2741)))</f>
        <v>1</v>
      </c>
      <c r="P2741" s="34" t="str">
        <f aca="false">IF($A2741="","",$I2741*$O2741)</f>
        <v/>
      </c>
      <c r="Q2741" s="39" t="n">
        <f aca="false">IF($B2741="",0,IFERROR(MATCH($B2741,COA_Mapping!$A$7:$A$256,0),0))</f>
        <v>0</v>
      </c>
      <c r="R2741" s="39" t="n">
        <f aca="false">IF($A2741="",-1,IF($J2741=Setup!$B$7,1,IF($J2741=Setup!$B$9,0,-1)))</f>
        <v>-1</v>
      </c>
      <c r="S2741" s="35" t="n">
        <f aca="false">IF(OR($A2741="",$Q2741=0,$R2741=-1),0,$Q2741*1000+$R2741*100+$K2741)</f>
        <v>0</v>
      </c>
      <c r="T2741" s="37" t="str">
        <f aca="false">IF($A2741="","",IF($B2741="","NO ACCOUNT",IF($Q2741=0,"UNMAPPED",IF($R2741=-1,"OUTSIDE FY RANGE","OK"))))</f>
        <v/>
      </c>
      <c r="U2741" s="40" t="str">
        <f aca="false">IF($A2741="","",$B2741&amp;"|"&amp;TEXT($A2741,"yyyymmdd")&amp;"|"&amp;TEXT($I2741,"0.00"))</f>
        <v/>
      </c>
      <c r="V2741" s="35" t="str">
        <f aca="false">IF($A2741="","",COUNTIF($U$8:$U$5007,$U2741))</f>
        <v/>
      </c>
    </row>
    <row r="2742" customFormat="false" ht="15" hidden="false" customHeight="false" outlineLevel="0" collapsed="false">
      <c r="A2742" s="31"/>
      <c r="B2742" s="32"/>
      <c r="C2742" s="32"/>
      <c r="D2742" s="32"/>
      <c r="E2742" s="32"/>
      <c r="F2742" s="32"/>
      <c r="G2742" s="33"/>
      <c r="H2742" s="33"/>
      <c r="I2742" s="34" t="str">
        <f aca="false">IF($A2742="","",$G2742-$H2742)</f>
        <v/>
      </c>
      <c r="J2742" s="35" t="str">
        <f aca="false">IF($A2742="","",IF(Setup!$B$6=1,YEAR($A2742),YEAR($A2742)+IF(MONTH($A2742)&gt;=Setup!$B$6,1,0)))</f>
        <v/>
      </c>
      <c r="K2742" s="35" t="str">
        <f aca="false">IF($A2742="","",MOD(MONTH($A2742)-Setup!$B$6+12,12)+1)</f>
        <v/>
      </c>
      <c r="L2742" s="36" t="str">
        <f aca="false">IF($A2742="","",TEXT($A2742,"MMM-YY"))</f>
        <v/>
      </c>
      <c r="M2742" s="37" t="str">
        <f aca="false">IF($A2742="","",IF($Q2742=0,"UNMAPPED",INDEX(COA_Mapping!$C$7:$C$256,$Q2742)))</f>
        <v/>
      </c>
      <c r="N2742" s="38" t="str">
        <f aca="false">IF($A2742="","",IF($Q2742=0,"",INDEX(COA_Mapping!$E$7:$E$256,$Q2742)))</f>
        <v/>
      </c>
      <c r="O2742" s="38" t="n">
        <f aca="false">IF($A2742="",1,IF($Q2742=0,1,INDEX(COA_Mapping!$F$7:$F$256,$Q2742)))</f>
        <v>1</v>
      </c>
      <c r="P2742" s="34" t="str">
        <f aca="false">IF($A2742="","",$I2742*$O2742)</f>
        <v/>
      </c>
      <c r="Q2742" s="39" t="n">
        <f aca="false">IF($B2742="",0,IFERROR(MATCH($B2742,COA_Mapping!$A$7:$A$256,0),0))</f>
        <v>0</v>
      </c>
      <c r="R2742" s="39" t="n">
        <f aca="false">IF($A2742="",-1,IF($J2742=Setup!$B$7,1,IF($J2742=Setup!$B$9,0,-1)))</f>
        <v>-1</v>
      </c>
      <c r="S2742" s="35" t="n">
        <f aca="false">IF(OR($A2742="",$Q2742=0,$R2742=-1),0,$Q2742*1000+$R2742*100+$K2742)</f>
        <v>0</v>
      </c>
      <c r="T2742" s="37" t="str">
        <f aca="false">IF($A2742="","",IF($B2742="","NO ACCOUNT",IF($Q2742=0,"UNMAPPED",IF($R2742=-1,"OUTSIDE FY RANGE","OK"))))</f>
        <v/>
      </c>
      <c r="U2742" s="40" t="str">
        <f aca="false">IF($A2742="","",$B2742&amp;"|"&amp;TEXT($A2742,"yyyymmdd")&amp;"|"&amp;TEXT($I2742,"0.00"))</f>
        <v/>
      </c>
      <c r="V2742" s="35" t="str">
        <f aca="false">IF($A2742="","",COUNTIF($U$8:$U$5007,$U2742))</f>
        <v/>
      </c>
    </row>
    <row r="2743" customFormat="false" ht="15" hidden="false" customHeight="false" outlineLevel="0" collapsed="false">
      <c r="A2743" s="31"/>
      <c r="B2743" s="32"/>
      <c r="C2743" s="32"/>
      <c r="D2743" s="32"/>
      <c r="E2743" s="32"/>
      <c r="F2743" s="32"/>
      <c r="G2743" s="33"/>
      <c r="H2743" s="33"/>
      <c r="I2743" s="34" t="str">
        <f aca="false">IF($A2743="","",$G2743-$H2743)</f>
        <v/>
      </c>
      <c r="J2743" s="35" t="str">
        <f aca="false">IF($A2743="","",IF(Setup!$B$6=1,YEAR($A2743),YEAR($A2743)+IF(MONTH($A2743)&gt;=Setup!$B$6,1,0)))</f>
        <v/>
      </c>
      <c r="K2743" s="35" t="str">
        <f aca="false">IF($A2743="","",MOD(MONTH($A2743)-Setup!$B$6+12,12)+1)</f>
        <v/>
      </c>
      <c r="L2743" s="36" t="str">
        <f aca="false">IF($A2743="","",TEXT($A2743,"MMM-YY"))</f>
        <v/>
      </c>
      <c r="M2743" s="37" t="str">
        <f aca="false">IF($A2743="","",IF($Q2743=0,"UNMAPPED",INDEX(COA_Mapping!$C$7:$C$256,$Q2743)))</f>
        <v/>
      </c>
      <c r="N2743" s="38" t="str">
        <f aca="false">IF($A2743="","",IF($Q2743=0,"",INDEX(COA_Mapping!$E$7:$E$256,$Q2743)))</f>
        <v/>
      </c>
      <c r="O2743" s="38" t="n">
        <f aca="false">IF($A2743="",1,IF($Q2743=0,1,INDEX(COA_Mapping!$F$7:$F$256,$Q2743)))</f>
        <v>1</v>
      </c>
      <c r="P2743" s="34" t="str">
        <f aca="false">IF($A2743="","",$I2743*$O2743)</f>
        <v/>
      </c>
      <c r="Q2743" s="39" t="n">
        <f aca="false">IF($B2743="",0,IFERROR(MATCH($B2743,COA_Mapping!$A$7:$A$256,0),0))</f>
        <v>0</v>
      </c>
      <c r="R2743" s="39" t="n">
        <f aca="false">IF($A2743="",-1,IF($J2743=Setup!$B$7,1,IF($J2743=Setup!$B$9,0,-1)))</f>
        <v>-1</v>
      </c>
      <c r="S2743" s="35" t="n">
        <f aca="false">IF(OR($A2743="",$Q2743=0,$R2743=-1),0,$Q2743*1000+$R2743*100+$K2743)</f>
        <v>0</v>
      </c>
      <c r="T2743" s="37" t="str">
        <f aca="false">IF($A2743="","",IF($B2743="","NO ACCOUNT",IF($Q2743=0,"UNMAPPED",IF($R2743=-1,"OUTSIDE FY RANGE","OK"))))</f>
        <v/>
      </c>
      <c r="U2743" s="40" t="str">
        <f aca="false">IF($A2743="","",$B2743&amp;"|"&amp;TEXT($A2743,"yyyymmdd")&amp;"|"&amp;TEXT($I2743,"0.00"))</f>
        <v/>
      </c>
      <c r="V2743" s="35" t="str">
        <f aca="false">IF($A2743="","",COUNTIF($U$8:$U$5007,$U2743))</f>
        <v/>
      </c>
    </row>
    <row r="2744" customFormat="false" ht="15" hidden="false" customHeight="false" outlineLevel="0" collapsed="false">
      <c r="A2744" s="31"/>
      <c r="B2744" s="32"/>
      <c r="C2744" s="32"/>
      <c r="D2744" s="32"/>
      <c r="E2744" s="32"/>
      <c r="F2744" s="32"/>
      <c r="G2744" s="33"/>
      <c r="H2744" s="33"/>
      <c r="I2744" s="34" t="str">
        <f aca="false">IF($A2744="","",$G2744-$H2744)</f>
        <v/>
      </c>
      <c r="J2744" s="35" t="str">
        <f aca="false">IF($A2744="","",IF(Setup!$B$6=1,YEAR($A2744),YEAR($A2744)+IF(MONTH($A2744)&gt;=Setup!$B$6,1,0)))</f>
        <v/>
      </c>
      <c r="K2744" s="35" t="str">
        <f aca="false">IF($A2744="","",MOD(MONTH($A2744)-Setup!$B$6+12,12)+1)</f>
        <v/>
      </c>
      <c r="L2744" s="36" t="str">
        <f aca="false">IF($A2744="","",TEXT($A2744,"MMM-YY"))</f>
        <v/>
      </c>
      <c r="M2744" s="37" t="str">
        <f aca="false">IF($A2744="","",IF($Q2744=0,"UNMAPPED",INDEX(COA_Mapping!$C$7:$C$256,$Q2744)))</f>
        <v/>
      </c>
      <c r="N2744" s="38" t="str">
        <f aca="false">IF($A2744="","",IF($Q2744=0,"",INDEX(COA_Mapping!$E$7:$E$256,$Q2744)))</f>
        <v/>
      </c>
      <c r="O2744" s="38" t="n">
        <f aca="false">IF($A2744="",1,IF($Q2744=0,1,INDEX(COA_Mapping!$F$7:$F$256,$Q2744)))</f>
        <v>1</v>
      </c>
      <c r="P2744" s="34" t="str">
        <f aca="false">IF($A2744="","",$I2744*$O2744)</f>
        <v/>
      </c>
      <c r="Q2744" s="39" t="n">
        <f aca="false">IF($B2744="",0,IFERROR(MATCH($B2744,COA_Mapping!$A$7:$A$256,0),0))</f>
        <v>0</v>
      </c>
      <c r="R2744" s="39" t="n">
        <f aca="false">IF($A2744="",-1,IF($J2744=Setup!$B$7,1,IF($J2744=Setup!$B$9,0,-1)))</f>
        <v>-1</v>
      </c>
      <c r="S2744" s="35" t="n">
        <f aca="false">IF(OR($A2744="",$Q2744=0,$R2744=-1),0,$Q2744*1000+$R2744*100+$K2744)</f>
        <v>0</v>
      </c>
      <c r="T2744" s="37" t="str">
        <f aca="false">IF($A2744="","",IF($B2744="","NO ACCOUNT",IF($Q2744=0,"UNMAPPED",IF($R2744=-1,"OUTSIDE FY RANGE","OK"))))</f>
        <v/>
      </c>
      <c r="U2744" s="40" t="str">
        <f aca="false">IF($A2744="","",$B2744&amp;"|"&amp;TEXT($A2744,"yyyymmdd")&amp;"|"&amp;TEXT($I2744,"0.00"))</f>
        <v/>
      </c>
      <c r="V2744" s="35" t="str">
        <f aca="false">IF($A2744="","",COUNTIF($U$8:$U$5007,$U2744))</f>
        <v/>
      </c>
    </row>
    <row r="2745" customFormat="false" ht="15" hidden="false" customHeight="false" outlineLevel="0" collapsed="false">
      <c r="A2745" s="31"/>
      <c r="B2745" s="32"/>
      <c r="C2745" s="32"/>
      <c r="D2745" s="32"/>
      <c r="E2745" s="32"/>
      <c r="F2745" s="32"/>
      <c r="G2745" s="33"/>
      <c r="H2745" s="33"/>
      <c r="I2745" s="34" t="str">
        <f aca="false">IF($A2745="","",$G2745-$H2745)</f>
        <v/>
      </c>
      <c r="J2745" s="35" t="str">
        <f aca="false">IF($A2745="","",IF(Setup!$B$6=1,YEAR($A2745),YEAR($A2745)+IF(MONTH($A2745)&gt;=Setup!$B$6,1,0)))</f>
        <v/>
      </c>
      <c r="K2745" s="35" t="str">
        <f aca="false">IF($A2745="","",MOD(MONTH($A2745)-Setup!$B$6+12,12)+1)</f>
        <v/>
      </c>
      <c r="L2745" s="36" t="str">
        <f aca="false">IF($A2745="","",TEXT($A2745,"MMM-YY"))</f>
        <v/>
      </c>
      <c r="M2745" s="37" t="str">
        <f aca="false">IF($A2745="","",IF($Q2745=0,"UNMAPPED",INDEX(COA_Mapping!$C$7:$C$256,$Q2745)))</f>
        <v/>
      </c>
      <c r="N2745" s="38" t="str">
        <f aca="false">IF($A2745="","",IF($Q2745=0,"",INDEX(COA_Mapping!$E$7:$E$256,$Q2745)))</f>
        <v/>
      </c>
      <c r="O2745" s="38" t="n">
        <f aca="false">IF($A2745="",1,IF($Q2745=0,1,INDEX(COA_Mapping!$F$7:$F$256,$Q2745)))</f>
        <v>1</v>
      </c>
      <c r="P2745" s="34" t="str">
        <f aca="false">IF($A2745="","",$I2745*$O2745)</f>
        <v/>
      </c>
      <c r="Q2745" s="39" t="n">
        <f aca="false">IF($B2745="",0,IFERROR(MATCH($B2745,COA_Mapping!$A$7:$A$256,0),0))</f>
        <v>0</v>
      </c>
      <c r="R2745" s="39" t="n">
        <f aca="false">IF($A2745="",-1,IF($J2745=Setup!$B$7,1,IF($J2745=Setup!$B$9,0,-1)))</f>
        <v>-1</v>
      </c>
      <c r="S2745" s="35" t="n">
        <f aca="false">IF(OR($A2745="",$Q2745=0,$R2745=-1),0,$Q2745*1000+$R2745*100+$K2745)</f>
        <v>0</v>
      </c>
      <c r="T2745" s="37" t="str">
        <f aca="false">IF($A2745="","",IF($B2745="","NO ACCOUNT",IF($Q2745=0,"UNMAPPED",IF($R2745=-1,"OUTSIDE FY RANGE","OK"))))</f>
        <v/>
      </c>
      <c r="U2745" s="40" t="str">
        <f aca="false">IF($A2745="","",$B2745&amp;"|"&amp;TEXT($A2745,"yyyymmdd")&amp;"|"&amp;TEXT($I2745,"0.00"))</f>
        <v/>
      </c>
      <c r="V2745" s="35" t="str">
        <f aca="false">IF($A2745="","",COUNTIF($U$8:$U$5007,$U2745))</f>
        <v/>
      </c>
    </row>
    <row r="2746" customFormat="false" ht="15" hidden="false" customHeight="false" outlineLevel="0" collapsed="false">
      <c r="A2746" s="31"/>
      <c r="B2746" s="32"/>
      <c r="C2746" s="32"/>
      <c r="D2746" s="32"/>
      <c r="E2746" s="32"/>
      <c r="F2746" s="32"/>
      <c r="G2746" s="33"/>
      <c r="H2746" s="33"/>
      <c r="I2746" s="34" t="str">
        <f aca="false">IF($A2746="","",$G2746-$H2746)</f>
        <v/>
      </c>
      <c r="J2746" s="35" t="str">
        <f aca="false">IF($A2746="","",IF(Setup!$B$6=1,YEAR($A2746),YEAR($A2746)+IF(MONTH($A2746)&gt;=Setup!$B$6,1,0)))</f>
        <v/>
      </c>
      <c r="K2746" s="35" t="str">
        <f aca="false">IF($A2746="","",MOD(MONTH($A2746)-Setup!$B$6+12,12)+1)</f>
        <v/>
      </c>
      <c r="L2746" s="36" t="str">
        <f aca="false">IF($A2746="","",TEXT($A2746,"MMM-YY"))</f>
        <v/>
      </c>
      <c r="M2746" s="37" t="str">
        <f aca="false">IF($A2746="","",IF($Q2746=0,"UNMAPPED",INDEX(COA_Mapping!$C$7:$C$256,$Q2746)))</f>
        <v/>
      </c>
      <c r="N2746" s="38" t="str">
        <f aca="false">IF($A2746="","",IF($Q2746=0,"",INDEX(COA_Mapping!$E$7:$E$256,$Q2746)))</f>
        <v/>
      </c>
      <c r="O2746" s="38" t="n">
        <f aca="false">IF($A2746="",1,IF($Q2746=0,1,INDEX(COA_Mapping!$F$7:$F$256,$Q2746)))</f>
        <v>1</v>
      </c>
      <c r="P2746" s="34" t="str">
        <f aca="false">IF($A2746="","",$I2746*$O2746)</f>
        <v/>
      </c>
      <c r="Q2746" s="39" t="n">
        <f aca="false">IF($B2746="",0,IFERROR(MATCH($B2746,COA_Mapping!$A$7:$A$256,0),0))</f>
        <v>0</v>
      </c>
      <c r="R2746" s="39" t="n">
        <f aca="false">IF($A2746="",-1,IF($J2746=Setup!$B$7,1,IF($J2746=Setup!$B$9,0,-1)))</f>
        <v>-1</v>
      </c>
      <c r="S2746" s="35" t="n">
        <f aca="false">IF(OR($A2746="",$Q2746=0,$R2746=-1),0,$Q2746*1000+$R2746*100+$K2746)</f>
        <v>0</v>
      </c>
      <c r="T2746" s="37" t="str">
        <f aca="false">IF($A2746="","",IF($B2746="","NO ACCOUNT",IF($Q2746=0,"UNMAPPED",IF($R2746=-1,"OUTSIDE FY RANGE","OK"))))</f>
        <v/>
      </c>
      <c r="U2746" s="40" t="str">
        <f aca="false">IF($A2746="","",$B2746&amp;"|"&amp;TEXT($A2746,"yyyymmdd")&amp;"|"&amp;TEXT($I2746,"0.00"))</f>
        <v/>
      </c>
      <c r="V2746" s="35" t="str">
        <f aca="false">IF($A2746="","",COUNTIF($U$8:$U$5007,$U2746))</f>
        <v/>
      </c>
    </row>
    <row r="2747" customFormat="false" ht="15" hidden="false" customHeight="false" outlineLevel="0" collapsed="false">
      <c r="A2747" s="31"/>
      <c r="B2747" s="32"/>
      <c r="C2747" s="32"/>
      <c r="D2747" s="32"/>
      <c r="E2747" s="32"/>
      <c r="F2747" s="32"/>
      <c r="G2747" s="33"/>
      <c r="H2747" s="33"/>
      <c r="I2747" s="34" t="str">
        <f aca="false">IF($A2747="","",$G2747-$H2747)</f>
        <v/>
      </c>
      <c r="J2747" s="35" t="str">
        <f aca="false">IF($A2747="","",IF(Setup!$B$6=1,YEAR($A2747),YEAR($A2747)+IF(MONTH($A2747)&gt;=Setup!$B$6,1,0)))</f>
        <v/>
      </c>
      <c r="K2747" s="35" t="str">
        <f aca="false">IF($A2747="","",MOD(MONTH($A2747)-Setup!$B$6+12,12)+1)</f>
        <v/>
      </c>
      <c r="L2747" s="36" t="str">
        <f aca="false">IF($A2747="","",TEXT($A2747,"MMM-YY"))</f>
        <v/>
      </c>
      <c r="M2747" s="37" t="str">
        <f aca="false">IF($A2747="","",IF($Q2747=0,"UNMAPPED",INDEX(COA_Mapping!$C$7:$C$256,$Q2747)))</f>
        <v/>
      </c>
      <c r="N2747" s="38" t="str">
        <f aca="false">IF($A2747="","",IF($Q2747=0,"",INDEX(COA_Mapping!$E$7:$E$256,$Q2747)))</f>
        <v/>
      </c>
      <c r="O2747" s="38" t="n">
        <f aca="false">IF($A2747="",1,IF($Q2747=0,1,INDEX(COA_Mapping!$F$7:$F$256,$Q2747)))</f>
        <v>1</v>
      </c>
      <c r="P2747" s="34" t="str">
        <f aca="false">IF($A2747="","",$I2747*$O2747)</f>
        <v/>
      </c>
      <c r="Q2747" s="39" t="n">
        <f aca="false">IF($B2747="",0,IFERROR(MATCH($B2747,COA_Mapping!$A$7:$A$256,0),0))</f>
        <v>0</v>
      </c>
      <c r="R2747" s="39" t="n">
        <f aca="false">IF($A2747="",-1,IF($J2747=Setup!$B$7,1,IF($J2747=Setup!$B$9,0,-1)))</f>
        <v>-1</v>
      </c>
      <c r="S2747" s="35" t="n">
        <f aca="false">IF(OR($A2747="",$Q2747=0,$R2747=-1),0,$Q2747*1000+$R2747*100+$K2747)</f>
        <v>0</v>
      </c>
      <c r="T2747" s="37" t="str">
        <f aca="false">IF($A2747="","",IF($B2747="","NO ACCOUNT",IF($Q2747=0,"UNMAPPED",IF($R2747=-1,"OUTSIDE FY RANGE","OK"))))</f>
        <v/>
      </c>
      <c r="U2747" s="40" t="str">
        <f aca="false">IF($A2747="","",$B2747&amp;"|"&amp;TEXT($A2747,"yyyymmdd")&amp;"|"&amp;TEXT($I2747,"0.00"))</f>
        <v/>
      </c>
      <c r="V2747" s="35" t="str">
        <f aca="false">IF($A2747="","",COUNTIF($U$8:$U$5007,$U2747))</f>
        <v/>
      </c>
    </row>
    <row r="2748" customFormat="false" ht="15" hidden="false" customHeight="false" outlineLevel="0" collapsed="false">
      <c r="A2748" s="31"/>
      <c r="B2748" s="32"/>
      <c r="C2748" s="32"/>
      <c r="D2748" s="32"/>
      <c r="E2748" s="32"/>
      <c r="F2748" s="32"/>
      <c r="G2748" s="33"/>
      <c r="H2748" s="33"/>
      <c r="I2748" s="34" t="str">
        <f aca="false">IF($A2748="","",$G2748-$H2748)</f>
        <v/>
      </c>
      <c r="J2748" s="35" t="str">
        <f aca="false">IF($A2748="","",IF(Setup!$B$6=1,YEAR($A2748),YEAR($A2748)+IF(MONTH($A2748)&gt;=Setup!$B$6,1,0)))</f>
        <v/>
      </c>
      <c r="K2748" s="35" t="str">
        <f aca="false">IF($A2748="","",MOD(MONTH($A2748)-Setup!$B$6+12,12)+1)</f>
        <v/>
      </c>
      <c r="L2748" s="36" t="str">
        <f aca="false">IF($A2748="","",TEXT($A2748,"MMM-YY"))</f>
        <v/>
      </c>
      <c r="M2748" s="37" t="str">
        <f aca="false">IF($A2748="","",IF($Q2748=0,"UNMAPPED",INDEX(COA_Mapping!$C$7:$C$256,$Q2748)))</f>
        <v/>
      </c>
      <c r="N2748" s="38" t="str">
        <f aca="false">IF($A2748="","",IF($Q2748=0,"",INDEX(COA_Mapping!$E$7:$E$256,$Q2748)))</f>
        <v/>
      </c>
      <c r="O2748" s="38" t="n">
        <f aca="false">IF($A2748="",1,IF($Q2748=0,1,INDEX(COA_Mapping!$F$7:$F$256,$Q2748)))</f>
        <v>1</v>
      </c>
      <c r="P2748" s="34" t="str">
        <f aca="false">IF($A2748="","",$I2748*$O2748)</f>
        <v/>
      </c>
      <c r="Q2748" s="39" t="n">
        <f aca="false">IF($B2748="",0,IFERROR(MATCH($B2748,COA_Mapping!$A$7:$A$256,0),0))</f>
        <v>0</v>
      </c>
      <c r="R2748" s="39" t="n">
        <f aca="false">IF($A2748="",-1,IF($J2748=Setup!$B$7,1,IF($J2748=Setup!$B$9,0,-1)))</f>
        <v>-1</v>
      </c>
      <c r="S2748" s="35" t="n">
        <f aca="false">IF(OR($A2748="",$Q2748=0,$R2748=-1),0,$Q2748*1000+$R2748*100+$K2748)</f>
        <v>0</v>
      </c>
      <c r="T2748" s="37" t="str">
        <f aca="false">IF($A2748="","",IF($B2748="","NO ACCOUNT",IF($Q2748=0,"UNMAPPED",IF($R2748=-1,"OUTSIDE FY RANGE","OK"))))</f>
        <v/>
      </c>
      <c r="U2748" s="40" t="str">
        <f aca="false">IF($A2748="","",$B2748&amp;"|"&amp;TEXT($A2748,"yyyymmdd")&amp;"|"&amp;TEXT($I2748,"0.00"))</f>
        <v/>
      </c>
      <c r="V2748" s="35" t="str">
        <f aca="false">IF($A2748="","",COUNTIF($U$8:$U$5007,$U2748))</f>
        <v/>
      </c>
    </row>
    <row r="2749" customFormat="false" ht="15" hidden="false" customHeight="false" outlineLevel="0" collapsed="false">
      <c r="A2749" s="31"/>
      <c r="B2749" s="32"/>
      <c r="C2749" s="32"/>
      <c r="D2749" s="32"/>
      <c r="E2749" s="32"/>
      <c r="F2749" s="32"/>
      <c r="G2749" s="33"/>
      <c r="H2749" s="33"/>
      <c r="I2749" s="34" t="str">
        <f aca="false">IF($A2749="","",$G2749-$H2749)</f>
        <v/>
      </c>
      <c r="J2749" s="35" t="str">
        <f aca="false">IF($A2749="","",IF(Setup!$B$6=1,YEAR($A2749),YEAR($A2749)+IF(MONTH($A2749)&gt;=Setup!$B$6,1,0)))</f>
        <v/>
      </c>
      <c r="K2749" s="35" t="str">
        <f aca="false">IF($A2749="","",MOD(MONTH($A2749)-Setup!$B$6+12,12)+1)</f>
        <v/>
      </c>
      <c r="L2749" s="36" t="str">
        <f aca="false">IF($A2749="","",TEXT($A2749,"MMM-YY"))</f>
        <v/>
      </c>
      <c r="M2749" s="37" t="str">
        <f aca="false">IF($A2749="","",IF($Q2749=0,"UNMAPPED",INDEX(COA_Mapping!$C$7:$C$256,$Q2749)))</f>
        <v/>
      </c>
      <c r="N2749" s="38" t="str">
        <f aca="false">IF($A2749="","",IF($Q2749=0,"",INDEX(COA_Mapping!$E$7:$E$256,$Q2749)))</f>
        <v/>
      </c>
      <c r="O2749" s="38" t="n">
        <f aca="false">IF($A2749="",1,IF($Q2749=0,1,INDEX(COA_Mapping!$F$7:$F$256,$Q2749)))</f>
        <v>1</v>
      </c>
      <c r="P2749" s="34" t="str">
        <f aca="false">IF($A2749="","",$I2749*$O2749)</f>
        <v/>
      </c>
      <c r="Q2749" s="39" t="n">
        <f aca="false">IF($B2749="",0,IFERROR(MATCH($B2749,COA_Mapping!$A$7:$A$256,0),0))</f>
        <v>0</v>
      </c>
      <c r="R2749" s="39" t="n">
        <f aca="false">IF($A2749="",-1,IF($J2749=Setup!$B$7,1,IF($J2749=Setup!$B$9,0,-1)))</f>
        <v>-1</v>
      </c>
      <c r="S2749" s="35" t="n">
        <f aca="false">IF(OR($A2749="",$Q2749=0,$R2749=-1),0,$Q2749*1000+$R2749*100+$K2749)</f>
        <v>0</v>
      </c>
      <c r="T2749" s="37" t="str">
        <f aca="false">IF($A2749="","",IF($B2749="","NO ACCOUNT",IF($Q2749=0,"UNMAPPED",IF($R2749=-1,"OUTSIDE FY RANGE","OK"))))</f>
        <v/>
      </c>
      <c r="U2749" s="40" t="str">
        <f aca="false">IF($A2749="","",$B2749&amp;"|"&amp;TEXT($A2749,"yyyymmdd")&amp;"|"&amp;TEXT($I2749,"0.00"))</f>
        <v/>
      </c>
      <c r="V2749" s="35" t="str">
        <f aca="false">IF($A2749="","",COUNTIF($U$8:$U$5007,$U2749))</f>
        <v/>
      </c>
    </row>
    <row r="2750" customFormat="false" ht="15" hidden="false" customHeight="false" outlineLevel="0" collapsed="false">
      <c r="A2750" s="31"/>
      <c r="B2750" s="32"/>
      <c r="C2750" s="32"/>
      <c r="D2750" s="32"/>
      <c r="E2750" s="32"/>
      <c r="F2750" s="32"/>
      <c r="G2750" s="33"/>
      <c r="H2750" s="33"/>
      <c r="I2750" s="34" t="str">
        <f aca="false">IF($A2750="","",$G2750-$H2750)</f>
        <v/>
      </c>
      <c r="J2750" s="35" t="str">
        <f aca="false">IF($A2750="","",IF(Setup!$B$6=1,YEAR($A2750),YEAR($A2750)+IF(MONTH($A2750)&gt;=Setup!$B$6,1,0)))</f>
        <v/>
      </c>
      <c r="K2750" s="35" t="str">
        <f aca="false">IF($A2750="","",MOD(MONTH($A2750)-Setup!$B$6+12,12)+1)</f>
        <v/>
      </c>
      <c r="L2750" s="36" t="str">
        <f aca="false">IF($A2750="","",TEXT($A2750,"MMM-YY"))</f>
        <v/>
      </c>
      <c r="M2750" s="37" t="str">
        <f aca="false">IF($A2750="","",IF($Q2750=0,"UNMAPPED",INDEX(COA_Mapping!$C$7:$C$256,$Q2750)))</f>
        <v/>
      </c>
      <c r="N2750" s="38" t="str">
        <f aca="false">IF($A2750="","",IF($Q2750=0,"",INDEX(COA_Mapping!$E$7:$E$256,$Q2750)))</f>
        <v/>
      </c>
      <c r="O2750" s="38" t="n">
        <f aca="false">IF($A2750="",1,IF($Q2750=0,1,INDEX(COA_Mapping!$F$7:$F$256,$Q2750)))</f>
        <v>1</v>
      </c>
      <c r="P2750" s="34" t="str">
        <f aca="false">IF($A2750="","",$I2750*$O2750)</f>
        <v/>
      </c>
      <c r="Q2750" s="39" t="n">
        <f aca="false">IF($B2750="",0,IFERROR(MATCH($B2750,COA_Mapping!$A$7:$A$256,0),0))</f>
        <v>0</v>
      </c>
      <c r="R2750" s="39" t="n">
        <f aca="false">IF($A2750="",-1,IF($J2750=Setup!$B$7,1,IF($J2750=Setup!$B$9,0,-1)))</f>
        <v>-1</v>
      </c>
      <c r="S2750" s="35" t="n">
        <f aca="false">IF(OR($A2750="",$Q2750=0,$R2750=-1),0,$Q2750*1000+$R2750*100+$K2750)</f>
        <v>0</v>
      </c>
      <c r="T2750" s="37" t="str">
        <f aca="false">IF($A2750="","",IF($B2750="","NO ACCOUNT",IF($Q2750=0,"UNMAPPED",IF($R2750=-1,"OUTSIDE FY RANGE","OK"))))</f>
        <v/>
      </c>
      <c r="U2750" s="40" t="str">
        <f aca="false">IF($A2750="","",$B2750&amp;"|"&amp;TEXT($A2750,"yyyymmdd")&amp;"|"&amp;TEXT($I2750,"0.00"))</f>
        <v/>
      </c>
      <c r="V2750" s="35" t="str">
        <f aca="false">IF($A2750="","",COUNTIF($U$8:$U$5007,$U2750))</f>
        <v/>
      </c>
    </row>
    <row r="2751" customFormat="false" ht="15" hidden="false" customHeight="false" outlineLevel="0" collapsed="false">
      <c r="A2751" s="31"/>
      <c r="B2751" s="32"/>
      <c r="C2751" s="32"/>
      <c r="D2751" s="32"/>
      <c r="E2751" s="32"/>
      <c r="F2751" s="32"/>
      <c r="G2751" s="33"/>
      <c r="H2751" s="33"/>
      <c r="I2751" s="34" t="str">
        <f aca="false">IF($A2751="","",$G2751-$H2751)</f>
        <v/>
      </c>
      <c r="J2751" s="35" t="str">
        <f aca="false">IF($A2751="","",IF(Setup!$B$6=1,YEAR($A2751),YEAR($A2751)+IF(MONTH($A2751)&gt;=Setup!$B$6,1,0)))</f>
        <v/>
      </c>
      <c r="K2751" s="35" t="str">
        <f aca="false">IF($A2751="","",MOD(MONTH($A2751)-Setup!$B$6+12,12)+1)</f>
        <v/>
      </c>
      <c r="L2751" s="36" t="str">
        <f aca="false">IF($A2751="","",TEXT($A2751,"MMM-YY"))</f>
        <v/>
      </c>
      <c r="M2751" s="37" t="str">
        <f aca="false">IF($A2751="","",IF($Q2751=0,"UNMAPPED",INDEX(COA_Mapping!$C$7:$C$256,$Q2751)))</f>
        <v/>
      </c>
      <c r="N2751" s="38" t="str">
        <f aca="false">IF($A2751="","",IF($Q2751=0,"",INDEX(COA_Mapping!$E$7:$E$256,$Q2751)))</f>
        <v/>
      </c>
      <c r="O2751" s="38" t="n">
        <f aca="false">IF($A2751="",1,IF($Q2751=0,1,INDEX(COA_Mapping!$F$7:$F$256,$Q2751)))</f>
        <v>1</v>
      </c>
      <c r="P2751" s="34" t="str">
        <f aca="false">IF($A2751="","",$I2751*$O2751)</f>
        <v/>
      </c>
      <c r="Q2751" s="39" t="n">
        <f aca="false">IF($B2751="",0,IFERROR(MATCH($B2751,COA_Mapping!$A$7:$A$256,0),0))</f>
        <v>0</v>
      </c>
      <c r="R2751" s="39" t="n">
        <f aca="false">IF($A2751="",-1,IF($J2751=Setup!$B$7,1,IF($J2751=Setup!$B$9,0,-1)))</f>
        <v>-1</v>
      </c>
      <c r="S2751" s="35" t="n">
        <f aca="false">IF(OR($A2751="",$Q2751=0,$R2751=-1),0,$Q2751*1000+$R2751*100+$K2751)</f>
        <v>0</v>
      </c>
      <c r="T2751" s="37" t="str">
        <f aca="false">IF($A2751="","",IF($B2751="","NO ACCOUNT",IF($Q2751=0,"UNMAPPED",IF($R2751=-1,"OUTSIDE FY RANGE","OK"))))</f>
        <v/>
      </c>
      <c r="U2751" s="40" t="str">
        <f aca="false">IF($A2751="","",$B2751&amp;"|"&amp;TEXT($A2751,"yyyymmdd")&amp;"|"&amp;TEXT($I2751,"0.00"))</f>
        <v/>
      </c>
      <c r="V2751" s="35" t="str">
        <f aca="false">IF($A2751="","",COUNTIF($U$8:$U$5007,$U2751))</f>
        <v/>
      </c>
    </row>
    <row r="2752" customFormat="false" ht="15" hidden="false" customHeight="false" outlineLevel="0" collapsed="false">
      <c r="A2752" s="31"/>
      <c r="B2752" s="32"/>
      <c r="C2752" s="32"/>
      <c r="D2752" s="32"/>
      <c r="E2752" s="32"/>
      <c r="F2752" s="32"/>
      <c r="G2752" s="33"/>
      <c r="H2752" s="33"/>
      <c r="I2752" s="34" t="str">
        <f aca="false">IF($A2752="","",$G2752-$H2752)</f>
        <v/>
      </c>
      <c r="J2752" s="35" t="str">
        <f aca="false">IF($A2752="","",IF(Setup!$B$6=1,YEAR($A2752),YEAR($A2752)+IF(MONTH($A2752)&gt;=Setup!$B$6,1,0)))</f>
        <v/>
      </c>
      <c r="K2752" s="35" t="str">
        <f aca="false">IF($A2752="","",MOD(MONTH($A2752)-Setup!$B$6+12,12)+1)</f>
        <v/>
      </c>
      <c r="L2752" s="36" t="str">
        <f aca="false">IF($A2752="","",TEXT($A2752,"MMM-YY"))</f>
        <v/>
      </c>
      <c r="M2752" s="37" t="str">
        <f aca="false">IF($A2752="","",IF($Q2752=0,"UNMAPPED",INDEX(COA_Mapping!$C$7:$C$256,$Q2752)))</f>
        <v/>
      </c>
      <c r="N2752" s="38" t="str">
        <f aca="false">IF($A2752="","",IF($Q2752=0,"",INDEX(COA_Mapping!$E$7:$E$256,$Q2752)))</f>
        <v/>
      </c>
      <c r="O2752" s="38" t="n">
        <f aca="false">IF($A2752="",1,IF($Q2752=0,1,INDEX(COA_Mapping!$F$7:$F$256,$Q2752)))</f>
        <v>1</v>
      </c>
      <c r="P2752" s="34" t="str">
        <f aca="false">IF($A2752="","",$I2752*$O2752)</f>
        <v/>
      </c>
      <c r="Q2752" s="39" t="n">
        <f aca="false">IF($B2752="",0,IFERROR(MATCH($B2752,COA_Mapping!$A$7:$A$256,0),0))</f>
        <v>0</v>
      </c>
      <c r="R2752" s="39" t="n">
        <f aca="false">IF($A2752="",-1,IF($J2752=Setup!$B$7,1,IF($J2752=Setup!$B$9,0,-1)))</f>
        <v>-1</v>
      </c>
      <c r="S2752" s="35" t="n">
        <f aca="false">IF(OR($A2752="",$Q2752=0,$R2752=-1),0,$Q2752*1000+$R2752*100+$K2752)</f>
        <v>0</v>
      </c>
      <c r="T2752" s="37" t="str">
        <f aca="false">IF($A2752="","",IF($B2752="","NO ACCOUNT",IF($Q2752=0,"UNMAPPED",IF($R2752=-1,"OUTSIDE FY RANGE","OK"))))</f>
        <v/>
      </c>
      <c r="U2752" s="40" t="str">
        <f aca="false">IF($A2752="","",$B2752&amp;"|"&amp;TEXT($A2752,"yyyymmdd")&amp;"|"&amp;TEXT($I2752,"0.00"))</f>
        <v/>
      </c>
      <c r="V2752" s="35" t="str">
        <f aca="false">IF($A2752="","",COUNTIF($U$8:$U$5007,$U2752))</f>
        <v/>
      </c>
    </row>
    <row r="2753" customFormat="false" ht="15" hidden="false" customHeight="false" outlineLevel="0" collapsed="false">
      <c r="A2753" s="31"/>
      <c r="B2753" s="32"/>
      <c r="C2753" s="32"/>
      <c r="D2753" s="32"/>
      <c r="E2753" s="32"/>
      <c r="F2753" s="32"/>
      <c r="G2753" s="33"/>
      <c r="H2753" s="33"/>
      <c r="I2753" s="34" t="str">
        <f aca="false">IF($A2753="","",$G2753-$H2753)</f>
        <v/>
      </c>
      <c r="J2753" s="35" t="str">
        <f aca="false">IF($A2753="","",IF(Setup!$B$6=1,YEAR($A2753),YEAR($A2753)+IF(MONTH($A2753)&gt;=Setup!$B$6,1,0)))</f>
        <v/>
      </c>
      <c r="K2753" s="35" t="str">
        <f aca="false">IF($A2753="","",MOD(MONTH($A2753)-Setup!$B$6+12,12)+1)</f>
        <v/>
      </c>
      <c r="L2753" s="36" t="str">
        <f aca="false">IF($A2753="","",TEXT($A2753,"MMM-YY"))</f>
        <v/>
      </c>
      <c r="M2753" s="37" t="str">
        <f aca="false">IF($A2753="","",IF($Q2753=0,"UNMAPPED",INDEX(COA_Mapping!$C$7:$C$256,$Q2753)))</f>
        <v/>
      </c>
      <c r="N2753" s="38" t="str">
        <f aca="false">IF($A2753="","",IF($Q2753=0,"",INDEX(COA_Mapping!$E$7:$E$256,$Q2753)))</f>
        <v/>
      </c>
      <c r="O2753" s="38" t="n">
        <f aca="false">IF($A2753="",1,IF($Q2753=0,1,INDEX(COA_Mapping!$F$7:$F$256,$Q2753)))</f>
        <v>1</v>
      </c>
      <c r="P2753" s="34" t="str">
        <f aca="false">IF($A2753="","",$I2753*$O2753)</f>
        <v/>
      </c>
      <c r="Q2753" s="39" t="n">
        <f aca="false">IF($B2753="",0,IFERROR(MATCH($B2753,COA_Mapping!$A$7:$A$256,0),0))</f>
        <v>0</v>
      </c>
      <c r="R2753" s="39" t="n">
        <f aca="false">IF($A2753="",-1,IF($J2753=Setup!$B$7,1,IF($J2753=Setup!$B$9,0,-1)))</f>
        <v>-1</v>
      </c>
      <c r="S2753" s="35" t="n">
        <f aca="false">IF(OR($A2753="",$Q2753=0,$R2753=-1),0,$Q2753*1000+$R2753*100+$K2753)</f>
        <v>0</v>
      </c>
      <c r="T2753" s="37" t="str">
        <f aca="false">IF($A2753="","",IF($B2753="","NO ACCOUNT",IF($Q2753=0,"UNMAPPED",IF($R2753=-1,"OUTSIDE FY RANGE","OK"))))</f>
        <v/>
      </c>
      <c r="U2753" s="40" t="str">
        <f aca="false">IF($A2753="","",$B2753&amp;"|"&amp;TEXT($A2753,"yyyymmdd")&amp;"|"&amp;TEXT($I2753,"0.00"))</f>
        <v/>
      </c>
      <c r="V2753" s="35" t="str">
        <f aca="false">IF($A2753="","",COUNTIF($U$8:$U$5007,$U2753))</f>
        <v/>
      </c>
    </row>
    <row r="2754" customFormat="false" ht="15" hidden="false" customHeight="false" outlineLevel="0" collapsed="false">
      <c r="A2754" s="31"/>
      <c r="B2754" s="32"/>
      <c r="C2754" s="32"/>
      <c r="D2754" s="32"/>
      <c r="E2754" s="32"/>
      <c r="F2754" s="32"/>
      <c r="G2754" s="33"/>
      <c r="H2754" s="33"/>
      <c r="I2754" s="34" t="str">
        <f aca="false">IF($A2754="","",$G2754-$H2754)</f>
        <v/>
      </c>
      <c r="J2754" s="35" t="str">
        <f aca="false">IF($A2754="","",IF(Setup!$B$6=1,YEAR($A2754),YEAR($A2754)+IF(MONTH($A2754)&gt;=Setup!$B$6,1,0)))</f>
        <v/>
      </c>
      <c r="K2754" s="35" t="str">
        <f aca="false">IF($A2754="","",MOD(MONTH($A2754)-Setup!$B$6+12,12)+1)</f>
        <v/>
      </c>
      <c r="L2754" s="36" t="str">
        <f aca="false">IF($A2754="","",TEXT($A2754,"MMM-YY"))</f>
        <v/>
      </c>
      <c r="M2754" s="37" t="str">
        <f aca="false">IF($A2754="","",IF($Q2754=0,"UNMAPPED",INDEX(COA_Mapping!$C$7:$C$256,$Q2754)))</f>
        <v/>
      </c>
      <c r="N2754" s="38" t="str">
        <f aca="false">IF($A2754="","",IF($Q2754=0,"",INDEX(COA_Mapping!$E$7:$E$256,$Q2754)))</f>
        <v/>
      </c>
      <c r="O2754" s="38" t="n">
        <f aca="false">IF($A2754="",1,IF($Q2754=0,1,INDEX(COA_Mapping!$F$7:$F$256,$Q2754)))</f>
        <v>1</v>
      </c>
      <c r="P2754" s="34" t="str">
        <f aca="false">IF($A2754="","",$I2754*$O2754)</f>
        <v/>
      </c>
      <c r="Q2754" s="39" t="n">
        <f aca="false">IF($B2754="",0,IFERROR(MATCH($B2754,COA_Mapping!$A$7:$A$256,0),0))</f>
        <v>0</v>
      </c>
      <c r="R2754" s="39" t="n">
        <f aca="false">IF($A2754="",-1,IF($J2754=Setup!$B$7,1,IF($J2754=Setup!$B$9,0,-1)))</f>
        <v>-1</v>
      </c>
      <c r="S2754" s="35" t="n">
        <f aca="false">IF(OR($A2754="",$Q2754=0,$R2754=-1),0,$Q2754*1000+$R2754*100+$K2754)</f>
        <v>0</v>
      </c>
      <c r="T2754" s="37" t="str">
        <f aca="false">IF($A2754="","",IF($B2754="","NO ACCOUNT",IF($Q2754=0,"UNMAPPED",IF($R2754=-1,"OUTSIDE FY RANGE","OK"))))</f>
        <v/>
      </c>
      <c r="U2754" s="40" t="str">
        <f aca="false">IF($A2754="","",$B2754&amp;"|"&amp;TEXT($A2754,"yyyymmdd")&amp;"|"&amp;TEXT($I2754,"0.00"))</f>
        <v/>
      </c>
      <c r="V2754" s="35" t="str">
        <f aca="false">IF($A2754="","",COUNTIF($U$8:$U$5007,$U2754))</f>
        <v/>
      </c>
    </row>
    <row r="2755" customFormat="false" ht="15" hidden="false" customHeight="false" outlineLevel="0" collapsed="false">
      <c r="A2755" s="31"/>
      <c r="B2755" s="32"/>
      <c r="C2755" s="32"/>
      <c r="D2755" s="32"/>
      <c r="E2755" s="32"/>
      <c r="F2755" s="32"/>
      <c r="G2755" s="33"/>
      <c r="H2755" s="33"/>
      <c r="I2755" s="34" t="str">
        <f aca="false">IF($A2755="","",$G2755-$H2755)</f>
        <v/>
      </c>
      <c r="J2755" s="35" t="str">
        <f aca="false">IF($A2755="","",IF(Setup!$B$6=1,YEAR($A2755),YEAR($A2755)+IF(MONTH($A2755)&gt;=Setup!$B$6,1,0)))</f>
        <v/>
      </c>
      <c r="K2755" s="35" t="str">
        <f aca="false">IF($A2755="","",MOD(MONTH($A2755)-Setup!$B$6+12,12)+1)</f>
        <v/>
      </c>
      <c r="L2755" s="36" t="str">
        <f aca="false">IF($A2755="","",TEXT($A2755,"MMM-YY"))</f>
        <v/>
      </c>
      <c r="M2755" s="37" t="str">
        <f aca="false">IF($A2755="","",IF($Q2755=0,"UNMAPPED",INDEX(COA_Mapping!$C$7:$C$256,$Q2755)))</f>
        <v/>
      </c>
      <c r="N2755" s="38" t="str">
        <f aca="false">IF($A2755="","",IF($Q2755=0,"",INDEX(COA_Mapping!$E$7:$E$256,$Q2755)))</f>
        <v/>
      </c>
      <c r="O2755" s="38" t="n">
        <f aca="false">IF($A2755="",1,IF($Q2755=0,1,INDEX(COA_Mapping!$F$7:$F$256,$Q2755)))</f>
        <v>1</v>
      </c>
      <c r="P2755" s="34" t="str">
        <f aca="false">IF($A2755="","",$I2755*$O2755)</f>
        <v/>
      </c>
      <c r="Q2755" s="39" t="n">
        <f aca="false">IF($B2755="",0,IFERROR(MATCH($B2755,COA_Mapping!$A$7:$A$256,0),0))</f>
        <v>0</v>
      </c>
      <c r="R2755" s="39" t="n">
        <f aca="false">IF($A2755="",-1,IF($J2755=Setup!$B$7,1,IF($J2755=Setup!$B$9,0,-1)))</f>
        <v>-1</v>
      </c>
      <c r="S2755" s="35" t="n">
        <f aca="false">IF(OR($A2755="",$Q2755=0,$R2755=-1),0,$Q2755*1000+$R2755*100+$K2755)</f>
        <v>0</v>
      </c>
      <c r="T2755" s="37" t="str">
        <f aca="false">IF($A2755="","",IF($B2755="","NO ACCOUNT",IF($Q2755=0,"UNMAPPED",IF($R2755=-1,"OUTSIDE FY RANGE","OK"))))</f>
        <v/>
      </c>
      <c r="U2755" s="40" t="str">
        <f aca="false">IF($A2755="","",$B2755&amp;"|"&amp;TEXT($A2755,"yyyymmdd")&amp;"|"&amp;TEXT($I2755,"0.00"))</f>
        <v/>
      </c>
      <c r="V2755" s="35" t="str">
        <f aca="false">IF($A2755="","",COUNTIF($U$8:$U$5007,$U2755))</f>
        <v/>
      </c>
    </row>
    <row r="2756" customFormat="false" ht="15" hidden="false" customHeight="false" outlineLevel="0" collapsed="false">
      <c r="A2756" s="31"/>
      <c r="B2756" s="32"/>
      <c r="C2756" s="32"/>
      <c r="D2756" s="32"/>
      <c r="E2756" s="32"/>
      <c r="F2756" s="32"/>
      <c r="G2756" s="33"/>
      <c r="H2756" s="33"/>
      <c r="I2756" s="34" t="str">
        <f aca="false">IF($A2756="","",$G2756-$H2756)</f>
        <v/>
      </c>
      <c r="J2756" s="35" t="str">
        <f aca="false">IF($A2756="","",IF(Setup!$B$6=1,YEAR($A2756),YEAR($A2756)+IF(MONTH($A2756)&gt;=Setup!$B$6,1,0)))</f>
        <v/>
      </c>
      <c r="K2756" s="35" t="str">
        <f aca="false">IF($A2756="","",MOD(MONTH($A2756)-Setup!$B$6+12,12)+1)</f>
        <v/>
      </c>
      <c r="L2756" s="36" t="str">
        <f aca="false">IF($A2756="","",TEXT($A2756,"MMM-YY"))</f>
        <v/>
      </c>
      <c r="M2756" s="37" t="str">
        <f aca="false">IF($A2756="","",IF($Q2756=0,"UNMAPPED",INDEX(COA_Mapping!$C$7:$C$256,$Q2756)))</f>
        <v/>
      </c>
      <c r="N2756" s="38" t="str">
        <f aca="false">IF($A2756="","",IF($Q2756=0,"",INDEX(COA_Mapping!$E$7:$E$256,$Q2756)))</f>
        <v/>
      </c>
      <c r="O2756" s="38" t="n">
        <f aca="false">IF($A2756="",1,IF($Q2756=0,1,INDEX(COA_Mapping!$F$7:$F$256,$Q2756)))</f>
        <v>1</v>
      </c>
      <c r="P2756" s="34" t="str">
        <f aca="false">IF($A2756="","",$I2756*$O2756)</f>
        <v/>
      </c>
      <c r="Q2756" s="39" t="n">
        <f aca="false">IF($B2756="",0,IFERROR(MATCH($B2756,COA_Mapping!$A$7:$A$256,0),0))</f>
        <v>0</v>
      </c>
      <c r="R2756" s="39" t="n">
        <f aca="false">IF($A2756="",-1,IF($J2756=Setup!$B$7,1,IF($J2756=Setup!$B$9,0,-1)))</f>
        <v>-1</v>
      </c>
      <c r="S2756" s="35" t="n">
        <f aca="false">IF(OR($A2756="",$Q2756=0,$R2756=-1),0,$Q2756*1000+$R2756*100+$K2756)</f>
        <v>0</v>
      </c>
      <c r="T2756" s="37" t="str">
        <f aca="false">IF($A2756="","",IF($B2756="","NO ACCOUNT",IF($Q2756=0,"UNMAPPED",IF($R2756=-1,"OUTSIDE FY RANGE","OK"))))</f>
        <v/>
      </c>
      <c r="U2756" s="40" t="str">
        <f aca="false">IF($A2756="","",$B2756&amp;"|"&amp;TEXT($A2756,"yyyymmdd")&amp;"|"&amp;TEXT($I2756,"0.00"))</f>
        <v/>
      </c>
      <c r="V2756" s="35" t="str">
        <f aca="false">IF($A2756="","",COUNTIF($U$8:$U$5007,$U2756))</f>
        <v/>
      </c>
    </row>
    <row r="2757" customFormat="false" ht="15" hidden="false" customHeight="false" outlineLevel="0" collapsed="false">
      <c r="A2757" s="31"/>
      <c r="B2757" s="32"/>
      <c r="C2757" s="32"/>
      <c r="D2757" s="32"/>
      <c r="E2757" s="32"/>
      <c r="F2757" s="32"/>
      <c r="G2757" s="33"/>
      <c r="H2757" s="33"/>
      <c r="I2757" s="34" t="str">
        <f aca="false">IF($A2757="","",$G2757-$H2757)</f>
        <v/>
      </c>
      <c r="J2757" s="35" t="str">
        <f aca="false">IF($A2757="","",IF(Setup!$B$6=1,YEAR($A2757),YEAR($A2757)+IF(MONTH($A2757)&gt;=Setup!$B$6,1,0)))</f>
        <v/>
      </c>
      <c r="K2757" s="35" t="str">
        <f aca="false">IF($A2757="","",MOD(MONTH($A2757)-Setup!$B$6+12,12)+1)</f>
        <v/>
      </c>
      <c r="L2757" s="36" t="str">
        <f aca="false">IF($A2757="","",TEXT($A2757,"MMM-YY"))</f>
        <v/>
      </c>
      <c r="M2757" s="37" t="str">
        <f aca="false">IF($A2757="","",IF($Q2757=0,"UNMAPPED",INDEX(COA_Mapping!$C$7:$C$256,$Q2757)))</f>
        <v/>
      </c>
      <c r="N2757" s="38" t="str">
        <f aca="false">IF($A2757="","",IF($Q2757=0,"",INDEX(COA_Mapping!$E$7:$E$256,$Q2757)))</f>
        <v/>
      </c>
      <c r="O2757" s="38" t="n">
        <f aca="false">IF($A2757="",1,IF($Q2757=0,1,INDEX(COA_Mapping!$F$7:$F$256,$Q2757)))</f>
        <v>1</v>
      </c>
      <c r="P2757" s="34" t="str">
        <f aca="false">IF($A2757="","",$I2757*$O2757)</f>
        <v/>
      </c>
      <c r="Q2757" s="39" t="n">
        <f aca="false">IF($B2757="",0,IFERROR(MATCH($B2757,COA_Mapping!$A$7:$A$256,0),0))</f>
        <v>0</v>
      </c>
      <c r="R2757" s="39" t="n">
        <f aca="false">IF($A2757="",-1,IF($J2757=Setup!$B$7,1,IF($J2757=Setup!$B$9,0,-1)))</f>
        <v>-1</v>
      </c>
      <c r="S2757" s="35" t="n">
        <f aca="false">IF(OR($A2757="",$Q2757=0,$R2757=-1),0,$Q2757*1000+$R2757*100+$K2757)</f>
        <v>0</v>
      </c>
      <c r="T2757" s="37" t="str">
        <f aca="false">IF($A2757="","",IF($B2757="","NO ACCOUNT",IF($Q2757=0,"UNMAPPED",IF($R2757=-1,"OUTSIDE FY RANGE","OK"))))</f>
        <v/>
      </c>
      <c r="U2757" s="40" t="str">
        <f aca="false">IF($A2757="","",$B2757&amp;"|"&amp;TEXT($A2757,"yyyymmdd")&amp;"|"&amp;TEXT($I2757,"0.00"))</f>
        <v/>
      </c>
      <c r="V2757" s="35" t="str">
        <f aca="false">IF($A2757="","",COUNTIF($U$8:$U$5007,$U2757))</f>
        <v/>
      </c>
    </row>
    <row r="2758" customFormat="false" ht="15" hidden="false" customHeight="false" outlineLevel="0" collapsed="false">
      <c r="A2758" s="31"/>
      <c r="B2758" s="32"/>
      <c r="C2758" s="32"/>
      <c r="D2758" s="32"/>
      <c r="E2758" s="32"/>
      <c r="F2758" s="32"/>
      <c r="G2758" s="33"/>
      <c r="H2758" s="33"/>
      <c r="I2758" s="34" t="str">
        <f aca="false">IF($A2758="","",$G2758-$H2758)</f>
        <v/>
      </c>
      <c r="J2758" s="35" t="str">
        <f aca="false">IF($A2758="","",IF(Setup!$B$6=1,YEAR($A2758),YEAR($A2758)+IF(MONTH($A2758)&gt;=Setup!$B$6,1,0)))</f>
        <v/>
      </c>
      <c r="K2758" s="35" t="str">
        <f aca="false">IF($A2758="","",MOD(MONTH($A2758)-Setup!$B$6+12,12)+1)</f>
        <v/>
      </c>
      <c r="L2758" s="36" t="str">
        <f aca="false">IF($A2758="","",TEXT($A2758,"MMM-YY"))</f>
        <v/>
      </c>
      <c r="M2758" s="37" t="str">
        <f aca="false">IF($A2758="","",IF($Q2758=0,"UNMAPPED",INDEX(COA_Mapping!$C$7:$C$256,$Q2758)))</f>
        <v/>
      </c>
      <c r="N2758" s="38" t="str">
        <f aca="false">IF($A2758="","",IF($Q2758=0,"",INDEX(COA_Mapping!$E$7:$E$256,$Q2758)))</f>
        <v/>
      </c>
      <c r="O2758" s="38" t="n">
        <f aca="false">IF($A2758="",1,IF($Q2758=0,1,INDEX(COA_Mapping!$F$7:$F$256,$Q2758)))</f>
        <v>1</v>
      </c>
      <c r="P2758" s="34" t="str">
        <f aca="false">IF($A2758="","",$I2758*$O2758)</f>
        <v/>
      </c>
      <c r="Q2758" s="39" t="n">
        <f aca="false">IF($B2758="",0,IFERROR(MATCH($B2758,COA_Mapping!$A$7:$A$256,0),0))</f>
        <v>0</v>
      </c>
      <c r="R2758" s="39" t="n">
        <f aca="false">IF($A2758="",-1,IF($J2758=Setup!$B$7,1,IF($J2758=Setup!$B$9,0,-1)))</f>
        <v>-1</v>
      </c>
      <c r="S2758" s="35" t="n">
        <f aca="false">IF(OR($A2758="",$Q2758=0,$R2758=-1),0,$Q2758*1000+$R2758*100+$K2758)</f>
        <v>0</v>
      </c>
      <c r="T2758" s="37" t="str">
        <f aca="false">IF($A2758="","",IF($B2758="","NO ACCOUNT",IF($Q2758=0,"UNMAPPED",IF($R2758=-1,"OUTSIDE FY RANGE","OK"))))</f>
        <v/>
      </c>
      <c r="U2758" s="40" t="str">
        <f aca="false">IF($A2758="","",$B2758&amp;"|"&amp;TEXT($A2758,"yyyymmdd")&amp;"|"&amp;TEXT($I2758,"0.00"))</f>
        <v/>
      </c>
      <c r="V2758" s="35" t="str">
        <f aca="false">IF($A2758="","",COUNTIF($U$8:$U$5007,$U2758))</f>
        <v/>
      </c>
    </row>
    <row r="2759" customFormat="false" ht="15" hidden="false" customHeight="false" outlineLevel="0" collapsed="false">
      <c r="A2759" s="31"/>
      <c r="B2759" s="32"/>
      <c r="C2759" s="32"/>
      <c r="D2759" s="32"/>
      <c r="E2759" s="32"/>
      <c r="F2759" s="32"/>
      <c r="G2759" s="33"/>
      <c r="H2759" s="33"/>
      <c r="I2759" s="34" t="str">
        <f aca="false">IF($A2759="","",$G2759-$H2759)</f>
        <v/>
      </c>
      <c r="J2759" s="35" t="str">
        <f aca="false">IF($A2759="","",IF(Setup!$B$6=1,YEAR($A2759),YEAR($A2759)+IF(MONTH($A2759)&gt;=Setup!$B$6,1,0)))</f>
        <v/>
      </c>
      <c r="K2759" s="35" t="str">
        <f aca="false">IF($A2759="","",MOD(MONTH($A2759)-Setup!$B$6+12,12)+1)</f>
        <v/>
      </c>
      <c r="L2759" s="36" t="str">
        <f aca="false">IF($A2759="","",TEXT($A2759,"MMM-YY"))</f>
        <v/>
      </c>
      <c r="M2759" s="37" t="str">
        <f aca="false">IF($A2759="","",IF($Q2759=0,"UNMAPPED",INDEX(COA_Mapping!$C$7:$C$256,$Q2759)))</f>
        <v/>
      </c>
      <c r="N2759" s="38" t="str">
        <f aca="false">IF($A2759="","",IF($Q2759=0,"",INDEX(COA_Mapping!$E$7:$E$256,$Q2759)))</f>
        <v/>
      </c>
      <c r="O2759" s="38" t="n">
        <f aca="false">IF($A2759="",1,IF($Q2759=0,1,INDEX(COA_Mapping!$F$7:$F$256,$Q2759)))</f>
        <v>1</v>
      </c>
      <c r="P2759" s="34" t="str">
        <f aca="false">IF($A2759="","",$I2759*$O2759)</f>
        <v/>
      </c>
      <c r="Q2759" s="39" t="n">
        <f aca="false">IF($B2759="",0,IFERROR(MATCH($B2759,COA_Mapping!$A$7:$A$256,0),0))</f>
        <v>0</v>
      </c>
      <c r="R2759" s="39" t="n">
        <f aca="false">IF($A2759="",-1,IF($J2759=Setup!$B$7,1,IF($J2759=Setup!$B$9,0,-1)))</f>
        <v>-1</v>
      </c>
      <c r="S2759" s="35" t="n">
        <f aca="false">IF(OR($A2759="",$Q2759=0,$R2759=-1),0,$Q2759*1000+$R2759*100+$K2759)</f>
        <v>0</v>
      </c>
      <c r="T2759" s="37" t="str">
        <f aca="false">IF($A2759="","",IF($B2759="","NO ACCOUNT",IF($Q2759=0,"UNMAPPED",IF($R2759=-1,"OUTSIDE FY RANGE","OK"))))</f>
        <v/>
      </c>
      <c r="U2759" s="40" t="str">
        <f aca="false">IF($A2759="","",$B2759&amp;"|"&amp;TEXT($A2759,"yyyymmdd")&amp;"|"&amp;TEXT($I2759,"0.00"))</f>
        <v/>
      </c>
      <c r="V2759" s="35" t="str">
        <f aca="false">IF($A2759="","",COUNTIF($U$8:$U$5007,$U2759))</f>
        <v/>
      </c>
    </row>
    <row r="2760" customFormat="false" ht="15" hidden="false" customHeight="false" outlineLevel="0" collapsed="false">
      <c r="A2760" s="31"/>
      <c r="B2760" s="32"/>
      <c r="C2760" s="32"/>
      <c r="D2760" s="32"/>
      <c r="E2760" s="32"/>
      <c r="F2760" s="32"/>
      <c r="G2760" s="33"/>
      <c r="H2760" s="33"/>
      <c r="I2760" s="34" t="str">
        <f aca="false">IF($A2760="","",$G2760-$H2760)</f>
        <v/>
      </c>
      <c r="J2760" s="35" t="str">
        <f aca="false">IF($A2760="","",IF(Setup!$B$6=1,YEAR($A2760),YEAR($A2760)+IF(MONTH($A2760)&gt;=Setup!$B$6,1,0)))</f>
        <v/>
      </c>
      <c r="K2760" s="35" t="str">
        <f aca="false">IF($A2760="","",MOD(MONTH($A2760)-Setup!$B$6+12,12)+1)</f>
        <v/>
      </c>
      <c r="L2760" s="36" t="str">
        <f aca="false">IF($A2760="","",TEXT($A2760,"MMM-YY"))</f>
        <v/>
      </c>
      <c r="M2760" s="37" t="str">
        <f aca="false">IF($A2760="","",IF($Q2760=0,"UNMAPPED",INDEX(COA_Mapping!$C$7:$C$256,$Q2760)))</f>
        <v/>
      </c>
      <c r="N2760" s="38" t="str">
        <f aca="false">IF($A2760="","",IF($Q2760=0,"",INDEX(COA_Mapping!$E$7:$E$256,$Q2760)))</f>
        <v/>
      </c>
      <c r="O2760" s="38" t="n">
        <f aca="false">IF($A2760="",1,IF($Q2760=0,1,INDEX(COA_Mapping!$F$7:$F$256,$Q2760)))</f>
        <v>1</v>
      </c>
      <c r="P2760" s="34" t="str">
        <f aca="false">IF($A2760="","",$I2760*$O2760)</f>
        <v/>
      </c>
      <c r="Q2760" s="39" t="n">
        <f aca="false">IF($B2760="",0,IFERROR(MATCH($B2760,COA_Mapping!$A$7:$A$256,0),0))</f>
        <v>0</v>
      </c>
      <c r="R2760" s="39" t="n">
        <f aca="false">IF($A2760="",-1,IF($J2760=Setup!$B$7,1,IF($J2760=Setup!$B$9,0,-1)))</f>
        <v>-1</v>
      </c>
      <c r="S2760" s="35" t="n">
        <f aca="false">IF(OR($A2760="",$Q2760=0,$R2760=-1),0,$Q2760*1000+$R2760*100+$K2760)</f>
        <v>0</v>
      </c>
      <c r="T2760" s="37" t="str">
        <f aca="false">IF($A2760="","",IF($B2760="","NO ACCOUNT",IF($Q2760=0,"UNMAPPED",IF($R2760=-1,"OUTSIDE FY RANGE","OK"))))</f>
        <v/>
      </c>
      <c r="U2760" s="40" t="str">
        <f aca="false">IF($A2760="","",$B2760&amp;"|"&amp;TEXT($A2760,"yyyymmdd")&amp;"|"&amp;TEXT($I2760,"0.00"))</f>
        <v/>
      </c>
      <c r="V2760" s="35" t="str">
        <f aca="false">IF($A2760="","",COUNTIF($U$8:$U$5007,$U2760))</f>
        <v/>
      </c>
    </row>
    <row r="2761" customFormat="false" ht="15" hidden="false" customHeight="false" outlineLevel="0" collapsed="false">
      <c r="A2761" s="31"/>
      <c r="B2761" s="32"/>
      <c r="C2761" s="32"/>
      <c r="D2761" s="32"/>
      <c r="E2761" s="32"/>
      <c r="F2761" s="32"/>
      <c r="G2761" s="33"/>
      <c r="H2761" s="33"/>
      <c r="I2761" s="34" t="str">
        <f aca="false">IF($A2761="","",$G2761-$H2761)</f>
        <v/>
      </c>
      <c r="J2761" s="35" t="str">
        <f aca="false">IF($A2761="","",IF(Setup!$B$6=1,YEAR($A2761),YEAR($A2761)+IF(MONTH($A2761)&gt;=Setup!$B$6,1,0)))</f>
        <v/>
      </c>
      <c r="K2761" s="35" t="str">
        <f aca="false">IF($A2761="","",MOD(MONTH($A2761)-Setup!$B$6+12,12)+1)</f>
        <v/>
      </c>
      <c r="L2761" s="36" t="str">
        <f aca="false">IF($A2761="","",TEXT($A2761,"MMM-YY"))</f>
        <v/>
      </c>
      <c r="M2761" s="37" t="str">
        <f aca="false">IF($A2761="","",IF($Q2761=0,"UNMAPPED",INDEX(COA_Mapping!$C$7:$C$256,$Q2761)))</f>
        <v/>
      </c>
      <c r="N2761" s="38" t="str">
        <f aca="false">IF($A2761="","",IF($Q2761=0,"",INDEX(COA_Mapping!$E$7:$E$256,$Q2761)))</f>
        <v/>
      </c>
      <c r="O2761" s="38" t="n">
        <f aca="false">IF($A2761="",1,IF($Q2761=0,1,INDEX(COA_Mapping!$F$7:$F$256,$Q2761)))</f>
        <v>1</v>
      </c>
      <c r="P2761" s="34" t="str">
        <f aca="false">IF($A2761="","",$I2761*$O2761)</f>
        <v/>
      </c>
      <c r="Q2761" s="39" t="n">
        <f aca="false">IF($B2761="",0,IFERROR(MATCH($B2761,COA_Mapping!$A$7:$A$256,0),0))</f>
        <v>0</v>
      </c>
      <c r="R2761" s="39" t="n">
        <f aca="false">IF($A2761="",-1,IF($J2761=Setup!$B$7,1,IF($J2761=Setup!$B$9,0,-1)))</f>
        <v>-1</v>
      </c>
      <c r="S2761" s="35" t="n">
        <f aca="false">IF(OR($A2761="",$Q2761=0,$R2761=-1),0,$Q2761*1000+$R2761*100+$K2761)</f>
        <v>0</v>
      </c>
      <c r="T2761" s="37" t="str">
        <f aca="false">IF($A2761="","",IF($B2761="","NO ACCOUNT",IF($Q2761=0,"UNMAPPED",IF($R2761=-1,"OUTSIDE FY RANGE","OK"))))</f>
        <v/>
      </c>
      <c r="U2761" s="40" t="str">
        <f aca="false">IF($A2761="","",$B2761&amp;"|"&amp;TEXT($A2761,"yyyymmdd")&amp;"|"&amp;TEXT($I2761,"0.00"))</f>
        <v/>
      </c>
      <c r="V2761" s="35" t="str">
        <f aca="false">IF($A2761="","",COUNTIF($U$8:$U$5007,$U2761))</f>
        <v/>
      </c>
    </row>
    <row r="2762" customFormat="false" ht="15" hidden="false" customHeight="false" outlineLevel="0" collapsed="false">
      <c r="A2762" s="31"/>
      <c r="B2762" s="32"/>
      <c r="C2762" s="32"/>
      <c r="D2762" s="32"/>
      <c r="E2762" s="32"/>
      <c r="F2762" s="32"/>
      <c r="G2762" s="33"/>
      <c r="H2762" s="33"/>
      <c r="I2762" s="34" t="str">
        <f aca="false">IF($A2762="","",$G2762-$H2762)</f>
        <v/>
      </c>
      <c r="J2762" s="35" t="str">
        <f aca="false">IF($A2762="","",IF(Setup!$B$6=1,YEAR($A2762),YEAR($A2762)+IF(MONTH($A2762)&gt;=Setup!$B$6,1,0)))</f>
        <v/>
      </c>
      <c r="K2762" s="35" t="str">
        <f aca="false">IF($A2762="","",MOD(MONTH($A2762)-Setup!$B$6+12,12)+1)</f>
        <v/>
      </c>
      <c r="L2762" s="36" t="str">
        <f aca="false">IF($A2762="","",TEXT($A2762,"MMM-YY"))</f>
        <v/>
      </c>
      <c r="M2762" s="37" t="str">
        <f aca="false">IF($A2762="","",IF($Q2762=0,"UNMAPPED",INDEX(COA_Mapping!$C$7:$C$256,$Q2762)))</f>
        <v/>
      </c>
      <c r="N2762" s="38" t="str">
        <f aca="false">IF($A2762="","",IF($Q2762=0,"",INDEX(COA_Mapping!$E$7:$E$256,$Q2762)))</f>
        <v/>
      </c>
      <c r="O2762" s="38" t="n">
        <f aca="false">IF($A2762="",1,IF($Q2762=0,1,INDEX(COA_Mapping!$F$7:$F$256,$Q2762)))</f>
        <v>1</v>
      </c>
      <c r="P2762" s="34" t="str">
        <f aca="false">IF($A2762="","",$I2762*$O2762)</f>
        <v/>
      </c>
      <c r="Q2762" s="39" t="n">
        <f aca="false">IF($B2762="",0,IFERROR(MATCH($B2762,COA_Mapping!$A$7:$A$256,0),0))</f>
        <v>0</v>
      </c>
      <c r="R2762" s="39" t="n">
        <f aca="false">IF($A2762="",-1,IF($J2762=Setup!$B$7,1,IF($J2762=Setup!$B$9,0,-1)))</f>
        <v>-1</v>
      </c>
      <c r="S2762" s="35" t="n">
        <f aca="false">IF(OR($A2762="",$Q2762=0,$R2762=-1),0,$Q2762*1000+$R2762*100+$K2762)</f>
        <v>0</v>
      </c>
      <c r="T2762" s="37" t="str">
        <f aca="false">IF($A2762="","",IF($B2762="","NO ACCOUNT",IF($Q2762=0,"UNMAPPED",IF($R2762=-1,"OUTSIDE FY RANGE","OK"))))</f>
        <v/>
      </c>
      <c r="U2762" s="40" t="str">
        <f aca="false">IF($A2762="","",$B2762&amp;"|"&amp;TEXT($A2762,"yyyymmdd")&amp;"|"&amp;TEXT($I2762,"0.00"))</f>
        <v/>
      </c>
      <c r="V2762" s="35" t="str">
        <f aca="false">IF($A2762="","",COUNTIF($U$8:$U$5007,$U2762))</f>
        <v/>
      </c>
    </row>
    <row r="2763" customFormat="false" ht="15" hidden="false" customHeight="false" outlineLevel="0" collapsed="false">
      <c r="A2763" s="31"/>
      <c r="B2763" s="32"/>
      <c r="C2763" s="32"/>
      <c r="D2763" s="32"/>
      <c r="E2763" s="32"/>
      <c r="F2763" s="32"/>
      <c r="G2763" s="33"/>
      <c r="H2763" s="33"/>
      <c r="I2763" s="34" t="str">
        <f aca="false">IF($A2763="","",$G2763-$H2763)</f>
        <v/>
      </c>
      <c r="J2763" s="35" t="str">
        <f aca="false">IF($A2763="","",IF(Setup!$B$6=1,YEAR($A2763),YEAR($A2763)+IF(MONTH($A2763)&gt;=Setup!$B$6,1,0)))</f>
        <v/>
      </c>
      <c r="K2763" s="35" t="str">
        <f aca="false">IF($A2763="","",MOD(MONTH($A2763)-Setup!$B$6+12,12)+1)</f>
        <v/>
      </c>
      <c r="L2763" s="36" t="str">
        <f aca="false">IF($A2763="","",TEXT($A2763,"MMM-YY"))</f>
        <v/>
      </c>
      <c r="M2763" s="37" t="str">
        <f aca="false">IF($A2763="","",IF($Q2763=0,"UNMAPPED",INDEX(COA_Mapping!$C$7:$C$256,$Q2763)))</f>
        <v/>
      </c>
      <c r="N2763" s="38" t="str">
        <f aca="false">IF($A2763="","",IF($Q2763=0,"",INDEX(COA_Mapping!$E$7:$E$256,$Q2763)))</f>
        <v/>
      </c>
      <c r="O2763" s="38" t="n">
        <f aca="false">IF($A2763="",1,IF($Q2763=0,1,INDEX(COA_Mapping!$F$7:$F$256,$Q2763)))</f>
        <v>1</v>
      </c>
      <c r="P2763" s="34" t="str">
        <f aca="false">IF($A2763="","",$I2763*$O2763)</f>
        <v/>
      </c>
      <c r="Q2763" s="39" t="n">
        <f aca="false">IF($B2763="",0,IFERROR(MATCH($B2763,COA_Mapping!$A$7:$A$256,0),0))</f>
        <v>0</v>
      </c>
      <c r="R2763" s="39" t="n">
        <f aca="false">IF($A2763="",-1,IF($J2763=Setup!$B$7,1,IF($J2763=Setup!$B$9,0,-1)))</f>
        <v>-1</v>
      </c>
      <c r="S2763" s="35" t="n">
        <f aca="false">IF(OR($A2763="",$Q2763=0,$R2763=-1),0,$Q2763*1000+$R2763*100+$K2763)</f>
        <v>0</v>
      </c>
      <c r="T2763" s="37" t="str">
        <f aca="false">IF($A2763="","",IF($B2763="","NO ACCOUNT",IF($Q2763=0,"UNMAPPED",IF($R2763=-1,"OUTSIDE FY RANGE","OK"))))</f>
        <v/>
      </c>
      <c r="U2763" s="40" t="str">
        <f aca="false">IF($A2763="","",$B2763&amp;"|"&amp;TEXT($A2763,"yyyymmdd")&amp;"|"&amp;TEXT($I2763,"0.00"))</f>
        <v/>
      </c>
      <c r="V2763" s="35" t="str">
        <f aca="false">IF($A2763="","",COUNTIF($U$8:$U$5007,$U2763))</f>
        <v/>
      </c>
    </row>
    <row r="2764" customFormat="false" ht="15" hidden="false" customHeight="false" outlineLevel="0" collapsed="false">
      <c r="A2764" s="31"/>
      <c r="B2764" s="32"/>
      <c r="C2764" s="32"/>
      <c r="D2764" s="32"/>
      <c r="E2764" s="32"/>
      <c r="F2764" s="32"/>
      <c r="G2764" s="33"/>
      <c r="H2764" s="33"/>
      <c r="I2764" s="34" t="str">
        <f aca="false">IF($A2764="","",$G2764-$H2764)</f>
        <v/>
      </c>
      <c r="J2764" s="35" t="str">
        <f aca="false">IF($A2764="","",IF(Setup!$B$6=1,YEAR($A2764),YEAR($A2764)+IF(MONTH($A2764)&gt;=Setup!$B$6,1,0)))</f>
        <v/>
      </c>
      <c r="K2764" s="35" t="str">
        <f aca="false">IF($A2764="","",MOD(MONTH($A2764)-Setup!$B$6+12,12)+1)</f>
        <v/>
      </c>
      <c r="L2764" s="36" t="str">
        <f aca="false">IF($A2764="","",TEXT($A2764,"MMM-YY"))</f>
        <v/>
      </c>
      <c r="M2764" s="37" t="str">
        <f aca="false">IF($A2764="","",IF($Q2764=0,"UNMAPPED",INDEX(COA_Mapping!$C$7:$C$256,$Q2764)))</f>
        <v/>
      </c>
      <c r="N2764" s="38" t="str">
        <f aca="false">IF($A2764="","",IF($Q2764=0,"",INDEX(COA_Mapping!$E$7:$E$256,$Q2764)))</f>
        <v/>
      </c>
      <c r="O2764" s="38" t="n">
        <f aca="false">IF($A2764="",1,IF($Q2764=0,1,INDEX(COA_Mapping!$F$7:$F$256,$Q2764)))</f>
        <v>1</v>
      </c>
      <c r="P2764" s="34" t="str">
        <f aca="false">IF($A2764="","",$I2764*$O2764)</f>
        <v/>
      </c>
      <c r="Q2764" s="39" t="n">
        <f aca="false">IF($B2764="",0,IFERROR(MATCH($B2764,COA_Mapping!$A$7:$A$256,0),0))</f>
        <v>0</v>
      </c>
      <c r="R2764" s="39" t="n">
        <f aca="false">IF($A2764="",-1,IF($J2764=Setup!$B$7,1,IF($J2764=Setup!$B$9,0,-1)))</f>
        <v>-1</v>
      </c>
      <c r="S2764" s="35" t="n">
        <f aca="false">IF(OR($A2764="",$Q2764=0,$R2764=-1),0,$Q2764*1000+$R2764*100+$K2764)</f>
        <v>0</v>
      </c>
      <c r="T2764" s="37" t="str">
        <f aca="false">IF($A2764="","",IF($B2764="","NO ACCOUNT",IF($Q2764=0,"UNMAPPED",IF($R2764=-1,"OUTSIDE FY RANGE","OK"))))</f>
        <v/>
      </c>
      <c r="U2764" s="40" t="str">
        <f aca="false">IF($A2764="","",$B2764&amp;"|"&amp;TEXT($A2764,"yyyymmdd")&amp;"|"&amp;TEXT($I2764,"0.00"))</f>
        <v/>
      </c>
      <c r="V2764" s="35" t="str">
        <f aca="false">IF($A2764="","",COUNTIF($U$8:$U$5007,$U2764))</f>
        <v/>
      </c>
    </row>
    <row r="2765" customFormat="false" ht="15" hidden="false" customHeight="false" outlineLevel="0" collapsed="false">
      <c r="A2765" s="31"/>
      <c r="B2765" s="32"/>
      <c r="C2765" s="32"/>
      <c r="D2765" s="32"/>
      <c r="E2765" s="32"/>
      <c r="F2765" s="32"/>
      <c r="G2765" s="33"/>
      <c r="H2765" s="33"/>
      <c r="I2765" s="34" t="str">
        <f aca="false">IF($A2765="","",$G2765-$H2765)</f>
        <v/>
      </c>
      <c r="J2765" s="35" t="str">
        <f aca="false">IF($A2765="","",IF(Setup!$B$6=1,YEAR($A2765),YEAR($A2765)+IF(MONTH($A2765)&gt;=Setup!$B$6,1,0)))</f>
        <v/>
      </c>
      <c r="K2765" s="35" t="str">
        <f aca="false">IF($A2765="","",MOD(MONTH($A2765)-Setup!$B$6+12,12)+1)</f>
        <v/>
      </c>
      <c r="L2765" s="36" t="str">
        <f aca="false">IF($A2765="","",TEXT($A2765,"MMM-YY"))</f>
        <v/>
      </c>
      <c r="M2765" s="37" t="str">
        <f aca="false">IF($A2765="","",IF($Q2765=0,"UNMAPPED",INDEX(COA_Mapping!$C$7:$C$256,$Q2765)))</f>
        <v/>
      </c>
      <c r="N2765" s="38" t="str">
        <f aca="false">IF($A2765="","",IF($Q2765=0,"",INDEX(COA_Mapping!$E$7:$E$256,$Q2765)))</f>
        <v/>
      </c>
      <c r="O2765" s="38" t="n">
        <f aca="false">IF($A2765="",1,IF($Q2765=0,1,INDEX(COA_Mapping!$F$7:$F$256,$Q2765)))</f>
        <v>1</v>
      </c>
      <c r="P2765" s="34" t="str">
        <f aca="false">IF($A2765="","",$I2765*$O2765)</f>
        <v/>
      </c>
      <c r="Q2765" s="39" t="n">
        <f aca="false">IF($B2765="",0,IFERROR(MATCH($B2765,COA_Mapping!$A$7:$A$256,0),0))</f>
        <v>0</v>
      </c>
      <c r="R2765" s="39" t="n">
        <f aca="false">IF($A2765="",-1,IF($J2765=Setup!$B$7,1,IF($J2765=Setup!$B$9,0,-1)))</f>
        <v>-1</v>
      </c>
      <c r="S2765" s="35" t="n">
        <f aca="false">IF(OR($A2765="",$Q2765=0,$R2765=-1),0,$Q2765*1000+$R2765*100+$K2765)</f>
        <v>0</v>
      </c>
      <c r="T2765" s="37" t="str">
        <f aca="false">IF($A2765="","",IF($B2765="","NO ACCOUNT",IF($Q2765=0,"UNMAPPED",IF($R2765=-1,"OUTSIDE FY RANGE","OK"))))</f>
        <v/>
      </c>
      <c r="U2765" s="40" t="str">
        <f aca="false">IF($A2765="","",$B2765&amp;"|"&amp;TEXT($A2765,"yyyymmdd")&amp;"|"&amp;TEXT($I2765,"0.00"))</f>
        <v/>
      </c>
      <c r="V2765" s="35" t="str">
        <f aca="false">IF($A2765="","",COUNTIF($U$8:$U$5007,$U2765))</f>
        <v/>
      </c>
    </row>
    <row r="2766" customFormat="false" ht="15" hidden="false" customHeight="false" outlineLevel="0" collapsed="false">
      <c r="A2766" s="31"/>
      <c r="B2766" s="32"/>
      <c r="C2766" s="32"/>
      <c r="D2766" s="32"/>
      <c r="E2766" s="32"/>
      <c r="F2766" s="32"/>
      <c r="G2766" s="33"/>
      <c r="H2766" s="33"/>
      <c r="I2766" s="34" t="str">
        <f aca="false">IF($A2766="","",$G2766-$H2766)</f>
        <v/>
      </c>
      <c r="J2766" s="35" t="str">
        <f aca="false">IF($A2766="","",IF(Setup!$B$6=1,YEAR($A2766),YEAR($A2766)+IF(MONTH($A2766)&gt;=Setup!$B$6,1,0)))</f>
        <v/>
      </c>
      <c r="K2766" s="35" t="str">
        <f aca="false">IF($A2766="","",MOD(MONTH($A2766)-Setup!$B$6+12,12)+1)</f>
        <v/>
      </c>
      <c r="L2766" s="36" t="str">
        <f aca="false">IF($A2766="","",TEXT($A2766,"MMM-YY"))</f>
        <v/>
      </c>
      <c r="M2766" s="37" t="str">
        <f aca="false">IF($A2766="","",IF($Q2766=0,"UNMAPPED",INDEX(COA_Mapping!$C$7:$C$256,$Q2766)))</f>
        <v/>
      </c>
      <c r="N2766" s="38" t="str">
        <f aca="false">IF($A2766="","",IF($Q2766=0,"",INDEX(COA_Mapping!$E$7:$E$256,$Q2766)))</f>
        <v/>
      </c>
      <c r="O2766" s="38" t="n">
        <f aca="false">IF($A2766="",1,IF($Q2766=0,1,INDEX(COA_Mapping!$F$7:$F$256,$Q2766)))</f>
        <v>1</v>
      </c>
      <c r="P2766" s="34" t="str">
        <f aca="false">IF($A2766="","",$I2766*$O2766)</f>
        <v/>
      </c>
      <c r="Q2766" s="39" t="n">
        <f aca="false">IF($B2766="",0,IFERROR(MATCH($B2766,COA_Mapping!$A$7:$A$256,0),0))</f>
        <v>0</v>
      </c>
      <c r="R2766" s="39" t="n">
        <f aca="false">IF($A2766="",-1,IF($J2766=Setup!$B$7,1,IF($J2766=Setup!$B$9,0,-1)))</f>
        <v>-1</v>
      </c>
      <c r="S2766" s="35" t="n">
        <f aca="false">IF(OR($A2766="",$Q2766=0,$R2766=-1),0,$Q2766*1000+$R2766*100+$K2766)</f>
        <v>0</v>
      </c>
      <c r="T2766" s="37" t="str">
        <f aca="false">IF($A2766="","",IF($B2766="","NO ACCOUNT",IF($Q2766=0,"UNMAPPED",IF($R2766=-1,"OUTSIDE FY RANGE","OK"))))</f>
        <v/>
      </c>
      <c r="U2766" s="40" t="str">
        <f aca="false">IF($A2766="","",$B2766&amp;"|"&amp;TEXT($A2766,"yyyymmdd")&amp;"|"&amp;TEXT($I2766,"0.00"))</f>
        <v/>
      </c>
      <c r="V2766" s="35" t="str">
        <f aca="false">IF($A2766="","",COUNTIF($U$8:$U$5007,$U2766))</f>
        <v/>
      </c>
    </row>
    <row r="2767" customFormat="false" ht="15" hidden="false" customHeight="false" outlineLevel="0" collapsed="false">
      <c r="A2767" s="31"/>
      <c r="B2767" s="32"/>
      <c r="C2767" s="32"/>
      <c r="D2767" s="32"/>
      <c r="E2767" s="32"/>
      <c r="F2767" s="32"/>
      <c r="G2767" s="33"/>
      <c r="H2767" s="33"/>
      <c r="I2767" s="34" t="str">
        <f aca="false">IF($A2767="","",$G2767-$H2767)</f>
        <v/>
      </c>
      <c r="J2767" s="35" t="str">
        <f aca="false">IF($A2767="","",IF(Setup!$B$6=1,YEAR($A2767),YEAR($A2767)+IF(MONTH($A2767)&gt;=Setup!$B$6,1,0)))</f>
        <v/>
      </c>
      <c r="K2767" s="35" t="str">
        <f aca="false">IF($A2767="","",MOD(MONTH($A2767)-Setup!$B$6+12,12)+1)</f>
        <v/>
      </c>
      <c r="L2767" s="36" t="str">
        <f aca="false">IF($A2767="","",TEXT($A2767,"MMM-YY"))</f>
        <v/>
      </c>
      <c r="M2767" s="37" t="str">
        <f aca="false">IF($A2767="","",IF($Q2767=0,"UNMAPPED",INDEX(COA_Mapping!$C$7:$C$256,$Q2767)))</f>
        <v/>
      </c>
      <c r="N2767" s="38" t="str">
        <f aca="false">IF($A2767="","",IF($Q2767=0,"",INDEX(COA_Mapping!$E$7:$E$256,$Q2767)))</f>
        <v/>
      </c>
      <c r="O2767" s="38" t="n">
        <f aca="false">IF($A2767="",1,IF($Q2767=0,1,INDEX(COA_Mapping!$F$7:$F$256,$Q2767)))</f>
        <v>1</v>
      </c>
      <c r="P2767" s="34" t="str">
        <f aca="false">IF($A2767="","",$I2767*$O2767)</f>
        <v/>
      </c>
      <c r="Q2767" s="39" t="n">
        <f aca="false">IF($B2767="",0,IFERROR(MATCH($B2767,COA_Mapping!$A$7:$A$256,0),0))</f>
        <v>0</v>
      </c>
      <c r="R2767" s="39" t="n">
        <f aca="false">IF($A2767="",-1,IF($J2767=Setup!$B$7,1,IF($J2767=Setup!$B$9,0,-1)))</f>
        <v>-1</v>
      </c>
      <c r="S2767" s="35" t="n">
        <f aca="false">IF(OR($A2767="",$Q2767=0,$R2767=-1),0,$Q2767*1000+$R2767*100+$K2767)</f>
        <v>0</v>
      </c>
      <c r="T2767" s="37" t="str">
        <f aca="false">IF($A2767="","",IF($B2767="","NO ACCOUNT",IF($Q2767=0,"UNMAPPED",IF($R2767=-1,"OUTSIDE FY RANGE","OK"))))</f>
        <v/>
      </c>
      <c r="U2767" s="40" t="str">
        <f aca="false">IF($A2767="","",$B2767&amp;"|"&amp;TEXT($A2767,"yyyymmdd")&amp;"|"&amp;TEXT($I2767,"0.00"))</f>
        <v/>
      </c>
      <c r="V2767" s="35" t="str">
        <f aca="false">IF($A2767="","",COUNTIF($U$8:$U$5007,$U2767))</f>
        <v/>
      </c>
    </row>
    <row r="2768" customFormat="false" ht="15" hidden="false" customHeight="false" outlineLevel="0" collapsed="false">
      <c r="A2768" s="31"/>
      <c r="B2768" s="32"/>
      <c r="C2768" s="32"/>
      <c r="D2768" s="32"/>
      <c r="E2768" s="32"/>
      <c r="F2768" s="32"/>
      <c r="G2768" s="33"/>
      <c r="H2768" s="33"/>
      <c r="I2768" s="34" t="str">
        <f aca="false">IF($A2768="","",$G2768-$H2768)</f>
        <v/>
      </c>
      <c r="J2768" s="35" t="str">
        <f aca="false">IF($A2768="","",IF(Setup!$B$6=1,YEAR($A2768),YEAR($A2768)+IF(MONTH($A2768)&gt;=Setup!$B$6,1,0)))</f>
        <v/>
      </c>
      <c r="K2768" s="35" t="str">
        <f aca="false">IF($A2768="","",MOD(MONTH($A2768)-Setup!$B$6+12,12)+1)</f>
        <v/>
      </c>
      <c r="L2768" s="36" t="str">
        <f aca="false">IF($A2768="","",TEXT($A2768,"MMM-YY"))</f>
        <v/>
      </c>
      <c r="M2768" s="37" t="str">
        <f aca="false">IF($A2768="","",IF($Q2768=0,"UNMAPPED",INDEX(COA_Mapping!$C$7:$C$256,$Q2768)))</f>
        <v/>
      </c>
      <c r="N2768" s="38" t="str">
        <f aca="false">IF($A2768="","",IF($Q2768=0,"",INDEX(COA_Mapping!$E$7:$E$256,$Q2768)))</f>
        <v/>
      </c>
      <c r="O2768" s="38" t="n">
        <f aca="false">IF($A2768="",1,IF($Q2768=0,1,INDEX(COA_Mapping!$F$7:$F$256,$Q2768)))</f>
        <v>1</v>
      </c>
      <c r="P2768" s="34" t="str">
        <f aca="false">IF($A2768="","",$I2768*$O2768)</f>
        <v/>
      </c>
      <c r="Q2768" s="39" t="n">
        <f aca="false">IF($B2768="",0,IFERROR(MATCH($B2768,COA_Mapping!$A$7:$A$256,0),0))</f>
        <v>0</v>
      </c>
      <c r="R2768" s="39" t="n">
        <f aca="false">IF($A2768="",-1,IF($J2768=Setup!$B$7,1,IF($J2768=Setup!$B$9,0,-1)))</f>
        <v>-1</v>
      </c>
      <c r="S2768" s="35" t="n">
        <f aca="false">IF(OR($A2768="",$Q2768=0,$R2768=-1),0,$Q2768*1000+$R2768*100+$K2768)</f>
        <v>0</v>
      </c>
      <c r="T2768" s="37" t="str">
        <f aca="false">IF($A2768="","",IF($B2768="","NO ACCOUNT",IF($Q2768=0,"UNMAPPED",IF($R2768=-1,"OUTSIDE FY RANGE","OK"))))</f>
        <v/>
      </c>
      <c r="U2768" s="40" t="str">
        <f aca="false">IF($A2768="","",$B2768&amp;"|"&amp;TEXT($A2768,"yyyymmdd")&amp;"|"&amp;TEXT($I2768,"0.00"))</f>
        <v/>
      </c>
      <c r="V2768" s="35" t="str">
        <f aca="false">IF($A2768="","",COUNTIF($U$8:$U$5007,$U2768))</f>
        <v/>
      </c>
    </row>
    <row r="2769" customFormat="false" ht="15" hidden="false" customHeight="false" outlineLevel="0" collapsed="false">
      <c r="A2769" s="31"/>
      <c r="B2769" s="32"/>
      <c r="C2769" s="32"/>
      <c r="D2769" s="32"/>
      <c r="E2769" s="32"/>
      <c r="F2769" s="32"/>
      <c r="G2769" s="33"/>
      <c r="H2769" s="33"/>
      <c r="I2769" s="34" t="str">
        <f aca="false">IF($A2769="","",$G2769-$H2769)</f>
        <v/>
      </c>
      <c r="J2769" s="35" t="str">
        <f aca="false">IF($A2769="","",IF(Setup!$B$6=1,YEAR($A2769),YEAR($A2769)+IF(MONTH($A2769)&gt;=Setup!$B$6,1,0)))</f>
        <v/>
      </c>
      <c r="K2769" s="35" t="str">
        <f aca="false">IF($A2769="","",MOD(MONTH($A2769)-Setup!$B$6+12,12)+1)</f>
        <v/>
      </c>
      <c r="L2769" s="36" t="str">
        <f aca="false">IF($A2769="","",TEXT($A2769,"MMM-YY"))</f>
        <v/>
      </c>
      <c r="M2769" s="37" t="str">
        <f aca="false">IF($A2769="","",IF($Q2769=0,"UNMAPPED",INDEX(COA_Mapping!$C$7:$C$256,$Q2769)))</f>
        <v/>
      </c>
      <c r="N2769" s="38" t="str">
        <f aca="false">IF($A2769="","",IF($Q2769=0,"",INDEX(COA_Mapping!$E$7:$E$256,$Q2769)))</f>
        <v/>
      </c>
      <c r="O2769" s="38" t="n">
        <f aca="false">IF($A2769="",1,IF($Q2769=0,1,INDEX(COA_Mapping!$F$7:$F$256,$Q2769)))</f>
        <v>1</v>
      </c>
      <c r="P2769" s="34" t="str">
        <f aca="false">IF($A2769="","",$I2769*$O2769)</f>
        <v/>
      </c>
      <c r="Q2769" s="39" t="n">
        <f aca="false">IF($B2769="",0,IFERROR(MATCH($B2769,COA_Mapping!$A$7:$A$256,0),0))</f>
        <v>0</v>
      </c>
      <c r="R2769" s="39" t="n">
        <f aca="false">IF($A2769="",-1,IF($J2769=Setup!$B$7,1,IF($J2769=Setup!$B$9,0,-1)))</f>
        <v>-1</v>
      </c>
      <c r="S2769" s="35" t="n">
        <f aca="false">IF(OR($A2769="",$Q2769=0,$R2769=-1),0,$Q2769*1000+$R2769*100+$K2769)</f>
        <v>0</v>
      </c>
      <c r="T2769" s="37" t="str">
        <f aca="false">IF($A2769="","",IF($B2769="","NO ACCOUNT",IF($Q2769=0,"UNMAPPED",IF($R2769=-1,"OUTSIDE FY RANGE","OK"))))</f>
        <v/>
      </c>
      <c r="U2769" s="40" t="str">
        <f aca="false">IF($A2769="","",$B2769&amp;"|"&amp;TEXT($A2769,"yyyymmdd")&amp;"|"&amp;TEXT($I2769,"0.00"))</f>
        <v/>
      </c>
      <c r="V2769" s="35" t="str">
        <f aca="false">IF($A2769="","",COUNTIF($U$8:$U$5007,$U2769))</f>
        <v/>
      </c>
    </row>
    <row r="2770" customFormat="false" ht="15" hidden="false" customHeight="false" outlineLevel="0" collapsed="false">
      <c r="A2770" s="31"/>
      <c r="B2770" s="32"/>
      <c r="C2770" s="32"/>
      <c r="D2770" s="32"/>
      <c r="E2770" s="32"/>
      <c r="F2770" s="32"/>
      <c r="G2770" s="33"/>
      <c r="H2770" s="33"/>
      <c r="I2770" s="34" t="str">
        <f aca="false">IF($A2770="","",$G2770-$H2770)</f>
        <v/>
      </c>
      <c r="J2770" s="35" t="str">
        <f aca="false">IF($A2770="","",IF(Setup!$B$6=1,YEAR($A2770),YEAR($A2770)+IF(MONTH($A2770)&gt;=Setup!$B$6,1,0)))</f>
        <v/>
      </c>
      <c r="K2770" s="35" t="str">
        <f aca="false">IF($A2770="","",MOD(MONTH($A2770)-Setup!$B$6+12,12)+1)</f>
        <v/>
      </c>
      <c r="L2770" s="36" t="str">
        <f aca="false">IF($A2770="","",TEXT($A2770,"MMM-YY"))</f>
        <v/>
      </c>
      <c r="M2770" s="37" t="str">
        <f aca="false">IF($A2770="","",IF($Q2770=0,"UNMAPPED",INDEX(COA_Mapping!$C$7:$C$256,$Q2770)))</f>
        <v/>
      </c>
      <c r="N2770" s="38" t="str">
        <f aca="false">IF($A2770="","",IF($Q2770=0,"",INDEX(COA_Mapping!$E$7:$E$256,$Q2770)))</f>
        <v/>
      </c>
      <c r="O2770" s="38" t="n">
        <f aca="false">IF($A2770="",1,IF($Q2770=0,1,INDEX(COA_Mapping!$F$7:$F$256,$Q2770)))</f>
        <v>1</v>
      </c>
      <c r="P2770" s="34" t="str">
        <f aca="false">IF($A2770="","",$I2770*$O2770)</f>
        <v/>
      </c>
      <c r="Q2770" s="39" t="n">
        <f aca="false">IF($B2770="",0,IFERROR(MATCH($B2770,COA_Mapping!$A$7:$A$256,0),0))</f>
        <v>0</v>
      </c>
      <c r="R2770" s="39" t="n">
        <f aca="false">IF($A2770="",-1,IF($J2770=Setup!$B$7,1,IF($J2770=Setup!$B$9,0,-1)))</f>
        <v>-1</v>
      </c>
      <c r="S2770" s="35" t="n">
        <f aca="false">IF(OR($A2770="",$Q2770=0,$R2770=-1),0,$Q2770*1000+$R2770*100+$K2770)</f>
        <v>0</v>
      </c>
      <c r="T2770" s="37" t="str">
        <f aca="false">IF($A2770="","",IF($B2770="","NO ACCOUNT",IF($Q2770=0,"UNMAPPED",IF($R2770=-1,"OUTSIDE FY RANGE","OK"))))</f>
        <v/>
      </c>
      <c r="U2770" s="40" t="str">
        <f aca="false">IF($A2770="","",$B2770&amp;"|"&amp;TEXT($A2770,"yyyymmdd")&amp;"|"&amp;TEXT($I2770,"0.00"))</f>
        <v/>
      </c>
      <c r="V2770" s="35" t="str">
        <f aca="false">IF($A2770="","",COUNTIF($U$8:$U$5007,$U2770))</f>
        <v/>
      </c>
    </row>
    <row r="2771" customFormat="false" ht="15" hidden="false" customHeight="false" outlineLevel="0" collapsed="false">
      <c r="A2771" s="31"/>
      <c r="B2771" s="32"/>
      <c r="C2771" s="32"/>
      <c r="D2771" s="32"/>
      <c r="E2771" s="32"/>
      <c r="F2771" s="32"/>
      <c r="G2771" s="33"/>
      <c r="H2771" s="33"/>
      <c r="I2771" s="34" t="str">
        <f aca="false">IF($A2771="","",$G2771-$H2771)</f>
        <v/>
      </c>
      <c r="J2771" s="35" t="str">
        <f aca="false">IF($A2771="","",IF(Setup!$B$6=1,YEAR($A2771),YEAR($A2771)+IF(MONTH($A2771)&gt;=Setup!$B$6,1,0)))</f>
        <v/>
      </c>
      <c r="K2771" s="35" t="str">
        <f aca="false">IF($A2771="","",MOD(MONTH($A2771)-Setup!$B$6+12,12)+1)</f>
        <v/>
      </c>
      <c r="L2771" s="36" t="str">
        <f aca="false">IF($A2771="","",TEXT($A2771,"MMM-YY"))</f>
        <v/>
      </c>
      <c r="M2771" s="37" t="str">
        <f aca="false">IF($A2771="","",IF($Q2771=0,"UNMAPPED",INDEX(COA_Mapping!$C$7:$C$256,$Q2771)))</f>
        <v/>
      </c>
      <c r="N2771" s="38" t="str">
        <f aca="false">IF($A2771="","",IF($Q2771=0,"",INDEX(COA_Mapping!$E$7:$E$256,$Q2771)))</f>
        <v/>
      </c>
      <c r="O2771" s="38" t="n">
        <f aca="false">IF($A2771="",1,IF($Q2771=0,1,INDEX(COA_Mapping!$F$7:$F$256,$Q2771)))</f>
        <v>1</v>
      </c>
      <c r="P2771" s="34" t="str">
        <f aca="false">IF($A2771="","",$I2771*$O2771)</f>
        <v/>
      </c>
      <c r="Q2771" s="39" t="n">
        <f aca="false">IF($B2771="",0,IFERROR(MATCH($B2771,COA_Mapping!$A$7:$A$256,0),0))</f>
        <v>0</v>
      </c>
      <c r="R2771" s="39" t="n">
        <f aca="false">IF($A2771="",-1,IF($J2771=Setup!$B$7,1,IF($J2771=Setup!$B$9,0,-1)))</f>
        <v>-1</v>
      </c>
      <c r="S2771" s="35" t="n">
        <f aca="false">IF(OR($A2771="",$Q2771=0,$R2771=-1),0,$Q2771*1000+$R2771*100+$K2771)</f>
        <v>0</v>
      </c>
      <c r="T2771" s="37" t="str">
        <f aca="false">IF($A2771="","",IF($B2771="","NO ACCOUNT",IF($Q2771=0,"UNMAPPED",IF($R2771=-1,"OUTSIDE FY RANGE","OK"))))</f>
        <v/>
      </c>
      <c r="U2771" s="40" t="str">
        <f aca="false">IF($A2771="","",$B2771&amp;"|"&amp;TEXT($A2771,"yyyymmdd")&amp;"|"&amp;TEXT($I2771,"0.00"))</f>
        <v/>
      </c>
      <c r="V2771" s="35" t="str">
        <f aca="false">IF($A2771="","",COUNTIF($U$8:$U$5007,$U2771))</f>
        <v/>
      </c>
    </row>
    <row r="2772" customFormat="false" ht="15" hidden="false" customHeight="false" outlineLevel="0" collapsed="false">
      <c r="A2772" s="31"/>
      <c r="B2772" s="32"/>
      <c r="C2772" s="32"/>
      <c r="D2772" s="32"/>
      <c r="E2772" s="32"/>
      <c r="F2772" s="32"/>
      <c r="G2772" s="33"/>
      <c r="H2772" s="33"/>
      <c r="I2772" s="34" t="str">
        <f aca="false">IF($A2772="","",$G2772-$H2772)</f>
        <v/>
      </c>
      <c r="J2772" s="35" t="str">
        <f aca="false">IF($A2772="","",IF(Setup!$B$6=1,YEAR($A2772),YEAR($A2772)+IF(MONTH($A2772)&gt;=Setup!$B$6,1,0)))</f>
        <v/>
      </c>
      <c r="K2772" s="35" t="str">
        <f aca="false">IF($A2772="","",MOD(MONTH($A2772)-Setup!$B$6+12,12)+1)</f>
        <v/>
      </c>
      <c r="L2772" s="36" t="str">
        <f aca="false">IF($A2772="","",TEXT($A2772,"MMM-YY"))</f>
        <v/>
      </c>
      <c r="M2772" s="37" t="str">
        <f aca="false">IF($A2772="","",IF($Q2772=0,"UNMAPPED",INDEX(COA_Mapping!$C$7:$C$256,$Q2772)))</f>
        <v/>
      </c>
      <c r="N2772" s="38" t="str">
        <f aca="false">IF($A2772="","",IF($Q2772=0,"",INDEX(COA_Mapping!$E$7:$E$256,$Q2772)))</f>
        <v/>
      </c>
      <c r="O2772" s="38" t="n">
        <f aca="false">IF($A2772="",1,IF($Q2772=0,1,INDEX(COA_Mapping!$F$7:$F$256,$Q2772)))</f>
        <v>1</v>
      </c>
      <c r="P2772" s="34" t="str">
        <f aca="false">IF($A2772="","",$I2772*$O2772)</f>
        <v/>
      </c>
      <c r="Q2772" s="39" t="n">
        <f aca="false">IF($B2772="",0,IFERROR(MATCH($B2772,COA_Mapping!$A$7:$A$256,0),0))</f>
        <v>0</v>
      </c>
      <c r="R2772" s="39" t="n">
        <f aca="false">IF($A2772="",-1,IF($J2772=Setup!$B$7,1,IF($J2772=Setup!$B$9,0,-1)))</f>
        <v>-1</v>
      </c>
      <c r="S2772" s="35" t="n">
        <f aca="false">IF(OR($A2772="",$Q2772=0,$R2772=-1),0,$Q2772*1000+$R2772*100+$K2772)</f>
        <v>0</v>
      </c>
      <c r="T2772" s="37" t="str">
        <f aca="false">IF($A2772="","",IF($B2772="","NO ACCOUNT",IF($Q2772=0,"UNMAPPED",IF($R2772=-1,"OUTSIDE FY RANGE","OK"))))</f>
        <v/>
      </c>
      <c r="U2772" s="40" t="str">
        <f aca="false">IF($A2772="","",$B2772&amp;"|"&amp;TEXT($A2772,"yyyymmdd")&amp;"|"&amp;TEXT($I2772,"0.00"))</f>
        <v/>
      </c>
      <c r="V2772" s="35" t="str">
        <f aca="false">IF($A2772="","",COUNTIF($U$8:$U$5007,$U2772))</f>
        <v/>
      </c>
    </row>
    <row r="2773" customFormat="false" ht="15" hidden="false" customHeight="false" outlineLevel="0" collapsed="false">
      <c r="A2773" s="31"/>
      <c r="B2773" s="32"/>
      <c r="C2773" s="32"/>
      <c r="D2773" s="32"/>
      <c r="E2773" s="32"/>
      <c r="F2773" s="32"/>
      <c r="G2773" s="33"/>
      <c r="H2773" s="33"/>
      <c r="I2773" s="34" t="str">
        <f aca="false">IF($A2773="","",$G2773-$H2773)</f>
        <v/>
      </c>
      <c r="J2773" s="35" t="str">
        <f aca="false">IF($A2773="","",IF(Setup!$B$6=1,YEAR($A2773),YEAR($A2773)+IF(MONTH($A2773)&gt;=Setup!$B$6,1,0)))</f>
        <v/>
      </c>
      <c r="K2773" s="35" t="str">
        <f aca="false">IF($A2773="","",MOD(MONTH($A2773)-Setup!$B$6+12,12)+1)</f>
        <v/>
      </c>
      <c r="L2773" s="36" t="str">
        <f aca="false">IF($A2773="","",TEXT($A2773,"MMM-YY"))</f>
        <v/>
      </c>
      <c r="M2773" s="37" t="str">
        <f aca="false">IF($A2773="","",IF($Q2773=0,"UNMAPPED",INDEX(COA_Mapping!$C$7:$C$256,$Q2773)))</f>
        <v/>
      </c>
      <c r="N2773" s="38" t="str">
        <f aca="false">IF($A2773="","",IF($Q2773=0,"",INDEX(COA_Mapping!$E$7:$E$256,$Q2773)))</f>
        <v/>
      </c>
      <c r="O2773" s="38" t="n">
        <f aca="false">IF($A2773="",1,IF($Q2773=0,1,INDEX(COA_Mapping!$F$7:$F$256,$Q2773)))</f>
        <v>1</v>
      </c>
      <c r="P2773" s="34" t="str">
        <f aca="false">IF($A2773="","",$I2773*$O2773)</f>
        <v/>
      </c>
      <c r="Q2773" s="39" t="n">
        <f aca="false">IF($B2773="",0,IFERROR(MATCH($B2773,COA_Mapping!$A$7:$A$256,0),0))</f>
        <v>0</v>
      </c>
      <c r="R2773" s="39" t="n">
        <f aca="false">IF($A2773="",-1,IF($J2773=Setup!$B$7,1,IF($J2773=Setup!$B$9,0,-1)))</f>
        <v>-1</v>
      </c>
      <c r="S2773" s="35" t="n">
        <f aca="false">IF(OR($A2773="",$Q2773=0,$R2773=-1),0,$Q2773*1000+$R2773*100+$K2773)</f>
        <v>0</v>
      </c>
      <c r="T2773" s="37" t="str">
        <f aca="false">IF($A2773="","",IF($B2773="","NO ACCOUNT",IF($Q2773=0,"UNMAPPED",IF($R2773=-1,"OUTSIDE FY RANGE","OK"))))</f>
        <v/>
      </c>
      <c r="U2773" s="40" t="str">
        <f aca="false">IF($A2773="","",$B2773&amp;"|"&amp;TEXT($A2773,"yyyymmdd")&amp;"|"&amp;TEXT($I2773,"0.00"))</f>
        <v/>
      </c>
      <c r="V2773" s="35" t="str">
        <f aca="false">IF($A2773="","",COUNTIF($U$8:$U$5007,$U2773))</f>
        <v/>
      </c>
    </row>
    <row r="2774" customFormat="false" ht="15" hidden="false" customHeight="false" outlineLevel="0" collapsed="false">
      <c r="A2774" s="31"/>
      <c r="B2774" s="32"/>
      <c r="C2774" s="32"/>
      <c r="D2774" s="32"/>
      <c r="E2774" s="32"/>
      <c r="F2774" s="32"/>
      <c r="G2774" s="33"/>
      <c r="H2774" s="33"/>
      <c r="I2774" s="34" t="str">
        <f aca="false">IF($A2774="","",$G2774-$H2774)</f>
        <v/>
      </c>
      <c r="J2774" s="35" t="str">
        <f aca="false">IF($A2774="","",IF(Setup!$B$6=1,YEAR($A2774),YEAR($A2774)+IF(MONTH($A2774)&gt;=Setup!$B$6,1,0)))</f>
        <v/>
      </c>
      <c r="K2774" s="35" t="str">
        <f aca="false">IF($A2774="","",MOD(MONTH($A2774)-Setup!$B$6+12,12)+1)</f>
        <v/>
      </c>
      <c r="L2774" s="36" t="str">
        <f aca="false">IF($A2774="","",TEXT($A2774,"MMM-YY"))</f>
        <v/>
      </c>
      <c r="M2774" s="37" t="str">
        <f aca="false">IF($A2774="","",IF($Q2774=0,"UNMAPPED",INDEX(COA_Mapping!$C$7:$C$256,$Q2774)))</f>
        <v/>
      </c>
      <c r="N2774" s="38" t="str">
        <f aca="false">IF($A2774="","",IF($Q2774=0,"",INDEX(COA_Mapping!$E$7:$E$256,$Q2774)))</f>
        <v/>
      </c>
      <c r="O2774" s="38" t="n">
        <f aca="false">IF($A2774="",1,IF($Q2774=0,1,INDEX(COA_Mapping!$F$7:$F$256,$Q2774)))</f>
        <v>1</v>
      </c>
      <c r="P2774" s="34" t="str">
        <f aca="false">IF($A2774="","",$I2774*$O2774)</f>
        <v/>
      </c>
      <c r="Q2774" s="39" t="n">
        <f aca="false">IF($B2774="",0,IFERROR(MATCH($B2774,COA_Mapping!$A$7:$A$256,0),0))</f>
        <v>0</v>
      </c>
      <c r="R2774" s="39" t="n">
        <f aca="false">IF($A2774="",-1,IF($J2774=Setup!$B$7,1,IF($J2774=Setup!$B$9,0,-1)))</f>
        <v>-1</v>
      </c>
      <c r="S2774" s="35" t="n">
        <f aca="false">IF(OR($A2774="",$Q2774=0,$R2774=-1),0,$Q2774*1000+$R2774*100+$K2774)</f>
        <v>0</v>
      </c>
      <c r="T2774" s="37" t="str">
        <f aca="false">IF($A2774="","",IF($B2774="","NO ACCOUNT",IF($Q2774=0,"UNMAPPED",IF($R2774=-1,"OUTSIDE FY RANGE","OK"))))</f>
        <v/>
      </c>
      <c r="U2774" s="40" t="str">
        <f aca="false">IF($A2774="","",$B2774&amp;"|"&amp;TEXT($A2774,"yyyymmdd")&amp;"|"&amp;TEXT($I2774,"0.00"))</f>
        <v/>
      </c>
      <c r="V2774" s="35" t="str">
        <f aca="false">IF($A2774="","",COUNTIF($U$8:$U$5007,$U2774))</f>
        <v/>
      </c>
    </row>
    <row r="2775" customFormat="false" ht="15" hidden="false" customHeight="false" outlineLevel="0" collapsed="false">
      <c r="A2775" s="31"/>
      <c r="B2775" s="32"/>
      <c r="C2775" s="32"/>
      <c r="D2775" s="32"/>
      <c r="E2775" s="32"/>
      <c r="F2775" s="32"/>
      <c r="G2775" s="33"/>
      <c r="H2775" s="33"/>
      <c r="I2775" s="34" t="str">
        <f aca="false">IF($A2775="","",$G2775-$H2775)</f>
        <v/>
      </c>
      <c r="J2775" s="35" t="str">
        <f aca="false">IF($A2775="","",IF(Setup!$B$6=1,YEAR($A2775),YEAR($A2775)+IF(MONTH($A2775)&gt;=Setup!$B$6,1,0)))</f>
        <v/>
      </c>
      <c r="K2775" s="35" t="str">
        <f aca="false">IF($A2775="","",MOD(MONTH($A2775)-Setup!$B$6+12,12)+1)</f>
        <v/>
      </c>
      <c r="L2775" s="36" t="str">
        <f aca="false">IF($A2775="","",TEXT($A2775,"MMM-YY"))</f>
        <v/>
      </c>
      <c r="M2775" s="37" t="str">
        <f aca="false">IF($A2775="","",IF($Q2775=0,"UNMAPPED",INDEX(COA_Mapping!$C$7:$C$256,$Q2775)))</f>
        <v/>
      </c>
      <c r="N2775" s="38" t="str">
        <f aca="false">IF($A2775="","",IF($Q2775=0,"",INDEX(COA_Mapping!$E$7:$E$256,$Q2775)))</f>
        <v/>
      </c>
      <c r="O2775" s="38" t="n">
        <f aca="false">IF($A2775="",1,IF($Q2775=0,1,INDEX(COA_Mapping!$F$7:$F$256,$Q2775)))</f>
        <v>1</v>
      </c>
      <c r="P2775" s="34" t="str">
        <f aca="false">IF($A2775="","",$I2775*$O2775)</f>
        <v/>
      </c>
      <c r="Q2775" s="39" t="n">
        <f aca="false">IF($B2775="",0,IFERROR(MATCH($B2775,COA_Mapping!$A$7:$A$256,0),0))</f>
        <v>0</v>
      </c>
      <c r="R2775" s="39" t="n">
        <f aca="false">IF($A2775="",-1,IF($J2775=Setup!$B$7,1,IF($J2775=Setup!$B$9,0,-1)))</f>
        <v>-1</v>
      </c>
      <c r="S2775" s="35" t="n">
        <f aca="false">IF(OR($A2775="",$Q2775=0,$R2775=-1),0,$Q2775*1000+$R2775*100+$K2775)</f>
        <v>0</v>
      </c>
      <c r="T2775" s="37" t="str">
        <f aca="false">IF($A2775="","",IF($B2775="","NO ACCOUNT",IF($Q2775=0,"UNMAPPED",IF($R2775=-1,"OUTSIDE FY RANGE","OK"))))</f>
        <v/>
      </c>
      <c r="U2775" s="40" t="str">
        <f aca="false">IF($A2775="","",$B2775&amp;"|"&amp;TEXT($A2775,"yyyymmdd")&amp;"|"&amp;TEXT($I2775,"0.00"))</f>
        <v/>
      </c>
      <c r="V2775" s="35" t="str">
        <f aca="false">IF($A2775="","",COUNTIF($U$8:$U$5007,$U2775))</f>
        <v/>
      </c>
    </row>
    <row r="2776" customFormat="false" ht="15" hidden="false" customHeight="false" outlineLevel="0" collapsed="false">
      <c r="A2776" s="31"/>
      <c r="B2776" s="32"/>
      <c r="C2776" s="32"/>
      <c r="D2776" s="32"/>
      <c r="E2776" s="32"/>
      <c r="F2776" s="32"/>
      <c r="G2776" s="33"/>
      <c r="H2776" s="33"/>
      <c r="I2776" s="34" t="str">
        <f aca="false">IF($A2776="","",$G2776-$H2776)</f>
        <v/>
      </c>
      <c r="J2776" s="35" t="str">
        <f aca="false">IF($A2776="","",IF(Setup!$B$6=1,YEAR($A2776),YEAR($A2776)+IF(MONTH($A2776)&gt;=Setup!$B$6,1,0)))</f>
        <v/>
      </c>
      <c r="K2776" s="35" t="str">
        <f aca="false">IF($A2776="","",MOD(MONTH($A2776)-Setup!$B$6+12,12)+1)</f>
        <v/>
      </c>
      <c r="L2776" s="36" t="str">
        <f aca="false">IF($A2776="","",TEXT($A2776,"MMM-YY"))</f>
        <v/>
      </c>
      <c r="M2776" s="37" t="str">
        <f aca="false">IF($A2776="","",IF($Q2776=0,"UNMAPPED",INDEX(COA_Mapping!$C$7:$C$256,$Q2776)))</f>
        <v/>
      </c>
      <c r="N2776" s="38" t="str">
        <f aca="false">IF($A2776="","",IF($Q2776=0,"",INDEX(COA_Mapping!$E$7:$E$256,$Q2776)))</f>
        <v/>
      </c>
      <c r="O2776" s="38" t="n">
        <f aca="false">IF($A2776="",1,IF($Q2776=0,1,INDEX(COA_Mapping!$F$7:$F$256,$Q2776)))</f>
        <v>1</v>
      </c>
      <c r="P2776" s="34" t="str">
        <f aca="false">IF($A2776="","",$I2776*$O2776)</f>
        <v/>
      </c>
      <c r="Q2776" s="39" t="n">
        <f aca="false">IF($B2776="",0,IFERROR(MATCH($B2776,COA_Mapping!$A$7:$A$256,0),0))</f>
        <v>0</v>
      </c>
      <c r="R2776" s="39" t="n">
        <f aca="false">IF($A2776="",-1,IF($J2776=Setup!$B$7,1,IF($J2776=Setup!$B$9,0,-1)))</f>
        <v>-1</v>
      </c>
      <c r="S2776" s="35" t="n">
        <f aca="false">IF(OR($A2776="",$Q2776=0,$R2776=-1),0,$Q2776*1000+$R2776*100+$K2776)</f>
        <v>0</v>
      </c>
      <c r="T2776" s="37" t="str">
        <f aca="false">IF($A2776="","",IF($B2776="","NO ACCOUNT",IF($Q2776=0,"UNMAPPED",IF($R2776=-1,"OUTSIDE FY RANGE","OK"))))</f>
        <v/>
      </c>
      <c r="U2776" s="40" t="str">
        <f aca="false">IF($A2776="","",$B2776&amp;"|"&amp;TEXT($A2776,"yyyymmdd")&amp;"|"&amp;TEXT($I2776,"0.00"))</f>
        <v/>
      </c>
      <c r="V2776" s="35" t="str">
        <f aca="false">IF($A2776="","",COUNTIF($U$8:$U$5007,$U2776))</f>
        <v/>
      </c>
    </row>
    <row r="2777" customFormat="false" ht="15" hidden="false" customHeight="false" outlineLevel="0" collapsed="false">
      <c r="A2777" s="31"/>
      <c r="B2777" s="32"/>
      <c r="C2777" s="32"/>
      <c r="D2777" s="32"/>
      <c r="E2777" s="32"/>
      <c r="F2777" s="32"/>
      <c r="G2777" s="33"/>
      <c r="H2777" s="33"/>
      <c r="I2777" s="34" t="str">
        <f aca="false">IF($A2777="","",$G2777-$H2777)</f>
        <v/>
      </c>
      <c r="J2777" s="35" t="str">
        <f aca="false">IF($A2777="","",IF(Setup!$B$6=1,YEAR($A2777),YEAR($A2777)+IF(MONTH($A2777)&gt;=Setup!$B$6,1,0)))</f>
        <v/>
      </c>
      <c r="K2777" s="35" t="str">
        <f aca="false">IF($A2777="","",MOD(MONTH($A2777)-Setup!$B$6+12,12)+1)</f>
        <v/>
      </c>
      <c r="L2777" s="36" t="str">
        <f aca="false">IF($A2777="","",TEXT($A2777,"MMM-YY"))</f>
        <v/>
      </c>
      <c r="M2777" s="37" t="str">
        <f aca="false">IF($A2777="","",IF($Q2777=0,"UNMAPPED",INDEX(COA_Mapping!$C$7:$C$256,$Q2777)))</f>
        <v/>
      </c>
      <c r="N2777" s="38" t="str">
        <f aca="false">IF($A2777="","",IF($Q2777=0,"",INDEX(COA_Mapping!$E$7:$E$256,$Q2777)))</f>
        <v/>
      </c>
      <c r="O2777" s="38" t="n">
        <f aca="false">IF($A2777="",1,IF($Q2777=0,1,INDEX(COA_Mapping!$F$7:$F$256,$Q2777)))</f>
        <v>1</v>
      </c>
      <c r="P2777" s="34" t="str">
        <f aca="false">IF($A2777="","",$I2777*$O2777)</f>
        <v/>
      </c>
      <c r="Q2777" s="39" t="n">
        <f aca="false">IF($B2777="",0,IFERROR(MATCH($B2777,COA_Mapping!$A$7:$A$256,0),0))</f>
        <v>0</v>
      </c>
      <c r="R2777" s="39" t="n">
        <f aca="false">IF($A2777="",-1,IF($J2777=Setup!$B$7,1,IF($J2777=Setup!$B$9,0,-1)))</f>
        <v>-1</v>
      </c>
      <c r="S2777" s="35" t="n">
        <f aca="false">IF(OR($A2777="",$Q2777=0,$R2777=-1),0,$Q2777*1000+$R2777*100+$K2777)</f>
        <v>0</v>
      </c>
      <c r="T2777" s="37" t="str">
        <f aca="false">IF($A2777="","",IF($B2777="","NO ACCOUNT",IF($Q2777=0,"UNMAPPED",IF($R2777=-1,"OUTSIDE FY RANGE","OK"))))</f>
        <v/>
      </c>
      <c r="U2777" s="40" t="str">
        <f aca="false">IF($A2777="","",$B2777&amp;"|"&amp;TEXT($A2777,"yyyymmdd")&amp;"|"&amp;TEXT($I2777,"0.00"))</f>
        <v/>
      </c>
      <c r="V2777" s="35" t="str">
        <f aca="false">IF($A2777="","",COUNTIF($U$8:$U$5007,$U2777))</f>
        <v/>
      </c>
    </row>
    <row r="2778" customFormat="false" ht="15" hidden="false" customHeight="false" outlineLevel="0" collapsed="false">
      <c r="A2778" s="31"/>
      <c r="B2778" s="32"/>
      <c r="C2778" s="32"/>
      <c r="D2778" s="32"/>
      <c r="E2778" s="32"/>
      <c r="F2778" s="32"/>
      <c r="G2778" s="33"/>
      <c r="H2778" s="33"/>
      <c r="I2778" s="34" t="str">
        <f aca="false">IF($A2778="","",$G2778-$H2778)</f>
        <v/>
      </c>
      <c r="J2778" s="35" t="str">
        <f aca="false">IF($A2778="","",IF(Setup!$B$6=1,YEAR($A2778),YEAR($A2778)+IF(MONTH($A2778)&gt;=Setup!$B$6,1,0)))</f>
        <v/>
      </c>
      <c r="K2778" s="35" t="str">
        <f aca="false">IF($A2778="","",MOD(MONTH($A2778)-Setup!$B$6+12,12)+1)</f>
        <v/>
      </c>
      <c r="L2778" s="36" t="str">
        <f aca="false">IF($A2778="","",TEXT($A2778,"MMM-YY"))</f>
        <v/>
      </c>
      <c r="M2778" s="37" t="str">
        <f aca="false">IF($A2778="","",IF($Q2778=0,"UNMAPPED",INDEX(COA_Mapping!$C$7:$C$256,$Q2778)))</f>
        <v/>
      </c>
      <c r="N2778" s="38" t="str">
        <f aca="false">IF($A2778="","",IF($Q2778=0,"",INDEX(COA_Mapping!$E$7:$E$256,$Q2778)))</f>
        <v/>
      </c>
      <c r="O2778" s="38" t="n">
        <f aca="false">IF($A2778="",1,IF($Q2778=0,1,INDEX(COA_Mapping!$F$7:$F$256,$Q2778)))</f>
        <v>1</v>
      </c>
      <c r="P2778" s="34" t="str">
        <f aca="false">IF($A2778="","",$I2778*$O2778)</f>
        <v/>
      </c>
      <c r="Q2778" s="39" t="n">
        <f aca="false">IF($B2778="",0,IFERROR(MATCH($B2778,COA_Mapping!$A$7:$A$256,0),0))</f>
        <v>0</v>
      </c>
      <c r="R2778" s="39" t="n">
        <f aca="false">IF($A2778="",-1,IF($J2778=Setup!$B$7,1,IF($J2778=Setup!$B$9,0,-1)))</f>
        <v>-1</v>
      </c>
      <c r="S2778" s="35" t="n">
        <f aca="false">IF(OR($A2778="",$Q2778=0,$R2778=-1),0,$Q2778*1000+$R2778*100+$K2778)</f>
        <v>0</v>
      </c>
      <c r="T2778" s="37" t="str">
        <f aca="false">IF($A2778="","",IF($B2778="","NO ACCOUNT",IF($Q2778=0,"UNMAPPED",IF($R2778=-1,"OUTSIDE FY RANGE","OK"))))</f>
        <v/>
      </c>
      <c r="U2778" s="40" t="str">
        <f aca="false">IF($A2778="","",$B2778&amp;"|"&amp;TEXT($A2778,"yyyymmdd")&amp;"|"&amp;TEXT($I2778,"0.00"))</f>
        <v/>
      </c>
      <c r="V2778" s="35" t="str">
        <f aca="false">IF($A2778="","",COUNTIF($U$8:$U$5007,$U2778))</f>
        <v/>
      </c>
    </row>
    <row r="2779" customFormat="false" ht="15" hidden="false" customHeight="false" outlineLevel="0" collapsed="false">
      <c r="A2779" s="31"/>
      <c r="B2779" s="32"/>
      <c r="C2779" s="32"/>
      <c r="D2779" s="32"/>
      <c r="E2779" s="32"/>
      <c r="F2779" s="32"/>
      <c r="G2779" s="33"/>
      <c r="H2779" s="33"/>
      <c r="I2779" s="34" t="str">
        <f aca="false">IF($A2779="","",$G2779-$H2779)</f>
        <v/>
      </c>
      <c r="J2779" s="35" t="str">
        <f aca="false">IF($A2779="","",IF(Setup!$B$6=1,YEAR($A2779),YEAR($A2779)+IF(MONTH($A2779)&gt;=Setup!$B$6,1,0)))</f>
        <v/>
      </c>
      <c r="K2779" s="35" t="str">
        <f aca="false">IF($A2779="","",MOD(MONTH($A2779)-Setup!$B$6+12,12)+1)</f>
        <v/>
      </c>
      <c r="L2779" s="36" t="str">
        <f aca="false">IF($A2779="","",TEXT($A2779,"MMM-YY"))</f>
        <v/>
      </c>
      <c r="M2779" s="37" t="str">
        <f aca="false">IF($A2779="","",IF($Q2779=0,"UNMAPPED",INDEX(COA_Mapping!$C$7:$C$256,$Q2779)))</f>
        <v/>
      </c>
      <c r="N2779" s="38" t="str">
        <f aca="false">IF($A2779="","",IF($Q2779=0,"",INDEX(COA_Mapping!$E$7:$E$256,$Q2779)))</f>
        <v/>
      </c>
      <c r="O2779" s="38" t="n">
        <f aca="false">IF($A2779="",1,IF($Q2779=0,1,INDEX(COA_Mapping!$F$7:$F$256,$Q2779)))</f>
        <v>1</v>
      </c>
      <c r="P2779" s="34" t="str">
        <f aca="false">IF($A2779="","",$I2779*$O2779)</f>
        <v/>
      </c>
      <c r="Q2779" s="39" t="n">
        <f aca="false">IF($B2779="",0,IFERROR(MATCH($B2779,COA_Mapping!$A$7:$A$256,0),0))</f>
        <v>0</v>
      </c>
      <c r="R2779" s="39" t="n">
        <f aca="false">IF($A2779="",-1,IF($J2779=Setup!$B$7,1,IF($J2779=Setup!$B$9,0,-1)))</f>
        <v>-1</v>
      </c>
      <c r="S2779" s="35" t="n">
        <f aca="false">IF(OR($A2779="",$Q2779=0,$R2779=-1),0,$Q2779*1000+$R2779*100+$K2779)</f>
        <v>0</v>
      </c>
      <c r="T2779" s="37" t="str">
        <f aca="false">IF($A2779="","",IF($B2779="","NO ACCOUNT",IF($Q2779=0,"UNMAPPED",IF($R2779=-1,"OUTSIDE FY RANGE","OK"))))</f>
        <v/>
      </c>
      <c r="U2779" s="40" t="str">
        <f aca="false">IF($A2779="","",$B2779&amp;"|"&amp;TEXT($A2779,"yyyymmdd")&amp;"|"&amp;TEXT($I2779,"0.00"))</f>
        <v/>
      </c>
      <c r="V2779" s="35" t="str">
        <f aca="false">IF($A2779="","",COUNTIF($U$8:$U$5007,$U2779))</f>
        <v/>
      </c>
    </row>
    <row r="2780" customFormat="false" ht="15" hidden="false" customHeight="false" outlineLevel="0" collapsed="false">
      <c r="A2780" s="31"/>
      <c r="B2780" s="32"/>
      <c r="C2780" s="32"/>
      <c r="D2780" s="32"/>
      <c r="E2780" s="32"/>
      <c r="F2780" s="32"/>
      <c r="G2780" s="33"/>
      <c r="H2780" s="33"/>
      <c r="I2780" s="34" t="str">
        <f aca="false">IF($A2780="","",$G2780-$H2780)</f>
        <v/>
      </c>
      <c r="J2780" s="35" t="str">
        <f aca="false">IF($A2780="","",IF(Setup!$B$6=1,YEAR($A2780),YEAR($A2780)+IF(MONTH($A2780)&gt;=Setup!$B$6,1,0)))</f>
        <v/>
      </c>
      <c r="K2780" s="35" t="str">
        <f aca="false">IF($A2780="","",MOD(MONTH($A2780)-Setup!$B$6+12,12)+1)</f>
        <v/>
      </c>
      <c r="L2780" s="36" t="str">
        <f aca="false">IF($A2780="","",TEXT($A2780,"MMM-YY"))</f>
        <v/>
      </c>
      <c r="M2780" s="37" t="str">
        <f aca="false">IF($A2780="","",IF($Q2780=0,"UNMAPPED",INDEX(COA_Mapping!$C$7:$C$256,$Q2780)))</f>
        <v/>
      </c>
      <c r="N2780" s="38" t="str">
        <f aca="false">IF($A2780="","",IF($Q2780=0,"",INDEX(COA_Mapping!$E$7:$E$256,$Q2780)))</f>
        <v/>
      </c>
      <c r="O2780" s="38" t="n">
        <f aca="false">IF($A2780="",1,IF($Q2780=0,1,INDEX(COA_Mapping!$F$7:$F$256,$Q2780)))</f>
        <v>1</v>
      </c>
      <c r="P2780" s="34" t="str">
        <f aca="false">IF($A2780="","",$I2780*$O2780)</f>
        <v/>
      </c>
      <c r="Q2780" s="39" t="n">
        <f aca="false">IF($B2780="",0,IFERROR(MATCH($B2780,COA_Mapping!$A$7:$A$256,0),0))</f>
        <v>0</v>
      </c>
      <c r="R2780" s="39" t="n">
        <f aca="false">IF($A2780="",-1,IF($J2780=Setup!$B$7,1,IF($J2780=Setup!$B$9,0,-1)))</f>
        <v>-1</v>
      </c>
      <c r="S2780" s="35" t="n">
        <f aca="false">IF(OR($A2780="",$Q2780=0,$R2780=-1),0,$Q2780*1000+$R2780*100+$K2780)</f>
        <v>0</v>
      </c>
      <c r="T2780" s="37" t="str">
        <f aca="false">IF($A2780="","",IF($B2780="","NO ACCOUNT",IF($Q2780=0,"UNMAPPED",IF($R2780=-1,"OUTSIDE FY RANGE","OK"))))</f>
        <v/>
      </c>
      <c r="U2780" s="40" t="str">
        <f aca="false">IF($A2780="","",$B2780&amp;"|"&amp;TEXT($A2780,"yyyymmdd")&amp;"|"&amp;TEXT($I2780,"0.00"))</f>
        <v/>
      </c>
      <c r="V2780" s="35" t="str">
        <f aca="false">IF($A2780="","",COUNTIF($U$8:$U$5007,$U2780))</f>
        <v/>
      </c>
    </row>
    <row r="2781" customFormat="false" ht="15" hidden="false" customHeight="false" outlineLevel="0" collapsed="false">
      <c r="A2781" s="31"/>
      <c r="B2781" s="32"/>
      <c r="C2781" s="32"/>
      <c r="D2781" s="32"/>
      <c r="E2781" s="32"/>
      <c r="F2781" s="32"/>
      <c r="G2781" s="33"/>
      <c r="H2781" s="33"/>
      <c r="I2781" s="34" t="str">
        <f aca="false">IF($A2781="","",$G2781-$H2781)</f>
        <v/>
      </c>
      <c r="J2781" s="35" t="str">
        <f aca="false">IF($A2781="","",IF(Setup!$B$6=1,YEAR($A2781),YEAR($A2781)+IF(MONTH($A2781)&gt;=Setup!$B$6,1,0)))</f>
        <v/>
      </c>
      <c r="K2781" s="35" t="str">
        <f aca="false">IF($A2781="","",MOD(MONTH($A2781)-Setup!$B$6+12,12)+1)</f>
        <v/>
      </c>
      <c r="L2781" s="36" t="str">
        <f aca="false">IF($A2781="","",TEXT($A2781,"MMM-YY"))</f>
        <v/>
      </c>
      <c r="M2781" s="37" t="str">
        <f aca="false">IF($A2781="","",IF($Q2781=0,"UNMAPPED",INDEX(COA_Mapping!$C$7:$C$256,$Q2781)))</f>
        <v/>
      </c>
      <c r="N2781" s="38" t="str">
        <f aca="false">IF($A2781="","",IF($Q2781=0,"",INDEX(COA_Mapping!$E$7:$E$256,$Q2781)))</f>
        <v/>
      </c>
      <c r="O2781" s="38" t="n">
        <f aca="false">IF($A2781="",1,IF($Q2781=0,1,INDEX(COA_Mapping!$F$7:$F$256,$Q2781)))</f>
        <v>1</v>
      </c>
      <c r="P2781" s="34" t="str">
        <f aca="false">IF($A2781="","",$I2781*$O2781)</f>
        <v/>
      </c>
      <c r="Q2781" s="39" t="n">
        <f aca="false">IF($B2781="",0,IFERROR(MATCH($B2781,COA_Mapping!$A$7:$A$256,0),0))</f>
        <v>0</v>
      </c>
      <c r="R2781" s="39" t="n">
        <f aca="false">IF($A2781="",-1,IF($J2781=Setup!$B$7,1,IF($J2781=Setup!$B$9,0,-1)))</f>
        <v>-1</v>
      </c>
      <c r="S2781" s="35" t="n">
        <f aca="false">IF(OR($A2781="",$Q2781=0,$R2781=-1),0,$Q2781*1000+$R2781*100+$K2781)</f>
        <v>0</v>
      </c>
      <c r="T2781" s="37" t="str">
        <f aca="false">IF($A2781="","",IF($B2781="","NO ACCOUNT",IF($Q2781=0,"UNMAPPED",IF($R2781=-1,"OUTSIDE FY RANGE","OK"))))</f>
        <v/>
      </c>
      <c r="U2781" s="40" t="str">
        <f aca="false">IF($A2781="","",$B2781&amp;"|"&amp;TEXT($A2781,"yyyymmdd")&amp;"|"&amp;TEXT($I2781,"0.00"))</f>
        <v/>
      </c>
      <c r="V2781" s="35" t="str">
        <f aca="false">IF($A2781="","",COUNTIF($U$8:$U$5007,$U2781))</f>
        <v/>
      </c>
    </row>
    <row r="2782" customFormat="false" ht="15" hidden="false" customHeight="false" outlineLevel="0" collapsed="false">
      <c r="A2782" s="31"/>
      <c r="B2782" s="32"/>
      <c r="C2782" s="32"/>
      <c r="D2782" s="32"/>
      <c r="E2782" s="32"/>
      <c r="F2782" s="32"/>
      <c r="G2782" s="33"/>
      <c r="H2782" s="33"/>
      <c r="I2782" s="34" t="str">
        <f aca="false">IF($A2782="","",$G2782-$H2782)</f>
        <v/>
      </c>
      <c r="J2782" s="35" t="str">
        <f aca="false">IF($A2782="","",IF(Setup!$B$6=1,YEAR($A2782),YEAR($A2782)+IF(MONTH($A2782)&gt;=Setup!$B$6,1,0)))</f>
        <v/>
      </c>
      <c r="K2782" s="35" t="str">
        <f aca="false">IF($A2782="","",MOD(MONTH($A2782)-Setup!$B$6+12,12)+1)</f>
        <v/>
      </c>
      <c r="L2782" s="36" t="str">
        <f aca="false">IF($A2782="","",TEXT($A2782,"MMM-YY"))</f>
        <v/>
      </c>
      <c r="M2782" s="37" t="str">
        <f aca="false">IF($A2782="","",IF($Q2782=0,"UNMAPPED",INDEX(COA_Mapping!$C$7:$C$256,$Q2782)))</f>
        <v/>
      </c>
      <c r="N2782" s="38" t="str">
        <f aca="false">IF($A2782="","",IF($Q2782=0,"",INDEX(COA_Mapping!$E$7:$E$256,$Q2782)))</f>
        <v/>
      </c>
      <c r="O2782" s="38" t="n">
        <f aca="false">IF($A2782="",1,IF($Q2782=0,1,INDEX(COA_Mapping!$F$7:$F$256,$Q2782)))</f>
        <v>1</v>
      </c>
      <c r="P2782" s="34" t="str">
        <f aca="false">IF($A2782="","",$I2782*$O2782)</f>
        <v/>
      </c>
      <c r="Q2782" s="39" t="n">
        <f aca="false">IF($B2782="",0,IFERROR(MATCH($B2782,COA_Mapping!$A$7:$A$256,0),0))</f>
        <v>0</v>
      </c>
      <c r="R2782" s="39" t="n">
        <f aca="false">IF($A2782="",-1,IF($J2782=Setup!$B$7,1,IF($J2782=Setup!$B$9,0,-1)))</f>
        <v>-1</v>
      </c>
      <c r="S2782" s="35" t="n">
        <f aca="false">IF(OR($A2782="",$Q2782=0,$R2782=-1),0,$Q2782*1000+$R2782*100+$K2782)</f>
        <v>0</v>
      </c>
      <c r="T2782" s="37" t="str">
        <f aca="false">IF($A2782="","",IF($B2782="","NO ACCOUNT",IF($Q2782=0,"UNMAPPED",IF($R2782=-1,"OUTSIDE FY RANGE","OK"))))</f>
        <v/>
      </c>
      <c r="U2782" s="40" t="str">
        <f aca="false">IF($A2782="","",$B2782&amp;"|"&amp;TEXT($A2782,"yyyymmdd")&amp;"|"&amp;TEXT($I2782,"0.00"))</f>
        <v/>
      </c>
      <c r="V2782" s="35" t="str">
        <f aca="false">IF($A2782="","",COUNTIF($U$8:$U$5007,$U2782))</f>
        <v/>
      </c>
    </row>
    <row r="2783" customFormat="false" ht="15" hidden="false" customHeight="false" outlineLevel="0" collapsed="false">
      <c r="A2783" s="31"/>
      <c r="B2783" s="32"/>
      <c r="C2783" s="32"/>
      <c r="D2783" s="32"/>
      <c r="E2783" s="32"/>
      <c r="F2783" s="32"/>
      <c r="G2783" s="33"/>
      <c r="H2783" s="33"/>
      <c r="I2783" s="34" t="str">
        <f aca="false">IF($A2783="","",$G2783-$H2783)</f>
        <v/>
      </c>
      <c r="J2783" s="35" t="str">
        <f aca="false">IF($A2783="","",IF(Setup!$B$6=1,YEAR($A2783),YEAR($A2783)+IF(MONTH($A2783)&gt;=Setup!$B$6,1,0)))</f>
        <v/>
      </c>
      <c r="K2783" s="35" t="str">
        <f aca="false">IF($A2783="","",MOD(MONTH($A2783)-Setup!$B$6+12,12)+1)</f>
        <v/>
      </c>
      <c r="L2783" s="36" t="str">
        <f aca="false">IF($A2783="","",TEXT($A2783,"MMM-YY"))</f>
        <v/>
      </c>
      <c r="M2783" s="37" t="str">
        <f aca="false">IF($A2783="","",IF($Q2783=0,"UNMAPPED",INDEX(COA_Mapping!$C$7:$C$256,$Q2783)))</f>
        <v/>
      </c>
      <c r="N2783" s="38" t="str">
        <f aca="false">IF($A2783="","",IF($Q2783=0,"",INDEX(COA_Mapping!$E$7:$E$256,$Q2783)))</f>
        <v/>
      </c>
      <c r="O2783" s="38" t="n">
        <f aca="false">IF($A2783="",1,IF($Q2783=0,1,INDEX(COA_Mapping!$F$7:$F$256,$Q2783)))</f>
        <v>1</v>
      </c>
      <c r="P2783" s="34" t="str">
        <f aca="false">IF($A2783="","",$I2783*$O2783)</f>
        <v/>
      </c>
      <c r="Q2783" s="39" t="n">
        <f aca="false">IF($B2783="",0,IFERROR(MATCH($B2783,COA_Mapping!$A$7:$A$256,0),0))</f>
        <v>0</v>
      </c>
      <c r="R2783" s="39" t="n">
        <f aca="false">IF($A2783="",-1,IF($J2783=Setup!$B$7,1,IF($J2783=Setup!$B$9,0,-1)))</f>
        <v>-1</v>
      </c>
      <c r="S2783" s="35" t="n">
        <f aca="false">IF(OR($A2783="",$Q2783=0,$R2783=-1),0,$Q2783*1000+$R2783*100+$K2783)</f>
        <v>0</v>
      </c>
      <c r="T2783" s="37" t="str">
        <f aca="false">IF($A2783="","",IF($B2783="","NO ACCOUNT",IF($Q2783=0,"UNMAPPED",IF($R2783=-1,"OUTSIDE FY RANGE","OK"))))</f>
        <v/>
      </c>
      <c r="U2783" s="40" t="str">
        <f aca="false">IF($A2783="","",$B2783&amp;"|"&amp;TEXT($A2783,"yyyymmdd")&amp;"|"&amp;TEXT($I2783,"0.00"))</f>
        <v/>
      </c>
      <c r="V2783" s="35" t="str">
        <f aca="false">IF($A2783="","",COUNTIF($U$8:$U$5007,$U2783))</f>
        <v/>
      </c>
    </row>
    <row r="2784" customFormat="false" ht="15" hidden="false" customHeight="false" outlineLevel="0" collapsed="false">
      <c r="A2784" s="31"/>
      <c r="B2784" s="32"/>
      <c r="C2784" s="32"/>
      <c r="D2784" s="32"/>
      <c r="E2784" s="32"/>
      <c r="F2784" s="32"/>
      <c r="G2784" s="33"/>
      <c r="H2784" s="33"/>
      <c r="I2784" s="34" t="str">
        <f aca="false">IF($A2784="","",$G2784-$H2784)</f>
        <v/>
      </c>
      <c r="J2784" s="35" t="str">
        <f aca="false">IF($A2784="","",IF(Setup!$B$6=1,YEAR($A2784),YEAR($A2784)+IF(MONTH($A2784)&gt;=Setup!$B$6,1,0)))</f>
        <v/>
      </c>
      <c r="K2784" s="35" t="str">
        <f aca="false">IF($A2784="","",MOD(MONTH($A2784)-Setup!$B$6+12,12)+1)</f>
        <v/>
      </c>
      <c r="L2784" s="36" t="str">
        <f aca="false">IF($A2784="","",TEXT($A2784,"MMM-YY"))</f>
        <v/>
      </c>
      <c r="M2784" s="37" t="str">
        <f aca="false">IF($A2784="","",IF($Q2784=0,"UNMAPPED",INDEX(COA_Mapping!$C$7:$C$256,$Q2784)))</f>
        <v/>
      </c>
      <c r="N2784" s="38" t="str">
        <f aca="false">IF($A2784="","",IF($Q2784=0,"",INDEX(COA_Mapping!$E$7:$E$256,$Q2784)))</f>
        <v/>
      </c>
      <c r="O2784" s="38" t="n">
        <f aca="false">IF($A2784="",1,IF($Q2784=0,1,INDEX(COA_Mapping!$F$7:$F$256,$Q2784)))</f>
        <v>1</v>
      </c>
      <c r="P2784" s="34" t="str">
        <f aca="false">IF($A2784="","",$I2784*$O2784)</f>
        <v/>
      </c>
      <c r="Q2784" s="39" t="n">
        <f aca="false">IF($B2784="",0,IFERROR(MATCH($B2784,COA_Mapping!$A$7:$A$256,0),0))</f>
        <v>0</v>
      </c>
      <c r="R2784" s="39" t="n">
        <f aca="false">IF($A2784="",-1,IF($J2784=Setup!$B$7,1,IF($J2784=Setup!$B$9,0,-1)))</f>
        <v>-1</v>
      </c>
      <c r="S2784" s="35" t="n">
        <f aca="false">IF(OR($A2784="",$Q2784=0,$R2784=-1),0,$Q2784*1000+$R2784*100+$K2784)</f>
        <v>0</v>
      </c>
      <c r="T2784" s="37" t="str">
        <f aca="false">IF($A2784="","",IF($B2784="","NO ACCOUNT",IF($Q2784=0,"UNMAPPED",IF($R2784=-1,"OUTSIDE FY RANGE","OK"))))</f>
        <v/>
      </c>
      <c r="U2784" s="40" t="str">
        <f aca="false">IF($A2784="","",$B2784&amp;"|"&amp;TEXT($A2784,"yyyymmdd")&amp;"|"&amp;TEXT($I2784,"0.00"))</f>
        <v/>
      </c>
      <c r="V2784" s="35" t="str">
        <f aca="false">IF($A2784="","",COUNTIF($U$8:$U$5007,$U2784))</f>
        <v/>
      </c>
    </row>
    <row r="2785" customFormat="false" ht="15" hidden="false" customHeight="false" outlineLevel="0" collapsed="false">
      <c r="A2785" s="31"/>
      <c r="B2785" s="32"/>
      <c r="C2785" s="32"/>
      <c r="D2785" s="32"/>
      <c r="E2785" s="32"/>
      <c r="F2785" s="32"/>
      <c r="G2785" s="33"/>
      <c r="H2785" s="33"/>
      <c r="I2785" s="34" t="str">
        <f aca="false">IF($A2785="","",$G2785-$H2785)</f>
        <v/>
      </c>
      <c r="J2785" s="35" t="str">
        <f aca="false">IF($A2785="","",IF(Setup!$B$6=1,YEAR($A2785),YEAR($A2785)+IF(MONTH($A2785)&gt;=Setup!$B$6,1,0)))</f>
        <v/>
      </c>
      <c r="K2785" s="35" t="str">
        <f aca="false">IF($A2785="","",MOD(MONTH($A2785)-Setup!$B$6+12,12)+1)</f>
        <v/>
      </c>
      <c r="L2785" s="36" t="str">
        <f aca="false">IF($A2785="","",TEXT($A2785,"MMM-YY"))</f>
        <v/>
      </c>
      <c r="M2785" s="37" t="str">
        <f aca="false">IF($A2785="","",IF($Q2785=0,"UNMAPPED",INDEX(COA_Mapping!$C$7:$C$256,$Q2785)))</f>
        <v/>
      </c>
      <c r="N2785" s="38" t="str">
        <f aca="false">IF($A2785="","",IF($Q2785=0,"",INDEX(COA_Mapping!$E$7:$E$256,$Q2785)))</f>
        <v/>
      </c>
      <c r="O2785" s="38" t="n">
        <f aca="false">IF($A2785="",1,IF($Q2785=0,1,INDEX(COA_Mapping!$F$7:$F$256,$Q2785)))</f>
        <v>1</v>
      </c>
      <c r="P2785" s="34" t="str">
        <f aca="false">IF($A2785="","",$I2785*$O2785)</f>
        <v/>
      </c>
      <c r="Q2785" s="39" t="n">
        <f aca="false">IF($B2785="",0,IFERROR(MATCH($B2785,COA_Mapping!$A$7:$A$256,0),0))</f>
        <v>0</v>
      </c>
      <c r="R2785" s="39" t="n">
        <f aca="false">IF($A2785="",-1,IF($J2785=Setup!$B$7,1,IF($J2785=Setup!$B$9,0,-1)))</f>
        <v>-1</v>
      </c>
      <c r="S2785" s="35" t="n">
        <f aca="false">IF(OR($A2785="",$Q2785=0,$R2785=-1),0,$Q2785*1000+$R2785*100+$K2785)</f>
        <v>0</v>
      </c>
      <c r="T2785" s="37" t="str">
        <f aca="false">IF($A2785="","",IF($B2785="","NO ACCOUNT",IF($Q2785=0,"UNMAPPED",IF($R2785=-1,"OUTSIDE FY RANGE","OK"))))</f>
        <v/>
      </c>
      <c r="U2785" s="40" t="str">
        <f aca="false">IF($A2785="","",$B2785&amp;"|"&amp;TEXT($A2785,"yyyymmdd")&amp;"|"&amp;TEXT($I2785,"0.00"))</f>
        <v/>
      </c>
      <c r="V2785" s="35" t="str">
        <f aca="false">IF($A2785="","",COUNTIF($U$8:$U$5007,$U2785))</f>
        <v/>
      </c>
    </row>
    <row r="2786" customFormat="false" ht="15" hidden="false" customHeight="false" outlineLevel="0" collapsed="false">
      <c r="A2786" s="31"/>
      <c r="B2786" s="32"/>
      <c r="C2786" s="32"/>
      <c r="D2786" s="32"/>
      <c r="E2786" s="32"/>
      <c r="F2786" s="32"/>
      <c r="G2786" s="33"/>
      <c r="H2786" s="33"/>
      <c r="I2786" s="34" t="str">
        <f aca="false">IF($A2786="","",$G2786-$H2786)</f>
        <v/>
      </c>
      <c r="J2786" s="35" t="str">
        <f aca="false">IF($A2786="","",IF(Setup!$B$6=1,YEAR($A2786),YEAR($A2786)+IF(MONTH($A2786)&gt;=Setup!$B$6,1,0)))</f>
        <v/>
      </c>
      <c r="K2786" s="35" t="str">
        <f aca="false">IF($A2786="","",MOD(MONTH($A2786)-Setup!$B$6+12,12)+1)</f>
        <v/>
      </c>
      <c r="L2786" s="36" t="str">
        <f aca="false">IF($A2786="","",TEXT($A2786,"MMM-YY"))</f>
        <v/>
      </c>
      <c r="M2786" s="37" t="str">
        <f aca="false">IF($A2786="","",IF($Q2786=0,"UNMAPPED",INDEX(COA_Mapping!$C$7:$C$256,$Q2786)))</f>
        <v/>
      </c>
      <c r="N2786" s="38" t="str">
        <f aca="false">IF($A2786="","",IF($Q2786=0,"",INDEX(COA_Mapping!$E$7:$E$256,$Q2786)))</f>
        <v/>
      </c>
      <c r="O2786" s="38" t="n">
        <f aca="false">IF($A2786="",1,IF($Q2786=0,1,INDEX(COA_Mapping!$F$7:$F$256,$Q2786)))</f>
        <v>1</v>
      </c>
      <c r="P2786" s="34" t="str">
        <f aca="false">IF($A2786="","",$I2786*$O2786)</f>
        <v/>
      </c>
      <c r="Q2786" s="39" t="n">
        <f aca="false">IF($B2786="",0,IFERROR(MATCH($B2786,COA_Mapping!$A$7:$A$256,0),0))</f>
        <v>0</v>
      </c>
      <c r="R2786" s="39" t="n">
        <f aca="false">IF($A2786="",-1,IF($J2786=Setup!$B$7,1,IF($J2786=Setup!$B$9,0,-1)))</f>
        <v>-1</v>
      </c>
      <c r="S2786" s="35" t="n">
        <f aca="false">IF(OR($A2786="",$Q2786=0,$R2786=-1),0,$Q2786*1000+$R2786*100+$K2786)</f>
        <v>0</v>
      </c>
      <c r="T2786" s="37" t="str">
        <f aca="false">IF($A2786="","",IF($B2786="","NO ACCOUNT",IF($Q2786=0,"UNMAPPED",IF($R2786=-1,"OUTSIDE FY RANGE","OK"))))</f>
        <v/>
      </c>
      <c r="U2786" s="40" t="str">
        <f aca="false">IF($A2786="","",$B2786&amp;"|"&amp;TEXT($A2786,"yyyymmdd")&amp;"|"&amp;TEXT($I2786,"0.00"))</f>
        <v/>
      </c>
      <c r="V2786" s="35" t="str">
        <f aca="false">IF($A2786="","",COUNTIF($U$8:$U$5007,$U2786))</f>
        <v/>
      </c>
    </row>
    <row r="2787" customFormat="false" ht="15" hidden="false" customHeight="false" outlineLevel="0" collapsed="false">
      <c r="A2787" s="31"/>
      <c r="B2787" s="32"/>
      <c r="C2787" s="32"/>
      <c r="D2787" s="32"/>
      <c r="E2787" s="32"/>
      <c r="F2787" s="32"/>
      <c r="G2787" s="33"/>
      <c r="H2787" s="33"/>
      <c r="I2787" s="34" t="str">
        <f aca="false">IF($A2787="","",$G2787-$H2787)</f>
        <v/>
      </c>
      <c r="J2787" s="35" t="str">
        <f aca="false">IF($A2787="","",IF(Setup!$B$6=1,YEAR($A2787),YEAR($A2787)+IF(MONTH($A2787)&gt;=Setup!$B$6,1,0)))</f>
        <v/>
      </c>
      <c r="K2787" s="35" t="str">
        <f aca="false">IF($A2787="","",MOD(MONTH($A2787)-Setup!$B$6+12,12)+1)</f>
        <v/>
      </c>
      <c r="L2787" s="36" t="str">
        <f aca="false">IF($A2787="","",TEXT($A2787,"MMM-YY"))</f>
        <v/>
      </c>
      <c r="M2787" s="37" t="str">
        <f aca="false">IF($A2787="","",IF($Q2787=0,"UNMAPPED",INDEX(COA_Mapping!$C$7:$C$256,$Q2787)))</f>
        <v/>
      </c>
      <c r="N2787" s="38" t="str">
        <f aca="false">IF($A2787="","",IF($Q2787=0,"",INDEX(COA_Mapping!$E$7:$E$256,$Q2787)))</f>
        <v/>
      </c>
      <c r="O2787" s="38" t="n">
        <f aca="false">IF($A2787="",1,IF($Q2787=0,1,INDEX(COA_Mapping!$F$7:$F$256,$Q2787)))</f>
        <v>1</v>
      </c>
      <c r="P2787" s="34" t="str">
        <f aca="false">IF($A2787="","",$I2787*$O2787)</f>
        <v/>
      </c>
      <c r="Q2787" s="39" t="n">
        <f aca="false">IF($B2787="",0,IFERROR(MATCH($B2787,COA_Mapping!$A$7:$A$256,0),0))</f>
        <v>0</v>
      </c>
      <c r="R2787" s="39" t="n">
        <f aca="false">IF($A2787="",-1,IF($J2787=Setup!$B$7,1,IF($J2787=Setup!$B$9,0,-1)))</f>
        <v>-1</v>
      </c>
      <c r="S2787" s="35" t="n">
        <f aca="false">IF(OR($A2787="",$Q2787=0,$R2787=-1),0,$Q2787*1000+$R2787*100+$K2787)</f>
        <v>0</v>
      </c>
      <c r="T2787" s="37" t="str">
        <f aca="false">IF($A2787="","",IF($B2787="","NO ACCOUNT",IF($Q2787=0,"UNMAPPED",IF($R2787=-1,"OUTSIDE FY RANGE","OK"))))</f>
        <v/>
      </c>
      <c r="U2787" s="40" t="str">
        <f aca="false">IF($A2787="","",$B2787&amp;"|"&amp;TEXT($A2787,"yyyymmdd")&amp;"|"&amp;TEXT($I2787,"0.00"))</f>
        <v/>
      </c>
      <c r="V2787" s="35" t="str">
        <f aca="false">IF($A2787="","",COUNTIF($U$8:$U$5007,$U2787))</f>
        <v/>
      </c>
    </row>
    <row r="2788" customFormat="false" ht="15" hidden="false" customHeight="false" outlineLevel="0" collapsed="false">
      <c r="A2788" s="31"/>
      <c r="B2788" s="32"/>
      <c r="C2788" s="32"/>
      <c r="D2788" s="32"/>
      <c r="E2788" s="32"/>
      <c r="F2788" s="32"/>
      <c r="G2788" s="33"/>
      <c r="H2788" s="33"/>
      <c r="I2788" s="34" t="str">
        <f aca="false">IF($A2788="","",$G2788-$H2788)</f>
        <v/>
      </c>
      <c r="J2788" s="35" t="str">
        <f aca="false">IF($A2788="","",IF(Setup!$B$6=1,YEAR($A2788),YEAR($A2788)+IF(MONTH($A2788)&gt;=Setup!$B$6,1,0)))</f>
        <v/>
      </c>
      <c r="K2788" s="35" t="str">
        <f aca="false">IF($A2788="","",MOD(MONTH($A2788)-Setup!$B$6+12,12)+1)</f>
        <v/>
      </c>
      <c r="L2788" s="36" t="str">
        <f aca="false">IF($A2788="","",TEXT($A2788,"MMM-YY"))</f>
        <v/>
      </c>
      <c r="M2788" s="37" t="str">
        <f aca="false">IF($A2788="","",IF($Q2788=0,"UNMAPPED",INDEX(COA_Mapping!$C$7:$C$256,$Q2788)))</f>
        <v/>
      </c>
      <c r="N2788" s="38" t="str">
        <f aca="false">IF($A2788="","",IF($Q2788=0,"",INDEX(COA_Mapping!$E$7:$E$256,$Q2788)))</f>
        <v/>
      </c>
      <c r="O2788" s="38" t="n">
        <f aca="false">IF($A2788="",1,IF($Q2788=0,1,INDEX(COA_Mapping!$F$7:$F$256,$Q2788)))</f>
        <v>1</v>
      </c>
      <c r="P2788" s="34" t="str">
        <f aca="false">IF($A2788="","",$I2788*$O2788)</f>
        <v/>
      </c>
      <c r="Q2788" s="39" t="n">
        <f aca="false">IF($B2788="",0,IFERROR(MATCH($B2788,COA_Mapping!$A$7:$A$256,0),0))</f>
        <v>0</v>
      </c>
      <c r="R2788" s="39" t="n">
        <f aca="false">IF($A2788="",-1,IF($J2788=Setup!$B$7,1,IF($J2788=Setup!$B$9,0,-1)))</f>
        <v>-1</v>
      </c>
      <c r="S2788" s="35" t="n">
        <f aca="false">IF(OR($A2788="",$Q2788=0,$R2788=-1),0,$Q2788*1000+$R2788*100+$K2788)</f>
        <v>0</v>
      </c>
      <c r="T2788" s="37" t="str">
        <f aca="false">IF($A2788="","",IF($B2788="","NO ACCOUNT",IF($Q2788=0,"UNMAPPED",IF($R2788=-1,"OUTSIDE FY RANGE","OK"))))</f>
        <v/>
      </c>
      <c r="U2788" s="40" t="str">
        <f aca="false">IF($A2788="","",$B2788&amp;"|"&amp;TEXT($A2788,"yyyymmdd")&amp;"|"&amp;TEXT($I2788,"0.00"))</f>
        <v/>
      </c>
      <c r="V2788" s="35" t="str">
        <f aca="false">IF($A2788="","",COUNTIF($U$8:$U$5007,$U2788))</f>
        <v/>
      </c>
    </row>
    <row r="2789" customFormat="false" ht="15" hidden="false" customHeight="false" outlineLevel="0" collapsed="false">
      <c r="A2789" s="31"/>
      <c r="B2789" s="32"/>
      <c r="C2789" s="32"/>
      <c r="D2789" s="32"/>
      <c r="E2789" s="32"/>
      <c r="F2789" s="32"/>
      <c r="G2789" s="33"/>
      <c r="H2789" s="33"/>
      <c r="I2789" s="34" t="str">
        <f aca="false">IF($A2789="","",$G2789-$H2789)</f>
        <v/>
      </c>
      <c r="J2789" s="35" t="str">
        <f aca="false">IF($A2789="","",IF(Setup!$B$6=1,YEAR($A2789),YEAR($A2789)+IF(MONTH($A2789)&gt;=Setup!$B$6,1,0)))</f>
        <v/>
      </c>
      <c r="K2789" s="35" t="str">
        <f aca="false">IF($A2789="","",MOD(MONTH($A2789)-Setup!$B$6+12,12)+1)</f>
        <v/>
      </c>
      <c r="L2789" s="36" t="str">
        <f aca="false">IF($A2789="","",TEXT($A2789,"MMM-YY"))</f>
        <v/>
      </c>
      <c r="M2789" s="37" t="str">
        <f aca="false">IF($A2789="","",IF($Q2789=0,"UNMAPPED",INDEX(COA_Mapping!$C$7:$C$256,$Q2789)))</f>
        <v/>
      </c>
      <c r="N2789" s="38" t="str">
        <f aca="false">IF($A2789="","",IF($Q2789=0,"",INDEX(COA_Mapping!$E$7:$E$256,$Q2789)))</f>
        <v/>
      </c>
      <c r="O2789" s="38" t="n">
        <f aca="false">IF($A2789="",1,IF($Q2789=0,1,INDEX(COA_Mapping!$F$7:$F$256,$Q2789)))</f>
        <v>1</v>
      </c>
      <c r="P2789" s="34" t="str">
        <f aca="false">IF($A2789="","",$I2789*$O2789)</f>
        <v/>
      </c>
      <c r="Q2789" s="39" t="n">
        <f aca="false">IF($B2789="",0,IFERROR(MATCH($B2789,COA_Mapping!$A$7:$A$256,0),0))</f>
        <v>0</v>
      </c>
      <c r="R2789" s="39" t="n">
        <f aca="false">IF($A2789="",-1,IF($J2789=Setup!$B$7,1,IF($J2789=Setup!$B$9,0,-1)))</f>
        <v>-1</v>
      </c>
      <c r="S2789" s="35" t="n">
        <f aca="false">IF(OR($A2789="",$Q2789=0,$R2789=-1),0,$Q2789*1000+$R2789*100+$K2789)</f>
        <v>0</v>
      </c>
      <c r="T2789" s="37" t="str">
        <f aca="false">IF($A2789="","",IF($B2789="","NO ACCOUNT",IF($Q2789=0,"UNMAPPED",IF($R2789=-1,"OUTSIDE FY RANGE","OK"))))</f>
        <v/>
      </c>
      <c r="U2789" s="40" t="str">
        <f aca="false">IF($A2789="","",$B2789&amp;"|"&amp;TEXT($A2789,"yyyymmdd")&amp;"|"&amp;TEXT($I2789,"0.00"))</f>
        <v/>
      </c>
      <c r="V2789" s="35" t="str">
        <f aca="false">IF($A2789="","",COUNTIF($U$8:$U$5007,$U2789))</f>
        <v/>
      </c>
    </row>
    <row r="2790" customFormat="false" ht="15" hidden="false" customHeight="false" outlineLevel="0" collapsed="false">
      <c r="A2790" s="31"/>
      <c r="B2790" s="32"/>
      <c r="C2790" s="32"/>
      <c r="D2790" s="32"/>
      <c r="E2790" s="32"/>
      <c r="F2790" s="32"/>
      <c r="G2790" s="33"/>
      <c r="H2790" s="33"/>
      <c r="I2790" s="34" t="str">
        <f aca="false">IF($A2790="","",$G2790-$H2790)</f>
        <v/>
      </c>
      <c r="J2790" s="35" t="str">
        <f aca="false">IF($A2790="","",IF(Setup!$B$6=1,YEAR($A2790),YEAR($A2790)+IF(MONTH($A2790)&gt;=Setup!$B$6,1,0)))</f>
        <v/>
      </c>
      <c r="K2790" s="35" t="str">
        <f aca="false">IF($A2790="","",MOD(MONTH($A2790)-Setup!$B$6+12,12)+1)</f>
        <v/>
      </c>
      <c r="L2790" s="36" t="str">
        <f aca="false">IF($A2790="","",TEXT($A2790,"MMM-YY"))</f>
        <v/>
      </c>
      <c r="M2790" s="37" t="str">
        <f aca="false">IF($A2790="","",IF($Q2790=0,"UNMAPPED",INDEX(COA_Mapping!$C$7:$C$256,$Q2790)))</f>
        <v/>
      </c>
      <c r="N2790" s="38" t="str">
        <f aca="false">IF($A2790="","",IF($Q2790=0,"",INDEX(COA_Mapping!$E$7:$E$256,$Q2790)))</f>
        <v/>
      </c>
      <c r="O2790" s="38" t="n">
        <f aca="false">IF($A2790="",1,IF($Q2790=0,1,INDEX(COA_Mapping!$F$7:$F$256,$Q2790)))</f>
        <v>1</v>
      </c>
      <c r="P2790" s="34" t="str">
        <f aca="false">IF($A2790="","",$I2790*$O2790)</f>
        <v/>
      </c>
      <c r="Q2790" s="39" t="n">
        <f aca="false">IF($B2790="",0,IFERROR(MATCH($B2790,COA_Mapping!$A$7:$A$256,0),0))</f>
        <v>0</v>
      </c>
      <c r="R2790" s="39" t="n">
        <f aca="false">IF($A2790="",-1,IF($J2790=Setup!$B$7,1,IF($J2790=Setup!$B$9,0,-1)))</f>
        <v>-1</v>
      </c>
      <c r="S2790" s="35" t="n">
        <f aca="false">IF(OR($A2790="",$Q2790=0,$R2790=-1),0,$Q2790*1000+$R2790*100+$K2790)</f>
        <v>0</v>
      </c>
      <c r="T2790" s="37" t="str">
        <f aca="false">IF($A2790="","",IF($B2790="","NO ACCOUNT",IF($Q2790=0,"UNMAPPED",IF($R2790=-1,"OUTSIDE FY RANGE","OK"))))</f>
        <v/>
      </c>
      <c r="U2790" s="40" t="str">
        <f aca="false">IF($A2790="","",$B2790&amp;"|"&amp;TEXT($A2790,"yyyymmdd")&amp;"|"&amp;TEXT($I2790,"0.00"))</f>
        <v/>
      </c>
      <c r="V2790" s="35" t="str">
        <f aca="false">IF($A2790="","",COUNTIF($U$8:$U$5007,$U2790))</f>
        <v/>
      </c>
    </row>
    <row r="2791" customFormat="false" ht="15" hidden="false" customHeight="false" outlineLevel="0" collapsed="false">
      <c r="A2791" s="31"/>
      <c r="B2791" s="32"/>
      <c r="C2791" s="32"/>
      <c r="D2791" s="32"/>
      <c r="E2791" s="32"/>
      <c r="F2791" s="32"/>
      <c r="G2791" s="33"/>
      <c r="H2791" s="33"/>
      <c r="I2791" s="34" t="str">
        <f aca="false">IF($A2791="","",$G2791-$H2791)</f>
        <v/>
      </c>
      <c r="J2791" s="35" t="str">
        <f aca="false">IF($A2791="","",IF(Setup!$B$6=1,YEAR($A2791),YEAR($A2791)+IF(MONTH($A2791)&gt;=Setup!$B$6,1,0)))</f>
        <v/>
      </c>
      <c r="K2791" s="35" t="str">
        <f aca="false">IF($A2791="","",MOD(MONTH($A2791)-Setup!$B$6+12,12)+1)</f>
        <v/>
      </c>
      <c r="L2791" s="36" t="str">
        <f aca="false">IF($A2791="","",TEXT($A2791,"MMM-YY"))</f>
        <v/>
      </c>
      <c r="M2791" s="37" t="str">
        <f aca="false">IF($A2791="","",IF($Q2791=0,"UNMAPPED",INDEX(COA_Mapping!$C$7:$C$256,$Q2791)))</f>
        <v/>
      </c>
      <c r="N2791" s="38" t="str">
        <f aca="false">IF($A2791="","",IF($Q2791=0,"",INDEX(COA_Mapping!$E$7:$E$256,$Q2791)))</f>
        <v/>
      </c>
      <c r="O2791" s="38" t="n">
        <f aca="false">IF($A2791="",1,IF($Q2791=0,1,INDEX(COA_Mapping!$F$7:$F$256,$Q2791)))</f>
        <v>1</v>
      </c>
      <c r="P2791" s="34" t="str">
        <f aca="false">IF($A2791="","",$I2791*$O2791)</f>
        <v/>
      </c>
      <c r="Q2791" s="39" t="n">
        <f aca="false">IF($B2791="",0,IFERROR(MATCH($B2791,COA_Mapping!$A$7:$A$256,0),0))</f>
        <v>0</v>
      </c>
      <c r="R2791" s="39" t="n">
        <f aca="false">IF($A2791="",-1,IF($J2791=Setup!$B$7,1,IF($J2791=Setup!$B$9,0,-1)))</f>
        <v>-1</v>
      </c>
      <c r="S2791" s="35" t="n">
        <f aca="false">IF(OR($A2791="",$Q2791=0,$R2791=-1),0,$Q2791*1000+$R2791*100+$K2791)</f>
        <v>0</v>
      </c>
      <c r="T2791" s="37" t="str">
        <f aca="false">IF($A2791="","",IF($B2791="","NO ACCOUNT",IF($Q2791=0,"UNMAPPED",IF($R2791=-1,"OUTSIDE FY RANGE","OK"))))</f>
        <v/>
      </c>
      <c r="U2791" s="40" t="str">
        <f aca="false">IF($A2791="","",$B2791&amp;"|"&amp;TEXT($A2791,"yyyymmdd")&amp;"|"&amp;TEXT($I2791,"0.00"))</f>
        <v/>
      </c>
      <c r="V2791" s="35" t="str">
        <f aca="false">IF($A2791="","",COUNTIF($U$8:$U$5007,$U2791))</f>
        <v/>
      </c>
    </row>
    <row r="2792" customFormat="false" ht="15" hidden="false" customHeight="false" outlineLevel="0" collapsed="false">
      <c r="A2792" s="31"/>
      <c r="B2792" s="32"/>
      <c r="C2792" s="32"/>
      <c r="D2792" s="32"/>
      <c r="E2792" s="32"/>
      <c r="F2792" s="32"/>
      <c r="G2792" s="33"/>
      <c r="H2792" s="33"/>
      <c r="I2792" s="34" t="str">
        <f aca="false">IF($A2792="","",$G2792-$H2792)</f>
        <v/>
      </c>
      <c r="J2792" s="35" t="str">
        <f aca="false">IF($A2792="","",IF(Setup!$B$6=1,YEAR($A2792),YEAR($A2792)+IF(MONTH($A2792)&gt;=Setup!$B$6,1,0)))</f>
        <v/>
      </c>
      <c r="K2792" s="35" t="str">
        <f aca="false">IF($A2792="","",MOD(MONTH($A2792)-Setup!$B$6+12,12)+1)</f>
        <v/>
      </c>
      <c r="L2792" s="36" t="str">
        <f aca="false">IF($A2792="","",TEXT($A2792,"MMM-YY"))</f>
        <v/>
      </c>
      <c r="M2792" s="37" t="str">
        <f aca="false">IF($A2792="","",IF($Q2792=0,"UNMAPPED",INDEX(COA_Mapping!$C$7:$C$256,$Q2792)))</f>
        <v/>
      </c>
      <c r="N2792" s="38" t="str">
        <f aca="false">IF($A2792="","",IF($Q2792=0,"",INDEX(COA_Mapping!$E$7:$E$256,$Q2792)))</f>
        <v/>
      </c>
      <c r="O2792" s="38" t="n">
        <f aca="false">IF($A2792="",1,IF($Q2792=0,1,INDEX(COA_Mapping!$F$7:$F$256,$Q2792)))</f>
        <v>1</v>
      </c>
      <c r="P2792" s="34" t="str">
        <f aca="false">IF($A2792="","",$I2792*$O2792)</f>
        <v/>
      </c>
      <c r="Q2792" s="39" t="n">
        <f aca="false">IF($B2792="",0,IFERROR(MATCH($B2792,COA_Mapping!$A$7:$A$256,0),0))</f>
        <v>0</v>
      </c>
      <c r="R2792" s="39" t="n">
        <f aca="false">IF($A2792="",-1,IF($J2792=Setup!$B$7,1,IF($J2792=Setup!$B$9,0,-1)))</f>
        <v>-1</v>
      </c>
      <c r="S2792" s="35" t="n">
        <f aca="false">IF(OR($A2792="",$Q2792=0,$R2792=-1),0,$Q2792*1000+$R2792*100+$K2792)</f>
        <v>0</v>
      </c>
      <c r="T2792" s="37" t="str">
        <f aca="false">IF($A2792="","",IF($B2792="","NO ACCOUNT",IF($Q2792=0,"UNMAPPED",IF($R2792=-1,"OUTSIDE FY RANGE","OK"))))</f>
        <v/>
      </c>
      <c r="U2792" s="40" t="str">
        <f aca="false">IF($A2792="","",$B2792&amp;"|"&amp;TEXT($A2792,"yyyymmdd")&amp;"|"&amp;TEXT($I2792,"0.00"))</f>
        <v/>
      </c>
      <c r="V2792" s="35" t="str">
        <f aca="false">IF($A2792="","",COUNTIF($U$8:$U$5007,$U2792))</f>
        <v/>
      </c>
    </row>
    <row r="2793" customFormat="false" ht="15" hidden="false" customHeight="false" outlineLevel="0" collapsed="false">
      <c r="A2793" s="31"/>
      <c r="B2793" s="32"/>
      <c r="C2793" s="32"/>
      <c r="D2793" s="32"/>
      <c r="E2793" s="32"/>
      <c r="F2793" s="32"/>
      <c r="G2793" s="33"/>
      <c r="H2793" s="33"/>
      <c r="I2793" s="34" t="str">
        <f aca="false">IF($A2793="","",$G2793-$H2793)</f>
        <v/>
      </c>
      <c r="J2793" s="35" t="str">
        <f aca="false">IF($A2793="","",IF(Setup!$B$6=1,YEAR($A2793),YEAR($A2793)+IF(MONTH($A2793)&gt;=Setup!$B$6,1,0)))</f>
        <v/>
      </c>
      <c r="K2793" s="35" t="str">
        <f aca="false">IF($A2793="","",MOD(MONTH($A2793)-Setup!$B$6+12,12)+1)</f>
        <v/>
      </c>
      <c r="L2793" s="36" t="str">
        <f aca="false">IF($A2793="","",TEXT($A2793,"MMM-YY"))</f>
        <v/>
      </c>
      <c r="M2793" s="37" t="str">
        <f aca="false">IF($A2793="","",IF($Q2793=0,"UNMAPPED",INDEX(COA_Mapping!$C$7:$C$256,$Q2793)))</f>
        <v/>
      </c>
      <c r="N2793" s="38" t="str">
        <f aca="false">IF($A2793="","",IF($Q2793=0,"",INDEX(COA_Mapping!$E$7:$E$256,$Q2793)))</f>
        <v/>
      </c>
      <c r="O2793" s="38" t="n">
        <f aca="false">IF($A2793="",1,IF($Q2793=0,1,INDEX(COA_Mapping!$F$7:$F$256,$Q2793)))</f>
        <v>1</v>
      </c>
      <c r="P2793" s="34" t="str">
        <f aca="false">IF($A2793="","",$I2793*$O2793)</f>
        <v/>
      </c>
      <c r="Q2793" s="39" t="n">
        <f aca="false">IF($B2793="",0,IFERROR(MATCH($B2793,COA_Mapping!$A$7:$A$256,0),0))</f>
        <v>0</v>
      </c>
      <c r="R2793" s="39" t="n">
        <f aca="false">IF($A2793="",-1,IF($J2793=Setup!$B$7,1,IF($J2793=Setup!$B$9,0,-1)))</f>
        <v>-1</v>
      </c>
      <c r="S2793" s="35" t="n">
        <f aca="false">IF(OR($A2793="",$Q2793=0,$R2793=-1),0,$Q2793*1000+$R2793*100+$K2793)</f>
        <v>0</v>
      </c>
      <c r="T2793" s="37" t="str">
        <f aca="false">IF($A2793="","",IF($B2793="","NO ACCOUNT",IF($Q2793=0,"UNMAPPED",IF($R2793=-1,"OUTSIDE FY RANGE","OK"))))</f>
        <v/>
      </c>
      <c r="U2793" s="40" t="str">
        <f aca="false">IF($A2793="","",$B2793&amp;"|"&amp;TEXT($A2793,"yyyymmdd")&amp;"|"&amp;TEXT($I2793,"0.00"))</f>
        <v/>
      </c>
      <c r="V2793" s="35" t="str">
        <f aca="false">IF($A2793="","",COUNTIF($U$8:$U$5007,$U2793))</f>
        <v/>
      </c>
    </row>
    <row r="2794" customFormat="false" ht="15" hidden="false" customHeight="false" outlineLevel="0" collapsed="false">
      <c r="A2794" s="31"/>
      <c r="B2794" s="32"/>
      <c r="C2794" s="32"/>
      <c r="D2794" s="32"/>
      <c r="E2794" s="32"/>
      <c r="F2794" s="32"/>
      <c r="G2794" s="33"/>
      <c r="H2794" s="33"/>
      <c r="I2794" s="34" t="str">
        <f aca="false">IF($A2794="","",$G2794-$H2794)</f>
        <v/>
      </c>
      <c r="J2794" s="35" t="str">
        <f aca="false">IF($A2794="","",IF(Setup!$B$6=1,YEAR($A2794),YEAR($A2794)+IF(MONTH($A2794)&gt;=Setup!$B$6,1,0)))</f>
        <v/>
      </c>
      <c r="K2794" s="35" t="str">
        <f aca="false">IF($A2794="","",MOD(MONTH($A2794)-Setup!$B$6+12,12)+1)</f>
        <v/>
      </c>
      <c r="L2794" s="36" t="str">
        <f aca="false">IF($A2794="","",TEXT($A2794,"MMM-YY"))</f>
        <v/>
      </c>
      <c r="M2794" s="37" t="str">
        <f aca="false">IF($A2794="","",IF($Q2794=0,"UNMAPPED",INDEX(COA_Mapping!$C$7:$C$256,$Q2794)))</f>
        <v/>
      </c>
      <c r="N2794" s="38" t="str">
        <f aca="false">IF($A2794="","",IF($Q2794=0,"",INDEX(COA_Mapping!$E$7:$E$256,$Q2794)))</f>
        <v/>
      </c>
      <c r="O2794" s="38" t="n">
        <f aca="false">IF($A2794="",1,IF($Q2794=0,1,INDEX(COA_Mapping!$F$7:$F$256,$Q2794)))</f>
        <v>1</v>
      </c>
      <c r="P2794" s="34" t="str">
        <f aca="false">IF($A2794="","",$I2794*$O2794)</f>
        <v/>
      </c>
      <c r="Q2794" s="39" t="n">
        <f aca="false">IF($B2794="",0,IFERROR(MATCH($B2794,COA_Mapping!$A$7:$A$256,0),0))</f>
        <v>0</v>
      </c>
      <c r="R2794" s="39" t="n">
        <f aca="false">IF($A2794="",-1,IF($J2794=Setup!$B$7,1,IF($J2794=Setup!$B$9,0,-1)))</f>
        <v>-1</v>
      </c>
      <c r="S2794" s="35" t="n">
        <f aca="false">IF(OR($A2794="",$Q2794=0,$R2794=-1),0,$Q2794*1000+$R2794*100+$K2794)</f>
        <v>0</v>
      </c>
      <c r="T2794" s="37" t="str">
        <f aca="false">IF($A2794="","",IF($B2794="","NO ACCOUNT",IF($Q2794=0,"UNMAPPED",IF($R2794=-1,"OUTSIDE FY RANGE","OK"))))</f>
        <v/>
      </c>
      <c r="U2794" s="40" t="str">
        <f aca="false">IF($A2794="","",$B2794&amp;"|"&amp;TEXT($A2794,"yyyymmdd")&amp;"|"&amp;TEXT($I2794,"0.00"))</f>
        <v/>
      </c>
      <c r="V2794" s="35" t="str">
        <f aca="false">IF($A2794="","",COUNTIF($U$8:$U$5007,$U2794))</f>
        <v/>
      </c>
    </row>
    <row r="2795" customFormat="false" ht="15" hidden="false" customHeight="false" outlineLevel="0" collapsed="false">
      <c r="A2795" s="31"/>
      <c r="B2795" s="32"/>
      <c r="C2795" s="32"/>
      <c r="D2795" s="32"/>
      <c r="E2795" s="32"/>
      <c r="F2795" s="32"/>
      <c r="G2795" s="33"/>
      <c r="H2795" s="33"/>
      <c r="I2795" s="34" t="str">
        <f aca="false">IF($A2795="","",$G2795-$H2795)</f>
        <v/>
      </c>
      <c r="J2795" s="35" t="str">
        <f aca="false">IF($A2795="","",IF(Setup!$B$6=1,YEAR($A2795),YEAR($A2795)+IF(MONTH($A2795)&gt;=Setup!$B$6,1,0)))</f>
        <v/>
      </c>
      <c r="K2795" s="35" t="str">
        <f aca="false">IF($A2795="","",MOD(MONTH($A2795)-Setup!$B$6+12,12)+1)</f>
        <v/>
      </c>
      <c r="L2795" s="36" t="str">
        <f aca="false">IF($A2795="","",TEXT($A2795,"MMM-YY"))</f>
        <v/>
      </c>
      <c r="M2795" s="37" t="str">
        <f aca="false">IF($A2795="","",IF($Q2795=0,"UNMAPPED",INDEX(COA_Mapping!$C$7:$C$256,$Q2795)))</f>
        <v/>
      </c>
      <c r="N2795" s="38" t="str">
        <f aca="false">IF($A2795="","",IF($Q2795=0,"",INDEX(COA_Mapping!$E$7:$E$256,$Q2795)))</f>
        <v/>
      </c>
      <c r="O2795" s="38" t="n">
        <f aca="false">IF($A2795="",1,IF($Q2795=0,1,INDEX(COA_Mapping!$F$7:$F$256,$Q2795)))</f>
        <v>1</v>
      </c>
      <c r="P2795" s="34" t="str">
        <f aca="false">IF($A2795="","",$I2795*$O2795)</f>
        <v/>
      </c>
      <c r="Q2795" s="39" t="n">
        <f aca="false">IF($B2795="",0,IFERROR(MATCH($B2795,COA_Mapping!$A$7:$A$256,0),0))</f>
        <v>0</v>
      </c>
      <c r="R2795" s="39" t="n">
        <f aca="false">IF($A2795="",-1,IF($J2795=Setup!$B$7,1,IF($J2795=Setup!$B$9,0,-1)))</f>
        <v>-1</v>
      </c>
      <c r="S2795" s="35" t="n">
        <f aca="false">IF(OR($A2795="",$Q2795=0,$R2795=-1),0,$Q2795*1000+$R2795*100+$K2795)</f>
        <v>0</v>
      </c>
      <c r="T2795" s="37" t="str">
        <f aca="false">IF($A2795="","",IF($B2795="","NO ACCOUNT",IF($Q2795=0,"UNMAPPED",IF($R2795=-1,"OUTSIDE FY RANGE","OK"))))</f>
        <v/>
      </c>
      <c r="U2795" s="40" t="str">
        <f aca="false">IF($A2795="","",$B2795&amp;"|"&amp;TEXT($A2795,"yyyymmdd")&amp;"|"&amp;TEXT($I2795,"0.00"))</f>
        <v/>
      </c>
      <c r="V2795" s="35" t="str">
        <f aca="false">IF($A2795="","",COUNTIF($U$8:$U$5007,$U2795))</f>
        <v/>
      </c>
    </row>
    <row r="2796" customFormat="false" ht="15" hidden="false" customHeight="false" outlineLevel="0" collapsed="false">
      <c r="A2796" s="31"/>
      <c r="B2796" s="32"/>
      <c r="C2796" s="32"/>
      <c r="D2796" s="32"/>
      <c r="E2796" s="32"/>
      <c r="F2796" s="32"/>
      <c r="G2796" s="33"/>
      <c r="H2796" s="33"/>
      <c r="I2796" s="34" t="str">
        <f aca="false">IF($A2796="","",$G2796-$H2796)</f>
        <v/>
      </c>
      <c r="J2796" s="35" t="str">
        <f aca="false">IF($A2796="","",IF(Setup!$B$6=1,YEAR($A2796),YEAR($A2796)+IF(MONTH($A2796)&gt;=Setup!$B$6,1,0)))</f>
        <v/>
      </c>
      <c r="K2796" s="35" t="str">
        <f aca="false">IF($A2796="","",MOD(MONTH($A2796)-Setup!$B$6+12,12)+1)</f>
        <v/>
      </c>
      <c r="L2796" s="36" t="str">
        <f aca="false">IF($A2796="","",TEXT($A2796,"MMM-YY"))</f>
        <v/>
      </c>
      <c r="M2796" s="37" t="str">
        <f aca="false">IF($A2796="","",IF($Q2796=0,"UNMAPPED",INDEX(COA_Mapping!$C$7:$C$256,$Q2796)))</f>
        <v/>
      </c>
      <c r="N2796" s="38" t="str">
        <f aca="false">IF($A2796="","",IF($Q2796=0,"",INDEX(COA_Mapping!$E$7:$E$256,$Q2796)))</f>
        <v/>
      </c>
      <c r="O2796" s="38" t="n">
        <f aca="false">IF($A2796="",1,IF($Q2796=0,1,INDEX(COA_Mapping!$F$7:$F$256,$Q2796)))</f>
        <v>1</v>
      </c>
      <c r="P2796" s="34" t="str">
        <f aca="false">IF($A2796="","",$I2796*$O2796)</f>
        <v/>
      </c>
      <c r="Q2796" s="39" t="n">
        <f aca="false">IF($B2796="",0,IFERROR(MATCH($B2796,COA_Mapping!$A$7:$A$256,0),0))</f>
        <v>0</v>
      </c>
      <c r="R2796" s="39" t="n">
        <f aca="false">IF($A2796="",-1,IF($J2796=Setup!$B$7,1,IF($J2796=Setup!$B$9,0,-1)))</f>
        <v>-1</v>
      </c>
      <c r="S2796" s="35" t="n">
        <f aca="false">IF(OR($A2796="",$Q2796=0,$R2796=-1),0,$Q2796*1000+$R2796*100+$K2796)</f>
        <v>0</v>
      </c>
      <c r="T2796" s="37" t="str">
        <f aca="false">IF($A2796="","",IF($B2796="","NO ACCOUNT",IF($Q2796=0,"UNMAPPED",IF($R2796=-1,"OUTSIDE FY RANGE","OK"))))</f>
        <v/>
      </c>
      <c r="U2796" s="40" t="str">
        <f aca="false">IF($A2796="","",$B2796&amp;"|"&amp;TEXT($A2796,"yyyymmdd")&amp;"|"&amp;TEXT($I2796,"0.00"))</f>
        <v/>
      </c>
      <c r="V2796" s="35" t="str">
        <f aca="false">IF($A2796="","",COUNTIF($U$8:$U$5007,$U2796))</f>
        <v/>
      </c>
    </row>
    <row r="2797" customFormat="false" ht="15" hidden="false" customHeight="false" outlineLevel="0" collapsed="false">
      <c r="A2797" s="31"/>
      <c r="B2797" s="32"/>
      <c r="C2797" s="32"/>
      <c r="D2797" s="32"/>
      <c r="E2797" s="32"/>
      <c r="F2797" s="32"/>
      <c r="G2797" s="33"/>
      <c r="H2797" s="33"/>
      <c r="I2797" s="34" t="str">
        <f aca="false">IF($A2797="","",$G2797-$H2797)</f>
        <v/>
      </c>
      <c r="J2797" s="35" t="str">
        <f aca="false">IF($A2797="","",IF(Setup!$B$6=1,YEAR($A2797),YEAR($A2797)+IF(MONTH($A2797)&gt;=Setup!$B$6,1,0)))</f>
        <v/>
      </c>
      <c r="K2797" s="35" t="str">
        <f aca="false">IF($A2797="","",MOD(MONTH($A2797)-Setup!$B$6+12,12)+1)</f>
        <v/>
      </c>
      <c r="L2797" s="36" t="str">
        <f aca="false">IF($A2797="","",TEXT($A2797,"MMM-YY"))</f>
        <v/>
      </c>
      <c r="M2797" s="37" t="str">
        <f aca="false">IF($A2797="","",IF($Q2797=0,"UNMAPPED",INDEX(COA_Mapping!$C$7:$C$256,$Q2797)))</f>
        <v/>
      </c>
      <c r="N2797" s="38" t="str">
        <f aca="false">IF($A2797="","",IF($Q2797=0,"",INDEX(COA_Mapping!$E$7:$E$256,$Q2797)))</f>
        <v/>
      </c>
      <c r="O2797" s="38" t="n">
        <f aca="false">IF($A2797="",1,IF($Q2797=0,1,INDEX(COA_Mapping!$F$7:$F$256,$Q2797)))</f>
        <v>1</v>
      </c>
      <c r="P2797" s="34" t="str">
        <f aca="false">IF($A2797="","",$I2797*$O2797)</f>
        <v/>
      </c>
      <c r="Q2797" s="39" t="n">
        <f aca="false">IF($B2797="",0,IFERROR(MATCH($B2797,COA_Mapping!$A$7:$A$256,0),0))</f>
        <v>0</v>
      </c>
      <c r="R2797" s="39" t="n">
        <f aca="false">IF($A2797="",-1,IF($J2797=Setup!$B$7,1,IF($J2797=Setup!$B$9,0,-1)))</f>
        <v>-1</v>
      </c>
      <c r="S2797" s="35" t="n">
        <f aca="false">IF(OR($A2797="",$Q2797=0,$R2797=-1),0,$Q2797*1000+$R2797*100+$K2797)</f>
        <v>0</v>
      </c>
      <c r="T2797" s="37" t="str">
        <f aca="false">IF($A2797="","",IF($B2797="","NO ACCOUNT",IF($Q2797=0,"UNMAPPED",IF($R2797=-1,"OUTSIDE FY RANGE","OK"))))</f>
        <v/>
      </c>
      <c r="U2797" s="40" t="str">
        <f aca="false">IF($A2797="","",$B2797&amp;"|"&amp;TEXT($A2797,"yyyymmdd")&amp;"|"&amp;TEXT($I2797,"0.00"))</f>
        <v/>
      </c>
      <c r="V2797" s="35" t="str">
        <f aca="false">IF($A2797="","",COUNTIF($U$8:$U$5007,$U2797))</f>
        <v/>
      </c>
    </row>
    <row r="2798" customFormat="false" ht="15" hidden="false" customHeight="false" outlineLevel="0" collapsed="false">
      <c r="A2798" s="31"/>
      <c r="B2798" s="32"/>
      <c r="C2798" s="32"/>
      <c r="D2798" s="32"/>
      <c r="E2798" s="32"/>
      <c r="F2798" s="32"/>
      <c r="G2798" s="33"/>
      <c r="H2798" s="33"/>
      <c r="I2798" s="34" t="str">
        <f aca="false">IF($A2798="","",$G2798-$H2798)</f>
        <v/>
      </c>
      <c r="J2798" s="35" t="str">
        <f aca="false">IF($A2798="","",IF(Setup!$B$6=1,YEAR($A2798),YEAR($A2798)+IF(MONTH($A2798)&gt;=Setup!$B$6,1,0)))</f>
        <v/>
      </c>
      <c r="K2798" s="35" t="str">
        <f aca="false">IF($A2798="","",MOD(MONTH($A2798)-Setup!$B$6+12,12)+1)</f>
        <v/>
      </c>
      <c r="L2798" s="36" t="str">
        <f aca="false">IF($A2798="","",TEXT($A2798,"MMM-YY"))</f>
        <v/>
      </c>
      <c r="M2798" s="37" t="str">
        <f aca="false">IF($A2798="","",IF($Q2798=0,"UNMAPPED",INDEX(COA_Mapping!$C$7:$C$256,$Q2798)))</f>
        <v/>
      </c>
      <c r="N2798" s="38" t="str">
        <f aca="false">IF($A2798="","",IF($Q2798=0,"",INDEX(COA_Mapping!$E$7:$E$256,$Q2798)))</f>
        <v/>
      </c>
      <c r="O2798" s="38" t="n">
        <f aca="false">IF($A2798="",1,IF($Q2798=0,1,INDEX(COA_Mapping!$F$7:$F$256,$Q2798)))</f>
        <v>1</v>
      </c>
      <c r="P2798" s="34" t="str">
        <f aca="false">IF($A2798="","",$I2798*$O2798)</f>
        <v/>
      </c>
      <c r="Q2798" s="39" t="n">
        <f aca="false">IF($B2798="",0,IFERROR(MATCH($B2798,COA_Mapping!$A$7:$A$256,0),0))</f>
        <v>0</v>
      </c>
      <c r="R2798" s="39" t="n">
        <f aca="false">IF($A2798="",-1,IF($J2798=Setup!$B$7,1,IF($J2798=Setup!$B$9,0,-1)))</f>
        <v>-1</v>
      </c>
      <c r="S2798" s="35" t="n">
        <f aca="false">IF(OR($A2798="",$Q2798=0,$R2798=-1),0,$Q2798*1000+$R2798*100+$K2798)</f>
        <v>0</v>
      </c>
      <c r="T2798" s="37" t="str">
        <f aca="false">IF($A2798="","",IF($B2798="","NO ACCOUNT",IF($Q2798=0,"UNMAPPED",IF($R2798=-1,"OUTSIDE FY RANGE","OK"))))</f>
        <v/>
      </c>
      <c r="U2798" s="40" t="str">
        <f aca="false">IF($A2798="","",$B2798&amp;"|"&amp;TEXT($A2798,"yyyymmdd")&amp;"|"&amp;TEXT($I2798,"0.00"))</f>
        <v/>
      </c>
      <c r="V2798" s="35" t="str">
        <f aca="false">IF($A2798="","",COUNTIF($U$8:$U$5007,$U2798))</f>
        <v/>
      </c>
    </row>
    <row r="2799" customFormat="false" ht="15" hidden="false" customHeight="false" outlineLevel="0" collapsed="false">
      <c r="A2799" s="31"/>
      <c r="B2799" s="32"/>
      <c r="C2799" s="32"/>
      <c r="D2799" s="32"/>
      <c r="E2799" s="32"/>
      <c r="F2799" s="32"/>
      <c r="G2799" s="33"/>
      <c r="H2799" s="33"/>
      <c r="I2799" s="34" t="str">
        <f aca="false">IF($A2799="","",$G2799-$H2799)</f>
        <v/>
      </c>
      <c r="J2799" s="35" t="str">
        <f aca="false">IF($A2799="","",IF(Setup!$B$6=1,YEAR($A2799),YEAR($A2799)+IF(MONTH($A2799)&gt;=Setup!$B$6,1,0)))</f>
        <v/>
      </c>
      <c r="K2799" s="35" t="str">
        <f aca="false">IF($A2799="","",MOD(MONTH($A2799)-Setup!$B$6+12,12)+1)</f>
        <v/>
      </c>
      <c r="L2799" s="36" t="str">
        <f aca="false">IF($A2799="","",TEXT($A2799,"MMM-YY"))</f>
        <v/>
      </c>
      <c r="M2799" s="37" t="str">
        <f aca="false">IF($A2799="","",IF($Q2799=0,"UNMAPPED",INDEX(COA_Mapping!$C$7:$C$256,$Q2799)))</f>
        <v/>
      </c>
      <c r="N2799" s="38" t="str">
        <f aca="false">IF($A2799="","",IF($Q2799=0,"",INDEX(COA_Mapping!$E$7:$E$256,$Q2799)))</f>
        <v/>
      </c>
      <c r="O2799" s="38" t="n">
        <f aca="false">IF($A2799="",1,IF($Q2799=0,1,INDEX(COA_Mapping!$F$7:$F$256,$Q2799)))</f>
        <v>1</v>
      </c>
      <c r="P2799" s="34" t="str">
        <f aca="false">IF($A2799="","",$I2799*$O2799)</f>
        <v/>
      </c>
      <c r="Q2799" s="39" t="n">
        <f aca="false">IF($B2799="",0,IFERROR(MATCH($B2799,COA_Mapping!$A$7:$A$256,0),0))</f>
        <v>0</v>
      </c>
      <c r="R2799" s="39" t="n">
        <f aca="false">IF($A2799="",-1,IF($J2799=Setup!$B$7,1,IF($J2799=Setup!$B$9,0,-1)))</f>
        <v>-1</v>
      </c>
      <c r="S2799" s="35" t="n">
        <f aca="false">IF(OR($A2799="",$Q2799=0,$R2799=-1),0,$Q2799*1000+$R2799*100+$K2799)</f>
        <v>0</v>
      </c>
      <c r="T2799" s="37" t="str">
        <f aca="false">IF($A2799="","",IF($B2799="","NO ACCOUNT",IF($Q2799=0,"UNMAPPED",IF($R2799=-1,"OUTSIDE FY RANGE","OK"))))</f>
        <v/>
      </c>
      <c r="U2799" s="40" t="str">
        <f aca="false">IF($A2799="","",$B2799&amp;"|"&amp;TEXT($A2799,"yyyymmdd")&amp;"|"&amp;TEXT($I2799,"0.00"))</f>
        <v/>
      </c>
      <c r="V2799" s="35" t="str">
        <f aca="false">IF($A2799="","",COUNTIF($U$8:$U$5007,$U2799))</f>
        <v/>
      </c>
    </row>
    <row r="2800" customFormat="false" ht="15" hidden="false" customHeight="false" outlineLevel="0" collapsed="false">
      <c r="A2800" s="31"/>
      <c r="B2800" s="32"/>
      <c r="C2800" s="32"/>
      <c r="D2800" s="32"/>
      <c r="E2800" s="32"/>
      <c r="F2800" s="32"/>
      <c r="G2800" s="33"/>
      <c r="H2800" s="33"/>
      <c r="I2800" s="34" t="str">
        <f aca="false">IF($A2800="","",$G2800-$H2800)</f>
        <v/>
      </c>
      <c r="J2800" s="35" t="str">
        <f aca="false">IF($A2800="","",IF(Setup!$B$6=1,YEAR($A2800),YEAR($A2800)+IF(MONTH($A2800)&gt;=Setup!$B$6,1,0)))</f>
        <v/>
      </c>
      <c r="K2800" s="35" t="str">
        <f aca="false">IF($A2800="","",MOD(MONTH($A2800)-Setup!$B$6+12,12)+1)</f>
        <v/>
      </c>
      <c r="L2800" s="36" t="str">
        <f aca="false">IF($A2800="","",TEXT($A2800,"MMM-YY"))</f>
        <v/>
      </c>
      <c r="M2800" s="37" t="str">
        <f aca="false">IF($A2800="","",IF($Q2800=0,"UNMAPPED",INDEX(COA_Mapping!$C$7:$C$256,$Q2800)))</f>
        <v/>
      </c>
      <c r="N2800" s="38" t="str">
        <f aca="false">IF($A2800="","",IF($Q2800=0,"",INDEX(COA_Mapping!$E$7:$E$256,$Q2800)))</f>
        <v/>
      </c>
      <c r="O2800" s="38" t="n">
        <f aca="false">IF($A2800="",1,IF($Q2800=0,1,INDEX(COA_Mapping!$F$7:$F$256,$Q2800)))</f>
        <v>1</v>
      </c>
      <c r="P2800" s="34" t="str">
        <f aca="false">IF($A2800="","",$I2800*$O2800)</f>
        <v/>
      </c>
      <c r="Q2800" s="39" t="n">
        <f aca="false">IF($B2800="",0,IFERROR(MATCH($B2800,COA_Mapping!$A$7:$A$256,0),0))</f>
        <v>0</v>
      </c>
      <c r="R2800" s="39" t="n">
        <f aca="false">IF($A2800="",-1,IF($J2800=Setup!$B$7,1,IF($J2800=Setup!$B$9,0,-1)))</f>
        <v>-1</v>
      </c>
      <c r="S2800" s="35" t="n">
        <f aca="false">IF(OR($A2800="",$Q2800=0,$R2800=-1),0,$Q2800*1000+$R2800*100+$K2800)</f>
        <v>0</v>
      </c>
      <c r="T2800" s="37" t="str">
        <f aca="false">IF($A2800="","",IF($B2800="","NO ACCOUNT",IF($Q2800=0,"UNMAPPED",IF($R2800=-1,"OUTSIDE FY RANGE","OK"))))</f>
        <v/>
      </c>
      <c r="U2800" s="40" t="str">
        <f aca="false">IF($A2800="","",$B2800&amp;"|"&amp;TEXT($A2800,"yyyymmdd")&amp;"|"&amp;TEXT($I2800,"0.00"))</f>
        <v/>
      </c>
      <c r="V2800" s="35" t="str">
        <f aca="false">IF($A2800="","",COUNTIF($U$8:$U$5007,$U2800))</f>
        <v/>
      </c>
    </row>
    <row r="2801" customFormat="false" ht="15" hidden="false" customHeight="false" outlineLevel="0" collapsed="false">
      <c r="A2801" s="31"/>
      <c r="B2801" s="32"/>
      <c r="C2801" s="32"/>
      <c r="D2801" s="32"/>
      <c r="E2801" s="32"/>
      <c r="F2801" s="32"/>
      <c r="G2801" s="33"/>
      <c r="H2801" s="33"/>
      <c r="I2801" s="34" t="str">
        <f aca="false">IF($A2801="","",$G2801-$H2801)</f>
        <v/>
      </c>
      <c r="J2801" s="35" t="str">
        <f aca="false">IF($A2801="","",IF(Setup!$B$6=1,YEAR($A2801),YEAR($A2801)+IF(MONTH($A2801)&gt;=Setup!$B$6,1,0)))</f>
        <v/>
      </c>
      <c r="K2801" s="35" t="str">
        <f aca="false">IF($A2801="","",MOD(MONTH($A2801)-Setup!$B$6+12,12)+1)</f>
        <v/>
      </c>
      <c r="L2801" s="36" t="str">
        <f aca="false">IF($A2801="","",TEXT($A2801,"MMM-YY"))</f>
        <v/>
      </c>
      <c r="M2801" s="37" t="str">
        <f aca="false">IF($A2801="","",IF($Q2801=0,"UNMAPPED",INDEX(COA_Mapping!$C$7:$C$256,$Q2801)))</f>
        <v/>
      </c>
      <c r="N2801" s="38" t="str">
        <f aca="false">IF($A2801="","",IF($Q2801=0,"",INDEX(COA_Mapping!$E$7:$E$256,$Q2801)))</f>
        <v/>
      </c>
      <c r="O2801" s="38" t="n">
        <f aca="false">IF($A2801="",1,IF($Q2801=0,1,INDEX(COA_Mapping!$F$7:$F$256,$Q2801)))</f>
        <v>1</v>
      </c>
      <c r="P2801" s="34" t="str">
        <f aca="false">IF($A2801="","",$I2801*$O2801)</f>
        <v/>
      </c>
      <c r="Q2801" s="39" t="n">
        <f aca="false">IF($B2801="",0,IFERROR(MATCH($B2801,COA_Mapping!$A$7:$A$256,0),0))</f>
        <v>0</v>
      </c>
      <c r="R2801" s="39" t="n">
        <f aca="false">IF($A2801="",-1,IF($J2801=Setup!$B$7,1,IF($J2801=Setup!$B$9,0,-1)))</f>
        <v>-1</v>
      </c>
      <c r="S2801" s="35" t="n">
        <f aca="false">IF(OR($A2801="",$Q2801=0,$R2801=-1),0,$Q2801*1000+$R2801*100+$K2801)</f>
        <v>0</v>
      </c>
      <c r="T2801" s="37" t="str">
        <f aca="false">IF($A2801="","",IF($B2801="","NO ACCOUNT",IF($Q2801=0,"UNMAPPED",IF($R2801=-1,"OUTSIDE FY RANGE","OK"))))</f>
        <v/>
      </c>
      <c r="U2801" s="40" t="str">
        <f aca="false">IF($A2801="","",$B2801&amp;"|"&amp;TEXT($A2801,"yyyymmdd")&amp;"|"&amp;TEXT($I2801,"0.00"))</f>
        <v/>
      </c>
      <c r="V2801" s="35" t="str">
        <f aca="false">IF($A2801="","",COUNTIF($U$8:$U$5007,$U2801))</f>
        <v/>
      </c>
    </row>
    <row r="2802" customFormat="false" ht="15" hidden="false" customHeight="false" outlineLevel="0" collapsed="false">
      <c r="A2802" s="31"/>
      <c r="B2802" s="32"/>
      <c r="C2802" s="32"/>
      <c r="D2802" s="32"/>
      <c r="E2802" s="32"/>
      <c r="F2802" s="32"/>
      <c r="G2802" s="33"/>
      <c r="H2802" s="33"/>
      <c r="I2802" s="34" t="str">
        <f aca="false">IF($A2802="","",$G2802-$H2802)</f>
        <v/>
      </c>
      <c r="J2802" s="35" t="str">
        <f aca="false">IF($A2802="","",IF(Setup!$B$6=1,YEAR($A2802),YEAR($A2802)+IF(MONTH($A2802)&gt;=Setup!$B$6,1,0)))</f>
        <v/>
      </c>
      <c r="K2802" s="35" t="str">
        <f aca="false">IF($A2802="","",MOD(MONTH($A2802)-Setup!$B$6+12,12)+1)</f>
        <v/>
      </c>
      <c r="L2802" s="36" t="str">
        <f aca="false">IF($A2802="","",TEXT($A2802,"MMM-YY"))</f>
        <v/>
      </c>
      <c r="M2802" s="37" t="str">
        <f aca="false">IF($A2802="","",IF($Q2802=0,"UNMAPPED",INDEX(COA_Mapping!$C$7:$C$256,$Q2802)))</f>
        <v/>
      </c>
      <c r="N2802" s="38" t="str">
        <f aca="false">IF($A2802="","",IF($Q2802=0,"",INDEX(COA_Mapping!$E$7:$E$256,$Q2802)))</f>
        <v/>
      </c>
      <c r="O2802" s="38" t="n">
        <f aca="false">IF($A2802="",1,IF($Q2802=0,1,INDEX(COA_Mapping!$F$7:$F$256,$Q2802)))</f>
        <v>1</v>
      </c>
      <c r="P2802" s="34" t="str">
        <f aca="false">IF($A2802="","",$I2802*$O2802)</f>
        <v/>
      </c>
      <c r="Q2802" s="39" t="n">
        <f aca="false">IF($B2802="",0,IFERROR(MATCH($B2802,COA_Mapping!$A$7:$A$256,0),0))</f>
        <v>0</v>
      </c>
      <c r="R2802" s="39" t="n">
        <f aca="false">IF($A2802="",-1,IF($J2802=Setup!$B$7,1,IF($J2802=Setup!$B$9,0,-1)))</f>
        <v>-1</v>
      </c>
      <c r="S2802" s="35" t="n">
        <f aca="false">IF(OR($A2802="",$Q2802=0,$R2802=-1),0,$Q2802*1000+$R2802*100+$K2802)</f>
        <v>0</v>
      </c>
      <c r="T2802" s="37" t="str">
        <f aca="false">IF($A2802="","",IF($B2802="","NO ACCOUNT",IF($Q2802=0,"UNMAPPED",IF($R2802=-1,"OUTSIDE FY RANGE","OK"))))</f>
        <v/>
      </c>
      <c r="U2802" s="40" t="str">
        <f aca="false">IF($A2802="","",$B2802&amp;"|"&amp;TEXT($A2802,"yyyymmdd")&amp;"|"&amp;TEXT($I2802,"0.00"))</f>
        <v/>
      </c>
      <c r="V2802" s="35" t="str">
        <f aca="false">IF($A2802="","",COUNTIF($U$8:$U$5007,$U2802))</f>
        <v/>
      </c>
    </row>
    <row r="2803" customFormat="false" ht="15" hidden="false" customHeight="false" outlineLevel="0" collapsed="false">
      <c r="A2803" s="31"/>
      <c r="B2803" s="32"/>
      <c r="C2803" s="32"/>
      <c r="D2803" s="32"/>
      <c r="E2803" s="32"/>
      <c r="F2803" s="32"/>
      <c r="G2803" s="33"/>
      <c r="H2803" s="33"/>
      <c r="I2803" s="34" t="str">
        <f aca="false">IF($A2803="","",$G2803-$H2803)</f>
        <v/>
      </c>
      <c r="J2803" s="35" t="str">
        <f aca="false">IF($A2803="","",IF(Setup!$B$6=1,YEAR($A2803),YEAR($A2803)+IF(MONTH($A2803)&gt;=Setup!$B$6,1,0)))</f>
        <v/>
      </c>
      <c r="K2803" s="35" t="str">
        <f aca="false">IF($A2803="","",MOD(MONTH($A2803)-Setup!$B$6+12,12)+1)</f>
        <v/>
      </c>
      <c r="L2803" s="36" t="str">
        <f aca="false">IF($A2803="","",TEXT($A2803,"MMM-YY"))</f>
        <v/>
      </c>
      <c r="M2803" s="37" t="str">
        <f aca="false">IF($A2803="","",IF($Q2803=0,"UNMAPPED",INDEX(COA_Mapping!$C$7:$C$256,$Q2803)))</f>
        <v/>
      </c>
      <c r="N2803" s="38" t="str">
        <f aca="false">IF($A2803="","",IF($Q2803=0,"",INDEX(COA_Mapping!$E$7:$E$256,$Q2803)))</f>
        <v/>
      </c>
      <c r="O2803" s="38" t="n">
        <f aca="false">IF($A2803="",1,IF($Q2803=0,1,INDEX(COA_Mapping!$F$7:$F$256,$Q2803)))</f>
        <v>1</v>
      </c>
      <c r="P2803" s="34" t="str">
        <f aca="false">IF($A2803="","",$I2803*$O2803)</f>
        <v/>
      </c>
      <c r="Q2803" s="39" t="n">
        <f aca="false">IF($B2803="",0,IFERROR(MATCH($B2803,COA_Mapping!$A$7:$A$256,0),0))</f>
        <v>0</v>
      </c>
      <c r="R2803" s="39" t="n">
        <f aca="false">IF($A2803="",-1,IF($J2803=Setup!$B$7,1,IF($J2803=Setup!$B$9,0,-1)))</f>
        <v>-1</v>
      </c>
      <c r="S2803" s="35" t="n">
        <f aca="false">IF(OR($A2803="",$Q2803=0,$R2803=-1),0,$Q2803*1000+$R2803*100+$K2803)</f>
        <v>0</v>
      </c>
      <c r="T2803" s="37" t="str">
        <f aca="false">IF($A2803="","",IF($B2803="","NO ACCOUNT",IF($Q2803=0,"UNMAPPED",IF($R2803=-1,"OUTSIDE FY RANGE","OK"))))</f>
        <v/>
      </c>
      <c r="U2803" s="40" t="str">
        <f aca="false">IF($A2803="","",$B2803&amp;"|"&amp;TEXT($A2803,"yyyymmdd")&amp;"|"&amp;TEXT($I2803,"0.00"))</f>
        <v/>
      </c>
      <c r="V2803" s="35" t="str">
        <f aca="false">IF($A2803="","",COUNTIF($U$8:$U$5007,$U2803))</f>
        <v/>
      </c>
    </row>
    <row r="2804" customFormat="false" ht="15" hidden="false" customHeight="false" outlineLevel="0" collapsed="false">
      <c r="A2804" s="31"/>
      <c r="B2804" s="32"/>
      <c r="C2804" s="32"/>
      <c r="D2804" s="32"/>
      <c r="E2804" s="32"/>
      <c r="F2804" s="32"/>
      <c r="G2804" s="33"/>
      <c r="H2804" s="33"/>
      <c r="I2804" s="34" t="str">
        <f aca="false">IF($A2804="","",$G2804-$H2804)</f>
        <v/>
      </c>
      <c r="J2804" s="35" t="str">
        <f aca="false">IF($A2804="","",IF(Setup!$B$6=1,YEAR($A2804),YEAR($A2804)+IF(MONTH($A2804)&gt;=Setup!$B$6,1,0)))</f>
        <v/>
      </c>
      <c r="K2804" s="35" t="str">
        <f aca="false">IF($A2804="","",MOD(MONTH($A2804)-Setup!$B$6+12,12)+1)</f>
        <v/>
      </c>
      <c r="L2804" s="36" t="str">
        <f aca="false">IF($A2804="","",TEXT($A2804,"MMM-YY"))</f>
        <v/>
      </c>
      <c r="M2804" s="37" t="str">
        <f aca="false">IF($A2804="","",IF($Q2804=0,"UNMAPPED",INDEX(COA_Mapping!$C$7:$C$256,$Q2804)))</f>
        <v/>
      </c>
      <c r="N2804" s="38" t="str">
        <f aca="false">IF($A2804="","",IF($Q2804=0,"",INDEX(COA_Mapping!$E$7:$E$256,$Q2804)))</f>
        <v/>
      </c>
      <c r="O2804" s="38" t="n">
        <f aca="false">IF($A2804="",1,IF($Q2804=0,1,INDEX(COA_Mapping!$F$7:$F$256,$Q2804)))</f>
        <v>1</v>
      </c>
      <c r="P2804" s="34" t="str">
        <f aca="false">IF($A2804="","",$I2804*$O2804)</f>
        <v/>
      </c>
      <c r="Q2804" s="39" t="n">
        <f aca="false">IF($B2804="",0,IFERROR(MATCH($B2804,COA_Mapping!$A$7:$A$256,0),0))</f>
        <v>0</v>
      </c>
      <c r="R2804" s="39" t="n">
        <f aca="false">IF($A2804="",-1,IF($J2804=Setup!$B$7,1,IF($J2804=Setup!$B$9,0,-1)))</f>
        <v>-1</v>
      </c>
      <c r="S2804" s="35" t="n">
        <f aca="false">IF(OR($A2804="",$Q2804=0,$R2804=-1),0,$Q2804*1000+$R2804*100+$K2804)</f>
        <v>0</v>
      </c>
      <c r="T2804" s="37" t="str">
        <f aca="false">IF($A2804="","",IF($B2804="","NO ACCOUNT",IF($Q2804=0,"UNMAPPED",IF($R2804=-1,"OUTSIDE FY RANGE","OK"))))</f>
        <v/>
      </c>
      <c r="U2804" s="40" t="str">
        <f aca="false">IF($A2804="","",$B2804&amp;"|"&amp;TEXT($A2804,"yyyymmdd")&amp;"|"&amp;TEXT($I2804,"0.00"))</f>
        <v/>
      </c>
      <c r="V2804" s="35" t="str">
        <f aca="false">IF($A2804="","",COUNTIF($U$8:$U$5007,$U2804))</f>
        <v/>
      </c>
    </row>
    <row r="2805" customFormat="false" ht="15" hidden="false" customHeight="false" outlineLevel="0" collapsed="false">
      <c r="A2805" s="31"/>
      <c r="B2805" s="32"/>
      <c r="C2805" s="32"/>
      <c r="D2805" s="32"/>
      <c r="E2805" s="32"/>
      <c r="F2805" s="32"/>
      <c r="G2805" s="33"/>
      <c r="H2805" s="33"/>
      <c r="I2805" s="34" t="str">
        <f aca="false">IF($A2805="","",$G2805-$H2805)</f>
        <v/>
      </c>
      <c r="J2805" s="35" t="str">
        <f aca="false">IF($A2805="","",IF(Setup!$B$6=1,YEAR($A2805),YEAR($A2805)+IF(MONTH($A2805)&gt;=Setup!$B$6,1,0)))</f>
        <v/>
      </c>
      <c r="K2805" s="35" t="str">
        <f aca="false">IF($A2805="","",MOD(MONTH($A2805)-Setup!$B$6+12,12)+1)</f>
        <v/>
      </c>
      <c r="L2805" s="36" t="str">
        <f aca="false">IF($A2805="","",TEXT($A2805,"MMM-YY"))</f>
        <v/>
      </c>
      <c r="M2805" s="37" t="str">
        <f aca="false">IF($A2805="","",IF($Q2805=0,"UNMAPPED",INDEX(COA_Mapping!$C$7:$C$256,$Q2805)))</f>
        <v/>
      </c>
      <c r="N2805" s="38" t="str">
        <f aca="false">IF($A2805="","",IF($Q2805=0,"",INDEX(COA_Mapping!$E$7:$E$256,$Q2805)))</f>
        <v/>
      </c>
      <c r="O2805" s="38" t="n">
        <f aca="false">IF($A2805="",1,IF($Q2805=0,1,INDEX(COA_Mapping!$F$7:$F$256,$Q2805)))</f>
        <v>1</v>
      </c>
      <c r="P2805" s="34" t="str">
        <f aca="false">IF($A2805="","",$I2805*$O2805)</f>
        <v/>
      </c>
      <c r="Q2805" s="39" t="n">
        <f aca="false">IF($B2805="",0,IFERROR(MATCH($B2805,COA_Mapping!$A$7:$A$256,0),0))</f>
        <v>0</v>
      </c>
      <c r="R2805" s="39" t="n">
        <f aca="false">IF($A2805="",-1,IF($J2805=Setup!$B$7,1,IF($J2805=Setup!$B$9,0,-1)))</f>
        <v>-1</v>
      </c>
      <c r="S2805" s="35" t="n">
        <f aca="false">IF(OR($A2805="",$Q2805=0,$R2805=-1),0,$Q2805*1000+$R2805*100+$K2805)</f>
        <v>0</v>
      </c>
      <c r="T2805" s="37" t="str">
        <f aca="false">IF($A2805="","",IF($B2805="","NO ACCOUNT",IF($Q2805=0,"UNMAPPED",IF($R2805=-1,"OUTSIDE FY RANGE","OK"))))</f>
        <v/>
      </c>
      <c r="U2805" s="40" t="str">
        <f aca="false">IF($A2805="","",$B2805&amp;"|"&amp;TEXT($A2805,"yyyymmdd")&amp;"|"&amp;TEXT($I2805,"0.00"))</f>
        <v/>
      </c>
      <c r="V2805" s="35" t="str">
        <f aca="false">IF($A2805="","",COUNTIF($U$8:$U$5007,$U2805))</f>
        <v/>
      </c>
    </row>
    <row r="2806" customFormat="false" ht="15" hidden="false" customHeight="false" outlineLevel="0" collapsed="false">
      <c r="A2806" s="31"/>
      <c r="B2806" s="32"/>
      <c r="C2806" s="32"/>
      <c r="D2806" s="32"/>
      <c r="E2806" s="32"/>
      <c r="F2806" s="32"/>
      <c r="G2806" s="33"/>
      <c r="H2806" s="33"/>
      <c r="I2806" s="34" t="str">
        <f aca="false">IF($A2806="","",$G2806-$H2806)</f>
        <v/>
      </c>
      <c r="J2806" s="35" t="str">
        <f aca="false">IF($A2806="","",IF(Setup!$B$6=1,YEAR($A2806),YEAR($A2806)+IF(MONTH($A2806)&gt;=Setup!$B$6,1,0)))</f>
        <v/>
      </c>
      <c r="K2806" s="35" t="str">
        <f aca="false">IF($A2806="","",MOD(MONTH($A2806)-Setup!$B$6+12,12)+1)</f>
        <v/>
      </c>
      <c r="L2806" s="36" t="str">
        <f aca="false">IF($A2806="","",TEXT($A2806,"MMM-YY"))</f>
        <v/>
      </c>
      <c r="M2806" s="37" t="str">
        <f aca="false">IF($A2806="","",IF($Q2806=0,"UNMAPPED",INDEX(COA_Mapping!$C$7:$C$256,$Q2806)))</f>
        <v/>
      </c>
      <c r="N2806" s="38" t="str">
        <f aca="false">IF($A2806="","",IF($Q2806=0,"",INDEX(COA_Mapping!$E$7:$E$256,$Q2806)))</f>
        <v/>
      </c>
      <c r="O2806" s="38" t="n">
        <f aca="false">IF($A2806="",1,IF($Q2806=0,1,INDEX(COA_Mapping!$F$7:$F$256,$Q2806)))</f>
        <v>1</v>
      </c>
      <c r="P2806" s="34" t="str">
        <f aca="false">IF($A2806="","",$I2806*$O2806)</f>
        <v/>
      </c>
      <c r="Q2806" s="39" t="n">
        <f aca="false">IF($B2806="",0,IFERROR(MATCH($B2806,COA_Mapping!$A$7:$A$256,0),0))</f>
        <v>0</v>
      </c>
      <c r="R2806" s="39" t="n">
        <f aca="false">IF($A2806="",-1,IF($J2806=Setup!$B$7,1,IF($J2806=Setup!$B$9,0,-1)))</f>
        <v>-1</v>
      </c>
      <c r="S2806" s="35" t="n">
        <f aca="false">IF(OR($A2806="",$Q2806=0,$R2806=-1),0,$Q2806*1000+$R2806*100+$K2806)</f>
        <v>0</v>
      </c>
      <c r="T2806" s="37" t="str">
        <f aca="false">IF($A2806="","",IF($B2806="","NO ACCOUNT",IF($Q2806=0,"UNMAPPED",IF($R2806=-1,"OUTSIDE FY RANGE","OK"))))</f>
        <v/>
      </c>
      <c r="U2806" s="40" t="str">
        <f aca="false">IF($A2806="","",$B2806&amp;"|"&amp;TEXT($A2806,"yyyymmdd")&amp;"|"&amp;TEXT($I2806,"0.00"))</f>
        <v/>
      </c>
      <c r="V2806" s="35" t="str">
        <f aca="false">IF($A2806="","",COUNTIF($U$8:$U$5007,$U2806))</f>
        <v/>
      </c>
    </row>
    <row r="2807" customFormat="false" ht="15" hidden="false" customHeight="false" outlineLevel="0" collapsed="false">
      <c r="A2807" s="31"/>
      <c r="B2807" s="32"/>
      <c r="C2807" s="32"/>
      <c r="D2807" s="32"/>
      <c r="E2807" s="32"/>
      <c r="F2807" s="32"/>
      <c r="G2807" s="33"/>
      <c r="H2807" s="33"/>
      <c r="I2807" s="34" t="str">
        <f aca="false">IF($A2807="","",$G2807-$H2807)</f>
        <v/>
      </c>
      <c r="J2807" s="35" t="str">
        <f aca="false">IF($A2807="","",IF(Setup!$B$6=1,YEAR($A2807),YEAR($A2807)+IF(MONTH($A2807)&gt;=Setup!$B$6,1,0)))</f>
        <v/>
      </c>
      <c r="K2807" s="35" t="str">
        <f aca="false">IF($A2807="","",MOD(MONTH($A2807)-Setup!$B$6+12,12)+1)</f>
        <v/>
      </c>
      <c r="L2807" s="36" t="str">
        <f aca="false">IF($A2807="","",TEXT($A2807,"MMM-YY"))</f>
        <v/>
      </c>
      <c r="M2807" s="37" t="str">
        <f aca="false">IF($A2807="","",IF($Q2807=0,"UNMAPPED",INDEX(COA_Mapping!$C$7:$C$256,$Q2807)))</f>
        <v/>
      </c>
      <c r="N2807" s="38" t="str">
        <f aca="false">IF($A2807="","",IF($Q2807=0,"",INDEX(COA_Mapping!$E$7:$E$256,$Q2807)))</f>
        <v/>
      </c>
      <c r="O2807" s="38" t="n">
        <f aca="false">IF($A2807="",1,IF($Q2807=0,1,INDEX(COA_Mapping!$F$7:$F$256,$Q2807)))</f>
        <v>1</v>
      </c>
      <c r="P2807" s="34" t="str">
        <f aca="false">IF($A2807="","",$I2807*$O2807)</f>
        <v/>
      </c>
      <c r="Q2807" s="39" t="n">
        <f aca="false">IF($B2807="",0,IFERROR(MATCH($B2807,COA_Mapping!$A$7:$A$256,0),0))</f>
        <v>0</v>
      </c>
      <c r="R2807" s="39" t="n">
        <f aca="false">IF($A2807="",-1,IF($J2807=Setup!$B$7,1,IF($J2807=Setup!$B$9,0,-1)))</f>
        <v>-1</v>
      </c>
      <c r="S2807" s="35" t="n">
        <f aca="false">IF(OR($A2807="",$Q2807=0,$R2807=-1),0,$Q2807*1000+$R2807*100+$K2807)</f>
        <v>0</v>
      </c>
      <c r="T2807" s="37" t="str">
        <f aca="false">IF($A2807="","",IF($B2807="","NO ACCOUNT",IF($Q2807=0,"UNMAPPED",IF($R2807=-1,"OUTSIDE FY RANGE","OK"))))</f>
        <v/>
      </c>
      <c r="U2807" s="40" t="str">
        <f aca="false">IF($A2807="","",$B2807&amp;"|"&amp;TEXT($A2807,"yyyymmdd")&amp;"|"&amp;TEXT($I2807,"0.00"))</f>
        <v/>
      </c>
      <c r="V2807" s="35" t="str">
        <f aca="false">IF($A2807="","",COUNTIF($U$8:$U$5007,$U2807))</f>
        <v/>
      </c>
    </row>
    <row r="2808" customFormat="false" ht="15" hidden="false" customHeight="false" outlineLevel="0" collapsed="false">
      <c r="A2808" s="31"/>
      <c r="B2808" s="32"/>
      <c r="C2808" s="32"/>
      <c r="D2808" s="32"/>
      <c r="E2808" s="32"/>
      <c r="F2808" s="32"/>
      <c r="G2808" s="33"/>
      <c r="H2808" s="33"/>
      <c r="I2808" s="34" t="str">
        <f aca="false">IF($A2808="","",$G2808-$H2808)</f>
        <v/>
      </c>
      <c r="J2808" s="35" t="str">
        <f aca="false">IF($A2808="","",IF(Setup!$B$6=1,YEAR($A2808),YEAR($A2808)+IF(MONTH($A2808)&gt;=Setup!$B$6,1,0)))</f>
        <v/>
      </c>
      <c r="K2808" s="35" t="str">
        <f aca="false">IF($A2808="","",MOD(MONTH($A2808)-Setup!$B$6+12,12)+1)</f>
        <v/>
      </c>
      <c r="L2808" s="36" t="str">
        <f aca="false">IF($A2808="","",TEXT($A2808,"MMM-YY"))</f>
        <v/>
      </c>
      <c r="M2808" s="37" t="str">
        <f aca="false">IF($A2808="","",IF($Q2808=0,"UNMAPPED",INDEX(COA_Mapping!$C$7:$C$256,$Q2808)))</f>
        <v/>
      </c>
      <c r="N2808" s="38" t="str">
        <f aca="false">IF($A2808="","",IF($Q2808=0,"",INDEX(COA_Mapping!$E$7:$E$256,$Q2808)))</f>
        <v/>
      </c>
      <c r="O2808" s="38" t="n">
        <f aca="false">IF($A2808="",1,IF($Q2808=0,1,INDEX(COA_Mapping!$F$7:$F$256,$Q2808)))</f>
        <v>1</v>
      </c>
      <c r="P2808" s="34" t="str">
        <f aca="false">IF($A2808="","",$I2808*$O2808)</f>
        <v/>
      </c>
      <c r="Q2808" s="39" t="n">
        <f aca="false">IF($B2808="",0,IFERROR(MATCH($B2808,COA_Mapping!$A$7:$A$256,0),0))</f>
        <v>0</v>
      </c>
      <c r="R2808" s="39" t="n">
        <f aca="false">IF($A2808="",-1,IF($J2808=Setup!$B$7,1,IF($J2808=Setup!$B$9,0,-1)))</f>
        <v>-1</v>
      </c>
      <c r="S2808" s="35" t="n">
        <f aca="false">IF(OR($A2808="",$Q2808=0,$R2808=-1),0,$Q2808*1000+$R2808*100+$K2808)</f>
        <v>0</v>
      </c>
      <c r="T2808" s="37" t="str">
        <f aca="false">IF($A2808="","",IF($B2808="","NO ACCOUNT",IF($Q2808=0,"UNMAPPED",IF($R2808=-1,"OUTSIDE FY RANGE","OK"))))</f>
        <v/>
      </c>
      <c r="U2808" s="40" t="str">
        <f aca="false">IF($A2808="","",$B2808&amp;"|"&amp;TEXT($A2808,"yyyymmdd")&amp;"|"&amp;TEXT($I2808,"0.00"))</f>
        <v/>
      </c>
      <c r="V2808" s="35" t="str">
        <f aca="false">IF($A2808="","",COUNTIF($U$8:$U$5007,$U2808))</f>
        <v/>
      </c>
    </row>
    <row r="2809" customFormat="false" ht="15" hidden="false" customHeight="false" outlineLevel="0" collapsed="false">
      <c r="A2809" s="31"/>
      <c r="B2809" s="32"/>
      <c r="C2809" s="32"/>
      <c r="D2809" s="32"/>
      <c r="E2809" s="32"/>
      <c r="F2809" s="32"/>
      <c r="G2809" s="33"/>
      <c r="H2809" s="33"/>
      <c r="I2809" s="34" t="str">
        <f aca="false">IF($A2809="","",$G2809-$H2809)</f>
        <v/>
      </c>
      <c r="J2809" s="35" t="str">
        <f aca="false">IF($A2809="","",IF(Setup!$B$6=1,YEAR($A2809),YEAR($A2809)+IF(MONTH($A2809)&gt;=Setup!$B$6,1,0)))</f>
        <v/>
      </c>
      <c r="K2809" s="35" t="str">
        <f aca="false">IF($A2809="","",MOD(MONTH($A2809)-Setup!$B$6+12,12)+1)</f>
        <v/>
      </c>
      <c r="L2809" s="36" t="str">
        <f aca="false">IF($A2809="","",TEXT($A2809,"MMM-YY"))</f>
        <v/>
      </c>
      <c r="M2809" s="37" t="str">
        <f aca="false">IF($A2809="","",IF($Q2809=0,"UNMAPPED",INDEX(COA_Mapping!$C$7:$C$256,$Q2809)))</f>
        <v/>
      </c>
      <c r="N2809" s="38" t="str">
        <f aca="false">IF($A2809="","",IF($Q2809=0,"",INDEX(COA_Mapping!$E$7:$E$256,$Q2809)))</f>
        <v/>
      </c>
      <c r="O2809" s="38" t="n">
        <f aca="false">IF($A2809="",1,IF($Q2809=0,1,INDEX(COA_Mapping!$F$7:$F$256,$Q2809)))</f>
        <v>1</v>
      </c>
      <c r="P2809" s="34" t="str">
        <f aca="false">IF($A2809="","",$I2809*$O2809)</f>
        <v/>
      </c>
      <c r="Q2809" s="39" t="n">
        <f aca="false">IF($B2809="",0,IFERROR(MATCH($B2809,COA_Mapping!$A$7:$A$256,0),0))</f>
        <v>0</v>
      </c>
      <c r="R2809" s="39" t="n">
        <f aca="false">IF($A2809="",-1,IF($J2809=Setup!$B$7,1,IF($J2809=Setup!$B$9,0,-1)))</f>
        <v>-1</v>
      </c>
      <c r="S2809" s="35" t="n">
        <f aca="false">IF(OR($A2809="",$Q2809=0,$R2809=-1),0,$Q2809*1000+$R2809*100+$K2809)</f>
        <v>0</v>
      </c>
      <c r="T2809" s="37" t="str">
        <f aca="false">IF($A2809="","",IF($B2809="","NO ACCOUNT",IF($Q2809=0,"UNMAPPED",IF($R2809=-1,"OUTSIDE FY RANGE","OK"))))</f>
        <v/>
      </c>
      <c r="U2809" s="40" t="str">
        <f aca="false">IF($A2809="","",$B2809&amp;"|"&amp;TEXT($A2809,"yyyymmdd")&amp;"|"&amp;TEXT($I2809,"0.00"))</f>
        <v/>
      </c>
      <c r="V2809" s="35" t="str">
        <f aca="false">IF($A2809="","",COUNTIF($U$8:$U$5007,$U2809))</f>
        <v/>
      </c>
    </row>
    <row r="2810" customFormat="false" ht="15" hidden="false" customHeight="false" outlineLevel="0" collapsed="false">
      <c r="A2810" s="31"/>
      <c r="B2810" s="32"/>
      <c r="C2810" s="32"/>
      <c r="D2810" s="32"/>
      <c r="E2810" s="32"/>
      <c r="F2810" s="32"/>
      <c r="G2810" s="33"/>
      <c r="H2810" s="33"/>
      <c r="I2810" s="34" t="str">
        <f aca="false">IF($A2810="","",$G2810-$H2810)</f>
        <v/>
      </c>
      <c r="J2810" s="35" t="str">
        <f aca="false">IF($A2810="","",IF(Setup!$B$6=1,YEAR($A2810),YEAR($A2810)+IF(MONTH($A2810)&gt;=Setup!$B$6,1,0)))</f>
        <v/>
      </c>
      <c r="K2810" s="35" t="str">
        <f aca="false">IF($A2810="","",MOD(MONTH($A2810)-Setup!$B$6+12,12)+1)</f>
        <v/>
      </c>
      <c r="L2810" s="36" t="str">
        <f aca="false">IF($A2810="","",TEXT($A2810,"MMM-YY"))</f>
        <v/>
      </c>
      <c r="M2810" s="37" t="str">
        <f aca="false">IF($A2810="","",IF($Q2810=0,"UNMAPPED",INDEX(COA_Mapping!$C$7:$C$256,$Q2810)))</f>
        <v/>
      </c>
      <c r="N2810" s="38" t="str">
        <f aca="false">IF($A2810="","",IF($Q2810=0,"",INDEX(COA_Mapping!$E$7:$E$256,$Q2810)))</f>
        <v/>
      </c>
      <c r="O2810" s="38" t="n">
        <f aca="false">IF($A2810="",1,IF($Q2810=0,1,INDEX(COA_Mapping!$F$7:$F$256,$Q2810)))</f>
        <v>1</v>
      </c>
      <c r="P2810" s="34" t="str">
        <f aca="false">IF($A2810="","",$I2810*$O2810)</f>
        <v/>
      </c>
      <c r="Q2810" s="39" t="n">
        <f aca="false">IF($B2810="",0,IFERROR(MATCH($B2810,COA_Mapping!$A$7:$A$256,0),0))</f>
        <v>0</v>
      </c>
      <c r="R2810" s="39" t="n">
        <f aca="false">IF($A2810="",-1,IF($J2810=Setup!$B$7,1,IF($J2810=Setup!$B$9,0,-1)))</f>
        <v>-1</v>
      </c>
      <c r="S2810" s="35" t="n">
        <f aca="false">IF(OR($A2810="",$Q2810=0,$R2810=-1),0,$Q2810*1000+$R2810*100+$K2810)</f>
        <v>0</v>
      </c>
      <c r="T2810" s="37" t="str">
        <f aca="false">IF($A2810="","",IF($B2810="","NO ACCOUNT",IF($Q2810=0,"UNMAPPED",IF($R2810=-1,"OUTSIDE FY RANGE","OK"))))</f>
        <v/>
      </c>
      <c r="U2810" s="40" t="str">
        <f aca="false">IF($A2810="","",$B2810&amp;"|"&amp;TEXT($A2810,"yyyymmdd")&amp;"|"&amp;TEXT($I2810,"0.00"))</f>
        <v/>
      </c>
      <c r="V2810" s="35" t="str">
        <f aca="false">IF($A2810="","",COUNTIF($U$8:$U$5007,$U2810))</f>
        <v/>
      </c>
    </row>
    <row r="2811" customFormat="false" ht="15" hidden="false" customHeight="false" outlineLevel="0" collapsed="false">
      <c r="A2811" s="31"/>
      <c r="B2811" s="32"/>
      <c r="C2811" s="32"/>
      <c r="D2811" s="32"/>
      <c r="E2811" s="32"/>
      <c r="F2811" s="32"/>
      <c r="G2811" s="33"/>
      <c r="H2811" s="33"/>
      <c r="I2811" s="34" t="str">
        <f aca="false">IF($A2811="","",$G2811-$H2811)</f>
        <v/>
      </c>
      <c r="J2811" s="35" t="str">
        <f aca="false">IF($A2811="","",IF(Setup!$B$6=1,YEAR($A2811),YEAR($A2811)+IF(MONTH($A2811)&gt;=Setup!$B$6,1,0)))</f>
        <v/>
      </c>
      <c r="K2811" s="35" t="str">
        <f aca="false">IF($A2811="","",MOD(MONTH($A2811)-Setup!$B$6+12,12)+1)</f>
        <v/>
      </c>
      <c r="L2811" s="36" t="str">
        <f aca="false">IF($A2811="","",TEXT($A2811,"MMM-YY"))</f>
        <v/>
      </c>
      <c r="M2811" s="37" t="str">
        <f aca="false">IF($A2811="","",IF($Q2811=0,"UNMAPPED",INDEX(COA_Mapping!$C$7:$C$256,$Q2811)))</f>
        <v/>
      </c>
      <c r="N2811" s="38" t="str">
        <f aca="false">IF($A2811="","",IF($Q2811=0,"",INDEX(COA_Mapping!$E$7:$E$256,$Q2811)))</f>
        <v/>
      </c>
      <c r="O2811" s="38" t="n">
        <f aca="false">IF($A2811="",1,IF($Q2811=0,1,INDEX(COA_Mapping!$F$7:$F$256,$Q2811)))</f>
        <v>1</v>
      </c>
      <c r="P2811" s="34" t="str">
        <f aca="false">IF($A2811="","",$I2811*$O2811)</f>
        <v/>
      </c>
      <c r="Q2811" s="39" t="n">
        <f aca="false">IF($B2811="",0,IFERROR(MATCH($B2811,COA_Mapping!$A$7:$A$256,0),0))</f>
        <v>0</v>
      </c>
      <c r="R2811" s="39" t="n">
        <f aca="false">IF($A2811="",-1,IF($J2811=Setup!$B$7,1,IF($J2811=Setup!$B$9,0,-1)))</f>
        <v>-1</v>
      </c>
      <c r="S2811" s="35" t="n">
        <f aca="false">IF(OR($A2811="",$Q2811=0,$R2811=-1),0,$Q2811*1000+$R2811*100+$K2811)</f>
        <v>0</v>
      </c>
      <c r="T2811" s="37" t="str">
        <f aca="false">IF($A2811="","",IF($B2811="","NO ACCOUNT",IF($Q2811=0,"UNMAPPED",IF($R2811=-1,"OUTSIDE FY RANGE","OK"))))</f>
        <v/>
      </c>
      <c r="U2811" s="40" t="str">
        <f aca="false">IF($A2811="","",$B2811&amp;"|"&amp;TEXT($A2811,"yyyymmdd")&amp;"|"&amp;TEXT($I2811,"0.00"))</f>
        <v/>
      </c>
      <c r="V2811" s="35" t="str">
        <f aca="false">IF($A2811="","",COUNTIF($U$8:$U$5007,$U2811))</f>
        <v/>
      </c>
    </row>
    <row r="2812" customFormat="false" ht="15" hidden="false" customHeight="false" outlineLevel="0" collapsed="false">
      <c r="A2812" s="31"/>
      <c r="B2812" s="32"/>
      <c r="C2812" s="32"/>
      <c r="D2812" s="32"/>
      <c r="E2812" s="32"/>
      <c r="F2812" s="32"/>
      <c r="G2812" s="33"/>
      <c r="H2812" s="33"/>
      <c r="I2812" s="34" t="str">
        <f aca="false">IF($A2812="","",$G2812-$H2812)</f>
        <v/>
      </c>
      <c r="J2812" s="35" t="str">
        <f aca="false">IF($A2812="","",IF(Setup!$B$6=1,YEAR($A2812),YEAR($A2812)+IF(MONTH($A2812)&gt;=Setup!$B$6,1,0)))</f>
        <v/>
      </c>
      <c r="K2812" s="35" t="str">
        <f aca="false">IF($A2812="","",MOD(MONTH($A2812)-Setup!$B$6+12,12)+1)</f>
        <v/>
      </c>
      <c r="L2812" s="36" t="str">
        <f aca="false">IF($A2812="","",TEXT($A2812,"MMM-YY"))</f>
        <v/>
      </c>
      <c r="M2812" s="37" t="str">
        <f aca="false">IF($A2812="","",IF($Q2812=0,"UNMAPPED",INDEX(COA_Mapping!$C$7:$C$256,$Q2812)))</f>
        <v/>
      </c>
      <c r="N2812" s="38" t="str">
        <f aca="false">IF($A2812="","",IF($Q2812=0,"",INDEX(COA_Mapping!$E$7:$E$256,$Q2812)))</f>
        <v/>
      </c>
      <c r="O2812" s="38" t="n">
        <f aca="false">IF($A2812="",1,IF($Q2812=0,1,INDEX(COA_Mapping!$F$7:$F$256,$Q2812)))</f>
        <v>1</v>
      </c>
      <c r="P2812" s="34" t="str">
        <f aca="false">IF($A2812="","",$I2812*$O2812)</f>
        <v/>
      </c>
      <c r="Q2812" s="39" t="n">
        <f aca="false">IF($B2812="",0,IFERROR(MATCH($B2812,COA_Mapping!$A$7:$A$256,0),0))</f>
        <v>0</v>
      </c>
      <c r="R2812" s="39" t="n">
        <f aca="false">IF($A2812="",-1,IF($J2812=Setup!$B$7,1,IF($J2812=Setup!$B$9,0,-1)))</f>
        <v>-1</v>
      </c>
      <c r="S2812" s="35" t="n">
        <f aca="false">IF(OR($A2812="",$Q2812=0,$R2812=-1),0,$Q2812*1000+$R2812*100+$K2812)</f>
        <v>0</v>
      </c>
      <c r="T2812" s="37" t="str">
        <f aca="false">IF($A2812="","",IF($B2812="","NO ACCOUNT",IF($Q2812=0,"UNMAPPED",IF($R2812=-1,"OUTSIDE FY RANGE","OK"))))</f>
        <v/>
      </c>
      <c r="U2812" s="40" t="str">
        <f aca="false">IF($A2812="","",$B2812&amp;"|"&amp;TEXT($A2812,"yyyymmdd")&amp;"|"&amp;TEXT($I2812,"0.00"))</f>
        <v/>
      </c>
      <c r="V2812" s="35" t="str">
        <f aca="false">IF($A2812="","",COUNTIF($U$8:$U$5007,$U2812))</f>
        <v/>
      </c>
    </row>
    <row r="2813" customFormat="false" ht="15" hidden="false" customHeight="false" outlineLevel="0" collapsed="false">
      <c r="A2813" s="31"/>
      <c r="B2813" s="32"/>
      <c r="C2813" s="32"/>
      <c r="D2813" s="32"/>
      <c r="E2813" s="32"/>
      <c r="F2813" s="32"/>
      <c r="G2813" s="33"/>
      <c r="H2813" s="33"/>
      <c r="I2813" s="34" t="str">
        <f aca="false">IF($A2813="","",$G2813-$H2813)</f>
        <v/>
      </c>
      <c r="J2813" s="35" t="str">
        <f aca="false">IF($A2813="","",IF(Setup!$B$6=1,YEAR($A2813),YEAR($A2813)+IF(MONTH($A2813)&gt;=Setup!$B$6,1,0)))</f>
        <v/>
      </c>
      <c r="K2813" s="35" t="str">
        <f aca="false">IF($A2813="","",MOD(MONTH($A2813)-Setup!$B$6+12,12)+1)</f>
        <v/>
      </c>
      <c r="L2813" s="36" t="str">
        <f aca="false">IF($A2813="","",TEXT($A2813,"MMM-YY"))</f>
        <v/>
      </c>
      <c r="M2813" s="37" t="str">
        <f aca="false">IF($A2813="","",IF($Q2813=0,"UNMAPPED",INDEX(COA_Mapping!$C$7:$C$256,$Q2813)))</f>
        <v/>
      </c>
      <c r="N2813" s="38" t="str">
        <f aca="false">IF($A2813="","",IF($Q2813=0,"",INDEX(COA_Mapping!$E$7:$E$256,$Q2813)))</f>
        <v/>
      </c>
      <c r="O2813" s="38" t="n">
        <f aca="false">IF($A2813="",1,IF($Q2813=0,1,INDEX(COA_Mapping!$F$7:$F$256,$Q2813)))</f>
        <v>1</v>
      </c>
      <c r="P2813" s="34" t="str">
        <f aca="false">IF($A2813="","",$I2813*$O2813)</f>
        <v/>
      </c>
      <c r="Q2813" s="39" t="n">
        <f aca="false">IF($B2813="",0,IFERROR(MATCH($B2813,COA_Mapping!$A$7:$A$256,0),0))</f>
        <v>0</v>
      </c>
      <c r="R2813" s="39" t="n">
        <f aca="false">IF($A2813="",-1,IF($J2813=Setup!$B$7,1,IF($J2813=Setup!$B$9,0,-1)))</f>
        <v>-1</v>
      </c>
      <c r="S2813" s="35" t="n">
        <f aca="false">IF(OR($A2813="",$Q2813=0,$R2813=-1),0,$Q2813*1000+$R2813*100+$K2813)</f>
        <v>0</v>
      </c>
      <c r="T2813" s="37" t="str">
        <f aca="false">IF($A2813="","",IF($B2813="","NO ACCOUNT",IF($Q2813=0,"UNMAPPED",IF($R2813=-1,"OUTSIDE FY RANGE","OK"))))</f>
        <v/>
      </c>
      <c r="U2813" s="40" t="str">
        <f aca="false">IF($A2813="","",$B2813&amp;"|"&amp;TEXT($A2813,"yyyymmdd")&amp;"|"&amp;TEXT($I2813,"0.00"))</f>
        <v/>
      </c>
      <c r="V2813" s="35" t="str">
        <f aca="false">IF($A2813="","",COUNTIF($U$8:$U$5007,$U2813))</f>
        <v/>
      </c>
    </row>
    <row r="2814" customFormat="false" ht="15" hidden="false" customHeight="false" outlineLevel="0" collapsed="false">
      <c r="A2814" s="31"/>
      <c r="B2814" s="32"/>
      <c r="C2814" s="32"/>
      <c r="D2814" s="32"/>
      <c r="E2814" s="32"/>
      <c r="F2814" s="32"/>
      <c r="G2814" s="33"/>
      <c r="H2814" s="33"/>
      <c r="I2814" s="34" t="str">
        <f aca="false">IF($A2814="","",$G2814-$H2814)</f>
        <v/>
      </c>
      <c r="J2814" s="35" t="str">
        <f aca="false">IF($A2814="","",IF(Setup!$B$6=1,YEAR($A2814),YEAR($A2814)+IF(MONTH($A2814)&gt;=Setup!$B$6,1,0)))</f>
        <v/>
      </c>
      <c r="K2814" s="35" t="str">
        <f aca="false">IF($A2814="","",MOD(MONTH($A2814)-Setup!$B$6+12,12)+1)</f>
        <v/>
      </c>
      <c r="L2814" s="36" t="str">
        <f aca="false">IF($A2814="","",TEXT($A2814,"MMM-YY"))</f>
        <v/>
      </c>
      <c r="M2814" s="37" t="str">
        <f aca="false">IF($A2814="","",IF($Q2814=0,"UNMAPPED",INDEX(COA_Mapping!$C$7:$C$256,$Q2814)))</f>
        <v/>
      </c>
      <c r="N2814" s="38" t="str">
        <f aca="false">IF($A2814="","",IF($Q2814=0,"",INDEX(COA_Mapping!$E$7:$E$256,$Q2814)))</f>
        <v/>
      </c>
      <c r="O2814" s="38" t="n">
        <f aca="false">IF($A2814="",1,IF($Q2814=0,1,INDEX(COA_Mapping!$F$7:$F$256,$Q2814)))</f>
        <v>1</v>
      </c>
      <c r="P2814" s="34" t="str">
        <f aca="false">IF($A2814="","",$I2814*$O2814)</f>
        <v/>
      </c>
      <c r="Q2814" s="39" t="n">
        <f aca="false">IF($B2814="",0,IFERROR(MATCH($B2814,COA_Mapping!$A$7:$A$256,0),0))</f>
        <v>0</v>
      </c>
      <c r="R2814" s="39" t="n">
        <f aca="false">IF($A2814="",-1,IF($J2814=Setup!$B$7,1,IF($J2814=Setup!$B$9,0,-1)))</f>
        <v>-1</v>
      </c>
      <c r="S2814" s="35" t="n">
        <f aca="false">IF(OR($A2814="",$Q2814=0,$R2814=-1),0,$Q2814*1000+$R2814*100+$K2814)</f>
        <v>0</v>
      </c>
      <c r="T2814" s="37" t="str">
        <f aca="false">IF($A2814="","",IF($B2814="","NO ACCOUNT",IF($Q2814=0,"UNMAPPED",IF($R2814=-1,"OUTSIDE FY RANGE","OK"))))</f>
        <v/>
      </c>
      <c r="U2814" s="40" t="str">
        <f aca="false">IF($A2814="","",$B2814&amp;"|"&amp;TEXT($A2814,"yyyymmdd")&amp;"|"&amp;TEXT($I2814,"0.00"))</f>
        <v/>
      </c>
      <c r="V2814" s="35" t="str">
        <f aca="false">IF($A2814="","",COUNTIF($U$8:$U$5007,$U2814))</f>
        <v/>
      </c>
    </row>
    <row r="2815" customFormat="false" ht="15" hidden="false" customHeight="false" outlineLevel="0" collapsed="false">
      <c r="A2815" s="31"/>
      <c r="B2815" s="32"/>
      <c r="C2815" s="32"/>
      <c r="D2815" s="32"/>
      <c r="E2815" s="32"/>
      <c r="F2815" s="32"/>
      <c r="G2815" s="33"/>
      <c r="H2815" s="33"/>
      <c r="I2815" s="34" t="str">
        <f aca="false">IF($A2815="","",$G2815-$H2815)</f>
        <v/>
      </c>
      <c r="J2815" s="35" t="str">
        <f aca="false">IF($A2815="","",IF(Setup!$B$6=1,YEAR($A2815),YEAR($A2815)+IF(MONTH($A2815)&gt;=Setup!$B$6,1,0)))</f>
        <v/>
      </c>
      <c r="K2815" s="35" t="str">
        <f aca="false">IF($A2815="","",MOD(MONTH($A2815)-Setup!$B$6+12,12)+1)</f>
        <v/>
      </c>
      <c r="L2815" s="36" t="str">
        <f aca="false">IF($A2815="","",TEXT($A2815,"MMM-YY"))</f>
        <v/>
      </c>
      <c r="M2815" s="37" t="str">
        <f aca="false">IF($A2815="","",IF($Q2815=0,"UNMAPPED",INDEX(COA_Mapping!$C$7:$C$256,$Q2815)))</f>
        <v/>
      </c>
      <c r="N2815" s="38" t="str">
        <f aca="false">IF($A2815="","",IF($Q2815=0,"",INDEX(COA_Mapping!$E$7:$E$256,$Q2815)))</f>
        <v/>
      </c>
      <c r="O2815" s="38" t="n">
        <f aca="false">IF($A2815="",1,IF($Q2815=0,1,INDEX(COA_Mapping!$F$7:$F$256,$Q2815)))</f>
        <v>1</v>
      </c>
      <c r="P2815" s="34" t="str">
        <f aca="false">IF($A2815="","",$I2815*$O2815)</f>
        <v/>
      </c>
      <c r="Q2815" s="39" t="n">
        <f aca="false">IF($B2815="",0,IFERROR(MATCH($B2815,COA_Mapping!$A$7:$A$256,0),0))</f>
        <v>0</v>
      </c>
      <c r="R2815" s="39" t="n">
        <f aca="false">IF($A2815="",-1,IF($J2815=Setup!$B$7,1,IF($J2815=Setup!$B$9,0,-1)))</f>
        <v>-1</v>
      </c>
      <c r="S2815" s="35" t="n">
        <f aca="false">IF(OR($A2815="",$Q2815=0,$R2815=-1),0,$Q2815*1000+$R2815*100+$K2815)</f>
        <v>0</v>
      </c>
      <c r="T2815" s="37" t="str">
        <f aca="false">IF($A2815="","",IF($B2815="","NO ACCOUNT",IF($Q2815=0,"UNMAPPED",IF($R2815=-1,"OUTSIDE FY RANGE","OK"))))</f>
        <v/>
      </c>
      <c r="U2815" s="40" t="str">
        <f aca="false">IF($A2815="","",$B2815&amp;"|"&amp;TEXT($A2815,"yyyymmdd")&amp;"|"&amp;TEXT($I2815,"0.00"))</f>
        <v/>
      </c>
      <c r="V2815" s="35" t="str">
        <f aca="false">IF($A2815="","",COUNTIF($U$8:$U$5007,$U2815))</f>
        <v/>
      </c>
    </row>
    <row r="2816" customFormat="false" ht="15" hidden="false" customHeight="false" outlineLevel="0" collapsed="false">
      <c r="A2816" s="31"/>
      <c r="B2816" s="32"/>
      <c r="C2816" s="32"/>
      <c r="D2816" s="32"/>
      <c r="E2816" s="32"/>
      <c r="F2816" s="32"/>
      <c r="G2816" s="33"/>
      <c r="H2816" s="33"/>
      <c r="I2816" s="34" t="str">
        <f aca="false">IF($A2816="","",$G2816-$H2816)</f>
        <v/>
      </c>
      <c r="J2816" s="35" t="str">
        <f aca="false">IF($A2816="","",IF(Setup!$B$6=1,YEAR($A2816),YEAR($A2816)+IF(MONTH($A2816)&gt;=Setup!$B$6,1,0)))</f>
        <v/>
      </c>
      <c r="K2816" s="35" t="str">
        <f aca="false">IF($A2816="","",MOD(MONTH($A2816)-Setup!$B$6+12,12)+1)</f>
        <v/>
      </c>
      <c r="L2816" s="36" t="str">
        <f aca="false">IF($A2816="","",TEXT($A2816,"MMM-YY"))</f>
        <v/>
      </c>
      <c r="M2816" s="37" t="str">
        <f aca="false">IF($A2816="","",IF($Q2816=0,"UNMAPPED",INDEX(COA_Mapping!$C$7:$C$256,$Q2816)))</f>
        <v/>
      </c>
      <c r="N2816" s="38" t="str">
        <f aca="false">IF($A2816="","",IF($Q2816=0,"",INDEX(COA_Mapping!$E$7:$E$256,$Q2816)))</f>
        <v/>
      </c>
      <c r="O2816" s="38" t="n">
        <f aca="false">IF($A2816="",1,IF($Q2816=0,1,INDEX(COA_Mapping!$F$7:$F$256,$Q2816)))</f>
        <v>1</v>
      </c>
      <c r="P2816" s="34" t="str">
        <f aca="false">IF($A2816="","",$I2816*$O2816)</f>
        <v/>
      </c>
      <c r="Q2816" s="39" t="n">
        <f aca="false">IF($B2816="",0,IFERROR(MATCH($B2816,COA_Mapping!$A$7:$A$256,0),0))</f>
        <v>0</v>
      </c>
      <c r="R2816" s="39" t="n">
        <f aca="false">IF($A2816="",-1,IF($J2816=Setup!$B$7,1,IF($J2816=Setup!$B$9,0,-1)))</f>
        <v>-1</v>
      </c>
      <c r="S2816" s="35" t="n">
        <f aca="false">IF(OR($A2816="",$Q2816=0,$R2816=-1),0,$Q2816*1000+$R2816*100+$K2816)</f>
        <v>0</v>
      </c>
      <c r="T2816" s="37" t="str">
        <f aca="false">IF($A2816="","",IF($B2816="","NO ACCOUNT",IF($Q2816=0,"UNMAPPED",IF($R2816=-1,"OUTSIDE FY RANGE","OK"))))</f>
        <v/>
      </c>
      <c r="U2816" s="40" t="str">
        <f aca="false">IF($A2816="","",$B2816&amp;"|"&amp;TEXT($A2816,"yyyymmdd")&amp;"|"&amp;TEXT($I2816,"0.00"))</f>
        <v/>
      </c>
      <c r="V2816" s="35" t="str">
        <f aca="false">IF($A2816="","",COUNTIF($U$8:$U$5007,$U2816))</f>
        <v/>
      </c>
    </row>
    <row r="2817" customFormat="false" ht="15" hidden="false" customHeight="false" outlineLevel="0" collapsed="false">
      <c r="A2817" s="31"/>
      <c r="B2817" s="32"/>
      <c r="C2817" s="32"/>
      <c r="D2817" s="32"/>
      <c r="E2817" s="32"/>
      <c r="F2817" s="32"/>
      <c r="G2817" s="33"/>
      <c r="H2817" s="33"/>
      <c r="I2817" s="34" t="str">
        <f aca="false">IF($A2817="","",$G2817-$H2817)</f>
        <v/>
      </c>
      <c r="J2817" s="35" t="str">
        <f aca="false">IF($A2817="","",IF(Setup!$B$6=1,YEAR($A2817),YEAR($A2817)+IF(MONTH($A2817)&gt;=Setup!$B$6,1,0)))</f>
        <v/>
      </c>
      <c r="K2817" s="35" t="str">
        <f aca="false">IF($A2817="","",MOD(MONTH($A2817)-Setup!$B$6+12,12)+1)</f>
        <v/>
      </c>
      <c r="L2817" s="36" t="str">
        <f aca="false">IF($A2817="","",TEXT($A2817,"MMM-YY"))</f>
        <v/>
      </c>
      <c r="M2817" s="37" t="str">
        <f aca="false">IF($A2817="","",IF($Q2817=0,"UNMAPPED",INDEX(COA_Mapping!$C$7:$C$256,$Q2817)))</f>
        <v/>
      </c>
      <c r="N2817" s="38" t="str">
        <f aca="false">IF($A2817="","",IF($Q2817=0,"",INDEX(COA_Mapping!$E$7:$E$256,$Q2817)))</f>
        <v/>
      </c>
      <c r="O2817" s="38" t="n">
        <f aca="false">IF($A2817="",1,IF($Q2817=0,1,INDEX(COA_Mapping!$F$7:$F$256,$Q2817)))</f>
        <v>1</v>
      </c>
      <c r="P2817" s="34" t="str">
        <f aca="false">IF($A2817="","",$I2817*$O2817)</f>
        <v/>
      </c>
      <c r="Q2817" s="39" t="n">
        <f aca="false">IF($B2817="",0,IFERROR(MATCH($B2817,COA_Mapping!$A$7:$A$256,0),0))</f>
        <v>0</v>
      </c>
      <c r="R2817" s="39" t="n">
        <f aca="false">IF($A2817="",-1,IF($J2817=Setup!$B$7,1,IF($J2817=Setup!$B$9,0,-1)))</f>
        <v>-1</v>
      </c>
      <c r="S2817" s="35" t="n">
        <f aca="false">IF(OR($A2817="",$Q2817=0,$R2817=-1),0,$Q2817*1000+$R2817*100+$K2817)</f>
        <v>0</v>
      </c>
      <c r="T2817" s="37" t="str">
        <f aca="false">IF($A2817="","",IF($B2817="","NO ACCOUNT",IF($Q2817=0,"UNMAPPED",IF($R2817=-1,"OUTSIDE FY RANGE","OK"))))</f>
        <v/>
      </c>
      <c r="U2817" s="40" t="str">
        <f aca="false">IF($A2817="","",$B2817&amp;"|"&amp;TEXT($A2817,"yyyymmdd")&amp;"|"&amp;TEXT($I2817,"0.00"))</f>
        <v/>
      </c>
      <c r="V2817" s="35" t="str">
        <f aca="false">IF($A2817="","",COUNTIF($U$8:$U$5007,$U2817))</f>
        <v/>
      </c>
    </row>
    <row r="2818" customFormat="false" ht="15" hidden="false" customHeight="false" outlineLevel="0" collapsed="false">
      <c r="A2818" s="31"/>
      <c r="B2818" s="32"/>
      <c r="C2818" s="32"/>
      <c r="D2818" s="32"/>
      <c r="E2818" s="32"/>
      <c r="F2818" s="32"/>
      <c r="G2818" s="33"/>
      <c r="H2818" s="33"/>
      <c r="I2818" s="34" t="str">
        <f aca="false">IF($A2818="","",$G2818-$H2818)</f>
        <v/>
      </c>
      <c r="J2818" s="35" t="str">
        <f aca="false">IF($A2818="","",IF(Setup!$B$6=1,YEAR($A2818),YEAR($A2818)+IF(MONTH($A2818)&gt;=Setup!$B$6,1,0)))</f>
        <v/>
      </c>
      <c r="K2818" s="35" t="str">
        <f aca="false">IF($A2818="","",MOD(MONTH($A2818)-Setup!$B$6+12,12)+1)</f>
        <v/>
      </c>
      <c r="L2818" s="36" t="str">
        <f aca="false">IF($A2818="","",TEXT($A2818,"MMM-YY"))</f>
        <v/>
      </c>
      <c r="M2818" s="37" t="str">
        <f aca="false">IF($A2818="","",IF($Q2818=0,"UNMAPPED",INDEX(COA_Mapping!$C$7:$C$256,$Q2818)))</f>
        <v/>
      </c>
      <c r="N2818" s="38" t="str">
        <f aca="false">IF($A2818="","",IF($Q2818=0,"",INDEX(COA_Mapping!$E$7:$E$256,$Q2818)))</f>
        <v/>
      </c>
      <c r="O2818" s="38" t="n">
        <f aca="false">IF($A2818="",1,IF($Q2818=0,1,INDEX(COA_Mapping!$F$7:$F$256,$Q2818)))</f>
        <v>1</v>
      </c>
      <c r="P2818" s="34" t="str">
        <f aca="false">IF($A2818="","",$I2818*$O2818)</f>
        <v/>
      </c>
      <c r="Q2818" s="39" t="n">
        <f aca="false">IF($B2818="",0,IFERROR(MATCH($B2818,COA_Mapping!$A$7:$A$256,0),0))</f>
        <v>0</v>
      </c>
      <c r="R2818" s="39" t="n">
        <f aca="false">IF($A2818="",-1,IF($J2818=Setup!$B$7,1,IF($J2818=Setup!$B$9,0,-1)))</f>
        <v>-1</v>
      </c>
      <c r="S2818" s="35" t="n">
        <f aca="false">IF(OR($A2818="",$Q2818=0,$R2818=-1),0,$Q2818*1000+$R2818*100+$K2818)</f>
        <v>0</v>
      </c>
      <c r="T2818" s="37" t="str">
        <f aca="false">IF($A2818="","",IF($B2818="","NO ACCOUNT",IF($Q2818=0,"UNMAPPED",IF($R2818=-1,"OUTSIDE FY RANGE","OK"))))</f>
        <v/>
      </c>
      <c r="U2818" s="40" t="str">
        <f aca="false">IF($A2818="","",$B2818&amp;"|"&amp;TEXT($A2818,"yyyymmdd")&amp;"|"&amp;TEXT($I2818,"0.00"))</f>
        <v/>
      </c>
      <c r="V2818" s="35" t="str">
        <f aca="false">IF($A2818="","",COUNTIF($U$8:$U$5007,$U2818))</f>
        <v/>
      </c>
    </row>
    <row r="2819" customFormat="false" ht="15" hidden="false" customHeight="false" outlineLevel="0" collapsed="false">
      <c r="A2819" s="31"/>
      <c r="B2819" s="32"/>
      <c r="C2819" s="32"/>
      <c r="D2819" s="32"/>
      <c r="E2819" s="32"/>
      <c r="F2819" s="32"/>
      <c r="G2819" s="33"/>
      <c r="H2819" s="33"/>
      <c r="I2819" s="34" t="str">
        <f aca="false">IF($A2819="","",$G2819-$H2819)</f>
        <v/>
      </c>
      <c r="J2819" s="35" t="str">
        <f aca="false">IF($A2819="","",IF(Setup!$B$6=1,YEAR($A2819),YEAR($A2819)+IF(MONTH($A2819)&gt;=Setup!$B$6,1,0)))</f>
        <v/>
      </c>
      <c r="K2819" s="35" t="str">
        <f aca="false">IF($A2819="","",MOD(MONTH($A2819)-Setup!$B$6+12,12)+1)</f>
        <v/>
      </c>
      <c r="L2819" s="36" t="str">
        <f aca="false">IF($A2819="","",TEXT($A2819,"MMM-YY"))</f>
        <v/>
      </c>
      <c r="M2819" s="37" t="str">
        <f aca="false">IF($A2819="","",IF($Q2819=0,"UNMAPPED",INDEX(COA_Mapping!$C$7:$C$256,$Q2819)))</f>
        <v/>
      </c>
      <c r="N2819" s="38" t="str">
        <f aca="false">IF($A2819="","",IF($Q2819=0,"",INDEX(COA_Mapping!$E$7:$E$256,$Q2819)))</f>
        <v/>
      </c>
      <c r="O2819" s="38" t="n">
        <f aca="false">IF($A2819="",1,IF($Q2819=0,1,INDEX(COA_Mapping!$F$7:$F$256,$Q2819)))</f>
        <v>1</v>
      </c>
      <c r="P2819" s="34" t="str">
        <f aca="false">IF($A2819="","",$I2819*$O2819)</f>
        <v/>
      </c>
      <c r="Q2819" s="39" t="n">
        <f aca="false">IF($B2819="",0,IFERROR(MATCH($B2819,COA_Mapping!$A$7:$A$256,0),0))</f>
        <v>0</v>
      </c>
      <c r="R2819" s="39" t="n">
        <f aca="false">IF($A2819="",-1,IF($J2819=Setup!$B$7,1,IF($J2819=Setup!$B$9,0,-1)))</f>
        <v>-1</v>
      </c>
      <c r="S2819" s="35" t="n">
        <f aca="false">IF(OR($A2819="",$Q2819=0,$R2819=-1),0,$Q2819*1000+$R2819*100+$K2819)</f>
        <v>0</v>
      </c>
      <c r="T2819" s="37" t="str">
        <f aca="false">IF($A2819="","",IF($B2819="","NO ACCOUNT",IF($Q2819=0,"UNMAPPED",IF($R2819=-1,"OUTSIDE FY RANGE","OK"))))</f>
        <v/>
      </c>
      <c r="U2819" s="40" t="str">
        <f aca="false">IF($A2819="","",$B2819&amp;"|"&amp;TEXT($A2819,"yyyymmdd")&amp;"|"&amp;TEXT($I2819,"0.00"))</f>
        <v/>
      </c>
      <c r="V2819" s="35" t="str">
        <f aca="false">IF($A2819="","",COUNTIF($U$8:$U$5007,$U2819))</f>
        <v/>
      </c>
    </row>
    <row r="2820" customFormat="false" ht="15" hidden="false" customHeight="false" outlineLevel="0" collapsed="false">
      <c r="A2820" s="31"/>
      <c r="B2820" s="32"/>
      <c r="C2820" s="32"/>
      <c r="D2820" s="32"/>
      <c r="E2820" s="32"/>
      <c r="F2820" s="32"/>
      <c r="G2820" s="33"/>
      <c r="H2820" s="33"/>
      <c r="I2820" s="34" t="str">
        <f aca="false">IF($A2820="","",$G2820-$H2820)</f>
        <v/>
      </c>
      <c r="J2820" s="35" t="str">
        <f aca="false">IF($A2820="","",IF(Setup!$B$6=1,YEAR($A2820),YEAR($A2820)+IF(MONTH($A2820)&gt;=Setup!$B$6,1,0)))</f>
        <v/>
      </c>
      <c r="K2820" s="35" t="str">
        <f aca="false">IF($A2820="","",MOD(MONTH($A2820)-Setup!$B$6+12,12)+1)</f>
        <v/>
      </c>
      <c r="L2820" s="36" t="str">
        <f aca="false">IF($A2820="","",TEXT($A2820,"MMM-YY"))</f>
        <v/>
      </c>
      <c r="M2820" s="37" t="str">
        <f aca="false">IF($A2820="","",IF($Q2820=0,"UNMAPPED",INDEX(COA_Mapping!$C$7:$C$256,$Q2820)))</f>
        <v/>
      </c>
      <c r="N2820" s="38" t="str">
        <f aca="false">IF($A2820="","",IF($Q2820=0,"",INDEX(COA_Mapping!$E$7:$E$256,$Q2820)))</f>
        <v/>
      </c>
      <c r="O2820" s="38" t="n">
        <f aca="false">IF($A2820="",1,IF($Q2820=0,1,INDEX(COA_Mapping!$F$7:$F$256,$Q2820)))</f>
        <v>1</v>
      </c>
      <c r="P2820" s="34" t="str">
        <f aca="false">IF($A2820="","",$I2820*$O2820)</f>
        <v/>
      </c>
      <c r="Q2820" s="39" t="n">
        <f aca="false">IF($B2820="",0,IFERROR(MATCH($B2820,COA_Mapping!$A$7:$A$256,0),0))</f>
        <v>0</v>
      </c>
      <c r="R2820" s="39" t="n">
        <f aca="false">IF($A2820="",-1,IF($J2820=Setup!$B$7,1,IF($J2820=Setup!$B$9,0,-1)))</f>
        <v>-1</v>
      </c>
      <c r="S2820" s="35" t="n">
        <f aca="false">IF(OR($A2820="",$Q2820=0,$R2820=-1),0,$Q2820*1000+$R2820*100+$K2820)</f>
        <v>0</v>
      </c>
      <c r="T2820" s="37" t="str">
        <f aca="false">IF($A2820="","",IF($B2820="","NO ACCOUNT",IF($Q2820=0,"UNMAPPED",IF($R2820=-1,"OUTSIDE FY RANGE","OK"))))</f>
        <v/>
      </c>
      <c r="U2820" s="40" t="str">
        <f aca="false">IF($A2820="","",$B2820&amp;"|"&amp;TEXT($A2820,"yyyymmdd")&amp;"|"&amp;TEXT($I2820,"0.00"))</f>
        <v/>
      </c>
      <c r="V2820" s="35" t="str">
        <f aca="false">IF($A2820="","",COUNTIF($U$8:$U$5007,$U2820))</f>
        <v/>
      </c>
    </row>
    <row r="2821" customFormat="false" ht="15" hidden="false" customHeight="false" outlineLevel="0" collapsed="false">
      <c r="A2821" s="31"/>
      <c r="B2821" s="32"/>
      <c r="C2821" s="32"/>
      <c r="D2821" s="32"/>
      <c r="E2821" s="32"/>
      <c r="F2821" s="32"/>
      <c r="G2821" s="33"/>
      <c r="H2821" s="33"/>
      <c r="I2821" s="34" t="str">
        <f aca="false">IF($A2821="","",$G2821-$H2821)</f>
        <v/>
      </c>
      <c r="J2821" s="35" t="str">
        <f aca="false">IF($A2821="","",IF(Setup!$B$6=1,YEAR($A2821),YEAR($A2821)+IF(MONTH($A2821)&gt;=Setup!$B$6,1,0)))</f>
        <v/>
      </c>
      <c r="K2821" s="35" t="str">
        <f aca="false">IF($A2821="","",MOD(MONTH($A2821)-Setup!$B$6+12,12)+1)</f>
        <v/>
      </c>
      <c r="L2821" s="36" t="str">
        <f aca="false">IF($A2821="","",TEXT($A2821,"MMM-YY"))</f>
        <v/>
      </c>
      <c r="M2821" s="37" t="str">
        <f aca="false">IF($A2821="","",IF($Q2821=0,"UNMAPPED",INDEX(COA_Mapping!$C$7:$C$256,$Q2821)))</f>
        <v/>
      </c>
      <c r="N2821" s="38" t="str">
        <f aca="false">IF($A2821="","",IF($Q2821=0,"",INDEX(COA_Mapping!$E$7:$E$256,$Q2821)))</f>
        <v/>
      </c>
      <c r="O2821" s="38" t="n">
        <f aca="false">IF($A2821="",1,IF($Q2821=0,1,INDEX(COA_Mapping!$F$7:$F$256,$Q2821)))</f>
        <v>1</v>
      </c>
      <c r="P2821" s="34" t="str">
        <f aca="false">IF($A2821="","",$I2821*$O2821)</f>
        <v/>
      </c>
      <c r="Q2821" s="39" t="n">
        <f aca="false">IF($B2821="",0,IFERROR(MATCH($B2821,COA_Mapping!$A$7:$A$256,0),0))</f>
        <v>0</v>
      </c>
      <c r="R2821" s="39" t="n">
        <f aca="false">IF($A2821="",-1,IF($J2821=Setup!$B$7,1,IF($J2821=Setup!$B$9,0,-1)))</f>
        <v>-1</v>
      </c>
      <c r="S2821" s="35" t="n">
        <f aca="false">IF(OR($A2821="",$Q2821=0,$R2821=-1),0,$Q2821*1000+$R2821*100+$K2821)</f>
        <v>0</v>
      </c>
      <c r="T2821" s="37" t="str">
        <f aca="false">IF($A2821="","",IF($B2821="","NO ACCOUNT",IF($Q2821=0,"UNMAPPED",IF($R2821=-1,"OUTSIDE FY RANGE","OK"))))</f>
        <v/>
      </c>
      <c r="U2821" s="40" t="str">
        <f aca="false">IF($A2821="","",$B2821&amp;"|"&amp;TEXT($A2821,"yyyymmdd")&amp;"|"&amp;TEXT($I2821,"0.00"))</f>
        <v/>
      </c>
      <c r="V2821" s="35" t="str">
        <f aca="false">IF($A2821="","",COUNTIF($U$8:$U$5007,$U2821))</f>
        <v/>
      </c>
    </row>
    <row r="2822" customFormat="false" ht="15" hidden="false" customHeight="false" outlineLevel="0" collapsed="false">
      <c r="A2822" s="31"/>
      <c r="B2822" s="32"/>
      <c r="C2822" s="32"/>
      <c r="D2822" s="32"/>
      <c r="E2822" s="32"/>
      <c r="F2822" s="32"/>
      <c r="G2822" s="33"/>
      <c r="H2822" s="33"/>
      <c r="I2822" s="34" t="str">
        <f aca="false">IF($A2822="","",$G2822-$H2822)</f>
        <v/>
      </c>
      <c r="J2822" s="35" t="str">
        <f aca="false">IF($A2822="","",IF(Setup!$B$6=1,YEAR($A2822),YEAR($A2822)+IF(MONTH($A2822)&gt;=Setup!$B$6,1,0)))</f>
        <v/>
      </c>
      <c r="K2822" s="35" t="str">
        <f aca="false">IF($A2822="","",MOD(MONTH($A2822)-Setup!$B$6+12,12)+1)</f>
        <v/>
      </c>
      <c r="L2822" s="36" t="str">
        <f aca="false">IF($A2822="","",TEXT($A2822,"MMM-YY"))</f>
        <v/>
      </c>
      <c r="M2822" s="37" t="str">
        <f aca="false">IF($A2822="","",IF($Q2822=0,"UNMAPPED",INDEX(COA_Mapping!$C$7:$C$256,$Q2822)))</f>
        <v/>
      </c>
      <c r="N2822" s="38" t="str">
        <f aca="false">IF($A2822="","",IF($Q2822=0,"",INDEX(COA_Mapping!$E$7:$E$256,$Q2822)))</f>
        <v/>
      </c>
      <c r="O2822" s="38" t="n">
        <f aca="false">IF($A2822="",1,IF($Q2822=0,1,INDEX(COA_Mapping!$F$7:$F$256,$Q2822)))</f>
        <v>1</v>
      </c>
      <c r="P2822" s="34" t="str">
        <f aca="false">IF($A2822="","",$I2822*$O2822)</f>
        <v/>
      </c>
      <c r="Q2822" s="39" t="n">
        <f aca="false">IF($B2822="",0,IFERROR(MATCH($B2822,COA_Mapping!$A$7:$A$256,0),0))</f>
        <v>0</v>
      </c>
      <c r="R2822" s="39" t="n">
        <f aca="false">IF($A2822="",-1,IF($J2822=Setup!$B$7,1,IF($J2822=Setup!$B$9,0,-1)))</f>
        <v>-1</v>
      </c>
      <c r="S2822" s="35" t="n">
        <f aca="false">IF(OR($A2822="",$Q2822=0,$R2822=-1),0,$Q2822*1000+$R2822*100+$K2822)</f>
        <v>0</v>
      </c>
      <c r="T2822" s="37" t="str">
        <f aca="false">IF($A2822="","",IF($B2822="","NO ACCOUNT",IF($Q2822=0,"UNMAPPED",IF($R2822=-1,"OUTSIDE FY RANGE","OK"))))</f>
        <v/>
      </c>
      <c r="U2822" s="40" t="str">
        <f aca="false">IF($A2822="","",$B2822&amp;"|"&amp;TEXT($A2822,"yyyymmdd")&amp;"|"&amp;TEXT($I2822,"0.00"))</f>
        <v/>
      </c>
      <c r="V2822" s="35" t="str">
        <f aca="false">IF($A2822="","",COUNTIF($U$8:$U$5007,$U2822))</f>
        <v/>
      </c>
    </row>
    <row r="2823" customFormat="false" ht="15" hidden="false" customHeight="false" outlineLevel="0" collapsed="false">
      <c r="A2823" s="31"/>
      <c r="B2823" s="32"/>
      <c r="C2823" s="32"/>
      <c r="D2823" s="32"/>
      <c r="E2823" s="32"/>
      <c r="F2823" s="32"/>
      <c r="G2823" s="33"/>
      <c r="H2823" s="33"/>
      <c r="I2823" s="34" t="str">
        <f aca="false">IF($A2823="","",$G2823-$H2823)</f>
        <v/>
      </c>
      <c r="J2823" s="35" t="str">
        <f aca="false">IF($A2823="","",IF(Setup!$B$6=1,YEAR($A2823),YEAR($A2823)+IF(MONTH($A2823)&gt;=Setup!$B$6,1,0)))</f>
        <v/>
      </c>
      <c r="K2823" s="35" t="str">
        <f aca="false">IF($A2823="","",MOD(MONTH($A2823)-Setup!$B$6+12,12)+1)</f>
        <v/>
      </c>
      <c r="L2823" s="36" t="str">
        <f aca="false">IF($A2823="","",TEXT($A2823,"MMM-YY"))</f>
        <v/>
      </c>
      <c r="M2823" s="37" t="str">
        <f aca="false">IF($A2823="","",IF($Q2823=0,"UNMAPPED",INDEX(COA_Mapping!$C$7:$C$256,$Q2823)))</f>
        <v/>
      </c>
      <c r="N2823" s="38" t="str">
        <f aca="false">IF($A2823="","",IF($Q2823=0,"",INDEX(COA_Mapping!$E$7:$E$256,$Q2823)))</f>
        <v/>
      </c>
      <c r="O2823" s="38" t="n">
        <f aca="false">IF($A2823="",1,IF($Q2823=0,1,INDEX(COA_Mapping!$F$7:$F$256,$Q2823)))</f>
        <v>1</v>
      </c>
      <c r="P2823" s="34" t="str">
        <f aca="false">IF($A2823="","",$I2823*$O2823)</f>
        <v/>
      </c>
      <c r="Q2823" s="39" t="n">
        <f aca="false">IF($B2823="",0,IFERROR(MATCH($B2823,COA_Mapping!$A$7:$A$256,0),0))</f>
        <v>0</v>
      </c>
      <c r="R2823" s="39" t="n">
        <f aca="false">IF($A2823="",-1,IF($J2823=Setup!$B$7,1,IF($J2823=Setup!$B$9,0,-1)))</f>
        <v>-1</v>
      </c>
      <c r="S2823" s="35" t="n">
        <f aca="false">IF(OR($A2823="",$Q2823=0,$R2823=-1),0,$Q2823*1000+$R2823*100+$K2823)</f>
        <v>0</v>
      </c>
      <c r="T2823" s="37" t="str">
        <f aca="false">IF($A2823="","",IF($B2823="","NO ACCOUNT",IF($Q2823=0,"UNMAPPED",IF($R2823=-1,"OUTSIDE FY RANGE","OK"))))</f>
        <v/>
      </c>
      <c r="U2823" s="40" t="str">
        <f aca="false">IF($A2823="","",$B2823&amp;"|"&amp;TEXT($A2823,"yyyymmdd")&amp;"|"&amp;TEXT($I2823,"0.00"))</f>
        <v/>
      </c>
      <c r="V2823" s="35" t="str">
        <f aca="false">IF($A2823="","",COUNTIF($U$8:$U$5007,$U2823))</f>
        <v/>
      </c>
    </row>
    <row r="2824" customFormat="false" ht="15" hidden="false" customHeight="false" outlineLevel="0" collapsed="false">
      <c r="A2824" s="31"/>
      <c r="B2824" s="32"/>
      <c r="C2824" s="32"/>
      <c r="D2824" s="32"/>
      <c r="E2824" s="32"/>
      <c r="F2824" s="32"/>
      <c r="G2824" s="33"/>
      <c r="H2824" s="33"/>
      <c r="I2824" s="34" t="str">
        <f aca="false">IF($A2824="","",$G2824-$H2824)</f>
        <v/>
      </c>
      <c r="J2824" s="35" t="str">
        <f aca="false">IF($A2824="","",IF(Setup!$B$6=1,YEAR($A2824),YEAR($A2824)+IF(MONTH($A2824)&gt;=Setup!$B$6,1,0)))</f>
        <v/>
      </c>
      <c r="K2824" s="35" t="str">
        <f aca="false">IF($A2824="","",MOD(MONTH($A2824)-Setup!$B$6+12,12)+1)</f>
        <v/>
      </c>
      <c r="L2824" s="36" t="str">
        <f aca="false">IF($A2824="","",TEXT($A2824,"MMM-YY"))</f>
        <v/>
      </c>
      <c r="M2824" s="37" t="str">
        <f aca="false">IF($A2824="","",IF($Q2824=0,"UNMAPPED",INDEX(COA_Mapping!$C$7:$C$256,$Q2824)))</f>
        <v/>
      </c>
      <c r="N2824" s="38" t="str">
        <f aca="false">IF($A2824="","",IF($Q2824=0,"",INDEX(COA_Mapping!$E$7:$E$256,$Q2824)))</f>
        <v/>
      </c>
      <c r="O2824" s="38" t="n">
        <f aca="false">IF($A2824="",1,IF($Q2824=0,1,INDEX(COA_Mapping!$F$7:$F$256,$Q2824)))</f>
        <v>1</v>
      </c>
      <c r="P2824" s="34" t="str">
        <f aca="false">IF($A2824="","",$I2824*$O2824)</f>
        <v/>
      </c>
      <c r="Q2824" s="39" t="n">
        <f aca="false">IF($B2824="",0,IFERROR(MATCH($B2824,COA_Mapping!$A$7:$A$256,0),0))</f>
        <v>0</v>
      </c>
      <c r="R2824" s="39" t="n">
        <f aca="false">IF($A2824="",-1,IF($J2824=Setup!$B$7,1,IF($J2824=Setup!$B$9,0,-1)))</f>
        <v>-1</v>
      </c>
      <c r="S2824" s="35" t="n">
        <f aca="false">IF(OR($A2824="",$Q2824=0,$R2824=-1),0,$Q2824*1000+$R2824*100+$K2824)</f>
        <v>0</v>
      </c>
      <c r="T2824" s="37" t="str">
        <f aca="false">IF($A2824="","",IF($B2824="","NO ACCOUNT",IF($Q2824=0,"UNMAPPED",IF($R2824=-1,"OUTSIDE FY RANGE","OK"))))</f>
        <v/>
      </c>
      <c r="U2824" s="40" t="str">
        <f aca="false">IF($A2824="","",$B2824&amp;"|"&amp;TEXT($A2824,"yyyymmdd")&amp;"|"&amp;TEXT($I2824,"0.00"))</f>
        <v/>
      </c>
      <c r="V2824" s="35" t="str">
        <f aca="false">IF($A2824="","",COUNTIF($U$8:$U$5007,$U2824))</f>
        <v/>
      </c>
    </row>
    <row r="2825" customFormat="false" ht="15" hidden="false" customHeight="false" outlineLevel="0" collapsed="false">
      <c r="A2825" s="31"/>
      <c r="B2825" s="32"/>
      <c r="C2825" s="32"/>
      <c r="D2825" s="32"/>
      <c r="E2825" s="32"/>
      <c r="F2825" s="32"/>
      <c r="G2825" s="33"/>
      <c r="H2825" s="33"/>
      <c r="I2825" s="34" t="str">
        <f aca="false">IF($A2825="","",$G2825-$H2825)</f>
        <v/>
      </c>
      <c r="J2825" s="35" t="str">
        <f aca="false">IF($A2825="","",IF(Setup!$B$6=1,YEAR($A2825),YEAR($A2825)+IF(MONTH($A2825)&gt;=Setup!$B$6,1,0)))</f>
        <v/>
      </c>
      <c r="K2825" s="35" t="str">
        <f aca="false">IF($A2825="","",MOD(MONTH($A2825)-Setup!$B$6+12,12)+1)</f>
        <v/>
      </c>
      <c r="L2825" s="36" t="str">
        <f aca="false">IF($A2825="","",TEXT($A2825,"MMM-YY"))</f>
        <v/>
      </c>
      <c r="M2825" s="37" t="str">
        <f aca="false">IF($A2825="","",IF($Q2825=0,"UNMAPPED",INDEX(COA_Mapping!$C$7:$C$256,$Q2825)))</f>
        <v/>
      </c>
      <c r="N2825" s="38" t="str">
        <f aca="false">IF($A2825="","",IF($Q2825=0,"",INDEX(COA_Mapping!$E$7:$E$256,$Q2825)))</f>
        <v/>
      </c>
      <c r="O2825" s="38" t="n">
        <f aca="false">IF($A2825="",1,IF($Q2825=0,1,INDEX(COA_Mapping!$F$7:$F$256,$Q2825)))</f>
        <v>1</v>
      </c>
      <c r="P2825" s="34" t="str">
        <f aca="false">IF($A2825="","",$I2825*$O2825)</f>
        <v/>
      </c>
      <c r="Q2825" s="39" t="n">
        <f aca="false">IF($B2825="",0,IFERROR(MATCH($B2825,COA_Mapping!$A$7:$A$256,0),0))</f>
        <v>0</v>
      </c>
      <c r="R2825" s="39" t="n">
        <f aca="false">IF($A2825="",-1,IF($J2825=Setup!$B$7,1,IF($J2825=Setup!$B$9,0,-1)))</f>
        <v>-1</v>
      </c>
      <c r="S2825" s="35" t="n">
        <f aca="false">IF(OR($A2825="",$Q2825=0,$R2825=-1),0,$Q2825*1000+$R2825*100+$K2825)</f>
        <v>0</v>
      </c>
      <c r="T2825" s="37" t="str">
        <f aca="false">IF($A2825="","",IF($B2825="","NO ACCOUNT",IF($Q2825=0,"UNMAPPED",IF($R2825=-1,"OUTSIDE FY RANGE","OK"))))</f>
        <v/>
      </c>
      <c r="U2825" s="40" t="str">
        <f aca="false">IF($A2825="","",$B2825&amp;"|"&amp;TEXT($A2825,"yyyymmdd")&amp;"|"&amp;TEXT($I2825,"0.00"))</f>
        <v/>
      </c>
      <c r="V2825" s="35" t="str">
        <f aca="false">IF($A2825="","",COUNTIF($U$8:$U$5007,$U2825))</f>
        <v/>
      </c>
    </row>
    <row r="2826" customFormat="false" ht="15" hidden="false" customHeight="false" outlineLevel="0" collapsed="false">
      <c r="A2826" s="31"/>
      <c r="B2826" s="32"/>
      <c r="C2826" s="32"/>
      <c r="D2826" s="32"/>
      <c r="E2826" s="32"/>
      <c r="F2826" s="32"/>
      <c r="G2826" s="33"/>
      <c r="H2826" s="33"/>
      <c r="I2826" s="34" t="str">
        <f aca="false">IF($A2826="","",$G2826-$H2826)</f>
        <v/>
      </c>
      <c r="J2826" s="35" t="str">
        <f aca="false">IF($A2826="","",IF(Setup!$B$6=1,YEAR($A2826),YEAR($A2826)+IF(MONTH($A2826)&gt;=Setup!$B$6,1,0)))</f>
        <v/>
      </c>
      <c r="K2826" s="35" t="str">
        <f aca="false">IF($A2826="","",MOD(MONTH($A2826)-Setup!$B$6+12,12)+1)</f>
        <v/>
      </c>
      <c r="L2826" s="36" t="str">
        <f aca="false">IF($A2826="","",TEXT($A2826,"MMM-YY"))</f>
        <v/>
      </c>
      <c r="M2826" s="37" t="str">
        <f aca="false">IF($A2826="","",IF($Q2826=0,"UNMAPPED",INDEX(COA_Mapping!$C$7:$C$256,$Q2826)))</f>
        <v/>
      </c>
      <c r="N2826" s="38" t="str">
        <f aca="false">IF($A2826="","",IF($Q2826=0,"",INDEX(COA_Mapping!$E$7:$E$256,$Q2826)))</f>
        <v/>
      </c>
      <c r="O2826" s="38" t="n">
        <f aca="false">IF($A2826="",1,IF($Q2826=0,1,INDEX(COA_Mapping!$F$7:$F$256,$Q2826)))</f>
        <v>1</v>
      </c>
      <c r="P2826" s="34" t="str">
        <f aca="false">IF($A2826="","",$I2826*$O2826)</f>
        <v/>
      </c>
      <c r="Q2826" s="39" t="n">
        <f aca="false">IF($B2826="",0,IFERROR(MATCH($B2826,COA_Mapping!$A$7:$A$256,0),0))</f>
        <v>0</v>
      </c>
      <c r="R2826" s="39" t="n">
        <f aca="false">IF($A2826="",-1,IF($J2826=Setup!$B$7,1,IF($J2826=Setup!$B$9,0,-1)))</f>
        <v>-1</v>
      </c>
      <c r="S2826" s="35" t="n">
        <f aca="false">IF(OR($A2826="",$Q2826=0,$R2826=-1),0,$Q2826*1000+$R2826*100+$K2826)</f>
        <v>0</v>
      </c>
      <c r="T2826" s="37" t="str">
        <f aca="false">IF($A2826="","",IF($B2826="","NO ACCOUNT",IF($Q2826=0,"UNMAPPED",IF($R2826=-1,"OUTSIDE FY RANGE","OK"))))</f>
        <v/>
      </c>
      <c r="U2826" s="40" t="str">
        <f aca="false">IF($A2826="","",$B2826&amp;"|"&amp;TEXT($A2826,"yyyymmdd")&amp;"|"&amp;TEXT($I2826,"0.00"))</f>
        <v/>
      </c>
      <c r="V2826" s="35" t="str">
        <f aca="false">IF($A2826="","",COUNTIF($U$8:$U$5007,$U2826))</f>
        <v/>
      </c>
    </row>
    <row r="2827" customFormat="false" ht="15" hidden="false" customHeight="false" outlineLevel="0" collapsed="false">
      <c r="A2827" s="31"/>
      <c r="B2827" s="32"/>
      <c r="C2827" s="32"/>
      <c r="D2827" s="32"/>
      <c r="E2827" s="32"/>
      <c r="F2827" s="32"/>
      <c r="G2827" s="33"/>
      <c r="H2827" s="33"/>
      <c r="I2827" s="34" t="str">
        <f aca="false">IF($A2827="","",$G2827-$H2827)</f>
        <v/>
      </c>
      <c r="J2827" s="35" t="str">
        <f aca="false">IF($A2827="","",IF(Setup!$B$6=1,YEAR($A2827),YEAR($A2827)+IF(MONTH($A2827)&gt;=Setup!$B$6,1,0)))</f>
        <v/>
      </c>
      <c r="K2827" s="35" t="str">
        <f aca="false">IF($A2827="","",MOD(MONTH($A2827)-Setup!$B$6+12,12)+1)</f>
        <v/>
      </c>
      <c r="L2827" s="36" t="str">
        <f aca="false">IF($A2827="","",TEXT($A2827,"MMM-YY"))</f>
        <v/>
      </c>
      <c r="M2827" s="37" t="str">
        <f aca="false">IF($A2827="","",IF($Q2827=0,"UNMAPPED",INDEX(COA_Mapping!$C$7:$C$256,$Q2827)))</f>
        <v/>
      </c>
      <c r="N2827" s="38" t="str">
        <f aca="false">IF($A2827="","",IF($Q2827=0,"",INDEX(COA_Mapping!$E$7:$E$256,$Q2827)))</f>
        <v/>
      </c>
      <c r="O2827" s="38" t="n">
        <f aca="false">IF($A2827="",1,IF($Q2827=0,1,INDEX(COA_Mapping!$F$7:$F$256,$Q2827)))</f>
        <v>1</v>
      </c>
      <c r="P2827" s="34" t="str">
        <f aca="false">IF($A2827="","",$I2827*$O2827)</f>
        <v/>
      </c>
      <c r="Q2827" s="39" t="n">
        <f aca="false">IF($B2827="",0,IFERROR(MATCH($B2827,COA_Mapping!$A$7:$A$256,0),0))</f>
        <v>0</v>
      </c>
      <c r="R2827" s="39" t="n">
        <f aca="false">IF($A2827="",-1,IF($J2827=Setup!$B$7,1,IF($J2827=Setup!$B$9,0,-1)))</f>
        <v>-1</v>
      </c>
      <c r="S2827" s="35" t="n">
        <f aca="false">IF(OR($A2827="",$Q2827=0,$R2827=-1),0,$Q2827*1000+$R2827*100+$K2827)</f>
        <v>0</v>
      </c>
      <c r="T2827" s="37" t="str">
        <f aca="false">IF($A2827="","",IF($B2827="","NO ACCOUNT",IF($Q2827=0,"UNMAPPED",IF($R2827=-1,"OUTSIDE FY RANGE","OK"))))</f>
        <v/>
      </c>
      <c r="U2827" s="40" t="str">
        <f aca="false">IF($A2827="","",$B2827&amp;"|"&amp;TEXT($A2827,"yyyymmdd")&amp;"|"&amp;TEXT($I2827,"0.00"))</f>
        <v/>
      </c>
      <c r="V2827" s="35" t="str">
        <f aca="false">IF($A2827="","",COUNTIF($U$8:$U$5007,$U2827))</f>
        <v/>
      </c>
    </row>
    <row r="2828" customFormat="false" ht="15" hidden="false" customHeight="false" outlineLevel="0" collapsed="false">
      <c r="A2828" s="31"/>
      <c r="B2828" s="32"/>
      <c r="C2828" s="32"/>
      <c r="D2828" s="32"/>
      <c r="E2828" s="32"/>
      <c r="F2828" s="32"/>
      <c r="G2828" s="33"/>
      <c r="H2828" s="33"/>
      <c r="I2828" s="34" t="str">
        <f aca="false">IF($A2828="","",$G2828-$H2828)</f>
        <v/>
      </c>
      <c r="J2828" s="35" t="str">
        <f aca="false">IF($A2828="","",IF(Setup!$B$6=1,YEAR($A2828),YEAR($A2828)+IF(MONTH($A2828)&gt;=Setup!$B$6,1,0)))</f>
        <v/>
      </c>
      <c r="K2828" s="35" t="str">
        <f aca="false">IF($A2828="","",MOD(MONTH($A2828)-Setup!$B$6+12,12)+1)</f>
        <v/>
      </c>
      <c r="L2828" s="36" t="str">
        <f aca="false">IF($A2828="","",TEXT($A2828,"MMM-YY"))</f>
        <v/>
      </c>
      <c r="M2828" s="37" t="str">
        <f aca="false">IF($A2828="","",IF($Q2828=0,"UNMAPPED",INDEX(COA_Mapping!$C$7:$C$256,$Q2828)))</f>
        <v/>
      </c>
      <c r="N2828" s="38" t="str">
        <f aca="false">IF($A2828="","",IF($Q2828=0,"",INDEX(COA_Mapping!$E$7:$E$256,$Q2828)))</f>
        <v/>
      </c>
      <c r="O2828" s="38" t="n">
        <f aca="false">IF($A2828="",1,IF($Q2828=0,1,INDEX(COA_Mapping!$F$7:$F$256,$Q2828)))</f>
        <v>1</v>
      </c>
      <c r="P2828" s="34" t="str">
        <f aca="false">IF($A2828="","",$I2828*$O2828)</f>
        <v/>
      </c>
      <c r="Q2828" s="39" t="n">
        <f aca="false">IF($B2828="",0,IFERROR(MATCH($B2828,COA_Mapping!$A$7:$A$256,0),0))</f>
        <v>0</v>
      </c>
      <c r="R2828" s="39" t="n">
        <f aca="false">IF($A2828="",-1,IF($J2828=Setup!$B$7,1,IF($J2828=Setup!$B$9,0,-1)))</f>
        <v>-1</v>
      </c>
      <c r="S2828" s="35" t="n">
        <f aca="false">IF(OR($A2828="",$Q2828=0,$R2828=-1),0,$Q2828*1000+$R2828*100+$K2828)</f>
        <v>0</v>
      </c>
      <c r="T2828" s="37" t="str">
        <f aca="false">IF($A2828="","",IF($B2828="","NO ACCOUNT",IF($Q2828=0,"UNMAPPED",IF($R2828=-1,"OUTSIDE FY RANGE","OK"))))</f>
        <v/>
      </c>
      <c r="U2828" s="40" t="str">
        <f aca="false">IF($A2828="","",$B2828&amp;"|"&amp;TEXT($A2828,"yyyymmdd")&amp;"|"&amp;TEXT($I2828,"0.00"))</f>
        <v/>
      </c>
      <c r="V2828" s="35" t="str">
        <f aca="false">IF($A2828="","",COUNTIF($U$8:$U$5007,$U2828))</f>
        <v/>
      </c>
    </row>
    <row r="2829" customFormat="false" ht="15" hidden="false" customHeight="false" outlineLevel="0" collapsed="false">
      <c r="A2829" s="31"/>
      <c r="B2829" s="32"/>
      <c r="C2829" s="32"/>
      <c r="D2829" s="32"/>
      <c r="E2829" s="32"/>
      <c r="F2829" s="32"/>
      <c r="G2829" s="33"/>
      <c r="H2829" s="33"/>
      <c r="I2829" s="34" t="str">
        <f aca="false">IF($A2829="","",$G2829-$H2829)</f>
        <v/>
      </c>
      <c r="J2829" s="35" t="str">
        <f aca="false">IF($A2829="","",IF(Setup!$B$6=1,YEAR($A2829),YEAR($A2829)+IF(MONTH($A2829)&gt;=Setup!$B$6,1,0)))</f>
        <v/>
      </c>
      <c r="K2829" s="35" t="str">
        <f aca="false">IF($A2829="","",MOD(MONTH($A2829)-Setup!$B$6+12,12)+1)</f>
        <v/>
      </c>
      <c r="L2829" s="36" t="str">
        <f aca="false">IF($A2829="","",TEXT($A2829,"MMM-YY"))</f>
        <v/>
      </c>
      <c r="M2829" s="37" t="str">
        <f aca="false">IF($A2829="","",IF($Q2829=0,"UNMAPPED",INDEX(COA_Mapping!$C$7:$C$256,$Q2829)))</f>
        <v/>
      </c>
      <c r="N2829" s="38" t="str">
        <f aca="false">IF($A2829="","",IF($Q2829=0,"",INDEX(COA_Mapping!$E$7:$E$256,$Q2829)))</f>
        <v/>
      </c>
      <c r="O2829" s="38" t="n">
        <f aca="false">IF($A2829="",1,IF($Q2829=0,1,INDEX(COA_Mapping!$F$7:$F$256,$Q2829)))</f>
        <v>1</v>
      </c>
      <c r="P2829" s="34" t="str">
        <f aca="false">IF($A2829="","",$I2829*$O2829)</f>
        <v/>
      </c>
      <c r="Q2829" s="39" t="n">
        <f aca="false">IF($B2829="",0,IFERROR(MATCH($B2829,COA_Mapping!$A$7:$A$256,0),0))</f>
        <v>0</v>
      </c>
      <c r="R2829" s="39" t="n">
        <f aca="false">IF($A2829="",-1,IF($J2829=Setup!$B$7,1,IF($J2829=Setup!$B$9,0,-1)))</f>
        <v>-1</v>
      </c>
      <c r="S2829" s="35" t="n">
        <f aca="false">IF(OR($A2829="",$Q2829=0,$R2829=-1),0,$Q2829*1000+$R2829*100+$K2829)</f>
        <v>0</v>
      </c>
      <c r="T2829" s="37" t="str">
        <f aca="false">IF($A2829="","",IF($B2829="","NO ACCOUNT",IF($Q2829=0,"UNMAPPED",IF($R2829=-1,"OUTSIDE FY RANGE","OK"))))</f>
        <v/>
      </c>
      <c r="U2829" s="40" t="str">
        <f aca="false">IF($A2829="","",$B2829&amp;"|"&amp;TEXT($A2829,"yyyymmdd")&amp;"|"&amp;TEXT($I2829,"0.00"))</f>
        <v/>
      </c>
      <c r="V2829" s="35" t="str">
        <f aca="false">IF($A2829="","",COUNTIF($U$8:$U$5007,$U2829))</f>
        <v/>
      </c>
    </row>
    <row r="2830" customFormat="false" ht="15" hidden="false" customHeight="false" outlineLevel="0" collapsed="false">
      <c r="A2830" s="31"/>
      <c r="B2830" s="32"/>
      <c r="C2830" s="32"/>
      <c r="D2830" s="32"/>
      <c r="E2830" s="32"/>
      <c r="F2830" s="32"/>
      <c r="G2830" s="33"/>
      <c r="H2830" s="33"/>
      <c r="I2830" s="34" t="str">
        <f aca="false">IF($A2830="","",$G2830-$H2830)</f>
        <v/>
      </c>
      <c r="J2830" s="35" t="str">
        <f aca="false">IF($A2830="","",IF(Setup!$B$6=1,YEAR($A2830),YEAR($A2830)+IF(MONTH($A2830)&gt;=Setup!$B$6,1,0)))</f>
        <v/>
      </c>
      <c r="K2830" s="35" t="str">
        <f aca="false">IF($A2830="","",MOD(MONTH($A2830)-Setup!$B$6+12,12)+1)</f>
        <v/>
      </c>
      <c r="L2830" s="36" t="str">
        <f aca="false">IF($A2830="","",TEXT($A2830,"MMM-YY"))</f>
        <v/>
      </c>
      <c r="M2830" s="37" t="str">
        <f aca="false">IF($A2830="","",IF($Q2830=0,"UNMAPPED",INDEX(COA_Mapping!$C$7:$C$256,$Q2830)))</f>
        <v/>
      </c>
      <c r="N2830" s="38" t="str">
        <f aca="false">IF($A2830="","",IF($Q2830=0,"",INDEX(COA_Mapping!$E$7:$E$256,$Q2830)))</f>
        <v/>
      </c>
      <c r="O2830" s="38" t="n">
        <f aca="false">IF($A2830="",1,IF($Q2830=0,1,INDEX(COA_Mapping!$F$7:$F$256,$Q2830)))</f>
        <v>1</v>
      </c>
      <c r="P2830" s="34" t="str">
        <f aca="false">IF($A2830="","",$I2830*$O2830)</f>
        <v/>
      </c>
      <c r="Q2830" s="39" t="n">
        <f aca="false">IF($B2830="",0,IFERROR(MATCH($B2830,COA_Mapping!$A$7:$A$256,0),0))</f>
        <v>0</v>
      </c>
      <c r="R2830" s="39" t="n">
        <f aca="false">IF($A2830="",-1,IF($J2830=Setup!$B$7,1,IF($J2830=Setup!$B$9,0,-1)))</f>
        <v>-1</v>
      </c>
      <c r="S2830" s="35" t="n">
        <f aca="false">IF(OR($A2830="",$Q2830=0,$R2830=-1),0,$Q2830*1000+$R2830*100+$K2830)</f>
        <v>0</v>
      </c>
      <c r="T2830" s="37" t="str">
        <f aca="false">IF($A2830="","",IF($B2830="","NO ACCOUNT",IF($Q2830=0,"UNMAPPED",IF($R2830=-1,"OUTSIDE FY RANGE","OK"))))</f>
        <v/>
      </c>
      <c r="U2830" s="40" t="str">
        <f aca="false">IF($A2830="","",$B2830&amp;"|"&amp;TEXT($A2830,"yyyymmdd")&amp;"|"&amp;TEXT($I2830,"0.00"))</f>
        <v/>
      </c>
      <c r="V2830" s="35" t="str">
        <f aca="false">IF($A2830="","",COUNTIF($U$8:$U$5007,$U2830))</f>
        <v/>
      </c>
    </row>
    <row r="2831" customFormat="false" ht="15" hidden="false" customHeight="false" outlineLevel="0" collapsed="false">
      <c r="A2831" s="31"/>
      <c r="B2831" s="32"/>
      <c r="C2831" s="32"/>
      <c r="D2831" s="32"/>
      <c r="E2831" s="32"/>
      <c r="F2831" s="32"/>
      <c r="G2831" s="33"/>
      <c r="H2831" s="33"/>
      <c r="I2831" s="34" t="str">
        <f aca="false">IF($A2831="","",$G2831-$H2831)</f>
        <v/>
      </c>
      <c r="J2831" s="35" t="str">
        <f aca="false">IF($A2831="","",IF(Setup!$B$6=1,YEAR($A2831),YEAR($A2831)+IF(MONTH($A2831)&gt;=Setup!$B$6,1,0)))</f>
        <v/>
      </c>
      <c r="K2831" s="35" t="str">
        <f aca="false">IF($A2831="","",MOD(MONTH($A2831)-Setup!$B$6+12,12)+1)</f>
        <v/>
      </c>
      <c r="L2831" s="36" t="str">
        <f aca="false">IF($A2831="","",TEXT($A2831,"MMM-YY"))</f>
        <v/>
      </c>
      <c r="M2831" s="37" t="str">
        <f aca="false">IF($A2831="","",IF($Q2831=0,"UNMAPPED",INDEX(COA_Mapping!$C$7:$C$256,$Q2831)))</f>
        <v/>
      </c>
      <c r="N2831" s="38" t="str">
        <f aca="false">IF($A2831="","",IF($Q2831=0,"",INDEX(COA_Mapping!$E$7:$E$256,$Q2831)))</f>
        <v/>
      </c>
      <c r="O2831" s="38" t="n">
        <f aca="false">IF($A2831="",1,IF($Q2831=0,1,INDEX(COA_Mapping!$F$7:$F$256,$Q2831)))</f>
        <v>1</v>
      </c>
      <c r="P2831" s="34" t="str">
        <f aca="false">IF($A2831="","",$I2831*$O2831)</f>
        <v/>
      </c>
      <c r="Q2831" s="39" t="n">
        <f aca="false">IF($B2831="",0,IFERROR(MATCH($B2831,COA_Mapping!$A$7:$A$256,0),0))</f>
        <v>0</v>
      </c>
      <c r="R2831" s="39" t="n">
        <f aca="false">IF($A2831="",-1,IF($J2831=Setup!$B$7,1,IF($J2831=Setup!$B$9,0,-1)))</f>
        <v>-1</v>
      </c>
      <c r="S2831" s="35" t="n">
        <f aca="false">IF(OR($A2831="",$Q2831=0,$R2831=-1),0,$Q2831*1000+$R2831*100+$K2831)</f>
        <v>0</v>
      </c>
      <c r="T2831" s="37" t="str">
        <f aca="false">IF($A2831="","",IF($B2831="","NO ACCOUNT",IF($Q2831=0,"UNMAPPED",IF($R2831=-1,"OUTSIDE FY RANGE","OK"))))</f>
        <v/>
      </c>
      <c r="U2831" s="40" t="str">
        <f aca="false">IF($A2831="","",$B2831&amp;"|"&amp;TEXT($A2831,"yyyymmdd")&amp;"|"&amp;TEXT($I2831,"0.00"))</f>
        <v/>
      </c>
      <c r="V2831" s="35" t="str">
        <f aca="false">IF($A2831="","",COUNTIF($U$8:$U$5007,$U2831))</f>
        <v/>
      </c>
    </row>
    <row r="2832" customFormat="false" ht="15" hidden="false" customHeight="false" outlineLevel="0" collapsed="false">
      <c r="A2832" s="31"/>
      <c r="B2832" s="32"/>
      <c r="C2832" s="32"/>
      <c r="D2832" s="32"/>
      <c r="E2832" s="32"/>
      <c r="F2832" s="32"/>
      <c r="G2832" s="33"/>
      <c r="H2832" s="33"/>
      <c r="I2832" s="34" t="str">
        <f aca="false">IF($A2832="","",$G2832-$H2832)</f>
        <v/>
      </c>
      <c r="J2832" s="35" t="str">
        <f aca="false">IF($A2832="","",IF(Setup!$B$6=1,YEAR($A2832),YEAR($A2832)+IF(MONTH($A2832)&gt;=Setup!$B$6,1,0)))</f>
        <v/>
      </c>
      <c r="K2832" s="35" t="str">
        <f aca="false">IF($A2832="","",MOD(MONTH($A2832)-Setup!$B$6+12,12)+1)</f>
        <v/>
      </c>
      <c r="L2832" s="36" t="str">
        <f aca="false">IF($A2832="","",TEXT($A2832,"MMM-YY"))</f>
        <v/>
      </c>
      <c r="M2832" s="37" t="str">
        <f aca="false">IF($A2832="","",IF($Q2832=0,"UNMAPPED",INDEX(COA_Mapping!$C$7:$C$256,$Q2832)))</f>
        <v/>
      </c>
      <c r="N2832" s="38" t="str">
        <f aca="false">IF($A2832="","",IF($Q2832=0,"",INDEX(COA_Mapping!$E$7:$E$256,$Q2832)))</f>
        <v/>
      </c>
      <c r="O2832" s="38" t="n">
        <f aca="false">IF($A2832="",1,IF($Q2832=0,1,INDEX(COA_Mapping!$F$7:$F$256,$Q2832)))</f>
        <v>1</v>
      </c>
      <c r="P2832" s="34" t="str">
        <f aca="false">IF($A2832="","",$I2832*$O2832)</f>
        <v/>
      </c>
      <c r="Q2832" s="39" t="n">
        <f aca="false">IF($B2832="",0,IFERROR(MATCH($B2832,COA_Mapping!$A$7:$A$256,0),0))</f>
        <v>0</v>
      </c>
      <c r="R2832" s="39" t="n">
        <f aca="false">IF($A2832="",-1,IF($J2832=Setup!$B$7,1,IF($J2832=Setup!$B$9,0,-1)))</f>
        <v>-1</v>
      </c>
      <c r="S2832" s="35" t="n">
        <f aca="false">IF(OR($A2832="",$Q2832=0,$R2832=-1),0,$Q2832*1000+$R2832*100+$K2832)</f>
        <v>0</v>
      </c>
      <c r="T2832" s="37" t="str">
        <f aca="false">IF($A2832="","",IF($B2832="","NO ACCOUNT",IF($Q2832=0,"UNMAPPED",IF($R2832=-1,"OUTSIDE FY RANGE","OK"))))</f>
        <v/>
      </c>
      <c r="U2832" s="40" t="str">
        <f aca="false">IF($A2832="","",$B2832&amp;"|"&amp;TEXT($A2832,"yyyymmdd")&amp;"|"&amp;TEXT($I2832,"0.00"))</f>
        <v/>
      </c>
      <c r="V2832" s="35" t="str">
        <f aca="false">IF($A2832="","",COUNTIF($U$8:$U$5007,$U2832))</f>
        <v/>
      </c>
    </row>
    <row r="2833" customFormat="false" ht="15" hidden="false" customHeight="false" outlineLevel="0" collapsed="false">
      <c r="A2833" s="31"/>
      <c r="B2833" s="32"/>
      <c r="C2833" s="32"/>
      <c r="D2833" s="32"/>
      <c r="E2833" s="32"/>
      <c r="F2833" s="32"/>
      <c r="G2833" s="33"/>
      <c r="H2833" s="33"/>
      <c r="I2833" s="34" t="str">
        <f aca="false">IF($A2833="","",$G2833-$H2833)</f>
        <v/>
      </c>
      <c r="J2833" s="35" t="str">
        <f aca="false">IF($A2833="","",IF(Setup!$B$6=1,YEAR($A2833),YEAR($A2833)+IF(MONTH($A2833)&gt;=Setup!$B$6,1,0)))</f>
        <v/>
      </c>
      <c r="K2833" s="35" t="str">
        <f aca="false">IF($A2833="","",MOD(MONTH($A2833)-Setup!$B$6+12,12)+1)</f>
        <v/>
      </c>
      <c r="L2833" s="36" t="str">
        <f aca="false">IF($A2833="","",TEXT($A2833,"MMM-YY"))</f>
        <v/>
      </c>
      <c r="M2833" s="37" t="str">
        <f aca="false">IF($A2833="","",IF($Q2833=0,"UNMAPPED",INDEX(COA_Mapping!$C$7:$C$256,$Q2833)))</f>
        <v/>
      </c>
      <c r="N2833" s="38" t="str">
        <f aca="false">IF($A2833="","",IF($Q2833=0,"",INDEX(COA_Mapping!$E$7:$E$256,$Q2833)))</f>
        <v/>
      </c>
      <c r="O2833" s="38" t="n">
        <f aca="false">IF($A2833="",1,IF($Q2833=0,1,INDEX(COA_Mapping!$F$7:$F$256,$Q2833)))</f>
        <v>1</v>
      </c>
      <c r="P2833" s="34" t="str">
        <f aca="false">IF($A2833="","",$I2833*$O2833)</f>
        <v/>
      </c>
      <c r="Q2833" s="39" t="n">
        <f aca="false">IF($B2833="",0,IFERROR(MATCH($B2833,COA_Mapping!$A$7:$A$256,0),0))</f>
        <v>0</v>
      </c>
      <c r="R2833" s="39" t="n">
        <f aca="false">IF($A2833="",-1,IF($J2833=Setup!$B$7,1,IF($J2833=Setup!$B$9,0,-1)))</f>
        <v>-1</v>
      </c>
      <c r="S2833" s="35" t="n">
        <f aca="false">IF(OR($A2833="",$Q2833=0,$R2833=-1),0,$Q2833*1000+$R2833*100+$K2833)</f>
        <v>0</v>
      </c>
      <c r="T2833" s="37" t="str">
        <f aca="false">IF($A2833="","",IF($B2833="","NO ACCOUNT",IF($Q2833=0,"UNMAPPED",IF($R2833=-1,"OUTSIDE FY RANGE","OK"))))</f>
        <v/>
      </c>
      <c r="U2833" s="40" t="str">
        <f aca="false">IF($A2833="","",$B2833&amp;"|"&amp;TEXT($A2833,"yyyymmdd")&amp;"|"&amp;TEXT($I2833,"0.00"))</f>
        <v/>
      </c>
      <c r="V2833" s="35" t="str">
        <f aca="false">IF($A2833="","",COUNTIF($U$8:$U$5007,$U2833))</f>
        <v/>
      </c>
    </row>
    <row r="2834" customFormat="false" ht="15" hidden="false" customHeight="false" outlineLevel="0" collapsed="false">
      <c r="A2834" s="31"/>
      <c r="B2834" s="32"/>
      <c r="C2834" s="32"/>
      <c r="D2834" s="32"/>
      <c r="E2834" s="32"/>
      <c r="F2834" s="32"/>
      <c r="G2834" s="33"/>
      <c r="H2834" s="33"/>
      <c r="I2834" s="34" t="str">
        <f aca="false">IF($A2834="","",$G2834-$H2834)</f>
        <v/>
      </c>
      <c r="J2834" s="35" t="str">
        <f aca="false">IF($A2834="","",IF(Setup!$B$6=1,YEAR($A2834),YEAR($A2834)+IF(MONTH($A2834)&gt;=Setup!$B$6,1,0)))</f>
        <v/>
      </c>
      <c r="K2834" s="35" t="str">
        <f aca="false">IF($A2834="","",MOD(MONTH($A2834)-Setup!$B$6+12,12)+1)</f>
        <v/>
      </c>
      <c r="L2834" s="36" t="str">
        <f aca="false">IF($A2834="","",TEXT($A2834,"MMM-YY"))</f>
        <v/>
      </c>
      <c r="M2834" s="37" t="str">
        <f aca="false">IF($A2834="","",IF($Q2834=0,"UNMAPPED",INDEX(COA_Mapping!$C$7:$C$256,$Q2834)))</f>
        <v/>
      </c>
      <c r="N2834" s="38" t="str">
        <f aca="false">IF($A2834="","",IF($Q2834=0,"",INDEX(COA_Mapping!$E$7:$E$256,$Q2834)))</f>
        <v/>
      </c>
      <c r="O2834" s="38" t="n">
        <f aca="false">IF($A2834="",1,IF($Q2834=0,1,INDEX(COA_Mapping!$F$7:$F$256,$Q2834)))</f>
        <v>1</v>
      </c>
      <c r="P2834" s="34" t="str">
        <f aca="false">IF($A2834="","",$I2834*$O2834)</f>
        <v/>
      </c>
      <c r="Q2834" s="39" t="n">
        <f aca="false">IF($B2834="",0,IFERROR(MATCH($B2834,COA_Mapping!$A$7:$A$256,0),0))</f>
        <v>0</v>
      </c>
      <c r="R2834" s="39" t="n">
        <f aca="false">IF($A2834="",-1,IF($J2834=Setup!$B$7,1,IF($J2834=Setup!$B$9,0,-1)))</f>
        <v>-1</v>
      </c>
      <c r="S2834" s="35" t="n">
        <f aca="false">IF(OR($A2834="",$Q2834=0,$R2834=-1),0,$Q2834*1000+$R2834*100+$K2834)</f>
        <v>0</v>
      </c>
      <c r="T2834" s="37" t="str">
        <f aca="false">IF($A2834="","",IF($B2834="","NO ACCOUNT",IF($Q2834=0,"UNMAPPED",IF($R2834=-1,"OUTSIDE FY RANGE","OK"))))</f>
        <v/>
      </c>
      <c r="U2834" s="40" t="str">
        <f aca="false">IF($A2834="","",$B2834&amp;"|"&amp;TEXT($A2834,"yyyymmdd")&amp;"|"&amp;TEXT($I2834,"0.00"))</f>
        <v/>
      </c>
      <c r="V2834" s="35" t="str">
        <f aca="false">IF($A2834="","",COUNTIF($U$8:$U$5007,$U2834))</f>
        <v/>
      </c>
    </row>
    <row r="2835" customFormat="false" ht="15" hidden="false" customHeight="false" outlineLevel="0" collapsed="false">
      <c r="A2835" s="31"/>
      <c r="B2835" s="32"/>
      <c r="C2835" s="32"/>
      <c r="D2835" s="32"/>
      <c r="E2835" s="32"/>
      <c r="F2835" s="32"/>
      <c r="G2835" s="33"/>
      <c r="H2835" s="33"/>
      <c r="I2835" s="34" t="str">
        <f aca="false">IF($A2835="","",$G2835-$H2835)</f>
        <v/>
      </c>
      <c r="J2835" s="35" t="str">
        <f aca="false">IF($A2835="","",IF(Setup!$B$6=1,YEAR($A2835),YEAR($A2835)+IF(MONTH($A2835)&gt;=Setup!$B$6,1,0)))</f>
        <v/>
      </c>
      <c r="K2835" s="35" t="str">
        <f aca="false">IF($A2835="","",MOD(MONTH($A2835)-Setup!$B$6+12,12)+1)</f>
        <v/>
      </c>
      <c r="L2835" s="36" t="str">
        <f aca="false">IF($A2835="","",TEXT($A2835,"MMM-YY"))</f>
        <v/>
      </c>
      <c r="M2835" s="37" t="str">
        <f aca="false">IF($A2835="","",IF($Q2835=0,"UNMAPPED",INDEX(COA_Mapping!$C$7:$C$256,$Q2835)))</f>
        <v/>
      </c>
      <c r="N2835" s="38" t="str">
        <f aca="false">IF($A2835="","",IF($Q2835=0,"",INDEX(COA_Mapping!$E$7:$E$256,$Q2835)))</f>
        <v/>
      </c>
      <c r="O2835" s="38" t="n">
        <f aca="false">IF($A2835="",1,IF($Q2835=0,1,INDEX(COA_Mapping!$F$7:$F$256,$Q2835)))</f>
        <v>1</v>
      </c>
      <c r="P2835" s="34" t="str">
        <f aca="false">IF($A2835="","",$I2835*$O2835)</f>
        <v/>
      </c>
      <c r="Q2835" s="39" t="n">
        <f aca="false">IF($B2835="",0,IFERROR(MATCH($B2835,COA_Mapping!$A$7:$A$256,0),0))</f>
        <v>0</v>
      </c>
      <c r="R2835" s="39" t="n">
        <f aca="false">IF($A2835="",-1,IF($J2835=Setup!$B$7,1,IF($J2835=Setup!$B$9,0,-1)))</f>
        <v>-1</v>
      </c>
      <c r="S2835" s="35" t="n">
        <f aca="false">IF(OR($A2835="",$Q2835=0,$R2835=-1),0,$Q2835*1000+$R2835*100+$K2835)</f>
        <v>0</v>
      </c>
      <c r="T2835" s="37" t="str">
        <f aca="false">IF($A2835="","",IF($B2835="","NO ACCOUNT",IF($Q2835=0,"UNMAPPED",IF($R2835=-1,"OUTSIDE FY RANGE","OK"))))</f>
        <v/>
      </c>
      <c r="U2835" s="40" t="str">
        <f aca="false">IF($A2835="","",$B2835&amp;"|"&amp;TEXT($A2835,"yyyymmdd")&amp;"|"&amp;TEXT($I2835,"0.00"))</f>
        <v/>
      </c>
      <c r="V2835" s="35" t="str">
        <f aca="false">IF($A2835="","",COUNTIF($U$8:$U$5007,$U2835))</f>
        <v/>
      </c>
    </row>
    <row r="2836" customFormat="false" ht="15" hidden="false" customHeight="false" outlineLevel="0" collapsed="false">
      <c r="A2836" s="31"/>
      <c r="B2836" s="32"/>
      <c r="C2836" s="32"/>
      <c r="D2836" s="32"/>
      <c r="E2836" s="32"/>
      <c r="F2836" s="32"/>
      <c r="G2836" s="33"/>
      <c r="H2836" s="33"/>
      <c r="I2836" s="34" t="str">
        <f aca="false">IF($A2836="","",$G2836-$H2836)</f>
        <v/>
      </c>
      <c r="J2836" s="35" t="str">
        <f aca="false">IF($A2836="","",IF(Setup!$B$6=1,YEAR($A2836),YEAR($A2836)+IF(MONTH($A2836)&gt;=Setup!$B$6,1,0)))</f>
        <v/>
      </c>
      <c r="K2836" s="35" t="str">
        <f aca="false">IF($A2836="","",MOD(MONTH($A2836)-Setup!$B$6+12,12)+1)</f>
        <v/>
      </c>
      <c r="L2836" s="36" t="str">
        <f aca="false">IF($A2836="","",TEXT($A2836,"MMM-YY"))</f>
        <v/>
      </c>
      <c r="M2836" s="37" t="str">
        <f aca="false">IF($A2836="","",IF($Q2836=0,"UNMAPPED",INDEX(COA_Mapping!$C$7:$C$256,$Q2836)))</f>
        <v/>
      </c>
      <c r="N2836" s="38" t="str">
        <f aca="false">IF($A2836="","",IF($Q2836=0,"",INDEX(COA_Mapping!$E$7:$E$256,$Q2836)))</f>
        <v/>
      </c>
      <c r="O2836" s="38" t="n">
        <f aca="false">IF($A2836="",1,IF($Q2836=0,1,INDEX(COA_Mapping!$F$7:$F$256,$Q2836)))</f>
        <v>1</v>
      </c>
      <c r="P2836" s="34" t="str">
        <f aca="false">IF($A2836="","",$I2836*$O2836)</f>
        <v/>
      </c>
      <c r="Q2836" s="39" t="n">
        <f aca="false">IF($B2836="",0,IFERROR(MATCH($B2836,COA_Mapping!$A$7:$A$256,0),0))</f>
        <v>0</v>
      </c>
      <c r="R2836" s="39" t="n">
        <f aca="false">IF($A2836="",-1,IF($J2836=Setup!$B$7,1,IF($J2836=Setup!$B$9,0,-1)))</f>
        <v>-1</v>
      </c>
      <c r="S2836" s="35" t="n">
        <f aca="false">IF(OR($A2836="",$Q2836=0,$R2836=-1),0,$Q2836*1000+$R2836*100+$K2836)</f>
        <v>0</v>
      </c>
      <c r="T2836" s="37" t="str">
        <f aca="false">IF($A2836="","",IF($B2836="","NO ACCOUNT",IF($Q2836=0,"UNMAPPED",IF($R2836=-1,"OUTSIDE FY RANGE","OK"))))</f>
        <v/>
      </c>
      <c r="U2836" s="40" t="str">
        <f aca="false">IF($A2836="","",$B2836&amp;"|"&amp;TEXT($A2836,"yyyymmdd")&amp;"|"&amp;TEXT($I2836,"0.00"))</f>
        <v/>
      </c>
      <c r="V2836" s="35" t="str">
        <f aca="false">IF($A2836="","",COUNTIF($U$8:$U$5007,$U2836))</f>
        <v/>
      </c>
    </row>
    <row r="2837" customFormat="false" ht="15" hidden="false" customHeight="false" outlineLevel="0" collapsed="false">
      <c r="A2837" s="31"/>
      <c r="B2837" s="32"/>
      <c r="C2837" s="32"/>
      <c r="D2837" s="32"/>
      <c r="E2837" s="32"/>
      <c r="F2837" s="32"/>
      <c r="G2837" s="33"/>
      <c r="H2837" s="33"/>
      <c r="I2837" s="34" t="str">
        <f aca="false">IF($A2837="","",$G2837-$H2837)</f>
        <v/>
      </c>
      <c r="J2837" s="35" t="str">
        <f aca="false">IF($A2837="","",IF(Setup!$B$6=1,YEAR($A2837),YEAR($A2837)+IF(MONTH($A2837)&gt;=Setup!$B$6,1,0)))</f>
        <v/>
      </c>
      <c r="K2837" s="35" t="str">
        <f aca="false">IF($A2837="","",MOD(MONTH($A2837)-Setup!$B$6+12,12)+1)</f>
        <v/>
      </c>
      <c r="L2837" s="36" t="str">
        <f aca="false">IF($A2837="","",TEXT($A2837,"MMM-YY"))</f>
        <v/>
      </c>
      <c r="M2837" s="37" t="str">
        <f aca="false">IF($A2837="","",IF($Q2837=0,"UNMAPPED",INDEX(COA_Mapping!$C$7:$C$256,$Q2837)))</f>
        <v/>
      </c>
      <c r="N2837" s="38" t="str">
        <f aca="false">IF($A2837="","",IF($Q2837=0,"",INDEX(COA_Mapping!$E$7:$E$256,$Q2837)))</f>
        <v/>
      </c>
      <c r="O2837" s="38" t="n">
        <f aca="false">IF($A2837="",1,IF($Q2837=0,1,INDEX(COA_Mapping!$F$7:$F$256,$Q2837)))</f>
        <v>1</v>
      </c>
      <c r="P2837" s="34" t="str">
        <f aca="false">IF($A2837="","",$I2837*$O2837)</f>
        <v/>
      </c>
      <c r="Q2837" s="39" t="n">
        <f aca="false">IF($B2837="",0,IFERROR(MATCH($B2837,COA_Mapping!$A$7:$A$256,0),0))</f>
        <v>0</v>
      </c>
      <c r="R2837" s="39" t="n">
        <f aca="false">IF($A2837="",-1,IF($J2837=Setup!$B$7,1,IF($J2837=Setup!$B$9,0,-1)))</f>
        <v>-1</v>
      </c>
      <c r="S2837" s="35" t="n">
        <f aca="false">IF(OR($A2837="",$Q2837=0,$R2837=-1),0,$Q2837*1000+$R2837*100+$K2837)</f>
        <v>0</v>
      </c>
      <c r="T2837" s="37" t="str">
        <f aca="false">IF($A2837="","",IF($B2837="","NO ACCOUNT",IF($Q2837=0,"UNMAPPED",IF($R2837=-1,"OUTSIDE FY RANGE","OK"))))</f>
        <v/>
      </c>
      <c r="U2837" s="40" t="str">
        <f aca="false">IF($A2837="","",$B2837&amp;"|"&amp;TEXT($A2837,"yyyymmdd")&amp;"|"&amp;TEXT($I2837,"0.00"))</f>
        <v/>
      </c>
      <c r="V2837" s="35" t="str">
        <f aca="false">IF($A2837="","",COUNTIF($U$8:$U$5007,$U2837))</f>
        <v/>
      </c>
    </row>
    <row r="2838" customFormat="false" ht="15" hidden="false" customHeight="false" outlineLevel="0" collapsed="false">
      <c r="A2838" s="31"/>
      <c r="B2838" s="32"/>
      <c r="C2838" s="32"/>
      <c r="D2838" s="32"/>
      <c r="E2838" s="32"/>
      <c r="F2838" s="32"/>
      <c r="G2838" s="33"/>
      <c r="H2838" s="33"/>
      <c r="I2838" s="34" t="str">
        <f aca="false">IF($A2838="","",$G2838-$H2838)</f>
        <v/>
      </c>
      <c r="J2838" s="35" t="str">
        <f aca="false">IF($A2838="","",IF(Setup!$B$6=1,YEAR($A2838),YEAR($A2838)+IF(MONTH($A2838)&gt;=Setup!$B$6,1,0)))</f>
        <v/>
      </c>
      <c r="K2838" s="35" t="str">
        <f aca="false">IF($A2838="","",MOD(MONTH($A2838)-Setup!$B$6+12,12)+1)</f>
        <v/>
      </c>
      <c r="L2838" s="36" t="str">
        <f aca="false">IF($A2838="","",TEXT($A2838,"MMM-YY"))</f>
        <v/>
      </c>
      <c r="M2838" s="37" t="str">
        <f aca="false">IF($A2838="","",IF($Q2838=0,"UNMAPPED",INDEX(COA_Mapping!$C$7:$C$256,$Q2838)))</f>
        <v/>
      </c>
      <c r="N2838" s="38" t="str">
        <f aca="false">IF($A2838="","",IF($Q2838=0,"",INDEX(COA_Mapping!$E$7:$E$256,$Q2838)))</f>
        <v/>
      </c>
      <c r="O2838" s="38" t="n">
        <f aca="false">IF($A2838="",1,IF($Q2838=0,1,INDEX(COA_Mapping!$F$7:$F$256,$Q2838)))</f>
        <v>1</v>
      </c>
      <c r="P2838" s="34" t="str">
        <f aca="false">IF($A2838="","",$I2838*$O2838)</f>
        <v/>
      </c>
      <c r="Q2838" s="39" t="n">
        <f aca="false">IF($B2838="",0,IFERROR(MATCH($B2838,COA_Mapping!$A$7:$A$256,0),0))</f>
        <v>0</v>
      </c>
      <c r="R2838" s="39" t="n">
        <f aca="false">IF($A2838="",-1,IF($J2838=Setup!$B$7,1,IF($J2838=Setup!$B$9,0,-1)))</f>
        <v>-1</v>
      </c>
      <c r="S2838" s="35" t="n">
        <f aca="false">IF(OR($A2838="",$Q2838=0,$R2838=-1),0,$Q2838*1000+$R2838*100+$K2838)</f>
        <v>0</v>
      </c>
      <c r="T2838" s="37" t="str">
        <f aca="false">IF($A2838="","",IF($B2838="","NO ACCOUNT",IF($Q2838=0,"UNMAPPED",IF($R2838=-1,"OUTSIDE FY RANGE","OK"))))</f>
        <v/>
      </c>
      <c r="U2838" s="40" t="str">
        <f aca="false">IF($A2838="","",$B2838&amp;"|"&amp;TEXT($A2838,"yyyymmdd")&amp;"|"&amp;TEXT($I2838,"0.00"))</f>
        <v/>
      </c>
      <c r="V2838" s="35" t="str">
        <f aca="false">IF($A2838="","",COUNTIF($U$8:$U$5007,$U2838))</f>
        <v/>
      </c>
    </row>
    <row r="2839" customFormat="false" ht="15" hidden="false" customHeight="false" outlineLevel="0" collapsed="false">
      <c r="A2839" s="31"/>
      <c r="B2839" s="32"/>
      <c r="C2839" s="32"/>
      <c r="D2839" s="32"/>
      <c r="E2839" s="32"/>
      <c r="F2839" s="32"/>
      <c r="G2839" s="33"/>
      <c r="H2839" s="33"/>
      <c r="I2839" s="34" t="str">
        <f aca="false">IF($A2839="","",$G2839-$H2839)</f>
        <v/>
      </c>
      <c r="J2839" s="35" t="str">
        <f aca="false">IF($A2839="","",IF(Setup!$B$6=1,YEAR($A2839),YEAR($A2839)+IF(MONTH($A2839)&gt;=Setup!$B$6,1,0)))</f>
        <v/>
      </c>
      <c r="K2839" s="35" t="str">
        <f aca="false">IF($A2839="","",MOD(MONTH($A2839)-Setup!$B$6+12,12)+1)</f>
        <v/>
      </c>
      <c r="L2839" s="36" t="str">
        <f aca="false">IF($A2839="","",TEXT($A2839,"MMM-YY"))</f>
        <v/>
      </c>
      <c r="M2839" s="37" t="str">
        <f aca="false">IF($A2839="","",IF($Q2839=0,"UNMAPPED",INDEX(COA_Mapping!$C$7:$C$256,$Q2839)))</f>
        <v/>
      </c>
      <c r="N2839" s="38" t="str">
        <f aca="false">IF($A2839="","",IF($Q2839=0,"",INDEX(COA_Mapping!$E$7:$E$256,$Q2839)))</f>
        <v/>
      </c>
      <c r="O2839" s="38" t="n">
        <f aca="false">IF($A2839="",1,IF($Q2839=0,1,INDEX(COA_Mapping!$F$7:$F$256,$Q2839)))</f>
        <v>1</v>
      </c>
      <c r="P2839" s="34" t="str">
        <f aca="false">IF($A2839="","",$I2839*$O2839)</f>
        <v/>
      </c>
      <c r="Q2839" s="39" t="n">
        <f aca="false">IF($B2839="",0,IFERROR(MATCH($B2839,COA_Mapping!$A$7:$A$256,0),0))</f>
        <v>0</v>
      </c>
      <c r="R2839" s="39" t="n">
        <f aca="false">IF($A2839="",-1,IF($J2839=Setup!$B$7,1,IF($J2839=Setup!$B$9,0,-1)))</f>
        <v>-1</v>
      </c>
      <c r="S2839" s="35" t="n">
        <f aca="false">IF(OR($A2839="",$Q2839=0,$R2839=-1),0,$Q2839*1000+$R2839*100+$K2839)</f>
        <v>0</v>
      </c>
      <c r="T2839" s="37" t="str">
        <f aca="false">IF($A2839="","",IF($B2839="","NO ACCOUNT",IF($Q2839=0,"UNMAPPED",IF($R2839=-1,"OUTSIDE FY RANGE","OK"))))</f>
        <v/>
      </c>
      <c r="U2839" s="40" t="str">
        <f aca="false">IF($A2839="","",$B2839&amp;"|"&amp;TEXT($A2839,"yyyymmdd")&amp;"|"&amp;TEXT($I2839,"0.00"))</f>
        <v/>
      </c>
      <c r="V2839" s="35" t="str">
        <f aca="false">IF($A2839="","",COUNTIF($U$8:$U$5007,$U2839))</f>
        <v/>
      </c>
    </row>
    <row r="2840" customFormat="false" ht="15" hidden="false" customHeight="false" outlineLevel="0" collapsed="false">
      <c r="A2840" s="31"/>
      <c r="B2840" s="32"/>
      <c r="C2840" s="32"/>
      <c r="D2840" s="32"/>
      <c r="E2840" s="32"/>
      <c r="F2840" s="32"/>
      <c r="G2840" s="33"/>
      <c r="H2840" s="33"/>
      <c r="I2840" s="34" t="str">
        <f aca="false">IF($A2840="","",$G2840-$H2840)</f>
        <v/>
      </c>
      <c r="J2840" s="35" t="str">
        <f aca="false">IF($A2840="","",IF(Setup!$B$6=1,YEAR($A2840),YEAR($A2840)+IF(MONTH($A2840)&gt;=Setup!$B$6,1,0)))</f>
        <v/>
      </c>
      <c r="K2840" s="35" t="str">
        <f aca="false">IF($A2840="","",MOD(MONTH($A2840)-Setup!$B$6+12,12)+1)</f>
        <v/>
      </c>
      <c r="L2840" s="36" t="str">
        <f aca="false">IF($A2840="","",TEXT($A2840,"MMM-YY"))</f>
        <v/>
      </c>
      <c r="M2840" s="37" t="str">
        <f aca="false">IF($A2840="","",IF($Q2840=0,"UNMAPPED",INDEX(COA_Mapping!$C$7:$C$256,$Q2840)))</f>
        <v/>
      </c>
      <c r="N2840" s="38" t="str">
        <f aca="false">IF($A2840="","",IF($Q2840=0,"",INDEX(COA_Mapping!$E$7:$E$256,$Q2840)))</f>
        <v/>
      </c>
      <c r="O2840" s="38" t="n">
        <f aca="false">IF($A2840="",1,IF($Q2840=0,1,INDEX(COA_Mapping!$F$7:$F$256,$Q2840)))</f>
        <v>1</v>
      </c>
      <c r="P2840" s="34" t="str">
        <f aca="false">IF($A2840="","",$I2840*$O2840)</f>
        <v/>
      </c>
      <c r="Q2840" s="39" t="n">
        <f aca="false">IF($B2840="",0,IFERROR(MATCH($B2840,COA_Mapping!$A$7:$A$256,0),0))</f>
        <v>0</v>
      </c>
      <c r="R2840" s="39" t="n">
        <f aca="false">IF($A2840="",-1,IF($J2840=Setup!$B$7,1,IF($J2840=Setup!$B$9,0,-1)))</f>
        <v>-1</v>
      </c>
      <c r="S2840" s="35" t="n">
        <f aca="false">IF(OR($A2840="",$Q2840=0,$R2840=-1),0,$Q2840*1000+$R2840*100+$K2840)</f>
        <v>0</v>
      </c>
      <c r="T2840" s="37" t="str">
        <f aca="false">IF($A2840="","",IF($B2840="","NO ACCOUNT",IF($Q2840=0,"UNMAPPED",IF($R2840=-1,"OUTSIDE FY RANGE","OK"))))</f>
        <v/>
      </c>
      <c r="U2840" s="40" t="str">
        <f aca="false">IF($A2840="","",$B2840&amp;"|"&amp;TEXT($A2840,"yyyymmdd")&amp;"|"&amp;TEXT($I2840,"0.00"))</f>
        <v/>
      </c>
      <c r="V2840" s="35" t="str">
        <f aca="false">IF($A2840="","",COUNTIF($U$8:$U$5007,$U2840))</f>
        <v/>
      </c>
    </row>
    <row r="2841" customFormat="false" ht="15" hidden="false" customHeight="false" outlineLevel="0" collapsed="false">
      <c r="A2841" s="31"/>
      <c r="B2841" s="32"/>
      <c r="C2841" s="32"/>
      <c r="D2841" s="32"/>
      <c r="E2841" s="32"/>
      <c r="F2841" s="32"/>
      <c r="G2841" s="33"/>
      <c r="H2841" s="33"/>
      <c r="I2841" s="34" t="str">
        <f aca="false">IF($A2841="","",$G2841-$H2841)</f>
        <v/>
      </c>
      <c r="J2841" s="35" t="str">
        <f aca="false">IF($A2841="","",IF(Setup!$B$6=1,YEAR($A2841),YEAR($A2841)+IF(MONTH($A2841)&gt;=Setup!$B$6,1,0)))</f>
        <v/>
      </c>
      <c r="K2841" s="35" t="str">
        <f aca="false">IF($A2841="","",MOD(MONTH($A2841)-Setup!$B$6+12,12)+1)</f>
        <v/>
      </c>
      <c r="L2841" s="36" t="str">
        <f aca="false">IF($A2841="","",TEXT($A2841,"MMM-YY"))</f>
        <v/>
      </c>
      <c r="M2841" s="37" t="str">
        <f aca="false">IF($A2841="","",IF($Q2841=0,"UNMAPPED",INDEX(COA_Mapping!$C$7:$C$256,$Q2841)))</f>
        <v/>
      </c>
      <c r="N2841" s="38" t="str">
        <f aca="false">IF($A2841="","",IF($Q2841=0,"",INDEX(COA_Mapping!$E$7:$E$256,$Q2841)))</f>
        <v/>
      </c>
      <c r="O2841" s="38" t="n">
        <f aca="false">IF($A2841="",1,IF($Q2841=0,1,INDEX(COA_Mapping!$F$7:$F$256,$Q2841)))</f>
        <v>1</v>
      </c>
      <c r="P2841" s="34" t="str">
        <f aca="false">IF($A2841="","",$I2841*$O2841)</f>
        <v/>
      </c>
      <c r="Q2841" s="39" t="n">
        <f aca="false">IF($B2841="",0,IFERROR(MATCH($B2841,COA_Mapping!$A$7:$A$256,0),0))</f>
        <v>0</v>
      </c>
      <c r="R2841" s="39" t="n">
        <f aca="false">IF($A2841="",-1,IF($J2841=Setup!$B$7,1,IF($J2841=Setup!$B$9,0,-1)))</f>
        <v>-1</v>
      </c>
      <c r="S2841" s="35" t="n">
        <f aca="false">IF(OR($A2841="",$Q2841=0,$R2841=-1),0,$Q2841*1000+$R2841*100+$K2841)</f>
        <v>0</v>
      </c>
      <c r="T2841" s="37" t="str">
        <f aca="false">IF($A2841="","",IF($B2841="","NO ACCOUNT",IF($Q2841=0,"UNMAPPED",IF($R2841=-1,"OUTSIDE FY RANGE","OK"))))</f>
        <v/>
      </c>
      <c r="U2841" s="40" t="str">
        <f aca="false">IF($A2841="","",$B2841&amp;"|"&amp;TEXT($A2841,"yyyymmdd")&amp;"|"&amp;TEXT($I2841,"0.00"))</f>
        <v/>
      </c>
      <c r="V2841" s="35" t="str">
        <f aca="false">IF($A2841="","",COUNTIF($U$8:$U$5007,$U2841))</f>
        <v/>
      </c>
    </row>
    <row r="2842" customFormat="false" ht="15" hidden="false" customHeight="false" outlineLevel="0" collapsed="false">
      <c r="A2842" s="31"/>
      <c r="B2842" s="32"/>
      <c r="C2842" s="32"/>
      <c r="D2842" s="32"/>
      <c r="E2842" s="32"/>
      <c r="F2842" s="32"/>
      <c r="G2842" s="33"/>
      <c r="H2842" s="33"/>
      <c r="I2842" s="34" t="str">
        <f aca="false">IF($A2842="","",$G2842-$H2842)</f>
        <v/>
      </c>
      <c r="J2842" s="35" t="str">
        <f aca="false">IF($A2842="","",IF(Setup!$B$6=1,YEAR($A2842),YEAR($A2842)+IF(MONTH($A2842)&gt;=Setup!$B$6,1,0)))</f>
        <v/>
      </c>
      <c r="K2842" s="35" t="str">
        <f aca="false">IF($A2842="","",MOD(MONTH($A2842)-Setup!$B$6+12,12)+1)</f>
        <v/>
      </c>
      <c r="L2842" s="36" t="str">
        <f aca="false">IF($A2842="","",TEXT($A2842,"MMM-YY"))</f>
        <v/>
      </c>
      <c r="M2842" s="37" t="str">
        <f aca="false">IF($A2842="","",IF($Q2842=0,"UNMAPPED",INDEX(COA_Mapping!$C$7:$C$256,$Q2842)))</f>
        <v/>
      </c>
      <c r="N2842" s="38" t="str">
        <f aca="false">IF($A2842="","",IF($Q2842=0,"",INDEX(COA_Mapping!$E$7:$E$256,$Q2842)))</f>
        <v/>
      </c>
      <c r="O2842" s="38" t="n">
        <f aca="false">IF($A2842="",1,IF($Q2842=0,1,INDEX(COA_Mapping!$F$7:$F$256,$Q2842)))</f>
        <v>1</v>
      </c>
      <c r="P2842" s="34" t="str">
        <f aca="false">IF($A2842="","",$I2842*$O2842)</f>
        <v/>
      </c>
      <c r="Q2842" s="39" t="n">
        <f aca="false">IF($B2842="",0,IFERROR(MATCH($B2842,COA_Mapping!$A$7:$A$256,0),0))</f>
        <v>0</v>
      </c>
      <c r="R2842" s="39" t="n">
        <f aca="false">IF($A2842="",-1,IF($J2842=Setup!$B$7,1,IF($J2842=Setup!$B$9,0,-1)))</f>
        <v>-1</v>
      </c>
      <c r="S2842" s="35" t="n">
        <f aca="false">IF(OR($A2842="",$Q2842=0,$R2842=-1),0,$Q2842*1000+$R2842*100+$K2842)</f>
        <v>0</v>
      </c>
      <c r="T2842" s="37" t="str">
        <f aca="false">IF($A2842="","",IF($B2842="","NO ACCOUNT",IF($Q2842=0,"UNMAPPED",IF($R2842=-1,"OUTSIDE FY RANGE","OK"))))</f>
        <v/>
      </c>
      <c r="U2842" s="40" t="str">
        <f aca="false">IF($A2842="","",$B2842&amp;"|"&amp;TEXT($A2842,"yyyymmdd")&amp;"|"&amp;TEXT($I2842,"0.00"))</f>
        <v/>
      </c>
      <c r="V2842" s="35" t="str">
        <f aca="false">IF($A2842="","",COUNTIF($U$8:$U$5007,$U2842))</f>
        <v/>
      </c>
    </row>
    <row r="2843" customFormat="false" ht="15" hidden="false" customHeight="false" outlineLevel="0" collapsed="false">
      <c r="A2843" s="31"/>
      <c r="B2843" s="32"/>
      <c r="C2843" s="32"/>
      <c r="D2843" s="32"/>
      <c r="E2843" s="32"/>
      <c r="F2843" s="32"/>
      <c r="G2843" s="33"/>
      <c r="H2843" s="33"/>
      <c r="I2843" s="34" t="str">
        <f aca="false">IF($A2843="","",$G2843-$H2843)</f>
        <v/>
      </c>
      <c r="J2843" s="35" t="str">
        <f aca="false">IF($A2843="","",IF(Setup!$B$6=1,YEAR($A2843),YEAR($A2843)+IF(MONTH($A2843)&gt;=Setup!$B$6,1,0)))</f>
        <v/>
      </c>
      <c r="K2843" s="35" t="str">
        <f aca="false">IF($A2843="","",MOD(MONTH($A2843)-Setup!$B$6+12,12)+1)</f>
        <v/>
      </c>
      <c r="L2843" s="36" t="str">
        <f aca="false">IF($A2843="","",TEXT($A2843,"MMM-YY"))</f>
        <v/>
      </c>
      <c r="M2843" s="37" t="str">
        <f aca="false">IF($A2843="","",IF($Q2843=0,"UNMAPPED",INDEX(COA_Mapping!$C$7:$C$256,$Q2843)))</f>
        <v/>
      </c>
      <c r="N2843" s="38" t="str">
        <f aca="false">IF($A2843="","",IF($Q2843=0,"",INDEX(COA_Mapping!$E$7:$E$256,$Q2843)))</f>
        <v/>
      </c>
      <c r="O2843" s="38" t="n">
        <f aca="false">IF($A2843="",1,IF($Q2843=0,1,INDEX(COA_Mapping!$F$7:$F$256,$Q2843)))</f>
        <v>1</v>
      </c>
      <c r="P2843" s="34" t="str">
        <f aca="false">IF($A2843="","",$I2843*$O2843)</f>
        <v/>
      </c>
      <c r="Q2843" s="39" t="n">
        <f aca="false">IF($B2843="",0,IFERROR(MATCH($B2843,COA_Mapping!$A$7:$A$256,0),0))</f>
        <v>0</v>
      </c>
      <c r="R2843" s="39" t="n">
        <f aca="false">IF($A2843="",-1,IF($J2843=Setup!$B$7,1,IF($J2843=Setup!$B$9,0,-1)))</f>
        <v>-1</v>
      </c>
      <c r="S2843" s="35" t="n">
        <f aca="false">IF(OR($A2843="",$Q2843=0,$R2843=-1),0,$Q2843*1000+$R2843*100+$K2843)</f>
        <v>0</v>
      </c>
      <c r="T2843" s="37" t="str">
        <f aca="false">IF($A2843="","",IF($B2843="","NO ACCOUNT",IF($Q2843=0,"UNMAPPED",IF($R2843=-1,"OUTSIDE FY RANGE","OK"))))</f>
        <v/>
      </c>
      <c r="U2843" s="40" t="str">
        <f aca="false">IF($A2843="","",$B2843&amp;"|"&amp;TEXT($A2843,"yyyymmdd")&amp;"|"&amp;TEXT($I2843,"0.00"))</f>
        <v/>
      </c>
      <c r="V2843" s="35" t="str">
        <f aca="false">IF($A2843="","",COUNTIF($U$8:$U$5007,$U2843))</f>
        <v/>
      </c>
    </row>
    <row r="2844" customFormat="false" ht="15" hidden="false" customHeight="false" outlineLevel="0" collapsed="false">
      <c r="A2844" s="31"/>
      <c r="B2844" s="32"/>
      <c r="C2844" s="32"/>
      <c r="D2844" s="32"/>
      <c r="E2844" s="32"/>
      <c r="F2844" s="32"/>
      <c r="G2844" s="33"/>
      <c r="H2844" s="33"/>
      <c r="I2844" s="34" t="str">
        <f aca="false">IF($A2844="","",$G2844-$H2844)</f>
        <v/>
      </c>
      <c r="J2844" s="35" t="str">
        <f aca="false">IF($A2844="","",IF(Setup!$B$6=1,YEAR($A2844),YEAR($A2844)+IF(MONTH($A2844)&gt;=Setup!$B$6,1,0)))</f>
        <v/>
      </c>
      <c r="K2844" s="35" t="str">
        <f aca="false">IF($A2844="","",MOD(MONTH($A2844)-Setup!$B$6+12,12)+1)</f>
        <v/>
      </c>
      <c r="L2844" s="36" t="str">
        <f aca="false">IF($A2844="","",TEXT($A2844,"MMM-YY"))</f>
        <v/>
      </c>
      <c r="M2844" s="37" t="str">
        <f aca="false">IF($A2844="","",IF($Q2844=0,"UNMAPPED",INDEX(COA_Mapping!$C$7:$C$256,$Q2844)))</f>
        <v/>
      </c>
      <c r="N2844" s="38" t="str">
        <f aca="false">IF($A2844="","",IF($Q2844=0,"",INDEX(COA_Mapping!$E$7:$E$256,$Q2844)))</f>
        <v/>
      </c>
      <c r="O2844" s="38" t="n">
        <f aca="false">IF($A2844="",1,IF($Q2844=0,1,INDEX(COA_Mapping!$F$7:$F$256,$Q2844)))</f>
        <v>1</v>
      </c>
      <c r="P2844" s="34" t="str">
        <f aca="false">IF($A2844="","",$I2844*$O2844)</f>
        <v/>
      </c>
      <c r="Q2844" s="39" t="n">
        <f aca="false">IF($B2844="",0,IFERROR(MATCH($B2844,COA_Mapping!$A$7:$A$256,0),0))</f>
        <v>0</v>
      </c>
      <c r="R2844" s="39" t="n">
        <f aca="false">IF($A2844="",-1,IF($J2844=Setup!$B$7,1,IF($J2844=Setup!$B$9,0,-1)))</f>
        <v>-1</v>
      </c>
      <c r="S2844" s="35" t="n">
        <f aca="false">IF(OR($A2844="",$Q2844=0,$R2844=-1),0,$Q2844*1000+$R2844*100+$K2844)</f>
        <v>0</v>
      </c>
      <c r="T2844" s="37" t="str">
        <f aca="false">IF($A2844="","",IF($B2844="","NO ACCOUNT",IF($Q2844=0,"UNMAPPED",IF($R2844=-1,"OUTSIDE FY RANGE","OK"))))</f>
        <v/>
      </c>
      <c r="U2844" s="40" t="str">
        <f aca="false">IF($A2844="","",$B2844&amp;"|"&amp;TEXT($A2844,"yyyymmdd")&amp;"|"&amp;TEXT($I2844,"0.00"))</f>
        <v/>
      </c>
      <c r="V2844" s="35" t="str">
        <f aca="false">IF($A2844="","",COUNTIF($U$8:$U$5007,$U2844))</f>
        <v/>
      </c>
    </row>
    <row r="2845" customFormat="false" ht="15" hidden="false" customHeight="false" outlineLevel="0" collapsed="false">
      <c r="A2845" s="31"/>
      <c r="B2845" s="32"/>
      <c r="C2845" s="32"/>
      <c r="D2845" s="32"/>
      <c r="E2845" s="32"/>
      <c r="F2845" s="32"/>
      <c r="G2845" s="33"/>
      <c r="H2845" s="33"/>
      <c r="I2845" s="34" t="str">
        <f aca="false">IF($A2845="","",$G2845-$H2845)</f>
        <v/>
      </c>
      <c r="J2845" s="35" t="str">
        <f aca="false">IF($A2845="","",IF(Setup!$B$6=1,YEAR($A2845),YEAR($A2845)+IF(MONTH($A2845)&gt;=Setup!$B$6,1,0)))</f>
        <v/>
      </c>
      <c r="K2845" s="35" t="str">
        <f aca="false">IF($A2845="","",MOD(MONTH($A2845)-Setup!$B$6+12,12)+1)</f>
        <v/>
      </c>
      <c r="L2845" s="36" t="str">
        <f aca="false">IF($A2845="","",TEXT($A2845,"MMM-YY"))</f>
        <v/>
      </c>
      <c r="M2845" s="37" t="str">
        <f aca="false">IF($A2845="","",IF($Q2845=0,"UNMAPPED",INDEX(COA_Mapping!$C$7:$C$256,$Q2845)))</f>
        <v/>
      </c>
      <c r="N2845" s="38" t="str">
        <f aca="false">IF($A2845="","",IF($Q2845=0,"",INDEX(COA_Mapping!$E$7:$E$256,$Q2845)))</f>
        <v/>
      </c>
      <c r="O2845" s="38" t="n">
        <f aca="false">IF($A2845="",1,IF($Q2845=0,1,INDEX(COA_Mapping!$F$7:$F$256,$Q2845)))</f>
        <v>1</v>
      </c>
      <c r="P2845" s="34" t="str">
        <f aca="false">IF($A2845="","",$I2845*$O2845)</f>
        <v/>
      </c>
      <c r="Q2845" s="39" t="n">
        <f aca="false">IF($B2845="",0,IFERROR(MATCH($B2845,COA_Mapping!$A$7:$A$256,0),0))</f>
        <v>0</v>
      </c>
      <c r="R2845" s="39" t="n">
        <f aca="false">IF($A2845="",-1,IF($J2845=Setup!$B$7,1,IF($J2845=Setup!$B$9,0,-1)))</f>
        <v>-1</v>
      </c>
      <c r="S2845" s="35" t="n">
        <f aca="false">IF(OR($A2845="",$Q2845=0,$R2845=-1),0,$Q2845*1000+$R2845*100+$K2845)</f>
        <v>0</v>
      </c>
      <c r="T2845" s="37" t="str">
        <f aca="false">IF($A2845="","",IF($B2845="","NO ACCOUNT",IF($Q2845=0,"UNMAPPED",IF($R2845=-1,"OUTSIDE FY RANGE","OK"))))</f>
        <v/>
      </c>
      <c r="U2845" s="40" t="str">
        <f aca="false">IF($A2845="","",$B2845&amp;"|"&amp;TEXT($A2845,"yyyymmdd")&amp;"|"&amp;TEXT($I2845,"0.00"))</f>
        <v/>
      </c>
      <c r="V2845" s="35" t="str">
        <f aca="false">IF($A2845="","",COUNTIF($U$8:$U$5007,$U2845))</f>
        <v/>
      </c>
    </row>
    <row r="2846" customFormat="false" ht="15" hidden="false" customHeight="false" outlineLevel="0" collapsed="false">
      <c r="A2846" s="31"/>
      <c r="B2846" s="32"/>
      <c r="C2846" s="32"/>
      <c r="D2846" s="32"/>
      <c r="E2846" s="32"/>
      <c r="F2846" s="32"/>
      <c r="G2846" s="33"/>
      <c r="H2846" s="33"/>
      <c r="I2846" s="34" t="str">
        <f aca="false">IF($A2846="","",$G2846-$H2846)</f>
        <v/>
      </c>
      <c r="J2846" s="35" t="str">
        <f aca="false">IF($A2846="","",IF(Setup!$B$6=1,YEAR($A2846),YEAR($A2846)+IF(MONTH($A2846)&gt;=Setup!$B$6,1,0)))</f>
        <v/>
      </c>
      <c r="K2846" s="35" t="str">
        <f aca="false">IF($A2846="","",MOD(MONTH($A2846)-Setup!$B$6+12,12)+1)</f>
        <v/>
      </c>
      <c r="L2846" s="36" t="str">
        <f aca="false">IF($A2846="","",TEXT($A2846,"MMM-YY"))</f>
        <v/>
      </c>
      <c r="M2846" s="37" t="str">
        <f aca="false">IF($A2846="","",IF($Q2846=0,"UNMAPPED",INDEX(COA_Mapping!$C$7:$C$256,$Q2846)))</f>
        <v/>
      </c>
      <c r="N2846" s="38" t="str">
        <f aca="false">IF($A2846="","",IF($Q2846=0,"",INDEX(COA_Mapping!$E$7:$E$256,$Q2846)))</f>
        <v/>
      </c>
      <c r="O2846" s="38" t="n">
        <f aca="false">IF($A2846="",1,IF($Q2846=0,1,INDEX(COA_Mapping!$F$7:$F$256,$Q2846)))</f>
        <v>1</v>
      </c>
      <c r="P2846" s="34" t="str">
        <f aca="false">IF($A2846="","",$I2846*$O2846)</f>
        <v/>
      </c>
      <c r="Q2846" s="39" t="n">
        <f aca="false">IF($B2846="",0,IFERROR(MATCH($B2846,COA_Mapping!$A$7:$A$256,0),0))</f>
        <v>0</v>
      </c>
      <c r="R2846" s="39" t="n">
        <f aca="false">IF($A2846="",-1,IF($J2846=Setup!$B$7,1,IF($J2846=Setup!$B$9,0,-1)))</f>
        <v>-1</v>
      </c>
      <c r="S2846" s="35" t="n">
        <f aca="false">IF(OR($A2846="",$Q2846=0,$R2846=-1),0,$Q2846*1000+$R2846*100+$K2846)</f>
        <v>0</v>
      </c>
      <c r="T2846" s="37" t="str">
        <f aca="false">IF($A2846="","",IF($B2846="","NO ACCOUNT",IF($Q2846=0,"UNMAPPED",IF($R2846=-1,"OUTSIDE FY RANGE","OK"))))</f>
        <v/>
      </c>
      <c r="U2846" s="40" t="str">
        <f aca="false">IF($A2846="","",$B2846&amp;"|"&amp;TEXT($A2846,"yyyymmdd")&amp;"|"&amp;TEXT($I2846,"0.00"))</f>
        <v/>
      </c>
      <c r="V2846" s="35" t="str">
        <f aca="false">IF($A2846="","",COUNTIF($U$8:$U$5007,$U2846))</f>
        <v/>
      </c>
    </row>
    <row r="2847" customFormat="false" ht="15" hidden="false" customHeight="false" outlineLevel="0" collapsed="false">
      <c r="A2847" s="31"/>
      <c r="B2847" s="32"/>
      <c r="C2847" s="32"/>
      <c r="D2847" s="32"/>
      <c r="E2847" s="32"/>
      <c r="F2847" s="32"/>
      <c r="G2847" s="33"/>
      <c r="H2847" s="33"/>
      <c r="I2847" s="34" t="str">
        <f aca="false">IF($A2847="","",$G2847-$H2847)</f>
        <v/>
      </c>
      <c r="J2847" s="35" t="str">
        <f aca="false">IF($A2847="","",IF(Setup!$B$6=1,YEAR($A2847),YEAR($A2847)+IF(MONTH($A2847)&gt;=Setup!$B$6,1,0)))</f>
        <v/>
      </c>
      <c r="K2847" s="35" t="str">
        <f aca="false">IF($A2847="","",MOD(MONTH($A2847)-Setup!$B$6+12,12)+1)</f>
        <v/>
      </c>
      <c r="L2847" s="36" t="str">
        <f aca="false">IF($A2847="","",TEXT($A2847,"MMM-YY"))</f>
        <v/>
      </c>
      <c r="M2847" s="37" t="str">
        <f aca="false">IF($A2847="","",IF($Q2847=0,"UNMAPPED",INDEX(COA_Mapping!$C$7:$C$256,$Q2847)))</f>
        <v/>
      </c>
      <c r="N2847" s="38" t="str">
        <f aca="false">IF($A2847="","",IF($Q2847=0,"",INDEX(COA_Mapping!$E$7:$E$256,$Q2847)))</f>
        <v/>
      </c>
      <c r="O2847" s="38" t="n">
        <f aca="false">IF($A2847="",1,IF($Q2847=0,1,INDEX(COA_Mapping!$F$7:$F$256,$Q2847)))</f>
        <v>1</v>
      </c>
      <c r="P2847" s="34" t="str">
        <f aca="false">IF($A2847="","",$I2847*$O2847)</f>
        <v/>
      </c>
      <c r="Q2847" s="39" t="n">
        <f aca="false">IF($B2847="",0,IFERROR(MATCH($B2847,COA_Mapping!$A$7:$A$256,0),0))</f>
        <v>0</v>
      </c>
      <c r="R2847" s="39" t="n">
        <f aca="false">IF($A2847="",-1,IF($J2847=Setup!$B$7,1,IF($J2847=Setup!$B$9,0,-1)))</f>
        <v>-1</v>
      </c>
      <c r="S2847" s="35" t="n">
        <f aca="false">IF(OR($A2847="",$Q2847=0,$R2847=-1),0,$Q2847*1000+$R2847*100+$K2847)</f>
        <v>0</v>
      </c>
      <c r="T2847" s="37" t="str">
        <f aca="false">IF($A2847="","",IF($B2847="","NO ACCOUNT",IF($Q2847=0,"UNMAPPED",IF($R2847=-1,"OUTSIDE FY RANGE","OK"))))</f>
        <v/>
      </c>
      <c r="U2847" s="40" t="str">
        <f aca="false">IF($A2847="","",$B2847&amp;"|"&amp;TEXT($A2847,"yyyymmdd")&amp;"|"&amp;TEXT($I2847,"0.00"))</f>
        <v/>
      </c>
      <c r="V2847" s="35" t="str">
        <f aca="false">IF($A2847="","",COUNTIF($U$8:$U$5007,$U2847))</f>
        <v/>
      </c>
    </row>
    <row r="2848" customFormat="false" ht="15" hidden="false" customHeight="false" outlineLevel="0" collapsed="false">
      <c r="A2848" s="31"/>
      <c r="B2848" s="32"/>
      <c r="C2848" s="32"/>
      <c r="D2848" s="32"/>
      <c r="E2848" s="32"/>
      <c r="F2848" s="32"/>
      <c r="G2848" s="33"/>
      <c r="H2848" s="33"/>
      <c r="I2848" s="34" t="str">
        <f aca="false">IF($A2848="","",$G2848-$H2848)</f>
        <v/>
      </c>
      <c r="J2848" s="35" t="str">
        <f aca="false">IF($A2848="","",IF(Setup!$B$6=1,YEAR($A2848),YEAR($A2848)+IF(MONTH($A2848)&gt;=Setup!$B$6,1,0)))</f>
        <v/>
      </c>
      <c r="K2848" s="35" t="str">
        <f aca="false">IF($A2848="","",MOD(MONTH($A2848)-Setup!$B$6+12,12)+1)</f>
        <v/>
      </c>
      <c r="L2848" s="36" t="str">
        <f aca="false">IF($A2848="","",TEXT($A2848,"MMM-YY"))</f>
        <v/>
      </c>
      <c r="M2848" s="37" t="str">
        <f aca="false">IF($A2848="","",IF($Q2848=0,"UNMAPPED",INDEX(COA_Mapping!$C$7:$C$256,$Q2848)))</f>
        <v/>
      </c>
      <c r="N2848" s="38" t="str">
        <f aca="false">IF($A2848="","",IF($Q2848=0,"",INDEX(COA_Mapping!$E$7:$E$256,$Q2848)))</f>
        <v/>
      </c>
      <c r="O2848" s="38" t="n">
        <f aca="false">IF($A2848="",1,IF($Q2848=0,1,INDEX(COA_Mapping!$F$7:$F$256,$Q2848)))</f>
        <v>1</v>
      </c>
      <c r="P2848" s="34" t="str">
        <f aca="false">IF($A2848="","",$I2848*$O2848)</f>
        <v/>
      </c>
      <c r="Q2848" s="39" t="n">
        <f aca="false">IF($B2848="",0,IFERROR(MATCH($B2848,COA_Mapping!$A$7:$A$256,0),0))</f>
        <v>0</v>
      </c>
      <c r="R2848" s="39" t="n">
        <f aca="false">IF($A2848="",-1,IF($J2848=Setup!$B$7,1,IF($J2848=Setup!$B$9,0,-1)))</f>
        <v>-1</v>
      </c>
      <c r="S2848" s="35" t="n">
        <f aca="false">IF(OR($A2848="",$Q2848=0,$R2848=-1),0,$Q2848*1000+$R2848*100+$K2848)</f>
        <v>0</v>
      </c>
      <c r="T2848" s="37" t="str">
        <f aca="false">IF($A2848="","",IF($B2848="","NO ACCOUNT",IF($Q2848=0,"UNMAPPED",IF($R2848=-1,"OUTSIDE FY RANGE","OK"))))</f>
        <v/>
      </c>
      <c r="U2848" s="40" t="str">
        <f aca="false">IF($A2848="","",$B2848&amp;"|"&amp;TEXT($A2848,"yyyymmdd")&amp;"|"&amp;TEXT($I2848,"0.00"))</f>
        <v/>
      </c>
      <c r="V2848" s="35" t="str">
        <f aca="false">IF($A2848="","",COUNTIF($U$8:$U$5007,$U2848))</f>
        <v/>
      </c>
    </row>
    <row r="2849" customFormat="false" ht="15" hidden="false" customHeight="false" outlineLevel="0" collapsed="false">
      <c r="A2849" s="31"/>
      <c r="B2849" s="32"/>
      <c r="C2849" s="32"/>
      <c r="D2849" s="32"/>
      <c r="E2849" s="32"/>
      <c r="F2849" s="32"/>
      <c r="G2849" s="33"/>
      <c r="H2849" s="33"/>
      <c r="I2849" s="34" t="str">
        <f aca="false">IF($A2849="","",$G2849-$H2849)</f>
        <v/>
      </c>
      <c r="J2849" s="35" t="str">
        <f aca="false">IF($A2849="","",IF(Setup!$B$6=1,YEAR($A2849),YEAR($A2849)+IF(MONTH($A2849)&gt;=Setup!$B$6,1,0)))</f>
        <v/>
      </c>
      <c r="K2849" s="35" t="str">
        <f aca="false">IF($A2849="","",MOD(MONTH($A2849)-Setup!$B$6+12,12)+1)</f>
        <v/>
      </c>
      <c r="L2849" s="36" t="str">
        <f aca="false">IF($A2849="","",TEXT($A2849,"MMM-YY"))</f>
        <v/>
      </c>
      <c r="M2849" s="37" t="str">
        <f aca="false">IF($A2849="","",IF($Q2849=0,"UNMAPPED",INDEX(COA_Mapping!$C$7:$C$256,$Q2849)))</f>
        <v/>
      </c>
      <c r="N2849" s="38" t="str">
        <f aca="false">IF($A2849="","",IF($Q2849=0,"",INDEX(COA_Mapping!$E$7:$E$256,$Q2849)))</f>
        <v/>
      </c>
      <c r="O2849" s="38" t="n">
        <f aca="false">IF($A2849="",1,IF($Q2849=0,1,INDEX(COA_Mapping!$F$7:$F$256,$Q2849)))</f>
        <v>1</v>
      </c>
      <c r="P2849" s="34" t="str">
        <f aca="false">IF($A2849="","",$I2849*$O2849)</f>
        <v/>
      </c>
      <c r="Q2849" s="39" t="n">
        <f aca="false">IF($B2849="",0,IFERROR(MATCH($B2849,COA_Mapping!$A$7:$A$256,0),0))</f>
        <v>0</v>
      </c>
      <c r="R2849" s="39" t="n">
        <f aca="false">IF($A2849="",-1,IF($J2849=Setup!$B$7,1,IF($J2849=Setup!$B$9,0,-1)))</f>
        <v>-1</v>
      </c>
      <c r="S2849" s="35" t="n">
        <f aca="false">IF(OR($A2849="",$Q2849=0,$R2849=-1),0,$Q2849*1000+$R2849*100+$K2849)</f>
        <v>0</v>
      </c>
      <c r="T2849" s="37" t="str">
        <f aca="false">IF($A2849="","",IF($B2849="","NO ACCOUNT",IF($Q2849=0,"UNMAPPED",IF($R2849=-1,"OUTSIDE FY RANGE","OK"))))</f>
        <v/>
      </c>
      <c r="U2849" s="40" t="str">
        <f aca="false">IF($A2849="","",$B2849&amp;"|"&amp;TEXT($A2849,"yyyymmdd")&amp;"|"&amp;TEXT($I2849,"0.00"))</f>
        <v/>
      </c>
      <c r="V2849" s="35" t="str">
        <f aca="false">IF($A2849="","",COUNTIF($U$8:$U$5007,$U2849))</f>
        <v/>
      </c>
    </row>
    <row r="2850" customFormat="false" ht="15" hidden="false" customHeight="false" outlineLevel="0" collapsed="false">
      <c r="A2850" s="31"/>
      <c r="B2850" s="32"/>
      <c r="C2850" s="32"/>
      <c r="D2850" s="32"/>
      <c r="E2850" s="32"/>
      <c r="F2850" s="32"/>
      <c r="G2850" s="33"/>
      <c r="H2850" s="33"/>
      <c r="I2850" s="34" t="str">
        <f aca="false">IF($A2850="","",$G2850-$H2850)</f>
        <v/>
      </c>
      <c r="J2850" s="35" t="str">
        <f aca="false">IF($A2850="","",IF(Setup!$B$6=1,YEAR($A2850),YEAR($A2850)+IF(MONTH($A2850)&gt;=Setup!$B$6,1,0)))</f>
        <v/>
      </c>
      <c r="K2850" s="35" t="str">
        <f aca="false">IF($A2850="","",MOD(MONTH($A2850)-Setup!$B$6+12,12)+1)</f>
        <v/>
      </c>
      <c r="L2850" s="36" t="str">
        <f aca="false">IF($A2850="","",TEXT($A2850,"MMM-YY"))</f>
        <v/>
      </c>
      <c r="M2850" s="37" t="str">
        <f aca="false">IF($A2850="","",IF($Q2850=0,"UNMAPPED",INDEX(COA_Mapping!$C$7:$C$256,$Q2850)))</f>
        <v/>
      </c>
      <c r="N2850" s="38" t="str">
        <f aca="false">IF($A2850="","",IF($Q2850=0,"",INDEX(COA_Mapping!$E$7:$E$256,$Q2850)))</f>
        <v/>
      </c>
      <c r="O2850" s="38" t="n">
        <f aca="false">IF($A2850="",1,IF($Q2850=0,1,INDEX(COA_Mapping!$F$7:$F$256,$Q2850)))</f>
        <v>1</v>
      </c>
      <c r="P2850" s="34" t="str">
        <f aca="false">IF($A2850="","",$I2850*$O2850)</f>
        <v/>
      </c>
      <c r="Q2850" s="39" t="n">
        <f aca="false">IF($B2850="",0,IFERROR(MATCH($B2850,COA_Mapping!$A$7:$A$256,0),0))</f>
        <v>0</v>
      </c>
      <c r="R2850" s="39" t="n">
        <f aca="false">IF($A2850="",-1,IF($J2850=Setup!$B$7,1,IF($J2850=Setup!$B$9,0,-1)))</f>
        <v>-1</v>
      </c>
      <c r="S2850" s="35" t="n">
        <f aca="false">IF(OR($A2850="",$Q2850=0,$R2850=-1),0,$Q2850*1000+$R2850*100+$K2850)</f>
        <v>0</v>
      </c>
      <c r="T2850" s="37" t="str">
        <f aca="false">IF($A2850="","",IF($B2850="","NO ACCOUNT",IF($Q2850=0,"UNMAPPED",IF($R2850=-1,"OUTSIDE FY RANGE","OK"))))</f>
        <v/>
      </c>
      <c r="U2850" s="40" t="str">
        <f aca="false">IF($A2850="","",$B2850&amp;"|"&amp;TEXT($A2850,"yyyymmdd")&amp;"|"&amp;TEXT($I2850,"0.00"))</f>
        <v/>
      </c>
      <c r="V2850" s="35" t="str">
        <f aca="false">IF($A2850="","",COUNTIF($U$8:$U$5007,$U2850))</f>
        <v/>
      </c>
    </row>
    <row r="2851" customFormat="false" ht="15" hidden="false" customHeight="false" outlineLevel="0" collapsed="false">
      <c r="A2851" s="31"/>
      <c r="B2851" s="32"/>
      <c r="C2851" s="32"/>
      <c r="D2851" s="32"/>
      <c r="E2851" s="32"/>
      <c r="F2851" s="32"/>
      <c r="G2851" s="33"/>
      <c r="H2851" s="33"/>
      <c r="I2851" s="34" t="str">
        <f aca="false">IF($A2851="","",$G2851-$H2851)</f>
        <v/>
      </c>
      <c r="J2851" s="35" t="str">
        <f aca="false">IF($A2851="","",IF(Setup!$B$6=1,YEAR($A2851),YEAR($A2851)+IF(MONTH($A2851)&gt;=Setup!$B$6,1,0)))</f>
        <v/>
      </c>
      <c r="K2851" s="35" t="str">
        <f aca="false">IF($A2851="","",MOD(MONTH($A2851)-Setup!$B$6+12,12)+1)</f>
        <v/>
      </c>
      <c r="L2851" s="36" t="str">
        <f aca="false">IF($A2851="","",TEXT($A2851,"MMM-YY"))</f>
        <v/>
      </c>
      <c r="M2851" s="37" t="str">
        <f aca="false">IF($A2851="","",IF($Q2851=0,"UNMAPPED",INDEX(COA_Mapping!$C$7:$C$256,$Q2851)))</f>
        <v/>
      </c>
      <c r="N2851" s="38" t="str">
        <f aca="false">IF($A2851="","",IF($Q2851=0,"",INDEX(COA_Mapping!$E$7:$E$256,$Q2851)))</f>
        <v/>
      </c>
      <c r="O2851" s="38" t="n">
        <f aca="false">IF($A2851="",1,IF($Q2851=0,1,INDEX(COA_Mapping!$F$7:$F$256,$Q2851)))</f>
        <v>1</v>
      </c>
      <c r="P2851" s="34" t="str">
        <f aca="false">IF($A2851="","",$I2851*$O2851)</f>
        <v/>
      </c>
      <c r="Q2851" s="39" t="n">
        <f aca="false">IF($B2851="",0,IFERROR(MATCH($B2851,COA_Mapping!$A$7:$A$256,0),0))</f>
        <v>0</v>
      </c>
      <c r="R2851" s="39" t="n">
        <f aca="false">IF($A2851="",-1,IF($J2851=Setup!$B$7,1,IF($J2851=Setup!$B$9,0,-1)))</f>
        <v>-1</v>
      </c>
      <c r="S2851" s="35" t="n">
        <f aca="false">IF(OR($A2851="",$Q2851=0,$R2851=-1),0,$Q2851*1000+$R2851*100+$K2851)</f>
        <v>0</v>
      </c>
      <c r="T2851" s="37" t="str">
        <f aca="false">IF($A2851="","",IF($B2851="","NO ACCOUNT",IF($Q2851=0,"UNMAPPED",IF($R2851=-1,"OUTSIDE FY RANGE","OK"))))</f>
        <v/>
      </c>
      <c r="U2851" s="40" t="str">
        <f aca="false">IF($A2851="","",$B2851&amp;"|"&amp;TEXT($A2851,"yyyymmdd")&amp;"|"&amp;TEXT($I2851,"0.00"))</f>
        <v/>
      </c>
      <c r="V2851" s="35" t="str">
        <f aca="false">IF($A2851="","",COUNTIF($U$8:$U$5007,$U2851))</f>
        <v/>
      </c>
    </row>
    <row r="2852" customFormat="false" ht="15" hidden="false" customHeight="false" outlineLevel="0" collapsed="false">
      <c r="A2852" s="31"/>
      <c r="B2852" s="32"/>
      <c r="C2852" s="32"/>
      <c r="D2852" s="32"/>
      <c r="E2852" s="32"/>
      <c r="F2852" s="32"/>
      <c r="G2852" s="33"/>
      <c r="H2852" s="33"/>
      <c r="I2852" s="34" t="str">
        <f aca="false">IF($A2852="","",$G2852-$H2852)</f>
        <v/>
      </c>
      <c r="J2852" s="35" t="str">
        <f aca="false">IF($A2852="","",IF(Setup!$B$6=1,YEAR($A2852),YEAR($A2852)+IF(MONTH($A2852)&gt;=Setup!$B$6,1,0)))</f>
        <v/>
      </c>
      <c r="K2852" s="35" t="str">
        <f aca="false">IF($A2852="","",MOD(MONTH($A2852)-Setup!$B$6+12,12)+1)</f>
        <v/>
      </c>
      <c r="L2852" s="36" t="str">
        <f aca="false">IF($A2852="","",TEXT($A2852,"MMM-YY"))</f>
        <v/>
      </c>
      <c r="M2852" s="37" t="str">
        <f aca="false">IF($A2852="","",IF($Q2852=0,"UNMAPPED",INDEX(COA_Mapping!$C$7:$C$256,$Q2852)))</f>
        <v/>
      </c>
      <c r="N2852" s="38" t="str">
        <f aca="false">IF($A2852="","",IF($Q2852=0,"",INDEX(COA_Mapping!$E$7:$E$256,$Q2852)))</f>
        <v/>
      </c>
      <c r="O2852" s="38" t="n">
        <f aca="false">IF($A2852="",1,IF($Q2852=0,1,INDEX(COA_Mapping!$F$7:$F$256,$Q2852)))</f>
        <v>1</v>
      </c>
      <c r="P2852" s="34" t="str">
        <f aca="false">IF($A2852="","",$I2852*$O2852)</f>
        <v/>
      </c>
      <c r="Q2852" s="39" t="n">
        <f aca="false">IF($B2852="",0,IFERROR(MATCH($B2852,COA_Mapping!$A$7:$A$256,0),0))</f>
        <v>0</v>
      </c>
      <c r="R2852" s="39" t="n">
        <f aca="false">IF($A2852="",-1,IF($J2852=Setup!$B$7,1,IF($J2852=Setup!$B$9,0,-1)))</f>
        <v>-1</v>
      </c>
      <c r="S2852" s="35" t="n">
        <f aca="false">IF(OR($A2852="",$Q2852=0,$R2852=-1),0,$Q2852*1000+$R2852*100+$K2852)</f>
        <v>0</v>
      </c>
      <c r="T2852" s="37" t="str">
        <f aca="false">IF($A2852="","",IF($B2852="","NO ACCOUNT",IF($Q2852=0,"UNMAPPED",IF($R2852=-1,"OUTSIDE FY RANGE","OK"))))</f>
        <v/>
      </c>
      <c r="U2852" s="40" t="str">
        <f aca="false">IF($A2852="","",$B2852&amp;"|"&amp;TEXT($A2852,"yyyymmdd")&amp;"|"&amp;TEXT($I2852,"0.00"))</f>
        <v/>
      </c>
      <c r="V2852" s="35" t="str">
        <f aca="false">IF($A2852="","",COUNTIF($U$8:$U$5007,$U2852))</f>
        <v/>
      </c>
    </row>
    <row r="2853" customFormat="false" ht="15" hidden="false" customHeight="false" outlineLevel="0" collapsed="false">
      <c r="A2853" s="31"/>
      <c r="B2853" s="32"/>
      <c r="C2853" s="32"/>
      <c r="D2853" s="32"/>
      <c r="E2853" s="32"/>
      <c r="F2853" s="32"/>
      <c r="G2853" s="33"/>
      <c r="H2853" s="33"/>
      <c r="I2853" s="34" t="str">
        <f aca="false">IF($A2853="","",$G2853-$H2853)</f>
        <v/>
      </c>
      <c r="J2853" s="35" t="str">
        <f aca="false">IF($A2853="","",IF(Setup!$B$6=1,YEAR($A2853),YEAR($A2853)+IF(MONTH($A2853)&gt;=Setup!$B$6,1,0)))</f>
        <v/>
      </c>
      <c r="K2853" s="35" t="str">
        <f aca="false">IF($A2853="","",MOD(MONTH($A2853)-Setup!$B$6+12,12)+1)</f>
        <v/>
      </c>
      <c r="L2853" s="36" t="str">
        <f aca="false">IF($A2853="","",TEXT($A2853,"MMM-YY"))</f>
        <v/>
      </c>
      <c r="M2853" s="37" t="str">
        <f aca="false">IF($A2853="","",IF($Q2853=0,"UNMAPPED",INDEX(COA_Mapping!$C$7:$C$256,$Q2853)))</f>
        <v/>
      </c>
      <c r="N2853" s="38" t="str">
        <f aca="false">IF($A2853="","",IF($Q2853=0,"",INDEX(COA_Mapping!$E$7:$E$256,$Q2853)))</f>
        <v/>
      </c>
      <c r="O2853" s="38" t="n">
        <f aca="false">IF($A2853="",1,IF($Q2853=0,1,INDEX(COA_Mapping!$F$7:$F$256,$Q2853)))</f>
        <v>1</v>
      </c>
      <c r="P2853" s="34" t="str">
        <f aca="false">IF($A2853="","",$I2853*$O2853)</f>
        <v/>
      </c>
      <c r="Q2853" s="39" t="n">
        <f aca="false">IF($B2853="",0,IFERROR(MATCH($B2853,COA_Mapping!$A$7:$A$256,0),0))</f>
        <v>0</v>
      </c>
      <c r="R2853" s="39" t="n">
        <f aca="false">IF($A2853="",-1,IF($J2853=Setup!$B$7,1,IF($J2853=Setup!$B$9,0,-1)))</f>
        <v>-1</v>
      </c>
      <c r="S2853" s="35" t="n">
        <f aca="false">IF(OR($A2853="",$Q2853=0,$R2853=-1),0,$Q2853*1000+$R2853*100+$K2853)</f>
        <v>0</v>
      </c>
      <c r="T2853" s="37" t="str">
        <f aca="false">IF($A2853="","",IF($B2853="","NO ACCOUNT",IF($Q2853=0,"UNMAPPED",IF($R2853=-1,"OUTSIDE FY RANGE","OK"))))</f>
        <v/>
      </c>
      <c r="U2853" s="40" t="str">
        <f aca="false">IF($A2853="","",$B2853&amp;"|"&amp;TEXT($A2853,"yyyymmdd")&amp;"|"&amp;TEXT($I2853,"0.00"))</f>
        <v/>
      </c>
      <c r="V2853" s="35" t="str">
        <f aca="false">IF($A2853="","",COUNTIF($U$8:$U$5007,$U2853))</f>
        <v/>
      </c>
    </row>
    <row r="2854" customFormat="false" ht="15" hidden="false" customHeight="false" outlineLevel="0" collapsed="false">
      <c r="A2854" s="31"/>
      <c r="B2854" s="32"/>
      <c r="C2854" s="32"/>
      <c r="D2854" s="32"/>
      <c r="E2854" s="32"/>
      <c r="F2854" s="32"/>
      <c r="G2854" s="33"/>
      <c r="H2854" s="33"/>
      <c r="I2854" s="34" t="str">
        <f aca="false">IF($A2854="","",$G2854-$H2854)</f>
        <v/>
      </c>
      <c r="J2854" s="35" t="str">
        <f aca="false">IF($A2854="","",IF(Setup!$B$6=1,YEAR($A2854),YEAR($A2854)+IF(MONTH($A2854)&gt;=Setup!$B$6,1,0)))</f>
        <v/>
      </c>
      <c r="K2854" s="35" t="str">
        <f aca="false">IF($A2854="","",MOD(MONTH($A2854)-Setup!$B$6+12,12)+1)</f>
        <v/>
      </c>
      <c r="L2854" s="36" t="str">
        <f aca="false">IF($A2854="","",TEXT($A2854,"MMM-YY"))</f>
        <v/>
      </c>
      <c r="M2854" s="37" t="str">
        <f aca="false">IF($A2854="","",IF($Q2854=0,"UNMAPPED",INDEX(COA_Mapping!$C$7:$C$256,$Q2854)))</f>
        <v/>
      </c>
      <c r="N2854" s="38" t="str">
        <f aca="false">IF($A2854="","",IF($Q2854=0,"",INDEX(COA_Mapping!$E$7:$E$256,$Q2854)))</f>
        <v/>
      </c>
      <c r="O2854" s="38" t="n">
        <f aca="false">IF($A2854="",1,IF($Q2854=0,1,INDEX(COA_Mapping!$F$7:$F$256,$Q2854)))</f>
        <v>1</v>
      </c>
      <c r="P2854" s="34" t="str">
        <f aca="false">IF($A2854="","",$I2854*$O2854)</f>
        <v/>
      </c>
      <c r="Q2854" s="39" t="n">
        <f aca="false">IF($B2854="",0,IFERROR(MATCH($B2854,COA_Mapping!$A$7:$A$256,0),0))</f>
        <v>0</v>
      </c>
      <c r="R2854" s="39" t="n">
        <f aca="false">IF($A2854="",-1,IF($J2854=Setup!$B$7,1,IF($J2854=Setup!$B$9,0,-1)))</f>
        <v>-1</v>
      </c>
      <c r="S2854" s="35" t="n">
        <f aca="false">IF(OR($A2854="",$Q2854=0,$R2854=-1),0,$Q2854*1000+$R2854*100+$K2854)</f>
        <v>0</v>
      </c>
      <c r="T2854" s="37" t="str">
        <f aca="false">IF($A2854="","",IF($B2854="","NO ACCOUNT",IF($Q2854=0,"UNMAPPED",IF($R2854=-1,"OUTSIDE FY RANGE","OK"))))</f>
        <v/>
      </c>
      <c r="U2854" s="40" t="str">
        <f aca="false">IF($A2854="","",$B2854&amp;"|"&amp;TEXT($A2854,"yyyymmdd")&amp;"|"&amp;TEXT($I2854,"0.00"))</f>
        <v/>
      </c>
      <c r="V2854" s="35" t="str">
        <f aca="false">IF($A2854="","",COUNTIF($U$8:$U$5007,$U2854))</f>
        <v/>
      </c>
    </row>
    <row r="2855" customFormat="false" ht="15" hidden="false" customHeight="false" outlineLevel="0" collapsed="false">
      <c r="A2855" s="31"/>
      <c r="B2855" s="32"/>
      <c r="C2855" s="32"/>
      <c r="D2855" s="32"/>
      <c r="E2855" s="32"/>
      <c r="F2855" s="32"/>
      <c r="G2855" s="33"/>
      <c r="H2855" s="33"/>
      <c r="I2855" s="34" t="str">
        <f aca="false">IF($A2855="","",$G2855-$H2855)</f>
        <v/>
      </c>
      <c r="J2855" s="35" t="str">
        <f aca="false">IF($A2855="","",IF(Setup!$B$6=1,YEAR($A2855),YEAR($A2855)+IF(MONTH($A2855)&gt;=Setup!$B$6,1,0)))</f>
        <v/>
      </c>
      <c r="K2855" s="35" t="str">
        <f aca="false">IF($A2855="","",MOD(MONTH($A2855)-Setup!$B$6+12,12)+1)</f>
        <v/>
      </c>
      <c r="L2855" s="36" t="str">
        <f aca="false">IF($A2855="","",TEXT($A2855,"MMM-YY"))</f>
        <v/>
      </c>
      <c r="M2855" s="37" t="str">
        <f aca="false">IF($A2855="","",IF($Q2855=0,"UNMAPPED",INDEX(COA_Mapping!$C$7:$C$256,$Q2855)))</f>
        <v/>
      </c>
      <c r="N2855" s="38" t="str">
        <f aca="false">IF($A2855="","",IF($Q2855=0,"",INDEX(COA_Mapping!$E$7:$E$256,$Q2855)))</f>
        <v/>
      </c>
      <c r="O2855" s="38" t="n">
        <f aca="false">IF($A2855="",1,IF($Q2855=0,1,INDEX(COA_Mapping!$F$7:$F$256,$Q2855)))</f>
        <v>1</v>
      </c>
      <c r="P2855" s="34" t="str">
        <f aca="false">IF($A2855="","",$I2855*$O2855)</f>
        <v/>
      </c>
      <c r="Q2855" s="39" t="n">
        <f aca="false">IF($B2855="",0,IFERROR(MATCH($B2855,COA_Mapping!$A$7:$A$256,0),0))</f>
        <v>0</v>
      </c>
      <c r="R2855" s="39" t="n">
        <f aca="false">IF($A2855="",-1,IF($J2855=Setup!$B$7,1,IF($J2855=Setup!$B$9,0,-1)))</f>
        <v>-1</v>
      </c>
      <c r="S2855" s="35" t="n">
        <f aca="false">IF(OR($A2855="",$Q2855=0,$R2855=-1),0,$Q2855*1000+$R2855*100+$K2855)</f>
        <v>0</v>
      </c>
      <c r="T2855" s="37" t="str">
        <f aca="false">IF($A2855="","",IF($B2855="","NO ACCOUNT",IF($Q2855=0,"UNMAPPED",IF($R2855=-1,"OUTSIDE FY RANGE","OK"))))</f>
        <v/>
      </c>
      <c r="U2855" s="40" t="str">
        <f aca="false">IF($A2855="","",$B2855&amp;"|"&amp;TEXT($A2855,"yyyymmdd")&amp;"|"&amp;TEXT($I2855,"0.00"))</f>
        <v/>
      </c>
      <c r="V2855" s="35" t="str">
        <f aca="false">IF($A2855="","",COUNTIF($U$8:$U$5007,$U2855))</f>
        <v/>
      </c>
    </row>
    <row r="2856" customFormat="false" ht="15" hidden="false" customHeight="false" outlineLevel="0" collapsed="false">
      <c r="A2856" s="31"/>
      <c r="B2856" s="32"/>
      <c r="C2856" s="32"/>
      <c r="D2856" s="32"/>
      <c r="E2856" s="32"/>
      <c r="F2856" s="32"/>
      <c r="G2856" s="33"/>
      <c r="H2856" s="33"/>
      <c r="I2856" s="34" t="str">
        <f aca="false">IF($A2856="","",$G2856-$H2856)</f>
        <v/>
      </c>
      <c r="J2856" s="35" t="str">
        <f aca="false">IF($A2856="","",IF(Setup!$B$6=1,YEAR($A2856),YEAR($A2856)+IF(MONTH($A2856)&gt;=Setup!$B$6,1,0)))</f>
        <v/>
      </c>
      <c r="K2856" s="35" t="str">
        <f aca="false">IF($A2856="","",MOD(MONTH($A2856)-Setup!$B$6+12,12)+1)</f>
        <v/>
      </c>
      <c r="L2856" s="36" t="str">
        <f aca="false">IF($A2856="","",TEXT($A2856,"MMM-YY"))</f>
        <v/>
      </c>
      <c r="M2856" s="37" t="str">
        <f aca="false">IF($A2856="","",IF($Q2856=0,"UNMAPPED",INDEX(COA_Mapping!$C$7:$C$256,$Q2856)))</f>
        <v/>
      </c>
      <c r="N2856" s="38" t="str">
        <f aca="false">IF($A2856="","",IF($Q2856=0,"",INDEX(COA_Mapping!$E$7:$E$256,$Q2856)))</f>
        <v/>
      </c>
      <c r="O2856" s="38" t="n">
        <f aca="false">IF($A2856="",1,IF($Q2856=0,1,INDEX(COA_Mapping!$F$7:$F$256,$Q2856)))</f>
        <v>1</v>
      </c>
      <c r="P2856" s="34" t="str">
        <f aca="false">IF($A2856="","",$I2856*$O2856)</f>
        <v/>
      </c>
      <c r="Q2856" s="39" t="n">
        <f aca="false">IF($B2856="",0,IFERROR(MATCH($B2856,COA_Mapping!$A$7:$A$256,0),0))</f>
        <v>0</v>
      </c>
      <c r="R2856" s="39" t="n">
        <f aca="false">IF($A2856="",-1,IF($J2856=Setup!$B$7,1,IF($J2856=Setup!$B$9,0,-1)))</f>
        <v>-1</v>
      </c>
      <c r="S2856" s="35" t="n">
        <f aca="false">IF(OR($A2856="",$Q2856=0,$R2856=-1),0,$Q2856*1000+$R2856*100+$K2856)</f>
        <v>0</v>
      </c>
      <c r="T2856" s="37" t="str">
        <f aca="false">IF($A2856="","",IF($B2856="","NO ACCOUNT",IF($Q2856=0,"UNMAPPED",IF($R2856=-1,"OUTSIDE FY RANGE","OK"))))</f>
        <v/>
      </c>
      <c r="U2856" s="40" t="str">
        <f aca="false">IF($A2856="","",$B2856&amp;"|"&amp;TEXT($A2856,"yyyymmdd")&amp;"|"&amp;TEXT($I2856,"0.00"))</f>
        <v/>
      </c>
      <c r="V2856" s="35" t="str">
        <f aca="false">IF($A2856="","",COUNTIF($U$8:$U$5007,$U2856))</f>
        <v/>
      </c>
    </row>
    <row r="2857" customFormat="false" ht="15" hidden="false" customHeight="false" outlineLevel="0" collapsed="false">
      <c r="A2857" s="31"/>
      <c r="B2857" s="32"/>
      <c r="C2857" s="32"/>
      <c r="D2857" s="32"/>
      <c r="E2857" s="32"/>
      <c r="F2857" s="32"/>
      <c r="G2857" s="33"/>
      <c r="H2857" s="33"/>
      <c r="I2857" s="34" t="str">
        <f aca="false">IF($A2857="","",$G2857-$H2857)</f>
        <v/>
      </c>
      <c r="J2857" s="35" t="str">
        <f aca="false">IF($A2857="","",IF(Setup!$B$6=1,YEAR($A2857),YEAR($A2857)+IF(MONTH($A2857)&gt;=Setup!$B$6,1,0)))</f>
        <v/>
      </c>
      <c r="K2857" s="35" t="str">
        <f aca="false">IF($A2857="","",MOD(MONTH($A2857)-Setup!$B$6+12,12)+1)</f>
        <v/>
      </c>
      <c r="L2857" s="36" t="str">
        <f aca="false">IF($A2857="","",TEXT($A2857,"MMM-YY"))</f>
        <v/>
      </c>
      <c r="M2857" s="37" t="str">
        <f aca="false">IF($A2857="","",IF($Q2857=0,"UNMAPPED",INDEX(COA_Mapping!$C$7:$C$256,$Q2857)))</f>
        <v/>
      </c>
      <c r="N2857" s="38" t="str">
        <f aca="false">IF($A2857="","",IF($Q2857=0,"",INDEX(COA_Mapping!$E$7:$E$256,$Q2857)))</f>
        <v/>
      </c>
      <c r="O2857" s="38" t="n">
        <f aca="false">IF($A2857="",1,IF($Q2857=0,1,INDEX(COA_Mapping!$F$7:$F$256,$Q2857)))</f>
        <v>1</v>
      </c>
      <c r="P2857" s="34" t="str">
        <f aca="false">IF($A2857="","",$I2857*$O2857)</f>
        <v/>
      </c>
      <c r="Q2857" s="39" t="n">
        <f aca="false">IF($B2857="",0,IFERROR(MATCH($B2857,COA_Mapping!$A$7:$A$256,0),0))</f>
        <v>0</v>
      </c>
      <c r="R2857" s="39" t="n">
        <f aca="false">IF($A2857="",-1,IF($J2857=Setup!$B$7,1,IF($J2857=Setup!$B$9,0,-1)))</f>
        <v>-1</v>
      </c>
      <c r="S2857" s="35" t="n">
        <f aca="false">IF(OR($A2857="",$Q2857=0,$R2857=-1),0,$Q2857*1000+$R2857*100+$K2857)</f>
        <v>0</v>
      </c>
      <c r="T2857" s="37" t="str">
        <f aca="false">IF($A2857="","",IF($B2857="","NO ACCOUNT",IF($Q2857=0,"UNMAPPED",IF($R2857=-1,"OUTSIDE FY RANGE","OK"))))</f>
        <v/>
      </c>
      <c r="U2857" s="40" t="str">
        <f aca="false">IF($A2857="","",$B2857&amp;"|"&amp;TEXT($A2857,"yyyymmdd")&amp;"|"&amp;TEXT($I2857,"0.00"))</f>
        <v/>
      </c>
      <c r="V2857" s="35" t="str">
        <f aca="false">IF($A2857="","",COUNTIF($U$8:$U$5007,$U2857))</f>
        <v/>
      </c>
    </row>
    <row r="2858" customFormat="false" ht="15" hidden="false" customHeight="false" outlineLevel="0" collapsed="false">
      <c r="A2858" s="31"/>
      <c r="B2858" s="32"/>
      <c r="C2858" s="32"/>
      <c r="D2858" s="32"/>
      <c r="E2858" s="32"/>
      <c r="F2858" s="32"/>
      <c r="G2858" s="33"/>
      <c r="H2858" s="33"/>
      <c r="I2858" s="34" t="str">
        <f aca="false">IF($A2858="","",$G2858-$H2858)</f>
        <v/>
      </c>
      <c r="J2858" s="35" t="str">
        <f aca="false">IF($A2858="","",IF(Setup!$B$6=1,YEAR($A2858),YEAR($A2858)+IF(MONTH($A2858)&gt;=Setup!$B$6,1,0)))</f>
        <v/>
      </c>
      <c r="K2858" s="35" t="str">
        <f aca="false">IF($A2858="","",MOD(MONTH($A2858)-Setup!$B$6+12,12)+1)</f>
        <v/>
      </c>
      <c r="L2858" s="36" t="str">
        <f aca="false">IF($A2858="","",TEXT($A2858,"MMM-YY"))</f>
        <v/>
      </c>
      <c r="M2858" s="37" t="str">
        <f aca="false">IF($A2858="","",IF($Q2858=0,"UNMAPPED",INDEX(COA_Mapping!$C$7:$C$256,$Q2858)))</f>
        <v/>
      </c>
      <c r="N2858" s="38" t="str">
        <f aca="false">IF($A2858="","",IF($Q2858=0,"",INDEX(COA_Mapping!$E$7:$E$256,$Q2858)))</f>
        <v/>
      </c>
      <c r="O2858" s="38" t="n">
        <f aca="false">IF($A2858="",1,IF($Q2858=0,1,INDEX(COA_Mapping!$F$7:$F$256,$Q2858)))</f>
        <v>1</v>
      </c>
      <c r="P2858" s="34" t="str">
        <f aca="false">IF($A2858="","",$I2858*$O2858)</f>
        <v/>
      </c>
      <c r="Q2858" s="39" t="n">
        <f aca="false">IF($B2858="",0,IFERROR(MATCH($B2858,COA_Mapping!$A$7:$A$256,0),0))</f>
        <v>0</v>
      </c>
      <c r="R2858" s="39" t="n">
        <f aca="false">IF($A2858="",-1,IF($J2858=Setup!$B$7,1,IF($J2858=Setup!$B$9,0,-1)))</f>
        <v>-1</v>
      </c>
      <c r="S2858" s="35" t="n">
        <f aca="false">IF(OR($A2858="",$Q2858=0,$R2858=-1),0,$Q2858*1000+$R2858*100+$K2858)</f>
        <v>0</v>
      </c>
      <c r="T2858" s="37" t="str">
        <f aca="false">IF($A2858="","",IF($B2858="","NO ACCOUNT",IF($Q2858=0,"UNMAPPED",IF($R2858=-1,"OUTSIDE FY RANGE","OK"))))</f>
        <v/>
      </c>
      <c r="U2858" s="40" t="str">
        <f aca="false">IF($A2858="","",$B2858&amp;"|"&amp;TEXT($A2858,"yyyymmdd")&amp;"|"&amp;TEXT($I2858,"0.00"))</f>
        <v/>
      </c>
      <c r="V2858" s="35" t="str">
        <f aca="false">IF($A2858="","",COUNTIF($U$8:$U$5007,$U2858))</f>
        <v/>
      </c>
    </row>
    <row r="2859" customFormat="false" ht="15" hidden="false" customHeight="false" outlineLevel="0" collapsed="false">
      <c r="A2859" s="31"/>
      <c r="B2859" s="32"/>
      <c r="C2859" s="32"/>
      <c r="D2859" s="32"/>
      <c r="E2859" s="32"/>
      <c r="F2859" s="32"/>
      <c r="G2859" s="33"/>
      <c r="H2859" s="33"/>
      <c r="I2859" s="34" t="str">
        <f aca="false">IF($A2859="","",$G2859-$H2859)</f>
        <v/>
      </c>
      <c r="J2859" s="35" t="str">
        <f aca="false">IF($A2859="","",IF(Setup!$B$6=1,YEAR($A2859),YEAR($A2859)+IF(MONTH($A2859)&gt;=Setup!$B$6,1,0)))</f>
        <v/>
      </c>
      <c r="K2859" s="35" t="str">
        <f aca="false">IF($A2859="","",MOD(MONTH($A2859)-Setup!$B$6+12,12)+1)</f>
        <v/>
      </c>
      <c r="L2859" s="36" t="str">
        <f aca="false">IF($A2859="","",TEXT($A2859,"MMM-YY"))</f>
        <v/>
      </c>
      <c r="M2859" s="37" t="str">
        <f aca="false">IF($A2859="","",IF($Q2859=0,"UNMAPPED",INDEX(COA_Mapping!$C$7:$C$256,$Q2859)))</f>
        <v/>
      </c>
      <c r="N2859" s="38" t="str">
        <f aca="false">IF($A2859="","",IF($Q2859=0,"",INDEX(COA_Mapping!$E$7:$E$256,$Q2859)))</f>
        <v/>
      </c>
      <c r="O2859" s="38" t="n">
        <f aca="false">IF($A2859="",1,IF($Q2859=0,1,INDEX(COA_Mapping!$F$7:$F$256,$Q2859)))</f>
        <v>1</v>
      </c>
      <c r="P2859" s="34" t="str">
        <f aca="false">IF($A2859="","",$I2859*$O2859)</f>
        <v/>
      </c>
      <c r="Q2859" s="39" t="n">
        <f aca="false">IF($B2859="",0,IFERROR(MATCH($B2859,COA_Mapping!$A$7:$A$256,0),0))</f>
        <v>0</v>
      </c>
      <c r="R2859" s="39" t="n">
        <f aca="false">IF($A2859="",-1,IF($J2859=Setup!$B$7,1,IF($J2859=Setup!$B$9,0,-1)))</f>
        <v>-1</v>
      </c>
      <c r="S2859" s="35" t="n">
        <f aca="false">IF(OR($A2859="",$Q2859=0,$R2859=-1),0,$Q2859*1000+$R2859*100+$K2859)</f>
        <v>0</v>
      </c>
      <c r="T2859" s="37" t="str">
        <f aca="false">IF($A2859="","",IF($B2859="","NO ACCOUNT",IF($Q2859=0,"UNMAPPED",IF($R2859=-1,"OUTSIDE FY RANGE","OK"))))</f>
        <v/>
      </c>
      <c r="U2859" s="40" t="str">
        <f aca="false">IF($A2859="","",$B2859&amp;"|"&amp;TEXT($A2859,"yyyymmdd")&amp;"|"&amp;TEXT($I2859,"0.00"))</f>
        <v/>
      </c>
      <c r="V2859" s="35" t="str">
        <f aca="false">IF($A2859="","",COUNTIF($U$8:$U$5007,$U2859))</f>
        <v/>
      </c>
    </row>
    <row r="2860" customFormat="false" ht="15" hidden="false" customHeight="false" outlineLevel="0" collapsed="false">
      <c r="A2860" s="31"/>
      <c r="B2860" s="32"/>
      <c r="C2860" s="32"/>
      <c r="D2860" s="32"/>
      <c r="E2860" s="32"/>
      <c r="F2860" s="32"/>
      <c r="G2860" s="33"/>
      <c r="H2860" s="33"/>
      <c r="I2860" s="34" t="str">
        <f aca="false">IF($A2860="","",$G2860-$H2860)</f>
        <v/>
      </c>
      <c r="J2860" s="35" t="str">
        <f aca="false">IF($A2860="","",IF(Setup!$B$6=1,YEAR($A2860),YEAR($A2860)+IF(MONTH($A2860)&gt;=Setup!$B$6,1,0)))</f>
        <v/>
      </c>
      <c r="K2860" s="35" t="str">
        <f aca="false">IF($A2860="","",MOD(MONTH($A2860)-Setup!$B$6+12,12)+1)</f>
        <v/>
      </c>
      <c r="L2860" s="36" t="str">
        <f aca="false">IF($A2860="","",TEXT($A2860,"MMM-YY"))</f>
        <v/>
      </c>
      <c r="M2860" s="37" t="str">
        <f aca="false">IF($A2860="","",IF($Q2860=0,"UNMAPPED",INDEX(COA_Mapping!$C$7:$C$256,$Q2860)))</f>
        <v/>
      </c>
      <c r="N2860" s="38" t="str">
        <f aca="false">IF($A2860="","",IF($Q2860=0,"",INDEX(COA_Mapping!$E$7:$E$256,$Q2860)))</f>
        <v/>
      </c>
      <c r="O2860" s="38" t="n">
        <f aca="false">IF($A2860="",1,IF($Q2860=0,1,INDEX(COA_Mapping!$F$7:$F$256,$Q2860)))</f>
        <v>1</v>
      </c>
      <c r="P2860" s="34" t="str">
        <f aca="false">IF($A2860="","",$I2860*$O2860)</f>
        <v/>
      </c>
      <c r="Q2860" s="39" t="n">
        <f aca="false">IF($B2860="",0,IFERROR(MATCH($B2860,COA_Mapping!$A$7:$A$256,0),0))</f>
        <v>0</v>
      </c>
      <c r="R2860" s="39" t="n">
        <f aca="false">IF($A2860="",-1,IF($J2860=Setup!$B$7,1,IF($J2860=Setup!$B$9,0,-1)))</f>
        <v>-1</v>
      </c>
      <c r="S2860" s="35" t="n">
        <f aca="false">IF(OR($A2860="",$Q2860=0,$R2860=-1),0,$Q2860*1000+$R2860*100+$K2860)</f>
        <v>0</v>
      </c>
      <c r="T2860" s="37" t="str">
        <f aca="false">IF($A2860="","",IF($B2860="","NO ACCOUNT",IF($Q2860=0,"UNMAPPED",IF($R2860=-1,"OUTSIDE FY RANGE","OK"))))</f>
        <v/>
      </c>
      <c r="U2860" s="40" t="str">
        <f aca="false">IF($A2860="","",$B2860&amp;"|"&amp;TEXT($A2860,"yyyymmdd")&amp;"|"&amp;TEXT($I2860,"0.00"))</f>
        <v/>
      </c>
      <c r="V2860" s="35" t="str">
        <f aca="false">IF($A2860="","",COUNTIF($U$8:$U$5007,$U2860))</f>
        <v/>
      </c>
    </row>
    <row r="2861" customFormat="false" ht="15" hidden="false" customHeight="false" outlineLevel="0" collapsed="false">
      <c r="A2861" s="31"/>
      <c r="B2861" s="32"/>
      <c r="C2861" s="32"/>
      <c r="D2861" s="32"/>
      <c r="E2861" s="32"/>
      <c r="F2861" s="32"/>
      <c r="G2861" s="33"/>
      <c r="H2861" s="33"/>
      <c r="I2861" s="34" t="str">
        <f aca="false">IF($A2861="","",$G2861-$H2861)</f>
        <v/>
      </c>
      <c r="J2861" s="35" t="str">
        <f aca="false">IF($A2861="","",IF(Setup!$B$6=1,YEAR($A2861),YEAR($A2861)+IF(MONTH($A2861)&gt;=Setup!$B$6,1,0)))</f>
        <v/>
      </c>
      <c r="K2861" s="35" t="str">
        <f aca="false">IF($A2861="","",MOD(MONTH($A2861)-Setup!$B$6+12,12)+1)</f>
        <v/>
      </c>
      <c r="L2861" s="36" t="str">
        <f aca="false">IF($A2861="","",TEXT($A2861,"MMM-YY"))</f>
        <v/>
      </c>
      <c r="M2861" s="37" t="str">
        <f aca="false">IF($A2861="","",IF($Q2861=0,"UNMAPPED",INDEX(COA_Mapping!$C$7:$C$256,$Q2861)))</f>
        <v/>
      </c>
      <c r="N2861" s="38" t="str">
        <f aca="false">IF($A2861="","",IF($Q2861=0,"",INDEX(COA_Mapping!$E$7:$E$256,$Q2861)))</f>
        <v/>
      </c>
      <c r="O2861" s="38" t="n">
        <f aca="false">IF($A2861="",1,IF($Q2861=0,1,INDEX(COA_Mapping!$F$7:$F$256,$Q2861)))</f>
        <v>1</v>
      </c>
      <c r="P2861" s="34" t="str">
        <f aca="false">IF($A2861="","",$I2861*$O2861)</f>
        <v/>
      </c>
      <c r="Q2861" s="39" t="n">
        <f aca="false">IF($B2861="",0,IFERROR(MATCH($B2861,COA_Mapping!$A$7:$A$256,0),0))</f>
        <v>0</v>
      </c>
      <c r="R2861" s="39" t="n">
        <f aca="false">IF($A2861="",-1,IF($J2861=Setup!$B$7,1,IF($J2861=Setup!$B$9,0,-1)))</f>
        <v>-1</v>
      </c>
      <c r="S2861" s="35" t="n">
        <f aca="false">IF(OR($A2861="",$Q2861=0,$R2861=-1),0,$Q2861*1000+$R2861*100+$K2861)</f>
        <v>0</v>
      </c>
      <c r="T2861" s="37" t="str">
        <f aca="false">IF($A2861="","",IF($B2861="","NO ACCOUNT",IF($Q2861=0,"UNMAPPED",IF($R2861=-1,"OUTSIDE FY RANGE","OK"))))</f>
        <v/>
      </c>
      <c r="U2861" s="40" t="str">
        <f aca="false">IF($A2861="","",$B2861&amp;"|"&amp;TEXT($A2861,"yyyymmdd")&amp;"|"&amp;TEXT($I2861,"0.00"))</f>
        <v/>
      </c>
      <c r="V2861" s="35" t="str">
        <f aca="false">IF($A2861="","",COUNTIF($U$8:$U$5007,$U2861))</f>
        <v/>
      </c>
    </row>
    <row r="2862" customFormat="false" ht="15" hidden="false" customHeight="false" outlineLevel="0" collapsed="false">
      <c r="A2862" s="31"/>
      <c r="B2862" s="32"/>
      <c r="C2862" s="32"/>
      <c r="D2862" s="32"/>
      <c r="E2862" s="32"/>
      <c r="F2862" s="32"/>
      <c r="G2862" s="33"/>
      <c r="H2862" s="33"/>
      <c r="I2862" s="34" t="str">
        <f aca="false">IF($A2862="","",$G2862-$H2862)</f>
        <v/>
      </c>
      <c r="J2862" s="35" t="str">
        <f aca="false">IF($A2862="","",IF(Setup!$B$6=1,YEAR($A2862),YEAR($A2862)+IF(MONTH($A2862)&gt;=Setup!$B$6,1,0)))</f>
        <v/>
      </c>
      <c r="K2862" s="35" t="str">
        <f aca="false">IF($A2862="","",MOD(MONTH($A2862)-Setup!$B$6+12,12)+1)</f>
        <v/>
      </c>
      <c r="L2862" s="36" t="str">
        <f aca="false">IF($A2862="","",TEXT($A2862,"MMM-YY"))</f>
        <v/>
      </c>
      <c r="M2862" s="37" t="str">
        <f aca="false">IF($A2862="","",IF($Q2862=0,"UNMAPPED",INDEX(COA_Mapping!$C$7:$C$256,$Q2862)))</f>
        <v/>
      </c>
      <c r="N2862" s="38" t="str">
        <f aca="false">IF($A2862="","",IF($Q2862=0,"",INDEX(COA_Mapping!$E$7:$E$256,$Q2862)))</f>
        <v/>
      </c>
      <c r="O2862" s="38" t="n">
        <f aca="false">IF($A2862="",1,IF($Q2862=0,1,INDEX(COA_Mapping!$F$7:$F$256,$Q2862)))</f>
        <v>1</v>
      </c>
      <c r="P2862" s="34" t="str">
        <f aca="false">IF($A2862="","",$I2862*$O2862)</f>
        <v/>
      </c>
      <c r="Q2862" s="39" t="n">
        <f aca="false">IF($B2862="",0,IFERROR(MATCH($B2862,COA_Mapping!$A$7:$A$256,0),0))</f>
        <v>0</v>
      </c>
      <c r="R2862" s="39" t="n">
        <f aca="false">IF($A2862="",-1,IF($J2862=Setup!$B$7,1,IF($J2862=Setup!$B$9,0,-1)))</f>
        <v>-1</v>
      </c>
      <c r="S2862" s="35" t="n">
        <f aca="false">IF(OR($A2862="",$Q2862=0,$R2862=-1),0,$Q2862*1000+$R2862*100+$K2862)</f>
        <v>0</v>
      </c>
      <c r="T2862" s="37" t="str">
        <f aca="false">IF($A2862="","",IF($B2862="","NO ACCOUNT",IF($Q2862=0,"UNMAPPED",IF($R2862=-1,"OUTSIDE FY RANGE","OK"))))</f>
        <v/>
      </c>
      <c r="U2862" s="40" t="str">
        <f aca="false">IF($A2862="","",$B2862&amp;"|"&amp;TEXT($A2862,"yyyymmdd")&amp;"|"&amp;TEXT($I2862,"0.00"))</f>
        <v/>
      </c>
      <c r="V2862" s="35" t="str">
        <f aca="false">IF($A2862="","",COUNTIF($U$8:$U$5007,$U2862))</f>
        <v/>
      </c>
    </row>
    <row r="2863" customFormat="false" ht="15" hidden="false" customHeight="false" outlineLevel="0" collapsed="false">
      <c r="A2863" s="31"/>
      <c r="B2863" s="32"/>
      <c r="C2863" s="32"/>
      <c r="D2863" s="32"/>
      <c r="E2863" s="32"/>
      <c r="F2863" s="32"/>
      <c r="G2863" s="33"/>
      <c r="H2863" s="33"/>
      <c r="I2863" s="34" t="str">
        <f aca="false">IF($A2863="","",$G2863-$H2863)</f>
        <v/>
      </c>
      <c r="J2863" s="35" t="str">
        <f aca="false">IF($A2863="","",IF(Setup!$B$6=1,YEAR($A2863),YEAR($A2863)+IF(MONTH($A2863)&gt;=Setup!$B$6,1,0)))</f>
        <v/>
      </c>
      <c r="K2863" s="35" t="str">
        <f aca="false">IF($A2863="","",MOD(MONTH($A2863)-Setup!$B$6+12,12)+1)</f>
        <v/>
      </c>
      <c r="L2863" s="36" t="str">
        <f aca="false">IF($A2863="","",TEXT($A2863,"MMM-YY"))</f>
        <v/>
      </c>
      <c r="M2863" s="37" t="str">
        <f aca="false">IF($A2863="","",IF($Q2863=0,"UNMAPPED",INDEX(COA_Mapping!$C$7:$C$256,$Q2863)))</f>
        <v/>
      </c>
      <c r="N2863" s="38" t="str">
        <f aca="false">IF($A2863="","",IF($Q2863=0,"",INDEX(COA_Mapping!$E$7:$E$256,$Q2863)))</f>
        <v/>
      </c>
      <c r="O2863" s="38" t="n">
        <f aca="false">IF($A2863="",1,IF($Q2863=0,1,INDEX(COA_Mapping!$F$7:$F$256,$Q2863)))</f>
        <v>1</v>
      </c>
      <c r="P2863" s="34" t="str">
        <f aca="false">IF($A2863="","",$I2863*$O2863)</f>
        <v/>
      </c>
      <c r="Q2863" s="39" t="n">
        <f aca="false">IF($B2863="",0,IFERROR(MATCH($B2863,COA_Mapping!$A$7:$A$256,0),0))</f>
        <v>0</v>
      </c>
      <c r="R2863" s="39" t="n">
        <f aca="false">IF($A2863="",-1,IF($J2863=Setup!$B$7,1,IF($J2863=Setup!$B$9,0,-1)))</f>
        <v>-1</v>
      </c>
      <c r="S2863" s="35" t="n">
        <f aca="false">IF(OR($A2863="",$Q2863=0,$R2863=-1),0,$Q2863*1000+$R2863*100+$K2863)</f>
        <v>0</v>
      </c>
      <c r="T2863" s="37" t="str">
        <f aca="false">IF($A2863="","",IF($B2863="","NO ACCOUNT",IF($Q2863=0,"UNMAPPED",IF($R2863=-1,"OUTSIDE FY RANGE","OK"))))</f>
        <v/>
      </c>
      <c r="U2863" s="40" t="str">
        <f aca="false">IF($A2863="","",$B2863&amp;"|"&amp;TEXT($A2863,"yyyymmdd")&amp;"|"&amp;TEXT($I2863,"0.00"))</f>
        <v/>
      </c>
      <c r="V2863" s="35" t="str">
        <f aca="false">IF($A2863="","",COUNTIF($U$8:$U$5007,$U2863))</f>
        <v/>
      </c>
    </row>
    <row r="2864" customFormat="false" ht="15" hidden="false" customHeight="false" outlineLevel="0" collapsed="false">
      <c r="A2864" s="31"/>
      <c r="B2864" s="32"/>
      <c r="C2864" s="32"/>
      <c r="D2864" s="32"/>
      <c r="E2864" s="32"/>
      <c r="F2864" s="32"/>
      <c r="G2864" s="33"/>
      <c r="H2864" s="33"/>
      <c r="I2864" s="34" t="str">
        <f aca="false">IF($A2864="","",$G2864-$H2864)</f>
        <v/>
      </c>
      <c r="J2864" s="35" t="str">
        <f aca="false">IF($A2864="","",IF(Setup!$B$6=1,YEAR($A2864),YEAR($A2864)+IF(MONTH($A2864)&gt;=Setup!$B$6,1,0)))</f>
        <v/>
      </c>
      <c r="K2864" s="35" t="str">
        <f aca="false">IF($A2864="","",MOD(MONTH($A2864)-Setup!$B$6+12,12)+1)</f>
        <v/>
      </c>
      <c r="L2864" s="36" t="str">
        <f aca="false">IF($A2864="","",TEXT($A2864,"MMM-YY"))</f>
        <v/>
      </c>
      <c r="M2864" s="37" t="str">
        <f aca="false">IF($A2864="","",IF($Q2864=0,"UNMAPPED",INDEX(COA_Mapping!$C$7:$C$256,$Q2864)))</f>
        <v/>
      </c>
      <c r="N2864" s="38" t="str">
        <f aca="false">IF($A2864="","",IF($Q2864=0,"",INDEX(COA_Mapping!$E$7:$E$256,$Q2864)))</f>
        <v/>
      </c>
      <c r="O2864" s="38" t="n">
        <f aca="false">IF($A2864="",1,IF($Q2864=0,1,INDEX(COA_Mapping!$F$7:$F$256,$Q2864)))</f>
        <v>1</v>
      </c>
      <c r="P2864" s="34" t="str">
        <f aca="false">IF($A2864="","",$I2864*$O2864)</f>
        <v/>
      </c>
      <c r="Q2864" s="39" t="n">
        <f aca="false">IF($B2864="",0,IFERROR(MATCH($B2864,COA_Mapping!$A$7:$A$256,0),0))</f>
        <v>0</v>
      </c>
      <c r="R2864" s="39" t="n">
        <f aca="false">IF($A2864="",-1,IF($J2864=Setup!$B$7,1,IF($J2864=Setup!$B$9,0,-1)))</f>
        <v>-1</v>
      </c>
      <c r="S2864" s="35" t="n">
        <f aca="false">IF(OR($A2864="",$Q2864=0,$R2864=-1),0,$Q2864*1000+$R2864*100+$K2864)</f>
        <v>0</v>
      </c>
      <c r="T2864" s="37" t="str">
        <f aca="false">IF($A2864="","",IF($B2864="","NO ACCOUNT",IF($Q2864=0,"UNMAPPED",IF($R2864=-1,"OUTSIDE FY RANGE","OK"))))</f>
        <v/>
      </c>
      <c r="U2864" s="40" t="str">
        <f aca="false">IF($A2864="","",$B2864&amp;"|"&amp;TEXT($A2864,"yyyymmdd")&amp;"|"&amp;TEXT($I2864,"0.00"))</f>
        <v/>
      </c>
      <c r="V2864" s="35" t="str">
        <f aca="false">IF($A2864="","",COUNTIF($U$8:$U$5007,$U2864))</f>
        <v/>
      </c>
    </row>
    <row r="2865" customFormat="false" ht="15" hidden="false" customHeight="false" outlineLevel="0" collapsed="false">
      <c r="A2865" s="31"/>
      <c r="B2865" s="32"/>
      <c r="C2865" s="32"/>
      <c r="D2865" s="32"/>
      <c r="E2865" s="32"/>
      <c r="F2865" s="32"/>
      <c r="G2865" s="33"/>
      <c r="H2865" s="33"/>
      <c r="I2865" s="34" t="str">
        <f aca="false">IF($A2865="","",$G2865-$H2865)</f>
        <v/>
      </c>
      <c r="J2865" s="35" t="str">
        <f aca="false">IF($A2865="","",IF(Setup!$B$6=1,YEAR($A2865),YEAR($A2865)+IF(MONTH($A2865)&gt;=Setup!$B$6,1,0)))</f>
        <v/>
      </c>
      <c r="K2865" s="35" t="str">
        <f aca="false">IF($A2865="","",MOD(MONTH($A2865)-Setup!$B$6+12,12)+1)</f>
        <v/>
      </c>
      <c r="L2865" s="36" t="str">
        <f aca="false">IF($A2865="","",TEXT($A2865,"MMM-YY"))</f>
        <v/>
      </c>
      <c r="M2865" s="37" t="str">
        <f aca="false">IF($A2865="","",IF($Q2865=0,"UNMAPPED",INDEX(COA_Mapping!$C$7:$C$256,$Q2865)))</f>
        <v/>
      </c>
      <c r="N2865" s="38" t="str">
        <f aca="false">IF($A2865="","",IF($Q2865=0,"",INDEX(COA_Mapping!$E$7:$E$256,$Q2865)))</f>
        <v/>
      </c>
      <c r="O2865" s="38" t="n">
        <f aca="false">IF($A2865="",1,IF($Q2865=0,1,INDEX(COA_Mapping!$F$7:$F$256,$Q2865)))</f>
        <v>1</v>
      </c>
      <c r="P2865" s="34" t="str">
        <f aca="false">IF($A2865="","",$I2865*$O2865)</f>
        <v/>
      </c>
      <c r="Q2865" s="39" t="n">
        <f aca="false">IF($B2865="",0,IFERROR(MATCH($B2865,COA_Mapping!$A$7:$A$256,0),0))</f>
        <v>0</v>
      </c>
      <c r="R2865" s="39" t="n">
        <f aca="false">IF($A2865="",-1,IF($J2865=Setup!$B$7,1,IF($J2865=Setup!$B$9,0,-1)))</f>
        <v>-1</v>
      </c>
      <c r="S2865" s="35" t="n">
        <f aca="false">IF(OR($A2865="",$Q2865=0,$R2865=-1),0,$Q2865*1000+$R2865*100+$K2865)</f>
        <v>0</v>
      </c>
      <c r="T2865" s="37" t="str">
        <f aca="false">IF($A2865="","",IF($B2865="","NO ACCOUNT",IF($Q2865=0,"UNMAPPED",IF($R2865=-1,"OUTSIDE FY RANGE","OK"))))</f>
        <v/>
      </c>
      <c r="U2865" s="40" t="str">
        <f aca="false">IF($A2865="","",$B2865&amp;"|"&amp;TEXT($A2865,"yyyymmdd")&amp;"|"&amp;TEXT($I2865,"0.00"))</f>
        <v/>
      </c>
      <c r="V2865" s="35" t="str">
        <f aca="false">IF($A2865="","",COUNTIF($U$8:$U$5007,$U2865))</f>
        <v/>
      </c>
    </row>
    <row r="2866" customFormat="false" ht="15" hidden="false" customHeight="false" outlineLevel="0" collapsed="false">
      <c r="A2866" s="31"/>
      <c r="B2866" s="32"/>
      <c r="C2866" s="32"/>
      <c r="D2866" s="32"/>
      <c r="E2866" s="32"/>
      <c r="F2866" s="32"/>
      <c r="G2866" s="33"/>
      <c r="H2866" s="33"/>
      <c r="I2866" s="34" t="str">
        <f aca="false">IF($A2866="","",$G2866-$H2866)</f>
        <v/>
      </c>
      <c r="J2866" s="35" t="str">
        <f aca="false">IF($A2866="","",IF(Setup!$B$6=1,YEAR($A2866),YEAR($A2866)+IF(MONTH($A2866)&gt;=Setup!$B$6,1,0)))</f>
        <v/>
      </c>
      <c r="K2866" s="35" t="str">
        <f aca="false">IF($A2866="","",MOD(MONTH($A2866)-Setup!$B$6+12,12)+1)</f>
        <v/>
      </c>
      <c r="L2866" s="36" t="str">
        <f aca="false">IF($A2866="","",TEXT($A2866,"MMM-YY"))</f>
        <v/>
      </c>
      <c r="M2866" s="37" t="str">
        <f aca="false">IF($A2866="","",IF($Q2866=0,"UNMAPPED",INDEX(COA_Mapping!$C$7:$C$256,$Q2866)))</f>
        <v/>
      </c>
      <c r="N2866" s="38" t="str">
        <f aca="false">IF($A2866="","",IF($Q2866=0,"",INDEX(COA_Mapping!$E$7:$E$256,$Q2866)))</f>
        <v/>
      </c>
      <c r="O2866" s="38" t="n">
        <f aca="false">IF($A2866="",1,IF($Q2866=0,1,INDEX(COA_Mapping!$F$7:$F$256,$Q2866)))</f>
        <v>1</v>
      </c>
      <c r="P2866" s="34" t="str">
        <f aca="false">IF($A2866="","",$I2866*$O2866)</f>
        <v/>
      </c>
      <c r="Q2866" s="39" t="n">
        <f aca="false">IF($B2866="",0,IFERROR(MATCH($B2866,COA_Mapping!$A$7:$A$256,0),0))</f>
        <v>0</v>
      </c>
      <c r="R2866" s="39" t="n">
        <f aca="false">IF($A2866="",-1,IF($J2866=Setup!$B$7,1,IF($J2866=Setup!$B$9,0,-1)))</f>
        <v>-1</v>
      </c>
      <c r="S2866" s="35" t="n">
        <f aca="false">IF(OR($A2866="",$Q2866=0,$R2866=-1),0,$Q2866*1000+$R2866*100+$K2866)</f>
        <v>0</v>
      </c>
      <c r="T2866" s="37" t="str">
        <f aca="false">IF($A2866="","",IF($B2866="","NO ACCOUNT",IF($Q2866=0,"UNMAPPED",IF($R2866=-1,"OUTSIDE FY RANGE","OK"))))</f>
        <v/>
      </c>
      <c r="U2866" s="40" t="str">
        <f aca="false">IF($A2866="","",$B2866&amp;"|"&amp;TEXT($A2866,"yyyymmdd")&amp;"|"&amp;TEXT($I2866,"0.00"))</f>
        <v/>
      </c>
      <c r="V2866" s="35" t="str">
        <f aca="false">IF($A2866="","",COUNTIF($U$8:$U$5007,$U2866))</f>
        <v/>
      </c>
    </row>
    <row r="2867" customFormat="false" ht="15" hidden="false" customHeight="false" outlineLevel="0" collapsed="false">
      <c r="A2867" s="31"/>
      <c r="B2867" s="32"/>
      <c r="C2867" s="32"/>
      <c r="D2867" s="32"/>
      <c r="E2867" s="32"/>
      <c r="F2867" s="32"/>
      <c r="G2867" s="33"/>
      <c r="H2867" s="33"/>
      <c r="I2867" s="34" t="str">
        <f aca="false">IF($A2867="","",$G2867-$H2867)</f>
        <v/>
      </c>
      <c r="J2867" s="35" t="str">
        <f aca="false">IF($A2867="","",IF(Setup!$B$6=1,YEAR($A2867),YEAR($A2867)+IF(MONTH($A2867)&gt;=Setup!$B$6,1,0)))</f>
        <v/>
      </c>
      <c r="K2867" s="35" t="str">
        <f aca="false">IF($A2867="","",MOD(MONTH($A2867)-Setup!$B$6+12,12)+1)</f>
        <v/>
      </c>
      <c r="L2867" s="36" t="str">
        <f aca="false">IF($A2867="","",TEXT($A2867,"MMM-YY"))</f>
        <v/>
      </c>
      <c r="M2867" s="37" t="str">
        <f aca="false">IF($A2867="","",IF($Q2867=0,"UNMAPPED",INDEX(COA_Mapping!$C$7:$C$256,$Q2867)))</f>
        <v/>
      </c>
      <c r="N2867" s="38" t="str">
        <f aca="false">IF($A2867="","",IF($Q2867=0,"",INDEX(COA_Mapping!$E$7:$E$256,$Q2867)))</f>
        <v/>
      </c>
      <c r="O2867" s="38" t="n">
        <f aca="false">IF($A2867="",1,IF($Q2867=0,1,INDEX(COA_Mapping!$F$7:$F$256,$Q2867)))</f>
        <v>1</v>
      </c>
      <c r="P2867" s="34" t="str">
        <f aca="false">IF($A2867="","",$I2867*$O2867)</f>
        <v/>
      </c>
      <c r="Q2867" s="39" t="n">
        <f aca="false">IF($B2867="",0,IFERROR(MATCH($B2867,COA_Mapping!$A$7:$A$256,0),0))</f>
        <v>0</v>
      </c>
      <c r="R2867" s="39" t="n">
        <f aca="false">IF($A2867="",-1,IF($J2867=Setup!$B$7,1,IF($J2867=Setup!$B$9,0,-1)))</f>
        <v>-1</v>
      </c>
      <c r="S2867" s="35" t="n">
        <f aca="false">IF(OR($A2867="",$Q2867=0,$R2867=-1),0,$Q2867*1000+$R2867*100+$K2867)</f>
        <v>0</v>
      </c>
      <c r="T2867" s="37" t="str">
        <f aca="false">IF($A2867="","",IF($B2867="","NO ACCOUNT",IF($Q2867=0,"UNMAPPED",IF($R2867=-1,"OUTSIDE FY RANGE","OK"))))</f>
        <v/>
      </c>
      <c r="U2867" s="40" t="str">
        <f aca="false">IF($A2867="","",$B2867&amp;"|"&amp;TEXT($A2867,"yyyymmdd")&amp;"|"&amp;TEXT($I2867,"0.00"))</f>
        <v/>
      </c>
      <c r="V2867" s="35" t="str">
        <f aca="false">IF($A2867="","",COUNTIF($U$8:$U$5007,$U2867))</f>
        <v/>
      </c>
    </row>
    <row r="2868" customFormat="false" ht="15" hidden="false" customHeight="false" outlineLevel="0" collapsed="false">
      <c r="A2868" s="31"/>
      <c r="B2868" s="32"/>
      <c r="C2868" s="32"/>
      <c r="D2868" s="32"/>
      <c r="E2868" s="32"/>
      <c r="F2868" s="32"/>
      <c r="G2868" s="33"/>
      <c r="H2868" s="33"/>
      <c r="I2868" s="34" t="str">
        <f aca="false">IF($A2868="","",$G2868-$H2868)</f>
        <v/>
      </c>
      <c r="J2868" s="35" t="str">
        <f aca="false">IF($A2868="","",IF(Setup!$B$6=1,YEAR($A2868),YEAR($A2868)+IF(MONTH($A2868)&gt;=Setup!$B$6,1,0)))</f>
        <v/>
      </c>
      <c r="K2868" s="35" t="str">
        <f aca="false">IF($A2868="","",MOD(MONTH($A2868)-Setup!$B$6+12,12)+1)</f>
        <v/>
      </c>
      <c r="L2868" s="36" t="str">
        <f aca="false">IF($A2868="","",TEXT($A2868,"MMM-YY"))</f>
        <v/>
      </c>
      <c r="M2868" s="37" t="str">
        <f aca="false">IF($A2868="","",IF($Q2868=0,"UNMAPPED",INDEX(COA_Mapping!$C$7:$C$256,$Q2868)))</f>
        <v/>
      </c>
      <c r="N2868" s="38" t="str">
        <f aca="false">IF($A2868="","",IF($Q2868=0,"",INDEX(COA_Mapping!$E$7:$E$256,$Q2868)))</f>
        <v/>
      </c>
      <c r="O2868" s="38" t="n">
        <f aca="false">IF($A2868="",1,IF($Q2868=0,1,INDEX(COA_Mapping!$F$7:$F$256,$Q2868)))</f>
        <v>1</v>
      </c>
      <c r="P2868" s="34" t="str">
        <f aca="false">IF($A2868="","",$I2868*$O2868)</f>
        <v/>
      </c>
      <c r="Q2868" s="39" t="n">
        <f aca="false">IF($B2868="",0,IFERROR(MATCH($B2868,COA_Mapping!$A$7:$A$256,0),0))</f>
        <v>0</v>
      </c>
      <c r="R2868" s="39" t="n">
        <f aca="false">IF($A2868="",-1,IF($J2868=Setup!$B$7,1,IF($J2868=Setup!$B$9,0,-1)))</f>
        <v>-1</v>
      </c>
      <c r="S2868" s="35" t="n">
        <f aca="false">IF(OR($A2868="",$Q2868=0,$R2868=-1),0,$Q2868*1000+$R2868*100+$K2868)</f>
        <v>0</v>
      </c>
      <c r="T2868" s="37" t="str">
        <f aca="false">IF($A2868="","",IF($B2868="","NO ACCOUNT",IF($Q2868=0,"UNMAPPED",IF($R2868=-1,"OUTSIDE FY RANGE","OK"))))</f>
        <v/>
      </c>
      <c r="U2868" s="40" t="str">
        <f aca="false">IF($A2868="","",$B2868&amp;"|"&amp;TEXT($A2868,"yyyymmdd")&amp;"|"&amp;TEXT($I2868,"0.00"))</f>
        <v/>
      </c>
      <c r="V2868" s="35" t="str">
        <f aca="false">IF($A2868="","",COUNTIF($U$8:$U$5007,$U2868))</f>
        <v/>
      </c>
    </row>
    <row r="2869" customFormat="false" ht="15" hidden="false" customHeight="false" outlineLevel="0" collapsed="false">
      <c r="A2869" s="31"/>
      <c r="B2869" s="32"/>
      <c r="C2869" s="32"/>
      <c r="D2869" s="32"/>
      <c r="E2869" s="32"/>
      <c r="F2869" s="32"/>
      <c r="G2869" s="33"/>
      <c r="H2869" s="33"/>
      <c r="I2869" s="34" t="str">
        <f aca="false">IF($A2869="","",$G2869-$H2869)</f>
        <v/>
      </c>
      <c r="J2869" s="35" t="str">
        <f aca="false">IF($A2869="","",IF(Setup!$B$6=1,YEAR($A2869),YEAR($A2869)+IF(MONTH($A2869)&gt;=Setup!$B$6,1,0)))</f>
        <v/>
      </c>
      <c r="K2869" s="35" t="str">
        <f aca="false">IF($A2869="","",MOD(MONTH($A2869)-Setup!$B$6+12,12)+1)</f>
        <v/>
      </c>
      <c r="L2869" s="36" t="str">
        <f aca="false">IF($A2869="","",TEXT($A2869,"MMM-YY"))</f>
        <v/>
      </c>
      <c r="M2869" s="37" t="str">
        <f aca="false">IF($A2869="","",IF($Q2869=0,"UNMAPPED",INDEX(COA_Mapping!$C$7:$C$256,$Q2869)))</f>
        <v/>
      </c>
      <c r="N2869" s="38" t="str">
        <f aca="false">IF($A2869="","",IF($Q2869=0,"",INDEX(COA_Mapping!$E$7:$E$256,$Q2869)))</f>
        <v/>
      </c>
      <c r="O2869" s="38" t="n">
        <f aca="false">IF($A2869="",1,IF($Q2869=0,1,INDEX(COA_Mapping!$F$7:$F$256,$Q2869)))</f>
        <v>1</v>
      </c>
      <c r="P2869" s="34" t="str">
        <f aca="false">IF($A2869="","",$I2869*$O2869)</f>
        <v/>
      </c>
      <c r="Q2869" s="39" t="n">
        <f aca="false">IF($B2869="",0,IFERROR(MATCH($B2869,COA_Mapping!$A$7:$A$256,0),0))</f>
        <v>0</v>
      </c>
      <c r="R2869" s="39" t="n">
        <f aca="false">IF($A2869="",-1,IF($J2869=Setup!$B$7,1,IF($J2869=Setup!$B$9,0,-1)))</f>
        <v>-1</v>
      </c>
      <c r="S2869" s="35" t="n">
        <f aca="false">IF(OR($A2869="",$Q2869=0,$R2869=-1),0,$Q2869*1000+$R2869*100+$K2869)</f>
        <v>0</v>
      </c>
      <c r="T2869" s="37" t="str">
        <f aca="false">IF($A2869="","",IF($B2869="","NO ACCOUNT",IF($Q2869=0,"UNMAPPED",IF($R2869=-1,"OUTSIDE FY RANGE","OK"))))</f>
        <v/>
      </c>
      <c r="U2869" s="40" t="str">
        <f aca="false">IF($A2869="","",$B2869&amp;"|"&amp;TEXT($A2869,"yyyymmdd")&amp;"|"&amp;TEXT($I2869,"0.00"))</f>
        <v/>
      </c>
      <c r="V2869" s="35" t="str">
        <f aca="false">IF($A2869="","",COUNTIF($U$8:$U$5007,$U2869))</f>
        <v/>
      </c>
    </row>
    <row r="2870" customFormat="false" ht="15" hidden="false" customHeight="false" outlineLevel="0" collapsed="false">
      <c r="A2870" s="31"/>
      <c r="B2870" s="32"/>
      <c r="C2870" s="32"/>
      <c r="D2870" s="32"/>
      <c r="E2870" s="32"/>
      <c r="F2870" s="32"/>
      <c r="G2870" s="33"/>
      <c r="H2870" s="33"/>
      <c r="I2870" s="34" t="str">
        <f aca="false">IF($A2870="","",$G2870-$H2870)</f>
        <v/>
      </c>
      <c r="J2870" s="35" t="str">
        <f aca="false">IF($A2870="","",IF(Setup!$B$6=1,YEAR($A2870),YEAR($A2870)+IF(MONTH($A2870)&gt;=Setup!$B$6,1,0)))</f>
        <v/>
      </c>
      <c r="K2870" s="35" t="str">
        <f aca="false">IF($A2870="","",MOD(MONTH($A2870)-Setup!$B$6+12,12)+1)</f>
        <v/>
      </c>
      <c r="L2870" s="36" t="str">
        <f aca="false">IF($A2870="","",TEXT($A2870,"MMM-YY"))</f>
        <v/>
      </c>
      <c r="M2870" s="37" t="str">
        <f aca="false">IF($A2870="","",IF($Q2870=0,"UNMAPPED",INDEX(COA_Mapping!$C$7:$C$256,$Q2870)))</f>
        <v/>
      </c>
      <c r="N2870" s="38" t="str">
        <f aca="false">IF($A2870="","",IF($Q2870=0,"",INDEX(COA_Mapping!$E$7:$E$256,$Q2870)))</f>
        <v/>
      </c>
      <c r="O2870" s="38" t="n">
        <f aca="false">IF($A2870="",1,IF($Q2870=0,1,INDEX(COA_Mapping!$F$7:$F$256,$Q2870)))</f>
        <v>1</v>
      </c>
      <c r="P2870" s="34" t="str">
        <f aca="false">IF($A2870="","",$I2870*$O2870)</f>
        <v/>
      </c>
      <c r="Q2870" s="39" t="n">
        <f aca="false">IF($B2870="",0,IFERROR(MATCH($B2870,COA_Mapping!$A$7:$A$256,0),0))</f>
        <v>0</v>
      </c>
      <c r="R2870" s="39" t="n">
        <f aca="false">IF($A2870="",-1,IF($J2870=Setup!$B$7,1,IF($J2870=Setup!$B$9,0,-1)))</f>
        <v>-1</v>
      </c>
      <c r="S2870" s="35" t="n">
        <f aca="false">IF(OR($A2870="",$Q2870=0,$R2870=-1),0,$Q2870*1000+$R2870*100+$K2870)</f>
        <v>0</v>
      </c>
      <c r="T2870" s="37" t="str">
        <f aca="false">IF($A2870="","",IF($B2870="","NO ACCOUNT",IF($Q2870=0,"UNMAPPED",IF($R2870=-1,"OUTSIDE FY RANGE","OK"))))</f>
        <v/>
      </c>
      <c r="U2870" s="40" t="str">
        <f aca="false">IF($A2870="","",$B2870&amp;"|"&amp;TEXT($A2870,"yyyymmdd")&amp;"|"&amp;TEXT($I2870,"0.00"))</f>
        <v/>
      </c>
      <c r="V2870" s="35" t="str">
        <f aca="false">IF($A2870="","",COUNTIF($U$8:$U$5007,$U2870))</f>
        <v/>
      </c>
    </row>
    <row r="2871" customFormat="false" ht="15" hidden="false" customHeight="false" outlineLevel="0" collapsed="false">
      <c r="A2871" s="31"/>
      <c r="B2871" s="32"/>
      <c r="C2871" s="32"/>
      <c r="D2871" s="32"/>
      <c r="E2871" s="32"/>
      <c r="F2871" s="32"/>
      <c r="G2871" s="33"/>
      <c r="H2871" s="33"/>
      <c r="I2871" s="34" t="str">
        <f aca="false">IF($A2871="","",$G2871-$H2871)</f>
        <v/>
      </c>
      <c r="J2871" s="35" t="str">
        <f aca="false">IF($A2871="","",IF(Setup!$B$6=1,YEAR($A2871),YEAR($A2871)+IF(MONTH($A2871)&gt;=Setup!$B$6,1,0)))</f>
        <v/>
      </c>
      <c r="K2871" s="35" t="str">
        <f aca="false">IF($A2871="","",MOD(MONTH($A2871)-Setup!$B$6+12,12)+1)</f>
        <v/>
      </c>
      <c r="L2871" s="36" t="str">
        <f aca="false">IF($A2871="","",TEXT($A2871,"MMM-YY"))</f>
        <v/>
      </c>
      <c r="M2871" s="37" t="str">
        <f aca="false">IF($A2871="","",IF($Q2871=0,"UNMAPPED",INDEX(COA_Mapping!$C$7:$C$256,$Q2871)))</f>
        <v/>
      </c>
      <c r="N2871" s="38" t="str">
        <f aca="false">IF($A2871="","",IF($Q2871=0,"",INDEX(COA_Mapping!$E$7:$E$256,$Q2871)))</f>
        <v/>
      </c>
      <c r="O2871" s="38" t="n">
        <f aca="false">IF($A2871="",1,IF($Q2871=0,1,INDEX(COA_Mapping!$F$7:$F$256,$Q2871)))</f>
        <v>1</v>
      </c>
      <c r="P2871" s="34" t="str">
        <f aca="false">IF($A2871="","",$I2871*$O2871)</f>
        <v/>
      </c>
      <c r="Q2871" s="39" t="n">
        <f aca="false">IF($B2871="",0,IFERROR(MATCH($B2871,COA_Mapping!$A$7:$A$256,0),0))</f>
        <v>0</v>
      </c>
      <c r="R2871" s="39" t="n">
        <f aca="false">IF($A2871="",-1,IF($J2871=Setup!$B$7,1,IF($J2871=Setup!$B$9,0,-1)))</f>
        <v>-1</v>
      </c>
      <c r="S2871" s="35" t="n">
        <f aca="false">IF(OR($A2871="",$Q2871=0,$R2871=-1),0,$Q2871*1000+$R2871*100+$K2871)</f>
        <v>0</v>
      </c>
      <c r="T2871" s="37" t="str">
        <f aca="false">IF($A2871="","",IF($B2871="","NO ACCOUNT",IF($Q2871=0,"UNMAPPED",IF($R2871=-1,"OUTSIDE FY RANGE","OK"))))</f>
        <v/>
      </c>
      <c r="U2871" s="40" t="str">
        <f aca="false">IF($A2871="","",$B2871&amp;"|"&amp;TEXT($A2871,"yyyymmdd")&amp;"|"&amp;TEXT($I2871,"0.00"))</f>
        <v/>
      </c>
      <c r="V2871" s="35" t="str">
        <f aca="false">IF($A2871="","",COUNTIF($U$8:$U$5007,$U2871))</f>
        <v/>
      </c>
    </row>
    <row r="2872" customFormat="false" ht="15" hidden="false" customHeight="false" outlineLevel="0" collapsed="false">
      <c r="A2872" s="31"/>
      <c r="B2872" s="32"/>
      <c r="C2872" s="32"/>
      <c r="D2872" s="32"/>
      <c r="E2872" s="32"/>
      <c r="F2872" s="32"/>
      <c r="G2872" s="33"/>
      <c r="H2872" s="33"/>
      <c r="I2872" s="34" t="str">
        <f aca="false">IF($A2872="","",$G2872-$H2872)</f>
        <v/>
      </c>
      <c r="J2872" s="35" t="str">
        <f aca="false">IF($A2872="","",IF(Setup!$B$6=1,YEAR($A2872),YEAR($A2872)+IF(MONTH($A2872)&gt;=Setup!$B$6,1,0)))</f>
        <v/>
      </c>
      <c r="K2872" s="35" t="str">
        <f aca="false">IF($A2872="","",MOD(MONTH($A2872)-Setup!$B$6+12,12)+1)</f>
        <v/>
      </c>
      <c r="L2872" s="36" t="str">
        <f aca="false">IF($A2872="","",TEXT($A2872,"MMM-YY"))</f>
        <v/>
      </c>
      <c r="M2872" s="37" t="str">
        <f aca="false">IF($A2872="","",IF($Q2872=0,"UNMAPPED",INDEX(COA_Mapping!$C$7:$C$256,$Q2872)))</f>
        <v/>
      </c>
      <c r="N2872" s="38" t="str">
        <f aca="false">IF($A2872="","",IF($Q2872=0,"",INDEX(COA_Mapping!$E$7:$E$256,$Q2872)))</f>
        <v/>
      </c>
      <c r="O2872" s="38" t="n">
        <f aca="false">IF($A2872="",1,IF($Q2872=0,1,INDEX(COA_Mapping!$F$7:$F$256,$Q2872)))</f>
        <v>1</v>
      </c>
      <c r="P2872" s="34" t="str">
        <f aca="false">IF($A2872="","",$I2872*$O2872)</f>
        <v/>
      </c>
      <c r="Q2872" s="39" t="n">
        <f aca="false">IF($B2872="",0,IFERROR(MATCH($B2872,COA_Mapping!$A$7:$A$256,0),0))</f>
        <v>0</v>
      </c>
      <c r="R2872" s="39" t="n">
        <f aca="false">IF($A2872="",-1,IF($J2872=Setup!$B$7,1,IF($J2872=Setup!$B$9,0,-1)))</f>
        <v>-1</v>
      </c>
      <c r="S2872" s="35" t="n">
        <f aca="false">IF(OR($A2872="",$Q2872=0,$R2872=-1),0,$Q2872*1000+$R2872*100+$K2872)</f>
        <v>0</v>
      </c>
      <c r="T2872" s="37" t="str">
        <f aca="false">IF($A2872="","",IF($B2872="","NO ACCOUNT",IF($Q2872=0,"UNMAPPED",IF($R2872=-1,"OUTSIDE FY RANGE","OK"))))</f>
        <v/>
      </c>
      <c r="U2872" s="40" t="str">
        <f aca="false">IF($A2872="","",$B2872&amp;"|"&amp;TEXT($A2872,"yyyymmdd")&amp;"|"&amp;TEXT($I2872,"0.00"))</f>
        <v/>
      </c>
      <c r="V2872" s="35" t="str">
        <f aca="false">IF($A2872="","",COUNTIF($U$8:$U$5007,$U2872))</f>
        <v/>
      </c>
    </row>
    <row r="2873" customFormat="false" ht="15" hidden="false" customHeight="false" outlineLevel="0" collapsed="false">
      <c r="A2873" s="31"/>
      <c r="B2873" s="32"/>
      <c r="C2873" s="32"/>
      <c r="D2873" s="32"/>
      <c r="E2873" s="32"/>
      <c r="F2873" s="32"/>
      <c r="G2873" s="33"/>
      <c r="H2873" s="33"/>
      <c r="I2873" s="34" t="str">
        <f aca="false">IF($A2873="","",$G2873-$H2873)</f>
        <v/>
      </c>
      <c r="J2873" s="35" t="str">
        <f aca="false">IF($A2873="","",IF(Setup!$B$6=1,YEAR($A2873),YEAR($A2873)+IF(MONTH($A2873)&gt;=Setup!$B$6,1,0)))</f>
        <v/>
      </c>
      <c r="K2873" s="35" t="str">
        <f aca="false">IF($A2873="","",MOD(MONTH($A2873)-Setup!$B$6+12,12)+1)</f>
        <v/>
      </c>
      <c r="L2873" s="36" t="str">
        <f aca="false">IF($A2873="","",TEXT($A2873,"MMM-YY"))</f>
        <v/>
      </c>
      <c r="M2873" s="37" t="str">
        <f aca="false">IF($A2873="","",IF($Q2873=0,"UNMAPPED",INDEX(COA_Mapping!$C$7:$C$256,$Q2873)))</f>
        <v/>
      </c>
      <c r="N2873" s="38" t="str">
        <f aca="false">IF($A2873="","",IF($Q2873=0,"",INDEX(COA_Mapping!$E$7:$E$256,$Q2873)))</f>
        <v/>
      </c>
      <c r="O2873" s="38" t="n">
        <f aca="false">IF($A2873="",1,IF($Q2873=0,1,INDEX(COA_Mapping!$F$7:$F$256,$Q2873)))</f>
        <v>1</v>
      </c>
      <c r="P2873" s="34" t="str">
        <f aca="false">IF($A2873="","",$I2873*$O2873)</f>
        <v/>
      </c>
      <c r="Q2873" s="39" t="n">
        <f aca="false">IF($B2873="",0,IFERROR(MATCH($B2873,COA_Mapping!$A$7:$A$256,0),0))</f>
        <v>0</v>
      </c>
      <c r="R2873" s="39" t="n">
        <f aca="false">IF($A2873="",-1,IF($J2873=Setup!$B$7,1,IF($J2873=Setup!$B$9,0,-1)))</f>
        <v>-1</v>
      </c>
      <c r="S2873" s="35" t="n">
        <f aca="false">IF(OR($A2873="",$Q2873=0,$R2873=-1),0,$Q2873*1000+$R2873*100+$K2873)</f>
        <v>0</v>
      </c>
      <c r="T2873" s="37" t="str">
        <f aca="false">IF($A2873="","",IF($B2873="","NO ACCOUNT",IF($Q2873=0,"UNMAPPED",IF($R2873=-1,"OUTSIDE FY RANGE","OK"))))</f>
        <v/>
      </c>
      <c r="U2873" s="40" t="str">
        <f aca="false">IF($A2873="","",$B2873&amp;"|"&amp;TEXT($A2873,"yyyymmdd")&amp;"|"&amp;TEXT($I2873,"0.00"))</f>
        <v/>
      </c>
      <c r="V2873" s="35" t="str">
        <f aca="false">IF($A2873="","",COUNTIF($U$8:$U$5007,$U2873))</f>
        <v/>
      </c>
    </row>
    <row r="2874" customFormat="false" ht="15" hidden="false" customHeight="false" outlineLevel="0" collapsed="false">
      <c r="A2874" s="31"/>
      <c r="B2874" s="32"/>
      <c r="C2874" s="32"/>
      <c r="D2874" s="32"/>
      <c r="E2874" s="32"/>
      <c r="F2874" s="32"/>
      <c r="G2874" s="33"/>
      <c r="H2874" s="33"/>
      <c r="I2874" s="34" t="str">
        <f aca="false">IF($A2874="","",$G2874-$H2874)</f>
        <v/>
      </c>
      <c r="J2874" s="35" t="str">
        <f aca="false">IF($A2874="","",IF(Setup!$B$6=1,YEAR($A2874),YEAR($A2874)+IF(MONTH($A2874)&gt;=Setup!$B$6,1,0)))</f>
        <v/>
      </c>
      <c r="K2874" s="35" t="str">
        <f aca="false">IF($A2874="","",MOD(MONTH($A2874)-Setup!$B$6+12,12)+1)</f>
        <v/>
      </c>
      <c r="L2874" s="36" t="str">
        <f aca="false">IF($A2874="","",TEXT($A2874,"MMM-YY"))</f>
        <v/>
      </c>
      <c r="M2874" s="37" t="str">
        <f aca="false">IF($A2874="","",IF($Q2874=0,"UNMAPPED",INDEX(COA_Mapping!$C$7:$C$256,$Q2874)))</f>
        <v/>
      </c>
      <c r="N2874" s="38" t="str">
        <f aca="false">IF($A2874="","",IF($Q2874=0,"",INDEX(COA_Mapping!$E$7:$E$256,$Q2874)))</f>
        <v/>
      </c>
      <c r="O2874" s="38" t="n">
        <f aca="false">IF($A2874="",1,IF($Q2874=0,1,INDEX(COA_Mapping!$F$7:$F$256,$Q2874)))</f>
        <v>1</v>
      </c>
      <c r="P2874" s="34" t="str">
        <f aca="false">IF($A2874="","",$I2874*$O2874)</f>
        <v/>
      </c>
      <c r="Q2874" s="39" t="n">
        <f aca="false">IF($B2874="",0,IFERROR(MATCH($B2874,COA_Mapping!$A$7:$A$256,0),0))</f>
        <v>0</v>
      </c>
      <c r="R2874" s="39" t="n">
        <f aca="false">IF($A2874="",-1,IF($J2874=Setup!$B$7,1,IF($J2874=Setup!$B$9,0,-1)))</f>
        <v>-1</v>
      </c>
      <c r="S2874" s="35" t="n">
        <f aca="false">IF(OR($A2874="",$Q2874=0,$R2874=-1),0,$Q2874*1000+$R2874*100+$K2874)</f>
        <v>0</v>
      </c>
      <c r="T2874" s="37" t="str">
        <f aca="false">IF($A2874="","",IF($B2874="","NO ACCOUNT",IF($Q2874=0,"UNMAPPED",IF($R2874=-1,"OUTSIDE FY RANGE","OK"))))</f>
        <v/>
      </c>
      <c r="U2874" s="40" t="str">
        <f aca="false">IF($A2874="","",$B2874&amp;"|"&amp;TEXT($A2874,"yyyymmdd")&amp;"|"&amp;TEXT($I2874,"0.00"))</f>
        <v/>
      </c>
      <c r="V2874" s="35" t="str">
        <f aca="false">IF($A2874="","",COUNTIF($U$8:$U$5007,$U2874))</f>
        <v/>
      </c>
    </row>
    <row r="2875" customFormat="false" ht="15" hidden="false" customHeight="false" outlineLevel="0" collapsed="false">
      <c r="A2875" s="31"/>
      <c r="B2875" s="32"/>
      <c r="C2875" s="32"/>
      <c r="D2875" s="32"/>
      <c r="E2875" s="32"/>
      <c r="F2875" s="32"/>
      <c r="G2875" s="33"/>
      <c r="H2875" s="33"/>
      <c r="I2875" s="34" t="str">
        <f aca="false">IF($A2875="","",$G2875-$H2875)</f>
        <v/>
      </c>
      <c r="J2875" s="35" t="str">
        <f aca="false">IF($A2875="","",IF(Setup!$B$6=1,YEAR($A2875),YEAR($A2875)+IF(MONTH($A2875)&gt;=Setup!$B$6,1,0)))</f>
        <v/>
      </c>
      <c r="K2875" s="35" t="str">
        <f aca="false">IF($A2875="","",MOD(MONTH($A2875)-Setup!$B$6+12,12)+1)</f>
        <v/>
      </c>
      <c r="L2875" s="36" t="str">
        <f aca="false">IF($A2875="","",TEXT($A2875,"MMM-YY"))</f>
        <v/>
      </c>
      <c r="M2875" s="37" t="str">
        <f aca="false">IF($A2875="","",IF($Q2875=0,"UNMAPPED",INDEX(COA_Mapping!$C$7:$C$256,$Q2875)))</f>
        <v/>
      </c>
      <c r="N2875" s="38" t="str">
        <f aca="false">IF($A2875="","",IF($Q2875=0,"",INDEX(COA_Mapping!$E$7:$E$256,$Q2875)))</f>
        <v/>
      </c>
      <c r="O2875" s="38" t="n">
        <f aca="false">IF($A2875="",1,IF($Q2875=0,1,INDEX(COA_Mapping!$F$7:$F$256,$Q2875)))</f>
        <v>1</v>
      </c>
      <c r="P2875" s="34" t="str">
        <f aca="false">IF($A2875="","",$I2875*$O2875)</f>
        <v/>
      </c>
      <c r="Q2875" s="39" t="n">
        <f aca="false">IF($B2875="",0,IFERROR(MATCH($B2875,COA_Mapping!$A$7:$A$256,0),0))</f>
        <v>0</v>
      </c>
      <c r="R2875" s="39" t="n">
        <f aca="false">IF($A2875="",-1,IF($J2875=Setup!$B$7,1,IF($J2875=Setup!$B$9,0,-1)))</f>
        <v>-1</v>
      </c>
      <c r="S2875" s="35" t="n">
        <f aca="false">IF(OR($A2875="",$Q2875=0,$R2875=-1),0,$Q2875*1000+$R2875*100+$K2875)</f>
        <v>0</v>
      </c>
      <c r="T2875" s="37" t="str">
        <f aca="false">IF($A2875="","",IF($B2875="","NO ACCOUNT",IF($Q2875=0,"UNMAPPED",IF($R2875=-1,"OUTSIDE FY RANGE","OK"))))</f>
        <v/>
      </c>
      <c r="U2875" s="40" t="str">
        <f aca="false">IF($A2875="","",$B2875&amp;"|"&amp;TEXT($A2875,"yyyymmdd")&amp;"|"&amp;TEXT($I2875,"0.00"))</f>
        <v/>
      </c>
      <c r="V2875" s="35" t="str">
        <f aca="false">IF($A2875="","",COUNTIF($U$8:$U$5007,$U2875))</f>
        <v/>
      </c>
    </row>
    <row r="2876" customFormat="false" ht="15" hidden="false" customHeight="false" outlineLevel="0" collapsed="false">
      <c r="A2876" s="31"/>
      <c r="B2876" s="32"/>
      <c r="C2876" s="32"/>
      <c r="D2876" s="32"/>
      <c r="E2876" s="32"/>
      <c r="F2876" s="32"/>
      <c r="G2876" s="33"/>
      <c r="H2876" s="33"/>
      <c r="I2876" s="34" t="str">
        <f aca="false">IF($A2876="","",$G2876-$H2876)</f>
        <v/>
      </c>
      <c r="J2876" s="35" t="str">
        <f aca="false">IF($A2876="","",IF(Setup!$B$6=1,YEAR($A2876),YEAR($A2876)+IF(MONTH($A2876)&gt;=Setup!$B$6,1,0)))</f>
        <v/>
      </c>
      <c r="K2876" s="35" t="str">
        <f aca="false">IF($A2876="","",MOD(MONTH($A2876)-Setup!$B$6+12,12)+1)</f>
        <v/>
      </c>
      <c r="L2876" s="36" t="str">
        <f aca="false">IF($A2876="","",TEXT($A2876,"MMM-YY"))</f>
        <v/>
      </c>
      <c r="M2876" s="37" t="str">
        <f aca="false">IF($A2876="","",IF($Q2876=0,"UNMAPPED",INDEX(COA_Mapping!$C$7:$C$256,$Q2876)))</f>
        <v/>
      </c>
      <c r="N2876" s="38" t="str">
        <f aca="false">IF($A2876="","",IF($Q2876=0,"",INDEX(COA_Mapping!$E$7:$E$256,$Q2876)))</f>
        <v/>
      </c>
      <c r="O2876" s="38" t="n">
        <f aca="false">IF($A2876="",1,IF($Q2876=0,1,INDEX(COA_Mapping!$F$7:$F$256,$Q2876)))</f>
        <v>1</v>
      </c>
      <c r="P2876" s="34" t="str">
        <f aca="false">IF($A2876="","",$I2876*$O2876)</f>
        <v/>
      </c>
      <c r="Q2876" s="39" t="n">
        <f aca="false">IF($B2876="",0,IFERROR(MATCH($B2876,COA_Mapping!$A$7:$A$256,0),0))</f>
        <v>0</v>
      </c>
      <c r="R2876" s="39" t="n">
        <f aca="false">IF($A2876="",-1,IF($J2876=Setup!$B$7,1,IF($J2876=Setup!$B$9,0,-1)))</f>
        <v>-1</v>
      </c>
      <c r="S2876" s="35" t="n">
        <f aca="false">IF(OR($A2876="",$Q2876=0,$R2876=-1),0,$Q2876*1000+$R2876*100+$K2876)</f>
        <v>0</v>
      </c>
      <c r="T2876" s="37" t="str">
        <f aca="false">IF($A2876="","",IF($B2876="","NO ACCOUNT",IF($Q2876=0,"UNMAPPED",IF($R2876=-1,"OUTSIDE FY RANGE","OK"))))</f>
        <v/>
      </c>
      <c r="U2876" s="40" t="str">
        <f aca="false">IF($A2876="","",$B2876&amp;"|"&amp;TEXT($A2876,"yyyymmdd")&amp;"|"&amp;TEXT($I2876,"0.00"))</f>
        <v/>
      </c>
      <c r="V2876" s="35" t="str">
        <f aca="false">IF($A2876="","",COUNTIF($U$8:$U$5007,$U2876))</f>
        <v/>
      </c>
    </row>
    <row r="2877" customFormat="false" ht="15" hidden="false" customHeight="false" outlineLevel="0" collapsed="false">
      <c r="A2877" s="31"/>
      <c r="B2877" s="32"/>
      <c r="C2877" s="32"/>
      <c r="D2877" s="32"/>
      <c r="E2877" s="32"/>
      <c r="F2877" s="32"/>
      <c r="G2877" s="33"/>
      <c r="H2877" s="33"/>
      <c r="I2877" s="34" t="str">
        <f aca="false">IF($A2877="","",$G2877-$H2877)</f>
        <v/>
      </c>
      <c r="J2877" s="35" t="str">
        <f aca="false">IF($A2877="","",IF(Setup!$B$6=1,YEAR($A2877),YEAR($A2877)+IF(MONTH($A2877)&gt;=Setup!$B$6,1,0)))</f>
        <v/>
      </c>
      <c r="K2877" s="35" t="str">
        <f aca="false">IF($A2877="","",MOD(MONTH($A2877)-Setup!$B$6+12,12)+1)</f>
        <v/>
      </c>
      <c r="L2877" s="36" t="str">
        <f aca="false">IF($A2877="","",TEXT($A2877,"MMM-YY"))</f>
        <v/>
      </c>
      <c r="M2877" s="37" t="str">
        <f aca="false">IF($A2877="","",IF($Q2877=0,"UNMAPPED",INDEX(COA_Mapping!$C$7:$C$256,$Q2877)))</f>
        <v/>
      </c>
      <c r="N2877" s="38" t="str">
        <f aca="false">IF($A2877="","",IF($Q2877=0,"",INDEX(COA_Mapping!$E$7:$E$256,$Q2877)))</f>
        <v/>
      </c>
      <c r="O2877" s="38" t="n">
        <f aca="false">IF($A2877="",1,IF($Q2877=0,1,INDEX(COA_Mapping!$F$7:$F$256,$Q2877)))</f>
        <v>1</v>
      </c>
      <c r="P2877" s="34" t="str">
        <f aca="false">IF($A2877="","",$I2877*$O2877)</f>
        <v/>
      </c>
      <c r="Q2877" s="39" t="n">
        <f aca="false">IF($B2877="",0,IFERROR(MATCH($B2877,COA_Mapping!$A$7:$A$256,0),0))</f>
        <v>0</v>
      </c>
      <c r="R2877" s="39" t="n">
        <f aca="false">IF($A2877="",-1,IF($J2877=Setup!$B$7,1,IF($J2877=Setup!$B$9,0,-1)))</f>
        <v>-1</v>
      </c>
      <c r="S2877" s="35" t="n">
        <f aca="false">IF(OR($A2877="",$Q2877=0,$R2877=-1),0,$Q2877*1000+$R2877*100+$K2877)</f>
        <v>0</v>
      </c>
      <c r="T2877" s="37" t="str">
        <f aca="false">IF($A2877="","",IF($B2877="","NO ACCOUNT",IF($Q2877=0,"UNMAPPED",IF($R2877=-1,"OUTSIDE FY RANGE","OK"))))</f>
        <v/>
      </c>
      <c r="U2877" s="40" t="str">
        <f aca="false">IF($A2877="","",$B2877&amp;"|"&amp;TEXT($A2877,"yyyymmdd")&amp;"|"&amp;TEXT($I2877,"0.00"))</f>
        <v/>
      </c>
      <c r="V2877" s="35" t="str">
        <f aca="false">IF($A2877="","",COUNTIF($U$8:$U$5007,$U2877))</f>
        <v/>
      </c>
    </row>
    <row r="2878" customFormat="false" ht="15" hidden="false" customHeight="false" outlineLevel="0" collapsed="false">
      <c r="A2878" s="31"/>
      <c r="B2878" s="32"/>
      <c r="C2878" s="32"/>
      <c r="D2878" s="32"/>
      <c r="E2878" s="32"/>
      <c r="F2878" s="32"/>
      <c r="G2878" s="33"/>
      <c r="H2878" s="33"/>
      <c r="I2878" s="34" t="str">
        <f aca="false">IF($A2878="","",$G2878-$H2878)</f>
        <v/>
      </c>
      <c r="J2878" s="35" t="str">
        <f aca="false">IF($A2878="","",IF(Setup!$B$6=1,YEAR($A2878),YEAR($A2878)+IF(MONTH($A2878)&gt;=Setup!$B$6,1,0)))</f>
        <v/>
      </c>
      <c r="K2878" s="35" t="str">
        <f aca="false">IF($A2878="","",MOD(MONTH($A2878)-Setup!$B$6+12,12)+1)</f>
        <v/>
      </c>
      <c r="L2878" s="36" t="str">
        <f aca="false">IF($A2878="","",TEXT($A2878,"MMM-YY"))</f>
        <v/>
      </c>
      <c r="M2878" s="37" t="str">
        <f aca="false">IF($A2878="","",IF($Q2878=0,"UNMAPPED",INDEX(COA_Mapping!$C$7:$C$256,$Q2878)))</f>
        <v/>
      </c>
      <c r="N2878" s="38" t="str">
        <f aca="false">IF($A2878="","",IF($Q2878=0,"",INDEX(COA_Mapping!$E$7:$E$256,$Q2878)))</f>
        <v/>
      </c>
      <c r="O2878" s="38" t="n">
        <f aca="false">IF($A2878="",1,IF($Q2878=0,1,INDEX(COA_Mapping!$F$7:$F$256,$Q2878)))</f>
        <v>1</v>
      </c>
      <c r="P2878" s="34" t="str">
        <f aca="false">IF($A2878="","",$I2878*$O2878)</f>
        <v/>
      </c>
      <c r="Q2878" s="39" t="n">
        <f aca="false">IF($B2878="",0,IFERROR(MATCH($B2878,COA_Mapping!$A$7:$A$256,0),0))</f>
        <v>0</v>
      </c>
      <c r="R2878" s="39" t="n">
        <f aca="false">IF($A2878="",-1,IF($J2878=Setup!$B$7,1,IF($J2878=Setup!$B$9,0,-1)))</f>
        <v>-1</v>
      </c>
      <c r="S2878" s="35" t="n">
        <f aca="false">IF(OR($A2878="",$Q2878=0,$R2878=-1),0,$Q2878*1000+$R2878*100+$K2878)</f>
        <v>0</v>
      </c>
      <c r="T2878" s="37" t="str">
        <f aca="false">IF($A2878="","",IF($B2878="","NO ACCOUNT",IF($Q2878=0,"UNMAPPED",IF($R2878=-1,"OUTSIDE FY RANGE","OK"))))</f>
        <v/>
      </c>
      <c r="U2878" s="40" t="str">
        <f aca="false">IF($A2878="","",$B2878&amp;"|"&amp;TEXT($A2878,"yyyymmdd")&amp;"|"&amp;TEXT($I2878,"0.00"))</f>
        <v/>
      </c>
      <c r="V2878" s="35" t="str">
        <f aca="false">IF($A2878="","",COUNTIF($U$8:$U$5007,$U2878))</f>
        <v/>
      </c>
    </row>
    <row r="2879" customFormat="false" ht="15" hidden="false" customHeight="false" outlineLevel="0" collapsed="false">
      <c r="A2879" s="31"/>
      <c r="B2879" s="32"/>
      <c r="C2879" s="32"/>
      <c r="D2879" s="32"/>
      <c r="E2879" s="32"/>
      <c r="F2879" s="32"/>
      <c r="G2879" s="33"/>
      <c r="H2879" s="33"/>
      <c r="I2879" s="34" t="str">
        <f aca="false">IF($A2879="","",$G2879-$H2879)</f>
        <v/>
      </c>
      <c r="J2879" s="35" t="str">
        <f aca="false">IF($A2879="","",IF(Setup!$B$6=1,YEAR($A2879),YEAR($A2879)+IF(MONTH($A2879)&gt;=Setup!$B$6,1,0)))</f>
        <v/>
      </c>
      <c r="K2879" s="35" t="str">
        <f aca="false">IF($A2879="","",MOD(MONTH($A2879)-Setup!$B$6+12,12)+1)</f>
        <v/>
      </c>
      <c r="L2879" s="36" t="str">
        <f aca="false">IF($A2879="","",TEXT($A2879,"MMM-YY"))</f>
        <v/>
      </c>
      <c r="M2879" s="37" t="str">
        <f aca="false">IF($A2879="","",IF($Q2879=0,"UNMAPPED",INDEX(COA_Mapping!$C$7:$C$256,$Q2879)))</f>
        <v/>
      </c>
      <c r="N2879" s="38" t="str">
        <f aca="false">IF($A2879="","",IF($Q2879=0,"",INDEX(COA_Mapping!$E$7:$E$256,$Q2879)))</f>
        <v/>
      </c>
      <c r="O2879" s="38" t="n">
        <f aca="false">IF($A2879="",1,IF($Q2879=0,1,INDEX(COA_Mapping!$F$7:$F$256,$Q2879)))</f>
        <v>1</v>
      </c>
      <c r="P2879" s="34" t="str">
        <f aca="false">IF($A2879="","",$I2879*$O2879)</f>
        <v/>
      </c>
      <c r="Q2879" s="39" t="n">
        <f aca="false">IF($B2879="",0,IFERROR(MATCH($B2879,COA_Mapping!$A$7:$A$256,0),0))</f>
        <v>0</v>
      </c>
      <c r="R2879" s="39" t="n">
        <f aca="false">IF($A2879="",-1,IF($J2879=Setup!$B$7,1,IF($J2879=Setup!$B$9,0,-1)))</f>
        <v>-1</v>
      </c>
      <c r="S2879" s="35" t="n">
        <f aca="false">IF(OR($A2879="",$Q2879=0,$R2879=-1),0,$Q2879*1000+$R2879*100+$K2879)</f>
        <v>0</v>
      </c>
      <c r="T2879" s="37" t="str">
        <f aca="false">IF($A2879="","",IF($B2879="","NO ACCOUNT",IF($Q2879=0,"UNMAPPED",IF($R2879=-1,"OUTSIDE FY RANGE","OK"))))</f>
        <v/>
      </c>
      <c r="U2879" s="40" t="str">
        <f aca="false">IF($A2879="","",$B2879&amp;"|"&amp;TEXT($A2879,"yyyymmdd")&amp;"|"&amp;TEXT($I2879,"0.00"))</f>
        <v/>
      </c>
      <c r="V2879" s="35" t="str">
        <f aca="false">IF($A2879="","",COUNTIF($U$8:$U$5007,$U2879))</f>
        <v/>
      </c>
    </row>
    <row r="2880" customFormat="false" ht="15" hidden="false" customHeight="false" outlineLevel="0" collapsed="false">
      <c r="A2880" s="31"/>
      <c r="B2880" s="32"/>
      <c r="C2880" s="32"/>
      <c r="D2880" s="32"/>
      <c r="E2880" s="32"/>
      <c r="F2880" s="32"/>
      <c r="G2880" s="33"/>
      <c r="H2880" s="33"/>
      <c r="I2880" s="34" t="str">
        <f aca="false">IF($A2880="","",$G2880-$H2880)</f>
        <v/>
      </c>
      <c r="J2880" s="35" t="str">
        <f aca="false">IF($A2880="","",IF(Setup!$B$6=1,YEAR($A2880),YEAR($A2880)+IF(MONTH($A2880)&gt;=Setup!$B$6,1,0)))</f>
        <v/>
      </c>
      <c r="K2880" s="35" t="str">
        <f aca="false">IF($A2880="","",MOD(MONTH($A2880)-Setup!$B$6+12,12)+1)</f>
        <v/>
      </c>
      <c r="L2880" s="36" t="str">
        <f aca="false">IF($A2880="","",TEXT($A2880,"MMM-YY"))</f>
        <v/>
      </c>
      <c r="M2880" s="37" t="str">
        <f aca="false">IF($A2880="","",IF($Q2880=0,"UNMAPPED",INDEX(COA_Mapping!$C$7:$C$256,$Q2880)))</f>
        <v/>
      </c>
      <c r="N2880" s="38" t="str">
        <f aca="false">IF($A2880="","",IF($Q2880=0,"",INDEX(COA_Mapping!$E$7:$E$256,$Q2880)))</f>
        <v/>
      </c>
      <c r="O2880" s="38" t="n">
        <f aca="false">IF($A2880="",1,IF($Q2880=0,1,INDEX(COA_Mapping!$F$7:$F$256,$Q2880)))</f>
        <v>1</v>
      </c>
      <c r="P2880" s="34" t="str">
        <f aca="false">IF($A2880="","",$I2880*$O2880)</f>
        <v/>
      </c>
      <c r="Q2880" s="39" t="n">
        <f aca="false">IF($B2880="",0,IFERROR(MATCH($B2880,COA_Mapping!$A$7:$A$256,0),0))</f>
        <v>0</v>
      </c>
      <c r="R2880" s="39" t="n">
        <f aca="false">IF($A2880="",-1,IF($J2880=Setup!$B$7,1,IF($J2880=Setup!$B$9,0,-1)))</f>
        <v>-1</v>
      </c>
      <c r="S2880" s="35" t="n">
        <f aca="false">IF(OR($A2880="",$Q2880=0,$R2880=-1),0,$Q2880*1000+$R2880*100+$K2880)</f>
        <v>0</v>
      </c>
      <c r="T2880" s="37" t="str">
        <f aca="false">IF($A2880="","",IF($B2880="","NO ACCOUNT",IF($Q2880=0,"UNMAPPED",IF($R2880=-1,"OUTSIDE FY RANGE","OK"))))</f>
        <v/>
      </c>
      <c r="U2880" s="40" t="str">
        <f aca="false">IF($A2880="","",$B2880&amp;"|"&amp;TEXT($A2880,"yyyymmdd")&amp;"|"&amp;TEXT($I2880,"0.00"))</f>
        <v/>
      </c>
      <c r="V2880" s="35" t="str">
        <f aca="false">IF($A2880="","",COUNTIF($U$8:$U$5007,$U2880))</f>
        <v/>
      </c>
    </row>
    <row r="2881" customFormat="false" ht="15" hidden="false" customHeight="false" outlineLevel="0" collapsed="false">
      <c r="A2881" s="31"/>
      <c r="B2881" s="32"/>
      <c r="C2881" s="32"/>
      <c r="D2881" s="32"/>
      <c r="E2881" s="32"/>
      <c r="F2881" s="32"/>
      <c r="G2881" s="33"/>
      <c r="H2881" s="33"/>
      <c r="I2881" s="34" t="str">
        <f aca="false">IF($A2881="","",$G2881-$H2881)</f>
        <v/>
      </c>
      <c r="J2881" s="35" t="str">
        <f aca="false">IF($A2881="","",IF(Setup!$B$6=1,YEAR($A2881),YEAR($A2881)+IF(MONTH($A2881)&gt;=Setup!$B$6,1,0)))</f>
        <v/>
      </c>
      <c r="K2881" s="35" t="str">
        <f aca="false">IF($A2881="","",MOD(MONTH($A2881)-Setup!$B$6+12,12)+1)</f>
        <v/>
      </c>
      <c r="L2881" s="36" t="str">
        <f aca="false">IF($A2881="","",TEXT($A2881,"MMM-YY"))</f>
        <v/>
      </c>
      <c r="M2881" s="37" t="str">
        <f aca="false">IF($A2881="","",IF($Q2881=0,"UNMAPPED",INDEX(COA_Mapping!$C$7:$C$256,$Q2881)))</f>
        <v/>
      </c>
      <c r="N2881" s="38" t="str">
        <f aca="false">IF($A2881="","",IF($Q2881=0,"",INDEX(COA_Mapping!$E$7:$E$256,$Q2881)))</f>
        <v/>
      </c>
      <c r="O2881" s="38" t="n">
        <f aca="false">IF($A2881="",1,IF($Q2881=0,1,INDEX(COA_Mapping!$F$7:$F$256,$Q2881)))</f>
        <v>1</v>
      </c>
      <c r="P2881" s="34" t="str">
        <f aca="false">IF($A2881="","",$I2881*$O2881)</f>
        <v/>
      </c>
      <c r="Q2881" s="39" t="n">
        <f aca="false">IF($B2881="",0,IFERROR(MATCH($B2881,COA_Mapping!$A$7:$A$256,0),0))</f>
        <v>0</v>
      </c>
      <c r="R2881" s="39" t="n">
        <f aca="false">IF($A2881="",-1,IF($J2881=Setup!$B$7,1,IF($J2881=Setup!$B$9,0,-1)))</f>
        <v>-1</v>
      </c>
      <c r="S2881" s="35" t="n">
        <f aca="false">IF(OR($A2881="",$Q2881=0,$R2881=-1),0,$Q2881*1000+$R2881*100+$K2881)</f>
        <v>0</v>
      </c>
      <c r="T2881" s="37" t="str">
        <f aca="false">IF($A2881="","",IF($B2881="","NO ACCOUNT",IF($Q2881=0,"UNMAPPED",IF($R2881=-1,"OUTSIDE FY RANGE","OK"))))</f>
        <v/>
      </c>
      <c r="U2881" s="40" t="str">
        <f aca="false">IF($A2881="","",$B2881&amp;"|"&amp;TEXT($A2881,"yyyymmdd")&amp;"|"&amp;TEXT($I2881,"0.00"))</f>
        <v/>
      </c>
      <c r="V2881" s="35" t="str">
        <f aca="false">IF($A2881="","",COUNTIF($U$8:$U$5007,$U2881))</f>
        <v/>
      </c>
    </row>
    <row r="2882" customFormat="false" ht="15" hidden="false" customHeight="false" outlineLevel="0" collapsed="false">
      <c r="A2882" s="31"/>
      <c r="B2882" s="32"/>
      <c r="C2882" s="32"/>
      <c r="D2882" s="32"/>
      <c r="E2882" s="32"/>
      <c r="F2882" s="32"/>
      <c r="G2882" s="33"/>
      <c r="H2882" s="33"/>
      <c r="I2882" s="34" t="str">
        <f aca="false">IF($A2882="","",$G2882-$H2882)</f>
        <v/>
      </c>
      <c r="J2882" s="35" t="str">
        <f aca="false">IF($A2882="","",IF(Setup!$B$6=1,YEAR($A2882),YEAR($A2882)+IF(MONTH($A2882)&gt;=Setup!$B$6,1,0)))</f>
        <v/>
      </c>
      <c r="K2882" s="35" t="str">
        <f aca="false">IF($A2882="","",MOD(MONTH($A2882)-Setup!$B$6+12,12)+1)</f>
        <v/>
      </c>
      <c r="L2882" s="36" t="str">
        <f aca="false">IF($A2882="","",TEXT($A2882,"MMM-YY"))</f>
        <v/>
      </c>
      <c r="M2882" s="37" t="str">
        <f aca="false">IF($A2882="","",IF($Q2882=0,"UNMAPPED",INDEX(COA_Mapping!$C$7:$C$256,$Q2882)))</f>
        <v/>
      </c>
      <c r="N2882" s="38" t="str">
        <f aca="false">IF($A2882="","",IF($Q2882=0,"",INDEX(COA_Mapping!$E$7:$E$256,$Q2882)))</f>
        <v/>
      </c>
      <c r="O2882" s="38" t="n">
        <f aca="false">IF($A2882="",1,IF($Q2882=0,1,INDEX(COA_Mapping!$F$7:$F$256,$Q2882)))</f>
        <v>1</v>
      </c>
      <c r="P2882" s="34" t="str">
        <f aca="false">IF($A2882="","",$I2882*$O2882)</f>
        <v/>
      </c>
      <c r="Q2882" s="39" t="n">
        <f aca="false">IF($B2882="",0,IFERROR(MATCH($B2882,COA_Mapping!$A$7:$A$256,0),0))</f>
        <v>0</v>
      </c>
      <c r="R2882" s="39" t="n">
        <f aca="false">IF($A2882="",-1,IF($J2882=Setup!$B$7,1,IF($J2882=Setup!$B$9,0,-1)))</f>
        <v>-1</v>
      </c>
      <c r="S2882" s="35" t="n">
        <f aca="false">IF(OR($A2882="",$Q2882=0,$R2882=-1),0,$Q2882*1000+$R2882*100+$K2882)</f>
        <v>0</v>
      </c>
      <c r="T2882" s="37" t="str">
        <f aca="false">IF($A2882="","",IF($B2882="","NO ACCOUNT",IF($Q2882=0,"UNMAPPED",IF($R2882=-1,"OUTSIDE FY RANGE","OK"))))</f>
        <v/>
      </c>
      <c r="U2882" s="40" t="str">
        <f aca="false">IF($A2882="","",$B2882&amp;"|"&amp;TEXT($A2882,"yyyymmdd")&amp;"|"&amp;TEXT($I2882,"0.00"))</f>
        <v/>
      </c>
      <c r="V2882" s="35" t="str">
        <f aca="false">IF($A2882="","",COUNTIF($U$8:$U$5007,$U2882))</f>
        <v/>
      </c>
    </row>
    <row r="2883" customFormat="false" ht="15" hidden="false" customHeight="false" outlineLevel="0" collapsed="false">
      <c r="A2883" s="31"/>
      <c r="B2883" s="32"/>
      <c r="C2883" s="32"/>
      <c r="D2883" s="32"/>
      <c r="E2883" s="32"/>
      <c r="F2883" s="32"/>
      <c r="G2883" s="33"/>
      <c r="H2883" s="33"/>
      <c r="I2883" s="34" t="str">
        <f aca="false">IF($A2883="","",$G2883-$H2883)</f>
        <v/>
      </c>
      <c r="J2883" s="35" t="str">
        <f aca="false">IF($A2883="","",IF(Setup!$B$6=1,YEAR($A2883),YEAR($A2883)+IF(MONTH($A2883)&gt;=Setup!$B$6,1,0)))</f>
        <v/>
      </c>
      <c r="K2883" s="35" t="str">
        <f aca="false">IF($A2883="","",MOD(MONTH($A2883)-Setup!$B$6+12,12)+1)</f>
        <v/>
      </c>
      <c r="L2883" s="36" t="str">
        <f aca="false">IF($A2883="","",TEXT($A2883,"MMM-YY"))</f>
        <v/>
      </c>
      <c r="M2883" s="37" t="str">
        <f aca="false">IF($A2883="","",IF($Q2883=0,"UNMAPPED",INDEX(COA_Mapping!$C$7:$C$256,$Q2883)))</f>
        <v/>
      </c>
      <c r="N2883" s="38" t="str">
        <f aca="false">IF($A2883="","",IF($Q2883=0,"",INDEX(COA_Mapping!$E$7:$E$256,$Q2883)))</f>
        <v/>
      </c>
      <c r="O2883" s="38" t="n">
        <f aca="false">IF($A2883="",1,IF($Q2883=0,1,INDEX(COA_Mapping!$F$7:$F$256,$Q2883)))</f>
        <v>1</v>
      </c>
      <c r="P2883" s="34" t="str">
        <f aca="false">IF($A2883="","",$I2883*$O2883)</f>
        <v/>
      </c>
      <c r="Q2883" s="39" t="n">
        <f aca="false">IF($B2883="",0,IFERROR(MATCH($B2883,COA_Mapping!$A$7:$A$256,0),0))</f>
        <v>0</v>
      </c>
      <c r="R2883" s="39" t="n">
        <f aca="false">IF($A2883="",-1,IF($J2883=Setup!$B$7,1,IF($J2883=Setup!$B$9,0,-1)))</f>
        <v>-1</v>
      </c>
      <c r="S2883" s="35" t="n">
        <f aca="false">IF(OR($A2883="",$Q2883=0,$R2883=-1),0,$Q2883*1000+$R2883*100+$K2883)</f>
        <v>0</v>
      </c>
      <c r="T2883" s="37" t="str">
        <f aca="false">IF($A2883="","",IF($B2883="","NO ACCOUNT",IF($Q2883=0,"UNMAPPED",IF($R2883=-1,"OUTSIDE FY RANGE","OK"))))</f>
        <v/>
      </c>
      <c r="U2883" s="40" t="str">
        <f aca="false">IF($A2883="","",$B2883&amp;"|"&amp;TEXT($A2883,"yyyymmdd")&amp;"|"&amp;TEXT($I2883,"0.00"))</f>
        <v/>
      </c>
      <c r="V2883" s="35" t="str">
        <f aca="false">IF($A2883="","",COUNTIF($U$8:$U$5007,$U2883))</f>
        <v/>
      </c>
    </row>
    <row r="2884" customFormat="false" ht="15" hidden="false" customHeight="false" outlineLevel="0" collapsed="false">
      <c r="A2884" s="31"/>
      <c r="B2884" s="32"/>
      <c r="C2884" s="32"/>
      <c r="D2884" s="32"/>
      <c r="E2884" s="32"/>
      <c r="F2884" s="32"/>
      <c r="G2884" s="33"/>
      <c r="H2884" s="33"/>
      <c r="I2884" s="34" t="str">
        <f aca="false">IF($A2884="","",$G2884-$H2884)</f>
        <v/>
      </c>
      <c r="J2884" s="35" t="str">
        <f aca="false">IF($A2884="","",IF(Setup!$B$6=1,YEAR($A2884),YEAR($A2884)+IF(MONTH($A2884)&gt;=Setup!$B$6,1,0)))</f>
        <v/>
      </c>
      <c r="K2884" s="35" t="str">
        <f aca="false">IF($A2884="","",MOD(MONTH($A2884)-Setup!$B$6+12,12)+1)</f>
        <v/>
      </c>
      <c r="L2884" s="36" t="str">
        <f aca="false">IF($A2884="","",TEXT($A2884,"MMM-YY"))</f>
        <v/>
      </c>
      <c r="M2884" s="37" t="str">
        <f aca="false">IF($A2884="","",IF($Q2884=0,"UNMAPPED",INDEX(COA_Mapping!$C$7:$C$256,$Q2884)))</f>
        <v/>
      </c>
      <c r="N2884" s="38" t="str">
        <f aca="false">IF($A2884="","",IF($Q2884=0,"",INDEX(COA_Mapping!$E$7:$E$256,$Q2884)))</f>
        <v/>
      </c>
      <c r="O2884" s="38" t="n">
        <f aca="false">IF($A2884="",1,IF($Q2884=0,1,INDEX(COA_Mapping!$F$7:$F$256,$Q2884)))</f>
        <v>1</v>
      </c>
      <c r="P2884" s="34" t="str">
        <f aca="false">IF($A2884="","",$I2884*$O2884)</f>
        <v/>
      </c>
      <c r="Q2884" s="39" t="n">
        <f aca="false">IF($B2884="",0,IFERROR(MATCH($B2884,COA_Mapping!$A$7:$A$256,0),0))</f>
        <v>0</v>
      </c>
      <c r="R2884" s="39" t="n">
        <f aca="false">IF($A2884="",-1,IF($J2884=Setup!$B$7,1,IF($J2884=Setup!$B$9,0,-1)))</f>
        <v>-1</v>
      </c>
      <c r="S2884" s="35" t="n">
        <f aca="false">IF(OR($A2884="",$Q2884=0,$R2884=-1),0,$Q2884*1000+$R2884*100+$K2884)</f>
        <v>0</v>
      </c>
      <c r="T2884" s="37" t="str">
        <f aca="false">IF($A2884="","",IF($B2884="","NO ACCOUNT",IF($Q2884=0,"UNMAPPED",IF($R2884=-1,"OUTSIDE FY RANGE","OK"))))</f>
        <v/>
      </c>
      <c r="U2884" s="40" t="str">
        <f aca="false">IF($A2884="","",$B2884&amp;"|"&amp;TEXT($A2884,"yyyymmdd")&amp;"|"&amp;TEXT($I2884,"0.00"))</f>
        <v/>
      </c>
      <c r="V2884" s="35" t="str">
        <f aca="false">IF($A2884="","",COUNTIF($U$8:$U$5007,$U2884))</f>
        <v/>
      </c>
    </row>
    <row r="2885" customFormat="false" ht="15" hidden="false" customHeight="false" outlineLevel="0" collapsed="false">
      <c r="A2885" s="31"/>
      <c r="B2885" s="32"/>
      <c r="C2885" s="32"/>
      <c r="D2885" s="32"/>
      <c r="E2885" s="32"/>
      <c r="F2885" s="32"/>
      <c r="G2885" s="33"/>
      <c r="H2885" s="33"/>
      <c r="I2885" s="34" t="str">
        <f aca="false">IF($A2885="","",$G2885-$H2885)</f>
        <v/>
      </c>
      <c r="J2885" s="35" t="str">
        <f aca="false">IF($A2885="","",IF(Setup!$B$6=1,YEAR($A2885),YEAR($A2885)+IF(MONTH($A2885)&gt;=Setup!$B$6,1,0)))</f>
        <v/>
      </c>
      <c r="K2885" s="35" t="str">
        <f aca="false">IF($A2885="","",MOD(MONTH($A2885)-Setup!$B$6+12,12)+1)</f>
        <v/>
      </c>
      <c r="L2885" s="36" t="str">
        <f aca="false">IF($A2885="","",TEXT($A2885,"MMM-YY"))</f>
        <v/>
      </c>
      <c r="M2885" s="37" t="str">
        <f aca="false">IF($A2885="","",IF($Q2885=0,"UNMAPPED",INDEX(COA_Mapping!$C$7:$C$256,$Q2885)))</f>
        <v/>
      </c>
      <c r="N2885" s="38" t="str">
        <f aca="false">IF($A2885="","",IF($Q2885=0,"",INDEX(COA_Mapping!$E$7:$E$256,$Q2885)))</f>
        <v/>
      </c>
      <c r="O2885" s="38" t="n">
        <f aca="false">IF($A2885="",1,IF($Q2885=0,1,INDEX(COA_Mapping!$F$7:$F$256,$Q2885)))</f>
        <v>1</v>
      </c>
      <c r="P2885" s="34" t="str">
        <f aca="false">IF($A2885="","",$I2885*$O2885)</f>
        <v/>
      </c>
      <c r="Q2885" s="39" t="n">
        <f aca="false">IF($B2885="",0,IFERROR(MATCH($B2885,COA_Mapping!$A$7:$A$256,0),0))</f>
        <v>0</v>
      </c>
      <c r="R2885" s="39" t="n">
        <f aca="false">IF($A2885="",-1,IF($J2885=Setup!$B$7,1,IF($J2885=Setup!$B$9,0,-1)))</f>
        <v>-1</v>
      </c>
      <c r="S2885" s="35" t="n">
        <f aca="false">IF(OR($A2885="",$Q2885=0,$R2885=-1),0,$Q2885*1000+$R2885*100+$K2885)</f>
        <v>0</v>
      </c>
      <c r="T2885" s="37" t="str">
        <f aca="false">IF($A2885="","",IF($B2885="","NO ACCOUNT",IF($Q2885=0,"UNMAPPED",IF($R2885=-1,"OUTSIDE FY RANGE","OK"))))</f>
        <v/>
      </c>
      <c r="U2885" s="40" t="str">
        <f aca="false">IF($A2885="","",$B2885&amp;"|"&amp;TEXT($A2885,"yyyymmdd")&amp;"|"&amp;TEXT($I2885,"0.00"))</f>
        <v/>
      </c>
      <c r="V2885" s="35" t="str">
        <f aca="false">IF($A2885="","",COUNTIF($U$8:$U$5007,$U2885))</f>
        <v/>
      </c>
    </row>
    <row r="2886" customFormat="false" ht="15" hidden="false" customHeight="false" outlineLevel="0" collapsed="false">
      <c r="A2886" s="31"/>
      <c r="B2886" s="32"/>
      <c r="C2886" s="32"/>
      <c r="D2886" s="32"/>
      <c r="E2886" s="32"/>
      <c r="F2886" s="32"/>
      <c r="G2886" s="33"/>
      <c r="H2886" s="33"/>
      <c r="I2886" s="34" t="str">
        <f aca="false">IF($A2886="","",$G2886-$H2886)</f>
        <v/>
      </c>
      <c r="J2886" s="35" t="str">
        <f aca="false">IF($A2886="","",IF(Setup!$B$6=1,YEAR($A2886),YEAR($A2886)+IF(MONTH($A2886)&gt;=Setup!$B$6,1,0)))</f>
        <v/>
      </c>
      <c r="K2886" s="35" t="str">
        <f aca="false">IF($A2886="","",MOD(MONTH($A2886)-Setup!$B$6+12,12)+1)</f>
        <v/>
      </c>
      <c r="L2886" s="36" t="str">
        <f aca="false">IF($A2886="","",TEXT($A2886,"MMM-YY"))</f>
        <v/>
      </c>
      <c r="M2886" s="37" t="str">
        <f aca="false">IF($A2886="","",IF($Q2886=0,"UNMAPPED",INDEX(COA_Mapping!$C$7:$C$256,$Q2886)))</f>
        <v/>
      </c>
      <c r="N2886" s="38" t="str">
        <f aca="false">IF($A2886="","",IF($Q2886=0,"",INDEX(COA_Mapping!$E$7:$E$256,$Q2886)))</f>
        <v/>
      </c>
      <c r="O2886" s="38" t="n">
        <f aca="false">IF($A2886="",1,IF($Q2886=0,1,INDEX(COA_Mapping!$F$7:$F$256,$Q2886)))</f>
        <v>1</v>
      </c>
      <c r="P2886" s="34" t="str">
        <f aca="false">IF($A2886="","",$I2886*$O2886)</f>
        <v/>
      </c>
      <c r="Q2886" s="39" t="n">
        <f aca="false">IF($B2886="",0,IFERROR(MATCH($B2886,COA_Mapping!$A$7:$A$256,0),0))</f>
        <v>0</v>
      </c>
      <c r="R2886" s="39" t="n">
        <f aca="false">IF($A2886="",-1,IF($J2886=Setup!$B$7,1,IF($J2886=Setup!$B$9,0,-1)))</f>
        <v>-1</v>
      </c>
      <c r="S2886" s="35" t="n">
        <f aca="false">IF(OR($A2886="",$Q2886=0,$R2886=-1),0,$Q2886*1000+$R2886*100+$K2886)</f>
        <v>0</v>
      </c>
      <c r="T2886" s="37" t="str">
        <f aca="false">IF($A2886="","",IF($B2886="","NO ACCOUNT",IF($Q2886=0,"UNMAPPED",IF($R2886=-1,"OUTSIDE FY RANGE","OK"))))</f>
        <v/>
      </c>
      <c r="U2886" s="40" t="str">
        <f aca="false">IF($A2886="","",$B2886&amp;"|"&amp;TEXT($A2886,"yyyymmdd")&amp;"|"&amp;TEXT($I2886,"0.00"))</f>
        <v/>
      </c>
      <c r="V2886" s="35" t="str">
        <f aca="false">IF($A2886="","",COUNTIF($U$8:$U$5007,$U2886))</f>
        <v/>
      </c>
    </row>
    <row r="2887" customFormat="false" ht="15" hidden="false" customHeight="false" outlineLevel="0" collapsed="false">
      <c r="A2887" s="31"/>
      <c r="B2887" s="32"/>
      <c r="C2887" s="32"/>
      <c r="D2887" s="32"/>
      <c r="E2887" s="32"/>
      <c r="F2887" s="32"/>
      <c r="G2887" s="33"/>
      <c r="H2887" s="33"/>
      <c r="I2887" s="34" t="str">
        <f aca="false">IF($A2887="","",$G2887-$H2887)</f>
        <v/>
      </c>
      <c r="J2887" s="35" t="str">
        <f aca="false">IF($A2887="","",IF(Setup!$B$6=1,YEAR($A2887),YEAR($A2887)+IF(MONTH($A2887)&gt;=Setup!$B$6,1,0)))</f>
        <v/>
      </c>
      <c r="K2887" s="35" t="str">
        <f aca="false">IF($A2887="","",MOD(MONTH($A2887)-Setup!$B$6+12,12)+1)</f>
        <v/>
      </c>
      <c r="L2887" s="36" t="str">
        <f aca="false">IF($A2887="","",TEXT($A2887,"MMM-YY"))</f>
        <v/>
      </c>
      <c r="M2887" s="37" t="str">
        <f aca="false">IF($A2887="","",IF($Q2887=0,"UNMAPPED",INDEX(COA_Mapping!$C$7:$C$256,$Q2887)))</f>
        <v/>
      </c>
      <c r="N2887" s="38" t="str">
        <f aca="false">IF($A2887="","",IF($Q2887=0,"",INDEX(COA_Mapping!$E$7:$E$256,$Q2887)))</f>
        <v/>
      </c>
      <c r="O2887" s="38" t="n">
        <f aca="false">IF($A2887="",1,IF($Q2887=0,1,INDEX(COA_Mapping!$F$7:$F$256,$Q2887)))</f>
        <v>1</v>
      </c>
      <c r="P2887" s="34" t="str">
        <f aca="false">IF($A2887="","",$I2887*$O2887)</f>
        <v/>
      </c>
      <c r="Q2887" s="39" t="n">
        <f aca="false">IF($B2887="",0,IFERROR(MATCH($B2887,COA_Mapping!$A$7:$A$256,0),0))</f>
        <v>0</v>
      </c>
      <c r="R2887" s="39" t="n">
        <f aca="false">IF($A2887="",-1,IF($J2887=Setup!$B$7,1,IF($J2887=Setup!$B$9,0,-1)))</f>
        <v>-1</v>
      </c>
      <c r="S2887" s="35" t="n">
        <f aca="false">IF(OR($A2887="",$Q2887=0,$R2887=-1),0,$Q2887*1000+$R2887*100+$K2887)</f>
        <v>0</v>
      </c>
      <c r="T2887" s="37" t="str">
        <f aca="false">IF($A2887="","",IF($B2887="","NO ACCOUNT",IF($Q2887=0,"UNMAPPED",IF($R2887=-1,"OUTSIDE FY RANGE","OK"))))</f>
        <v/>
      </c>
      <c r="U2887" s="40" t="str">
        <f aca="false">IF($A2887="","",$B2887&amp;"|"&amp;TEXT($A2887,"yyyymmdd")&amp;"|"&amp;TEXT($I2887,"0.00"))</f>
        <v/>
      </c>
      <c r="V2887" s="35" t="str">
        <f aca="false">IF($A2887="","",COUNTIF($U$8:$U$5007,$U2887))</f>
        <v/>
      </c>
    </row>
    <row r="2888" customFormat="false" ht="15" hidden="false" customHeight="false" outlineLevel="0" collapsed="false">
      <c r="A2888" s="31"/>
      <c r="B2888" s="32"/>
      <c r="C2888" s="32"/>
      <c r="D2888" s="32"/>
      <c r="E2888" s="32"/>
      <c r="F2888" s="32"/>
      <c r="G2888" s="33"/>
      <c r="H2888" s="33"/>
      <c r="I2888" s="34" t="str">
        <f aca="false">IF($A2888="","",$G2888-$H2888)</f>
        <v/>
      </c>
      <c r="J2888" s="35" t="str">
        <f aca="false">IF($A2888="","",IF(Setup!$B$6=1,YEAR($A2888),YEAR($A2888)+IF(MONTH($A2888)&gt;=Setup!$B$6,1,0)))</f>
        <v/>
      </c>
      <c r="K2888" s="35" t="str">
        <f aca="false">IF($A2888="","",MOD(MONTH($A2888)-Setup!$B$6+12,12)+1)</f>
        <v/>
      </c>
      <c r="L2888" s="36" t="str">
        <f aca="false">IF($A2888="","",TEXT($A2888,"MMM-YY"))</f>
        <v/>
      </c>
      <c r="M2888" s="37" t="str">
        <f aca="false">IF($A2888="","",IF($Q2888=0,"UNMAPPED",INDEX(COA_Mapping!$C$7:$C$256,$Q2888)))</f>
        <v/>
      </c>
      <c r="N2888" s="38" t="str">
        <f aca="false">IF($A2888="","",IF($Q2888=0,"",INDEX(COA_Mapping!$E$7:$E$256,$Q2888)))</f>
        <v/>
      </c>
      <c r="O2888" s="38" t="n">
        <f aca="false">IF($A2888="",1,IF($Q2888=0,1,INDEX(COA_Mapping!$F$7:$F$256,$Q2888)))</f>
        <v>1</v>
      </c>
      <c r="P2888" s="34" t="str">
        <f aca="false">IF($A2888="","",$I2888*$O2888)</f>
        <v/>
      </c>
      <c r="Q2888" s="39" t="n">
        <f aca="false">IF($B2888="",0,IFERROR(MATCH($B2888,COA_Mapping!$A$7:$A$256,0),0))</f>
        <v>0</v>
      </c>
      <c r="R2888" s="39" t="n">
        <f aca="false">IF($A2888="",-1,IF($J2888=Setup!$B$7,1,IF($J2888=Setup!$B$9,0,-1)))</f>
        <v>-1</v>
      </c>
      <c r="S2888" s="35" t="n">
        <f aca="false">IF(OR($A2888="",$Q2888=0,$R2888=-1),0,$Q2888*1000+$R2888*100+$K2888)</f>
        <v>0</v>
      </c>
      <c r="T2888" s="37" t="str">
        <f aca="false">IF($A2888="","",IF($B2888="","NO ACCOUNT",IF($Q2888=0,"UNMAPPED",IF($R2888=-1,"OUTSIDE FY RANGE","OK"))))</f>
        <v/>
      </c>
      <c r="U2888" s="40" t="str">
        <f aca="false">IF($A2888="","",$B2888&amp;"|"&amp;TEXT($A2888,"yyyymmdd")&amp;"|"&amp;TEXT($I2888,"0.00"))</f>
        <v/>
      </c>
      <c r="V2888" s="35" t="str">
        <f aca="false">IF($A2888="","",COUNTIF($U$8:$U$5007,$U2888))</f>
        <v/>
      </c>
    </row>
    <row r="2889" customFormat="false" ht="15" hidden="false" customHeight="false" outlineLevel="0" collapsed="false">
      <c r="A2889" s="31"/>
      <c r="B2889" s="32"/>
      <c r="C2889" s="32"/>
      <c r="D2889" s="32"/>
      <c r="E2889" s="32"/>
      <c r="F2889" s="32"/>
      <c r="G2889" s="33"/>
      <c r="H2889" s="33"/>
      <c r="I2889" s="34" t="str">
        <f aca="false">IF($A2889="","",$G2889-$H2889)</f>
        <v/>
      </c>
      <c r="J2889" s="35" t="str">
        <f aca="false">IF($A2889="","",IF(Setup!$B$6=1,YEAR($A2889),YEAR($A2889)+IF(MONTH($A2889)&gt;=Setup!$B$6,1,0)))</f>
        <v/>
      </c>
      <c r="K2889" s="35" t="str">
        <f aca="false">IF($A2889="","",MOD(MONTH($A2889)-Setup!$B$6+12,12)+1)</f>
        <v/>
      </c>
      <c r="L2889" s="36" t="str">
        <f aca="false">IF($A2889="","",TEXT($A2889,"MMM-YY"))</f>
        <v/>
      </c>
      <c r="M2889" s="37" t="str">
        <f aca="false">IF($A2889="","",IF($Q2889=0,"UNMAPPED",INDEX(COA_Mapping!$C$7:$C$256,$Q2889)))</f>
        <v/>
      </c>
      <c r="N2889" s="38" t="str">
        <f aca="false">IF($A2889="","",IF($Q2889=0,"",INDEX(COA_Mapping!$E$7:$E$256,$Q2889)))</f>
        <v/>
      </c>
      <c r="O2889" s="38" t="n">
        <f aca="false">IF($A2889="",1,IF($Q2889=0,1,INDEX(COA_Mapping!$F$7:$F$256,$Q2889)))</f>
        <v>1</v>
      </c>
      <c r="P2889" s="34" t="str">
        <f aca="false">IF($A2889="","",$I2889*$O2889)</f>
        <v/>
      </c>
      <c r="Q2889" s="39" t="n">
        <f aca="false">IF($B2889="",0,IFERROR(MATCH($B2889,COA_Mapping!$A$7:$A$256,0),0))</f>
        <v>0</v>
      </c>
      <c r="R2889" s="39" t="n">
        <f aca="false">IF($A2889="",-1,IF($J2889=Setup!$B$7,1,IF($J2889=Setup!$B$9,0,-1)))</f>
        <v>-1</v>
      </c>
      <c r="S2889" s="35" t="n">
        <f aca="false">IF(OR($A2889="",$Q2889=0,$R2889=-1),0,$Q2889*1000+$R2889*100+$K2889)</f>
        <v>0</v>
      </c>
      <c r="T2889" s="37" t="str">
        <f aca="false">IF($A2889="","",IF($B2889="","NO ACCOUNT",IF($Q2889=0,"UNMAPPED",IF($R2889=-1,"OUTSIDE FY RANGE","OK"))))</f>
        <v/>
      </c>
      <c r="U2889" s="40" t="str">
        <f aca="false">IF($A2889="","",$B2889&amp;"|"&amp;TEXT($A2889,"yyyymmdd")&amp;"|"&amp;TEXT($I2889,"0.00"))</f>
        <v/>
      </c>
      <c r="V2889" s="35" t="str">
        <f aca="false">IF($A2889="","",COUNTIF($U$8:$U$5007,$U2889))</f>
        <v/>
      </c>
    </row>
    <row r="2890" customFormat="false" ht="15" hidden="false" customHeight="false" outlineLevel="0" collapsed="false">
      <c r="A2890" s="31"/>
      <c r="B2890" s="32"/>
      <c r="C2890" s="32"/>
      <c r="D2890" s="32"/>
      <c r="E2890" s="32"/>
      <c r="F2890" s="32"/>
      <c r="G2890" s="33"/>
      <c r="H2890" s="33"/>
      <c r="I2890" s="34" t="str">
        <f aca="false">IF($A2890="","",$G2890-$H2890)</f>
        <v/>
      </c>
      <c r="J2890" s="35" t="str">
        <f aca="false">IF($A2890="","",IF(Setup!$B$6=1,YEAR($A2890),YEAR($A2890)+IF(MONTH($A2890)&gt;=Setup!$B$6,1,0)))</f>
        <v/>
      </c>
      <c r="K2890" s="35" t="str">
        <f aca="false">IF($A2890="","",MOD(MONTH($A2890)-Setup!$B$6+12,12)+1)</f>
        <v/>
      </c>
      <c r="L2890" s="36" t="str">
        <f aca="false">IF($A2890="","",TEXT($A2890,"MMM-YY"))</f>
        <v/>
      </c>
      <c r="M2890" s="37" t="str">
        <f aca="false">IF($A2890="","",IF($Q2890=0,"UNMAPPED",INDEX(COA_Mapping!$C$7:$C$256,$Q2890)))</f>
        <v/>
      </c>
      <c r="N2890" s="38" t="str">
        <f aca="false">IF($A2890="","",IF($Q2890=0,"",INDEX(COA_Mapping!$E$7:$E$256,$Q2890)))</f>
        <v/>
      </c>
      <c r="O2890" s="38" t="n">
        <f aca="false">IF($A2890="",1,IF($Q2890=0,1,INDEX(COA_Mapping!$F$7:$F$256,$Q2890)))</f>
        <v>1</v>
      </c>
      <c r="P2890" s="34" t="str">
        <f aca="false">IF($A2890="","",$I2890*$O2890)</f>
        <v/>
      </c>
      <c r="Q2890" s="39" t="n">
        <f aca="false">IF($B2890="",0,IFERROR(MATCH($B2890,COA_Mapping!$A$7:$A$256,0),0))</f>
        <v>0</v>
      </c>
      <c r="R2890" s="39" t="n">
        <f aca="false">IF($A2890="",-1,IF($J2890=Setup!$B$7,1,IF($J2890=Setup!$B$9,0,-1)))</f>
        <v>-1</v>
      </c>
      <c r="S2890" s="35" t="n">
        <f aca="false">IF(OR($A2890="",$Q2890=0,$R2890=-1),0,$Q2890*1000+$R2890*100+$K2890)</f>
        <v>0</v>
      </c>
      <c r="T2890" s="37" t="str">
        <f aca="false">IF($A2890="","",IF($B2890="","NO ACCOUNT",IF($Q2890=0,"UNMAPPED",IF($R2890=-1,"OUTSIDE FY RANGE","OK"))))</f>
        <v/>
      </c>
      <c r="U2890" s="40" t="str">
        <f aca="false">IF($A2890="","",$B2890&amp;"|"&amp;TEXT($A2890,"yyyymmdd")&amp;"|"&amp;TEXT($I2890,"0.00"))</f>
        <v/>
      </c>
      <c r="V2890" s="35" t="str">
        <f aca="false">IF($A2890="","",COUNTIF($U$8:$U$5007,$U2890))</f>
        <v/>
      </c>
    </row>
    <row r="2891" customFormat="false" ht="15" hidden="false" customHeight="false" outlineLevel="0" collapsed="false">
      <c r="A2891" s="31"/>
      <c r="B2891" s="32"/>
      <c r="C2891" s="32"/>
      <c r="D2891" s="32"/>
      <c r="E2891" s="32"/>
      <c r="F2891" s="32"/>
      <c r="G2891" s="33"/>
      <c r="H2891" s="33"/>
      <c r="I2891" s="34" t="str">
        <f aca="false">IF($A2891="","",$G2891-$H2891)</f>
        <v/>
      </c>
      <c r="J2891" s="35" t="str">
        <f aca="false">IF($A2891="","",IF(Setup!$B$6=1,YEAR($A2891),YEAR($A2891)+IF(MONTH($A2891)&gt;=Setup!$B$6,1,0)))</f>
        <v/>
      </c>
      <c r="K2891" s="35" t="str">
        <f aca="false">IF($A2891="","",MOD(MONTH($A2891)-Setup!$B$6+12,12)+1)</f>
        <v/>
      </c>
      <c r="L2891" s="36" t="str">
        <f aca="false">IF($A2891="","",TEXT($A2891,"MMM-YY"))</f>
        <v/>
      </c>
      <c r="M2891" s="37" t="str">
        <f aca="false">IF($A2891="","",IF($Q2891=0,"UNMAPPED",INDEX(COA_Mapping!$C$7:$C$256,$Q2891)))</f>
        <v/>
      </c>
      <c r="N2891" s="38" t="str">
        <f aca="false">IF($A2891="","",IF($Q2891=0,"",INDEX(COA_Mapping!$E$7:$E$256,$Q2891)))</f>
        <v/>
      </c>
      <c r="O2891" s="38" t="n">
        <f aca="false">IF($A2891="",1,IF($Q2891=0,1,INDEX(COA_Mapping!$F$7:$F$256,$Q2891)))</f>
        <v>1</v>
      </c>
      <c r="P2891" s="34" t="str">
        <f aca="false">IF($A2891="","",$I2891*$O2891)</f>
        <v/>
      </c>
      <c r="Q2891" s="39" t="n">
        <f aca="false">IF($B2891="",0,IFERROR(MATCH($B2891,COA_Mapping!$A$7:$A$256,0),0))</f>
        <v>0</v>
      </c>
      <c r="R2891" s="39" t="n">
        <f aca="false">IF($A2891="",-1,IF($J2891=Setup!$B$7,1,IF($J2891=Setup!$B$9,0,-1)))</f>
        <v>-1</v>
      </c>
      <c r="S2891" s="35" t="n">
        <f aca="false">IF(OR($A2891="",$Q2891=0,$R2891=-1),0,$Q2891*1000+$R2891*100+$K2891)</f>
        <v>0</v>
      </c>
      <c r="T2891" s="37" t="str">
        <f aca="false">IF($A2891="","",IF($B2891="","NO ACCOUNT",IF($Q2891=0,"UNMAPPED",IF($R2891=-1,"OUTSIDE FY RANGE","OK"))))</f>
        <v/>
      </c>
      <c r="U2891" s="40" t="str">
        <f aca="false">IF($A2891="","",$B2891&amp;"|"&amp;TEXT($A2891,"yyyymmdd")&amp;"|"&amp;TEXT($I2891,"0.00"))</f>
        <v/>
      </c>
      <c r="V2891" s="35" t="str">
        <f aca="false">IF($A2891="","",COUNTIF($U$8:$U$5007,$U2891))</f>
        <v/>
      </c>
    </row>
    <row r="2892" customFormat="false" ht="15" hidden="false" customHeight="false" outlineLevel="0" collapsed="false">
      <c r="A2892" s="31"/>
      <c r="B2892" s="32"/>
      <c r="C2892" s="32"/>
      <c r="D2892" s="32"/>
      <c r="E2892" s="32"/>
      <c r="F2892" s="32"/>
      <c r="G2892" s="33"/>
      <c r="H2892" s="33"/>
      <c r="I2892" s="34" t="str">
        <f aca="false">IF($A2892="","",$G2892-$H2892)</f>
        <v/>
      </c>
      <c r="J2892" s="35" t="str">
        <f aca="false">IF($A2892="","",IF(Setup!$B$6=1,YEAR($A2892),YEAR($A2892)+IF(MONTH($A2892)&gt;=Setup!$B$6,1,0)))</f>
        <v/>
      </c>
      <c r="K2892" s="35" t="str">
        <f aca="false">IF($A2892="","",MOD(MONTH($A2892)-Setup!$B$6+12,12)+1)</f>
        <v/>
      </c>
      <c r="L2892" s="36" t="str">
        <f aca="false">IF($A2892="","",TEXT($A2892,"MMM-YY"))</f>
        <v/>
      </c>
      <c r="M2892" s="37" t="str">
        <f aca="false">IF($A2892="","",IF($Q2892=0,"UNMAPPED",INDEX(COA_Mapping!$C$7:$C$256,$Q2892)))</f>
        <v/>
      </c>
      <c r="N2892" s="38" t="str">
        <f aca="false">IF($A2892="","",IF($Q2892=0,"",INDEX(COA_Mapping!$E$7:$E$256,$Q2892)))</f>
        <v/>
      </c>
      <c r="O2892" s="38" t="n">
        <f aca="false">IF($A2892="",1,IF($Q2892=0,1,INDEX(COA_Mapping!$F$7:$F$256,$Q2892)))</f>
        <v>1</v>
      </c>
      <c r="P2892" s="34" t="str">
        <f aca="false">IF($A2892="","",$I2892*$O2892)</f>
        <v/>
      </c>
      <c r="Q2892" s="39" t="n">
        <f aca="false">IF($B2892="",0,IFERROR(MATCH($B2892,COA_Mapping!$A$7:$A$256,0),0))</f>
        <v>0</v>
      </c>
      <c r="R2892" s="39" t="n">
        <f aca="false">IF($A2892="",-1,IF($J2892=Setup!$B$7,1,IF($J2892=Setup!$B$9,0,-1)))</f>
        <v>-1</v>
      </c>
      <c r="S2892" s="35" t="n">
        <f aca="false">IF(OR($A2892="",$Q2892=0,$R2892=-1),0,$Q2892*1000+$R2892*100+$K2892)</f>
        <v>0</v>
      </c>
      <c r="T2892" s="37" t="str">
        <f aca="false">IF($A2892="","",IF($B2892="","NO ACCOUNT",IF($Q2892=0,"UNMAPPED",IF($R2892=-1,"OUTSIDE FY RANGE","OK"))))</f>
        <v/>
      </c>
      <c r="U2892" s="40" t="str">
        <f aca="false">IF($A2892="","",$B2892&amp;"|"&amp;TEXT($A2892,"yyyymmdd")&amp;"|"&amp;TEXT($I2892,"0.00"))</f>
        <v/>
      </c>
      <c r="V2892" s="35" t="str">
        <f aca="false">IF($A2892="","",COUNTIF($U$8:$U$5007,$U2892))</f>
        <v/>
      </c>
    </row>
    <row r="2893" customFormat="false" ht="15" hidden="false" customHeight="false" outlineLevel="0" collapsed="false">
      <c r="A2893" s="31"/>
      <c r="B2893" s="32"/>
      <c r="C2893" s="32"/>
      <c r="D2893" s="32"/>
      <c r="E2893" s="32"/>
      <c r="F2893" s="32"/>
      <c r="G2893" s="33"/>
      <c r="H2893" s="33"/>
      <c r="I2893" s="34" t="str">
        <f aca="false">IF($A2893="","",$G2893-$H2893)</f>
        <v/>
      </c>
      <c r="J2893" s="35" t="str">
        <f aca="false">IF($A2893="","",IF(Setup!$B$6=1,YEAR($A2893),YEAR($A2893)+IF(MONTH($A2893)&gt;=Setup!$B$6,1,0)))</f>
        <v/>
      </c>
      <c r="K2893" s="35" t="str">
        <f aca="false">IF($A2893="","",MOD(MONTH($A2893)-Setup!$B$6+12,12)+1)</f>
        <v/>
      </c>
      <c r="L2893" s="36" t="str">
        <f aca="false">IF($A2893="","",TEXT($A2893,"MMM-YY"))</f>
        <v/>
      </c>
      <c r="M2893" s="37" t="str">
        <f aca="false">IF($A2893="","",IF($Q2893=0,"UNMAPPED",INDEX(COA_Mapping!$C$7:$C$256,$Q2893)))</f>
        <v/>
      </c>
      <c r="N2893" s="38" t="str">
        <f aca="false">IF($A2893="","",IF($Q2893=0,"",INDEX(COA_Mapping!$E$7:$E$256,$Q2893)))</f>
        <v/>
      </c>
      <c r="O2893" s="38" t="n">
        <f aca="false">IF($A2893="",1,IF($Q2893=0,1,INDEX(COA_Mapping!$F$7:$F$256,$Q2893)))</f>
        <v>1</v>
      </c>
      <c r="P2893" s="34" t="str">
        <f aca="false">IF($A2893="","",$I2893*$O2893)</f>
        <v/>
      </c>
      <c r="Q2893" s="39" t="n">
        <f aca="false">IF($B2893="",0,IFERROR(MATCH($B2893,COA_Mapping!$A$7:$A$256,0),0))</f>
        <v>0</v>
      </c>
      <c r="R2893" s="39" t="n">
        <f aca="false">IF($A2893="",-1,IF($J2893=Setup!$B$7,1,IF($J2893=Setup!$B$9,0,-1)))</f>
        <v>-1</v>
      </c>
      <c r="S2893" s="35" t="n">
        <f aca="false">IF(OR($A2893="",$Q2893=0,$R2893=-1),0,$Q2893*1000+$R2893*100+$K2893)</f>
        <v>0</v>
      </c>
      <c r="T2893" s="37" t="str">
        <f aca="false">IF($A2893="","",IF($B2893="","NO ACCOUNT",IF($Q2893=0,"UNMAPPED",IF($R2893=-1,"OUTSIDE FY RANGE","OK"))))</f>
        <v/>
      </c>
      <c r="U2893" s="40" t="str">
        <f aca="false">IF($A2893="","",$B2893&amp;"|"&amp;TEXT($A2893,"yyyymmdd")&amp;"|"&amp;TEXT($I2893,"0.00"))</f>
        <v/>
      </c>
      <c r="V2893" s="35" t="str">
        <f aca="false">IF($A2893="","",COUNTIF($U$8:$U$5007,$U2893))</f>
        <v/>
      </c>
    </row>
    <row r="2894" customFormat="false" ht="15" hidden="false" customHeight="false" outlineLevel="0" collapsed="false">
      <c r="A2894" s="31"/>
      <c r="B2894" s="32"/>
      <c r="C2894" s="32"/>
      <c r="D2894" s="32"/>
      <c r="E2894" s="32"/>
      <c r="F2894" s="32"/>
      <c r="G2894" s="33"/>
      <c r="H2894" s="33"/>
      <c r="I2894" s="34" t="str">
        <f aca="false">IF($A2894="","",$G2894-$H2894)</f>
        <v/>
      </c>
      <c r="J2894" s="35" t="str">
        <f aca="false">IF($A2894="","",IF(Setup!$B$6=1,YEAR($A2894),YEAR($A2894)+IF(MONTH($A2894)&gt;=Setup!$B$6,1,0)))</f>
        <v/>
      </c>
      <c r="K2894" s="35" t="str">
        <f aca="false">IF($A2894="","",MOD(MONTH($A2894)-Setup!$B$6+12,12)+1)</f>
        <v/>
      </c>
      <c r="L2894" s="36" t="str">
        <f aca="false">IF($A2894="","",TEXT($A2894,"MMM-YY"))</f>
        <v/>
      </c>
      <c r="M2894" s="37" t="str">
        <f aca="false">IF($A2894="","",IF($Q2894=0,"UNMAPPED",INDEX(COA_Mapping!$C$7:$C$256,$Q2894)))</f>
        <v/>
      </c>
      <c r="N2894" s="38" t="str">
        <f aca="false">IF($A2894="","",IF($Q2894=0,"",INDEX(COA_Mapping!$E$7:$E$256,$Q2894)))</f>
        <v/>
      </c>
      <c r="O2894" s="38" t="n">
        <f aca="false">IF($A2894="",1,IF($Q2894=0,1,INDEX(COA_Mapping!$F$7:$F$256,$Q2894)))</f>
        <v>1</v>
      </c>
      <c r="P2894" s="34" t="str">
        <f aca="false">IF($A2894="","",$I2894*$O2894)</f>
        <v/>
      </c>
      <c r="Q2894" s="39" t="n">
        <f aca="false">IF($B2894="",0,IFERROR(MATCH($B2894,COA_Mapping!$A$7:$A$256,0),0))</f>
        <v>0</v>
      </c>
      <c r="R2894" s="39" t="n">
        <f aca="false">IF($A2894="",-1,IF($J2894=Setup!$B$7,1,IF($J2894=Setup!$B$9,0,-1)))</f>
        <v>-1</v>
      </c>
      <c r="S2894" s="35" t="n">
        <f aca="false">IF(OR($A2894="",$Q2894=0,$R2894=-1),0,$Q2894*1000+$R2894*100+$K2894)</f>
        <v>0</v>
      </c>
      <c r="T2894" s="37" t="str">
        <f aca="false">IF($A2894="","",IF($B2894="","NO ACCOUNT",IF($Q2894=0,"UNMAPPED",IF($R2894=-1,"OUTSIDE FY RANGE","OK"))))</f>
        <v/>
      </c>
      <c r="U2894" s="40" t="str">
        <f aca="false">IF($A2894="","",$B2894&amp;"|"&amp;TEXT($A2894,"yyyymmdd")&amp;"|"&amp;TEXT($I2894,"0.00"))</f>
        <v/>
      </c>
      <c r="V2894" s="35" t="str">
        <f aca="false">IF($A2894="","",COUNTIF($U$8:$U$5007,$U2894))</f>
        <v/>
      </c>
    </row>
    <row r="2895" customFormat="false" ht="15" hidden="false" customHeight="false" outlineLevel="0" collapsed="false">
      <c r="A2895" s="31"/>
      <c r="B2895" s="32"/>
      <c r="C2895" s="32"/>
      <c r="D2895" s="32"/>
      <c r="E2895" s="32"/>
      <c r="F2895" s="32"/>
      <c r="G2895" s="33"/>
      <c r="H2895" s="33"/>
      <c r="I2895" s="34" t="str">
        <f aca="false">IF($A2895="","",$G2895-$H2895)</f>
        <v/>
      </c>
      <c r="J2895" s="35" t="str">
        <f aca="false">IF($A2895="","",IF(Setup!$B$6=1,YEAR($A2895),YEAR($A2895)+IF(MONTH($A2895)&gt;=Setup!$B$6,1,0)))</f>
        <v/>
      </c>
      <c r="K2895" s="35" t="str">
        <f aca="false">IF($A2895="","",MOD(MONTH($A2895)-Setup!$B$6+12,12)+1)</f>
        <v/>
      </c>
      <c r="L2895" s="36" t="str">
        <f aca="false">IF($A2895="","",TEXT($A2895,"MMM-YY"))</f>
        <v/>
      </c>
      <c r="M2895" s="37" t="str">
        <f aca="false">IF($A2895="","",IF($Q2895=0,"UNMAPPED",INDEX(COA_Mapping!$C$7:$C$256,$Q2895)))</f>
        <v/>
      </c>
      <c r="N2895" s="38" t="str">
        <f aca="false">IF($A2895="","",IF($Q2895=0,"",INDEX(COA_Mapping!$E$7:$E$256,$Q2895)))</f>
        <v/>
      </c>
      <c r="O2895" s="38" t="n">
        <f aca="false">IF($A2895="",1,IF($Q2895=0,1,INDEX(COA_Mapping!$F$7:$F$256,$Q2895)))</f>
        <v>1</v>
      </c>
      <c r="P2895" s="34" t="str">
        <f aca="false">IF($A2895="","",$I2895*$O2895)</f>
        <v/>
      </c>
      <c r="Q2895" s="39" t="n">
        <f aca="false">IF($B2895="",0,IFERROR(MATCH($B2895,COA_Mapping!$A$7:$A$256,0),0))</f>
        <v>0</v>
      </c>
      <c r="R2895" s="39" t="n">
        <f aca="false">IF($A2895="",-1,IF($J2895=Setup!$B$7,1,IF($J2895=Setup!$B$9,0,-1)))</f>
        <v>-1</v>
      </c>
      <c r="S2895" s="35" t="n">
        <f aca="false">IF(OR($A2895="",$Q2895=0,$R2895=-1),0,$Q2895*1000+$R2895*100+$K2895)</f>
        <v>0</v>
      </c>
      <c r="T2895" s="37" t="str">
        <f aca="false">IF($A2895="","",IF($B2895="","NO ACCOUNT",IF($Q2895=0,"UNMAPPED",IF($R2895=-1,"OUTSIDE FY RANGE","OK"))))</f>
        <v/>
      </c>
      <c r="U2895" s="40" t="str">
        <f aca="false">IF($A2895="","",$B2895&amp;"|"&amp;TEXT($A2895,"yyyymmdd")&amp;"|"&amp;TEXT($I2895,"0.00"))</f>
        <v/>
      </c>
      <c r="V2895" s="35" t="str">
        <f aca="false">IF($A2895="","",COUNTIF($U$8:$U$5007,$U2895))</f>
        <v/>
      </c>
    </row>
    <row r="2896" customFormat="false" ht="15" hidden="false" customHeight="false" outlineLevel="0" collapsed="false">
      <c r="A2896" s="31"/>
      <c r="B2896" s="32"/>
      <c r="C2896" s="32"/>
      <c r="D2896" s="32"/>
      <c r="E2896" s="32"/>
      <c r="F2896" s="32"/>
      <c r="G2896" s="33"/>
      <c r="H2896" s="33"/>
      <c r="I2896" s="34" t="str">
        <f aca="false">IF($A2896="","",$G2896-$H2896)</f>
        <v/>
      </c>
      <c r="J2896" s="35" t="str">
        <f aca="false">IF($A2896="","",IF(Setup!$B$6=1,YEAR($A2896),YEAR($A2896)+IF(MONTH($A2896)&gt;=Setup!$B$6,1,0)))</f>
        <v/>
      </c>
      <c r="K2896" s="35" t="str">
        <f aca="false">IF($A2896="","",MOD(MONTH($A2896)-Setup!$B$6+12,12)+1)</f>
        <v/>
      </c>
      <c r="L2896" s="36" t="str">
        <f aca="false">IF($A2896="","",TEXT($A2896,"MMM-YY"))</f>
        <v/>
      </c>
      <c r="M2896" s="37" t="str">
        <f aca="false">IF($A2896="","",IF($Q2896=0,"UNMAPPED",INDEX(COA_Mapping!$C$7:$C$256,$Q2896)))</f>
        <v/>
      </c>
      <c r="N2896" s="38" t="str">
        <f aca="false">IF($A2896="","",IF($Q2896=0,"",INDEX(COA_Mapping!$E$7:$E$256,$Q2896)))</f>
        <v/>
      </c>
      <c r="O2896" s="38" t="n">
        <f aca="false">IF($A2896="",1,IF($Q2896=0,1,INDEX(COA_Mapping!$F$7:$F$256,$Q2896)))</f>
        <v>1</v>
      </c>
      <c r="P2896" s="34" t="str">
        <f aca="false">IF($A2896="","",$I2896*$O2896)</f>
        <v/>
      </c>
      <c r="Q2896" s="39" t="n">
        <f aca="false">IF($B2896="",0,IFERROR(MATCH($B2896,COA_Mapping!$A$7:$A$256,0),0))</f>
        <v>0</v>
      </c>
      <c r="R2896" s="39" t="n">
        <f aca="false">IF($A2896="",-1,IF($J2896=Setup!$B$7,1,IF($J2896=Setup!$B$9,0,-1)))</f>
        <v>-1</v>
      </c>
      <c r="S2896" s="35" t="n">
        <f aca="false">IF(OR($A2896="",$Q2896=0,$R2896=-1),0,$Q2896*1000+$R2896*100+$K2896)</f>
        <v>0</v>
      </c>
      <c r="T2896" s="37" t="str">
        <f aca="false">IF($A2896="","",IF($B2896="","NO ACCOUNT",IF($Q2896=0,"UNMAPPED",IF($R2896=-1,"OUTSIDE FY RANGE","OK"))))</f>
        <v/>
      </c>
      <c r="U2896" s="40" t="str">
        <f aca="false">IF($A2896="","",$B2896&amp;"|"&amp;TEXT($A2896,"yyyymmdd")&amp;"|"&amp;TEXT($I2896,"0.00"))</f>
        <v/>
      </c>
      <c r="V2896" s="35" t="str">
        <f aca="false">IF($A2896="","",COUNTIF($U$8:$U$5007,$U2896))</f>
        <v/>
      </c>
    </row>
    <row r="2897" customFormat="false" ht="15" hidden="false" customHeight="false" outlineLevel="0" collapsed="false">
      <c r="A2897" s="31"/>
      <c r="B2897" s="32"/>
      <c r="C2897" s="32"/>
      <c r="D2897" s="32"/>
      <c r="E2897" s="32"/>
      <c r="F2897" s="32"/>
      <c r="G2897" s="33"/>
      <c r="H2897" s="33"/>
      <c r="I2897" s="34" t="str">
        <f aca="false">IF($A2897="","",$G2897-$H2897)</f>
        <v/>
      </c>
      <c r="J2897" s="35" t="str">
        <f aca="false">IF($A2897="","",IF(Setup!$B$6=1,YEAR($A2897),YEAR($A2897)+IF(MONTH($A2897)&gt;=Setup!$B$6,1,0)))</f>
        <v/>
      </c>
      <c r="K2897" s="35" t="str">
        <f aca="false">IF($A2897="","",MOD(MONTH($A2897)-Setup!$B$6+12,12)+1)</f>
        <v/>
      </c>
      <c r="L2897" s="36" t="str">
        <f aca="false">IF($A2897="","",TEXT($A2897,"MMM-YY"))</f>
        <v/>
      </c>
      <c r="M2897" s="37" t="str">
        <f aca="false">IF($A2897="","",IF($Q2897=0,"UNMAPPED",INDEX(COA_Mapping!$C$7:$C$256,$Q2897)))</f>
        <v/>
      </c>
      <c r="N2897" s="38" t="str">
        <f aca="false">IF($A2897="","",IF($Q2897=0,"",INDEX(COA_Mapping!$E$7:$E$256,$Q2897)))</f>
        <v/>
      </c>
      <c r="O2897" s="38" t="n">
        <f aca="false">IF($A2897="",1,IF($Q2897=0,1,INDEX(COA_Mapping!$F$7:$F$256,$Q2897)))</f>
        <v>1</v>
      </c>
      <c r="P2897" s="34" t="str">
        <f aca="false">IF($A2897="","",$I2897*$O2897)</f>
        <v/>
      </c>
      <c r="Q2897" s="39" t="n">
        <f aca="false">IF($B2897="",0,IFERROR(MATCH($B2897,COA_Mapping!$A$7:$A$256,0),0))</f>
        <v>0</v>
      </c>
      <c r="R2897" s="39" t="n">
        <f aca="false">IF($A2897="",-1,IF($J2897=Setup!$B$7,1,IF($J2897=Setup!$B$9,0,-1)))</f>
        <v>-1</v>
      </c>
      <c r="S2897" s="35" t="n">
        <f aca="false">IF(OR($A2897="",$Q2897=0,$R2897=-1),0,$Q2897*1000+$R2897*100+$K2897)</f>
        <v>0</v>
      </c>
      <c r="T2897" s="37" t="str">
        <f aca="false">IF($A2897="","",IF($B2897="","NO ACCOUNT",IF($Q2897=0,"UNMAPPED",IF($R2897=-1,"OUTSIDE FY RANGE","OK"))))</f>
        <v/>
      </c>
      <c r="U2897" s="40" t="str">
        <f aca="false">IF($A2897="","",$B2897&amp;"|"&amp;TEXT($A2897,"yyyymmdd")&amp;"|"&amp;TEXT($I2897,"0.00"))</f>
        <v/>
      </c>
      <c r="V2897" s="35" t="str">
        <f aca="false">IF($A2897="","",COUNTIF($U$8:$U$5007,$U2897))</f>
        <v/>
      </c>
    </row>
    <row r="2898" customFormat="false" ht="15" hidden="false" customHeight="false" outlineLevel="0" collapsed="false">
      <c r="A2898" s="31"/>
      <c r="B2898" s="32"/>
      <c r="C2898" s="32"/>
      <c r="D2898" s="32"/>
      <c r="E2898" s="32"/>
      <c r="F2898" s="32"/>
      <c r="G2898" s="33"/>
      <c r="H2898" s="33"/>
      <c r="I2898" s="34" t="str">
        <f aca="false">IF($A2898="","",$G2898-$H2898)</f>
        <v/>
      </c>
      <c r="J2898" s="35" t="str">
        <f aca="false">IF($A2898="","",IF(Setup!$B$6=1,YEAR($A2898),YEAR($A2898)+IF(MONTH($A2898)&gt;=Setup!$B$6,1,0)))</f>
        <v/>
      </c>
      <c r="K2898" s="35" t="str">
        <f aca="false">IF($A2898="","",MOD(MONTH($A2898)-Setup!$B$6+12,12)+1)</f>
        <v/>
      </c>
      <c r="L2898" s="36" t="str">
        <f aca="false">IF($A2898="","",TEXT($A2898,"MMM-YY"))</f>
        <v/>
      </c>
      <c r="M2898" s="37" t="str">
        <f aca="false">IF($A2898="","",IF($Q2898=0,"UNMAPPED",INDEX(COA_Mapping!$C$7:$C$256,$Q2898)))</f>
        <v/>
      </c>
      <c r="N2898" s="38" t="str">
        <f aca="false">IF($A2898="","",IF($Q2898=0,"",INDEX(COA_Mapping!$E$7:$E$256,$Q2898)))</f>
        <v/>
      </c>
      <c r="O2898" s="38" t="n">
        <f aca="false">IF($A2898="",1,IF($Q2898=0,1,INDEX(COA_Mapping!$F$7:$F$256,$Q2898)))</f>
        <v>1</v>
      </c>
      <c r="P2898" s="34" t="str">
        <f aca="false">IF($A2898="","",$I2898*$O2898)</f>
        <v/>
      </c>
      <c r="Q2898" s="39" t="n">
        <f aca="false">IF($B2898="",0,IFERROR(MATCH($B2898,COA_Mapping!$A$7:$A$256,0),0))</f>
        <v>0</v>
      </c>
      <c r="R2898" s="39" t="n">
        <f aca="false">IF($A2898="",-1,IF($J2898=Setup!$B$7,1,IF($J2898=Setup!$B$9,0,-1)))</f>
        <v>-1</v>
      </c>
      <c r="S2898" s="35" t="n">
        <f aca="false">IF(OR($A2898="",$Q2898=0,$R2898=-1),0,$Q2898*1000+$R2898*100+$K2898)</f>
        <v>0</v>
      </c>
      <c r="T2898" s="37" t="str">
        <f aca="false">IF($A2898="","",IF($B2898="","NO ACCOUNT",IF($Q2898=0,"UNMAPPED",IF($R2898=-1,"OUTSIDE FY RANGE","OK"))))</f>
        <v/>
      </c>
      <c r="U2898" s="40" t="str">
        <f aca="false">IF($A2898="","",$B2898&amp;"|"&amp;TEXT($A2898,"yyyymmdd")&amp;"|"&amp;TEXT($I2898,"0.00"))</f>
        <v/>
      </c>
      <c r="V2898" s="35" t="str">
        <f aca="false">IF($A2898="","",COUNTIF($U$8:$U$5007,$U2898))</f>
        <v/>
      </c>
    </row>
    <row r="2899" customFormat="false" ht="15" hidden="false" customHeight="false" outlineLevel="0" collapsed="false">
      <c r="A2899" s="31"/>
      <c r="B2899" s="32"/>
      <c r="C2899" s="32"/>
      <c r="D2899" s="32"/>
      <c r="E2899" s="32"/>
      <c r="F2899" s="32"/>
      <c r="G2899" s="33"/>
      <c r="H2899" s="33"/>
      <c r="I2899" s="34" t="str">
        <f aca="false">IF($A2899="","",$G2899-$H2899)</f>
        <v/>
      </c>
      <c r="J2899" s="35" t="str">
        <f aca="false">IF($A2899="","",IF(Setup!$B$6=1,YEAR($A2899),YEAR($A2899)+IF(MONTH($A2899)&gt;=Setup!$B$6,1,0)))</f>
        <v/>
      </c>
      <c r="K2899" s="35" t="str">
        <f aca="false">IF($A2899="","",MOD(MONTH($A2899)-Setup!$B$6+12,12)+1)</f>
        <v/>
      </c>
      <c r="L2899" s="36" t="str">
        <f aca="false">IF($A2899="","",TEXT($A2899,"MMM-YY"))</f>
        <v/>
      </c>
      <c r="M2899" s="37" t="str">
        <f aca="false">IF($A2899="","",IF($Q2899=0,"UNMAPPED",INDEX(COA_Mapping!$C$7:$C$256,$Q2899)))</f>
        <v/>
      </c>
      <c r="N2899" s="38" t="str">
        <f aca="false">IF($A2899="","",IF($Q2899=0,"",INDEX(COA_Mapping!$E$7:$E$256,$Q2899)))</f>
        <v/>
      </c>
      <c r="O2899" s="38" t="n">
        <f aca="false">IF($A2899="",1,IF($Q2899=0,1,INDEX(COA_Mapping!$F$7:$F$256,$Q2899)))</f>
        <v>1</v>
      </c>
      <c r="P2899" s="34" t="str">
        <f aca="false">IF($A2899="","",$I2899*$O2899)</f>
        <v/>
      </c>
      <c r="Q2899" s="39" t="n">
        <f aca="false">IF($B2899="",0,IFERROR(MATCH($B2899,COA_Mapping!$A$7:$A$256,0),0))</f>
        <v>0</v>
      </c>
      <c r="R2899" s="39" t="n">
        <f aca="false">IF($A2899="",-1,IF($J2899=Setup!$B$7,1,IF($J2899=Setup!$B$9,0,-1)))</f>
        <v>-1</v>
      </c>
      <c r="S2899" s="35" t="n">
        <f aca="false">IF(OR($A2899="",$Q2899=0,$R2899=-1),0,$Q2899*1000+$R2899*100+$K2899)</f>
        <v>0</v>
      </c>
      <c r="T2899" s="37" t="str">
        <f aca="false">IF($A2899="","",IF($B2899="","NO ACCOUNT",IF($Q2899=0,"UNMAPPED",IF($R2899=-1,"OUTSIDE FY RANGE","OK"))))</f>
        <v/>
      </c>
      <c r="U2899" s="40" t="str">
        <f aca="false">IF($A2899="","",$B2899&amp;"|"&amp;TEXT($A2899,"yyyymmdd")&amp;"|"&amp;TEXT($I2899,"0.00"))</f>
        <v/>
      </c>
      <c r="V2899" s="35" t="str">
        <f aca="false">IF($A2899="","",COUNTIF($U$8:$U$5007,$U2899))</f>
        <v/>
      </c>
    </row>
    <row r="2900" customFormat="false" ht="15" hidden="false" customHeight="false" outlineLevel="0" collapsed="false">
      <c r="A2900" s="31"/>
      <c r="B2900" s="32"/>
      <c r="C2900" s="32"/>
      <c r="D2900" s="32"/>
      <c r="E2900" s="32"/>
      <c r="F2900" s="32"/>
      <c r="G2900" s="33"/>
      <c r="H2900" s="33"/>
      <c r="I2900" s="34" t="str">
        <f aca="false">IF($A2900="","",$G2900-$H2900)</f>
        <v/>
      </c>
      <c r="J2900" s="35" t="str">
        <f aca="false">IF($A2900="","",IF(Setup!$B$6=1,YEAR($A2900),YEAR($A2900)+IF(MONTH($A2900)&gt;=Setup!$B$6,1,0)))</f>
        <v/>
      </c>
      <c r="K2900" s="35" t="str">
        <f aca="false">IF($A2900="","",MOD(MONTH($A2900)-Setup!$B$6+12,12)+1)</f>
        <v/>
      </c>
      <c r="L2900" s="36" t="str">
        <f aca="false">IF($A2900="","",TEXT($A2900,"MMM-YY"))</f>
        <v/>
      </c>
      <c r="M2900" s="37" t="str">
        <f aca="false">IF($A2900="","",IF($Q2900=0,"UNMAPPED",INDEX(COA_Mapping!$C$7:$C$256,$Q2900)))</f>
        <v/>
      </c>
      <c r="N2900" s="38" t="str">
        <f aca="false">IF($A2900="","",IF($Q2900=0,"",INDEX(COA_Mapping!$E$7:$E$256,$Q2900)))</f>
        <v/>
      </c>
      <c r="O2900" s="38" t="n">
        <f aca="false">IF($A2900="",1,IF($Q2900=0,1,INDEX(COA_Mapping!$F$7:$F$256,$Q2900)))</f>
        <v>1</v>
      </c>
      <c r="P2900" s="34" t="str">
        <f aca="false">IF($A2900="","",$I2900*$O2900)</f>
        <v/>
      </c>
      <c r="Q2900" s="39" t="n">
        <f aca="false">IF($B2900="",0,IFERROR(MATCH($B2900,COA_Mapping!$A$7:$A$256,0),0))</f>
        <v>0</v>
      </c>
      <c r="R2900" s="39" t="n">
        <f aca="false">IF($A2900="",-1,IF($J2900=Setup!$B$7,1,IF($J2900=Setup!$B$9,0,-1)))</f>
        <v>-1</v>
      </c>
      <c r="S2900" s="35" t="n">
        <f aca="false">IF(OR($A2900="",$Q2900=0,$R2900=-1),0,$Q2900*1000+$R2900*100+$K2900)</f>
        <v>0</v>
      </c>
      <c r="T2900" s="37" t="str">
        <f aca="false">IF($A2900="","",IF($B2900="","NO ACCOUNT",IF($Q2900=0,"UNMAPPED",IF($R2900=-1,"OUTSIDE FY RANGE","OK"))))</f>
        <v/>
      </c>
      <c r="U2900" s="40" t="str">
        <f aca="false">IF($A2900="","",$B2900&amp;"|"&amp;TEXT($A2900,"yyyymmdd")&amp;"|"&amp;TEXT($I2900,"0.00"))</f>
        <v/>
      </c>
      <c r="V2900" s="35" t="str">
        <f aca="false">IF($A2900="","",COUNTIF($U$8:$U$5007,$U2900))</f>
        <v/>
      </c>
    </row>
    <row r="2901" customFormat="false" ht="15" hidden="false" customHeight="false" outlineLevel="0" collapsed="false">
      <c r="A2901" s="31"/>
      <c r="B2901" s="32"/>
      <c r="C2901" s="32"/>
      <c r="D2901" s="32"/>
      <c r="E2901" s="32"/>
      <c r="F2901" s="32"/>
      <c r="G2901" s="33"/>
      <c r="H2901" s="33"/>
      <c r="I2901" s="34" t="str">
        <f aca="false">IF($A2901="","",$G2901-$H2901)</f>
        <v/>
      </c>
      <c r="J2901" s="35" t="str">
        <f aca="false">IF($A2901="","",IF(Setup!$B$6=1,YEAR($A2901),YEAR($A2901)+IF(MONTH($A2901)&gt;=Setup!$B$6,1,0)))</f>
        <v/>
      </c>
      <c r="K2901" s="35" t="str">
        <f aca="false">IF($A2901="","",MOD(MONTH($A2901)-Setup!$B$6+12,12)+1)</f>
        <v/>
      </c>
      <c r="L2901" s="36" t="str">
        <f aca="false">IF($A2901="","",TEXT($A2901,"MMM-YY"))</f>
        <v/>
      </c>
      <c r="M2901" s="37" t="str">
        <f aca="false">IF($A2901="","",IF($Q2901=0,"UNMAPPED",INDEX(COA_Mapping!$C$7:$C$256,$Q2901)))</f>
        <v/>
      </c>
      <c r="N2901" s="38" t="str">
        <f aca="false">IF($A2901="","",IF($Q2901=0,"",INDEX(COA_Mapping!$E$7:$E$256,$Q2901)))</f>
        <v/>
      </c>
      <c r="O2901" s="38" t="n">
        <f aca="false">IF($A2901="",1,IF($Q2901=0,1,INDEX(COA_Mapping!$F$7:$F$256,$Q2901)))</f>
        <v>1</v>
      </c>
      <c r="P2901" s="34" t="str">
        <f aca="false">IF($A2901="","",$I2901*$O2901)</f>
        <v/>
      </c>
      <c r="Q2901" s="39" t="n">
        <f aca="false">IF($B2901="",0,IFERROR(MATCH($B2901,COA_Mapping!$A$7:$A$256,0),0))</f>
        <v>0</v>
      </c>
      <c r="R2901" s="39" t="n">
        <f aca="false">IF($A2901="",-1,IF($J2901=Setup!$B$7,1,IF($J2901=Setup!$B$9,0,-1)))</f>
        <v>-1</v>
      </c>
      <c r="S2901" s="35" t="n">
        <f aca="false">IF(OR($A2901="",$Q2901=0,$R2901=-1),0,$Q2901*1000+$R2901*100+$K2901)</f>
        <v>0</v>
      </c>
      <c r="T2901" s="37" t="str">
        <f aca="false">IF($A2901="","",IF($B2901="","NO ACCOUNT",IF($Q2901=0,"UNMAPPED",IF($R2901=-1,"OUTSIDE FY RANGE","OK"))))</f>
        <v/>
      </c>
      <c r="U2901" s="40" t="str">
        <f aca="false">IF($A2901="","",$B2901&amp;"|"&amp;TEXT($A2901,"yyyymmdd")&amp;"|"&amp;TEXT($I2901,"0.00"))</f>
        <v/>
      </c>
      <c r="V2901" s="35" t="str">
        <f aca="false">IF($A2901="","",COUNTIF($U$8:$U$5007,$U2901))</f>
        <v/>
      </c>
    </row>
    <row r="2902" customFormat="false" ht="15" hidden="false" customHeight="false" outlineLevel="0" collapsed="false">
      <c r="A2902" s="31"/>
      <c r="B2902" s="32"/>
      <c r="C2902" s="32"/>
      <c r="D2902" s="32"/>
      <c r="E2902" s="32"/>
      <c r="F2902" s="32"/>
      <c r="G2902" s="33"/>
      <c r="H2902" s="33"/>
      <c r="I2902" s="34" t="str">
        <f aca="false">IF($A2902="","",$G2902-$H2902)</f>
        <v/>
      </c>
      <c r="J2902" s="35" t="str">
        <f aca="false">IF($A2902="","",IF(Setup!$B$6=1,YEAR($A2902),YEAR($A2902)+IF(MONTH($A2902)&gt;=Setup!$B$6,1,0)))</f>
        <v/>
      </c>
      <c r="K2902" s="35" t="str">
        <f aca="false">IF($A2902="","",MOD(MONTH($A2902)-Setup!$B$6+12,12)+1)</f>
        <v/>
      </c>
      <c r="L2902" s="36" t="str">
        <f aca="false">IF($A2902="","",TEXT($A2902,"MMM-YY"))</f>
        <v/>
      </c>
      <c r="M2902" s="37" t="str">
        <f aca="false">IF($A2902="","",IF($Q2902=0,"UNMAPPED",INDEX(COA_Mapping!$C$7:$C$256,$Q2902)))</f>
        <v/>
      </c>
      <c r="N2902" s="38" t="str">
        <f aca="false">IF($A2902="","",IF($Q2902=0,"",INDEX(COA_Mapping!$E$7:$E$256,$Q2902)))</f>
        <v/>
      </c>
      <c r="O2902" s="38" t="n">
        <f aca="false">IF($A2902="",1,IF($Q2902=0,1,INDEX(COA_Mapping!$F$7:$F$256,$Q2902)))</f>
        <v>1</v>
      </c>
      <c r="P2902" s="34" t="str">
        <f aca="false">IF($A2902="","",$I2902*$O2902)</f>
        <v/>
      </c>
      <c r="Q2902" s="39" t="n">
        <f aca="false">IF($B2902="",0,IFERROR(MATCH($B2902,COA_Mapping!$A$7:$A$256,0),0))</f>
        <v>0</v>
      </c>
      <c r="R2902" s="39" t="n">
        <f aca="false">IF($A2902="",-1,IF($J2902=Setup!$B$7,1,IF($J2902=Setup!$B$9,0,-1)))</f>
        <v>-1</v>
      </c>
      <c r="S2902" s="35" t="n">
        <f aca="false">IF(OR($A2902="",$Q2902=0,$R2902=-1),0,$Q2902*1000+$R2902*100+$K2902)</f>
        <v>0</v>
      </c>
      <c r="T2902" s="37" t="str">
        <f aca="false">IF($A2902="","",IF($B2902="","NO ACCOUNT",IF($Q2902=0,"UNMAPPED",IF($R2902=-1,"OUTSIDE FY RANGE","OK"))))</f>
        <v/>
      </c>
      <c r="U2902" s="40" t="str">
        <f aca="false">IF($A2902="","",$B2902&amp;"|"&amp;TEXT($A2902,"yyyymmdd")&amp;"|"&amp;TEXT($I2902,"0.00"))</f>
        <v/>
      </c>
      <c r="V2902" s="35" t="str">
        <f aca="false">IF($A2902="","",COUNTIF($U$8:$U$5007,$U2902))</f>
        <v/>
      </c>
    </row>
    <row r="2903" customFormat="false" ht="15" hidden="false" customHeight="false" outlineLevel="0" collapsed="false">
      <c r="A2903" s="31"/>
      <c r="B2903" s="32"/>
      <c r="C2903" s="32"/>
      <c r="D2903" s="32"/>
      <c r="E2903" s="32"/>
      <c r="F2903" s="32"/>
      <c r="G2903" s="33"/>
      <c r="H2903" s="33"/>
      <c r="I2903" s="34" t="str">
        <f aca="false">IF($A2903="","",$G2903-$H2903)</f>
        <v/>
      </c>
      <c r="J2903" s="35" t="str">
        <f aca="false">IF($A2903="","",IF(Setup!$B$6=1,YEAR($A2903),YEAR($A2903)+IF(MONTH($A2903)&gt;=Setup!$B$6,1,0)))</f>
        <v/>
      </c>
      <c r="K2903" s="35" t="str">
        <f aca="false">IF($A2903="","",MOD(MONTH($A2903)-Setup!$B$6+12,12)+1)</f>
        <v/>
      </c>
      <c r="L2903" s="36" t="str">
        <f aca="false">IF($A2903="","",TEXT($A2903,"MMM-YY"))</f>
        <v/>
      </c>
      <c r="M2903" s="37" t="str">
        <f aca="false">IF($A2903="","",IF($Q2903=0,"UNMAPPED",INDEX(COA_Mapping!$C$7:$C$256,$Q2903)))</f>
        <v/>
      </c>
      <c r="N2903" s="38" t="str">
        <f aca="false">IF($A2903="","",IF($Q2903=0,"",INDEX(COA_Mapping!$E$7:$E$256,$Q2903)))</f>
        <v/>
      </c>
      <c r="O2903" s="38" t="n">
        <f aca="false">IF($A2903="",1,IF($Q2903=0,1,INDEX(COA_Mapping!$F$7:$F$256,$Q2903)))</f>
        <v>1</v>
      </c>
      <c r="P2903" s="34" t="str">
        <f aca="false">IF($A2903="","",$I2903*$O2903)</f>
        <v/>
      </c>
      <c r="Q2903" s="39" t="n">
        <f aca="false">IF($B2903="",0,IFERROR(MATCH($B2903,COA_Mapping!$A$7:$A$256,0),0))</f>
        <v>0</v>
      </c>
      <c r="R2903" s="39" t="n">
        <f aca="false">IF($A2903="",-1,IF($J2903=Setup!$B$7,1,IF($J2903=Setup!$B$9,0,-1)))</f>
        <v>-1</v>
      </c>
      <c r="S2903" s="35" t="n">
        <f aca="false">IF(OR($A2903="",$Q2903=0,$R2903=-1),0,$Q2903*1000+$R2903*100+$K2903)</f>
        <v>0</v>
      </c>
      <c r="T2903" s="37" t="str">
        <f aca="false">IF($A2903="","",IF($B2903="","NO ACCOUNT",IF($Q2903=0,"UNMAPPED",IF($R2903=-1,"OUTSIDE FY RANGE","OK"))))</f>
        <v/>
      </c>
      <c r="U2903" s="40" t="str">
        <f aca="false">IF($A2903="","",$B2903&amp;"|"&amp;TEXT($A2903,"yyyymmdd")&amp;"|"&amp;TEXT($I2903,"0.00"))</f>
        <v/>
      </c>
      <c r="V2903" s="35" t="str">
        <f aca="false">IF($A2903="","",COUNTIF($U$8:$U$5007,$U2903))</f>
        <v/>
      </c>
    </row>
    <row r="2904" customFormat="false" ht="15" hidden="false" customHeight="false" outlineLevel="0" collapsed="false">
      <c r="A2904" s="31"/>
      <c r="B2904" s="32"/>
      <c r="C2904" s="32"/>
      <c r="D2904" s="32"/>
      <c r="E2904" s="32"/>
      <c r="F2904" s="32"/>
      <c r="G2904" s="33"/>
      <c r="H2904" s="33"/>
      <c r="I2904" s="34" t="str">
        <f aca="false">IF($A2904="","",$G2904-$H2904)</f>
        <v/>
      </c>
      <c r="J2904" s="35" t="str">
        <f aca="false">IF($A2904="","",IF(Setup!$B$6=1,YEAR($A2904),YEAR($A2904)+IF(MONTH($A2904)&gt;=Setup!$B$6,1,0)))</f>
        <v/>
      </c>
      <c r="K2904" s="35" t="str">
        <f aca="false">IF($A2904="","",MOD(MONTH($A2904)-Setup!$B$6+12,12)+1)</f>
        <v/>
      </c>
      <c r="L2904" s="36" t="str">
        <f aca="false">IF($A2904="","",TEXT($A2904,"MMM-YY"))</f>
        <v/>
      </c>
      <c r="M2904" s="37" t="str">
        <f aca="false">IF($A2904="","",IF($Q2904=0,"UNMAPPED",INDEX(COA_Mapping!$C$7:$C$256,$Q2904)))</f>
        <v/>
      </c>
      <c r="N2904" s="38" t="str">
        <f aca="false">IF($A2904="","",IF($Q2904=0,"",INDEX(COA_Mapping!$E$7:$E$256,$Q2904)))</f>
        <v/>
      </c>
      <c r="O2904" s="38" t="n">
        <f aca="false">IF($A2904="",1,IF($Q2904=0,1,INDEX(COA_Mapping!$F$7:$F$256,$Q2904)))</f>
        <v>1</v>
      </c>
      <c r="P2904" s="34" t="str">
        <f aca="false">IF($A2904="","",$I2904*$O2904)</f>
        <v/>
      </c>
      <c r="Q2904" s="39" t="n">
        <f aca="false">IF($B2904="",0,IFERROR(MATCH($B2904,COA_Mapping!$A$7:$A$256,0),0))</f>
        <v>0</v>
      </c>
      <c r="R2904" s="39" t="n">
        <f aca="false">IF($A2904="",-1,IF($J2904=Setup!$B$7,1,IF($J2904=Setup!$B$9,0,-1)))</f>
        <v>-1</v>
      </c>
      <c r="S2904" s="35" t="n">
        <f aca="false">IF(OR($A2904="",$Q2904=0,$R2904=-1),0,$Q2904*1000+$R2904*100+$K2904)</f>
        <v>0</v>
      </c>
      <c r="T2904" s="37" t="str">
        <f aca="false">IF($A2904="","",IF($B2904="","NO ACCOUNT",IF($Q2904=0,"UNMAPPED",IF($R2904=-1,"OUTSIDE FY RANGE","OK"))))</f>
        <v/>
      </c>
      <c r="U2904" s="40" t="str">
        <f aca="false">IF($A2904="","",$B2904&amp;"|"&amp;TEXT($A2904,"yyyymmdd")&amp;"|"&amp;TEXT($I2904,"0.00"))</f>
        <v/>
      </c>
      <c r="V2904" s="35" t="str">
        <f aca="false">IF($A2904="","",COUNTIF($U$8:$U$5007,$U2904))</f>
        <v/>
      </c>
    </row>
    <row r="2905" customFormat="false" ht="15" hidden="false" customHeight="false" outlineLevel="0" collapsed="false">
      <c r="A2905" s="31"/>
      <c r="B2905" s="32"/>
      <c r="C2905" s="32"/>
      <c r="D2905" s="32"/>
      <c r="E2905" s="32"/>
      <c r="F2905" s="32"/>
      <c r="G2905" s="33"/>
      <c r="H2905" s="33"/>
      <c r="I2905" s="34" t="str">
        <f aca="false">IF($A2905="","",$G2905-$H2905)</f>
        <v/>
      </c>
      <c r="J2905" s="35" t="str">
        <f aca="false">IF($A2905="","",IF(Setup!$B$6=1,YEAR($A2905),YEAR($A2905)+IF(MONTH($A2905)&gt;=Setup!$B$6,1,0)))</f>
        <v/>
      </c>
      <c r="K2905" s="35" t="str">
        <f aca="false">IF($A2905="","",MOD(MONTH($A2905)-Setup!$B$6+12,12)+1)</f>
        <v/>
      </c>
      <c r="L2905" s="36" t="str">
        <f aca="false">IF($A2905="","",TEXT($A2905,"MMM-YY"))</f>
        <v/>
      </c>
      <c r="M2905" s="37" t="str">
        <f aca="false">IF($A2905="","",IF($Q2905=0,"UNMAPPED",INDEX(COA_Mapping!$C$7:$C$256,$Q2905)))</f>
        <v/>
      </c>
      <c r="N2905" s="38" t="str">
        <f aca="false">IF($A2905="","",IF($Q2905=0,"",INDEX(COA_Mapping!$E$7:$E$256,$Q2905)))</f>
        <v/>
      </c>
      <c r="O2905" s="38" t="n">
        <f aca="false">IF($A2905="",1,IF($Q2905=0,1,INDEX(COA_Mapping!$F$7:$F$256,$Q2905)))</f>
        <v>1</v>
      </c>
      <c r="P2905" s="34" t="str">
        <f aca="false">IF($A2905="","",$I2905*$O2905)</f>
        <v/>
      </c>
      <c r="Q2905" s="39" t="n">
        <f aca="false">IF($B2905="",0,IFERROR(MATCH($B2905,COA_Mapping!$A$7:$A$256,0),0))</f>
        <v>0</v>
      </c>
      <c r="R2905" s="39" t="n">
        <f aca="false">IF($A2905="",-1,IF($J2905=Setup!$B$7,1,IF($J2905=Setup!$B$9,0,-1)))</f>
        <v>-1</v>
      </c>
      <c r="S2905" s="35" t="n">
        <f aca="false">IF(OR($A2905="",$Q2905=0,$R2905=-1),0,$Q2905*1000+$R2905*100+$K2905)</f>
        <v>0</v>
      </c>
      <c r="T2905" s="37" t="str">
        <f aca="false">IF($A2905="","",IF($B2905="","NO ACCOUNT",IF($Q2905=0,"UNMAPPED",IF($R2905=-1,"OUTSIDE FY RANGE","OK"))))</f>
        <v/>
      </c>
      <c r="U2905" s="40" t="str">
        <f aca="false">IF($A2905="","",$B2905&amp;"|"&amp;TEXT($A2905,"yyyymmdd")&amp;"|"&amp;TEXT($I2905,"0.00"))</f>
        <v/>
      </c>
      <c r="V2905" s="35" t="str">
        <f aca="false">IF($A2905="","",COUNTIF($U$8:$U$5007,$U2905))</f>
        <v/>
      </c>
    </row>
    <row r="2906" customFormat="false" ht="15" hidden="false" customHeight="false" outlineLevel="0" collapsed="false">
      <c r="A2906" s="31"/>
      <c r="B2906" s="32"/>
      <c r="C2906" s="32"/>
      <c r="D2906" s="32"/>
      <c r="E2906" s="32"/>
      <c r="F2906" s="32"/>
      <c r="G2906" s="33"/>
      <c r="H2906" s="33"/>
      <c r="I2906" s="34" t="str">
        <f aca="false">IF($A2906="","",$G2906-$H2906)</f>
        <v/>
      </c>
      <c r="J2906" s="35" t="str">
        <f aca="false">IF($A2906="","",IF(Setup!$B$6=1,YEAR($A2906),YEAR($A2906)+IF(MONTH($A2906)&gt;=Setup!$B$6,1,0)))</f>
        <v/>
      </c>
      <c r="K2906" s="35" t="str">
        <f aca="false">IF($A2906="","",MOD(MONTH($A2906)-Setup!$B$6+12,12)+1)</f>
        <v/>
      </c>
      <c r="L2906" s="36" t="str">
        <f aca="false">IF($A2906="","",TEXT($A2906,"MMM-YY"))</f>
        <v/>
      </c>
      <c r="M2906" s="37" t="str">
        <f aca="false">IF($A2906="","",IF($Q2906=0,"UNMAPPED",INDEX(COA_Mapping!$C$7:$C$256,$Q2906)))</f>
        <v/>
      </c>
      <c r="N2906" s="38" t="str">
        <f aca="false">IF($A2906="","",IF($Q2906=0,"",INDEX(COA_Mapping!$E$7:$E$256,$Q2906)))</f>
        <v/>
      </c>
      <c r="O2906" s="38" t="n">
        <f aca="false">IF($A2906="",1,IF($Q2906=0,1,INDEX(COA_Mapping!$F$7:$F$256,$Q2906)))</f>
        <v>1</v>
      </c>
      <c r="P2906" s="34" t="str">
        <f aca="false">IF($A2906="","",$I2906*$O2906)</f>
        <v/>
      </c>
      <c r="Q2906" s="39" t="n">
        <f aca="false">IF($B2906="",0,IFERROR(MATCH($B2906,COA_Mapping!$A$7:$A$256,0),0))</f>
        <v>0</v>
      </c>
      <c r="R2906" s="39" t="n">
        <f aca="false">IF($A2906="",-1,IF($J2906=Setup!$B$7,1,IF($J2906=Setup!$B$9,0,-1)))</f>
        <v>-1</v>
      </c>
      <c r="S2906" s="35" t="n">
        <f aca="false">IF(OR($A2906="",$Q2906=0,$R2906=-1),0,$Q2906*1000+$R2906*100+$K2906)</f>
        <v>0</v>
      </c>
      <c r="T2906" s="37" t="str">
        <f aca="false">IF($A2906="","",IF($B2906="","NO ACCOUNT",IF($Q2906=0,"UNMAPPED",IF($R2906=-1,"OUTSIDE FY RANGE","OK"))))</f>
        <v/>
      </c>
      <c r="U2906" s="40" t="str">
        <f aca="false">IF($A2906="","",$B2906&amp;"|"&amp;TEXT($A2906,"yyyymmdd")&amp;"|"&amp;TEXT($I2906,"0.00"))</f>
        <v/>
      </c>
      <c r="V2906" s="35" t="str">
        <f aca="false">IF($A2906="","",COUNTIF($U$8:$U$5007,$U2906))</f>
        <v/>
      </c>
    </row>
    <row r="2907" customFormat="false" ht="15" hidden="false" customHeight="false" outlineLevel="0" collapsed="false">
      <c r="A2907" s="31"/>
      <c r="B2907" s="32"/>
      <c r="C2907" s="32"/>
      <c r="D2907" s="32"/>
      <c r="E2907" s="32"/>
      <c r="F2907" s="32"/>
      <c r="G2907" s="33"/>
      <c r="H2907" s="33"/>
      <c r="I2907" s="34" t="str">
        <f aca="false">IF($A2907="","",$G2907-$H2907)</f>
        <v/>
      </c>
      <c r="J2907" s="35" t="str">
        <f aca="false">IF($A2907="","",IF(Setup!$B$6=1,YEAR($A2907),YEAR($A2907)+IF(MONTH($A2907)&gt;=Setup!$B$6,1,0)))</f>
        <v/>
      </c>
      <c r="K2907" s="35" t="str">
        <f aca="false">IF($A2907="","",MOD(MONTH($A2907)-Setup!$B$6+12,12)+1)</f>
        <v/>
      </c>
      <c r="L2907" s="36" t="str">
        <f aca="false">IF($A2907="","",TEXT($A2907,"MMM-YY"))</f>
        <v/>
      </c>
      <c r="M2907" s="37" t="str">
        <f aca="false">IF($A2907="","",IF($Q2907=0,"UNMAPPED",INDEX(COA_Mapping!$C$7:$C$256,$Q2907)))</f>
        <v/>
      </c>
      <c r="N2907" s="38" t="str">
        <f aca="false">IF($A2907="","",IF($Q2907=0,"",INDEX(COA_Mapping!$E$7:$E$256,$Q2907)))</f>
        <v/>
      </c>
      <c r="O2907" s="38" t="n">
        <f aca="false">IF($A2907="",1,IF($Q2907=0,1,INDEX(COA_Mapping!$F$7:$F$256,$Q2907)))</f>
        <v>1</v>
      </c>
      <c r="P2907" s="34" t="str">
        <f aca="false">IF($A2907="","",$I2907*$O2907)</f>
        <v/>
      </c>
      <c r="Q2907" s="39" t="n">
        <f aca="false">IF($B2907="",0,IFERROR(MATCH($B2907,COA_Mapping!$A$7:$A$256,0),0))</f>
        <v>0</v>
      </c>
      <c r="R2907" s="39" t="n">
        <f aca="false">IF($A2907="",-1,IF($J2907=Setup!$B$7,1,IF($J2907=Setup!$B$9,0,-1)))</f>
        <v>-1</v>
      </c>
      <c r="S2907" s="35" t="n">
        <f aca="false">IF(OR($A2907="",$Q2907=0,$R2907=-1),0,$Q2907*1000+$R2907*100+$K2907)</f>
        <v>0</v>
      </c>
      <c r="T2907" s="37" t="str">
        <f aca="false">IF($A2907="","",IF($B2907="","NO ACCOUNT",IF($Q2907=0,"UNMAPPED",IF($R2907=-1,"OUTSIDE FY RANGE","OK"))))</f>
        <v/>
      </c>
      <c r="U2907" s="40" t="str">
        <f aca="false">IF($A2907="","",$B2907&amp;"|"&amp;TEXT($A2907,"yyyymmdd")&amp;"|"&amp;TEXT($I2907,"0.00"))</f>
        <v/>
      </c>
      <c r="V2907" s="35" t="str">
        <f aca="false">IF($A2907="","",COUNTIF($U$8:$U$5007,$U2907))</f>
        <v/>
      </c>
    </row>
    <row r="2908" customFormat="false" ht="15" hidden="false" customHeight="false" outlineLevel="0" collapsed="false">
      <c r="A2908" s="31"/>
      <c r="B2908" s="32"/>
      <c r="C2908" s="32"/>
      <c r="D2908" s="32"/>
      <c r="E2908" s="32"/>
      <c r="F2908" s="32"/>
      <c r="G2908" s="33"/>
      <c r="H2908" s="33"/>
      <c r="I2908" s="34" t="str">
        <f aca="false">IF($A2908="","",$G2908-$H2908)</f>
        <v/>
      </c>
      <c r="J2908" s="35" t="str">
        <f aca="false">IF($A2908="","",IF(Setup!$B$6=1,YEAR($A2908),YEAR($A2908)+IF(MONTH($A2908)&gt;=Setup!$B$6,1,0)))</f>
        <v/>
      </c>
      <c r="K2908" s="35" t="str">
        <f aca="false">IF($A2908="","",MOD(MONTH($A2908)-Setup!$B$6+12,12)+1)</f>
        <v/>
      </c>
      <c r="L2908" s="36" t="str">
        <f aca="false">IF($A2908="","",TEXT($A2908,"MMM-YY"))</f>
        <v/>
      </c>
      <c r="M2908" s="37" t="str">
        <f aca="false">IF($A2908="","",IF($Q2908=0,"UNMAPPED",INDEX(COA_Mapping!$C$7:$C$256,$Q2908)))</f>
        <v/>
      </c>
      <c r="N2908" s="38" t="str">
        <f aca="false">IF($A2908="","",IF($Q2908=0,"",INDEX(COA_Mapping!$E$7:$E$256,$Q2908)))</f>
        <v/>
      </c>
      <c r="O2908" s="38" t="n">
        <f aca="false">IF($A2908="",1,IF($Q2908=0,1,INDEX(COA_Mapping!$F$7:$F$256,$Q2908)))</f>
        <v>1</v>
      </c>
      <c r="P2908" s="34" t="str">
        <f aca="false">IF($A2908="","",$I2908*$O2908)</f>
        <v/>
      </c>
      <c r="Q2908" s="39" t="n">
        <f aca="false">IF($B2908="",0,IFERROR(MATCH($B2908,COA_Mapping!$A$7:$A$256,0),0))</f>
        <v>0</v>
      </c>
      <c r="R2908" s="39" t="n">
        <f aca="false">IF($A2908="",-1,IF($J2908=Setup!$B$7,1,IF($J2908=Setup!$B$9,0,-1)))</f>
        <v>-1</v>
      </c>
      <c r="S2908" s="35" t="n">
        <f aca="false">IF(OR($A2908="",$Q2908=0,$R2908=-1),0,$Q2908*1000+$R2908*100+$K2908)</f>
        <v>0</v>
      </c>
      <c r="T2908" s="37" t="str">
        <f aca="false">IF($A2908="","",IF($B2908="","NO ACCOUNT",IF($Q2908=0,"UNMAPPED",IF($R2908=-1,"OUTSIDE FY RANGE","OK"))))</f>
        <v/>
      </c>
      <c r="U2908" s="40" t="str">
        <f aca="false">IF($A2908="","",$B2908&amp;"|"&amp;TEXT($A2908,"yyyymmdd")&amp;"|"&amp;TEXT($I2908,"0.00"))</f>
        <v/>
      </c>
      <c r="V2908" s="35" t="str">
        <f aca="false">IF($A2908="","",COUNTIF($U$8:$U$5007,$U2908))</f>
        <v/>
      </c>
    </row>
    <row r="2909" customFormat="false" ht="15" hidden="false" customHeight="false" outlineLevel="0" collapsed="false">
      <c r="A2909" s="31"/>
      <c r="B2909" s="32"/>
      <c r="C2909" s="32"/>
      <c r="D2909" s="32"/>
      <c r="E2909" s="32"/>
      <c r="F2909" s="32"/>
      <c r="G2909" s="33"/>
      <c r="H2909" s="33"/>
      <c r="I2909" s="34" t="str">
        <f aca="false">IF($A2909="","",$G2909-$H2909)</f>
        <v/>
      </c>
      <c r="J2909" s="35" t="str">
        <f aca="false">IF($A2909="","",IF(Setup!$B$6=1,YEAR($A2909),YEAR($A2909)+IF(MONTH($A2909)&gt;=Setup!$B$6,1,0)))</f>
        <v/>
      </c>
      <c r="K2909" s="35" t="str">
        <f aca="false">IF($A2909="","",MOD(MONTH($A2909)-Setup!$B$6+12,12)+1)</f>
        <v/>
      </c>
      <c r="L2909" s="36" t="str">
        <f aca="false">IF($A2909="","",TEXT($A2909,"MMM-YY"))</f>
        <v/>
      </c>
      <c r="M2909" s="37" t="str">
        <f aca="false">IF($A2909="","",IF($Q2909=0,"UNMAPPED",INDEX(COA_Mapping!$C$7:$C$256,$Q2909)))</f>
        <v/>
      </c>
      <c r="N2909" s="38" t="str">
        <f aca="false">IF($A2909="","",IF($Q2909=0,"",INDEX(COA_Mapping!$E$7:$E$256,$Q2909)))</f>
        <v/>
      </c>
      <c r="O2909" s="38" t="n">
        <f aca="false">IF($A2909="",1,IF($Q2909=0,1,INDEX(COA_Mapping!$F$7:$F$256,$Q2909)))</f>
        <v>1</v>
      </c>
      <c r="P2909" s="34" t="str">
        <f aca="false">IF($A2909="","",$I2909*$O2909)</f>
        <v/>
      </c>
      <c r="Q2909" s="39" t="n">
        <f aca="false">IF($B2909="",0,IFERROR(MATCH($B2909,COA_Mapping!$A$7:$A$256,0),0))</f>
        <v>0</v>
      </c>
      <c r="R2909" s="39" t="n">
        <f aca="false">IF($A2909="",-1,IF($J2909=Setup!$B$7,1,IF($J2909=Setup!$B$9,0,-1)))</f>
        <v>-1</v>
      </c>
      <c r="S2909" s="35" t="n">
        <f aca="false">IF(OR($A2909="",$Q2909=0,$R2909=-1),0,$Q2909*1000+$R2909*100+$K2909)</f>
        <v>0</v>
      </c>
      <c r="T2909" s="37" t="str">
        <f aca="false">IF($A2909="","",IF($B2909="","NO ACCOUNT",IF($Q2909=0,"UNMAPPED",IF($R2909=-1,"OUTSIDE FY RANGE","OK"))))</f>
        <v/>
      </c>
      <c r="U2909" s="40" t="str">
        <f aca="false">IF($A2909="","",$B2909&amp;"|"&amp;TEXT($A2909,"yyyymmdd")&amp;"|"&amp;TEXT($I2909,"0.00"))</f>
        <v/>
      </c>
      <c r="V2909" s="35" t="str">
        <f aca="false">IF($A2909="","",COUNTIF($U$8:$U$5007,$U2909))</f>
        <v/>
      </c>
    </row>
    <row r="2910" customFormat="false" ht="15" hidden="false" customHeight="false" outlineLevel="0" collapsed="false">
      <c r="A2910" s="31"/>
      <c r="B2910" s="32"/>
      <c r="C2910" s="32"/>
      <c r="D2910" s="32"/>
      <c r="E2910" s="32"/>
      <c r="F2910" s="32"/>
      <c r="G2910" s="33"/>
      <c r="H2910" s="33"/>
      <c r="I2910" s="34" t="str">
        <f aca="false">IF($A2910="","",$G2910-$H2910)</f>
        <v/>
      </c>
      <c r="J2910" s="35" t="str">
        <f aca="false">IF($A2910="","",IF(Setup!$B$6=1,YEAR($A2910),YEAR($A2910)+IF(MONTH($A2910)&gt;=Setup!$B$6,1,0)))</f>
        <v/>
      </c>
      <c r="K2910" s="35" t="str">
        <f aca="false">IF($A2910="","",MOD(MONTH($A2910)-Setup!$B$6+12,12)+1)</f>
        <v/>
      </c>
      <c r="L2910" s="36" t="str">
        <f aca="false">IF($A2910="","",TEXT($A2910,"MMM-YY"))</f>
        <v/>
      </c>
      <c r="M2910" s="37" t="str">
        <f aca="false">IF($A2910="","",IF($Q2910=0,"UNMAPPED",INDEX(COA_Mapping!$C$7:$C$256,$Q2910)))</f>
        <v/>
      </c>
      <c r="N2910" s="38" t="str">
        <f aca="false">IF($A2910="","",IF($Q2910=0,"",INDEX(COA_Mapping!$E$7:$E$256,$Q2910)))</f>
        <v/>
      </c>
      <c r="O2910" s="38" t="n">
        <f aca="false">IF($A2910="",1,IF($Q2910=0,1,INDEX(COA_Mapping!$F$7:$F$256,$Q2910)))</f>
        <v>1</v>
      </c>
      <c r="P2910" s="34" t="str">
        <f aca="false">IF($A2910="","",$I2910*$O2910)</f>
        <v/>
      </c>
      <c r="Q2910" s="39" t="n">
        <f aca="false">IF($B2910="",0,IFERROR(MATCH($B2910,COA_Mapping!$A$7:$A$256,0),0))</f>
        <v>0</v>
      </c>
      <c r="R2910" s="39" t="n">
        <f aca="false">IF($A2910="",-1,IF($J2910=Setup!$B$7,1,IF($J2910=Setup!$B$9,0,-1)))</f>
        <v>-1</v>
      </c>
      <c r="S2910" s="35" t="n">
        <f aca="false">IF(OR($A2910="",$Q2910=0,$R2910=-1),0,$Q2910*1000+$R2910*100+$K2910)</f>
        <v>0</v>
      </c>
      <c r="T2910" s="37" t="str">
        <f aca="false">IF($A2910="","",IF($B2910="","NO ACCOUNT",IF($Q2910=0,"UNMAPPED",IF($R2910=-1,"OUTSIDE FY RANGE","OK"))))</f>
        <v/>
      </c>
      <c r="U2910" s="40" t="str">
        <f aca="false">IF($A2910="","",$B2910&amp;"|"&amp;TEXT($A2910,"yyyymmdd")&amp;"|"&amp;TEXT($I2910,"0.00"))</f>
        <v/>
      </c>
      <c r="V2910" s="35" t="str">
        <f aca="false">IF($A2910="","",COUNTIF($U$8:$U$5007,$U2910))</f>
        <v/>
      </c>
    </row>
    <row r="2911" customFormat="false" ht="15" hidden="false" customHeight="false" outlineLevel="0" collapsed="false">
      <c r="A2911" s="31"/>
      <c r="B2911" s="32"/>
      <c r="C2911" s="32"/>
      <c r="D2911" s="32"/>
      <c r="E2911" s="32"/>
      <c r="F2911" s="32"/>
      <c r="G2911" s="33"/>
      <c r="H2911" s="33"/>
      <c r="I2911" s="34" t="str">
        <f aca="false">IF($A2911="","",$G2911-$H2911)</f>
        <v/>
      </c>
      <c r="J2911" s="35" t="str">
        <f aca="false">IF($A2911="","",IF(Setup!$B$6=1,YEAR($A2911),YEAR($A2911)+IF(MONTH($A2911)&gt;=Setup!$B$6,1,0)))</f>
        <v/>
      </c>
      <c r="K2911" s="35" t="str">
        <f aca="false">IF($A2911="","",MOD(MONTH($A2911)-Setup!$B$6+12,12)+1)</f>
        <v/>
      </c>
      <c r="L2911" s="36" t="str">
        <f aca="false">IF($A2911="","",TEXT($A2911,"MMM-YY"))</f>
        <v/>
      </c>
      <c r="M2911" s="37" t="str">
        <f aca="false">IF($A2911="","",IF($Q2911=0,"UNMAPPED",INDEX(COA_Mapping!$C$7:$C$256,$Q2911)))</f>
        <v/>
      </c>
      <c r="N2911" s="38" t="str">
        <f aca="false">IF($A2911="","",IF($Q2911=0,"",INDEX(COA_Mapping!$E$7:$E$256,$Q2911)))</f>
        <v/>
      </c>
      <c r="O2911" s="38" t="n">
        <f aca="false">IF($A2911="",1,IF($Q2911=0,1,INDEX(COA_Mapping!$F$7:$F$256,$Q2911)))</f>
        <v>1</v>
      </c>
      <c r="P2911" s="34" t="str">
        <f aca="false">IF($A2911="","",$I2911*$O2911)</f>
        <v/>
      </c>
      <c r="Q2911" s="39" t="n">
        <f aca="false">IF($B2911="",0,IFERROR(MATCH($B2911,COA_Mapping!$A$7:$A$256,0),0))</f>
        <v>0</v>
      </c>
      <c r="R2911" s="39" t="n">
        <f aca="false">IF($A2911="",-1,IF($J2911=Setup!$B$7,1,IF($J2911=Setup!$B$9,0,-1)))</f>
        <v>-1</v>
      </c>
      <c r="S2911" s="35" t="n">
        <f aca="false">IF(OR($A2911="",$Q2911=0,$R2911=-1),0,$Q2911*1000+$R2911*100+$K2911)</f>
        <v>0</v>
      </c>
      <c r="T2911" s="37" t="str">
        <f aca="false">IF($A2911="","",IF($B2911="","NO ACCOUNT",IF($Q2911=0,"UNMAPPED",IF($R2911=-1,"OUTSIDE FY RANGE","OK"))))</f>
        <v/>
      </c>
      <c r="U2911" s="40" t="str">
        <f aca="false">IF($A2911="","",$B2911&amp;"|"&amp;TEXT($A2911,"yyyymmdd")&amp;"|"&amp;TEXT($I2911,"0.00"))</f>
        <v/>
      </c>
      <c r="V2911" s="35" t="str">
        <f aca="false">IF($A2911="","",COUNTIF($U$8:$U$5007,$U2911))</f>
        <v/>
      </c>
    </row>
    <row r="2912" customFormat="false" ht="15" hidden="false" customHeight="false" outlineLevel="0" collapsed="false">
      <c r="A2912" s="31"/>
      <c r="B2912" s="32"/>
      <c r="C2912" s="32"/>
      <c r="D2912" s="32"/>
      <c r="E2912" s="32"/>
      <c r="F2912" s="32"/>
      <c r="G2912" s="33"/>
      <c r="H2912" s="33"/>
      <c r="I2912" s="34" t="str">
        <f aca="false">IF($A2912="","",$G2912-$H2912)</f>
        <v/>
      </c>
      <c r="J2912" s="35" t="str">
        <f aca="false">IF($A2912="","",IF(Setup!$B$6=1,YEAR($A2912),YEAR($A2912)+IF(MONTH($A2912)&gt;=Setup!$B$6,1,0)))</f>
        <v/>
      </c>
      <c r="K2912" s="35" t="str">
        <f aca="false">IF($A2912="","",MOD(MONTH($A2912)-Setup!$B$6+12,12)+1)</f>
        <v/>
      </c>
      <c r="L2912" s="36" t="str">
        <f aca="false">IF($A2912="","",TEXT($A2912,"MMM-YY"))</f>
        <v/>
      </c>
      <c r="M2912" s="37" t="str">
        <f aca="false">IF($A2912="","",IF($Q2912=0,"UNMAPPED",INDEX(COA_Mapping!$C$7:$C$256,$Q2912)))</f>
        <v/>
      </c>
      <c r="N2912" s="38" t="str">
        <f aca="false">IF($A2912="","",IF($Q2912=0,"",INDEX(COA_Mapping!$E$7:$E$256,$Q2912)))</f>
        <v/>
      </c>
      <c r="O2912" s="38" t="n">
        <f aca="false">IF($A2912="",1,IF($Q2912=0,1,INDEX(COA_Mapping!$F$7:$F$256,$Q2912)))</f>
        <v>1</v>
      </c>
      <c r="P2912" s="34" t="str">
        <f aca="false">IF($A2912="","",$I2912*$O2912)</f>
        <v/>
      </c>
      <c r="Q2912" s="39" t="n">
        <f aca="false">IF($B2912="",0,IFERROR(MATCH($B2912,COA_Mapping!$A$7:$A$256,0),0))</f>
        <v>0</v>
      </c>
      <c r="R2912" s="39" t="n">
        <f aca="false">IF($A2912="",-1,IF($J2912=Setup!$B$7,1,IF($J2912=Setup!$B$9,0,-1)))</f>
        <v>-1</v>
      </c>
      <c r="S2912" s="35" t="n">
        <f aca="false">IF(OR($A2912="",$Q2912=0,$R2912=-1),0,$Q2912*1000+$R2912*100+$K2912)</f>
        <v>0</v>
      </c>
      <c r="T2912" s="37" t="str">
        <f aca="false">IF($A2912="","",IF($B2912="","NO ACCOUNT",IF($Q2912=0,"UNMAPPED",IF($R2912=-1,"OUTSIDE FY RANGE","OK"))))</f>
        <v/>
      </c>
      <c r="U2912" s="40" t="str">
        <f aca="false">IF($A2912="","",$B2912&amp;"|"&amp;TEXT($A2912,"yyyymmdd")&amp;"|"&amp;TEXT($I2912,"0.00"))</f>
        <v/>
      </c>
      <c r="V2912" s="35" t="str">
        <f aca="false">IF($A2912="","",COUNTIF($U$8:$U$5007,$U2912))</f>
        <v/>
      </c>
    </row>
    <row r="2913" customFormat="false" ht="15" hidden="false" customHeight="false" outlineLevel="0" collapsed="false">
      <c r="A2913" s="31"/>
      <c r="B2913" s="32"/>
      <c r="C2913" s="32"/>
      <c r="D2913" s="32"/>
      <c r="E2913" s="32"/>
      <c r="F2913" s="32"/>
      <c r="G2913" s="33"/>
      <c r="H2913" s="33"/>
      <c r="I2913" s="34" t="str">
        <f aca="false">IF($A2913="","",$G2913-$H2913)</f>
        <v/>
      </c>
      <c r="J2913" s="35" t="str">
        <f aca="false">IF($A2913="","",IF(Setup!$B$6=1,YEAR($A2913),YEAR($A2913)+IF(MONTH($A2913)&gt;=Setup!$B$6,1,0)))</f>
        <v/>
      </c>
      <c r="K2913" s="35" t="str">
        <f aca="false">IF($A2913="","",MOD(MONTH($A2913)-Setup!$B$6+12,12)+1)</f>
        <v/>
      </c>
      <c r="L2913" s="36" t="str">
        <f aca="false">IF($A2913="","",TEXT($A2913,"MMM-YY"))</f>
        <v/>
      </c>
      <c r="M2913" s="37" t="str">
        <f aca="false">IF($A2913="","",IF($Q2913=0,"UNMAPPED",INDEX(COA_Mapping!$C$7:$C$256,$Q2913)))</f>
        <v/>
      </c>
      <c r="N2913" s="38" t="str">
        <f aca="false">IF($A2913="","",IF($Q2913=0,"",INDEX(COA_Mapping!$E$7:$E$256,$Q2913)))</f>
        <v/>
      </c>
      <c r="O2913" s="38" t="n">
        <f aca="false">IF($A2913="",1,IF($Q2913=0,1,INDEX(COA_Mapping!$F$7:$F$256,$Q2913)))</f>
        <v>1</v>
      </c>
      <c r="P2913" s="34" t="str">
        <f aca="false">IF($A2913="","",$I2913*$O2913)</f>
        <v/>
      </c>
      <c r="Q2913" s="39" t="n">
        <f aca="false">IF($B2913="",0,IFERROR(MATCH($B2913,COA_Mapping!$A$7:$A$256,0),0))</f>
        <v>0</v>
      </c>
      <c r="R2913" s="39" t="n">
        <f aca="false">IF($A2913="",-1,IF($J2913=Setup!$B$7,1,IF($J2913=Setup!$B$9,0,-1)))</f>
        <v>-1</v>
      </c>
      <c r="S2913" s="35" t="n">
        <f aca="false">IF(OR($A2913="",$Q2913=0,$R2913=-1),0,$Q2913*1000+$R2913*100+$K2913)</f>
        <v>0</v>
      </c>
      <c r="T2913" s="37" t="str">
        <f aca="false">IF($A2913="","",IF($B2913="","NO ACCOUNT",IF($Q2913=0,"UNMAPPED",IF($R2913=-1,"OUTSIDE FY RANGE","OK"))))</f>
        <v/>
      </c>
      <c r="U2913" s="40" t="str">
        <f aca="false">IF($A2913="","",$B2913&amp;"|"&amp;TEXT($A2913,"yyyymmdd")&amp;"|"&amp;TEXT($I2913,"0.00"))</f>
        <v/>
      </c>
      <c r="V2913" s="35" t="str">
        <f aca="false">IF($A2913="","",COUNTIF($U$8:$U$5007,$U2913))</f>
        <v/>
      </c>
    </row>
    <row r="2914" customFormat="false" ht="15" hidden="false" customHeight="false" outlineLevel="0" collapsed="false">
      <c r="A2914" s="31"/>
      <c r="B2914" s="32"/>
      <c r="C2914" s="32"/>
      <c r="D2914" s="32"/>
      <c r="E2914" s="32"/>
      <c r="F2914" s="32"/>
      <c r="G2914" s="33"/>
      <c r="H2914" s="33"/>
      <c r="I2914" s="34" t="str">
        <f aca="false">IF($A2914="","",$G2914-$H2914)</f>
        <v/>
      </c>
      <c r="J2914" s="35" t="str">
        <f aca="false">IF($A2914="","",IF(Setup!$B$6=1,YEAR($A2914),YEAR($A2914)+IF(MONTH($A2914)&gt;=Setup!$B$6,1,0)))</f>
        <v/>
      </c>
      <c r="K2914" s="35" t="str">
        <f aca="false">IF($A2914="","",MOD(MONTH($A2914)-Setup!$B$6+12,12)+1)</f>
        <v/>
      </c>
      <c r="L2914" s="36" t="str">
        <f aca="false">IF($A2914="","",TEXT($A2914,"MMM-YY"))</f>
        <v/>
      </c>
      <c r="M2914" s="37" t="str">
        <f aca="false">IF($A2914="","",IF($Q2914=0,"UNMAPPED",INDEX(COA_Mapping!$C$7:$C$256,$Q2914)))</f>
        <v/>
      </c>
      <c r="N2914" s="38" t="str">
        <f aca="false">IF($A2914="","",IF($Q2914=0,"",INDEX(COA_Mapping!$E$7:$E$256,$Q2914)))</f>
        <v/>
      </c>
      <c r="O2914" s="38" t="n">
        <f aca="false">IF($A2914="",1,IF($Q2914=0,1,INDEX(COA_Mapping!$F$7:$F$256,$Q2914)))</f>
        <v>1</v>
      </c>
      <c r="P2914" s="34" t="str">
        <f aca="false">IF($A2914="","",$I2914*$O2914)</f>
        <v/>
      </c>
      <c r="Q2914" s="39" t="n">
        <f aca="false">IF($B2914="",0,IFERROR(MATCH($B2914,COA_Mapping!$A$7:$A$256,0),0))</f>
        <v>0</v>
      </c>
      <c r="R2914" s="39" t="n">
        <f aca="false">IF($A2914="",-1,IF($J2914=Setup!$B$7,1,IF($J2914=Setup!$B$9,0,-1)))</f>
        <v>-1</v>
      </c>
      <c r="S2914" s="35" t="n">
        <f aca="false">IF(OR($A2914="",$Q2914=0,$R2914=-1),0,$Q2914*1000+$R2914*100+$K2914)</f>
        <v>0</v>
      </c>
      <c r="T2914" s="37" t="str">
        <f aca="false">IF($A2914="","",IF($B2914="","NO ACCOUNT",IF($Q2914=0,"UNMAPPED",IF($R2914=-1,"OUTSIDE FY RANGE","OK"))))</f>
        <v/>
      </c>
      <c r="U2914" s="40" t="str">
        <f aca="false">IF($A2914="","",$B2914&amp;"|"&amp;TEXT($A2914,"yyyymmdd")&amp;"|"&amp;TEXT($I2914,"0.00"))</f>
        <v/>
      </c>
      <c r="V2914" s="35" t="str">
        <f aca="false">IF($A2914="","",COUNTIF($U$8:$U$5007,$U2914))</f>
        <v/>
      </c>
    </row>
    <row r="2915" customFormat="false" ht="15" hidden="false" customHeight="false" outlineLevel="0" collapsed="false">
      <c r="A2915" s="31"/>
      <c r="B2915" s="32"/>
      <c r="C2915" s="32"/>
      <c r="D2915" s="32"/>
      <c r="E2915" s="32"/>
      <c r="F2915" s="32"/>
      <c r="G2915" s="33"/>
      <c r="H2915" s="33"/>
      <c r="I2915" s="34" t="str">
        <f aca="false">IF($A2915="","",$G2915-$H2915)</f>
        <v/>
      </c>
      <c r="J2915" s="35" t="str">
        <f aca="false">IF($A2915="","",IF(Setup!$B$6=1,YEAR($A2915),YEAR($A2915)+IF(MONTH($A2915)&gt;=Setup!$B$6,1,0)))</f>
        <v/>
      </c>
      <c r="K2915" s="35" t="str">
        <f aca="false">IF($A2915="","",MOD(MONTH($A2915)-Setup!$B$6+12,12)+1)</f>
        <v/>
      </c>
      <c r="L2915" s="36" t="str">
        <f aca="false">IF($A2915="","",TEXT($A2915,"MMM-YY"))</f>
        <v/>
      </c>
      <c r="M2915" s="37" t="str">
        <f aca="false">IF($A2915="","",IF($Q2915=0,"UNMAPPED",INDEX(COA_Mapping!$C$7:$C$256,$Q2915)))</f>
        <v/>
      </c>
      <c r="N2915" s="38" t="str">
        <f aca="false">IF($A2915="","",IF($Q2915=0,"",INDEX(COA_Mapping!$E$7:$E$256,$Q2915)))</f>
        <v/>
      </c>
      <c r="O2915" s="38" t="n">
        <f aca="false">IF($A2915="",1,IF($Q2915=0,1,INDEX(COA_Mapping!$F$7:$F$256,$Q2915)))</f>
        <v>1</v>
      </c>
      <c r="P2915" s="34" t="str">
        <f aca="false">IF($A2915="","",$I2915*$O2915)</f>
        <v/>
      </c>
      <c r="Q2915" s="39" t="n">
        <f aca="false">IF($B2915="",0,IFERROR(MATCH($B2915,COA_Mapping!$A$7:$A$256,0),0))</f>
        <v>0</v>
      </c>
      <c r="R2915" s="39" t="n">
        <f aca="false">IF($A2915="",-1,IF($J2915=Setup!$B$7,1,IF($J2915=Setup!$B$9,0,-1)))</f>
        <v>-1</v>
      </c>
      <c r="S2915" s="35" t="n">
        <f aca="false">IF(OR($A2915="",$Q2915=0,$R2915=-1),0,$Q2915*1000+$R2915*100+$K2915)</f>
        <v>0</v>
      </c>
      <c r="T2915" s="37" t="str">
        <f aca="false">IF($A2915="","",IF($B2915="","NO ACCOUNT",IF($Q2915=0,"UNMAPPED",IF($R2915=-1,"OUTSIDE FY RANGE","OK"))))</f>
        <v/>
      </c>
      <c r="U2915" s="40" t="str">
        <f aca="false">IF($A2915="","",$B2915&amp;"|"&amp;TEXT($A2915,"yyyymmdd")&amp;"|"&amp;TEXT($I2915,"0.00"))</f>
        <v/>
      </c>
      <c r="V2915" s="35" t="str">
        <f aca="false">IF($A2915="","",COUNTIF($U$8:$U$5007,$U2915))</f>
        <v/>
      </c>
    </row>
    <row r="2916" customFormat="false" ht="15" hidden="false" customHeight="false" outlineLevel="0" collapsed="false">
      <c r="A2916" s="31"/>
      <c r="B2916" s="32"/>
      <c r="C2916" s="32"/>
      <c r="D2916" s="32"/>
      <c r="E2916" s="32"/>
      <c r="F2916" s="32"/>
      <c r="G2916" s="33"/>
      <c r="H2916" s="33"/>
      <c r="I2916" s="34" t="str">
        <f aca="false">IF($A2916="","",$G2916-$H2916)</f>
        <v/>
      </c>
      <c r="J2916" s="35" t="str">
        <f aca="false">IF($A2916="","",IF(Setup!$B$6=1,YEAR($A2916),YEAR($A2916)+IF(MONTH($A2916)&gt;=Setup!$B$6,1,0)))</f>
        <v/>
      </c>
      <c r="K2916" s="35" t="str">
        <f aca="false">IF($A2916="","",MOD(MONTH($A2916)-Setup!$B$6+12,12)+1)</f>
        <v/>
      </c>
      <c r="L2916" s="36" t="str">
        <f aca="false">IF($A2916="","",TEXT($A2916,"MMM-YY"))</f>
        <v/>
      </c>
      <c r="M2916" s="37" t="str">
        <f aca="false">IF($A2916="","",IF($Q2916=0,"UNMAPPED",INDEX(COA_Mapping!$C$7:$C$256,$Q2916)))</f>
        <v/>
      </c>
      <c r="N2916" s="38" t="str">
        <f aca="false">IF($A2916="","",IF($Q2916=0,"",INDEX(COA_Mapping!$E$7:$E$256,$Q2916)))</f>
        <v/>
      </c>
      <c r="O2916" s="38" t="n">
        <f aca="false">IF($A2916="",1,IF($Q2916=0,1,INDEX(COA_Mapping!$F$7:$F$256,$Q2916)))</f>
        <v>1</v>
      </c>
      <c r="P2916" s="34" t="str">
        <f aca="false">IF($A2916="","",$I2916*$O2916)</f>
        <v/>
      </c>
      <c r="Q2916" s="39" t="n">
        <f aca="false">IF($B2916="",0,IFERROR(MATCH($B2916,COA_Mapping!$A$7:$A$256,0),0))</f>
        <v>0</v>
      </c>
      <c r="R2916" s="39" t="n">
        <f aca="false">IF($A2916="",-1,IF($J2916=Setup!$B$7,1,IF($J2916=Setup!$B$9,0,-1)))</f>
        <v>-1</v>
      </c>
      <c r="S2916" s="35" t="n">
        <f aca="false">IF(OR($A2916="",$Q2916=0,$R2916=-1),0,$Q2916*1000+$R2916*100+$K2916)</f>
        <v>0</v>
      </c>
      <c r="T2916" s="37" t="str">
        <f aca="false">IF($A2916="","",IF($B2916="","NO ACCOUNT",IF($Q2916=0,"UNMAPPED",IF($R2916=-1,"OUTSIDE FY RANGE","OK"))))</f>
        <v/>
      </c>
      <c r="U2916" s="40" t="str">
        <f aca="false">IF($A2916="","",$B2916&amp;"|"&amp;TEXT($A2916,"yyyymmdd")&amp;"|"&amp;TEXT($I2916,"0.00"))</f>
        <v/>
      </c>
      <c r="V2916" s="35" t="str">
        <f aca="false">IF($A2916="","",COUNTIF($U$8:$U$5007,$U2916))</f>
        <v/>
      </c>
    </row>
    <row r="2917" customFormat="false" ht="15" hidden="false" customHeight="false" outlineLevel="0" collapsed="false">
      <c r="A2917" s="31"/>
      <c r="B2917" s="32"/>
      <c r="C2917" s="32"/>
      <c r="D2917" s="32"/>
      <c r="E2917" s="32"/>
      <c r="F2917" s="32"/>
      <c r="G2917" s="33"/>
      <c r="H2917" s="33"/>
      <c r="I2917" s="34" t="str">
        <f aca="false">IF($A2917="","",$G2917-$H2917)</f>
        <v/>
      </c>
      <c r="J2917" s="35" t="str">
        <f aca="false">IF($A2917="","",IF(Setup!$B$6=1,YEAR($A2917),YEAR($A2917)+IF(MONTH($A2917)&gt;=Setup!$B$6,1,0)))</f>
        <v/>
      </c>
      <c r="K2917" s="35" t="str">
        <f aca="false">IF($A2917="","",MOD(MONTH($A2917)-Setup!$B$6+12,12)+1)</f>
        <v/>
      </c>
      <c r="L2917" s="36" t="str">
        <f aca="false">IF($A2917="","",TEXT($A2917,"MMM-YY"))</f>
        <v/>
      </c>
      <c r="M2917" s="37" t="str">
        <f aca="false">IF($A2917="","",IF($Q2917=0,"UNMAPPED",INDEX(COA_Mapping!$C$7:$C$256,$Q2917)))</f>
        <v/>
      </c>
      <c r="N2917" s="38" t="str">
        <f aca="false">IF($A2917="","",IF($Q2917=0,"",INDEX(COA_Mapping!$E$7:$E$256,$Q2917)))</f>
        <v/>
      </c>
      <c r="O2917" s="38" t="n">
        <f aca="false">IF($A2917="",1,IF($Q2917=0,1,INDEX(COA_Mapping!$F$7:$F$256,$Q2917)))</f>
        <v>1</v>
      </c>
      <c r="P2917" s="34" t="str">
        <f aca="false">IF($A2917="","",$I2917*$O2917)</f>
        <v/>
      </c>
      <c r="Q2917" s="39" t="n">
        <f aca="false">IF($B2917="",0,IFERROR(MATCH($B2917,COA_Mapping!$A$7:$A$256,0),0))</f>
        <v>0</v>
      </c>
      <c r="R2917" s="39" t="n">
        <f aca="false">IF($A2917="",-1,IF($J2917=Setup!$B$7,1,IF($J2917=Setup!$B$9,0,-1)))</f>
        <v>-1</v>
      </c>
      <c r="S2917" s="35" t="n">
        <f aca="false">IF(OR($A2917="",$Q2917=0,$R2917=-1),0,$Q2917*1000+$R2917*100+$K2917)</f>
        <v>0</v>
      </c>
      <c r="T2917" s="37" t="str">
        <f aca="false">IF($A2917="","",IF($B2917="","NO ACCOUNT",IF($Q2917=0,"UNMAPPED",IF($R2917=-1,"OUTSIDE FY RANGE","OK"))))</f>
        <v/>
      </c>
      <c r="U2917" s="40" t="str">
        <f aca="false">IF($A2917="","",$B2917&amp;"|"&amp;TEXT($A2917,"yyyymmdd")&amp;"|"&amp;TEXT($I2917,"0.00"))</f>
        <v/>
      </c>
      <c r="V2917" s="35" t="str">
        <f aca="false">IF($A2917="","",COUNTIF($U$8:$U$5007,$U2917))</f>
        <v/>
      </c>
    </row>
    <row r="2918" customFormat="false" ht="15" hidden="false" customHeight="false" outlineLevel="0" collapsed="false">
      <c r="A2918" s="31"/>
      <c r="B2918" s="32"/>
      <c r="C2918" s="32"/>
      <c r="D2918" s="32"/>
      <c r="E2918" s="32"/>
      <c r="F2918" s="32"/>
      <c r="G2918" s="33"/>
      <c r="H2918" s="33"/>
      <c r="I2918" s="34" t="str">
        <f aca="false">IF($A2918="","",$G2918-$H2918)</f>
        <v/>
      </c>
      <c r="J2918" s="35" t="str">
        <f aca="false">IF($A2918="","",IF(Setup!$B$6=1,YEAR($A2918),YEAR($A2918)+IF(MONTH($A2918)&gt;=Setup!$B$6,1,0)))</f>
        <v/>
      </c>
      <c r="K2918" s="35" t="str">
        <f aca="false">IF($A2918="","",MOD(MONTH($A2918)-Setup!$B$6+12,12)+1)</f>
        <v/>
      </c>
      <c r="L2918" s="36" t="str">
        <f aca="false">IF($A2918="","",TEXT($A2918,"MMM-YY"))</f>
        <v/>
      </c>
      <c r="M2918" s="37" t="str">
        <f aca="false">IF($A2918="","",IF($Q2918=0,"UNMAPPED",INDEX(COA_Mapping!$C$7:$C$256,$Q2918)))</f>
        <v/>
      </c>
      <c r="N2918" s="38" t="str">
        <f aca="false">IF($A2918="","",IF($Q2918=0,"",INDEX(COA_Mapping!$E$7:$E$256,$Q2918)))</f>
        <v/>
      </c>
      <c r="O2918" s="38" t="n">
        <f aca="false">IF($A2918="",1,IF($Q2918=0,1,INDEX(COA_Mapping!$F$7:$F$256,$Q2918)))</f>
        <v>1</v>
      </c>
      <c r="P2918" s="34" t="str">
        <f aca="false">IF($A2918="","",$I2918*$O2918)</f>
        <v/>
      </c>
      <c r="Q2918" s="39" t="n">
        <f aca="false">IF($B2918="",0,IFERROR(MATCH($B2918,COA_Mapping!$A$7:$A$256,0),0))</f>
        <v>0</v>
      </c>
      <c r="R2918" s="39" t="n">
        <f aca="false">IF($A2918="",-1,IF($J2918=Setup!$B$7,1,IF($J2918=Setup!$B$9,0,-1)))</f>
        <v>-1</v>
      </c>
      <c r="S2918" s="35" t="n">
        <f aca="false">IF(OR($A2918="",$Q2918=0,$R2918=-1),0,$Q2918*1000+$R2918*100+$K2918)</f>
        <v>0</v>
      </c>
      <c r="T2918" s="37" t="str">
        <f aca="false">IF($A2918="","",IF($B2918="","NO ACCOUNT",IF($Q2918=0,"UNMAPPED",IF($R2918=-1,"OUTSIDE FY RANGE","OK"))))</f>
        <v/>
      </c>
      <c r="U2918" s="40" t="str">
        <f aca="false">IF($A2918="","",$B2918&amp;"|"&amp;TEXT($A2918,"yyyymmdd")&amp;"|"&amp;TEXT($I2918,"0.00"))</f>
        <v/>
      </c>
      <c r="V2918" s="35" t="str">
        <f aca="false">IF($A2918="","",COUNTIF($U$8:$U$5007,$U2918))</f>
        <v/>
      </c>
    </row>
    <row r="2919" customFormat="false" ht="15" hidden="false" customHeight="false" outlineLevel="0" collapsed="false">
      <c r="A2919" s="31"/>
      <c r="B2919" s="32"/>
      <c r="C2919" s="32"/>
      <c r="D2919" s="32"/>
      <c r="E2919" s="32"/>
      <c r="F2919" s="32"/>
      <c r="G2919" s="33"/>
      <c r="H2919" s="33"/>
      <c r="I2919" s="34" t="str">
        <f aca="false">IF($A2919="","",$G2919-$H2919)</f>
        <v/>
      </c>
      <c r="J2919" s="35" t="str">
        <f aca="false">IF($A2919="","",IF(Setup!$B$6=1,YEAR($A2919),YEAR($A2919)+IF(MONTH($A2919)&gt;=Setup!$B$6,1,0)))</f>
        <v/>
      </c>
      <c r="K2919" s="35" t="str">
        <f aca="false">IF($A2919="","",MOD(MONTH($A2919)-Setup!$B$6+12,12)+1)</f>
        <v/>
      </c>
      <c r="L2919" s="36" t="str">
        <f aca="false">IF($A2919="","",TEXT($A2919,"MMM-YY"))</f>
        <v/>
      </c>
      <c r="M2919" s="37" t="str">
        <f aca="false">IF($A2919="","",IF($Q2919=0,"UNMAPPED",INDEX(COA_Mapping!$C$7:$C$256,$Q2919)))</f>
        <v/>
      </c>
      <c r="N2919" s="38" t="str">
        <f aca="false">IF($A2919="","",IF($Q2919=0,"",INDEX(COA_Mapping!$E$7:$E$256,$Q2919)))</f>
        <v/>
      </c>
      <c r="O2919" s="38" t="n">
        <f aca="false">IF($A2919="",1,IF($Q2919=0,1,INDEX(COA_Mapping!$F$7:$F$256,$Q2919)))</f>
        <v>1</v>
      </c>
      <c r="P2919" s="34" t="str">
        <f aca="false">IF($A2919="","",$I2919*$O2919)</f>
        <v/>
      </c>
      <c r="Q2919" s="39" t="n">
        <f aca="false">IF($B2919="",0,IFERROR(MATCH($B2919,COA_Mapping!$A$7:$A$256,0),0))</f>
        <v>0</v>
      </c>
      <c r="R2919" s="39" t="n">
        <f aca="false">IF($A2919="",-1,IF($J2919=Setup!$B$7,1,IF($J2919=Setup!$B$9,0,-1)))</f>
        <v>-1</v>
      </c>
      <c r="S2919" s="35" t="n">
        <f aca="false">IF(OR($A2919="",$Q2919=0,$R2919=-1),0,$Q2919*1000+$R2919*100+$K2919)</f>
        <v>0</v>
      </c>
      <c r="T2919" s="37" t="str">
        <f aca="false">IF($A2919="","",IF($B2919="","NO ACCOUNT",IF($Q2919=0,"UNMAPPED",IF($R2919=-1,"OUTSIDE FY RANGE","OK"))))</f>
        <v/>
      </c>
      <c r="U2919" s="40" t="str">
        <f aca="false">IF($A2919="","",$B2919&amp;"|"&amp;TEXT($A2919,"yyyymmdd")&amp;"|"&amp;TEXT($I2919,"0.00"))</f>
        <v/>
      </c>
      <c r="V2919" s="35" t="str">
        <f aca="false">IF($A2919="","",COUNTIF($U$8:$U$5007,$U2919))</f>
        <v/>
      </c>
    </row>
    <row r="2920" customFormat="false" ht="15" hidden="false" customHeight="false" outlineLevel="0" collapsed="false">
      <c r="A2920" s="31"/>
      <c r="B2920" s="32"/>
      <c r="C2920" s="32"/>
      <c r="D2920" s="32"/>
      <c r="E2920" s="32"/>
      <c r="F2920" s="32"/>
      <c r="G2920" s="33"/>
      <c r="H2920" s="33"/>
      <c r="I2920" s="34" t="str">
        <f aca="false">IF($A2920="","",$G2920-$H2920)</f>
        <v/>
      </c>
      <c r="J2920" s="35" t="str">
        <f aca="false">IF($A2920="","",IF(Setup!$B$6=1,YEAR($A2920),YEAR($A2920)+IF(MONTH($A2920)&gt;=Setup!$B$6,1,0)))</f>
        <v/>
      </c>
      <c r="K2920" s="35" t="str">
        <f aca="false">IF($A2920="","",MOD(MONTH($A2920)-Setup!$B$6+12,12)+1)</f>
        <v/>
      </c>
      <c r="L2920" s="36" t="str">
        <f aca="false">IF($A2920="","",TEXT($A2920,"MMM-YY"))</f>
        <v/>
      </c>
      <c r="M2920" s="37" t="str">
        <f aca="false">IF($A2920="","",IF($Q2920=0,"UNMAPPED",INDEX(COA_Mapping!$C$7:$C$256,$Q2920)))</f>
        <v/>
      </c>
      <c r="N2920" s="38" t="str">
        <f aca="false">IF($A2920="","",IF($Q2920=0,"",INDEX(COA_Mapping!$E$7:$E$256,$Q2920)))</f>
        <v/>
      </c>
      <c r="O2920" s="38" t="n">
        <f aca="false">IF($A2920="",1,IF($Q2920=0,1,INDEX(COA_Mapping!$F$7:$F$256,$Q2920)))</f>
        <v>1</v>
      </c>
      <c r="P2920" s="34" t="str">
        <f aca="false">IF($A2920="","",$I2920*$O2920)</f>
        <v/>
      </c>
      <c r="Q2920" s="39" t="n">
        <f aca="false">IF($B2920="",0,IFERROR(MATCH($B2920,COA_Mapping!$A$7:$A$256,0),0))</f>
        <v>0</v>
      </c>
      <c r="R2920" s="39" t="n">
        <f aca="false">IF($A2920="",-1,IF($J2920=Setup!$B$7,1,IF($J2920=Setup!$B$9,0,-1)))</f>
        <v>-1</v>
      </c>
      <c r="S2920" s="35" t="n">
        <f aca="false">IF(OR($A2920="",$Q2920=0,$R2920=-1),0,$Q2920*1000+$R2920*100+$K2920)</f>
        <v>0</v>
      </c>
      <c r="T2920" s="37" t="str">
        <f aca="false">IF($A2920="","",IF($B2920="","NO ACCOUNT",IF($Q2920=0,"UNMAPPED",IF($R2920=-1,"OUTSIDE FY RANGE","OK"))))</f>
        <v/>
      </c>
      <c r="U2920" s="40" t="str">
        <f aca="false">IF($A2920="","",$B2920&amp;"|"&amp;TEXT($A2920,"yyyymmdd")&amp;"|"&amp;TEXT($I2920,"0.00"))</f>
        <v/>
      </c>
      <c r="V2920" s="35" t="str">
        <f aca="false">IF($A2920="","",COUNTIF($U$8:$U$5007,$U2920))</f>
        <v/>
      </c>
    </row>
    <row r="2921" customFormat="false" ht="15" hidden="false" customHeight="false" outlineLevel="0" collapsed="false">
      <c r="A2921" s="31"/>
      <c r="B2921" s="32"/>
      <c r="C2921" s="32"/>
      <c r="D2921" s="32"/>
      <c r="E2921" s="32"/>
      <c r="F2921" s="32"/>
      <c r="G2921" s="33"/>
      <c r="H2921" s="33"/>
      <c r="I2921" s="34" t="str">
        <f aca="false">IF($A2921="","",$G2921-$H2921)</f>
        <v/>
      </c>
      <c r="J2921" s="35" t="str">
        <f aca="false">IF($A2921="","",IF(Setup!$B$6=1,YEAR($A2921),YEAR($A2921)+IF(MONTH($A2921)&gt;=Setup!$B$6,1,0)))</f>
        <v/>
      </c>
      <c r="K2921" s="35" t="str">
        <f aca="false">IF($A2921="","",MOD(MONTH($A2921)-Setup!$B$6+12,12)+1)</f>
        <v/>
      </c>
      <c r="L2921" s="36" t="str">
        <f aca="false">IF($A2921="","",TEXT($A2921,"MMM-YY"))</f>
        <v/>
      </c>
      <c r="M2921" s="37" t="str">
        <f aca="false">IF($A2921="","",IF($Q2921=0,"UNMAPPED",INDEX(COA_Mapping!$C$7:$C$256,$Q2921)))</f>
        <v/>
      </c>
      <c r="N2921" s="38" t="str">
        <f aca="false">IF($A2921="","",IF($Q2921=0,"",INDEX(COA_Mapping!$E$7:$E$256,$Q2921)))</f>
        <v/>
      </c>
      <c r="O2921" s="38" t="n">
        <f aca="false">IF($A2921="",1,IF($Q2921=0,1,INDEX(COA_Mapping!$F$7:$F$256,$Q2921)))</f>
        <v>1</v>
      </c>
      <c r="P2921" s="34" t="str">
        <f aca="false">IF($A2921="","",$I2921*$O2921)</f>
        <v/>
      </c>
      <c r="Q2921" s="39" t="n">
        <f aca="false">IF($B2921="",0,IFERROR(MATCH($B2921,COA_Mapping!$A$7:$A$256,0),0))</f>
        <v>0</v>
      </c>
      <c r="R2921" s="39" t="n">
        <f aca="false">IF($A2921="",-1,IF($J2921=Setup!$B$7,1,IF($J2921=Setup!$B$9,0,-1)))</f>
        <v>-1</v>
      </c>
      <c r="S2921" s="35" t="n">
        <f aca="false">IF(OR($A2921="",$Q2921=0,$R2921=-1),0,$Q2921*1000+$R2921*100+$K2921)</f>
        <v>0</v>
      </c>
      <c r="T2921" s="37" t="str">
        <f aca="false">IF($A2921="","",IF($B2921="","NO ACCOUNT",IF($Q2921=0,"UNMAPPED",IF($R2921=-1,"OUTSIDE FY RANGE","OK"))))</f>
        <v/>
      </c>
      <c r="U2921" s="40" t="str">
        <f aca="false">IF($A2921="","",$B2921&amp;"|"&amp;TEXT($A2921,"yyyymmdd")&amp;"|"&amp;TEXT($I2921,"0.00"))</f>
        <v/>
      </c>
      <c r="V2921" s="35" t="str">
        <f aca="false">IF($A2921="","",COUNTIF($U$8:$U$5007,$U2921))</f>
        <v/>
      </c>
    </row>
    <row r="2922" customFormat="false" ht="15" hidden="false" customHeight="false" outlineLevel="0" collapsed="false">
      <c r="A2922" s="31"/>
      <c r="B2922" s="32"/>
      <c r="C2922" s="32"/>
      <c r="D2922" s="32"/>
      <c r="E2922" s="32"/>
      <c r="F2922" s="32"/>
      <c r="G2922" s="33"/>
      <c r="H2922" s="33"/>
      <c r="I2922" s="34" t="str">
        <f aca="false">IF($A2922="","",$G2922-$H2922)</f>
        <v/>
      </c>
      <c r="J2922" s="35" t="str">
        <f aca="false">IF($A2922="","",IF(Setup!$B$6=1,YEAR($A2922),YEAR($A2922)+IF(MONTH($A2922)&gt;=Setup!$B$6,1,0)))</f>
        <v/>
      </c>
      <c r="K2922" s="35" t="str">
        <f aca="false">IF($A2922="","",MOD(MONTH($A2922)-Setup!$B$6+12,12)+1)</f>
        <v/>
      </c>
      <c r="L2922" s="36" t="str">
        <f aca="false">IF($A2922="","",TEXT($A2922,"MMM-YY"))</f>
        <v/>
      </c>
      <c r="M2922" s="37" t="str">
        <f aca="false">IF($A2922="","",IF($Q2922=0,"UNMAPPED",INDEX(COA_Mapping!$C$7:$C$256,$Q2922)))</f>
        <v/>
      </c>
      <c r="N2922" s="38" t="str">
        <f aca="false">IF($A2922="","",IF($Q2922=0,"",INDEX(COA_Mapping!$E$7:$E$256,$Q2922)))</f>
        <v/>
      </c>
      <c r="O2922" s="38" t="n">
        <f aca="false">IF($A2922="",1,IF($Q2922=0,1,INDEX(COA_Mapping!$F$7:$F$256,$Q2922)))</f>
        <v>1</v>
      </c>
      <c r="P2922" s="34" t="str">
        <f aca="false">IF($A2922="","",$I2922*$O2922)</f>
        <v/>
      </c>
      <c r="Q2922" s="39" t="n">
        <f aca="false">IF($B2922="",0,IFERROR(MATCH($B2922,COA_Mapping!$A$7:$A$256,0),0))</f>
        <v>0</v>
      </c>
      <c r="R2922" s="39" t="n">
        <f aca="false">IF($A2922="",-1,IF($J2922=Setup!$B$7,1,IF($J2922=Setup!$B$9,0,-1)))</f>
        <v>-1</v>
      </c>
      <c r="S2922" s="35" t="n">
        <f aca="false">IF(OR($A2922="",$Q2922=0,$R2922=-1),0,$Q2922*1000+$R2922*100+$K2922)</f>
        <v>0</v>
      </c>
      <c r="T2922" s="37" t="str">
        <f aca="false">IF($A2922="","",IF($B2922="","NO ACCOUNT",IF($Q2922=0,"UNMAPPED",IF($R2922=-1,"OUTSIDE FY RANGE","OK"))))</f>
        <v/>
      </c>
      <c r="U2922" s="40" t="str">
        <f aca="false">IF($A2922="","",$B2922&amp;"|"&amp;TEXT($A2922,"yyyymmdd")&amp;"|"&amp;TEXT($I2922,"0.00"))</f>
        <v/>
      </c>
      <c r="V2922" s="35" t="str">
        <f aca="false">IF($A2922="","",COUNTIF($U$8:$U$5007,$U2922))</f>
        <v/>
      </c>
    </row>
    <row r="2923" customFormat="false" ht="15" hidden="false" customHeight="false" outlineLevel="0" collapsed="false">
      <c r="A2923" s="31"/>
      <c r="B2923" s="32"/>
      <c r="C2923" s="32"/>
      <c r="D2923" s="32"/>
      <c r="E2923" s="32"/>
      <c r="F2923" s="32"/>
      <c r="G2923" s="33"/>
      <c r="H2923" s="33"/>
      <c r="I2923" s="34" t="str">
        <f aca="false">IF($A2923="","",$G2923-$H2923)</f>
        <v/>
      </c>
      <c r="J2923" s="35" t="str">
        <f aca="false">IF($A2923="","",IF(Setup!$B$6=1,YEAR($A2923),YEAR($A2923)+IF(MONTH($A2923)&gt;=Setup!$B$6,1,0)))</f>
        <v/>
      </c>
      <c r="K2923" s="35" t="str">
        <f aca="false">IF($A2923="","",MOD(MONTH($A2923)-Setup!$B$6+12,12)+1)</f>
        <v/>
      </c>
      <c r="L2923" s="36" t="str">
        <f aca="false">IF($A2923="","",TEXT($A2923,"MMM-YY"))</f>
        <v/>
      </c>
      <c r="M2923" s="37" t="str">
        <f aca="false">IF($A2923="","",IF($Q2923=0,"UNMAPPED",INDEX(COA_Mapping!$C$7:$C$256,$Q2923)))</f>
        <v/>
      </c>
      <c r="N2923" s="38" t="str">
        <f aca="false">IF($A2923="","",IF($Q2923=0,"",INDEX(COA_Mapping!$E$7:$E$256,$Q2923)))</f>
        <v/>
      </c>
      <c r="O2923" s="38" t="n">
        <f aca="false">IF($A2923="",1,IF($Q2923=0,1,INDEX(COA_Mapping!$F$7:$F$256,$Q2923)))</f>
        <v>1</v>
      </c>
      <c r="P2923" s="34" t="str">
        <f aca="false">IF($A2923="","",$I2923*$O2923)</f>
        <v/>
      </c>
      <c r="Q2923" s="39" t="n">
        <f aca="false">IF($B2923="",0,IFERROR(MATCH($B2923,COA_Mapping!$A$7:$A$256,0),0))</f>
        <v>0</v>
      </c>
      <c r="R2923" s="39" t="n">
        <f aca="false">IF($A2923="",-1,IF($J2923=Setup!$B$7,1,IF($J2923=Setup!$B$9,0,-1)))</f>
        <v>-1</v>
      </c>
      <c r="S2923" s="35" t="n">
        <f aca="false">IF(OR($A2923="",$Q2923=0,$R2923=-1),0,$Q2923*1000+$R2923*100+$K2923)</f>
        <v>0</v>
      </c>
      <c r="T2923" s="37" t="str">
        <f aca="false">IF($A2923="","",IF($B2923="","NO ACCOUNT",IF($Q2923=0,"UNMAPPED",IF($R2923=-1,"OUTSIDE FY RANGE","OK"))))</f>
        <v/>
      </c>
      <c r="U2923" s="40" t="str">
        <f aca="false">IF($A2923="","",$B2923&amp;"|"&amp;TEXT($A2923,"yyyymmdd")&amp;"|"&amp;TEXT($I2923,"0.00"))</f>
        <v/>
      </c>
      <c r="V2923" s="35" t="str">
        <f aca="false">IF($A2923="","",COUNTIF($U$8:$U$5007,$U2923))</f>
        <v/>
      </c>
    </row>
    <row r="2924" customFormat="false" ht="15" hidden="false" customHeight="false" outlineLevel="0" collapsed="false">
      <c r="A2924" s="31"/>
      <c r="B2924" s="32"/>
      <c r="C2924" s="32"/>
      <c r="D2924" s="32"/>
      <c r="E2924" s="32"/>
      <c r="F2924" s="32"/>
      <c r="G2924" s="33"/>
      <c r="H2924" s="33"/>
      <c r="I2924" s="34" t="str">
        <f aca="false">IF($A2924="","",$G2924-$H2924)</f>
        <v/>
      </c>
      <c r="J2924" s="35" t="str">
        <f aca="false">IF($A2924="","",IF(Setup!$B$6=1,YEAR($A2924),YEAR($A2924)+IF(MONTH($A2924)&gt;=Setup!$B$6,1,0)))</f>
        <v/>
      </c>
      <c r="K2924" s="35" t="str">
        <f aca="false">IF($A2924="","",MOD(MONTH($A2924)-Setup!$B$6+12,12)+1)</f>
        <v/>
      </c>
      <c r="L2924" s="36" t="str">
        <f aca="false">IF($A2924="","",TEXT($A2924,"MMM-YY"))</f>
        <v/>
      </c>
      <c r="M2924" s="37" t="str">
        <f aca="false">IF($A2924="","",IF($Q2924=0,"UNMAPPED",INDEX(COA_Mapping!$C$7:$C$256,$Q2924)))</f>
        <v/>
      </c>
      <c r="N2924" s="38" t="str">
        <f aca="false">IF($A2924="","",IF($Q2924=0,"",INDEX(COA_Mapping!$E$7:$E$256,$Q2924)))</f>
        <v/>
      </c>
      <c r="O2924" s="38" t="n">
        <f aca="false">IF($A2924="",1,IF($Q2924=0,1,INDEX(COA_Mapping!$F$7:$F$256,$Q2924)))</f>
        <v>1</v>
      </c>
      <c r="P2924" s="34" t="str">
        <f aca="false">IF($A2924="","",$I2924*$O2924)</f>
        <v/>
      </c>
      <c r="Q2924" s="39" t="n">
        <f aca="false">IF($B2924="",0,IFERROR(MATCH($B2924,COA_Mapping!$A$7:$A$256,0),0))</f>
        <v>0</v>
      </c>
      <c r="R2924" s="39" t="n">
        <f aca="false">IF($A2924="",-1,IF($J2924=Setup!$B$7,1,IF($J2924=Setup!$B$9,0,-1)))</f>
        <v>-1</v>
      </c>
      <c r="S2924" s="35" t="n">
        <f aca="false">IF(OR($A2924="",$Q2924=0,$R2924=-1),0,$Q2924*1000+$R2924*100+$K2924)</f>
        <v>0</v>
      </c>
      <c r="T2924" s="37" t="str">
        <f aca="false">IF($A2924="","",IF($B2924="","NO ACCOUNT",IF($Q2924=0,"UNMAPPED",IF($R2924=-1,"OUTSIDE FY RANGE","OK"))))</f>
        <v/>
      </c>
      <c r="U2924" s="40" t="str">
        <f aca="false">IF($A2924="","",$B2924&amp;"|"&amp;TEXT($A2924,"yyyymmdd")&amp;"|"&amp;TEXT($I2924,"0.00"))</f>
        <v/>
      </c>
      <c r="V2924" s="35" t="str">
        <f aca="false">IF($A2924="","",COUNTIF($U$8:$U$5007,$U2924))</f>
        <v/>
      </c>
    </row>
    <row r="2925" customFormat="false" ht="15" hidden="false" customHeight="false" outlineLevel="0" collapsed="false">
      <c r="A2925" s="31"/>
      <c r="B2925" s="32"/>
      <c r="C2925" s="32"/>
      <c r="D2925" s="32"/>
      <c r="E2925" s="32"/>
      <c r="F2925" s="32"/>
      <c r="G2925" s="33"/>
      <c r="H2925" s="33"/>
      <c r="I2925" s="34" t="str">
        <f aca="false">IF($A2925="","",$G2925-$H2925)</f>
        <v/>
      </c>
      <c r="J2925" s="35" t="str">
        <f aca="false">IF($A2925="","",IF(Setup!$B$6=1,YEAR($A2925),YEAR($A2925)+IF(MONTH($A2925)&gt;=Setup!$B$6,1,0)))</f>
        <v/>
      </c>
      <c r="K2925" s="35" t="str">
        <f aca="false">IF($A2925="","",MOD(MONTH($A2925)-Setup!$B$6+12,12)+1)</f>
        <v/>
      </c>
      <c r="L2925" s="36" t="str">
        <f aca="false">IF($A2925="","",TEXT($A2925,"MMM-YY"))</f>
        <v/>
      </c>
      <c r="M2925" s="37" t="str">
        <f aca="false">IF($A2925="","",IF($Q2925=0,"UNMAPPED",INDEX(COA_Mapping!$C$7:$C$256,$Q2925)))</f>
        <v/>
      </c>
      <c r="N2925" s="38" t="str">
        <f aca="false">IF($A2925="","",IF($Q2925=0,"",INDEX(COA_Mapping!$E$7:$E$256,$Q2925)))</f>
        <v/>
      </c>
      <c r="O2925" s="38" t="n">
        <f aca="false">IF($A2925="",1,IF($Q2925=0,1,INDEX(COA_Mapping!$F$7:$F$256,$Q2925)))</f>
        <v>1</v>
      </c>
      <c r="P2925" s="34" t="str">
        <f aca="false">IF($A2925="","",$I2925*$O2925)</f>
        <v/>
      </c>
      <c r="Q2925" s="39" t="n">
        <f aca="false">IF($B2925="",0,IFERROR(MATCH($B2925,COA_Mapping!$A$7:$A$256,0),0))</f>
        <v>0</v>
      </c>
      <c r="R2925" s="39" t="n">
        <f aca="false">IF($A2925="",-1,IF($J2925=Setup!$B$7,1,IF($J2925=Setup!$B$9,0,-1)))</f>
        <v>-1</v>
      </c>
      <c r="S2925" s="35" t="n">
        <f aca="false">IF(OR($A2925="",$Q2925=0,$R2925=-1),0,$Q2925*1000+$R2925*100+$K2925)</f>
        <v>0</v>
      </c>
      <c r="T2925" s="37" t="str">
        <f aca="false">IF($A2925="","",IF($B2925="","NO ACCOUNT",IF($Q2925=0,"UNMAPPED",IF($R2925=-1,"OUTSIDE FY RANGE","OK"))))</f>
        <v/>
      </c>
      <c r="U2925" s="40" t="str">
        <f aca="false">IF($A2925="","",$B2925&amp;"|"&amp;TEXT($A2925,"yyyymmdd")&amp;"|"&amp;TEXT($I2925,"0.00"))</f>
        <v/>
      </c>
      <c r="V2925" s="35" t="str">
        <f aca="false">IF($A2925="","",COUNTIF($U$8:$U$5007,$U2925))</f>
        <v/>
      </c>
    </row>
    <row r="2926" customFormat="false" ht="15" hidden="false" customHeight="false" outlineLevel="0" collapsed="false">
      <c r="A2926" s="31"/>
      <c r="B2926" s="32"/>
      <c r="C2926" s="32"/>
      <c r="D2926" s="32"/>
      <c r="E2926" s="32"/>
      <c r="F2926" s="32"/>
      <c r="G2926" s="33"/>
      <c r="H2926" s="33"/>
      <c r="I2926" s="34" t="str">
        <f aca="false">IF($A2926="","",$G2926-$H2926)</f>
        <v/>
      </c>
      <c r="J2926" s="35" t="str">
        <f aca="false">IF($A2926="","",IF(Setup!$B$6=1,YEAR($A2926),YEAR($A2926)+IF(MONTH($A2926)&gt;=Setup!$B$6,1,0)))</f>
        <v/>
      </c>
      <c r="K2926" s="35" t="str">
        <f aca="false">IF($A2926="","",MOD(MONTH($A2926)-Setup!$B$6+12,12)+1)</f>
        <v/>
      </c>
      <c r="L2926" s="36" t="str">
        <f aca="false">IF($A2926="","",TEXT($A2926,"MMM-YY"))</f>
        <v/>
      </c>
      <c r="M2926" s="37" t="str">
        <f aca="false">IF($A2926="","",IF($Q2926=0,"UNMAPPED",INDEX(COA_Mapping!$C$7:$C$256,$Q2926)))</f>
        <v/>
      </c>
      <c r="N2926" s="38" t="str">
        <f aca="false">IF($A2926="","",IF($Q2926=0,"",INDEX(COA_Mapping!$E$7:$E$256,$Q2926)))</f>
        <v/>
      </c>
      <c r="O2926" s="38" t="n">
        <f aca="false">IF($A2926="",1,IF($Q2926=0,1,INDEX(COA_Mapping!$F$7:$F$256,$Q2926)))</f>
        <v>1</v>
      </c>
      <c r="P2926" s="34" t="str">
        <f aca="false">IF($A2926="","",$I2926*$O2926)</f>
        <v/>
      </c>
      <c r="Q2926" s="39" t="n">
        <f aca="false">IF($B2926="",0,IFERROR(MATCH($B2926,COA_Mapping!$A$7:$A$256,0),0))</f>
        <v>0</v>
      </c>
      <c r="R2926" s="39" t="n">
        <f aca="false">IF($A2926="",-1,IF($J2926=Setup!$B$7,1,IF($J2926=Setup!$B$9,0,-1)))</f>
        <v>-1</v>
      </c>
      <c r="S2926" s="35" t="n">
        <f aca="false">IF(OR($A2926="",$Q2926=0,$R2926=-1),0,$Q2926*1000+$R2926*100+$K2926)</f>
        <v>0</v>
      </c>
      <c r="T2926" s="37" t="str">
        <f aca="false">IF($A2926="","",IF($B2926="","NO ACCOUNT",IF($Q2926=0,"UNMAPPED",IF($R2926=-1,"OUTSIDE FY RANGE","OK"))))</f>
        <v/>
      </c>
      <c r="U2926" s="40" t="str">
        <f aca="false">IF($A2926="","",$B2926&amp;"|"&amp;TEXT($A2926,"yyyymmdd")&amp;"|"&amp;TEXT($I2926,"0.00"))</f>
        <v/>
      </c>
      <c r="V2926" s="35" t="str">
        <f aca="false">IF($A2926="","",COUNTIF($U$8:$U$5007,$U2926))</f>
        <v/>
      </c>
    </row>
    <row r="2927" customFormat="false" ht="15" hidden="false" customHeight="false" outlineLevel="0" collapsed="false">
      <c r="A2927" s="31"/>
      <c r="B2927" s="32"/>
      <c r="C2927" s="32"/>
      <c r="D2927" s="32"/>
      <c r="E2927" s="32"/>
      <c r="F2927" s="32"/>
      <c r="G2927" s="33"/>
      <c r="H2927" s="33"/>
      <c r="I2927" s="34" t="str">
        <f aca="false">IF($A2927="","",$G2927-$H2927)</f>
        <v/>
      </c>
      <c r="J2927" s="35" t="str">
        <f aca="false">IF($A2927="","",IF(Setup!$B$6=1,YEAR($A2927),YEAR($A2927)+IF(MONTH($A2927)&gt;=Setup!$B$6,1,0)))</f>
        <v/>
      </c>
      <c r="K2927" s="35" t="str">
        <f aca="false">IF($A2927="","",MOD(MONTH($A2927)-Setup!$B$6+12,12)+1)</f>
        <v/>
      </c>
      <c r="L2927" s="36" t="str">
        <f aca="false">IF($A2927="","",TEXT($A2927,"MMM-YY"))</f>
        <v/>
      </c>
      <c r="M2927" s="37" t="str">
        <f aca="false">IF($A2927="","",IF($Q2927=0,"UNMAPPED",INDEX(COA_Mapping!$C$7:$C$256,$Q2927)))</f>
        <v/>
      </c>
      <c r="N2927" s="38" t="str">
        <f aca="false">IF($A2927="","",IF($Q2927=0,"",INDEX(COA_Mapping!$E$7:$E$256,$Q2927)))</f>
        <v/>
      </c>
      <c r="O2927" s="38" t="n">
        <f aca="false">IF($A2927="",1,IF($Q2927=0,1,INDEX(COA_Mapping!$F$7:$F$256,$Q2927)))</f>
        <v>1</v>
      </c>
      <c r="P2927" s="34" t="str">
        <f aca="false">IF($A2927="","",$I2927*$O2927)</f>
        <v/>
      </c>
      <c r="Q2927" s="39" t="n">
        <f aca="false">IF($B2927="",0,IFERROR(MATCH($B2927,COA_Mapping!$A$7:$A$256,0),0))</f>
        <v>0</v>
      </c>
      <c r="R2927" s="39" t="n">
        <f aca="false">IF($A2927="",-1,IF($J2927=Setup!$B$7,1,IF($J2927=Setup!$B$9,0,-1)))</f>
        <v>-1</v>
      </c>
      <c r="S2927" s="35" t="n">
        <f aca="false">IF(OR($A2927="",$Q2927=0,$R2927=-1),0,$Q2927*1000+$R2927*100+$K2927)</f>
        <v>0</v>
      </c>
      <c r="T2927" s="37" t="str">
        <f aca="false">IF($A2927="","",IF($B2927="","NO ACCOUNT",IF($Q2927=0,"UNMAPPED",IF($R2927=-1,"OUTSIDE FY RANGE","OK"))))</f>
        <v/>
      </c>
      <c r="U2927" s="40" t="str">
        <f aca="false">IF($A2927="","",$B2927&amp;"|"&amp;TEXT($A2927,"yyyymmdd")&amp;"|"&amp;TEXT($I2927,"0.00"))</f>
        <v/>
      </c>
      <c r="V2927" s="35" t="str">
        <f aca="false">IF($A2927="","",COUNTIF($U$8:$U$5007,$U2927))</f>
        <v/>
      </c>
    </row>
    <row r="2928" customFormat="false" ht="15" hidden="false" customHeight="false" outlineLevel="0" collapsed="false">
      <c r="A2928" s="31"/>
      <c r="B2928" s="32"/>
      <c r="C2928" s="32"/>
      <c r="D2928" s="32"/>
      <c r="E2928" s="32"/>
      <c r="F2928" s="32"/>
      <c r="G2928" s="33"/>
      <c r="H2928" s="33"/>
      <c r="I2928" s="34" t="str">
        <f aca="false">IF($A2928="","",$G2928-$H2928)</f>
        <v/>
      </c>
      <c r="J2928" s="35" t="str">
        <f aca="false">IF($A2928="","",IF(Setup!$B$6=1,YEAR($A2928),YEAR($A2928)+IF(MONTH($A2928)&gt;=Setup!$B$6,1,0)))</f>
        <v/>
      </c>
      <c r="K2928" s="35" t="str">
        <f aca="false">IF($A2928="","",MOD(MONTH($A2928)-Setup!$B$6+12,12)+1)</f>
        <v/>
      </c>
      <c r="L2928" s="36" t="str">
        <f aca="false">IF($A2928="","",TEXT($A2928,"MMM-YY"))</f>
        <v/>
      </c>
      <c r="M2928" s="37" t="str">
        <f aca="false">IF($A2928="","",IF($Q2928=0,"UNMAPPED",INDEX(COA_Mapping!$C$7:$C$256,$Q2928)))</f>
        <v/>
      </c>
      <c r="N2928" s="38" t="str">
        <f aca="false">IF($A2928="","",IF($Q2928=0,"",INDEX(COA_Mapping!$E$7:$E$256,$Q2928)))</f>
        <v/>
      </c>
      <c r="O2928" s="38" t="n">
        <f aca="false">IF($A2928="",1,IF($Q2928=0,1,INDEX(COA_Mapping!$F$7:$F$256,$Q2928)))</f>
        <v>1</v>
      </c>
      <c r="P2928" s="34" t="str">
        <f aca="false">IF($A2928="","",$I2928*$O2928)</f>
        <v/>
      </c>
      <c r="Q2928" s="39" t="n">
        <f aca="false">IF($B2928="",0,IFERROR(MATCH($B2928,COA_Mapping!$A$7:$A$256,0),0))</f>
        <v>0</v>
      </c>
      <c r="R2928" s="39" t="n">
        <f aca="false">IF($A2928="",-1,IF($J2928=Setup!$B$7,1,IF($J2928=Setup!$B$9,0,-1)))</f>
        <v>-1</v>
      </c>
      <c r="S2928" s="35" t="n">
        <f aca="false">IF(OR($A2928="",$Q2928=0,$R2928=-1),0,$Q2928*1000+$R2928*100+$K2928)</f>
        <v>0</v>
      </c>
      <c r="T2928" s="37" t="str">
        <f aca="false">IF($A2928="","",IF($B2928="","NO ACCOUNT",IF($Q2928=0,"UNMAPPED",IF($R2928=-1,"OUTSIDE FY RANGE","OK"))))</f>
        <v/>
      </c>
      <c r="U2928" s="40" t="str">
        <f aca="false">IF($A2928="","",$B2928&amp;"|"&amp;TEXT($A2928,"yyyymmdd")&amp;"|"&amp;TEXT($I2928,"0.00"))</f>
        <v/>
      </c>
      <c r="V2928" s="35" t="str">
        <f aca="false">IF($A2928="","",COUNTIF($U$8:$U$5007,$U2928))</f>
        <v/>
      </c>
    </row>
    <row r="2929" customFormat="false" ht="15" hidden="false" customHeight="false" outlineLevel="0" collapsed="false">
      <c r="A2929" s="31"/>
      <c r="B2929" s="32"/>
      <c r="C2929" s="32"/>
      <c r="D2929" s="32"/>
      <c r="E2929" s="32"/>
      <c r="F2929" s="32"/>
      <c r="G2929" s="33"/>
      <c r="H2929" s="33"/>
      <c r="I2929" s="34" t="str">
        <f aca="false">IF($A2929="","",$G2929-$H2929)</f>
        <v/>
      </c>
      <c r="J2929" s="35" t="str">
        <f aca="false">IF($A2929="","",IF(Setup!$B$6=1,YEAR($A2929),YEAR($A2929)+IF(MONTH($A2929)&gt;=Setup!$B$6,1,0)))</f>
        <v/>
      </c>
      <c r="K2929" s="35" t="str">
        <f aca="false">IF($A2929="","",MOD(MONTH($A2929)-Setup!$B$6+12,12)+1)</f>
        <v/>
      </c>
      <c r="L2929" s="36" t="str">
        <f aca="false">IF($A2929="","",TEXT($A2929,"MMM-YY"))</f>
        <v/>
      </c>
      <c r="M2929" s="37" t="str">
        <f aca="false">IF($A2929="","",IF($Q2929=0,"UNMAPPED",INDEX(COA_Mapping!$C$7:$C$256,$Q2929)))</f>
        <v/>
      </c>
      <c r="N2929" s="38" t="str">
        <f aca="false">IF($A2929="","",IF($Q2929=0,"",INDEX(COA_Mapping!$E$7:$E$256,$Q2929)))</f>
        <v/>
      </c>
      <c r="O2929" s="38" t="n">
        <f aca="false">IF($A2929="",1,IF($Q2929=0,1,INDEX(COA_Mapping!$F$7:$F$256,$Q2929)))</f>
        <v>1</v>
      </c>
      <c r="P2929" s="34" t="str">
        <f aca="false">IF($A2929="","",$I2929*$O2929)</f>
        <v/>
      </c>
      <c r="Q2929" s="39" t="n">
        <f aca="false">IF($B2929="",0,IFERROR(MATCH($B2929,COA_Mapping!$A$7:$A$256,0),0))</f>
        <v>0</v>
      </c>
      <c r="R2929" s="39" t="n">
        <f aca="false">IF($A2929="",-1,IF($J2929=Setup!$B$7,1,IF($J2929=Setup!$B$9,0,-1)))</f>
        <v>-1</v>
      </c>
      <c r="S2929" s="35" t="n">
        <f aca="false">IF(OR($A2929="",$Q2929=0,$R2929=-1),0,$Q2929*1000+$R2929*100+$K2929)</f>
        <v>0</v>
      </c>
      <c r="T2929" s="37" t="str">
        <f aca="false">IF($A2929="","",IF($B2929="","NO ACCOUNT",IF($Q2929=0,"UNMAPPED",IF($R2929=-1,"OUTSIDE FY RANGE","OK"))))</f>
        <v/>
      </c>
      <c r="U2929" s="40" t="str">
        <f aca="false">IF($A2929="","",$B2929&amp;"|"&amp;TEXT($A2929,"yyyymmdd")&amp;"|"&amp;TEXT($I2929,"0.00"))</f>
        <v/>
      </c>
      <c r="V2929" s="35" t="str">
        <f aca="false">IF($A2929="","",COUNTIF($U$8:$U$5007,$U2929))</f>
        <v/>
      </c>
    </row>
    <row r="2930" customFormat="false" ht="15" hidden="false" customHeight="false" outlineLevel="0" collapsed="false">
      <c r="A2930" s="31"/>
      <c r="B2930" s="32"/>
      <c r="C2930" s="32"/>
      <c r="D2930" s="32"/>
      <c r="E2930" s="32"/>
      <c r="F2930" s="32"/>
      <c r="G2930" s="33"/>
      <c r="H2930" s="33"/>
      <c r="I2930" s="34" t="str">
        <f aca="false">IF($A2930="","",$G2930-$H2930)</f>
        <v/>
      </c>
      <c r="J2930" s="35" t="str">
        <f aca="false">IF($A2930="","",IF(Setup!$B$6=1,YEAR($A2930),YEAR($A2930)+IF(MONTH($A2930)&gt;=Setup!$B$6,1,0)))</f>
        <v/>
      </c>
      <c r="K2930" s="35" t="str">
        <f aca="false">IF($A2930="","",MOD(MONTH($A2930)-Setup!$B$6+12,12)+1)</f>
        <v/>
      </c>
      <c r="L2930" s="36" t="str">
        <f aca="false">IF($A2930="","",TEXT($A2930,"MMM-YY"))</f>
        <v/>
      </c>
      <c r="M2930" s="37" t="str">
        <f aca="false">IF($A2930="","",IF($Q2930=0,"UNMAPPED",INDEX(COA_Mapping!$C$7:$C$256,$Q2930)))</f>
        <v/>
      </c>
      <c r="N2930" s="38" t="str">
        <f aca="false">IF($A2930="","",IF($Q2930=0,"",INDEX(COA_Mapping!$E$7:$E$256,$Q2930)))</f>
        <v/>
      </c>
      <c r="O2930" s="38" t="n">
        <f aca="false">IF($A2930="",1,IF($Q2930=0,1,INDEX(COA_Mapping!$F$7:$F$256,$Q2930)))</f>
        <v>1</v>
      </c>
      <c r="P2930" s="34" t="str">
        <f aca="false">IF($A2930="","",$I2930*$O2930)</f>
        <v/>
      </c>
      <c r="Q2930" s="39" t="n">
        <f aca="false">IF($B2930="",0,IFERROR(MATCH($B2930,COA_Mapping!$A$7:$A$256,0),0))</f>
        <v>0</v>
      </c>
      <c r="R2930" s="39" t="n">
        <f aca="false">IF($A2930="",-1,IF($J2930=Setup!$B$7,1,IF($J2930=Setup!$B$9,0,-1)))</f>
        <v>-1</v>
      </c>
      <c r="S2930" s="35" t="n">
        <f aca="false">IF(OR($A2930="",$Q2930=0,$R2930=-1),0,$Q2930*1000+$R2930*100+$K2930)</f>
        <v>0</v>
      </c>
      <c r="T2930" s="37" t="str">
        <f aca="false">IF($A2930="","",IF($B2930="","NO ACCOUNT",IF($Q2930=0,"UNMAPPED",IF($R2930=-1,"OUTSIDE FY RANGE","OK"))))</f>
        <v/>
      </c>
      <c r="U2930" s="40" t="str">
        <f aca="false">IF($A2930="","",$B2930&amp;"|"&amp;TEXT($A2930,"yyyymmdd")&amp;"|"&amp;TEXT($I2930,"0.00"))</f>
        <v/>
      </c>
      <c r="V2930" s="35" t="str">
        <f aca="false">IF($A2930="","",COUNTIF($U$8:$U$5007,$U2930))</f>
        <v/>
      </c>
    </row>
    <row r="2931" customFormat="false" ht="15" hidden="false" customHeight="false" outlineLevel="0" collapsed="false">
      <c r="A2931" s="31"/>
      <c r="B2931" s="32"/>
      <c r="C2931" s="32"/>
      <c r="D2931" s="32"/>
      <c r="E2931" s="32"/>
      <c r="F2931" s="32"/>
      <c r="G2931" s="33"/>
      <c r="H2931" s="33"/>
      <c r="I2931" s="34" t="str">
        <f aca="false">IF($A2931="","",$G2931-$H2931)</f>
        <v/>
      </c>
      <c r="J2931" s="35" t="str">
        <f aca="false">IF($A2931="","",IF(Setup!$B$6=1,YEAR($A2931),YEAR($A2931)+IF(MONTH($A2931)&gt;=Setup!$B$6,1,0)))</f>
        <v/>
      </c>
      <c r="K2931" s="35" t="str">
        <f aca="false">IF($A2931="","",MOD(MONTH($A2931)-Setup!$B$6+12,12)+1)</f>
        <v/>
      </c>
      <c r="L2931" s="36" t="str">
        <f aca="false">IF($A2931="","",TEXT($A2931,"MMM-YY"))</f>
        <v/>
      </c>
      <c r="M2931" s="37" t="str">
        <f aca="false">IF($A2931="","",IF($Q2931=0,"UNMAPPED",INDEX(COA_Mapping!$C$7:$C$256,$Q2931)))</f>
        <v/>
      </c>
      <c r="N2931" s="38" t="str">
        <f aca="false">IF($A2931="","",IF($Q2931=0,"",INDEX(COA_Mapping!$E$7:$E$256,$Q2931)))</f>
        <v/>
      </c>
      <c r="O2931" s="38" t="n">
        <f aca="false">IF($A2931="",1,IF($Q2931=0,1,INDEX(COA_Mapping!$F$7:$F$256,$Q2931)))</f>
        <v>1</v>
      </c>
      <c r="P2931" s="34" t="str">
        <f aca="false">IF($A2931="","",$I2931*$O2931)</f>
        <v/>
      </c>
      <c r="Q2931" s="39" t="n">
        <f aca="false">IF($B2931="",0,IFERROR(MATCH($B2931,COA_Mapping!$A$7:$A$256,0),0))</f>
        <v>0</v>
      </c>
      <c r="R2931" s="39" t="n">
        <f aca="false">IF($A2931="",-1,IF($J2931=Setup!$B$7,1,IF($J2931=Setup!$B$9,0,-1)))</f>
        <v>-1</v>
      </c>
      <c r="S2931" s="35" t="n">
        <f aca="false">IF(OR($A2931="",$Q2931=0,$R2931=-1),0,$Q2931*1000+$R2931*100+$K2931)</f>
        <v>0</v>
      </c>
      <c r="T2931" s="37" t="str">
        <f aca="false">IF($A2931="","",IF($B2931="","NO ACCOUNT",IF($Q2931=0,"UNMAPPED",IF($R2931=-1,"OUTSIDE FY RANGE","OK"))))</f>
        <v/>
      </c>
      <c r="U2931" s="40" t="str">
        <f aca="false">IF($A2931="","",$B2931&amp;"|"&amp;TEXT($A2931,"yyyymmdd")&amp;"|"&amp;TEXT($I2931,"0.00"))</f>
        <v/>
      </c>
      <c r="V2931" s="35" t="str">
        <f aca="false">IF($A2931="","",COUNTIF($U$8:$U$5007,$U2931))</f>
        <v/>
      </c>
    </row>
    <row r="2932" customFormat="false" ht="15" hidden="false" customHeight="false" outlineLevel="0" collapsed="false">
      <c r="A2932" s="31"/>
      <c r="B2932" s="32"/>
      <c r="C2932" s="32"/>
      <c r="D2932" s="32"/>
      <c r="E2932" s="32"/>
      <c r="F2932" s="32"/>
      <c r="G2932" s="33"/>
      <c r="H2932" s="33"/>
      <c r="I2932" s="34" t="str">
        <f aca="false">IF($A2932="","",$G2932-$H2932)</f>
        <v/>
      </c>
      <c r="J2932" s="35" t="str">
        <f aca="false">IF($A2932="","",IF(Setup!$B$6=1,YEAR($A2932),YEAR($A2932)+IF(MONTH($A2932)&gt;=Setup!$B$6,1,0)))</f>
        <v/>
      </c>
      <c r="K2932" s="35" t="str">
        <f aca="false">IF($A2932="","",MOD(MONTH($A2932)-Setup!$B$6+12,12)+1)</f>
        <v/>
      </c>
      <c r="L2932" s="36" t="str">
        <f aca="false">IF($A2932="","",TEXT($A2932,"MMM-YY"))</f>
        <v/>
      </c>
      <c r="M2932" s="37" t="str">
        <f aca="false">IF($A2932="","",IF($Q2932=0,"UNMAPPED",INDEX(COA_Mapping!$C$7:$C$256,$Q2932)))</f>
        <v/>
      </c>
      <c r="N2932" s="38" t="str">
        <f aca="false">IF($A2932="","",IF($Q2932=0,"",INDEX(COA_Mapping!$E$7:$E$256,$Q2932)))</f>
        <v/>
      </c>
      <c r="O2932" s="38" t="n">
        <f aca="false">IF($A2932="",1,IF($Q2932=0,1,INDEX(COA_Mapping!$F$7:$F$256,$Q2932)))</f>
        <v>1</v>
      </c>
      <c r="P2932" s="34" t="str">
        <f aca="false">IF($A2932="","",$I2932*$O2932)</f>
        <v/>
      </c>
      <c r="Q2932" s="39" t="n">
        <f aca="false">IF($B2932="",0,IFERROR(MATCH($B2932,COA_Mapping!$A$7:$A$256,0),0))</f>
        <v>0</v>
      </c>
      <c r="R2932" s="39" t="n">
        <f aca="false">IF($A2932="",-1,IF($J2932=Setup!$B$7,1,IF($J2932=Setup!$B$9,0,-1)))</f>
        <v>-1</v>
      </c>
      <c r="S2932" s="35" t="n">
        <f aca="false">IF(OR($A2932="",$Q2932=0,$R2932=-1),0,$Q2932*1000+$R2932*100+$K2932)</f>
        <v>0</v>
      </c>
      <c r="T2932" s="37" t="str">
        <f aca="false">IF($A2932="","",IF($B2932="","NO ACCOUNT",IF($Q2932=0,"UNMAPPED",IF($R2932=-1,"OUTSIDE FY RANGE","OK"))))</f>
        <v/>
      </c>
      <c r="U2932" s="40" t="str">
        <f aca="false">IF($A2932="","",$B2932&amp;"|"&amp;TEXT($A2932,"yyyymmdd")&amp;"|"&amp;TEXT($I2932,"0.00"))</f>
        <v/>
      </c>
      <c r="V2932" s="35" t="str">
        <f aca="false">IF($A2932="","",COUNTIF($U$8:$U$5007,$U2932))</f>
        <v/>
      </c>
    </row>
    <row r="2933" customFormat="false" ht="15" hidden="false" customHeight="false" outlineLevel="0" collapsed="false">
      <c r="A2933" s="31"/>
      <c r="B2933" s="32"/>
      <c r="C2933" s="32"/>
      <c r="D2933" s="32"/>
      <c r="E2933" s="32"/>
      <c r="F2933" s="32"/>
      <c r="G2933" s="33"/>
      <c r="H2933" s="33"/>
      <c r="I2933" s="34" t="str">
        <f aca="false">IF($A2933="","",$G2933-$H2933)</f>
        <v/>
      </c>
      <c r="J2933" s="35" t="str">
        <f aca="false">IF($A2933="","",IF(Setup!$B$6=1,YEAR($A2933),YEAR($A2933)+IF(MONTH($A2933)&gt;=Setup!$B$6,1,0)))</f>
        <v/>
      </c>
      <c r="K2933" s="35" t="str">
        <f aca="false">IF($A2933="","",MOD(MONTH($A2933)-Setup!$B$6+12,12)+1)</f>
        <v/>
      </c>
      <c r="L2933" s="36" t="str">
        <f aca="false">IF($A2933="","",TEXT($A2933,"MMM-YY"))</f>
        <v/>
      </c>
      <c r="M2933" s="37" t="str">
        <f aca="false">IF($A2933="","",IF($Q2933=0,"UNMAPPED",INDEX(COA_Mapping!$C$7:$C$256,$Q2933)))</f>
        <v/>
      </c>
      <c r="N2933" s="38" t="str">
        <f aca="false">IF($A2933="","",IF($Q2933=0,"",INDEX(COA_Mapping!$E$7:$E$256,$Q2933)))</f>
        <v/>
      </c>
      <c r="O2933" s="38" t="n">
        <f aca="false">IF($A2933="",1,IF($Q2933=0,1,INDEX(COA_Mapping!$F$7:$F$256,$Q2933)))</f>
        <v>1</v>
      </c>
      <c r="P2933" s="34" t="str">
        <f aca="false">IF($A2933="","",$I2933*$O2933)</f>
        <v/>
      </c>
      <c r="Q2933" s="39" t="n">
        <f aca="false">IF($B2933="",0,IFERROR(MATCH($B2933,COA_Mapping!$A$7:$A$256,0),0))</f>
        <v>0</v>
      </c>
      <c r="R2933" s="39" t="n">
        <f aca="false">IF($A2933="",-1,IF($J2933=Setup!$B$7,1,IF($J2933=Setup!$B$9,0,-1)))</f>
        <v>-1</v>
      </c>
      <c r="S2933" s="35" t="n">
        <f aca="false">IF(OR($A2933="",$Q2933=0,$R2933=-1),0,$Q2933*1000+$R2933*100+$K2933)</f>
        <v>0</v>
      </c>
      <c r="T2933" s="37" t="str">
        <f aca="false">IF($A2933="","",IF($B2933="","NO ACCOUNT",IF($Q2933=0,"UNMAPPED",IF($R2933=-1,"OUTSIDE FY RANGE","OK"))))</f>
        <v/>
      </c>
      <c r="U2933" s="40" t="str">
        <f aca="false">IF($A2933="","",$B2933&amp;"|"&amp;TEXT($A2933,"yyyymmdd")&amp;"|"&amp;TEXT($I2933,"0.00"))</f>
        <v/>
      </c>
      <c r="V2933" s="35" t="str">
        <f aca="false">IF($A2933="","",COUNTIF($U$8:$U$5007,$U2933))</f>
        <v/>
      </c>
    </row>
    <row r="2934" customFormat="false" ht="15" hidden="false" customHeight="false" outlineLevel="0" collapsed="false">
      <c r="A2934" s="31"/>
      <c r="B2934" s="32"/>
      <c r="C2934" s="32"/>
      <c r="D2934" s="32"/>
      <c r="E2934" s="32"/>
      <c r="F2934" s="32"/>
      <c r="G2934" s="33"/>
      <c r="H2934" s="33"/>
      <c r="I2934" s="34" t="str">
        <f aca="false">IF($A2934="","",$G2934-$H2934)</f>
        <v/>
      </c>
      <c r="J2934" s="35" t="str">
        <f aca="false">IF($A2934="","",IF(Setup!$B$6=1,YEAR($A2934),YEAR($A2934)+IF(MONTH($A2934)&gt;=Setup!$B$6,1,0)))</f>
        <v/>
      </c>
      <c r="K2934" s="35" t="str">
        <f aca="false">IF($A2934="","",MOD(MONTH($A2934)-Setup!$B$6+12,12)+1)</f>
        <v/>
      </c>
      <c r="L2934" s="36" t="str">
        <f aca="false">IF($A2934="","",TEXT($A2934,"MMM-YY"))</f>
        <v/>
      </c>
      <c r="M2934" s="37" t="str">
        <f aca="false">IF($A2934="","",IF($Q2934=0,"UNMAPPED",INDEX(COA_Mapping!$C$7:$C$256,$Q2934)))</f>
        <v/>
      </c>
      <c r="N2934" s="38" t="str">
        <f aca="false">IF($A2934="","",IF($Q2934=0,"",INDEX(COA_Mapping!$E$7:$E$256,$Q2934)))</f>
        <v/>
      </c>
      <c r="O2934" s="38" t="n">
        <f aca="false">IF($A2934="",1,IF($Q2934=0,1,INDEX(COA_Mapping!$F$7:$F$256,$Q2934)))</f>
        <v>1</v>
      </c>
      <c r="P2934" s="34" t="str">
        <f aca="false">IF($A2934="","",$I2934*$O2934)</f>
        <v/>
      </c>
      <c r="Q2934" s="39" t="n">
        <f aca="false">IF($B2934="",0,IFERROR(MATCH($B2934,COA_Mapping!$A$7:$A$256,0),0))</f>
        <v>0</v>
      </c>
      <c r="R2934" s="39" t="n">
        <f aca="false">IF($A2934="",-1,IF($J2934=Setup!$B$7,1,IF($J2934=Setup!$B$9,0,-1)))</f>
        <v>-1</v>
      </c>
      <c r="S2934" s="35" t="n">
        <f aca="false">IF(OR($A2934="",$Q2934=0,$R2934=-1),0,$Q2934*1000+$R2934*100+$K2934)</f>
        <v>0</v>
      </c>
      <c r="T2934" s="37" t="str">
        <f aca="false">IF($A2934="","",IF($B2934="","NO ACCOUNT",IF($Q2934=0,"UNMAPPED",IF($R2934=-1,"OUTSIDE FY RANGE","OK"))))</f>
        <v/>
      </c>
      <c r="U2934" s="40" t="str">
        <f aca="false">IF($A2934="","",$B2934&amp;"|"&amp;TEXT($A2934,"yyyymmdd")&amp;"|"&amp;TEXT($I2934,"0.00"))</f>
        <v/>
      </c>
      <c r="V2934" s="35" t="str">
        <f aca="false">IF($A2934="","",COUNTIF($U$8:$U$5007,$U2934))</f>
        <v/>
      </c>
    </row>
    <row r="2935" customFormat="false" ht="15" hidden="false" customHeight="false" outlineLevel="0" collapsed="false">
      <c r="A2935" s="31"/>
      <c r="B2935" s="32"/>
      <c r="C2935" s="32"/>
      <c r="D2935" s="32"/>
      <c r="E2935" s="32"/>
      <c r="F2935" s="32"/>
      <c r="G2935" s="33"/>
      <c r="H2935" s="33"/>
      <c r="I2935" s="34" t="str">
        <f aca="false">IF($A2935="","",$G2935-$H2935)</f>
        <v/>
      </c>
      <c r="J2935" s="35" t="str">
        <f aca="false">IF($A2935="","",IF(Setup!$B$6=1,YEAR($A2935),YEAR($A2935)+IF(MONTH($A2935)&gt;=Setup!$B$6,1,0)))</f>
        <v/>
      </c>
      <c r="K2935" s="35" t="str">
        <f aca="false">IF($A2935="","",MOD(MONTH($A2935)-Setup!$B$6+12,12)+1)</f>
        <v/>
      </c>
      <c r="L2935" s="36" t="str">
        <f aca="false">IF($A2935="","",TEXT($A2935,"MMM-YY"))</f>
        <v/>
      </c>
      <c r="M2935" s="37" t="str">
        <f aca="false">IF($A2935="","",IF($Q2935=0,"UNMAPPED",INDEX(COA_Mapping!$C$7:$C$256,$Q2935)))</f>
        <v/>
      </c>
      <c r="N2935" s="38" t="str">
        <f aca="false">IF($A2935="","",IF($Q2935=0,"",INDEX(COA_Mapping!$E$7:$E$256,$Q2935)))</f>
        <v/>
      </c>
      <c r="O2935" s="38" t="n">
        <f aca="false">IF($A2935="",1,IF($Q2935=0,1,INDEX(COA_Mapping!$F$7:$F$256,$Q2935)))</f>
        <v>1</v>
      </c>
      <c r="P2935" s="34" t="str">
        <f aca="false">IF($A2935="","",$I2935*$O2935)</f>
        <v/>
      </c>
      <c r="Q2935" s="39" t="n">
        <f aca="false">IF($B2935="",0,IFERROR(MATCH($B2935,COA_Mapping!$A$7:$A$256,0),0))</f>
        <v>0</v>
      </c>
      <c r="R2935" s="39" t="n">
        <f aca="false">IF($A2935="",-1,IF($J2935=Setup!$B$7,1,IF($J2935=Setup!$B$9,0,-1)))</f>
        <v>-1</v>
      </c>
      <c r="S2935" s="35" t="n">
        <f aca="false">IF(OR($A2935="",$Q2935=0,$R2935=-1),0,$Q2935*1000+$R2935*100+$K2935)</f>
        <v>0</v>
      </c>
      <c r="T2935" s="37" t="str">
        <f aca="false">IF($A2935="","",IF($B2935="","NO ACCOUNT",IF($Q2935=0,"UNMAPPED",IF($R2935=-1,"OUTSIDE FY RANGE","OK"))))</f>
        <v/>
      </c>
      <c r="U2935" s="40" t="str">
        <f aca="false">IF($A2935="","",$B2935&amp;"|"&amp;TEXT($A2935,"yyyymmdd")&amp;"|"&amp;TEXT($I2935,"0.00"))</f>
        <v/>
      </c>
      <c r="V2935" s="35" t="str">
        <f aca="false">IF($A2935="","",COUNTIF($U$8:$U$5007,$U2935))</f>
        <v/>
      </c>
    </row>
    <row r="2936" customFormat="false" ht="15" hidden="false" customHeight="false" outlineLevel="0" collapsed="false">
      <c r="A2936" s="31"/>
      <c r="B2936" s="32"/>
      <c r="C2936" s="32"/>
      <c r="D2936" s="32"/>
      <c r="E2936" s="32"/>
      <c r="F2936" s="32"/>
      <c r="G2936" s="33"/>
      <c r="H2936" s="33"/>
      <c r="I2936" s="34" t="str">
        <f aca="false">IF($A2936="","",$G2936-$H2936)</f>
        <v/>
      </c>
      <c r="J2936" s="35" t="str">
        <f aca="false">IF($A2936="","",IF(Setup!$B$6=1,YEAR($A2936),YEAR($A2936)+IF(MONTH($A2936)&gt;=Setup!$B$6,1,0)))</f>
        <v/>
      </c>
      <c r="K2936" s="35" t="str">
        <f aca="false">IF($A2936="","",MOD(MONTH($A2936)-Setup!$B$6+12,12)+1)</f>
        <v/>
      </c>
      <c r="L2936" s="36" t="str">
        <f aca="false">IF($A2936="","",TEXT($A2936,"MMM-YY"))</f>
        <v/>
      </c>
      <c r="M2936" s="37" t="str">
        <f aca="false">IF($A2936="","",IF($Q2936=0,"UNMAPPED",INDEX(COA_Mapping!$C$7:$C$256,$Q2936)))</f>
        <v/>
      </c>
      <c r="N2936" s="38" t="str">
        <f aca="false">IF($A2936="","",IF($Q2936=0,"",INDEX(COA_Mapping!$E$7:$E$256,$Q2936)))</f>
        <v/>
      </c>
      <c r="O2936" s="38" t="n">
        <f aca="false">IF($A2936="",1,IF($Q2936=0,1,INDEX(COA_Mapping!$F$7:$F$256,$Q2936)))</f>
        <v>1</v>
      </c>
      <c r="P2936" s="34" t="str">
        <f aca="false">IF($A2936="","",$I2936*$O2936)</f>
        <v/>
      </c>
      <c r="Q2936" s="39" t="n">
        <f aca="false">IF($B2936="",0,IFERROR(MATCH($B2936,COA_Mapping!$A$7:$A$256,0),0))</f>
        <v>0</v>
      </c>
      <c r="R2936" s="39" t="n">
        <f aca="false">IF($A2936="",-1,IF($J2936=Setup!$B$7,1,IF($J2936=Setup!$B$9,0,-1)))</f>
        <v>-1</v>
      </c>
      <c r="S2936" s="35" t="n">
        <f aca="false">IF(OR($A2936="",$Q2936=0,$R2936=-1),0,$Q2936*1000+$R2936*100+$K2936)</f>
        <v>0</v>
      </c>
      <c r="T2936" s="37" t="str">
        <f aca="false">IF($A2936="","",IF($B2936="","NO ACCOUNT",IF($Q2936=0,"UNMAPPED",IF($R2936=-1,"OUTSIDE FY RANGE","OK"))))</f>
        <v/>
      </c>
      <c r="U2936" s="40" t="str">
        <f aca="false">IF($A2936="","",$B2936&amp;"|"&amp;TEXT($A2936,"yyyymmdd")&amp;"|"&amp;TEXT($I2936,"0.00"))</f>
        <v/>
      </c>
      <c r="V2936" s="35" t="str">
        <f aca="false">IF($A2936="","",COUNTIF($U$8:$U$5007,$U2936))</f>
        <v/>
      </c>
    </row>
    <row r="2937" customFormat="false" ht="15" hidden="false" customHeight="false" outlineLevel="0" collapsed="false">
      <c r="A2937" s="31"/>
      <c r="B2937" s="32"/>
      <c r="C2937" s="32"/>
      <c r="D2937" s="32"/>
      <c r="E2937" s="32"/>
      <c r="F2937" s="32"/>
      <c r="G2937" s="33"/>
      <c r="H2937" s="33"/>
      <c r="I2937" s="34" t="str">
        <f aca="false">IF($A2937="","",$G2937-$H2937)</f>
        <v/>
      </c>
      <c r="J2937" s="35" t="str">
        <f aca="false">IF($A2937="","",IF(Setup!$B$6=1,YEAR($A2937),YEAR($A2937)+IF(MONTH($A2937)&gt;=Setup!$B$6,1,0)))</f>
        <v/>
      </c>
      <c r="K2937" s="35" t="str">
        <f aca="false">IF($A2937="","",MOD(MONTH($A2937)-Setup!$B$6+12,12)+1)</f>
        <v/>
      </c>
      <c r="L2937" s="36" t="str">
        <f aca="false">IF($A2937="","",TEXT($A2937,"MMM-YY"))</f>
        <v/>
      </c>
      <c r="M2937" s="37" t="str">
        <f aca="false">IF($A2937="","",IF($Q2937=0,"UNMAPPED",INDEX(COA_Mapping!$C$7:$C$256,$Q2937)))</f>
        <v/>
      </c>
      <c r="N2937" s="38" t="str">
        <f aca="false">IF($A2937="","",IF($Q2937=0,"",INDEX(COA_Mapping!$E$7:$E$256,$Q2937)))</f>
        <v/>
      </c>
      <c r="O2937" s="38" t="n">
        <f aca="false">IF($A2937="",1,IF($Q2937=0,1,INDEX(COA_Mapping!$F$7:$F$256,$Q2937)))</f>
        <v>1</v>
      </c>
      <c r="P2937" s="34" t="str">
        <f aca="false">IF($A2937="","",$I2937*$O2937)</f>
        <v/>
      </c>
      <c r="Q2937" s="39" t="n">
        <f aca="false">IF($B2937="",0,IFERROR(MATCH($B2937,COA_Mapping!$A$7:$A$256,0),0))</f>
        <v>0</v>
      </c>
      <c r="R2937" s="39" t="n">
        <f aca="false">IF($A2937="",-1,IF($J2937=Setup!$B$7,1,IF($J2937=Setup!$B$9,0,-1)))</f>
        <v>-1</v>
      </c>
      <c r="S2937" s="35" t="n">
        <f aca="false">IF(OR($A2937="",$Q2937=0,$R2937=-1),0,$Q2937*1000+$R2937*100+$K2937)</f>
        <v>0</v>
      </c>
      <c r="T2937" s="37" t="str">
        <f aca="false">IF($A2937="","",IF($B2937="","NO ACCOUNT",IF($Q2937=0,"UNMAPPED",IF($R2937=-1,"OUTSIDE FY RANGE","OK"))))</f>
        <v/>
      </c>
      <c r="U2937" s="40" t="str">
        <f aca="false">IF($A2937="","",$B2937&amp;"|"&amp;TEXT($A2937,"yyyymmdd")&amp;"|"&amp;TEXT($I2937,"0.00"))</f>
        <v/>
      </c>
      <c r="V2937" s="35" t="str">
        <f aca="false">IF($A2937="","",COUNTIF($U$8:$U$5007,$U2937))</f>
        <v/>
      </c>
    </row>
    <row r="2938" customFormat="false" ht="15" hidden="false" customHeight="false" outlineLevel="0" collapsed="false">
      <c r="A2938" s="31"/>
      <c r="B2938" s="32"/>
      <c r="C2938" s="32"/>
      <c r="D2938" s="32"/>
      <c r="E2938" s="32"/>
      <c r="F2938" s="32"/>
      <c r="G2938" s="33"/>
      <c r="H2938" s="33"/>
      <c r="I2938" s="34" t="str">
        <f aca="false">IF($A2938="","",$G2938-$H2938)</f>
        <v/>
      </c>
      <c r="J2938" s="35" t="str">
        <f aca="false">IF($A2938="","",IF(Setup!$B$6=1,YEAR($A2938),YEAR($A2938)+IF(MONTH($A2938)&gt;=Setup!$B$6,1,0)))</f>
        <v/>
      </c>
      <c r="K2938" s="35" t="str">
        <f aca="false">IF($A2938="","",MOD(MONTH($A2938)-Setup!$B$6+12,12)+1)</f>
        <v/>
      </c>
      <c r="L2938" s="36" t="str">
        <f aca="false">IF($A2938="","",TEXT($A2938,"MMM-YY"))</f>
        <v/>
      </c>
      <c r="M2938" s="37" t="str">
        <f aca="false">IF($A2938="","",IF($Q2938=0,"UNMAPPED",INDEX(COA_Mapping!$C$7:$C$256,$Q2938)))</f>
        <v/>
      </c>
      <c r="N2938" s="38" t="str">
        <f aca="false">IF($A2938="","",IF($Q2938=0,"",INDEX(COA_Mapping!$E$7:$E$256,$Q2938)))</f>
        <v/>
      </c>
      <c r="O2938" s="38" t="n">
        <f aca="false">IF($A2938="",1,IF($Q2938=0,1,INDEX(COA_Mapping!$F$7:$F$256,$Q2938)))</f>
        <v>1</v>
      </c>
      <c r="P2938" s="34" t="str">
        <f aca="false">IF($A2938="","",$I2938*$O2938)</f>
        <v/>
      </c>
      <c r="Q2938" s="39" t="n">
        <f aca="false">IF($B2938="",0,IFERROR(MATCH($B2938,COA_Mapping!$A$7:$A$256,0),0))</f>
        <v>0</v>
      </c>
      <c r="R2938" s="39" t="n">
        <f aca="false">IF($A2938="",-1,IF($J2938=Setup!$B$7,1,IF($J2938=Setup!$B$9,0,-1)))</f>
        <v>-1</v>
      </c>
      <c r="S2938" s="35" t="n">
        <f aca="false">IF(OR($A2938="",$Q2938=0,$R2938=-1),0,$Q2938*1000+$R2938*100+$K2938)</f>
        <v>0</v>
      </c>
      <c r="T2938" s="37" t="str">
        <f aca="false">IF($A2938="","",IF($B2938="","NO ACCOUNT",IF($Q2938=0,"UNMAPPED",IF($R2938=-1,"OUTSIDE FY RANGE","OK"))))</f>
        <v/>
      </c>
      <c r="U2938" s="40" t="str">
        <f aca="false">IF($A2938="","",$B2938&amp;"|"&amp;TEXT($A2938,"yyyymmdd")&amp;"|"&amp;TEXT($I2938,"0.00"))</f>
        <v/>
      </c>
      <c r="V2938" s="35" t="str">
        <f aca="false">IF($A2938="","",COUNTIF($U$8:$U$5007,$U2938))</f>
        <v/>
      </c>
    </row>
    <row r="2939" customFormat="false" ht="15" hidden="false" customHeight="false" outlineLevel="0" collapsed="false">
      <c r="A2939" s="31"/>
      <c r="B2939" s="32"/>
      <c r="C2939" s="32"/>
      <c r="D2939" s="32"/>
      <c r="E2939" s="32"/>
      <c r="F2939" s="32"/>
      <c r="G2939" s="33"/>
      <c r="H2939" s="33"/>
      <c r="I2939" s="34" t="str">
        <f aca="false">IF($A2939="","",$G2939-$H2939)</f>
        <v/>
      </c>
      <c r="J2939" s="35" t="str">
        <f aca="false">IF($A2939="","",IF(Setup!$B$6=1,YEAR($A2939),YEAR($A2939)+IF(MONTH($A2939)&gt;=Setup!$B$6,1,0)))</f>
        <v/>
      </c>
      <c r="K2939" s="35" t="str">
        <f aca="false">IF($A2939="","",MOD(MONTH($A2939)-Setup!$B$6+12,12)+1)</f>
        <v/>
      </c>
      <c r="L2939" s="36" t="str">
        <f aca="false">IF($A2939="","",TEXT($A2939,"MMM-YY"))</f>
        <v/>
      </c>
      <c r="M2939" s="37" t="str">
        <f aca="false">IF($A2939="","",IF($Q2939=0,"UNMAPPED",INDEX(COA_Mapping!$C$7:$C$256,$Q2939)))</f>
        <v/>
      </c>
      <c r="N2939" s="38" t="str">
        <f aca="false">IF($A2939="","",IF($Q2939=0,"",INDEX(COA_Mapping!$E$7:$E$256,$Q2939)))</f>
        <v/>
      </c>
      <c r="O2939" s="38" t="n">
        <f aca="false">IF($A2939="",1,IF($Q2939=0,1,INDEX(COA_Mapping!$F$7:$F$256,$Q2939)))</f>
        <v>1</v>
      </c>
      <c r="P2939" s="34" t="str">
        <f aca="false">IF($A2939="","",$I2939*$O2939)</f>
        <v/>
      </c>
      <c r="Q2939" s="39" t="n">
        <f aca="false">IF($B2939="",0,IFERROR(MATCH($B2939,COA_Mapping!$A$7:$A$256,0),0))</f>
        <v>0</v>
      </c>
      <c r="R2939" s="39" t="n">
        <f aca="false">IF($A2939="",-1,IF($J2939=Setup!$B$7,1,IF($J2939=Setup!$B$9,0,-1)))</f>
        <v>-1</v>
      </c>
      <c r="S2939" s="35" t="n">
        <f aca="false">IF(OR($A2939="",$Q2939=0,$R2939=-1),0,$Q2939*1000+$R2939*100+$K2939)</f>
        <v>0</v>
      </c>
      <c r="T2939" s="37" t="str">
        <f aca="false">IF($A2939="","",IF($B2939="","NO ACCOUNT",IF($Q2939=0,"UNMAPPED",IF($R2939=-1,"OUTSIDE FY RANGE","OK"))))</f>
        <v/>
      </c>
      <c r="U2939" s="40" t="str">
        <f aca="false">IF($A2939="","",$B2939&amp;"|"&amp;TEXT($A2939,"yyyymmdd")&amp;"|"&amp;TEXT($I2939,"0.00"))</f>
        <v/>
      </c>
      <c r="V2939" s="35" t="str">
        <f aca="false">IF($A2939="","",COUNTIF($U$8:$U$5007,$U2939))</f>
        <v/>
      </c>
    </row>
    <row r="2940" customFormat="false" ht="15" hidden="false" customHeight="false" outlineLevel="0" collapsed="false">
      <c r="A2940" s="31"/>
      <c r="B2940" s="32"/>
      <c r="C2940" s="32"/>
      <c r="D2940" s="32"/>
      <c r="E2940" s="32"/>
      <c r="F2940" s="32"/>
      <c r="G2940" s="33"/>
      <c r="H2940" s="33"/>
      <c r="I2940" s="34" t="str">
        <f aca="false">IF($A2940="","",$G2940-$H2940)</f>
        <v/>
      </c>
      <c r="J2940" s="35" t="str">
        <f aca="false">IF($A2940="","",IF(Setup!$B$6=1,YEAR($A2940),YEAR($A2940)+IF(MONTH($A2940)&gt;=Setup!$B$6,1,0)))</f>
        <v/>
      </c>
      <c r="K2940" s="35" t="str">
        <f aca="false">IF($A2940="","",MOD(MONTH($A2940)-Setup!$B$6+12,12)+1)</f>
        <v/>
      </c>
      <c r="L2940" s="36" t="str">
        <f aca="false">IF($A2940="","",TEXT($A2940,"MMM-YY"))</f>
        <v/>
      </c>
      <c r="M2940" s="37" t="str">
        <f aca="false">IF($A2940="","",IF($Q2940=0,"UNMAPPED",INDEX(COA_Mapping!$C$7:$C$256,$Q2940)))</f>
        <v/>
      </c>
      <c r="N2940" s="38" t="str">
        <f aca="false">IF($A2940="","",IF($Q2940=0,"",INDEX(COA_Mapping!$E$7:$E$256,$Q2940)))</f>
        <v/>
      </c>
      <c r="O2940" s="38" t="n">
        <f aca="false">IF($A2940="",1,IF($Q2940=0,1,INDEX(COA_Mapping!$F$7:$F$256,$Q2940)))</f>
        <v>1</v>
      </c>
      <c r="P2940" s="34" t="str">
        <f aca="false">IF($A2940="","",$I2940*$O2940)</f>
        <v/>
      </c>
      <c r="Q2940" s="39" t="n">
        <f aca="false">IF($B2940="",0,IFERROR(MATCH($B2940,COA_Mapping!$A$7:$A$256,0),0))</f>
        <v>0</v>
      </c>
      <c r="R2940" s="39" t="n">
        <f aca="false">IF($A2940="",-1,IF($J2940=Setup!$B$7,1,IF($J2940=Setup!$B$9,0,-1)))</f>
        <v>-1</v>
      </c>
      <c r="S2940" s="35" t="n">
        <f aca="false">IF(OR($A2940="",$Q2940=0,$R2940=-1),0,$Q2940*1000+$R2940*100+$K2940)</f>
        <v>0</v>
      </c>
      <c r="T2940" s="37" t="str">
        <f aca="false">IF($A2940="","",IF($B2940="","NO ACCOUNT",IF($Q2940=0,"UNMAPPED",IF($R2940=-1,"OUTSIDE FY RANGE","OK"))))</f>
        <v/>
      </c>
      <c r="U2940" s="40" t="str">
        <f aca="false">IF($A2940="","",$B2940&amp;"|"&amp;TEXT($A2940,"yyyymmdd")&amp;"|"&amp;TEXT($I2940,"0.00"))</f>
        <v/>
      </c>
      <c r="V2940" s="35" t="str">
        <f aca="false">IF($A2940="","",COUNTIF($U$8:$U$5007,$U2940))</f>
        <v/>
      </c>
    </row>
    <row r="2941" customFormat="false" ht="15" hidden="false" customHeight="false" outlineLevel="0" collapsed="false">
      <c r="A2941" s="31"/>
      <c r="B2941" s="32"/>
      <c r="C2941" s="32"/>
      <c r="D2941" s="32"/>
      <c r="E2941" s="32"/>
      <c r="F2941" s="32"/>
      <c r="G2941" s="33"/>
      <c r="H2941" s="33"/>
      <c r="I2941" s="34" t="str">
        <f aca="false">IF($A2941="","",$G2941-$H2941)</f>
        <v/>
      </c>
      <c r="J2941" s="35" t="str">
        <f aca="false">IF($A2941="","",IF(Setup!$B$6=1,YEAR($A2941),YEAR($A2941)+IF(MONTH($A2941)&gt;=Setup!$B$6,1,0)))</f>
        <v/>
      </c>
      <c r="K2941" s="35" t="str">
        <f aca="false">IF($A2941="","",MOD(MONTH($A2941)-Setup!$B$6+12,12)+1)</f>
        <v/>
      </c>
      <c r="L2941" s="36" t="str">
        <f aca="false">IF($A2941="","",TEXT($A2941,"MMM-YY"))</f>
        <v/>
      </c>
      <c r="M2941" s="37" t="str">
        <f aca="false">IF($A2941="","",IF($Q2941=0,"UNMAPPED",INDEX(COA_Mapping!$C$7:$C$256,$Q2941)))</f>
        <v/>
      </c>
      <c r="N2941" s="38" t="str">
        <f aca="false">IF($A2941="","",IF($Q2941=0,"",INDEX(COA_Mapping!$E$7:$E$256,$Q2941)))</f>
        <v/>
      </c>
      <c r="O2941" s="38" t="n">
        <f aca="false">IF($A2941="",1,IF($Q2941=0,1,INDEX(COA_Mapping!$F$7:$F$256,$Q2941)))</f>
        <v>1</v>
      </c>
      <c r="P2941" s="34" t="str">
        <f aca="false">IF($A2941="","",$I2941*$O2941)</f>
        <v/>
      </c>
      <c r="Q2941" s="39" t="n">
        <f aca="false">IF($B2941="",0,IFERROR(MATCH($B2941,COA_Mapping!$A$7:$A$256,0),0))</f>
        <v>0</v>
      </c>
      <c r="R2941" s="39" t="n">
        <f aca="false">IF($A2941="",-1,IF($J2941=Setup!$B$7,1,IF($J2941=Setup!$B$9,0,-1)))</f>
        <v>-1</v>
      </c>
      <c r="S2941" s="35" t="n">
        <f aca="false">IF(OR($A2941="",$Q2941=0,$R2941=-1),0,$Q2941*1000+$R2941*100+$K2941)</f>
        <v>0</v>
      </c>
      <c r="T2941" s="37" t="str">
        <f aca="false">IF($A2941="","",IF($B2941="","NO ACCOUNT",IF($Q2941=0,"UNMAPPED",IF($R2941=-1,"OUTSIDE FY RANGE","OK"))))</f>
        <v/>
      </c>
      <c r="U2941" s="40" t="str">
        <f aca="false">IF($A2941="","",$B2941&amp;"|"&amp;TEXT($A2941,"yyyymmdd")&amp;"|"&amp;TEXT($I2941,"0.00"))</f>
        <v/>
      </c>
      <c r="V2941" s="35" t="str">
        <f aca="false">IF($A2941="","",COUNTIF($U$8:$U$5007,$U2941))</f>
        <v/>
      </c>
    </row>
    <row r="2942" customFormat="false" ht="15" hidden="false" customHeight="false" outlineLevel="0" collapsed="false">
      <c r="A2942" s="31"/>
      <c r="B2942" s="32"/>
      <c r="C2942" s="32"/>
      <c r="D2942" s="32"/>
      <c r="E2942" s="32"/>
      <c r="F2942" s="32"/>
      <c r="G2942" s="33"/>
      <c r="H2942" s="33"/>
      <c r="I2942" s="34" t="str">
        <f aca="false">IF($A2942="","",$G2942-$H2942)</f>
        <v/>
      </c>
      <c r="J2942" s="35" t="str">
        <f aca="false">IF($A2942="","",IF(Setup!$B$6=1,YEAR($A2942),YEAR($A2942)+IF(MONTH($A2942)&gt;=Setup!$B$6,1,0)))</f>
        <v/>
      </c>
      <c r="K2942" s="35" t="str">
        <f aca="false">IF($A2942="","",MOD(MONTH($A2942)-Setup!$B$6+12,12)+1)</f>
        <v/>
      </c>
      <c r="L2942" s="36" t="str">
        <f aca="false">IF($A2942="","",TEXT($A2942,"MMM-YY"))</f>
        <v/>
      </c>
      <c r="M2942" s="37" t="str">
        <f aca="false">IF($A2942="","",IF($Q2942=0,"UNMAPPED",INDEX(COA_Mapping!$C$7:$C$256,$Q2942)))</f>
        <v/>
      </c>
      <c r="N2942" s="38" t="str">
        <f aca="false">IF($A2942="","",IF($Q2942=0,"",INDEX(COA_Mapping!$E$7:$E$256,$Q2942)))</f>
        <v/>
      </c>
      <c r="O2942" s="38" t="n">
        <f aca="false">IF($A2942="",1,IF($Q2942=0,1,INDEX(COA_Mapping!$F$7:$F$256,$Q2942)))</f>
        <v>1</v>
      </c>
      <c r="P2942" s="34" t="str">
        <f aca="false">IF($A2942="","",$I2942*$O2942)</f>
        <v/>
      </c>
      <c r="Q2942" s="39" t="n">
        <f aca="false">IF($B2942="",0,IFERROR(MATCH($B2942,COA_Mapping!$A$7:$A$256,0),0))</f>
        <v>0</v>
      </c>
      <c r="R2942" s="39" t="n">
        <f aca="false">IF($A2942="",-1,IF($J2942=Setup!$B$7,1,IF($J2942=Setup!$B$9,0,-1)))</f>
        <v>-1</v>
      </c>
      <c r="S2942" s="35" t="n">
        <f aca="false">IF(OR($A2942="",$Q2942=0,$R2942=-1),0,$Q2942*1000+$R2942*100+$K2942)</f>
        <v>0</v>
      </c>
      <c r="T2942" s="37" t="str">
        <f aca="false">IF($A2942="","",IF($B2942="","NO ACCOUNT",IF($Q2942=0,"UNMAPPED",IF($R2942=-1,"OUTSIDE FY RANGE","OK"))))</f>
        <v/>
      </c>
      <c r="U2942" s="40" t="str">
        <f aca="false">IF($A2942="","",$B2942&amp;"|"&amp;TEXT($A2942,"yyyymmdd")&amp;"|"&amp;TEXT($I2942,"0.00"))</f>
        <v/>
      </c>
      <c r="V2942" s="35" t="str">
        <f aca="false">IF($A2942="","",COUNTIF($U$8:$U$5007,$U2942))</f>
        <v/>
      </c>
    </row>
    <row r="2943" customFormat="false" ht="15" hidden="false" customHeight="false" outlineLevel="0" collapsed="false">
      <c r="A2943" s="31"/>
      <c r="B2943" s="32"/>
      <c r="C2943" s="32"/>
      <c r="D2943" s="32"/>
      <c r="E2943" s="32"/>
      <c r="F2943" s="32"/>
      <c r="G2943" s="33"/>
      <c r="H2943" s="33"/>
      <c r="I2943" s="34" t="str">
        <f aca="false">IF($A2943="","",$G2943-$H2943)</f>
        <v/>
      </c>
      <c r="J2943" s="35" t="str">
        <f aca="false">IF($A2943="","",IF(Setup!$B$6=1,YEAR($A2943),YEAR($A2943)+IF(MONTH($A2943)&gt;=Setup!$B$6,1,0)))</f>
        <v/>
      </c>
      <c r="K2943" s="35" t="str">
        <f aca="false">IF($A2943="","",MOD(MONTH($A2943)-Setup!$B$6+12,12)+1)</f>
        <v/>
      </c>
      <c r="L2943" s="36" t="str">
        <f aca="false">IF($A2943="","",TEXT($A2943,"MMM-YY"))</f>
        <v/>
      </c>
      <c r="M2943" s="37" t="str">
        <f aca="false">IF($A2943="","",IF($Q2943=0,"UNMAPPED",INDEX(COA_Mapping!$C$7:$C$256,$Q2943)))</f>
        <v/>
      </c>
      <c r="N2943" s="38" t="str">
        <f aca="false">IF($A2943="","",IF($Q2943=0,"",INDEX(COA_Mapping!$E$7:$E$256,$Q2943)))</f>
        <v/>
      </c>
      <c r="O2943" s="38" t="n">
        <f aca="false">IF($A2943="",1,IF($Q2943=0,1,INDEX(COA_Mapping!$F$7:$F$256,$Q2943)))</f>
        <v>1</v>
      </c>
      <c r="P2943" s="34" t="str">
        <f aca="false">IF($A2943="","",$I2943*$O2943)</f>
        <v/>
      </c>
      <c r="Q2943" s="39" t="n">
        <f aca="false">IF($B2943="",0,IFERROR(MATCH($B2943,COA_Mapping!$A$7:$A$256,0),0))</f>
        <v>0</v>
      </c>
      <c r="R2943" s="39" t="n">
        <f aca="false">IF($A2943="",-1,IF($J2943=Setup!$B$7,1,IF($J2943=Setup!$B$9,0,-1)))</f>
        <v>-1</v>
      </c>
      <c r="S2943" s="35" t="n">
        <f aca="false">IF(OR($A2943="",$Q2943=0,$R2943=-1),0,$Q2943*1000+$R2943*100+$K2943)</f>
        <v>0</v>
      </c>
      <c r="T2943" s="37" t="str">
        <f aca="false">IF($A2943="","",IF($B2943="","NO ACCOUNT",IF($Q2943=0,"UNMAPPED",IF($R2943=-1,"OUTSIDE FY RANGE","OK"))))</f>
        <v/>
      </c>
      <c r="U2943" s="40" t="str">
        <f aca="false">IF($A2943="","",$B2943&amp;"|"&amp;TEXT($A2943,"yyyymmdd")&amp;"|"&amp;TEXT($I2943,"0.00"))</f>
        <v/>
      </c>
      <c r="V2943" s="35" t="str">
        <f aca="false">IF($A2943="","",COUNTIF($U$8:$U$5007,$U2943))</f>
        <v/>
      </c>
    </row>
    <row r="2944" customFormat="false" ht="15" hidden="false" customHeight="false" outlineLevel="0" collapsed="false">
      <c r="A2944" s="31"/>
      <c r="B2944" s="32"/>
      <c r="C2944" s="32"/>
      <c r="D2944" s="32"/>
      <c r="E2944" s="32"/>
      <c r="F2944" s="32"/>
      <c r="G2944" s="33"/>
      <c r="H2944" s="33"/>
      <c r="I2944" s="34" t="str">
        <f aca="false">IF($A2944="","",$G2944-$H2944)</f>
        <v/>
      </c>
      <c r="J2944" s="35" t="str">
        <f aca="false">IF($A2944="","",IF(Setup!$B$6=1,YEAR($A2944),YEAR($A2944)+IF(MONTH($A2944)&gt;=Setup!$B$6,1,0)))</f>
        <v/>
      </c>
      <c r="K2944" s="35" t="str">
        <f aca="false">IF($A2944="","",MOD(MONTH($A2944)-Setup!$B$6+12,12)+1)</f>
        <v/>
      </c>
      <c r="L2944" s="36" t="str">
        <f aca="false">IF($A2944="","",TEXT($A2944,"MMM-YY"))</f>
        <v/>
      </c>
      <c r="M2944" s="37" t="str">
        <f aca="false">IF($A2944="","",IF($Q2944=0,"UNMAPPED",INDEX(COA_Mapping!$C$7:$C$256,$Q2944)))</f>
        <v/>
      </c>
      <c r="N2944" s="38" t="str">
        <f aca="false">IF($A2944="","",IF($Q2944=0,"",INDEX(COA_Mapping!$E$7:$E$256,$Q2944)))</f>
        <v/>
      </c>
      <c r="O2944" s="38" t="n">
        <f aca="false">IF($A2944="",1,IF($Q2944=0,1,INDEX(COA_Mapping!$F$7:$F$256,$Q2944)))</f>
        <v>1</v>
      </c>
      <c r="P2944" s="34" t="str">
        <f aca="false">IF($A2944="","",$I2944*$O2944)</f>
        <v/>
      </c>
      <c r="Q2944" s="39" t="n">
        <f aca="false">IF($B2944="",0,IFERROR(MATCH($B2944,COA_Mapping!$A$7:$A$256,0),0))</f>
        <v>0</v>
      </c>
      <c r="R2944" s="39" t="n">
        <f aca="false">IF($A2944="",-1,IF($J2944=Setup!$B$7,1,IF($J2944=Setup!$B$9,0,-1)))</f>
        <v>-1</v>
      </c>
      <c r="S2944" s="35" t="n">
        <f aca="false">IF(OR($A2944="",$Q2944=0,$R2944=-1),0,$Q2944*1000+$R2944*100+$K2944)</f>
        <v>0</v>
      </c>
      <c r="T2944" s="37" t="str">
        <f aca="false">IF($A2944="","",IF($B2944="","NO ACCOUNT",IF($Q2944=0,"UNMAPPED",IF($R2944=-1,"OUTSIDE FY RANGE","OK"))))</f>
        <v/>
      </c>
      <c r="U2944" s="40" t="str">
        <f aca="false">IF($A2944="","",$B2944&amp;"|"&amp;TEXT($A2944,"yyyymmdd")&amp;"|"&amp;TEXT($I2944,"0.00"))</f>
        <v/>
      </c>
      <c r="V2944" s="35" t="str">
        <f aca="false">IF($A2944="","",COUNTIF($U$8:$U$5007,$U2944))</f>
        <v/>
      </c>
    </row>
    <row r="2945" customFormat="false" ht="15" hidden="false" customHeight="false" outlineLevel="0" collapsed="false">
      <c r="A2945" s="31"/>
      <c r="B2945" s="32"/>
      <c r="C2945" s="32"/>
      <c r="D2945" s="32"/>
      <c r="E2945" s="32"/>
      <c r="F2945" s="32"/>
      <c r="G2945" s="33"/>
      <c r="H2945" s="33"/>
      <c r="I2945" s="34" t="str">
        <f aca="false">IF($A2945="","",$G2945-$H2945)</f>
        <v/>
      </c>
      <c r="J2945" s="35" t="str">
        <f aca="false">IF($A2945="","",IF(Setup!$B$6=1,YEAR($A2945),YEAR($A2945)+IF(MONTH($A2945)&gt;=Setup!$B$6,1,0)))</f>
        <v/>
      </c>
      <c r="K2945" s="35" t="str">
        <f aca="false">IF($A2945="","",MOD(MONTH($A2945)-Setup!$B$6+12,12)+1)</f>
        <v/>
      </c>
      <c r="L2945" s="36" t="str">
        <f aca="false">IF($A2945="","",TEXT($A2945,"MMM-YY"))</f>
        <v/>
      </c>
      <c r="M2945" s="37" t="str">
        <f aca="false">IF($A2945="","",IF($Q2945=0,"UNMAPPED",INDEX(COA_Mapping!$C$7:$C$256,$Q2945)))</f>
        <v/>
      </c>
      <c r="N2945" s="38" t="str">
        <f aca="false">IF($A2945="","",IF($Q2945=0,"",INDEX(COA_Mapping!$E$7:$E$256,$Q2945)))</f>
        <v/>
      </c>
      <c r="O2945" s="38" t="n">
        <f aca="false">IF($A2945="",1,IF($Q2945=0,1,INDEX(COA_Mapping!$F$7:$F$256,$Q2945)))</f>
        <v>1</v>
      </c>
      <c r="P2945" s="34" t="str">
        <f aca="false">IF($A2945="","",$I2945*$O2945)</f>
        <v/>
      </c>
      <c r="Q2945" s="39" t="n">
        <f aca="false">IF($B2945="",0,IFERROR(MATCH($B2945,COA_Mapping!$A$7:$A$256,0),0))</f>
        <v>0</v>
      </c>
      <c r="R2945" s="39" t="n">
        <f aca="false">IF($A2945="",-1,IF($J2945=Setup!$B$7,1,IF($J2945=Setup!$B$9,0,-1)))</f>
        <v>-1</v>
      </c>
      <c r="S2945" s="35" t="n">
        <f aca="false">IF(OR($A2945="",$Q2945=0,$R2945=-1),0,$Q2945*1000+$R2945*100+$K2945)</f>
        <v>0</v>
      </c>
      <c r="T2945" s="37" t="str">
        <f aca="false">IF($A2945="","",IF($B2945="","NO ACCOUNT",IF($Q2945=0,"UNMAPPED",IF($R2945=-1,"OUTSIDE FY RANGE","OK"))))</f>
        <v/>
      </c>
      <c r="U2945" s="40" t="str">
        <f aca="false">IF($A2945="","",$B2945&amp;"|"&amp;TEXT($A2945,"yyyymmdd")&amp;"|"&amp;TEXT($I2945,"0.00"))</f>
        <v/>
      </c>
      <c r="V2945" s="35" t="str">
        <f aca="false">IF($A2945="","",COUNTIF($U$8:$U$5007,$U2945))</f>
        <v/>
      </c>
    </row>
    <row r="2946" customFormat="false" ht="15" hidden="false" customHeight="false" outlineLevel="0" collapsed="false">
      <c r="A2946" s="31"/>
      <c r="B2946" s="32"/>
      <c r="C2946" s="32"/>
      <c r="D2946" s="32"/>
      <c r="E2946" s="32"/>
      <c r="F2946" s="32"/>
      <c r="G2946" s="33"/>
      <c r="H2946" s="33"/>
      <c r="I2946" s="34" t="str">
        <f aca="false">IF($A2946="","",$G2946-$H2946)</f>
        <v/>
      </c>
      <c r="J2946" s="35" t="str">
        <f aca="false">IF($A2946="","",IF(Setup!$B$6=1,YEAR($A2946),YEAR($A2946)+IF(MONTH($A2946)&gt;=Setup!$B$6,1,0)))</f>
        <v/>
      </c>
      <c r="K2946" s="35" t="str">
        <f aca="false">IF($A2946="","",MOD(MONTH($A2946)-Setup!$B$6+12,12)+1)</f>
        <v/>
      </c>
      <c r="L2946" s="36" t="str">
        <f aca="false">IF($A2946="","",TEXT($A2946,"MMM-YY"))</f>
        <v/>
      </c>
      <c r="M2946" s="37" t="str">
        <f aca="false">IF($A2946="","",IF($Q2946=0,"UNMAPPED",INDEX(COA_Mapping!$C$7:$C$256,$Q2946)))</f>
        <v/>
      </c>
      <c r="N2946" s="38" t="str">
        <f aca="false">IF($A2946="","",IF($Q2946=0,"",INDEX(COA_Mapping!$E$7:$E$256,$Q2946)))</f>
        <v/>
      </c>
      <c r="O2946" s="38" t="n">
        <f aca="false">IF($A2946="",1,IF($Q2946=0,1,INDEX(COA_Mapping!$F$7:$F$256,$Q2946)))</f>
        <v>1</v>
      </c>
      <c r="P2946" s="34" t="str">
        <f aca="false">IF($A2946="","",$I2946*$O2946)</f>
        <v/>
      </c>
      <c r="Q2946" s="39" t="n">
        <f aca="false">IF($B2946="",0,IFERROR(MATCH($B2946,COA_Mapping!$A$7:$A$256,0),0))</f>
        <v>0</v>
      </c>
      <c r="R2946" s="39" t="n">
        <f aca="false">IF($A2946="",-1,IF($J2946=Setup!$B$7,1,IF($J2946=Setup!$B$9,0,-1)))</f>
        <v>-1</v>
      </c>
      <c r="S2946" s="35" t="n">
        <f aca="false">IF(OR($A2946="",$Q2946=0,$R2946=-1),0,$Q2946*1000+$R2946*100+$K2946)</f>
        <v>0</v>
      </c>
      <c r="T2946" s="37" t="str">
        <f aca="false">IF($A2946="","",IF($B2946="","NO ACCOUNT",IF($Q2946=0,"UNMAPPED",IF($R2946=-1,"OUTSIDE FY RANGE","OK"))))</f>
        <v/>
      </c>
      <c r="U2946" s="40" t="str">
        <f aca="false">IF($A2946="","",$B2946&amp;"|"&amp;TEXT($A2946,"yyyymmdd")&amp;"|"&amp;TEXT($I2946,"0.00"))</f>
        <v/>
      </c>
      <c r="V2946" s="35" t="str">
        <f aca="false">IF($A2946="","",COUNTIF($U$8:$U$5007,$U2946))</f>
        <v/>
      </c>
    </row>
    <row r="2947" customFormat="false" ht="15" hidden="false" customHeight="false" outlineLevel="0" collapsed="false">
      <c r="A2947" s="31"/>
      <c r="B2947" s="32"/>
      <c r="C2947" s="32"/>
      <c r="D2947" s="32"/>
      <c r="E2947" s="32"/>
      <c r="F2947" s="32"/>
      <c r="G2947" s="33"/>
      <c r="H2947" s="33"/>
      <c r="I2947" s="34" t="str">
        <f aca="false">IF($A2947="","",$G2947-$H2947)</f>
        <v/>
      </c>
      <c r="J2947" s="35" t="str">
        <f aca="false">IF($A2947="","",IF(Setup!$B$6=1,YEAR($A2947),YEAR($A2947)+IF(MONTH($A2947)&gt;=Setup!$B$6,1,0)))</f>
        <v/>
      </c>
      <c r="K2947" s="35" t="str">
        <f aca="false">IF($A2947="","",MOD(MONTH($A2947)-Setup!$B$6+12,12)+1)</f>
        <v/>
      </c>
      <c r="L2947" s="36" t="str">
        <f aca="false">IF($A2947="","",TEXT($A2947,"MMM-YY"))</f>
        <v/>
      </c>
      <c r="M2947" s="37" t="str">
        <f aca="false">IF($A2947="","",IF($Q2947=0,"UNMAPPED",INDEX(COA_Mapping!$C$7:$C$256,$Q2947)))</f>
        <v/>
      </c>
      <c r="N2947" s="38" t="str">
        <f aca="false">IF($A2947="","",IF($Q2947=0,"",INDEX(COA_Mapping!$E$7:$E$256,$Q2947)))</f>
        <v/>
      </c>
      <c r="O2947" s="38" t="n">
        <f aca="false">IF($A2947="",1,IF($Q2947=0,1,INDEX(COA_Mapping!$F$7:$F$256,$Q2947)))</f>
        <v>1</v>
      </c>
      <c r="P2947" s="34" t="str">
        <f aca="false">IF($A2947="","",$I2947*$O2947)</f>
        <v/>
      </c>
      <c r="Q2947" s="39" t="n">
        <f aca="false">IF($B2947="",0,IFERROR(MATCH($B2947,COA_Mapping!$A$7:$A$256,0),0))</f>
        <v>0</v>
      </c>
      <c r="R2947" s="39" t="n">
        <f aca="false">IF($A2947="",-1,IF($J2947=Setup!$B$7,1,IF($J2947=Setup!$B$9,0,-1)))</f>
        <v>-1</v>
      </c>
      <c r="S2947" s="35" t="n">
        <f aca="false">IF(OR($A2947="",$Q2947=0,$R2947=-1),0,$Q2947*1000+$R2947*100+$K2947)</f>
        <v>0</v>
      </c>
      <c r="T2947" s="37" t="str">
        <f aca="false">IF($A2947="","",IF($B2947="","NO ACCOUNT",IF($Q2947=0,"UNMAPPED",IF($R2947=-1,"OUTSIDE FY RANGE","OK"))))</f>
        <v/>
      </c>
      <c r="U2947" s="40" t="str">
        <f aca="false">IF($A2947="","",$B2947&amp;"|"&amp;TEXT($A2947,"yyyymmdd")&amp;"|"&amp;TEXT($I2947,"0.00"))</f>
        <v/>
      </c>
      <c r="V2947" s="35" t="str">
        <f aca="false">IF($A2947="","",COUNTIF($U$8:$U$5007,$U2947))</f>
        <v/>
      </c>
    </row>
    <row r="2948" customFormat="false" ht="15" hidden="false" customHeight="false" outlineLevel="0" collapsed="false">
      <c r="A2948" s="31"/>
      <c r="B2948" s="32"/>
      <c r="C2948" s="32"/>
      <c r="D2948" s="32"/>
      <c r="E2948" s="32"/>
      <c r="F2948" s="32"/>
      <c r="G2948" s="33"/>
      <c r="H2948" s="33"/>
      <c r="I2948" s="34" t="str">
        <f aca="false">IF($A2948="","",$G2948-$H2948)</f>
        <v/>
      </c>
      <c r="J2948" s="35" t="str">
        <f aca="false">IF($A2948="","",IF(Setup!$B$6=1,YEAR($A2948),YEAR($A2948)+IF(MONTH($A2948)&gt;=Setup!$B$6,1,0)))</f>
        <v/>
      </c>
      <c r="K2948" s="35" t="str">
        <f aca="false">IF($A2948="","",MOD(MONTH($A2948)-Setup!$B$6+12,12)+1)</f>
        <v/>
      </c>
      <c r="L2948" s="36" t="str">
        <f aca="false">IF($A2948="","",TEXT($A2948,"MMM-YY"))</f>
        <v/>
      </c>
      <c r="M2948" s="37" t="str">
        <f aca="false">IF($A2948="","",IF($Q2948=0,"UNMAPPED",INDEX(COA_Mapping!$C$7:$C$256,$Q2948)))</f>
        <v/>
      </c>
      <c r="N2948" s="38" t="str">
        <f aca="false">IF($A2948="","",IF($Q2948=0,"",INDEX(COA_Mapping!$E$7:$E$256,$Q2948)))</f>
        <v/>
      </c>
      <c r="O2948" s="38" t="n">
        <f aca="false">IF($A2948="",1,IF($Q2948=0,1,INDEX(COA_Mapping!$F$7:$F$256,$Q2948)))</f>
        <v>1</v>
      </c>
      <c r="P2948" s="34" t="str">
        <f aca="false">IF($A2948="","",$I2948*$O2948)</f>
        <v/>
      </c>
      <c r="Q2948" s="39" t="n">
        <f aca="false">IF($B2948="",0,IFERROR(MATCH($B2948,COA_Mapping!$A$7:$A$256,0),0))</f>
        <v>0</v>
      </c>
      <c r="R2948" s="39" t="n">
        <f aca="false">IF($A2948="",-1,IF($J2948=Setup!$B$7,1,IF($J2948=Setup!$B$9,0,-1)))</f>
        <v>-1</v>
      </c>
      <c r="S2948" s="35" t="n">
        <f aca="false">IF(OR($A2948="",$Q2948=0,$R2948=-1),0,$Q2948*1000+$R2948*100+$K2948)</f>
        <v>0</v>
      </c>
      <c r="T2948" s="37" t="str">
        <f aca="false">IF($A2948="","",IF($B2948="","NO ACCOUNT",IF($Q2948=0,"UNMAPPED",IF($R2948=-1,"OUTSIDE FY RANGE","OK"))))</f>
        <v/>
      </c>
      <c r="U2948" s="40" t="str">
        <f aca="false">IF($A2948="","",$B2948&amp;"|"&amp;TEXT($A2948,"yyyymmdd")&amp;"|"&amp;TEXT($I2948,"0.00"))</f>
        <v/>
      </c>
      <c r="V2948" s="35" t="str">
        <f aca="false">IF($A2948="","",COUNTIF($U$8:$U$5007,$U2948))</f>
        <v/>
      </c>
    </row>
    <row r="2949" customFormat="false" ht="15" hidden="false" customHeight="false" outlineLevel="0" collapsed="false">
      <c r="A2949" s="31"/>
      <c r="B2949" s="32"/>
      <c r="C2949" s="32"/>
      <c r="D2949" s="32"/>
      <c r="E2949" s="32"/>
      <c r="F2949" s="32"/>
      <c r="G2949" s="33"/>
      <c r="H2949" s="33"/>
      <c r="I2949" s="34" t="str">
        <f aca="false">IF($A2949="","",$G2949-$H2949)</f>
        <v/>
      </c>
      <c r="J2949" s="35" t="str">
        <f aca="false">IF($A2949="","",IF(Setup!$B$6=1,YEAR($A2949),YEAR($A2949)+IF(MONTH($A2949)&gt;=Setup!$B$6,1,0)))</f>
        <v/>
      </c>
      <c r="K2949" s="35" t="str">
        <f aca="false">IF($A2949="","",MOD(MONTH($A2949)-Setup!$B$6+12,12)+1)</f>
        <v/>
      </c>
      <c r="L2949" s="36" t="str">
        <f aca="false">IF($A2949="","",TEXT($A2949,"MMM-YY"))</f>
        <v/>
      </c>
      <c r="M2949" s="37" t="str">
        <f aca="false">IF($A2949="","",IF($Q2949=0,"UNMAPPED",INDEX(COA_Mapping!$C$7:$C$256,$Q2949)))</f>
        <v/>
      </c>
      <c r="N2949" s="38" t="str">
        <f aca="false">IF($A2949="","",IF($Q2949=0,"",INDEX(COA_Mapping!$E$7:$E$256,$Q2949)))</f>
        <v/>
      </c>
      <c r="O2949" s="38" t="n">
        <f aca="false">IF($A2949="",1,IF($Q2949=0,1,INDEX(COA_Mapping!$F$7:$F$256,$Q2949)))</f>
        <v>1</v>
      </c>
      <c r="P2949" s="34" t="str">
        <f aca="false">IF($A2949="","",$I2949*$O2949)</f>
        <v/>
      </c>
      <c r="Q2949" s="39" t="n">
        <f aca="false">IF($B2949="",0,IFERROR(MATCH($B2949,COA_Mapping!$A$7:$A$256,0),0))</f>
        <v>0</v>
      </c>
      <c r="R2949" s="39" t="n">
        <f aca="false">IF($A2949="",-1,IF($J2949=Setup!$B$7,1,IF($J2949=Setup!$B$9,0,-1)))</f>
        <v>-1</v>
      </c>
      <c r="S2949" s="35" t="n">
        <f aca="false">IF(OR($A2949="",$Q2949=0,$R2949=-1),0,$Q2949*1000+$R2949*100+$K2949)</f>
        <v>0</v>
      </c>
      <c r="T2949" s="37" t="str">
        <f aca="false">IF($A2949="","",IF($B2949="","NO ACCOUNT",IF($Q2949=0,"UNMAPPED",IF($R2949=-1,"OUTSIDE FY RANGE","OK"))))</f>
        <v/>
      </c>
      <c r="U2949" s="40" t="str">
        <f aca="false">IF($A2949="","",$B2949&amp;"|"&amp;TEXT($A2949,"yyyymmdd")&amp;"|"&amp;TEXT($I2949,"0.00"))</f>
        <v/>
      </c>
      <c r="V2949" s="35" t="str">
        <f aca="false">IF($A2949="","",COUNTIF($U$8:$U$5007,$U2949))</f>
        <v/>
      </c>
    </row>
    <row r="2950" customFormat="false" ht="15" hidden="false" customHeight="false" outlineLevel="0" collapsed="false">
      <c r="A2950" s="31"/>
      <c r="B2950" s="32"/>
      <c r="C2950" s="32"/>
      <c r="D2950" s="32"/>
      <c r="E2950" s="32"/>
      <c r="F2950" s="32"/>
      <c r="G2950" s="33"/>
      <c r="H2950" s="33"/>
      <c r="I2950" s="34" t="str">
        <f aca="false">IF($A2950="","",$G2950-$H2950)</f>
        <v/>
      </c>
      <c r="J2950" s="35" t="str">
        <f aca="false">IF($A2950="","",IF(Setup!$B$6=1,YEAR($A2950),YEAR($A2950)+IF(MONTH($A2950)&gt;=Setup!$B$6,1,0)))</f>
        <v/>
      </c>
      <c r="K2950" s="35" t="str">
        <f aca="false">IF($A2950="","",MOD(MONTH($A2950)-Setup!$B$6+12,12)+1)</f>
        <v/>
      </c>
      <c r="L2950" s="36" t="str">
        <f aca="false">IF($A2950="","",TEXT($A2950,"MMM-YY"))</f>
        <v/>
      </c>
      <c r="M2950" s="37" t="str">
        <f aca="false">IF($A2950="","",IF($Q2950=0,"UNMAPPED",INDEX(COA_Mapping!$C$7:$C$256,$Q2950)))</f>
        <v/>
      </c>
      <c r="N2950" s="38" t="str">
        <f aca="false">IF($A2950="","",IF($Q2950=0,"",INDEX(COA_Mapping!$E$7:$E$256,$Q2950)))</f>
        <v/>
      </c>
      <c r="O2950" s="38" t="n">
        <f aca="false">IF($A2950="",1,IF($Q2950=0,1,INDEX(COA_Mapping!$F$7:$F$256,$Q2950)))</f>
        <v>1</v>
      </c>
      <c r="P2950" s="34" t="str">
        <f aca="false">IF($A2950="","",$I2950*$O2950)</f>
        <v/>
      </c>
      <c r="Q2950" s="39" t="n">
        <f aca="false">IF($B2950="",0,IFERROR(MATCH($B2950,COA_Mapping!$A$7:$A$256,0),0))</f>
        <v>0</v>
      </c>
      <c r="R2950" s="39" t="n">
        <f aca="false">IF($A2950="",-1,IF($J2950=Setup!$B$7,1,IF($J2950=Setup!$B$9,0,-1)))</f>
        <v>-1</v>
      </c>
      <c r="S2950" s="35" t="n">
        <f aca="false">IF(OR($A2950="",$Q2950=0,$R2950=-1),0,$Q2950*1000+$R2950*100+$K2950)</f>
        <v>0</v>
      </c>
      <c r="T2950" s="37" t="str">
        <f aca="false">IF($A2950="","",IF($B2950="","NO ACCOUNT",IF($Q2950=0,"UNMAPPED",IF($R2950=-1,"OUTSIDE FY RANGE","OK"))))</f>
        <v/>
      </c>
      <c r="U2950" s="40" t="str">
        <f aca="false">IF($A2950="","",$B2950&amp;"|"&amp;TEXT($A2950,"yyyymmdd")&amp;"|"&amp;TEXT($I2950,"0.00"))</f>
        <v/>
      </c>
      <c r="V2950" s="35" t="str">
        <f aca="false">IF($A2950="","",COUNTIF($U$8:$U$5007,$U2950))</f>
        <v/>
      </c>
    </row>
    <row r="2951" customFormat="false" ht="15" hidden="false" customHeight="false" outlineLevel="0" collapsed="false">
      <c r="A2951" s="31"/>
      <c r="B2951" s="32"/>
      <c r="C2951" s="32"/>
      <c r="D2951" s="32"/>
      <c r="E2951" s="32"/>
      <c r="F2951" s="32"/>
      <c r="G2951" s="33"/>
      <c r="H2951" s="33"/>
      <c r="I2951" s="34" t="str">
        <f aca="false">IF($A2951="","",$G2951-$H2951)</f>
        <v/>
      </c>
      <c r="J2951" s="35" t="str">
        <f aca="false">IF($A2951="","",IF(Setup!$B$6=1,YEAR($A2951),YEAR($A2951)+IF(MONTH($A2951)&gt;=Setup!$B$6,1,0)))</f>
        <v/>
      </c>
      <c r="K2951" s="35" t="str">
        <f aca="false">IF($A2951="","",MOD(MONTH($A2951)-Setup!$B$6+12,12)+1)</f>
        <v/>
      </c>
      <c r="L2951" s="36" t="str">
        <f aca="false">IF($A2951="","",TEXT($A2951,"MMM-YY"))</f>
        <v/>
      </c>
      <c r="M2951" s="37" t="str">
        <f aca="false">IF($A2951="","",IF($Q2951=0,"UNMAPPED",INDEX(COA_Mapping!$C$7:$C$256,$Q2951)))</f>
        <v/>
      </c>
      <c r="N2951" s="38" t="str">
        <f aca="false">IF($A2951="","",IF($Q2951=0,"",INDEX(COA_Mapping!$E$7:$E$256,$Q2951)))</f>
        <v/>
      </c>
      <c r="O2951" s="38" t="n">
        <f aca="false">IF($A2951="",1,IF($Q2951=0,1,INDEX(COA_Mapping!$F$7:$F$256,$Q2951)))</f>
        <v>1</v>
      </c>
      <c r="P2951" s="34" t="str">
        <f aca="false">IF($A2951="","",$I2951*$O2951)</f>
        <v/>
      </c>
      <c r="Q2951" s="39" t="n">
        <f aca="false">IF($B2951="",0,IFERROR(MATCH($B2951,COA_Mapping!$A$7:$A$256,0),0))</f>
        <v>0</v>
      </c>
      <c r="R2951" s="39" t="n">
        <f aca="false">IF($A2951="",-1,IF($J2951=Setup!$B$7,1,IF($J2951=Setup!$B$9,0,-1)))</f>
        <v>-1</v>
      </c>
      <c r="S2951" s="35" t="n">
        <f aca="false">IF(OR($A2951="",$Q2951=0,$R2951=-1),0,$Q2951*1000+$R2951*100+$K2951)</f>
        <v>0</v>
      </c>
      <c r="T2951" s="37" t="str">
        <f aca="false">IF($A2951="","",IF($B2951="","NO ACCOUNT",IF($Q2951=0,"UNMAPPED",IF($R2951=-1,"OUTSIDE FY RANGE","OK"))))</f>
        <v/>
      </c>
      <c r="U2951" s="40" t="str">
        <f aca="false">IF($A2951="","",$B2951&amp;"|"&amp;TEXT($A2951,"yyyymmdd")&amp;"|"&amp;TEXT($I2951,"0.00"))</f>
        <v/>
      </c>
      <c r="V2951" s="35" t="str">
        <f aca="false">IF($A2951="","",COUNTIF($U$8:$U$5007,$U2951))</f>
        <v/>
      </c>
    </row>
    <row r="2952" customFormat="false" ht="15" hidden="false" customHeight="false" outlineLevel="0" collapsed="false">
      <c r="A2952" s="31"/>
      <c r="B2952" s="32"/>
      <c r="C2952" s="32"/>
      <c r="D2952" s="32"/>
      <c r="E2952" s="32"/>
      <c r="F2952" s="32"/>
      <c r="G2952" s="33"/>
      <c r="H2952" s="33"/>
      <c r="I2952" s="34" t="str">
        <f aca="false">IF($A2952="","",$G2952-$H2952)</f>
        <v/>
      </c>
      <c r="J2952" s="35" t="str">
        <f aca="false">IF($A2952="","",IF(Setup!$B$6=1,YEAR($A2952),YEAR($A2952)+IF(MONTH($A2952)&gt;=Setup!$B$6,1,0)))</f>
        <v/>
      </c>
      <c r="K2952" s="35" t="str">
        <f aca="false">IF($A2952="","",MOD(MONTH($A2952)-Setup!$B$6+12,12)+1)</f>
        <v/>
      </c>
      <c r="L2952" s="36" t="str">
        <f aca="false">IF($A2952="","",TEXT($A2952,"MMM-YY"))</f>
        <v/>
      </c>
      <c r="M2952" s="37" t="str">
        <f aca="false">IF($A2952="","",IF($Q2952=0,"UNMAPPED",INDEX(COA_Mapping!$C$7:$C$256,$Q2952)))</f>
        <v/>
      </c>
      <c r="N2952" s="38" t="str">
        <f aca="false">IF($A2952="","",IF($Q2952=0,"",INDEX(COA_Mapping!$E$7:$E$256,$Q2952)))</f>
        <v/>
      </c>
      <c r="O2952" s="38" t="n">
        <f aca="false">IF($A2952="",1,IF($Q2952=0,1,INDEX(COA_Mapping!$F$7:$F$256,$Q2952)))</f>
        <v>1</v>
      </c>
      <c r="P2952" s="34" t="str">
        <f aca="false">IF($A2952="","",$I2952*$O2952)</f>
        <v/>
      </c>
      <c r="Q2952" s="39" t="n">
        <f aca="false">IF($B2952="",0,IFERROR(MATCH($B2952,COA_Mapping!$A$7:$A$256,0),0))</f>
        <v>0</v>
      </c>
      <c r="R2952" s="39" t="n">
        <f aca="false">IF($A2952="",-1,IF($J2952=Setup!$B$7,1,IF($J2952=Setup!$B$9,0,-1)))</f>
        <v>-1</v>
      </c>
      <c r="S2952" s="35" t="n">
        <f aca="false">IF(OR($A2952="",$Q2952=0,$R2952=-1),0,$Q2952*1000+$R2952*100+$K2952)</f>
        <v>0</v>
      </c>
      <c r="T2952" s="37" t="str">
        <f aca="false">IF($A2952="","",IF($B2952="","NO ACCOUNT",IF($Q2952=0,"UNMAPPED",IF($R2952=-1,"OUTSIDE FY RANGE","OK"))))</f>
        <v/>
      </c>
      <c r="U2952" s="40" t="str">
        <f aca="false">IF($A2952="","",$B2952&amp;"|"&amp;TEXT($A2952,"yyyymmdd")&amp;"|"&amp;TEXT($I2952,"0.00"))</f>
        <v/>
      </c>
      <c r="V2952" s="35" t="str">
        <f aca="false">IF($A2952="","",COUNTIF($U$8:$U$5007,$U2952))</f>
        <v/>
      </c>
    </row>
    <row r="2953" customFormat="false" ht="15" hidden="false" customHeight="false" outlineLevel="0" collapsed="false">
      <c r="A2953" s="31"/>
      <c r="B2953" s="32"/>
      <c r="C2953" s="32"/>
      <c r="D2953" s="32"/>
      <c r="E2953" s="32"/>
      <c r="F2953" s="32"/>
      <c r="G2953" s="33"/>
      <c r="H2953" s="33"/>
      <c r="I2953" s="34" t="str">
        <f aca="false">IF($A2953="","",$G2953-$H2953)</f>
        <v/>
      </c>
      <c r="J2953" s="35" t="str">
        <f aca="false">IF($A2953="","",IF(Setup!$B$6=1,YEAR($A2953),YEAR($A2953)+IF(MONTH($A2953)&gt;=Setup!$B$6,1,0)))</f>
        <v/>
      </c>
      <c r="K2953" s="35" t="str">
        <f aca="false">IF($A2953="","",MOD(MONTH($A2953)-Setup!$B$6+12,12)+1)</f>
        <v/>
      </c>
      <c r="L2953" s="36" t="str">
        <f aca="false">IF($A2953="","",TEXT($A2953,"MMM-YY"))</f>
        <v/>
      </c>
      <c r="M2953" s="37" t="str">
        <f aca="false">IF($A2953="","",IF($Q2953=0,"UNMAPPED",INDEX(COA_Mapping!$C$7:$C$256,$Q2953)))</f>
        <v/>
      </c>
      <c r="N2953" s="38" t="str">
        <f aca="false">IF($A2953="","",IF($Q2953=0,"",INDEX(COA_Mapping!$E$7:$E$256,$Q2953)))</f>
        <v/>
      </c>
      <c r="O2953" s="38" t="n">
        <f aca="false">IF($A2953="",1,IF($Q2953=0,1,INDEX(COA_Mapping!$F$7:$F$256,$Q2953)))</f>
        <v>1</v>
      </c>
      <c r="P2953" s="34" t="str">
        <f aca="false">IF($A2953="","",$I2953*$O2953)</f>
        <v/>
      </c>
      <c r="Q2953" s="39" t="n">
        <f aca="false">IF($B2953="",0,IFERROR(MATCH($B2953,COA_Mapping!$A$7:$A$256,0),0))</f>
        <v>0</v>
      </c>
      <c r="R2953" s="39" t="n">
        <f aca="false">IF($A2953="",-1,IF($J2953=Setup!$B$7,1,IF($J2953=Setup!$B$9,0,-1)))</f>
        <v>-1</v>
      </c>
      <c r="S2953" s="35" t="n">
        <f aca="false">IF(OR($A2953="",$Q2953=0,$R2953=-1),0,$Q2953*1000+$R2953*100+$K2953)</f>
        <v>0</v>
      </c>
      <c r="T2953" s="37" t="str">
        <f aca="false">IF($A2953="","",IF($B2953="","NO ACCOUNT",IF($Q2953=0,"UNMAPPED",IF($R2953=-1,"OUTSIDE FY RANGE","OK"))))</f>
        <v/>
      </c>
      <c r="U2953" s="40" t="str">
        <f aca="false">IF($A2953="","",$B2953&amp;"|"&amp;TEXT($A2953,"yyyymmdd")&amp;"|"&amp;TEXT($I2953,"0.00"))</f>
        <v/>
      </c>
      <c r="V2953" s="35" t="str">
        <f aca="false">IF($A2953="","",COUNTIF($U$8:$U$5007,$U2953))</f>
        <v/>
      </c>
    </row>
    <row r="2954" customFormat="false" ht="15" hidden="false" customHeight="false" outlineLevel="0" collapsed="false">
      <c r="A2954" s="31"/>
      <c r="B2954" s="32"/>
      <c r="C2954" s="32"/>
      <c r="D2954" s="32"/>
      <c r="E2954" s="32"/>
      <c r="F2954" s="32"/>
      <c r="G2954" s="33"/>
      <c r="H2954" s="33"/>
      <c r="I2954" s="34" t="str">
        <f aca="false">IF($A2954="","",$G2954-$H2954)</f>
        <v/>
      </c>
      <c r="J2954" s="35" t="str">
        <f aca="false">IF($A2954="","",IF(Setup!$B$6=1,YEAR($A2954),YEAR($A2954)+IF(MONTH($A2954)&gt;=Setup!$B$6,1,0)))</f>
        <v/>
      </c>
      <c r="K2954" s="35" t="str">
        <f aca="false">IF($A2954="","",MOD(MONTH($A2954)-Setup!$B$6+12,12)+1)</f>
        <v/>
      </c>
      <c r="L2954" s="36" t="str">
        <f aca="false">IF($A2954="","",TEXT($A2954,"MMM-YY"))</f>
        <v/>
      </c>
      <c r="M2954" s="37" t="str">
        <f aca="false">IF($A2954="","",IF($Q2954=0,"UNMAPPED",INDEX(COA_Mapping!$C$7:$C$256,$Q2954)))</f>
        <v/>
      </c>
      <c r="N2954" s="38" t="str">
        <f aca="false">IF($A2954="","",IF($Q2954=0,"",INDEX(COA_Mapping!$E$7:$E$256,$Q2954)))</f>
        <v/>
      </c>
      <c r="O2954" s="38" t="n">
        <f aca="false">IF($A2954="",1,IF($Q2954=0,1,INDEX(COA_Mapping!$F$7:$F$256,$Q2954)))</f>
        <v>1</v>
      </c>
      <c r="P2954" s="34" t="str">
        <f aca="false">IF($A2954="","",$I2954*$O2954)</f>
        <v/>
      </c>
      <c r="Q2954" s="39" t="n">
        <f aca="false">IF($B2954="",0,IFERROR(MATCH($B2954,COA_Mapping!$A$7:$A$256,0),0))</f>
        <v>0</v>
      </c>
      <c r="R2954" s="39" t="n">
        <f aca="false">IF($A2954="",-1,IF($J2954=Setup!$B$7,1,IF($J2954=Setup!$B$9,0,-1)))</f>
        <v>-1</v>
      </c>
      <c r="S2954" s="35" t="n">
        <f aca="false">IF(OR($A2954="",$Q2954=0,$R2954=-1),0,$Q2954*1000+$R2954*100+$K2954)</f>
        <v>0</v>
      </c>
      <c r="T2954" s="37" t="str">
        <f aca="false">IF($A2954="","",IF($B2954="","NO ACCOUNT",IF($Q2954=0,"UNMAPPED",IF($R2954=-1,"OUTSIDE FY RANGE","OK"))))</f>
        <v/>
      </c>
      <c r="U2954" s="40" t="str">
        <f aca="false">IF($A2954="","",$B2954&amp;"|"&amp;TEXT($A2954,"yyyymmdd")&amp;"|"&amp;TEXT($I2954,"0.00"))</f>
        <v/>
      </c>
      <c r="V2954" s="35" t="str">
        <f aca="false">IF($A2954="","",COUNTIF($U$8:$U$5007,$U2954))</f>
        <v/>
      </c>
    </row>
    <row r="2955" customFormat="false" ht="15" hidden="false" customHeight="false" outlineLevel="0" collapsed="false">
      <c r="A2955" s="31"/>
      <c r="B2955" s="32"/>
      <c r="C2955" s="32"/>
      <c r="D2955" s="32"/>
      <c r="E2955" s="32"/>
      <c r="F2955" s="32"/>
      <c r="G2955" s="33"/>
      <c r="H2955" s="33"/>
      <c r="I2955" s="34" t="str">
        <f aca="false">IF($A2955="","",$G2955-$H2955)</f>
        <v/>
      </c>
      <c r="J2955" s="35" t="str">
        <f aca="false">IF($A2955="","",IF(Setup!$B$6=1,YEAR($A2955),YEAR($A2955)+IF(MONTH($A2955)&gt;=Setup!$B$6,1,0)))</f>
        <v/>
      </c>
      <c r="K2955" s="35" t="str">
        <f aca="false">IF($A2955="","",MOD(MONTH($A2955)-Setup!$B$6+12,12)+1)</f>
        <v/>
      </c>
      <c r="L2955" s="36" t="str">
        <f aca="false">IF($A2955="","",TEXT($A2955,"MMM-YY"))</f>
        <v/>
      </c>
      <c r="M2955" s="37" t="str">
        <f aca="false">IF($A2955="","",IF($Q2955=0,"UNMAPPED",INDEX(COA_Mapping!$C$7:$C$256,$Q2955)))</f>
        <v/>
      </c>
      <c r="N2955" s="38" t="str">
        <f aca="false">IF($A2955="","",IF($Q2955=0,"",INDEX(COA_Mapping!$E$7:$E$256,$Q2955)))</f>
        <v/>
      </c>
      <c r="O2955" s="38" t="n">
        <f aca="false">IF($A2955="",1,IF($Q2955=0,1,INDEX(COA_Mapping!$F$7:$F$256,$Q2955)))</f>
        <v>1</v>
      </c>
      <c r="P2955" s="34" t="str">
        <f aca="false">IF($A2955="","",$I2955*$O2955)</f>
        <v/>
      </c>
      <c r="Q2955" s="39" t="n">
        <f aca="false">IF($B2955="",0,IFERROR(MATCH($B2955,COA_Mapping!$A$7:$A$256,0),0))</f>
        <v>0</v>
      </c>
      <c r="R2955" s="39" t="n">
        <f aca="false">IF($A2955="",-1,IF($J2955=Setup!$B$7,1,IF($J2955=Setup!$B$9,0,-1)))</f>
        <v>-1</v>
      </c>
      <c r="S2955" s="35" t="n">
        <f aca="false">IF(OR($A2955="",$Q2955=0,$R2955=-1),0,$Q2955*1000+$R2955*100+$K2955)</f>
        <v>0</v>
      </c>
      <c r="T2955" s="37" t="str">
        <f aca="false">IF($A2955="","",IF($B2955="","NO ACCOUNT",IF($Q2955=0,"UNMAPPED",IF($R2955=-1,"OUTSIDE FY RANGE","OK"))))</f>
        <v/>
      </c>
      <c r="U2955" s="40" t="str">
        <f aca="false">IF($A2955="","",$B2955&amp;"|"&amp;TEXT($A2955,"yyyymmdd")&amp;"|"&amp;TEXT($I2955,"0.00"))</f>
        <v/>
      </c>
      <c r="V2955" s="35" t="str">
        <f aca="false">IF($A2955="","",COUNTIF($U$8:$U$5007,$U2955))</f>
        <v/>
      </c>
    </row>
    <row r="2956" customFormat="false" ht="15" hidden="false" customHeight="false" outlineLevel="0" collapsed="false">
      <c r="A2956" s="31"/>
      <c r="B2956" s="32"/>
      <c r="C2956" s="32"/>
      <c r="D2956" s="32"/>
      <c r="E2956" s="32"/>
      <c r="F2956" s="32"/>
      <c r="G2956" s="33"/>
      <c r="H2956" s="33"/>
      <c r="I2956" s="34" t="str">
        <f aca="false">IF($A2956="","",$G2956-$H2956)</f>
        <v/>
      </c>
      <c r="J2956" s="35" t="str">
        <f aca="false">IF($A2956="","",IF(Setup!$B$6=1,YEAR($A2956),YEAR($A2956)+IF(MONTH($A2956)&gt;=Setup!$B$6,1,0)))</f>
        <v/>
      </c>
      <c r="K2956" s="35" t="str">
        <f aca="false">IF($A2956="","",MOD(MONTH($A2956)-Setup!$B$6+12,12)+1)</f>
        <v/>
      </c>
      <c r="L2956" s="36" t="str">
        <f aca="false">IF($A2956="","",TEXT($A2956,"MMM-YY"))</f>
        <v/>
      </c>
      <c r="M2956" s="37" t="str">
        <f aca="false">IF($A2956="","",IF($Q2956=0,"UNMAPPED",INDEX(COA_Mapping!$C$7:$C$256,$Q2956)))</f>
        <v/>
      </c>
      <c r="N2956" s="38" t="str">
        <f aca="false">IF($A2956="","",IF($Q2956=0,"",INDEX(COA_Mapping!$E$7:$E$256,$Q2956)))</f>
        <v/>
      </c>
      <c r="O2956" s="38" t="n">
        <f aca="false">IF($A2956="",1,IF($Q2956=0,1,INDEX(COA_Mapping!$F$7:$F$256,$Q2956)))</f>
        <v>1</v>
      </c>
      <c r="P2956" s="34" t="str">
        <f aca="false">IF($A2956="","",$I2956*$O2956)</f>
        <v/>
      </c>
      <c r="Q2956" s="39" t="n">
        <f aca="false">IF($B2956="",0,IFERROR(MATCH($B2956,COA_Mapping!$A$7:$A$256,0),0))</f>
        <v>0</v>
      </c>
      <c r="R2956" s="39" t="n">
        <f aca="false">IF($A2956="",-1,IF($J2956=Setup!$B$7,1,IF($J2956=Setup!$B$9,0,-1)))</f>
        <v>-1</v>
      </c>
      <c r="S2956" s="35" t="n">
        <f aca="false">IF(OR($A2956="",$Q2956=0,$R2956=-1),0,$Q2956*1000+$R2956*100+$K2956)</f>
        <v>0</v>
      </c>
      <c r="T2956" s="37" t="str">
        <f aca="false">IF($A2956="","",IF($B2956="","NO ACCOUNT",IF($Q2956=0,"UNMAPPED",IF($R2956=-1,"OUTSIDE FY RANGE","OK"))))</f>
        <v/>
      </c>
      <c r="U2956" s="40" t="str">
        <f aca="false">IF($A2956="","",$B2956&amp;"|"&amp;TEXT($A2956,"yyyymmdd")&amp;"|"&amp;TEXT($I2956,"0.00"))</f>
        <v/>
      </c>
      <c r="V2956" s="35" t="str">
        <f aca="false">IF($A2956="","",COUNTIF($U$8:$U$5007,$U2956))</f>
        <v/>
      </c>
    </row>
    <row r="2957" customFormat="false" ht="15" hidden="false" customHeight="false" outlineLevel="0" collapsed="false">
      <c r="A2957" s="31"/>
      <c r="B2957" s="32"/>
      <c r="C2957" s="32"/>
      <c r="D2957" s="32"/>
      <c r="E2957" s="32"/>
      <c r="F2957" s="32"/>
      <c r="G2957" s="33"/>
      <c r="H2957" s="33"/>
      <c r="I2957" s="34" t="str">
        <f aca="false">IF($A2957="","",$G2957-$H2957)</f>
        <v/>
      </c>
      <c r="J2957" s="35" t="str">
        <f aca="false">IF($A2957="","",IF(Setup!$B$6=1,YEAR($A2957),YEAR($A2957)+IF(MONTH($A2957)&gt;=Setup!$B$6,1,0)))</f>
        <v/>
      </c>
      <c r="K2957" s="35" t="str">
        <f aca="false">IF($A2957="","",MOD(MONTH($A2957)-Setup!$B$6+12,12)+1)</f>
        <v/>
      </c>
      <c r="L2957" s="36" t="str">
        <f aca="false">IF($A2957="","",TEXT($A2957,"MMM-YY"))</f>
        <v/>
      </c>
      <c r="M2957" s="37" t="str">
        <f aca="false">IF($A2957="","",IF($Q2957=0,"UNMAPPED",INDEX(COA_Mapping!$C$7:$C$256,$Q2957)))</f>
        <v/>
      </c>
      <c r="N2957" s="38" t="str">
        <f aca="false">IF($A2957="","",IF($Q2957=0,"",INDEX(COA_Mapping!$E$7:$E$256,$Q2957)))</f>
        <v/>
      </c>
      <c r="O2957" s="38" t="n">
        <f aca="false">IF($A2957="",1,IF($Q2957=0,1,INDEX(COA_Mapping!$F$7:$F$256,$Q2957)))</f>
        <v>1</v>
      </c>
      <c r="P2957" s="34" t="str">
        <f aca="false">IF($A2957="","",$I2957*$O2957)</f>
        <v/>
      </c>
      <c r="Q2957" s="39" t="n">
        <f aca="false">IF($B2957="",0,IFERROR(MATCH($B2957,COA_Mapping!$A$7:$A$256,0),0))</f>
        <v>0</v>
      </c>
      <c r="R2957" s="39" t="n">
        <f aca="false">IF($A2957="",-1,IF($J2957=Setup!$B$7,1,IF($J2957=Setup!$B$9,0,-1)))</f>
        <v>-1</v>
      </c>
      <c r="S2957" s="35" t="n">
        <f aca="false">IF(OR($A2957="",$Q2957=0,$R2957=-1),0,$Q2957*1000+$R2957*100+$K2957)</f>
        <v>0</v>
      </c>
      <c r="T2957" s="37" t="str">
        <f aca="false">IF($A2957="","",IF($B2957="","NO ACCOUNT",IF($Q2957=0,"UNMAPPED",IF($R2957=-1,"OUTSIDE FY RANGE","OK"))))</f>
        <v/>
      </c>
      <c r="U2957" s="40" t="str">
        <f aca="false">IF($A2957="","",$B2957&amp;"|"&amp;TEXT($A2957,"yyyymmdd")&amp;"|"&amp;TEXT($I2957,"0.00"))</f>
        <v/>
      </c>
      <c r="V2957" s="35" t="str">
        <f aca="false">IF($A2957="","",COUNTIF($U$8:$U$5007,$U2957))</f>
        <v/>
      </c>
    </row>
    <row r="2958" customFormat="false" ht="15" hidden="false" customHeight="false" outlineLevel="0" collapsed="false">
      <c r="A2958" s="31"/>
      <c r="B2958" s="32"/>
      <c r="C2958" s="32"/>
      <c r="D2958" s="32"/>
      <c r="E2958" s="32"/>
      <c r="F2958" s="32"/>
      <c r="G2958" s="33"/>
      <c r="H2958" s="33"/>
      <c r="I2958" s="34" t="str">
        <f aca="false">IF($A2958="","",$G2958-$H2958)</f>
        <v/>
      </c>
      <c r="J2958" s="35" t="str">
        <f aca="false">IF($A2958="","",IF(Setup!$B$6=1,YEAR($A2958),YEAR($A2958)+IF(MONTH($A2958)&gt;=Setup!$B$6,1,0)))</f>
        <v/>
      </c>
      <c r="K2958" s="35" t="str">
        <f aca="false">IF($A2958="","",MOD(MONTH($A2958)-Setup!$B$6+12,12)+1)</f>
        <v/>
      </c>
      <c r="L2958" s="36" t="str">
        <f aca="false">IF($A2958="","",TEXT($A2958,"MMM-YY"))</f>
        <v/>
      </c>
      <c r="M2958" s="37" t="str">
        <f aca="false">IF($A2958="","",IF($Q2958=0,"UNMAPPED",INDEX(COA_Mapping!$C$7:$C$256,$Q2958)))</f>
        <v/>
      </c>
      <c r="N2958" s="38" t="str">
        <f aca="false">IF($A2958="","",IF($Q2958=0,"",INDEX(COA_Mapping!$E$7:$E$256,$Q2958)))</f>
        <v/>
      </c>
      <c r="O2958" s="38" t="n">
        <f aca="false">IF($A2958="",1,IF($Q2958=0,1,INDEX(COA_Mapping!$F$7:$F$256,$Q2958)))</f>
        <v>1</v>
      </c>
      <c r="P2958" s="34" t="str">
        <f aca="false">IF($A2958="","",$I2958*$O2958)</f>
        <v/>
      </c>
      <c r="Q2958" s="39" t="n">
        <f aca="false">IF($B2958="",0,IFERROR(MATCH($B2958,COA_Mapping!$A$7:$A$256,0),0))</f>
        <v>0</v>
      </c>
      <c r="R2958" s="39" t="n">
        <f aca="false">IF($A2958="",-1,IF($J2958=Setup!$B$7,1,IF($J2958=Setup!$B$9,0,-1)))</f>
        <v>-1</v>
      </c>
      <c r="S2958" s="35" t="n">
        <f aca="false">IF(OR($A2958="",$Q2958=0,$R2958=-1),0,$Q2958*1000+$R2958*100+$K2958)</f>
        <v>0</v>
      </c>
      <c r="T2958" s="37" t="str">
        <f aca="false">IF($A2958="","",IF($B2958="","NO ACCOUNT",IF($Q2958=0,"UNMAPPED",IF($R2958=-1,"OUTSIDE FY RANGE","OK"))))</f>
        <v/>
      </c>
      <c r="U2958" s="40" t="str">
        <f aca="false">IF($A2958="","",$B2958&amp;"|"&amp;TEXT($A2958,"yyyymmdd")&amp;"|"&amp;TEXT($I2958,"0.00"))</f>
        <v/>
      </c>
      <c r="V2958" s="35" t="str">
        <f aca="false">IF($A2958="","",COUNTIF($U$8:$U$5007,$U2958))</f>
        <v/>
      </c>
    </row>
    <row r="2959" customFormat="false" ht="15" hidden="false" customHeight="false" outlineLevel="0" collapsed="false">
      <c r="A2959" s="31"/>
      <c r="B2959" s="32"/>
      <c r="C2959" s="32"/>
      <c r="D2959" s="32"/>
      <c r="E2959" s="32"/>
      <c r="F2959" s="32"/>
      <c r="G2959" s="33"/>
      <c r="H2959" s="33"/>
      <c r="I2959" s="34" t="str">
        <f aca="false">IF($A2959="","",$G2959-$H2959)</f>
        <v/>
      </c>
      <c r="J2959" s="35" t="str">
        <f aca="false">IF($A2959="","",IF(Setup!$B$6=1,YEAR($A2959),YEAR($A2959)+IF(MONTH($A2959)&gt;=Setup!$B$6,1,0)))</f>
        <v/>
      </c>
      <c r="K2959" s="35" t="str">
        <f aca="false">IF($A2959="","",MOD(MONTH($A2959)-Setup!$B$6+12,12)+1)</f>
        <v/>
      </c>
      <c r="L2959" s="36" t="str">
        <f aca="false">IF($A2959="","",TEXT($A2959,"MMM-YY"))</f>
        <v/>
      </c>
      <c r="M2959" s="37" t="str">
        <f aca="false">IF($A2959="","",IF($Q2959=0,"UNMAPPED",INDEX(COA_Mapping!$C$7:$C$256,$Q2959)))</f>
        <v/>
      </c>
      <c r="N2959" s="38" t="str">
        <f aca="false">IF($A2959="","",IF($Q2959=0,"",INDEX(COA_Mapping!$E$7:$E$256,$Q2959)))</f>
        <v/>
      </c>
      <c r="O2959" s="38" t="n">
        <f aca="false">IF($A2959="",1,IF($Q2959=0,1,INDEX(COA_Mapping!$F$7:$F$256,$Q2959)))</f>
        <v>1</v>
      </c>
      <c r="P2959" s="34" t="str">
        <f aca="false">IF($A2959="","",$I2959*$O2959)</f>
        <v/>
      </c>
      <c r="Q2959" s="39" t="n">
        <f aca="false">IF($B2959="",0,IFERROR(MATCH($B2959,COA_Mapping!$A$7:$A$256,0),0))</f>
        <v>0</v>
      </c>
      <c r="R2959" s="39" t="n">
        <f aca="false">IF($A2959="",-1,IF($J2959=Setup!$B$7,1,IF($J2959=Setup!$B$9,0,-1)))</f>
        <v>-1</v>
      </c>
      <c r="S2959" s="35" t="n">
        <f aca="false">IF(OR($A2959="",$Q2959=0,$R2959=-1),0,$Q2959*1000+$R2959*100+$K2959)</f>
        <v>0</v>
      </c>
      <c r="T2959" s="37" t="str">
        <f aca="false">IF($A2959="","",IF($B2959="","NO ACCOUNT",IF($Q2959=0,"UNMAPPED",IF($R2959=-1,"OUTSIDE FY RANGE","OK"))))</f>
        <v/>
      </c>
      <c r="U2959" s="40" t="str">
        <f aca="false">IF($A2959="","",$B2959&amp;"|"&amp;TEXT($A2959,"yyyymmdd")&amp;"|"&amp;TEXT($I2959,"0.00"))</f>
        <v/>
      </c>
      <c r="V2959" s="35" t="str">
        <f aca="false">IF($A2959="","",COUNTIF($U$8:$U$5007,$U2959))</f>
        <v/>
      </c>
    </row>
    <row r="2960" customFormat="false" ht="15" hidden="false" customHeight="false" outlineLevel="0" collapsed="false">
      <c r="A2960" s="31"/>
      <c r="B2960" s="32"/>
      <c r="C2960" s="32"/>
      <c r="D2960" s="32"/>
      <c r="E2960" s="32"/>
      <c r="F2960" s="32"/>
      <c r="G2960" s="33"/>
      <c r="H2960" s="33"/>
      <c r="I2960" s="34" t="str">
        <f aca="false">IF($A2960="","",$G2960-$H2960)</f>
        <v/>
      </c>
      <c r="J2960" s="35" t="str">
        <f aca="false">IF($A2960="","",IF(Setup!$B$6=1,YEAR($A2960),YEAR($A2960)+IF(MONTH($A2960)&gt;=Setup!$B$6,1,0)))</f>
        <v/>
      </c>
      <c r="K2960" s="35" t="str">
        <f aca="false">IF($A2960="","",MOD(MONTH($A2960)-Setup!$B$6+12,12)+1)</f>
        <v/>
      </c>
      <c r="L2960" s="36" t="str">
        <f aca="false">IF($A2960="","",TEXT($A2960,"MMM-YY"))</f>
        <v/>
      </c>
      <c r="M2960" s="37" t="str">
        <f aca="false">IF($A2960="","",IF($Q2960=0,"UNMAPPED",INDEX(COA_Mapping!$C$7:$C$256,$Q2960)))</f>
        <v/>
      </c>
      <c r="N2960" s="38" t="str">
        <f aca="false">IF($A2960="","",IF($Q2960=0,"",INDEX(COA_Mapping!$E$7:$E$256,$Q2960)))</f>
        <v/>
      </c>
      <c r="O2960" s="38" t="n">
        <f aca="false">IF($A2960="",1,IF($Q2960=0,1,INDEX(COA_Mapping!$F$7:$F$256,$Q2960)))</f>
        <v>1</v>
      </c>
      <c r="P2960" s="34" t="str">
        <f aca="false">IF($A2960="","",$I2960*$O2960)</f>
        <v/>
      </c>
      <c r="Q2960" s="39" t="n">
        <f aca="false">IF($B2960="",0,IFERROR(MATCH($B2960,COA_Mapping!$A$7:$A$256,0),0))</f>
        <v>0</v>
      </c>
      <c r="R2960" s="39" t="n">
        <f aca="false">IF($A2960="",-1,IF($J2960=Setup!$B$7,1,IF($J2960=Setup!$B$9,0,-1)))</f>
        <v>-1</v>
      </c>
      <c r="S2960" s="35" t="n">
        <f aca="false">IF(OR($A2960="",$Q2960=0,$R2960=-1),0,$Q2960*1000+$R2960*100+$K2960)</f>
        <v>0</v>
      </c>
      <c r="T2960" s="37" t="str">
        <f aca="false">IF($A2960="","",IF($B2960="","NO ACCOUNT",IF($Q2960=0,"UNMAPPED",IF($R2960=-1,"OUTSIDE FY RANGE","OK"))))</f>
        <v/>
      </c>
      <c r="U2960" s="40" t="str">
        <f aca="false">IF($A2960="","",$B2960&amp;"|"&amp;TEXT($A2960,"yyyymmdd")&amp;"|"&amp;TEXT($I2960,"0.00"))</f>
        <v/>
      </c>
      <c r="V2960" s="35" t="str">
        <f aca="false">IF($A2960="","",COUNTIF($U$8:$U$5007,$U2960))</f>
        <v/>
      </c>
    </row>
    <row r="2961" customFormat="false" ht="15" hidden="false" customHeight="false" outlineLevel="0" collapsed="false">
      <c r="A2961" s="31"/>
      <c r="B2961" s="32"/>
      <c r="C2961" s="32"/>
      <c r="D2961" s="32"/>
      <c r="E2961" s="32"/>
      <c r="F2961" s="32"/>
      <c r="G2961" s="33"/>
      <c r="H2961" s="33"/>
      <c r="I2961" s="34" t="str">
        <f aca="false">IF($A2961="","",$G2961-$H2961)</f>
        <v/>
      </c>
      <c r="J2961" s="35" t="str">
        <f aca="false">IF($A2961="","",IF(Setup!$B$6=1,YEAR($A2961),YEAR($A2961)+IF(MONTH($A2961)&gt;=Setup!$B$6,1,0)))</f>
        <v/>
      </c>
      <c r="K2961" s="35" t="str">
        <f aca="false">IF($A2961="","",MOD(MONTH($A2961)-Setup!$B$6+12,12)+1)</f>
        <v/>
      </c>
      <c r="L2961" s="36" t="str">
        <f aca="false">IF($A2961="","",TEXT($A2961,"MMM-YY"))</f>
        <v/>
      </c>
      <c r="M2961" s="37" t="str">
        <f aca="false">IF($A2961="","",IF($Q2961=0,"UNMAPPED",INDEX(COA_Mapping!$C$7:$C$256,$Q2961)))</f>
        <v/>
      </c>
      <c r="N2961" s="38" t="str">
        <f aca="false">IF($A2961="","",IF($Q2961=0,"",INDEX(COA_Mapping!$E$7:$E$256,$Q2961)))</f>
        <v/>
      </c>
      <c r="O2961" s="38" t="n">
        <f aca="false">IF($A2961="",1,IF($Q2961=0,1,INDEX(COA_Mapping!$F$7:$F$256,$Q2961)))</f>
        <v>1</v>
      </c>
      <c r="P2961" s="34" t="str">
        <f aca="false">IF($A2961="","",$I2961*$O2961)</f>
        <v/>
      </c>
      <c r="Q2961" s="39" t="n">
        <f aca="false">IF($B2961="",0,IFERROR(MATCH($B2961,COA_Mapping!$A$7:$A$256,0),0))</f>
        <v>0</v>
      </c>
      <c r="R2961" s="39" t="n">
        <f aca="false">IF($A2961="",-1,IF($J2961=Setup!$B$7,1,IF($J2961=Setup!$B$9,0,-1)))</f>
        <v>-1</v>
      </c>
      <c r="S2961" s="35" t="n">
        <f aca="false">IF(OR($A2961="",$Q2961=0,$R2961=-1),0,$Q2961*1000+$R2961*100+$K2961)</f>
        <v>0</v>
      </c>
      <c r="T2961" s="37" t="str">
        <f aca="false">IF($A2961="","",IF($B2961="","NO ACCOUNT",IF($Q2961=0,"UNMAPPED",IF($R2961=-1,"OUTSIDE FY RANGE","OK"))))</f>
        <v/>
      </c>
      <c r="U2961" s="40" t="str">
        <f aca="false">IF($A2961="","",$B2961&amp;"|"&amp;TEXT($A2961,"yyyymmdd")&amp;"|"&amp;TEXT($I2961,"0.00"))</f>
        <v/>
      </c>
      <c r="V2961" s="35" t="str">
        <f aca="false">IF($A2961="","",COUNTIF($U$8:$U$5007,$U2961))</f>
        <v/>
      </c>
    </row>
    <row r="2962" customFormat="false" ht="15" hidden="false" customHeight="false" outlineLevel="0" collapsed="false">
      <c r="A2962" s="31"/>
      <c r="B2962" s="32"/>
      <c r="C2962" s="32"/>
      <c r="D2962" s="32"/>
      <c r="E2962" s="32"/>
      <c r="F2962" s="32"/>
      <c r="G2962" s="33"/>
      <c r="H2962" s="33"/>
      <c r="I2962" s="34" t="str">
        <f aca="false">IF($A2962="","",$G2962-$H2962)</f>
        <v/>
      </c>
      <c r="J2962" s="35" t="str">
        <f aca="false">IF($A2962="","",IF(Setup!$B$6=1,YEAR($A2962),YEAR($A2962)+IF(MONTH($A2962)&gt;=Setup!$B$6,1,0)))</f>
        <v/>
      </c>
      <c r="K2962" s="35" t="str">
        <f aca="false">IF($A2962="","",MOD(MONTH($A2962)-Setup!$B$6+12,12)+1)</f>
        <v/>
      </c>
      <c r="L2962" s="36" t="str">
        <f aca="false">IF($A2962="","",TEXT($A2962,"MMM-YY"))</f>
        <v/>
      </c>
      <c r="M2962" s="37" t="str">
        <f aca="false">IF($A2962="","",IF($Q2962=0,"UNMAPPED",INDEX(COA_Mapping!$C$7:$C$256,$Q2962)))</f>
        <v/>
      </c>
      <c r="N2962" s="38" t="str">
        <f aca="false">IF($A2962="","",IF($Q2962=0,"",INDEX(COA_Mapping!$E$7:$E$256,$Q2962)))</f>
        <v/>
      </c>
      <c r="O2962" s="38" t="n">
        <f aca="false">IF($A2962="",1,IF($Q2962=0,1,INDEX(COA_Mapping!$F$7:$F$256,$Q2962)))</f>
        <v>1</v>
      </c>
      <c r="P2962" s="34" t="str">
        <f aca="false">IF($A2962="","",$I2962*$O2962)</f>
        <v/>
      </c>
      <c r="Q2962" s="39" t="n">
        <f aca="false">IF($B2962="",0,IFERROR(MATCH($B2962,COA_Mapping!$A$7:$A$256,0),0))</f>
        <v>0</v>
      </c>
      <c r="R2962" s="39" t="n">
        <f aca="false">IF($A2962="",-1,IF($J2962=Setup!$B$7,1,IF($J2962=Setup!$B$9,0,-1)))</f>
        <v>-1</v>
      </c>
      <c r="S2962" s="35" t="n">
        <f aca="false">IF(OR($A2962="",$Q2962=0,$R2962=-1),0,$Q2962*1000+$R2962*100+$K2962)</f>
        <v>0</v>
      </c>
      <c r="T2962" s="37" t="str">
        <f aca="false">IF($A2962="","",IF($B2962="","NO ACCOUNT",IF($Q2962=0,"UNMAPPED",IF($R2962=-1,"OUTSIDE FY RANGE","OK"))))</f>
        <v/>
      </c>
      <c r="U2962" s="40" t="str">
        <f aca="false">IF($A2962="","",$B2962&amp;"|"&amp;TEXT($A2962,"yyyymmdd")&amp;"|"&amp;TEXT($I2962,"0.00"))</f>
        <v/>
      </c>
      <c r="V2962" s="35" t="str">
        <f aca="false">IF($A2962="","",COUNTIF($U$8:$U$5007,$U2962))</f>
        <v/>
      </c>
    </row>
    <row r="2963" customFormat="false" ht="15" hidden="false" customHeight="false" outlineLevel="0" collapsed="false">
      <c r="A2963" s="31"/>
      <c r="B2963" s="32"/>
      <c r="C2963" s="32"/>
      <c r="D2963" s="32"/>
      <c r="E2963" s="32"/>
      <c r="F2963" s="32"/>
      <c r="G2963" s="33"/>
      <c r="H2963" s="33"/>
      <c r="I2963" s="34" t="str">
        <f aca="false">IF($A2963="","",$G2963-$H2963)</f>
        <v/>
      </c>
      <c r="J2963" s="35" t="str">
        <f aca="false">IF($A2963="","",IF(Setup!$B$6=1,YEAR($A2963),YEAR($A2963)+IF(MONTH($A2963)&gt;=Setup!$B$6,1,0)))</f>
        <v/>
      </c>
      <c r="K2963" s="35" t="str">
        <f aca="false">IF($A2963="","",MOD(MONTH($A2963)-Setup!$B$6+12,12)+1)</f>
        <v/>
      </c>
      <c r="L2963" s="36" t="str">
        <f aca="false">IF($A2963="","",TEXT($A2963,"MMM-YY"))</f>
        <v/>
      </c>
      <c r="M2963" s="37" t="str">
        <f aca="false">IF($A2963="","",IF($Q2963=0,"UNMAPPED",INDEX(COA_Mapping!$C$7:$C$256,$Q2963)))</f>
        <v/>
      </c>
      <c r="N2963" s="38" t="str">
        <f aca="false">IF($A2963="","",IF($Q2963=0,"",INDEX(COA_Mapping!$E$7:$E$256,$Q2963)))</f>
        <v/>
      </c>
      <c r="O2963" s="38" t="n">
        <f aca="false">IF($A2963="",1,IF($Q2963=0,1,INDEX(COA_Mapping!$F$7:$F$256,$Q2963)))</f>
        <v>1</v>
      </c>
      <c r="P2963" s="34" t="str">
        <f aca="false">IF($A2963="","",$I2963*$O2963)</f>
        <v/>
      </c>
      <c r="Q2963" s="39" t="n">
        <f aca="false">IF($B2963="",0,IFERROR(MATCH($B2963,COA_Mapping!$A$7:$A$256,0),0))</f>
        <v>0</v>
      </c>
      <c r="R2963" s="39" t="n">
        <f aca="false">IF($A2963="",-1,IF($J2963=Setup!$B$7,1,IF($J2963=Setup!$B$9,0,-1)))</f>
        <v>-1</v>
      </c>
      <c r="S2963" s="35" t="n">
        <f aca="false">IF(OR($A2963="",$Q2963=0,$R2963=-1),0,$Q2963*1000+$R2963*100+$K2963)</f>
        <v>0</v>
      </c>
      <c r="T2963" s="37" t="str">
        <f aca="false">IF($A2963="","",IF($B2963="","NO ACCOUNT",IF($Q2963=0,"UNMAPPED",IF($R2963=-1,"OUTSIDE FY RANGE","OK"))))</f>
        <v/>
      </c>
      <c r="U2963" s="40" t="str">
        <f aca="false">IF($A2963="","",$B2963&amp;"|"&amp;TEXT($A2963,"yyyymmdd")&amp;"|"&amp;TEXT($I2963,"0.00"))</f>
        <v/>
      </c>
      <c r="V2963" s="35" t="str">
        <f aca="false">IF($A2963="","",COUNTIF($U$8:$U$5007,$U2963))</f>
        <v/>
      </c>
    </row>
    <row r="2964" customFormat="false" ht="15" hidden="false" customHeight="false" outlineLevel="0" collapsed="false">
      <c r="A2964" s="31"/>
      <c r="B2964" s="32"/>
      <c r="C2964" s="32"/>
      <c r="D2964" s="32"/>
      <c r="E2964" s="32"/>
      <c r="F2964" s="32"/>
      <c r="G2964" s="33"/>
      <c r="H2964" s="33"/>
      <c r="I2964" s="34" t="str">
        <f aca="false">IF($A2964="","",$G2964-$H2964)</f>
        <v/>
      </c>
      <c r="J2964" s="35" t="str">
        <f aca="false">IF($A2964="","",IF(Setup!$B$6=1,YEAR($A2964),YEAR($A2964)+IF(MONTH($A2964)&gt;=Setup!$B$6,1,0)))</f>
        <v/>
      </c>
      <c r="K2964" s="35" t="str">
        <f aca="false">IF($A2964="","",MOD(MONTH($A2964)-Setup!$B$6+12,12)+1)</f>
        <v/>
      </c>
      <c r="L2964" s="36" t="str">
        <f aca="false">IF($A2964="","",TEXT($A2964,"MMM-YY"))</f>
        <v/>
      </c>
      <c r="M2964" s="37" t="str">
        <f aca="false">IF($A2964="","",IF($Q2964=0,"UNMAPPED",INDEX(COA_Mapping!$C$7:$C$256,$Q2964)))</f>
        <v/>
      </c>
      <c r="N2964" s="38" t="str">
        <f aca="false">IF($A2964="","",IF($Q2964=0,"",INDEX(COA_Mapping!$E$7:$E$256,$Q2964)))</f>
        <v/>
      </c>
      <c r="O2964" s="38" t="n">
        <f aca="false">IF($A2964="",1,IF($Q2964=0,1,INDEX(COA_Mapping!$F$7:$F$256,$Q2964)))</f>
        <v>1</v>
      </c>
      <c r="P2964" s="34" t="str">
        <f aca="false">IF($A2964="","",$I2964*$O2964)</f>
        <v/>
      </c>
      <c r="Q2964" s="39" t="n">
        <f aca="false">IF($B2964="",0,IFERROR(MATCH($B2964,COA_Mapping!$A$7:$A$256,0),0))</f>
        <v>0</v>
      </c>
      <c r="R2964" s="39" t="n">
        <f aca="false">IF($A2964="",-1,IF($J2964=Setup!$B$7,1,IF($J2964=Setup!$B$9,0,-1)))</f>
        <v>-1</v>
      </c>
      <c r="S2964" s="35" t="n">
        <f aca="false">IF(OR($A2964="",$Q2964=0,$R2964=-1),0,$Q2964*1000+$R2964*100+$K2964)</f>
        <v>0</v>
      </c>
      <c r="T2964" s="37" t="str">
        <f aca="false">IF($A2964="","",IF($B2964="","NO ACCOUNT",IF($Q2964=0,"UNMAPPED",IF($R2964=-1,"OUTSIDE FY RANGE","OK"))))</f>
        <v/>
      </c>
      <c r="U2964" s="40" t="str">
        <f aca="false">IF($A2964="","",$B2964&amp;"|"&amp;TEXT($A2964,"yyyymmdd")&amp;"|"&amp;TEXT($I2964,"0.00"))</f>
        <v/>
      </c>
      <c r="V2964" s="35" t="str">
        <f aca="false">IF($A2964="","",COUNTIF($U$8:$U$5007,$U2964))</f>
        <v/>
      </c>
    </row>
    <row r="2965" customFormat="false" ht="15" hidden="false" customHeight="false" outlineLevel="0" collapsed="false">
      <c r="A2965" s="31"/>
      <c r="B2965" s="32"/>
      <c r="C2965" s="32"/>
      <c r="D2965" s="32"/>
      <c r="E2965" s="32"/>
      <c r="F2965" s="32"/>
      <c r="G2965" s="33"/>
      <c r="H2965" s="33"/>
      <c r="I2965" s="34" t="str">
        <f aca="false">IF($A2965="","",$G2965-$H2965)</f>
        <v/>
      </c>
      <c r="J2965" s="35" t="str">
        <f aca="false">IF($A2965="","",IF(Setup!$B$6=1,YEAR($A2965),YEAR($A2965)+IF(MONTH($A2965)&gt;=Setup!$B$6,1,0)))</f>
        <v/>
      </c>
      <c r="K2965" s="35" t="str">
        <f aca="false">IF($A2965="","",MOD(MONTH($A2965)-Setup!$B$6+12,12)+1)</f>
        <v/>
      </c>
      <c r="L2965" s="36" t="str">
        <f aca="false">IF($A2965="","",TEXT($A2965,"MMM-YY"))</f>
        <v/>
      </c>
      <c r="M2965" s="37" t="str">
        <f aca="false">IF($A2965="","",IF($Q2965=0,"UNMAPPED",INDEX(COA_Mapping!$C$7:$C$256,$Q2965)))</f>
        <v/>
      </c>
      <c r="N2965" s="38" t="str">
        <f aca="false">IF($A2965="","",IF($Q2965=0,"",INDEX(COA_Mapping!$E$7:$E$256,$Q2965)))</f>
        <v/>
      </c>
      <c r="O2965" s="38" t="n">
        <f aca="false">IF($A2965="",1,IF($Q2965=0,1,INDEX(COA_Mapping!$F$7:$F$256,$Q2965)))</f>
        <v>1</v>
      </c>
      <c r="P2965" s="34" t="str">
        <f aca="false">IF($A2965="","",$I2965*$O2965)</f>
        <v/>
      </c>
      <c r="Q2965" s="39" t="n">
        <f aca="false">IF($B2965="",0,IFERROR(MATCH($B2965,COA_Mapping!$A$7:$A$256,0),0))</f>
        <v>0</v>
      </c>
      <c r="R2965" s="39" t="n">
        <f aca="false">IF($A2965="",-1,IF($J2965=Setup!$B$7,1,IF($J2965=Setup!$B$9,0,-1)))</f>
        <v>-1</v>
      </c>
      <c r="S2965" s="35" t="n">
        <f aca="false">IF(OR($A2965="",$Q2965=0,$R2965=-1),0,$Q2965*1000+$R2965*100+$K2965)</f>
        <v>0</v>
      </c>
      <c r="T2965" s="37" t="str">
        <f aca="false">IF($A2965="","",IF($B2965="","NO ACCOUNT",IF($Q2965=0,"UNMAPPED",IF($R2965=-1,"OUTSIDE FY RANGE","OK"))))</f>
        <v/>
      </c>
      <c r="U2965" s="40" t="str">
        <f aca="false">IF($A2965="","",$B2965&amp;"|"&amp;TEXT($A2965,"yyyymmdd")&amp;"|"&amp;TEXT($I2965,"0.00"))</f>
        <v/>
      </c>
      <c r="V2965" s="35" t="str">
        <f aca="false">IF($A2965="","",COUNTIF($U$8:$U$5007,$U2965))</f>
        <v/>
      </c>
    </row>
    <row r="2966" customFormat="false" ht="15" hidden="false" customHeight="false" outlineLevel="0" collapsed="false">
      <c r="A2966" s="31"/>
      <c r="B2966" s="32"/>
      <c r="C2966" s="32"/>
      <c r="D2966" s="32"/>
      <c r="E2966" s="32"/>
      <c r="F2966" s="32"/>
      <c r="G2966" s="33"/>
      <c r="H2966" s="33"/>
      <c r="I2966" s="34" t="str">
        <f aca="false">IF($A2966="","",$G2966-$H2966)</f>
        <v/>
      </c>
      <c r="J2966" s="35" t="str">
        <f aca="false">IF($A2966="","",IF(Setup!$B$6=1,YEAR($A2966),YEAR($A2966)+IF(MONTH($A2966)&gt;=Setup!$B$6,1,0)))</f>
        <v/>
      </c>
      <c r="K2966" s="35" t="str">
        <f aca="false">IF($A2966="","",MOD(MONTH($A2966)-Setup!$B$6+12,12)+1)</f>
        <v/>
      </c>
      <c r="L2966" s="36" t="str">
        <f aca="false">IF($A2966="","",TEXT($A2966,"MMM-YY"))</f>
        <v/>
      </c>
      <c r="M2966" s="37" t="str">
        <f aca="false">IF($A2966="","",IF($Q2966=0,"UNMAPPED",INDEX(COA_Mapping!$C$7:$C$256,$Q2966)))</f>
        <v/>
      </c>
      <c r="N2966" s="38" t="str">
        <f aca="false">IF($A2966="","",IF($Q2966=0,"",INDEX(COA_Mapping!$E$7:$E$256,$Q2966)))</f>
        <v/>
      </c>
      <c r="O2966" s="38" t="n">
        <f aca="false">IF($A2966="",1,IF($Q2966=0,1,INDEX(COA_Mapping!$F$7:$F$256,$Q2966)))</f>
        <v>1</v>
      </c>
      <c r="P2966" s="34" t="str">
        <f aca="false">IF($A2966="","",$I2966*$O2966)</f>
        <v/>
      </c>
      <c r="Q2966" s="39" t="n">
        <f aca="false">IF($B2966="",0,IFERROR(MATCH($B2966,COA_Mapping!$A$7:$A$256,0),0))</f>
        <v>0</v>
      </c>
      <c r="R2966" s="39" t="n">
        <f aca="false">IF($A2966="",-1,IF($J2966=Setup!$B$7,1,IF($J2966=Setup!$B$9,0,-1)))</f>
        <v>-1</v>
      </c>
      <c r="S2966" s="35" t="n">
        <f aca="false">IF(OR($A2966="",$Q2966=0,$R2966=-1),0,$Q2966*1000+$R2966*100+$K2966)</f>
        <v>0</v>
      </c>
      <c r="T2966" s="37" t="str">
        <f aca="false">IF($A2966="","",IF($B2966="","NO ACCOUNT",IF($Q2966=0,"UNMAPPED",IF($R2966=-1,"OUTSIDE FY RANGE","OK"))))</f>
        <v/>
      </c>
      <c r="U2966" s="40" t="str">
        <f aca="false">IF($A2966="","",$B2966&amp;"|"&amp;TEXT($A2966,"yyyymmdd")&amp;"|"&amp;TEXT($I2966,"0.00"))</f>
        <v/>
      </c>
      <c r="V2966" s="35" t="str">
        <f aca="false">IF($A2966="","",COUNTIF($U$8:$U$5007,$U2966))</f>
        <v/>
      </c>
    </row>
    <row r="2967" customFormat="false" ht="15" hidden="false" customHeight="false" outlineLevel="0" collapsed="false">
      <c r="A2967" s="31"/>
      <c r="B2967" s="32"/>
      <c r="C2967" s="32"/>
      <c r="D2967" s="32"/>
      <c r="E2967" s="32"/>
      <c r="F2967" s="32"/>
      <c r="G2967" s="33"/>
      <c r="H2967" s="33"/>
      <c r="I2967" s="34" t="str">
        <f aca="false">IF($A2967="","",$G2967-$H2967)</f>
        <v/>
      </c>
      <c r="J2967" s="35" t="str">
        <f aca="false">IF($A2967="","",IF(Setup!$B$6=1,YEAR($A2967),YEAR($A2967)+IF(MONTH($A2967)&gt;=Setup!$B$6,1,0)))</f>
        <v/>
      </c>
      <c r="K2967" s="35" t="str">
        <f aca="false">IF($A2967="","",MOD(MONTH($A2967)-Setup!$B$6+12,12)+1)</f>
        <v/>
      </c>
      <c r="L2967" s="36" t="str">
        <f aca="false">IF($A2967="","",TEXT($A2967,"MMM-YY"))</f>
        <v/>
      </c>
      <c r="M2967" s="37" t="str">
        <f aca="false">IF($A2967="","",IF($Q2967=0,"UNMAPPED",INDEX(COA_Mapping!$C$7:$C$256,$Q2967)))</f>
        <v/>
      </c>
      <c r="N2967" s="38" t="str">
        <f aca="false">IF($A2967="","",IF($Q2967=0,"",INDEX(COA_Mapping!$E$7:$E$256,$Q2967)))</f>
        <v/>
      </c>
      <c r="O2967" s="38" t="n">
        <f aca="false">IF($A2967="",1,IF($Q2967=0,1,INDEX(COA_Mapping!$F$7:$F$256,$Q2967)))</f>
        <v>1</v>
      </c>
      <c r="P2967" s="34" t="str">
        <f aca="false">IF($A2967="","",$I2967*$O2967)</f>
        <v/>
      </c>
      <c r="Q2967" s="39" t="n">
        <f aca="false">IF($B2967="",0,IFERROR(MATCH($B2967,COA_Mapping!$A$7:$A$256,0),0))</f>
        <v>0</v>
      </c>
      <c r="R2967" s="39" t="n">
        <f aca="false">IF($A2967="",-1,IF($J2967=Setup!$B$7,1,IF($J2967=Setup!$B$9,0,-1)))</f>
        <v>-1</v>
      </c>
      <c r="S2967" s="35" t="n">
        <f aca="false">IF(OR($A2967="",$Q2967=0,$R2967=-1),0,$Q2967*1000+$R2967*100+$K2967)</f>
        <v>0</v>
      </c>
      <c r="T2967" s="37" t="str">
        <f aca="false">IF($A2967="","",IF($B2967="","NO ACCOUNT",IF($Q2967=0,"UNMAPPED",IF($R2967=-1,"OUTSIDE FY RANGE","OK"))))</f>
        <v/>
      </c>
      <c r="U2967" s="40" t="str">
        <f aca="false">IF($A2967="","",$B2967&amp;"|"&amp;TEXT($A2967,"yyyymmdd")&amp;"|"&amp;TEXT($I2967,"0.00"))</f>
        <v/>
      </c>
      <c r="V2967" s="35" t="str">
        <f aca="false">IF($A2967="","",COUNTIF($U$8:$U$5007,$U2967))</f>
        <v/>
      </c>
    </row>
    <row r="2968" customFormat="false" ht="15" hidden="false" customHeight="false" outlineLevel="0" collapsed="false">
      <c r="A2968" s="31"/>
      <c r="B2968" s="32"/>
      <c r="C2968" s="32"/>
      <c r="D2968" s="32"/>
      <c r="E2968" s="32"/>
      <c r="F2968" s="32"/>
      <c r="G2968" s="33"/>
      <c r="H2968" s="33"/>
      <c r="I2968" s="34" t="str">
        <f aca="false">IF($A2968="","",$G2968-$H2968)</f>
        <v/>
      </c>
      <c r="J2968" s="35" t="str">
        <f aca="false">IF($A2968="","",IF(Setup!$B$6=1,YEAR($A2968),YEAR($A2968)+IF(MONTH($A2968)&gt;=Setup!$B$6,1,0)))</f>
        <v/>
      </c>
      <c r="K2968" s="35" t="str">
        <f aca="false">IF($A2968="","",MOD(MONTH($A2968)-Setup!$B$6+12,12)+1)</f>
        <v/>
      </c>
      <c r="L2968" s="36" t="str">
        <f aca="false">IF($A2968="","",TEXT($A2968,"MMM-YY"))</f>
        <v/>
      </c>
      <c r="M2968" s="37" t="str">
        <f aca="false">IF($A2968="","",IF($Q2968=0,"UNMAPPED",INDEX(COA_Mapping!$C$7:$C$256,$Q2968)))</f>
        <v/>
      </c>
      <c r="N2968" s="38" t="str">
        <f aca="false">IF($A2968="","",IF($Q2968=0,"",INDEX(COA_Mapping!$E$7:$E$256,$Q2968)))</f>
        <v/>
      </c>
      <c r="O2968" s="38" t="n">
        <f aca="false">IF($A2968="",1,IF($Q2968=0,1,INDEX(COA_Mapping!$F$7:$F$256,$Q2968)))</f>
        <v>1</v>
      </c>
      <c r="P2968" s="34" t="str">
        <f aca="false">IF($A2968="","",$I2968*$O2968)</f>
        <v/>
      </c>
      <c r="Q2968" s="39" t="n">
        <f aca="false">IF($B2968="",0,IFERROR(MATCH($B2968,COA_Mapping!$A$7:$A$256,0),0))</f>
        <v>0</v>
      </c>
      <c r="R2968" s="39" t="n">
        <f aca="false">IF($A2968="",-1,IF($J2968=Setup!$B$7,1,IF($J2968=Setup!$B$9,0,-1)))</f>
        <v>-1</v>
      </c>
      <c r="S2968" s="35" t="n">
        <f aca="false">IF(OR($A2968="",$Q2968=0,$R2968=-1),0,$Q2968*1000+$R2968*100+$K2968)</f>
        <v>0</v>
      </c>
      <c r="T2968" s="37" t="str">
        <f aca="false">IF($A2968="","",IF($B2968="","NO ACCOUNT",IF($Q2968=0,"UNMAPPED",IF($R2968=-1,"OUTSIDE FY RANGE","OK"))))</f>
        <v/>
      </c>
      <c r="U2968" s="40" t="str">
        <f aca="false">IF($A2968="","",$B2968&amp;"|"&amp;TEXT($A2968,"yyyymmdd")&amp;"|"&amp;TEXT($I2968,"0.00"))</f>
        <v/>
      </c>
      <c r="V2968" s="35" t="str">
        <f aca="false">IF($A2968="","",COUNTIF($U$8:$U$5007,$U2968))</f>
        <v/>
      </c>
    </row>
    <row r="2969" customFormat="false" ht="15" hidden="false" customHeight="false" outlineLevel="0" collapsed="false">
      <c r="A2969" s="31"/>
      <c r="B2969" s="32"/>
      <c r="C2969" s="32"/>
      <c r="D2969" s="32"/>
      <c r="E2969" s="32"/>
      <c r="F2969" s="32"/>
      <c r="G2969" s="33"/>
      <c r="H2969" s="33"/>
      <c r="I2969" s="34" t="str">
        <f aca="false">IF($A2969="","",$G2969-$H2969)</f>
        <v/>
      </c>
      <c r="J2969" s="35" t="str">
        <f aca="false">IF($A2969="","",IF(Setup!$B$6=1,YEAR($A2969),YEAR($A2969)+IF(MONTH($A2969)&gt;=Setup!$B$6,1,0)))</f>
        <v/>
      </c>
      <c r="K2969" s="35" t="str">
        <f aca="false">IF($A2969="","",MOD(MONTH($A2969)-Setup!$B$6+12,12)+1)</f>
        <v/>
      </c>
      <c r="L2969" s="36" t="str">
        <f aca="false">IF($A2969="","",TEXT($A2969,"MMM-YY"))</f>
        <v/>
      </c>
      <c r="M2969" s="37" t="str">
        <f aca="false">IF($A2969="","",IF($Q2969=0,"UNMAPPED",INDEX(COA_Mapping!$C$7:$C$256,$Q2969)))</f>
        <v/>
      </c>
      <c r="N2969" s="38" t="str">
        <f aca="false">IF($A2969="","",IF($Q2969=0,"",INDEX(COA_Mapping!$E$7:$E$256,$Q2969)))</f>
        <v/>
      </c>
      <c r="O2969" s="38" t="n">
        <f aca="false">IF($A2969="",1,IF($Q2969=0,1,INDEX(COA_Mapping!$F$7:$F$256,$Q2969)))</f>
        <v>1</v>
      </c>
      <c r="P2969" s="34" t="str">
        <f aca="false">IF($A2969="","",$I2969*$O2969)</f>
        <v/>
      </c>
      <c r="Q2969" s="39" t="n">
        <f aca="false">IF($B2969="",0,IFERROR(MATCH($B2969,COA_Mapping!$A$7:$A$256,0),0))</f>
        <v>0</v>
      </c>
      <c r="R2969" s="39" t="n">
        <f aca="false">IF($A2969="",-1,IF($J2969=Setup!$B$7,1,IF($J2969=Setup!$B$9,0,-1)))</f>
        <v>-1</v>
      </c>
      <c r="S2969" s="35" t="n">
        <f aca="false">IF(OR($A2969="",$Q2969=0,$R2969=-1),0,$Q2969*1000+$R2969*100+$K2969)</f>
        <v>0</v>
      </c>
      <c r="T2969" s="37" t="str">
        <f aca="false">IF($A2969="","",IF($B2969="","NO ACCOUNT",IF($Q2969=0,"UNMAPPED",IF($R2969=-1,"OUTSIDE FY RANGE","OK"))))</f>
        <v/>
      </c>
      <c r="U2969" s="40" t="str">
        <f aca="false">IF($A2969="","",$B2969&amp;"|"&amp;TEXT($A2969,"yyyymmdd")&amp;"|"&amp;TEXT($I2969,"0.00"))</f>
        <v/>
      </c>
      <c r="V2969" s="35" t="str">
        <f aca="false">IF($A2969="","",COUNTIF($U$8:$U$5007,$U2969))</f>
        <v/>
      </c>
    </row>
    <row r="2970" customFormat="false" ht="15" hidden="false" customHeight="false" outlineLevel="0" collapsed="false">
      <c r="A2970" s="31"/>
      <c r="B2970" s="32"/>
      <c r="C2970" s="32"/>
      <c r="D2970" s="32"/>
      <c r="E2970" s="32"/>
      <c r="F2970" s="32"/>
      <c r="G2970" s="33"/>
      <c r="H2970" s="33"/>
      <c r="I2970" s="34" t="str">
        <f aca="false">IF($A2970="","",$G2970-$H2970)</f>
        <v/>
      </c>
      <c r="J2970" s="35" t="str">
        <f aca="false">IF($A2970="","",IF(Setup!$B$6=1,YEAR($A2970),YEAR($A2970)+IF(MONTH($A2970)&gt;=Setup!$B$6,1,0)))</f>
        <v/>
      </c>
      <c r="K2970" s="35" t="str">
        <f aca="false">IF($A2970="","",MOD(MONTH($A2970)-Setup!$B$6+12,12)+1)</f>
        <v/>
      </c>
      <c r="L2970" s="36" t="str">
        <f aca="false">IF($A2970="","",TEXT($A2970,"MMM-YY"))</f>
        <v/>
      </c>
      <c r="M2970" s="37" t="str">
        <f aca="false">IF($A2970="","",IF($Q2970=0,"UNMAPPED",INDEX(COA_Mapping!$C$7:$C$256,$Q2970)))</f>
        <v/>
      </c>
      <c r="N2970" s="38" t="str">
        <f aca="false">IF($A2970="","",IF($Q2970=0,"",INDEX(COA_Mapping!$E$7:$E$256,$Q2970)))</f>
        <v/>
      </c>
      <c r="O2970" s="38" t="n">
        <f aca="false">IF($A2970="",1,IF($Q2970=0,1,INDEX(COA_Mapping!$F$7:$F$256,$Q2970)))</f>
        <v>1</v>
      </c>
      <c r="P2970" s="34" t="str">
        <f aca="false">IF($A2970="","",$I2970*$O2970)</f>
        <v/>
      </c>
      <c r="Q2970" s="39" t="n">
        <f aca="false">IF($B2970="",0,IFERROR(MATCH($B2970,COA_Mapping!$A$7:$A$256,0),0))</f>
        <v>0</v>
      </c>
      <c r="R2970" s="39" t="n">
        <f aca="false">IF($A2970="",-1,IF($J2970=Setup!$B$7,1,IF($J2970=Setup!$B$9,0,-1)))</f>
        <v>-1</v>
      </c>
      <c r="S2970" s="35" t="n">
        <f aca="false">IF(OR($A2970="",$Q2970=0,$R2970=-1),0,$Q2970*1000+$R2970*100+$K2970)</f>
        <v>0</v>
      </c>
      <c r="T2970" s="37" t="str">
        <f aca="false">IF($A2970="","",IF($B2970="","NO ACCOUNT",IF($Q2970=0,"UNMAPPED",IF($R2970=-1,"OUTSIDE FY RANGE","OK"))))</f>
        <v/>
      </c>
      <c r="U2970" s="40" t="str">
        <f aca="false">IF($A2970="","",$B2970&amp;"|"&amp;TEXT($A2970,"yyyymmdd")&amp;"|"&amp;TEXT($I2970,"0.00"))</f>
        <v/>
      </c>
      <c r="V2970" s="35" t="str">
        <f aca="false">IF($A2970="","",COUNTIF($U$8:$U$5007,$U2970))</f>
        <v/>
      </c>
    </row>
    <row r="2971" customFormat="false" ht="15" hidden="false" customHeight="false" outlineLevel="0" collapsed="false">
      <c r="A2971" s="31"/>
      <c r="B2971" s="32"/>
      <c r="C2971" s="32"/>
      <c r="D2971" s="32"/>
      <c r="E2971" s="32"/>
      <c r="F2971" s="32"/>
      <c r="G2971" s="33"/>
      <c r="H2971" s="33"/>
      <c r="I2971" s="34" t="str">
        <f aca="false">IF($A2971="","",$G2971-$H2971)</f>
        <v/>
      </c>
      <c r="J2971" s="35" t="str">
        <f aca="false">IF($A2971="","",IF(Setup!$B$6=1,YEAR($A2971),YEAR($A2971)+IF(MONTH($A2971)&gt;=Setup!$B$6,1,0)))</f>
        <v/>
      </c>
      <c r="K2971" s="35" t="str">
        <f aca="false">IF($A2971="","",MOD(MONTH($A2971)-Setup!$B$6+12,12)+1)</f>
        <v/>
      </c>
      <c r="L2971" s="36" t="str">
        <f aca="false">IF($A2971="","",TEXT($A2971,"MMM-YY"))</f>
        <v/>
      </c>
      <c r="M2971" s="37" t="str">
        <f aca="false">IF($A2971="","",IF($Q2971=0,"UNMAPPED",INDEX(COA_Mapping!$C$7:$C$256,$Q2971)))</f>
        <v/>
      </c>
      <c r="N2971" s="38" t="str">
        <f aca="false">IF($A2971="","",IF($Q2971=0,"",INDEX(COA_Mapping!$E$7:$E$256,$Q2971)))</f>
        <v/>
      </c>
      <c r="O2971" s="38" t="n">
        <f aca="false">IF($A2971="",1,IF($Q2971=0,1,INDEX(COA_Mapping!$F$7:$F$256,$Q2971)))</f>
        <v>1</v>
      </c>
      <c r="P2971" s="34" t="str">
        <f aca="false">IF($A2971="","",$I2971*$O2971)</f>
        <v/>
      </c>
      <c r="Q2971" s="39" t="n">
        <f aca="false">IF($B2971="",0,IFERROR(MATCH($B2971,COA_Mapping!$A$7:$A$256,0),0))</f>
        <v>0</v>
      </c>
      <c r="R2971" s="39" t="n">
        <f aca="false">IF($A2971="",-1,IF($J2971=Setup!$B$7,1,IF($J2971=Setup!$B$9,0,-1)))</f>
        <v>-1</v>
      </c>
      <c r="S2971" s="35" t="n">
        <f aca="false">IF(OR($A2971="",$Q2971=0,$R2971=-1),0,$Q2971*1000+$R2971*100+$K2971)</f>
        <v>0</v>
      </c>
      <c r="T2971" s="37" t="str">
        <f aca="false">IF($A2971="","",IF($B2971="","NO ACCOUNT",IF($Q2971=0,"UNMAPPED",IF($R2971=-1,"OUTSIDE FY RANGE","OK"))))</f>
        <v/>
      </c>
      <c r="U2971" s="40" t="str">
        <f aca="false">IF($A2971="","",$B2971&amp;"|"&amp;TEXT($A2971,"yyyymmdd")&amp;"|"&amp;TEXT($I2971,"0.00"))</f>
        <v/>
      </c>
      <c r="V2971" s="35" t="str">
        <f aca="false">IF($A2971="","",COUNTIF($U$8:$U$5007,$U2971))</f>
        <v/>
      </c>
    </row>
    <row r="2972" customFormat="false" ht="15" hidden="false" customHeight="false" outlineLevel="0" collapsed="false">
      <c r="A2972" s="31"/>
      <c r="B2972" s="32"/>
      <c r="C2972" s="32"/>
      <c r="D2972" s="32"/>
      <c r="E2972" s="32"/>
      <c r="F2972" s="32"/>
      <c r="G2972" s="33"/>
      <c r="H2972" s="33"/>
      <c r="I2972" s="34" t="str">
        <f aca="false">IF($A2972="","",$G2972-$H2972)</f>
        <v/>
      </c>
      <c r="J2972" s="35" t="str">
        <f aca="false">IF($A2972="","",IF(Setup!$B$6=1,YEAR($A2972),YEAR($A2972)+IF(MONTH($A2972)&gt;=Setup!$B$6,1,0)))</f>
        <v/>
      </c>
      <c r="K2972" s="35" t="str">
        <f aca="false">IF($A2972="","",MOD(MONTH($A2972)-Setup!$B$6+12,12)+1)</f>
        <v/>
      </c>
      <c r="L2972" s="36" t="str">
        <f aca="false">IF($A2972="","",TEXT($A2972,"MMM-YY"))</f>
        <v/>
      </c>
      <c r="M2972" s="37" t="str">
        <f aca="false">IF($A2972="","",IF($Q2972=0,"UNMAPPED",INDEX(COA_Mapping!$C$7:$C$256,$Q2972)))</f>
        <v/>
      </c>
      <c r="N2972" s="38" t="str">
        <f aca="false">IF($A2972="","",IF($Q2972=0,"",INDEX(COA_Mapping!$E$7:$E$256,$Q2972)))</f>
        <v/>
      </c>
      <c r="O2972" s="38" t="n">
        <f aca="false">IF($A2972="",1,IF($Q2972=0,1,INDEX(COA_Mapping!$F$7:$F$256,$Q2972)))</f>
        <v>1</v>
      </c>
      <c r="P2972" s="34" t="str">
        <f aca="false">IF($A2972="","",$I2972*$O2972)</f>
        <v/>
      </c>
      <c r="Q2972" s="39" t="n">
        <f aca="false">IF($B2972="",0,IFERROR(MATCH($B2972,COA_Mapping!$A$7:$A$256,0),0))</f>
        <v>0</v>
      </c>
      <c r="R2972" s="39" t="n">
        <f aca="false">IF($A2972="",-1,IF($J2972=Setup!$B$7,1,IF($J2972=Setup!$B$9,0,-1)))</f>
        <v>-1</v>
      </c>
      <c r="S2972" s="35" t="n">
        <f aca="false">IF(OR($A2972="",$Q2972=0,$R2972=-1),0,$Q2972*1000+$R2972*100+$K2972)</f>
        <v>0</v>
      </c>
      <c r="T2972" s="37" t="str">
        <f aca="false">IF($A2972="","",IF($B2972="","NO ACCOUNT",IF($Q2972=0,"UNMAPPED",IF($R2972=-1,"OUTSIDE FY RANGE","OK"))))</f>
        <v/>
      </c>
      <c r="U2972" s="40" t="str">
        <f aca="false">IF($A2972="","",$B2972&amp;"|"&amp;TEXT($A2972,"yyyymmdd")&amp;"|"&amp;TEXT($I2972,"0.00"))</f>
        <v/>
      </c>
      <c r="V2972" s="35" t="str">
        <f aca="false">IF($A2972="","",COUNTIF($U$8:$U$5007,$U2972))</f>
        <v/>
      </c>
    </row>
    <row r="2973" customFormat="false" ht="15" hidden="false" customHeight="false" outlineLevel="0" collapsed="false">
      <c r="A2973" s="31"/>
      <c r="B2973" s="32"/>
      <c r="C2973" s="32"/>
      <c r="D2973" s="32"/>
      <c r="E2973" s="32"/>
      <c r="F2973" s="32"/>
      <c r="G2973" s="33"/>
      <c r="H2973" s="33"/>
      <c r="I2973" s="34" t="str">
        <f aca="false">IF($A2973="","",$G2973-$H2973)</f>
        <v/>
      </c>
      <c r="J2973" s="35" t="str">
        <f aca="false">IF($A2973="","",IF(Setup!$B$6=1,YEAR($A2973),YEAR($A2973)+IF(MONTH($A2973)&gt;=Setup!$B$6,1,0)))</f>
        <v/>
      </c>
      <c r="K2973" s="35" t="str">
        <f aca="false">IF($A2973="","",MOD(MONTH($A2973)-Setup!$B$6+12,12)+1)</f>
        <v/>
      </c>
      <c r="L2973" s="36" t="str">
        <f aca="false">IF($A2973="","",TEXT($A2973,"MMM-YY"))</f>
        <v/>
      </c>
      <c r="M2973" s="37" t="str">
        <f aca="false">IF($A2973="","",IF($Q2973=0,"UNMAPPED",INDEX(COA_Mapping!$C$7:$C$256,$Q2973)))</f>
        <v/>
      </c>
      <c r="N2973" s="38" t="str">
        <f aca="false">IF($A2973="","",IF($Q2973=0,"",INDEX(COA_Mapping!$E$7:$E$256,$Q2973)))</f>
        <v/>
      </c>
      <c r="O2973" s="38" t="n">
        <f aca="false">IF($A2973="",1,IF($Q2973=0,1,INDEX(COA_Mapping!$F$7:$F$256,$Q2973)))</f>
        <v>1</v>
      </c>
      <c r="P2973" s="34" t="str">
        <f aca="false">IF($A2973="","",$I2973*$O2973)</f>
        <v/>
      </c>
      <c r="Q2973" s="39" t="n">
        <f aca="false">IF($B2973="",0,IFERROR(MATCH($B2973,COA_Mapping!$A$7:$A$256,0),0))</f>
        <v>0</v>
      </c>
      <c r="R2973" s="39" t="n">
        <f aca="false">IF($A2973="",-1,IF($J2973=Setup!$B$7,1,IF($J2973=Setup!$B$9,0,-1)))</f>
        <v>-1</v>
      </c>
      <c r="S2973" s="35" t="n">
        <f aca="false">IF(OR($A2973="",$Q2973=0,$R2973=-1),0,$Q2973*1000+$R2973*100+$K2973)</f>
        <v>0</v>
      </c>
      <c r="T2973" s="37" t="str">
        <f aca="false">IF($A2973="","",IF($B2973="","NO ACCOUNT",IF($Q2973=0,"UNMAPPED",IF($R2973=-1,"OUTSIDE FY RANGE","OK"))))</f>
        <v/>
      </c>
      <c r="U2973" s="40" t="str">
        <f aca="false">IF($A2973="","",$B2973&amp;"|"&amp;TEXT($A2973,"yyyymmdd")&amp;"|"&amp;TEXT($I2973,"0.00"))</f>
        <v/>
      </c>
      <c r="V2973" s="35" t="str">
        <f aca="false">IF($A2973="","",COUNTIF($U$8:$U$5007,$U2973))</f>
        <v/>
      </c>
    </row>
    <row r="2974" customFormat="false" ht="15" hidden="false" customHeight="false" outlineLevel="0" collapsed="false">
      <c r="A2974" s="31"/>
      <c r="B2974" s="32"/>
      <c r="C2974" s="32"/>
      <c r="D2974" s="32"/>
      <c r="E2974" s="32"/>
      <c r="F2974" s="32"/>
      <c r="G2974" s="33"/>
      <c r="H2974" s="33"/>
      <c r="I2974" s="34" t="str">
        <f aca="false">IF($A2974="","",$G2974-$H2974)</f>
        <v/>
      </c>
      <c r="J2974" s="35" t="str">
        <f aca="false">IF($A2974="","",IF(Setup!$B$6=1,YEAR($A2974),YEAR($A2974)+IF(MONTH($A2974)&gt;=Setup!$B$6,1,0)))</f>
        <v/>
      </c>
      <c r="K2974" s="35" t="str">
        <f aca="false">IF($A2974="","",MOD(MONTH($A2974)-Setup!$B$6+12,12)+1)</f>
        <v/>
      </c>
      <c r="L2974" s="36" t="str">
        <f aca="false">IF($A2974="","",TEXT($A2974,"MMM-YY"))</f>
        <v/>
      </c>
      <c r="M2974" s="37" t="str">
        <f aca="false">IF($A2974="","",IF($Q2974=0,"UNMAPPED",INDEX(COA_Mapping!$C$7:$C$256,$Q2974)))</f>
        <v/>
      </c>
      <c r="N2974" s="38" t="str">
        <f aca="false">IF($A2974="","",IF($Q2974=0,"",INDEX(COA_Mapping!$E$7:$E$256,$Q2974)))</f>
        <v/>
      </c>
      <c r="O2974" s="38" t="n">
        <f aca="false">IF($A2974="",1,IF($Q2974=0,1,INDEX(COA_Mapping!$F$7:$F$256,$Q2974)))</f>
        <v>1</v>
      </c>
      <c r="P2974" s="34" t="str">
        <f aca="false">IF($A2974="","",$I2974*$O2974)</f>
        <v/>
      </c>
      <c r="Q2974" s="39" t="n">
        <f aca="false">IF($B2974="",0,IFERROR(MATCH($B2974,COA_Mapping!$A$7:$A$256,0),0))</f>
        <v>0</v>
      </c>
      <c r="R2974" s="39" t="n">
        <f aca="false">IF($A2974="",-1,IF($J2974=Setup!$B$7,1,IF($J2974=Setup!$B$9,0,-1)))</f>
        <v>-1</v>
      </c>
      <c r="S2974" s="35" t="n">
        <f aca="false">IF(OR($A2974="",$Q2974=0,$R2974=-1),0,$Q2974*1000+$R2974*100+$K2974)</f>
        <v>0</v>
      </c>
      <c r="T2974" s="37" t="str">
        <f aca="false">IF($A2974="","",IF($B2974="","NO ACCOUNT",IF($Q2974=0,"UNMAPPED",IF($R2974=-1,"OUTSIDE FY RANGE","OK"))))</f>
        <v/>
      </c>
      <c r="U2974" s="40" t="str">
        <f aca="false">IF($A2974="","",$B2974&amp;"|"&amp;TEXT($A2974,"yyyymmdd")&amp;"|"&amp;TEXT($I2974,"0.00"))</f>
        <v/>
      </c>
      <c r="V2974" s="35" t="str">
        <f aca="false">IF($A2974="","",COUNTIF($U$8:$U$5007,$U2974))</f>
        <v/>
      </c>
    </row>
    <row r="2975" customFormat="false" ht="15" hidden="false" customHeight="false" outlineLevel="0" collapsed="false">
      <c r="A2975" s="31"/>
      <c r="B2975" s="32"/>
      <c r="C2975" s="32"/>
      <c r="D2975" s="32"/>
      <c r="E2975" s="32"/>
      <c r="F2975" s="32"/>
      <c r="G2975" s="33"/>
      <c r="H2975" s="33"/>
      <c r="I2975" s="34" t="str">
        <f aca="false">IF($A2975="","",$G2975-$H2975)</f>
        <v/>
      </c>
      <c r="J2975" s="35" t="str">
        <f aca="false">IF($A2975="","",IF(Setup!$B$6=1,YEAR($A2975),YEAR($A2975)+IF(MONTH($A2975)&gt;=Setup!$B$6,1,0)))</f>
        <v/>
      </c>
      <c r="K2975" s="35" t="str">
        <f aca="false">IF($A2975="","",MOD(MONTH($A2975)-Setup!$B$6+12,12)+1)</f>
        <v/>
      </c>
      <c r="L2975" s="36" t="str">
        <f aca="false">IF($A2975="","",TEXT($A2975,"MMM-YY"))</f>
        <v/>
      </c>
      <c r="M2975" s="37" t="str">
        <f aca="false">IF($A2975="","",IF($Q2975=0,"UNMAPPED",INDEX(COA_Mapping!$C$7:$C$256,$Q2975)))</f>
        <v/>
      </c>
      <c r="N2975" s="38" t="str">
        <f aca="false">IF($A2975="","",IF($Q2975=0,"",INDEX(COA_Mapping!$E$7:$E$256,$Q2975)))</f>
        <v/>
      </c>
      <c r="O2975" s="38" t="n">
        <f aca="false">IF($A2975="",1,IF($Q2975=0,1,INDEX(COA_Mapping!$F$7:$F$256,$Q2975)))</f>
        <v>1</v>
      </c>
      <c r="P2975" s="34" t="str">
        <f aca="false">IF($A2975="","",$I2975*$O2975)</f>
        <v/>
      </c>
      <c r="Q2975" s="39" t="n">
        <f aca="false">IF($B2975="",0,IFERROR(MATCH($B2975,COA_Mapping!$A$7:$A$256,0),0))</f>
        <v>0</v>
      </c>
      <c r="R2975" s="39" t="n">
        <f aca="false">IF($A2975="",-1,IF($J2975=Setup!$B$7,1,IF($J2975=Setup!$B$9,0,-1)))</f>
        <v>-1</v>
      </c>
      <c r="S2975" s="35" t="n">
        <f aca="false">IF(OR($A2975="",$Q2975=0,$R2975=-1),0,$Q2975*1000+$R2975*100+$K2975)</f>
        <v>0</v>
      </c>
      <c r="T2975" s="37" t="str">
        <f aca="false">IF($A2975="","",IF($B2975="","NO ACCOUNT",IF($Q2975=0,"UNMAPPED",IF($R2975=-1,"OUTSIDE FY RANGE","OK"))))</f>
        <v/>
      </c>
      <c r="U2975" s="40" t="str">
        <f aca="false">IF($A2975="","",$B2975&amp;"|"&amp;TEXT($A2975,"yyyymmdd")&amp;"|"&amp;TEXT($I2975,"0.00"))</f>
        <v/>
      </c>
      <c r="V2975" s="35" t="str">
        <f aca="false">IF($A2975="","",COUNTIF($U$8:$U$5007,$U2975))</f>
        <v/>
      </c>
    </row>
    <row r="2976" customFormat="false" ht="15" hidden="false" customHeight="false" outlineLevel="0" collapsed="false">
      <c r="A2976" s="31"/>
      <c r="B2976" s="32"/>
      <c r="C2976" s="32"/>
      <c r="D2976" s="32"/>
      <c r="E2976" s="32"/>
      <c r="F2976" s="32"/>
      <c r="G2976" s="33"/>
      <c r="H2976" s="33"/>
      <c r="I2976" s="34" t="str">
        <f aca="false">IF($A2976="","",$G2976-$H2976)</f>
        <v/>
      </c>
      <c r="J2976" s="35" t="str">
        <f aca="false">IF($A2976="","",IF(Setup!$B$6=1,YEAR($A2976),YEAR($A2976)+IF(MONTH($A2976)&gt;=Setup!$B$6,1,0)))</f>
        <v/>
      </c>
      <c r="K2976" s="35" t="str">
        <f aca="false">IF($A2976="","",MOD(MONTH($A2976)-Setup!$B$6+12,12)+1)</f>
        <v/>
      </c>
      <c r="L2976" s="36" t="str">
        <f aca="false">IF($A2976="","",TEXT($A2976,"MMM-YY"))</f>
        <v/>
      </c>
      <c r="M2976" s="37" t="str">
        <f aca="false">IF($A2976="","",IF($Q2976=0,"UNMAPPED",INDEX(COA_Mapping!$C$7:$C$256,$Q2976)))</f>
        <v/>
      </c>
      <c r="N2976" s="38" t="str">
        <f aca="false">IF($A2976="","",IF($Q2976=0,"",INDEX(COA_Mapping!$E$7:$E$256,$Q2976)))</f>
        <v/>
      </c>
      <c r="O2976" s="38" t="n">
        <f aca="false">IF($A2976="",1,IF($Q2976=0,1,INDEX(COA_Mapping!$F$7:$F$256,$Q2976)))</f>
        <v>1</v>
      </c>
      <c r="P2976" s="34" t="str">
        <f aca="false">IF($A2976="","",$I2976*$O2976)</f>
        <v/>
      </c>
      <c r="Q2976" s="39" t="n">
        <f aca="false">IF($B2976="",0,IFERROR(MATCH($B2976,COA_Mapping!$A$7:$A$256,0),0))</f>
        <v>0</v>
      </c>
      <c r="R2976" s="39" t="n">
        <f aca="false">IF($A2976="",-1,IF($J2976=Setup!$B$7,1,IF($J2976=Setup!$B$9,0,-1)))</f>
        <v>-1</v>
      </c>
      <c r="S2976" s="35" t="n">
        <f aca="false">IF(OR($A2976="",$Q2976=0,$R2976=-1),0,$Q2976*1000+$R2976*100+$K2976)</f>
        <v>0</v>
      </c>
      <c r="T2976" s="37" t="str">
        <f aca="false">IF($A2976="","",IF($B2976="","NO ACCOUNT",IF($Q2976=0,"UNMAPPED",IF($R2976=-1,"OUTSIDE FY RANGE","OK"))))</f>
        <v/>
      </c>
      <c r="U2976" s="40" t="str">
        <f aca="false">IF($A2976="","",$B2976&amp;"|"&amp;TEXT($A2976,"yyyymmdd")&amp;"|"&amp;TEXT($I2976,"0.00"))</f>
        <v/>
      </c>
      <c r="V2976" s="35" t="str">
        <f aca="false">IF($A2976="","",COUNTIF($U$8:$U$5007,$U2976))</f>
        <v/>
      </c>
    </row>
    <row r="2977" customFormat="false" ht="15" hidden="false" customHeight="false" outlineLevel="0" collapsed="false">
      <c r="A2977" s="31"/>
      <c r="B2977" s="32"/>
      <c r="C2977" s="32"/>
      <c r="D2977" s="32"/>
      <c r="E2977" s="32"/>
      <c r="F2977" s="32"/>
      <c r="G2977" s="33"/>
      <c r="H2977" s="33"/>
      <c r="I2977" s="34" t="str">
        <f aca="false">IF($A2977="","",$G2977-$H2977)</f>
        <v/>
      </c>
      <c r="J2977" s="35" t="str">
        <f aca="false">IF($A2977="","",IF(Setup!$B$6=1,YEAR($A2977),YEAR($A2977)+IF(MONTH($A2977)&gt;=Setup!$B$6,1,0)))</f>
        <v/>
      </c>
      <c r="K2977" s="35" t="str">
        <f aca="false">IF($A2977="","",MOD(MONTH($A2977)-Setup!$B$6+12,12)+1)</f>
        <v/>
      </c>
      <c r="L2977" s="36" t="str">
        <f aca="false">IF($A2977="","",TEXT($A2977,"MMM-YY"))</f>
        <v/>
      </c>
      <c r="M2977" s="37" t="str">
        <f aca="false">IF($A2977="","",IF($Q2977=0,"UNMAPPED",INDEX(COA_Mapping!$C$7:$C$256,$Q2977)))</f>
        <v/>
      </c>
      <c r="N2977" s="38" t="str">
        <f aca="false">IF($A2977="","",IF($Q2977=0,"",INDEX(COA_Mapping!$E$7:$E$256,$Q2977)))</f>
        <v/>
      </c>
      <c r="O2977" s="38" t="n">
        <f aca="false">IF($A2977="",1,IF($Q2977=0,1,INDEX(COA_Mapping!$F$7:$F$256,$Q2977)))</f>
        <v>1</v>
      </c>
      <c r="P2977" s="34" t="str">
        <f aca="false">IF($A2977="","",$I2977*$O2977)</f>
        <v/>
      </c>
      <c r="Q2977" s="39" t="n">
        <f aca="false">IF($B2977="",0,IFERROR(MATCH($B2977,COA_Mapping!$A$7:$A$256,0),0))</f>
        <v>0</v>
      </c>
      <c r="R2977" s="39" t="n">
        <f aca="false">IF($A2977="",-1,IF($J2977=Setup!$B$7,1,IF($J2977=Setup!$B$9,0,-1)))</f>
        <v>-1</v>
      </c>
      <c r="S2977" s="35" t="n">
        <f aca="false">IF(OR($A2977="",$Q2977=0,$R2977=-1),0,$Q2977*1000+$R2977*100+$K2977)</f>
        <v>0</v>
      </c>
      <c r="T2977" s="37" t="str">
        <f aca="false">IF($A2977="","",IF($B2977="","NO ACCOUNT",IF($Q2977=0,"UNMAPPED",IF($R2977=-1,"OUTSIDE FY RANGE","OK"))))</f>
        <v/>
      </c>
      <c r="U2977" s="40" t="str">
        <f aca="false">IF($A2977="","",$B2977&amp;"|"&amp;TEXT($A2977,"yyyymmdd")&amp;"|"&amp;TEXT($I2977,"0.00"))</f>
        <v/>
      </c>
      <c r="V2977" s="35" t="str">
        <f aca="false">IF($A2977="","",COUNTIF($U$8:$U$5007,$U2977))</f>
        <v/>
      </c>
    </row>
    <row r="2978" customFormat="false" ht="15" hidden="false" customHeight="false" outlineLevel="0" collapsed="false">
      <c r="A2978" s="31"/>
      <c r="B2978" s="32"/>
      <c r="C2978" s="32"/>
      <c r="D2978" s="32"/>
      <c r="E2978" s="32"/>
      <c r="F2978" s="32"/>
      <c r="G2978" s="33"/>
      <c r="H2978" s="33"/>
      <c r="I2978" s="34" t="str">
        <f aca="false">IF($A2978="","",$G2978-$H2978)</f>
        <v/>
      </c>
      <c r="J2978" s="35" t="str">
        <f aca="false">IF($A2978="","",IF(Setup!$B$6=1,YEAR($A2978),YEAR($A2978)+IF(MONTH($A2978)&gt;=Setup!$B$6,1,0)))</f>
        <v/>
      </c>
      <c r="K2978" s="35" t="str">
        <f aca="false">IF($A2978="","",MOD(MONTH($A2978)-Setup!$B$6+12,12)+1)</f>
        <v/>
      </c>
      <c r="L2978" s="36" t="str">
        <f aca="false">IF($A2978="","",TEXT($A2978,"MMM-YY"))</f>
        <v/>
      </c>
      <c r="M2978" s="37" t="str">
        <f aca="false">IF($A2978="","",IF($Q2978=0,"UNMAPPED",INDEX(COA_Mapping!$C$7:$C$256,$Q2978)))</f>
        <v/>
      </c>
      <c r="N2978" s="38" t="str">
        <f aca="false">IF($A2978="","",IF($Q2978=0,"",INDEX(COA_Mapping!$E$7:$E$256,$Q2978)))</f>
        <v/>
      </c>
      <c r="O2978" s="38" t="n">
        <f aca="false">IF($A2978="",1,IF($Q2978=0,1,INDEX(COA_Mapping!$F$7:$F$256,$Q2978)))</f>
        <v>1</v>
      </c>
      <c r="P2978" s="34" t="str">
        <f aca="false">IF($A2978="","",$I2978*$O2978)</f>
        <v/>
      </c>
      <c r="Q2978" s="39" t="n">
        <f aca="false">IF($B2978="",0,IFERROR(MATCH($B2978,COA_Mapping!$A$7:$A$256,0),0))</f>
        <v>0</v>
      </c>
      <c r="R2978" s="39" t="n">
        <f aca="false">IF($A2978="",-1,IF($J2978=Setup!$B$7,1,IF($J2978=Setup!$B$9,0,-1)))</f>
        <v>-1</v>
      </c>
      <c r="S2978" s="35" t="n">
        <f aca="false">IF(OR($A2978="",$Q2978=0,$R2978=-1),0,$Q2978*1000+$R2978*100+$K2978)</f>
        <v>0</v>
      </c>
      <c r="T2978" s="37" t="str">
        <f aca="false">IF($A2978="","",IF($B2978="","NO ACCOUNT",IF($Q2978=0,"UNMAPPED",IF($R2978=-1,"OUTSIDE FY RANGE","OK"))))</f>
        <v/>
      </c>
      <c r="U2978" s="40" t="str">
        <f aca="false">IF($A2978="","",$B2978&amp;"|"&amp;TEXT($A2978,"yyyymmdd")&amp;"|"&amp;TEXT($I2978,"0.00"))</f>
        <v/>
      </c>
      <c r="V2978" s="35" t="str">
        <f aca="false">IF($A2978="","",COUNTIF($U$8:$U$5007,$U2978))</f>
        <v/>
      </c>
    </row>
    <row r="2979" customFormat="false" ht="15" hidden="false" customHeight="false" outlineLevel="0" collapsed="false">
      <c r="A2979" s="31"/>
      <c r="B2979" s="32"/>
      <c r="C2979" s="32"/>
      <c r="D2979" s="32"/>
      <c r="E2979" s="32"/>
      <c r="F2979" s="32"/>
      <c r="G2979" s="33"/>
      <c r="H2979" s="33"/>
      <c r="I2979" s="34" t="str">
        <f aca="false">IF($A2979="","",$G2979-$H2979)</f>
        <v/>
      </c>
      <c r="J2979" s="35" t="str">
        <f aca="false">IF($A2979="","",IF(Setup!$B$6=1,YEAR($A2979),YEAR($A2979)+IF(MONTH($A2979)&gt;=Setup!$B$6,1,0)))</f>
        <v/>
      </c>
      <c r="K2979" s="35" t="str">
        <f aca="false">IF($A2979="","",MOD(MONTH($A2979)-Setup!$B$6+12,12)+1)</f>
        <v/>
      </c>
      <c r="L2979" s="36" t="str">
        <f aca="false">IF($A2979="","",TEXT($A2979,"MMM-YY"))</f>
        <v/>
      </c>
      <c r="M2979" s="37" t="str">
        <f aca="false">IF($A2979="","",IF($Q2979=0,"UNMAPPED",INDEX(COA_Mapping!$C$7:$C$256,$Q2979)))</f>
        <v/>
      </c>
      <c r="N2979" s="38" t="str">
        <f aca="false">IF($A2979="","",IF($Q2979=0,"",INDEX(COA_Mapping!$E$7:$E$256,$Q2979)))</f>
        <v/>
      </c>
      <c r="O2979" s="38" t="n">
        <f aca="false">IF($A2979="",1,IF($Q2979=0,1,INDEX(COA_Mapping!$F$7:$F$256,$Q2979)))</f>
        <v>1</v>
      </c>
      <c r="P2979" s="34" t="str">
        <f aca="false">IF($A2979="","",$I2979*$O2979)</f>
        <v/>
      </c>
      <c r="Q2979" s="39" t="n">
        <f aca="false">IF($B2979="",0,IFERROR(MATCH($B2979,COA_Mapping!$A$7:$A$256,0),0))</f>
        <v>0</v>
      </c>
      <c r="R2979" s="39" t="n">
        <f aca="false">IF($A2979="",-1,IF($J2979=Setup!$B$7,1,IF($J2979=Setup!$B$9,0,-1)))</f>
        <v>-1</v>
      </c>
      <c r="S2979" s="35" t="n">
        <f aca="false">IF(OR($A2979="",$Q2979=0,$R2979=-1),0,$Q2979*1000+$R2979*100+$K2979)</f>
        <v>0</v>
      </c>
      <c r="T2979" s="37" t="str">
        <f aca="false">IF($A2979="","",IF($B2979="","NO ACCOUNT",IF($Q2979=0,"UNMAPPED",IF($R2979=-1,"OUTSIDE FY RANGE","OK"))))</f>
        <v/>
      </c>
      <c r="U2979" s="40" t="str">
        <f aca="false">IF($A2979="","",$B2979&amp;"|"&amp;TEXT($A2979,"yyyymmdd")&amp;"|"&amp;TEXT($I2979,"0.00"))</f>
        <v/>
      </c>
      <c r="V2979" s="35" t="str">
        <f aca="false">IF($A2979="","",COUNTIF($U$8:$U$5007,$U2979))</f>
        <v/>
      </c>
    </row>
    <row r="2980" customFormat="false" ht="15" hidden="false" customHeight="false" outlineLevel="0" collapsed="false">
      <c r="A2980" s="31"/>
      <c r="B2980" s="32"/>
      <c r="C2980" s="32"/>
      <c r="D2980" s="32"/>
      <c r="E2980" s="32"/>
      <c r="F2980" s="32"/>
      <c r="G2980" s="33"/>
      <c r="H2980" s="33"/>
      <c r="I2980" s="34" t="str">
        <f aca="false">IF($A2980="","",$G2980-$H2980)</f>
        <v/>
      </c>
      <c r="J2980" s="35" t="str">
        <f aca="false">IF($A2980="","",IF(Setup!$B$6=1,YEAR($A2980),YEAR($A2980)+IF(MONTH($A2980)&gt;=Setup!$B$6,1,0)))</f>
        <v/>
      </c>
      <c r="K2980" s="35" t="str">
        <f aca="false">IF($A2980="","",MOD(MONTH($A2980)-Setup!$B$6+12,12)+1)</f>
        <v/>
      </c>
      <c r="L2980" s="36" t="str">
        <f aca="false">IF($A2980="","",TEXT($A2980,"MMM-YY"))</f>
        <v/>
      </c>
      <c r="M2980" s="37" t="str">
        <f aca="false">IF($A2980="","",IF($Q2980=0,"UNMAPPED",INDEX(COA_Mapping!$C$7:$C$256,$Q2980)))</f>
        <v/>
      </c>
      <c r="N2980" s="38" t="str">
        <f aca="false">IF($A2980="","",IF($Q2980=0,"",INDEX(COA_Mapping!$E$7:$E$256,$Q2980)))</f>
        <v/>
      </c>
      <c r="O2980" s="38" t="n">
        <f aca="false">IF($A2980="",1,IF($Q2980=0,1,INDEX(COA_Mapping!$F$7:$F$256,$Q2980)))</f>
        <v>1</v>
      </c>
      <c r="P2980" s="34" t="str">
        <f aca="false">IF($A2980="","",$I2980*$O2980)</f>
        <v/>
      </c>
      <c r="Q2980" s="39" t="n">
        <f aca="false">IF($B2980="",0,IFERROR(MATCH($B2980,COA_Mapping!$A$7:$A$256,0),0))</f>
        <v>0</v>
      </c>
      <c r="R2980" s="39" t="n">
        <f aca="false">IF($A2980="",-1,IF($J2980=Setup!$B$7,1,IF($J2980=Setup!$B$9,0,-1)))</f>
        <v>-1</v>
      </c>
      <c r="S2980" s="35" t="n">
        <f aca="false">IF(OR($A2980="",$Q2980=0,$R2980=-1),0,$Q2980*1000+$R2980*100+$K2980)</f>
        <v>0</v>
      </c>
      <c r="T2980" s="37" t="str">
        <f aca="false">IF($A2980="","",IF($B2980="","NO ACCOUNT",IF($Q2980=0,"UNMAPPED",IF($R2980=-1,"OUTSIDE FY RANGE","OK"))))</f>
        <v/>
      </c>
      <c r="U2980" s="40" t="str">
        <f aca="false">IF($A2980="","",$B2980&amp;"|"&amp;TEXT($A2980,"yyyymmdd")&amp;"|"&amp;TEXT($I2980,"0.00"))</f>
        <v/>
      </c>
      <c r="V2980" s="35" t="str">
        <f aca="false">IF($A2980="","",COUNTIF($U$8:$U$5007,$U2980))</f>
        <v/>
      </c>
    </row>
    <row r="2981" customFormat="false" ht="15" hidden="false" customHeight="false" outlineLevel="0" collapsed="false">
      <c r="A2981" s="31"/>
      <c r="B2981" s="32"/>
      <c r="C2981" s="32"/>
      <c r="D2981" s="32"/>
      <c r="E2981" s="32"/>
      <c r="F2981" s="32"/>
      <c r="G2981" s="33"/>
      <c r="H2981" s="33"/>
      <c r="I2981" s="34" t="str">
        <f aca="false">IF($A2981="","",$G2981-$H2981)</f>
        <v/>
      </c>
      <c r="J2981" s="35" t="str">
        <f aca="false">IF($A2981="","",IF(Setup!$B$6=1,YEAR($A2981),YEAR($A2981)+IF(MONTH($A2981)&gt;=Setup!$B$6,1,0)))</f>
        <v/>
      </c>
      <c r="K2981" s="35" t="str">
        <f aca="false">IF($A2981="","",MOD(MONTH($A2981)-Setup!$B$6+12,12)+1)</f>
        <v/>
      </c>
      <c r="L2981" s="36" t="str">
        <f aca="false">IF($A2981="","",TEXT($A2981,"MMM-YY"))</f>
        <v/>
      </c>
      <c r="M2981" s="37" t="str">
        <f aca="false">IF($A2981="","",IF($Q2981=0,"UNMAPPED",INDEX(COA_Mapping!$C$7:$C$256,$Q2981)))</f>
        <v/>
      </c>
      <c r="N2981" s="38" t="str">
        <f aca="false">IF($A2981="","",IF($Q2981=0,"",INDEX(COA_Mapping!$E$7:$E$256,$Q2981)))</f>
        <v/>
      </c>
      <c r="O2981" s="38" t="n">
        <f aca="false">IF($A2981="",1,IF($Q2981=0,1,INDEX(COA_Mapping!$F$7:$F$256,$Q2981)))</f>
        <v>1</v>
      </c>
      <c r="P2981" s="34" t="str">
        <f aca="false">IF($A2981="","",$I2981*$O2981)</f>
        <v/>
      </c>
      <c r="Q2981" s="39" t="n">
        <f aca="false">IF($B2981="",0,IFERROR(MATCH($B2981,COA_Mapping!$A$7:$A$256,0),0))</f>
        <v>0</v>
      </c>
      <c r="R2981" s="39" t="n">
        <f aca="false">IF($A2981="",-1,IF($J2981=Setup!$B$7,1,IF($J2981=Setup!$B$9,0,-1)))</f>
        <v>-1</v>
      </c>
      <c r="S2981" s="35" t="n">
        <f aca="false">IF(OR($A2981="",$Q2981=0,$R2981=-1),0,$Q2981*1000+$R2981*100+$K2981)</f>
        <v>0</v>
      </c>
      <c r="T2981" s="37" t="str">
        <f aca="false">IF($A2981="","",IF($B2981="","NO ACCOUNT",IF($Q2981=0,"UNMAPPED",IF($R2981=-1,"OUTSIDE FY RANGE","OK"))))</f>
        <v/>
      </c>
      <c r="U2981" s="40" t="str">
        <f aca="false">IF($A2981="","",$B2981&amp;"|"&amp;TEXT($A2981,"yyyymmdd")&amp;"|"&amp;TEXT($I2981,"0.00"))</f>
        <v/>
      </c>
      <c r="V2981" s="35" t="str">
        <f aca="false">IF($A2981="","",COUNTIF($U$8:$U$5007,$U2981))</f>
        <v/>
      </c>
    </row>
    <row r="2982" customFormat="false" ht="15" hidden="false" customHeight="false" outlineLevel="0" collapsed="false">
      <c r="A2982" s="31"/>
      <c r="B2982" s="32"/>
      <c r="C2982" s="32"/>
      <c r="D2982" s="32"/>
      <c r="E2982" s="32"/>
      <c r="F2982" s="32"/>
      <c r="G2982" s="33"/>
      <c r="H2982" s="33"/>
      <c r="I2982" s="34" t="str">
        <f aca="false">IF($A2982="","",$G2982-$H2982)</f>
        <v/>
      </c>
      <c r="J2982" s="35" t="str">
        <f aca="false">IF($A2982="","",IF(Setup!$B$6=1,YEAR($A2982),YEAR($A2982)+IF(MONTH($A2982)&gt;=Setup!$B$6,1,0)))</f>
        <v/>
      </c>
      <c r="K2982" s="35" t="str">
        <f aca="false">IF($A2982="","",MOD(MONTH($A2982)-Setup!$B$6+12,12)+1)</f>
        <v/>
      </c>
      <c r="L2982" s="36" t="str">
        <f aca="false">IF($A2982="","",TEXT($A2982,"MMM-YY"))</f>
        <v/>
      </c>
      <c r="M2982" s="37" t="str">
        <f aca="false">IF($A2982="","",IF($Q2982=0,"UNMAPPED",INDEX(COA_Mapping!$C$7:$C$256,$Q2982)))</f>
        <v/>
      </c>
      <c r="N2982" s="38" t="str">
        <f aca="false">IF($A2982="","",IF($Q2982=0,"",INDEX(COA_Mapping!$E$7:$E$256,$Q2982)))</f>
        <v/>
      </c>
      <c r="O2982" s="38" t="n">
        <f aca="false">IF($A2982="",1,IF($Q2982=0,1,INDEX(COA_Mapping!$F$7:$F$256,$Q2982)))</f>
        <v>1</v>
      </c>
      <c r="P2982" s="34" t="str">
        <f aca="false">IF($A2982="","",$I2982*$O2982)</f>
        <v/>
      </c>
      <c r="Q2982" s="39" t="n">
        <f aca="false">IF($B2982="",0,IFERROR(MATCH($B2982,COA_Mapping!$A$7:$A$256,0),0))</f>
        <v>0</v>
      </c>
      <c r="R2982" s="39" t="n">
        <f aca="false">IF($A2982="",-1,IF($J2982=Setup!$B$7,1,IF($J2982=Setup!$B$9,0,-1)))</f>
        <v>-1</v>
      </c>
      <c r="S2982" s="35" t="n">
        <f aca="false">IF(OR($A2982="",$Q2982=0,$R2982=-1),0,$Q2982*1000+$R2982*100+$K2982)</f>
        <v>0</v>
      </c>
      <c r="T2982" s="37" t="str">
        <f aca="false">IF($A2982="","",IF($B2982="","NO ACCOUNT",IF($Q2982=0,"UNMAPPED",IF($R2982=-1,"OUTSIDE FY RANGE","OK"))))</f>
        <v/>
      </c>
      <c r="U2982" s="40" t="str">
        <f aca="false">IF($A2982="","",$B2982&amp;"|"&amp;TEXT($A2982,"yyyymmdd")&amp;"|"&amp;TEXT($I2982,"0.00"))</f>
        <v/>
      </c>
      <c r="V2982" s="35" t="str">
        <f aca="false">IF($A2982="","",COUNTIF($U$8:$U$5007,$U2982))</f>
        <v/>
      </c>
    </row>
    <row r="2983" customFormat="false" ht="15" hidden="false" customHeight="false" outlineLevel="0" collapsed="false">
      <c r="A2983" s="31"/>
      <c r="B2983" s="32"/>
      <c r="C2983" s="32"/>
      <c r="D2983" s="32"/>
      <c r="E2983" s="32"/>
      <c r="F2983" s="32"/>
      <c r="G2983" s="33"/>
      <c r="H2983" s="33"/>
      <c r="I2983" s="34" t="str">
        <f aca="false">IF($A2983="","",$G2983-$H2983)</f>
        <v/>
      </c>
      <c r="J2983" s="35" t="str">
        <f aca="false">IF($A2983="","",IF(Setup!$B$6=1,YEAR($A2983),YEAR($A2983)+IF(MONTH($A2983)&gt;=Setup!$B$6,1,0)))</f>
        <v/>
      </c>
      <c r="K2983" s="35" t="str">
        <f aca="false">IF($A2983="","",MOD(MONTH($A2983)-Setup!$B$6+12,12)+1)</f>
        <v/>
      </c>
      <c r="L2983" s="36" t="str">
        <f aca="false">IF($A2983="","",TEXT($A2983,"MMM-YY"))</f>
        <v/>
      </c>
      <c r="M2983" s="37" t="str">
        <f aca="false">IF($A2983="","",IF($Q2983=0,"UNMAPPED",INDEX(COA_Mapping!$C$7:$C$256,$Q2983)))</f>
        <v/>
      </c>
      <c r="N2983" s="38" t="str">
        <f aca="false">IF($A2983="","",IF($Q2983=0,"",INDEX(COA_Mapping!$E$7:$E$256,$Q2983)))</f>
        <v/>
      </c>
      <c r="O2983" s="38" t="n">
        <f aca="false">IF($A2983="",1,IF($Q2983=0,1,INDEX(COA_Mapping!$F$7:$F$256,$Q2983)))</f>
        <v>1</v>
      </c>
      <c r="P2983" s="34" t="str">
        <f aca="false">IF($A2983="","",$I2983*$O2983)</f>
        <v/>
      </c>
      <c r="Q2983" s="39" t="n">
        <f aca="false">IF($B2983="",0,IFERROR(MATCH($B2983,COA_Mapping!$A$7:$A$256,0),0))</f>
        <v>0</v>
      </c>
      <c r="R2983" s="39" t="n">
        <f aca="false">IF($A2983="",-1,IF($J2983=Setup!$B$7,1,IF($J2983=Setup!$B$9,0,-1)))</f>
        <v>-1</v>
      </c>
      <c r="S2983" s="35" t="n">
        <f aca="false">IF(OR($A2983="",$Q2983=0,$R2983=-1),0,$Q2983*1000+$R2983*100+$K2983)</f>
        <v>0</v>
      </c>
      <c r="T2983" s="37" t="str">
        <f aca="false">IF($A2983="","",IF($B2983="","NO ACCOUNT",IF($Q2983=0,"UNMAPPED",IF($R2983=-1,"OUTSIDE FY RANGE","OK"))))</f>
        <v/>
      </c>
      <c r="U2983" s="40" t="str">
        <f aca="false">IF($A2983="","",$B2983&amp;"|"&amp;TEXT($A2983,"yyyymmdd")&amp;"|"&amp;TEXT($I2983,"0.00"))</f>
        <v/>
      </c>
      <c r="V2983" s="35" t="str">
        <f aca="false">IF($A2983="","",COUNTIF($U$8:$U$5007,$U2983))</f>
        <v/>
      </c>
    </row>
    <row r="2984" customFormat="false" ht="15" hidden="false" customHeight="false" outlineLevel="0" collapsed="false">
      <c r="A2984" s="31"/>
      <c r="B2984" s="32"/>
      <c r="C2984" s="32"/>
      <c r="D2984" s="32"/>
      <c r="E2984" s="32"/>
      <c r="F2984" s="32"/>
      <c r="G2984" s="33"/>
      <c r="H2984" s="33"/>
      <c r="I2984" s="34" t="str">
        <f aca="false">IF($A2984="","",$G2984-$H2984)</f>
        <v/>
      </c>
      <c r="J2984" s="35" t="str">
        <f aca="false">IF($A2984="","",IF(Setup!$B$6=1,YEAR($A2984),YEAR($A2984)+IF(MONTH($A2984)&gt;=Setup!$B$6,1,0)))</f>
        <v/>
      </c>
      <c r="K2984" s="35" t="str">
        <f aca="false">IF($A2984="","",MOD(MONTH($A2984)-Setup!$B$6+12,12)+1)</f>
        <v/>
      </c>
      <c r="L2984" s="36" t="str">
        <f aca="false">IF($A2984="","",TEXT($A2984,"MMM-YY"))</f>
        <v/>
      </c>
      <c r="M2984" s="37" t="str">
        <f aca="false">IF($A2984="","",IF($Q2984=0,"UNMAPPED",INDEX(COA_Mapping!$C$7:$C$256,$Q2984)))</f>
        <v/>
      </c>
      <c r="N2984" s="38" t="str">
        <f aca="false">IF($A2984="","",IF($Q2984=0,"",INDEX(COA_Mapping!$E$7:$E$256,$Q2984)))</f>
        <v/>
      </c>
      <c r="O2984" s="38" t="n">
        <f aca="false">IF($A2984="",1,IF($Q2984=0,1,INDEX(COA_Mapping!$F$7:$F$256,$Q2984)))</f>
        <v>1</v>
      </c>
      <c r="P2984" s="34" t="str">
        <f aca="false">IF($A2984="","",$I2984*$O2984)</f>
        <v/>
      </c>
      <c r="Q2984" s="39" t="n">
        <f aca="false">IF($B2984="",0,IFERROR(MATCH($B2984,COA_Mapping!$A$7:$A$256,0),0))</f>
        <v>0</v>
      </c>
      <c r="R2984" s="39" t="n">
        <f aca="false">IF($A2984="",-1,IF($J2984=Setup!$B$7,1,IF($J2984=Setup!$B$9,0,-1)))</f>
        <v>-1</v>
      </c>
      <c r="S2984" s="35" t="n">
        <f aca="false">IF(OR($A2984="",$Q2984=0,$R2984=-1),0,$Q2984*1000+$R2984*100+$K2984)</f>
        <v>0</v>
      </c>
      <c r="T2984" s="37" t="str">
        <f aca="false">IF($A2984="","",IF($B2984="","NO ACCOUNT",IF($Q2984=0,"UNMAPPED",IF($R2984=-1,"OUTSIDE FY RANGE","OK"))))</f>
        <v/>
      </c>
      <c r="U2984" s="40" t="str">
        <f aca="false">IF($A2984="","",$B2984&amp;"|"&amp;TEXT($A2984,"yyyymmdd")&amp;"|"&amp;TEXT($I2984,"0.00"))</f>
        <v/>
      </c>
      <c r="V2984" s="35" t="str">
        <f aca="false">IF($A2984="","",COUNTIF($U$8:$U$5007,$U2984))</f>
        <v/>
      </c>
    </row>
    <row r="2985" customFormat="false" ht="15" hidden="false" customHeight="false" outlineLevel="0" collapsed="false">
      <c r="A2985" s="31"/>
      <c r="B2985" s="32"/>
      <c r="C2985" s="32"/>
      <c r="D2985" s="32"/>
      <c r="E2985" s="32"/>
      <c r="F2985" s="32"/>
      <c r="G2985" s="33"/>
      <c r="H2985" s="33"/>
      <c r="I2985" s="34" t="str">
        <f aca="false">IF($A2985="","",$G2985-$H2985)</f>
        <v/>
      </c>
      <c r="J2985" s="35" t="str">
        <f aca="false">IF($A2985="","",IF(Setup!$B$6=1,YEAR($A2985),YEAR($A2985)+IF(MONTH($A2985)&gt;=Setup!$B$6,1,0)))</f>
        <v/>
      </c>
      <c r="K2985" s="35" t="str">
        <f aca="false">IF($A2985="","",MOD(MONTH($A2985)-Setup!$B$6+12,12)+1)</f>
        <v/>
      </c>
      <c r="L2985" s="36" t="str">
        <f aca="false">IF($A2985="","",TEXT($A2985,"MMM-YY"))</f>
        <v/>
      </c>
      <c r="M2985" s="37" t="str">
        <f aca="false">IF($A2985="","",IF($Q2985=0,"UNMAPPED",INDEX(COA_Mapping!$C$7:$C$256,$Q2985)))</f>
        <v/>
      </c>
      <c r="N2985" s="38" t="str">
        <f aca="false">IF($A2985="","",IF($Q2985=0,"",INDEX(COA_Mapping!$E$7:$E$256,$Q2985)))</f>
        <v/>
      </c>
      <c r="O2985" s="38" t="n">
        <f aca="false">IF($A2985="",1,IF($Q2985=0,1,INDEX(COA_Mapping!$F$7:$F$256,$Q2985)))</f>
        <v>1</v>
      </c>
      <c r="P2985" s="34" t="str">
        <f aca="false">IF($A2985="","",$I2985*$O2985)</f>
        <v/>
      </c>
      <c r="Q2985" s="39" t="n">
        <f aca="false">IF($B2985="",0,IFERROR(MATCH($B2985,COA_Mapping!$A$7:$A$256,0),0))</f>
        <v>0</v>
      </c>
      <c r="R2985" s="39" t="n">
        <f aca="false">IF($A2985="",-1,IF($J2985=Setup!$B$7,1,IF($J2985=Setup!$B$9,0,-1)))</f>
        <v>-1</v>
      </c>
      <c r="S2985" s="35" t="n">
        <f aca="false">IF(OR($A2985="",$Q2985=0,$R2985=-1),0,$Q2985*1000+$R2985*100+$K2985)</f>
        <v>0</v>
      </c>
      <c r="T2985" s="37" t="str">
        <f aca="false">IF($A2985="","",IF($B2985="","NO ACCOUNT",IF($Q2985=0,"UNMAPPED",IF($R2985=-1,"OUTSIDE FY RANGE","OK"))))</f>
        <v/>
      </c>
      <c r="U2985" s="40" t="str">
        <f aca="false">IF($A2985="","",$B2985&amp;"|"&amp;TEXT($A2985,"yyyymmdd")&amp;"|"&amp;TEXT($I2985,"0.00"))</f>
        <v/>
      </c>
      <c r="V2985" s="35" t="str">
        <f aca="false">IF($A2985="","",COUNTIF($U$8:$U$5007,$U2985))</f>
        <v/>
      </c>
    </row>
    <row r="2986" customFormat="false" ht="15" hidden="false" customHeight="false" outlineLevel="0" collapsed="false">
      <c r="A2986" s="31"/>
      <c r="B2986" s="32"/>
      <c r="C2986" s="32"/>
      <c r="D2986" s="32"/>
      <c r="E2986" s="32"/>
      <c r="F2986" s="32"/>
      <c r="G2986" s="33"/>
      <c r="H2986" s="33"/>
      <c r="I2986" s="34" t="str">
        <f aca="false">IF($A2986="","",$G2986-$H2986)</f>
        <v/>
      </c>
      <c r="J2986" s="35" t="str">
        <f aca="false">IF($A2986="","",IF(Setup!$B$6=1,YEAR($A2986),YEAR($A2986)+IF(MONTH($A2986)&gt;=Setup!$B$6,1,0)))</f>
        <v/>
      </c>
      <c r="K2986" s="35" t="str">
        <f aca="false">IF($A2986="","",MOD(MONTH($A2986)-Setup!$B$6+12,12)+1)</f>
        <v/>
      </c>
      <c r="L2986" s="36" t="str">
        <f aca="false">IF($A2986="","",TEXT($A2986,"MMM-YY"))</f>
        <v/>
      </c>
      <c r="M2986" s="37" t="str">
        <f aca="false">IF($A2986="","",IF($Q2986=0,"UNMAPPED",INDEX(COA_Mapping!$C$7:$C$256,$Q2986)))</f>
        <v/>
      </c>
      <c r="N2986" s="38" t="str">
        <f aca="false">IF($A2986="","",IF($Q2986=0,"",INDEX(COA_Mapping!$E$7:$E$256,$Q2986)))</f>
        <v/>
      </c>
      <c r="O2986" s="38" t="n">
        <f aca="false">IF($A2986="",1,IF($Q2986=0,1,INDEX(COA_Mapping!$F$7:$F$256,$Q2986)))</f>
        <v>1</v>
      </c>
      <c r="P2986" s="34" t="str">
        <f aca="false">IF($A2986="","",$I2986*$O2986)</f>
        <v/>
      </c>
      <c r="Q2986" s="39" t="n">
        <f aca="false">IF($B2986="",0,IFERROR(MATCH($B2986,COA_Mapping!$A$7:$A$256,0),0))</f>
        <v>0</v>
      </c>
      <c r="R2986" s="39" t="n">
        <f aca="false">IF($A2986="",-1,IF($J2986=Setup!$B$7,1,IF($J2986=Setup!$B$9,0,-1)))</f>
        <v>-1</v>
      </c>
      <c r="S2986" s="35" t="n">
        <f aca="false">IF(OR($A2986="",$Q2986=0,$R2986=-1),0,$Q2986*1000+$R2986*100+$K2986)</f>
        <v>0</v>
      </c>
      <c r="T2986" s="37" t="str">
        <f aca="false">IF($A2986="","",IF($B2986="","NO ACCOUNT",IF($Q2986=0,"UNMAPPED",IF($R2986=-1,"OUTSIDE FY RANGE","OK"))))</f>
        <v/>
      </c>
      <c r="U2986" s="40" t="str">
        <f aca="false">IF($A2986="","",$B2986&amp;"|"&amp;TEXT($A2986,"yyyymmdd")&amp;"|"&amp;TEXT($I2986,"0.00"))</f>
        <v/>
      </c>
      <c r="V2986" s="35" t="str">
        <f aca="false">IF($A2986="","",COUNTIF($U$8:$U$5007,$U2986))</f>
        <v/>
      </c>
    </row>
    <row r="2987" customFormat="false" ht="15" hidden="false" customHeight="false" outlineLevel="0" collapsed="false">
      <c r="A2987" s="31"/>
      <c r="B2987" s="32"/>
      <c r="C2987" s="32"/>
      <c r="D2987" s="32"/>
      <c r="E2987" s="32"/>
      <c r="F2987" s="32"/>
      <c r="G2987" s="33"/>
      <c r="H2987" s="33"/>
      <c r="I2987" s="34" t="str">
        <f aca="false">IF($A2987="","",$G2987-$H2987)</f>
        <v/>
      </c>
      <c r="J2987" s="35" t="str">
        <f aca="false">IF($A2987="","",IF(Setup!$B$6=1,YEAR($A2987),YEAR($A2987)+IF(MONTH($A2987)&gt;=Setup!$B$6,1,0)))</f>
        <v/>
      </c>
      <c r="K2987" s="35" t="str">
        <f aca="false">IF($A2987="","",MOD(MONTH($A2987)-Setup!$B$6+12,12)+1)</f>
        <v/>
      </c>
      <c r="L2987" s="36" t="str">
        <f aca="false">IF($A2987="","",TEXT($A2987,"MMM-YY"))</f>
        <v/>
      </c>
      <c r="M2987" s="37" t="str">
        <f aca="false">IF($A2987="","",IF($Q2987=0,"UNMAPPED",INDEX(COA_Mapping!$C$7:$C$256,$Q2987)))</f>
        <v/>
      </c>
      <c r="N2987" s="38" t="str">
        <f aca="false">IF($A2987="","",IF($Q2987=0,"",INDEX(COA_Mapping!$E$7:$E$256,$Q2987)))</f>
        <v/>
      </c>
      <c r="O2987" s="38" t="n">
        <f aca="false">IF($A2987="",1,IF($Q2987=0,1,INDEX(COA_Mapping!$F$7:$F$256,$Q2987)))</f>
        <v>1</v>
      </c>
      <c r="P2987" s="34" t="str">
        <f aca="false">IF($A2987="","",$I2987*$O2987)</f>
        <v/>
      </c>
      <c r="Q2987" s="39" t="n">
        <f aca="false">IF($B2987="",0,IFERROR(MATCH($B2987,COA_Mapping!$A$7:$A$256,0),0))</f>
        <v>0</v>
      </c>
      <c r="R2987" s="39" t="n">
        <f aca="false">IF($A2987="",-1,IF($J2987=Setup!$B$7,1,IF($J2987=Setup!$B$9,0,-1)))</f>
        <v>-1</v>
      </c>
      <c r="S2987" s="35" t="n">
        <f aca="false">IF(OR($A2987="",$Q2987=0,$R2987=-1),0,$Q2987*1000+$R2987*100+$K2987)</f>
        <v>0</v>
      </c>
      <c r="T2987" s="37" t="str">
        <f aca="false">IF($A2987="","",IF($B2987="","NO ACCOUNT",IF($Q2987=0,"UNMAPPED",IF($R2987=-1,"OUTSIDE FY RANGE","OK"))))</f>
        <v/>
      </c>
      <c r="U2987" s="40" t="str">
        <f aca="false">IF($A2987="","",$B2987&amp;"|"&amp;TEXT($A2987,"yyyymmdd")&amp;"|"&amp;TEXT($I2987,"0.00"))</f>
        <v/>
      </c>
      <c r="V2987" s="35" t="str">
        <f aca="false">IF($A2987="","",COUNTIF($U$8:$U$5007,$U2987))</f>
        <v/>
      </c>
    </row>
    <row r="2988" customFormat="false" ht="15" hidden="false" customHeight="false" outlineLevel="0" collapsed="false">
      <c r="A2988" s="31"/>
      <c r="B2988" s="32"/>
      <c r="C2988" s="32"/>
      <c r="D2988" s="32"/>
      <c r="E2988" s="32"/>
      <c r="F2988" s="32"/>
      <c r="G2988" s="33"/>
      <c r="H2988" s="33"/>
      <c r="I2988" s="34" t="str">
        <f aca="false">IF($A2988="","",$G2988-$H2988)</f>
        <v/>
      </c>
      <c r="J2988" s="35" t="str">
        <f aca="false">IF($A2988="","",IF(Setup!$B$6=1,YEAR($A2988),YEAR($A2988)+IF(MONTH($A2988)&gt;=Setup!$B$6,1,0)))</f>
        <v/>
      </c>
      <c r="K2988" s="35" t="str">
        <f aca="false">IF($A2988="","",MOD(MONTH($A2988)-Setup!$B$6+12,12)+1)</f>
        <v/>
      </c>
      <c r="L2988" s="36" t="str">
        <f aca="false">IF($A2988="","",TEXT($A2988,"MMM-YY"))</f>
        <v/>
      </c>
      <c r="M2988" s="37" t="str">
        <f aca="false">IF($A2988="","",IF($Q2988=0,"UNMAPPED",INDEX(COA_Mapping!$C$7:$C$256,$Q2988)))</f>
        <v/>
      </c>
      <c r="N2988" s="38" t="str">
        <f aca="false">IF($A2988="","",IF($Q2988=0,"",INDEX(COA_Mapping!$E$7:$E$256,$Q2988)))</f>
        <v/>
      </c>
      <c r="O2988" s="38" t="n">
        <f aca="false">IF($A2988="",1,IF($Q2988=0,1,INDEX(COA_Mapping!$F$7:$F$256,$Q2988)))</f>
        <v>1</v>
      </c>
      <c r="P2988" s="34" t="str">
        <f aca="false">IF($A2988="","",$I2988*$O2988)</f>
        <v/>
      </c>
      <c r="Q2988" s="39" t="n">
        <f aca="false">IF($B2988="",0,IFERROR(MATCH($B2988,COA_Mapping!$A$7:$A$256,0),0))</f>
        <v>0</v>
      </c>
      <c r="R2988" s="39" t="n">
        <f aca="false">IF($A2988="",-1,IF($J2988=Setup!$B$7,1,IF($J2988=Setup!$B$9,0,-1)))</f>
        <v>-1</v>
      </c>
      <c r="S2988" s="35" t="n">
        <f aca="false">IF(OR($A2988="",$Q2988=0,$R2988=-1),0,$Q2988*1000+$R2988*100+$K2988)</f>
        <v>0</v>
      </c>
      <c r="T2988" s="37" t="str">
        <f aca="false">IF($A2988="","",IF($B2988="","NO ACCOUNT",IF($Q2988=0,"UNMAPPED",IF($R2988=-1,"OUTSIDE FY RANGE","OK"))))</f>
        <v/>
      </c>
      <c r="U2988" s="40" t="str">
        <f aca="false">IF($A2988="","",$B2988&amp;"|"&amp;TEXT($A2988,"yyyymmdd")&amp;"|"&amp;TEXT($I2988,"0.00"))</f>
        <v/>
      </c>
      <c r="V2988" s="35" t="str">
        <f aca="false">IF($A2988="","",COUNTIF($U$8:$U$5007,$U2988))</f>
        <v/>
      </c>
    </row>
    <row r="2989" customFormat="false" ht="15" hidden="false" customHeight="false" outlineLevel="0" collapsed="false">
      <c r="A2989" s="31"/>
      <c r="B2989" s="32"/>
      <c r="C2989" s="32"/>
      <c r="D2989" s="32"/>
      <c r="E2989" s="32"/>
      <c r="F2989" s="32"/>
      <c r="G2989" s="33"/>
      <c r="H2989" s="33"/>
      <c r="I2989" s="34" t="str">
        <f aca="false">IF($A2989="","",$G2989-$H2989)</f>
        <v/>
      </c>
      <c r="J2989" s="35" t="str">
        <f aca="false">IF($A2989="","",IF(Setup!$B$6=1,YEAR($A2989),YEAR($A2989)+IF(MONTH($A2989)&gt;=Setup!$B$6,1,0)))</f>
        <v/>
      </c>
      <c r="K2989" s="35" t="str">
        <f aca="false">IF($A2989="","",MOD(MONTH($A2989)-Setup!$B$6+12,12)+1)</f>
        <v/>
      </c>
      <c r="L2989" s="36" t="str">
        <f aca="false">IF($A2989="","",TEXT($A2989,"MMM-YY"))</f>
        <v/>
      </c>
      <c r="M2989" s="37" t="str">
        <f aca="false">IF($A2989="","",IF($Q2989=0,"UNMAPPED",INDEX(COA_Mapping!$C$7:$C$256,$Q2989)))</f>
        <v/>
      </c>
      <c r="N2989" s="38" t="str">
        <f aca="false">IF($A2989="","",IF($Q2989=0,"",INDEX(COA_Mapping!$E$7:$E$256,$Q2989)))</f>
        <v/>
      </c>
      <c r="O2989" s="38" t="n">
        <f aca="false">IF($A2989="",1,IF($Q2989=0,1,INDEX(COA_Mapping!$F$7:$F$256,$Q2989)))</f>
        <v>1</v>
      </c>
      <c r="P2989" s="34" t="str">
        <f aca="false">IF($A2989="","",$I2989*$O2989)</f>
        <v/>
      </c>
      <c r="Q2989" s="39" t="n">
        <f aca="false">IF($B2989="",0,IFERROR(MATCH($B2989,COA_Mapping!$A$7:$A$256,0),0))</f>
        <v>0</v>
      </c>
      <c r="R2989" s="39" t="n">
        <f aca="false">IF($A2989="",-1,IF($J2989=Setup!$B$7,1,IF($J2989=Setup!$B$9,0,-1)))</f>
        <v>-1</v>
      </c>
      <c r="S2989" s="35" t="n">
        <f aca="false">IF(OR($A2989="",$Q2989=0,$R2989=-1),0,$Q2989*1000+$R2989*100+$K2989)</f>
        <v>0</v>
      </c>
      <c r="T2989" s="37" t="str">
        <f aca="false">IF($A2989="","",IF($B2989="","NO ACCOUNT",IF($Q2989=0,"UNMAPPED",IF($R2989=-1,"OUTSIDE FY RANGE","OK"))))</f>
        <v/>
      </c>
      <c r="U2989" s="40" t="str">
        <f aca="false">IF($A2989="","",$B2989&amp;"|"&amp;TEXT($A2989,"yyyymmdd")&amp;"|"&amp;TEXT($I2989,"0.00"))</f>
        <v/>
      </c>
      <c r="V2989" s="35" t="str">
        <f aca="false">IF($A2989="","",COUNTIF($U$8:$U$5007,$U2989))</f>
        <v/>
      </c>
    </row>
    <row r="2990" customFormat="false" ht="15" hidden="false" customHeight="false" outlineLevel="0" collapsed="false">
      <c r="A2990" s="31"/>
      <c r="B2990" s="32"/>
      <c r="C2990" s="32"/>
      <c r="D2990" s="32"/>
      <c r="E2990" s="32"/>
      <c r="F2990" s="32"/>
      <c r="G2990" s="33"/>
      <c r="H2990" s="33"/>
      <c r="I2990" s="34" t="str">
        <f aca="false">IF($A2990="","",$G2990-$H2990)</f>
        <v/>
      </c>
      <c r="J2990" s="35" t="str">
        <f aca="false">IF($A2990="","",IF(Setup!$B$6=1,YEAR($A2990),YEAR($A2990)+IF(MONTH($A2990)&gt;=Setup!$B$6,1,0)))</f>
        <v/>
      </c>
      <c r="K2990" s="35" t="str">
        <f aca="false">IF($A2990="","",MOD(MONTH($A2990)-Setup!$B$6+12,12)+1)</f>
        <v/>
      </c>
      <c r="L2990" s="36" t="str">
        <f aca="false">IF($A2990="","",TEXT($A2990,"MMM-YY"))</f>
        <v/>
      </c>
      <c r="M2990" s="37" t="str">
        <f aca="false">IF($A2990="","",IF($Q2990=0,"UNMAPPED",INDEX(COA_Mapping!$C$7:$C$256,$Q2990)))</f>
        <v/>
      </c>
      <c r="N2990" s="38" t="str">
        <f aca="false">IF($A2990="","",IF($Q2990=0,"",INDEX(COA_Mapping!$E$7:$E$256,$Q2990)))</f>
        <v/>
      </c>
      <c r="O2990" s="38" t="n">
        <f aca="false">IF($A2990="",1,IF($Q2990=0,1,INDEX(COA_Mapping!$F$7:$F$256,$Q2990)))</f>
        <v>1</v>
      </c>
      <c r="P2990" s="34" t="str">
        <f aca="false">IF($A2990="","",$I2990*$O2990)</f>
        <v/>
      </c>
      <c r="Q2990" s="39" t="n">
        <f aca="false">IF($B2990="",0,IFERROR(MATCH($B2990,COA_Mapping!$A$7:$A$256,0),0))</f>
        <v>0</v>
      </c>
      <c r="R2990" s="39" t="n">
        <f aca="false">IF($A2990="",-1,IF($J2990=Setup!$B$7,1,IF($J2990=Setup!$B$9,0,-1)))</f>
        <v>-1</v>
      </c>
      <c r="S2990" s="35" t="n">
        <f aca="false">IF(OR($A2990="",$Q2990=0,$R2990=-1),0,$Q2990*1000+$R2990*100+$K2990)</f>
        <v>0</v>
      </c>
      <c r="T2990" s="37" t="str">
        <f aca="false">IF($A2990="","",IF($B2990="","NO ACCOUNT",IF($Q2990=0,"UNMAPPED",IF($R2990=-1,"OUTSIDE FY RANGE","OK"))))</f>
        <v/>
      </c>
      <c r="U2990" s="40" t="str">
        <f aca="false">IF($A2990="","",$B2990&amp;"|"&amp;TEXT($A2990,"yyyymmdd")&amp;"|"&amp;TEXT($I2990,"0.00"))</f>
        <v/>
      </c>
      <c r="V2990" s="35" t="str">
        <f aca="false">IF($A2990="","",COUNTIF($U$8:$U$5007,$U2990))</f>
        <v/>
      </c>
    </row>
    <row r="2991" customFormat="false" ht="15" hidden="false" customHeight="false" outlineLevel="0" collapsed="false">
      <c r="A2991" s="31"/>
      <c r="B2991" s="32"/>
      <c r="C2991" s="32"/>
      <c r="D2991" s="32"/>
      <c r="E2991" s="32"/>
      <c r="F2991" s="32"/>
      <c r="G2991" s="33"/>
      <c r="H2991" s="33"/>
      <c r="I2991" s="34" t="str">
        <f aca="false">IF($A2991="","",$G2991-$H2991)</f>
        <v/>
      </c>
      <c r="J2991" s="35" t="str">
        <f aca="false">IF($A2991="","",IF(Setup!$B$6=1,YEAR($A2991),YEAR($A2991)+IF(MONTH($A2991)&gt;=Setup!$B$6,1,0)))</f>
        <v/>
      </c>
      <c r="K2991" s="35" t="str">
        <f aca="false">IF($A2991="","",MOD(MONTH($A2991)-Setup!$B$6+12,12)+1)</f>
        <v/>
      </c>
      <c r="L2991" s="36" t="str">
        <f aca="false">IF($A2991="","",TEXT($A2991,"MMM-YY"))</f>
        <v/>
      </c>
      <c r="M2991" s="37" t="str">
        <f aca="false">IF($A2991="","",IF($Q2991=0,"UNMAPPED",INDEX(COA_Mapping!$C$7:$C$256,$Q2991)))</f>
        <v/>
      </c>
      <c r="N2991" s="38" t="str">
        <f aca="false">IF($A2991="","",IF($Q2991=0,"",INDEX(COA_Mapping!$E$7:$E$256,$Q2991)))</f>
        <v/>
      </c>
      <c r="O2991" s="38" t="n">
        <f aca="false">IF($A2991="",1,IF($Q2991=0,1,INDEX(COA_Mapping!$F$7:$F$256,$Q2991)))</f>
        <v>1</v>
      </c>
      <c r="P2991" s="34" t="str">
        <f aca="false">IF($A2991="","",$I2991*$O2991)</f>
        <v/>
      </c>
      <c r="Q2991" s="39" t="n">
        <f aca="false">IF($B2991="",0,IFERROR(MATCH($B2991,COA_Mapping!$A$7:$A$256,0),0))</f>
        <v>0</v>
      </c>
      <c r="R2991" s="39" t="n">
        <f aca="false">IF($A2991="",-1,IF($J2991=Setup!$B$7,1,IF($J2991=Setup!$B$9,0,-1)))</f>
        <v>-1</v>
      </c>
      <c r="S2991" s="35" t="n">
        <f aca="false">IF(OR($A2991="",$Q2991=0,$R2991=-1),0,$Q2991*1000+$R2991*100+$K2991)</f>
        <v>0</v>
      </c>
      <c r="T2991" s="37" t="str">
        <f aca="false">IF($A2991="","",IF($B2991="","NO ACCOUNT",IF($Q2991=0,"UNMAPPED",IF($R2991=-1,"OUTSIDE FY RANGE","OK"))))</f>
        <v/>
      </c>
      <c r="U2991" s="40" t="str">
        <f aca="false">IF($A2991="","",$B2991&amp;"|"&amp;TEXT($A2991,"yyyymmdd")&amp;"|"&amp;TEXT($I2991,"0.00"))</f>
        <v/>
      </c>
      <c r="V2991" s="35" t="str">
        <f aca="false">IF($A2991="","",COUNTIF($U$8:$U$5007,$U2991))</f>
        <v/>
      </c>
    </row>
    <row r="2992" customFormat="false" ht="15" hidden="false" customHeight="false" outlineLevel="0" collapsed="false">
      <c r="A2992" s="31"/>
      <c r="B2992" s="32"/>
      <c r="C2992" s="32"/>
      <c r="D2992" s="32"/>
      <c r="E2992" s="32"/>
      <c r="F2992" s="32"/>
      <c r="G2992" s="33"/>
      <c r="H2992" s="33"/>
      <c r="I2992" s="34" t="str">
        <f aca="false">IF($A2992="","",$G2992-$H2992)</f>
        <v/>
      </c>
      <c r="J2992" s="35" t="str">
        <f aca="false">IF($A2992="","",IF(Setup!$B$6=1,YEAR($A2992),YEAR($A2992)+IF(MONTH($A2992)&gt;=Setup!$B$6,1,0)))</f>
        <v/>
      </c>
      <c r="K2992" s="35" t="str">
        <f aca="false">IF($A2992="","",MOD(MONTH($A2992)-Setup!$B$6+12,12)+1)</f>
        <v/>
      </c>
      <c r="L2992" s="36" t="str">
        <f aca="false">IF($A2992="","",TEXT($A2992,"MMM-YY"))</f>
        <v/>
      </c>
      <c r="M2992" s="37" t="str">
        <f aca="false">IF($A2992="","",IF($Q2992=0,"UNMAPPED",INDEX(COA_Mapping!$C$7:$C$256,$Q2992)))</f>
        <v/>
      </c>
      <c r="N2992" s="38" t="str">
        <f aca="false">IF($A2992="","",IF($Q2992=0,"",INDEX(COA_Mapping!$E$7:$E$256,$Q2992)))</f>
        <v/>
      </c>
      <c r="O2992" s="38" t="n">
        <f aca="false">IF($A2992="",1,IF($Q2992=0,1,INDEX(COA_Mapping!$F$7:$F$256,$Q2992)))</f>
        <v>1</v>
      </c>
      <c r="P2992" s="34" t="str">
        <f aca="false">IF($A2992="","",$I2992*$O2992)</f>
        <v/>
      </c>
      <c r="Q2992" s="39" t="n">
        <f aca="false">IF($B2992="",0,IFERROR(MATCH($B2992,COA_Mapping!$A$7:$A$256,0),0))</f>
        <v>0</v>
      </c>
      <c r="R2992" s="39" t="n">
        <f aca="false">IF($A2992="",-1,IF($J2992=Setup!$B$7,1,IF($J2992=Setup!$B$9,0,-1)))</f>
        <v>-1</v>
      </c>
      <c r="S2992" s="35" t="n">
        <f aca="false">IF(OR($A2992="",$Q2992=0,$R2992=-1),0,$Q2992*1000+$R2992*100+$K2992)</f>
        <v>0</v>
      </c>
      <c r="T2992" s="37" t="str">
        <f aca="false">IF($A2992="","",IF($B2992="","NO ACCOUNT",IF($Q2992=0,"UNMAPPED",IF($R2992=-1,"OUTSIDE FY RANGE","OK"))))</f>
        <v/>
      </c>
      <c r="U2992" s="40" t="str">
        <f aca="false">IF($A2992="","",$B2992&amp;"|"&amp;TEXT($A2992,"yyyymmdd")&amp;"|"&amp;TEXT($I2992,"0.00"))</f>
        <v/>
      </c>
      <c r="V2992" s="35" t="str">
        <f aca="false">IF($A2992="","",COUNTIF($U$8:$U$5007,$U2992))</f>
        <v/>
      </c>
    </row>
    <row r="2993" customFormat="false" ht="15" hidden="false" customHeight="false" outlineLevel="0" collapsed="false">
      <c r="A2993" s="31"/>
      <c r="B2993" s="32"/>
      <c r="C2993" s="32"/>
      <c r="D2993" s="32"/>
      <c r="E2993" s="32"/>
      <c r="F2993" s="32"/>
      <c r="G2993" s="33"/>
      <c r="H2993" s="33"/>
      <c r="I2993" s="34" t="str">
        <f aca="false">IF($A2993="","",$G2993-$H2993)</f>
        <v/>
      </c>
      <c r="J2993" s="35" t="str">
        <f aca="false">IF($A2993="","",IF(Setup!$B$6=1,YEAR($A2993),YEAR($A2993)+IF(MONTH($A2993)&gt;=Setup!$B$6,1,0)))</f>
        <v/>
      </c>
      <c r="K2993" s="35" t="str">
        <f aca="false">IF($A2993="","",MOD(MONTH($A2993)-Setup!$B$6+12,12)+1)</f>
        <v/>
      </c>
      <c r="L2993" s="36" t="str">
        <f aca="false">IF($A2993="","",TEXT($A2993,"MMM-YY"))</f>
        <v/>
      </c>
      <c r="M2993" s="37" t="str">
        <f aca="false">IF($A2993="","",IF($Q2993=0,"UNMAPPED",INDEX(COA_Mapping!$C$7:$C$256,$Q2993)))</f>
        <v/>
      </c>
      <c r="N2993" s="38" t="str">
        <f aca="false">IF($A2993="","",IF($Q2993=0,"",INDEX(COA_Mapping!$E$7:$E$256,$Q2993)))</f>
        <v/>
      </c>
      <c r="O2993" s="38" t="n">
        <f aca="false">IF($A2993="",1,IF($Q2993=0,1,INDEX(COA_Mapping!$F$7:$F$256,$Q2993)))</f>
        <v>1</v>
      </c>
      <c r="P2993" s="34" t="str">
        <f aca="false">IF($A2993="","",$I2993*$O2993)</f>
        <v/>
      </c>
      <c r="Q2993" s="39" t="n">
        <f aca="false">IF($B2993="",0,IFERROR(MATCH($B2993,COA_Mapping!$A$7:$A$256,0),0))</f>
        <v>0</v>
      </c>
      <c r="R2993" s="39" t="n">
        <f aca="false">IF($A2993="",-1,IF($J2993=Setup!$B$7,1,IF($J2993=Setup!$B$9,0,-1)))</f>
        <v>-1</v>
      </c>
      <c r="S2993" s="35" t="n">
        <f aca="false">IF(OR($A2993="",$Q2993=0,$R2993=-1),0,$Q2993*1000+$R2993*100+$K2993)</f>
        <v>0</v>
      </c>
      <c r="T2993" s="37" t="str">
        <f aca="false">IF($A2993="","",IF($B2993="","NO ACCOUNT",IF($Q2993=0,"UNMAPPED",IF($R2993=-1,"OUTSIDE FY RANGE","OK"))))</f>
        <v/>
      </c>
      <c r="U2993" s="40" t="str">
        <f aca="false">IF($A2993="","",$B2993&amp;"|"&amp;TEXT($A2993,"yyyymmdd")&amp;"|"&amp;TEXT($I2993,"0.00"))</f>
        <v/>
      </c>
      <c r="V2993" s="35" t="str">
        <f aca="false">IF($A2993="","",COUNTIF($U$8:$U$5007,$U2993))</f>
        <v/>
      </c>
    </row>
    <row r="2994" customFormat="false" ht="15" hidden="false" customHeight="false" outlineLevel="0" collapsed="false">
      <c r="A2994" s="31"/>
      <c r="B2994" s="32"/>
      <c r="C2994" s="32"/>
      <c r="D2994" s="32"/>
      <c r="E2994" s="32"/>
      <c r="F2994" s="32"/>
      <c r="G2994" s="33"/>
      <c r="H2994" s="33"/>
      <c r="I2994" s="34" t="str">
        <f aca="false">IF($A2994="","",$G2994-$H2994)</f>
        <v/>
      </c>
      <c r="J2994" s="35" t="str">
        <f aca="false">IF($A2994="","",IF(Setup!$B$6=1,YEAR($A2994),YEAR($A2994)+IF(MONTH($A2994)&gt;=Setup!$B$6,1,0)))</f>
        <v/>
      </c>
      <c r="K2994" s="35" t="str">
        <f aca="false">IF($A2994="","",MOD(MONTH($A2994)-Setup!$B$6+12,12)+1)</f>
        <v/>
      </c>
      <c r="L2994" s="36" t="str">
        <f aca="false">IF($A2994="","",TEXT($A2994,"MMM-YY"))</f>
        <v/>
      </c>
      <c r="M2994" s="37" t="str">
        <f aca="false">IF($A2994="","",IF($Q2994=0,"UNMAPPED",INDEX(COA_Mapping!$C$7:$C$256,$Q2994)))</f>
        <v/>
      </c>
      <c r="N2994" s="38" t="str">
        <f aca="false">IF($A2994="","",IF($Q2994=0,"",INDEX(COA_Mapping!$E$7:$E$256,$Q2994)))</f>
        <v/>
      </c>
      <c r="O2994" s="38" t="n">
        <f aca="false">IF($A2994="",1,IF($Q2994=0,1,INDEX(COA_Mapping!$F$7:$F$256,$Q2994)))</f>
        <v>1</v>
      </c>
      <c r="P2994" s="34" t="str">
        <f aca="false">IF($A2994="","",$I2994*$O2994)</f>
        <v/>
      </c>
      <c r="Q2994" s="39" t="n">
        <f aca="false">IF($B2994="",0,IFERROR(MATCH($B2994,COA_Mapping!$A$7:$A$256,0),0))</f>
        <v>0</v>
      </c>
      <c r="R2994" s="39" t="n">
        <f aca="false">IF($A2994="",-1,IF($J2994=Setup!$B$7,1,IF($J2994=Setup!$B$9,0,-1)))</f>
        <v>-1</v>
      </c>
      <c r="S2994" s="35" t="n">
        <f aca="false">IF(OR($A2994="",$Q2994=0,$R2994=-1),0,$Q2994*1000+$R2994*100+$K2994)</f>
        <v>0</v>
      </c>
      <c r="T2994" s="37" t="str">
        <f aca="false">IF($A2994="","",IF($B2994="","NO ACCOUNT",IF($Q2994=0,"UNMAPPED",IF($R2994=-1,"OUTSIDE FY RANGE","OK"))))</f>
        <v/>
      </c>
      <c r="U2994" s="40" t="str">
        <f aca="false">IF($A2994="","",$B2994&amp;"|"&amp;TEXT($A2994,"yyyymmdd")&amp;"|"&amp;TEXT($I2994,"0.00"))</f>
        <v/>
      </c>
      <c r="V2994" s="35" t="str">
        <f aca="false">IF($A2994="","",COUNTIF($U$8:$U$5007,$U2994))</f>
        <v/>
      </c>
    </row>
    <row r="2995" customFormat="false" ht="15" hidden="false" customHeight="false" outlineLevel="0" collapsed="false">
      <c r="A2995" s="31"/>
      <c r="B2995" s="32"/>
      <c r="C2995" s="32"/>
      <c r="D2995" s="32"/>
      <c r="E2995" s="32"/>
      <c r="F2995" s="32"/>
      <c r="G2995" s="33"/>
      <c r="H2995" s="33"/>
      <c r="I2995" s="34" t="str">
        <f aca="false">IF($A2995="","",$G2995-$H2995)</f>
        <v/>
      </c>
      <c r="J2995" s="35" t="str">
        <f aca="false">IF($A2995="","",IF(Setup!$B$6=1,YEAR($A2995),YEAR($A2995)+IF(MONTH($A2995)&gt;=Setup!$B$6,1,0)))</f>
        <v/>
      </c>
      <c r="K2995" s="35" t="str">
        <f aca="false">IF($A2995="","",MOD(MONTH($A2995)-Setup!$B$6+12,12)+1)</f>
        <v/>
      </c>
      <c r="L2995" s="36" t="str">
        <f aca="false">IF($A2995="","",TEXT($A2995,"MMM-YY"))</f>
        <v/>
      </c>
      <c r="M2995" s="37" t="str">
        <f aca="false">IF($A2995="","",IF($Q2995=0,"UNMAPPED",INDEX(COA_Mapping!$C$7:$C$256,$Q2995)))</f>
        <v/>
      </c>
      <c r="N2995" s="38" t="str">
        <f aca="false">IF($A2995="","",IF($Q2995=0,"",INDEX(COA_Mapping!$E$7:$E$256,$Q2995)))</f>
        <v/>
      </c>
      <c r="O2995" s="38" t="n">
        <f aca="false">IF($A2995="",1,IF($Q2995=0,1,INDEX(COA_Mapping!$F$7:$F$256,$Q2995)))</f>
        <v>1</v>
      </c>
      <c r="P2995" s="34" t="str">
        <f aca="false">IF($A2995="","",$I2995*$O2995)</f>
        <v/>
      </c>
      <c r="Q2995" s="39" t="n">
        <f aca="false">IF($B2995="",0,IFERROR(MATCH($B2995,COA_Mapping!$A$7:$A$256,0),0))</f>
        <v>0</v>
      </c>
      <c r="R2995" s="39" t="n">
        <f aca="false">IF($A2995="",-1,IF($J2995=Setup!$B$7,1,IF($J2995=Setup!$B$9,0,-1)))</f>
        <v>-1</v>
      </c>
      <c r="S2995" s="35" t="n">
        <f aca="false">IF(OR($A2995="",$Q2995=0,$R2995=-1),0,$Q2995*1000+$R2995*100+$K2995)</f>
        <v>0</v>
      </c>
      <c r="T2995" s="37" t="str">
        <f aca="false">IF($A2995="","",IF($B2995="","NO ACCOUNT",IF($Q2995=0,"UNMAPPED",IF($R2995=-1,"OUTSIDE FY RANGE","OK"))))</f>
        <v/>
      </c>
      <c r="U2995" s="40" t="str">
        <f aca="false">IF($A2995="","",$B2995&amp;"|"&amp;TEXT($A2995,"yyyymmdd")&amp;"|"&amp;TEXT($I2995,"0.00"))</f>
        <v/>
      </c>
      <c r="V2995" s="35" t="str">
        <f aca="false">IF($A2995="","",COUNTIF($U$8:$U$5007,$U2995))</f>
        <v/>
      </c>
    </row>
    <row r="2996" customFormat="false" ht="15" hidden="false" customHeight="false" outlineLevel="0" collapsed="false">
      <c r="A2996" s="31"/>
      <c r="B2996" s="32"/>
      <c r="C2996" s="32"/>
      <c r="D2996" s="32"/>
      <c r="E2996" s="32"/>
      <c r="F2996" s="32"/>
      <c r="G2996" s="33"/>
      <c r="H2996" s="33"/>
      <c r="I2996" s="34" t="str">
        <f aca="false">IF($A2996="","",$G2996-$H2996)</f>
        <v/>
      </c>
      <c r="J2996" s="35" t="str">
        <f aca="false">IF($A2996="","",IF(Setup!$B$6=1,YEAR($A2996),YEAR($A2996)+IF(MONTH($A2996)&gt;=Setup!$B$6,1,0)))</f>
        <v/>
      </c>
      <c r="K2996" s="35" t="str">
        <f aca="false">IF($A2996="","",MOD(MONTH($A2996)-Setup!$B$6+12,12)+1)</f>
        <v/>
      </c>
      <c r="L2996" s="36" t="str">
        <f aca="false">IF($A2996="","",TEXT($A2996,"MMM-YY"))</f>
        <v/>
      </c>
      <c r="M2996" s="37" t="str">
        <f aca="false">IF($A2996="","",IF($Q2996=0,"UNMAPPED",INDEX(COA_Mapping!$C$7:$C$256,$Q2996)))</f>
        <v/>
      </c>
      <c r="N2996" s="38" t="str">
        <f aca="false">IF($A2996="","",IF($Q2996=0,"",INDEX(COA_Mapping!$E$7:$E$256,$Q2996)))</f>
        <v/>
      </c>
      <c r="O2996" s="38" t="n">
        <f aca="false">IF($A2996="",1,IF($Q2996=0,1,INDEX(COA_Mapping!$F$7:$F$256,$Q2996)))</f>
        <v>1</v>
      </c>
      <c r="P2996" s="34" t="str">
        <f aca="false">IF($A2996="","",$I2996*$O2996)</f>
        <v/>
      </c>
      <c r="Q2996" s="39" t="n">
        <f aca="false">IF($B2996="",0,IFERROR(MATCH($B2996,COA_Mapping!$A$7:$A$256,0),0))</f>
        <v>0</v>
      </c>
      <c r="R2996" s="39" t="n">
        <f aca="false">IF($A2996="",-1,IF($J2996=Setup!$B$7,1,IF($J2996=Setup!$B$9,0,-1)))</f>
        <v>-1</v>
      </c>
      <c r="S2996" s="35" t="n">
        <f aca="false">IF(OR($A2996="",$Q2996=0,$R2996=-1),0,$Q2996*1000+$R2996*100+$K2996)</f>
        <v>0</v>
      </c>
      <c r="T2996" s="37" t="str">
        <f aca="false">IF($A2996="","",IF($B2996="","NO ACCOUNT",IF($Q2996=0,"UNMAPPED",IF($R2996=-1,"OUTSIDE FY RANGE","OK"))))</f>
        <v/>
      </c>
      <c r="U2996" s="40" t="str">
        <f aca="false">IF($A2996="","",$B2996&amp;"|"&amp;TEXT($A2996,"yyyymmdd")&amp;"|"&amp;TEXT($I2996,"0.00"))</f>
        <v/>
      </c>
      <c r="V2996" s="35" t="str">
        <f aca="false">IF($A2996="","",COUNTIF($U$8:$U$5007,$U2996))</f>
        <v/>
      </c>
    </row>
    <row r="2997" customFormat="false" ht="15" hidden="false" customHeight="false" outlineLevel="0" collapsed="false">
      <c r="A2997" s="31"/>
      <c r="B2997" s="32"/>
      <c r="C2997" s="32"/>
      <c r="D2997" s="32"/>
      <c r="E2997" s="32"/>
      <c r="F2997" s="32"/>
      <c r="G2997" s="33"/>
      <c r="H2997" s="33"/>
      <c r="I2997" s="34" t="str">
        <f aca="false">IF($A2997="","",$G2997-$H2997)</f>
        <v/>
      </c>
      <c r="J2997" s="35" t="str">
        <f aca="false">IF($A2997="","",IF(Setup!$B$6=1,YEAR($A2997),YEAR($A2997)+IF(MONTH($A2997)&gt;=Setup!$B$6,1,0)))</f>
        <v/>
      </c>
      <c r="K2997" s="35" t="str">
        <f aca="false">IF($A2997="","",MOD(MONTH($A2997)-Setup!$B$6+12,12)+1)</f>
        <v/>
      </c>
      <c r="L2997" s="36" t="str">
        <f aca="false">IF($A2997="","",TEXT($A2997,"MMM-YY"))</f>
        <v/>
      </c>
      <c r="M2997" s="37" t="str">
        <f aca="false">IF($A2997="","",IF($Q2997=0,"UNMAPPED",INDEX(COA_Mapping!$C$7:$C$256,$Q2997)))</f>
        <v/>
      </c>
      <c r="N2997" s="38" t="str">
        <f aca="false">IF($A2997="","",IF($Q2997=0,"",INDEX(COA_Mapping!$E$7:$E$256,$Q2997)))</f>
        <v/>
      </c>
      <c r="O2997" s="38" t="n">
        <f aca="false">IF($A2997="",1,IF($Q2997=0,1,INDEX(COA_Mapping!$F$7:$F$256,$Q2997)))</f>
        <v>1</v>
      </c>
      <c r="P2997" s="34" t="str">
        <f aca="false">IF($A2997="","",$I2997*$O2997)</f>
        <v/>
      </c>
      <c r="Q2997" s="39" t="n">
        <f aca="false">IF($B2997="",0,IFERROR(MATCH($B2997,COA_Mapping!$A$7:$A$256,0),0))</f>
        <v>0</v>
      </c>
      <c r="R2997" s="39" t="n">
        <f aca="false">IF($A2997="",-1,IF($J2997=Setup!$B$7,1,IF($J2997=Setup!$B$9,0,-1)))</f>
        <v>-1</v>
      </c>
      <c r="S2997" s="35" t="n">
        <f aca="false">IF(OR($A2997="",$Q2997=0,$R2997=-1),0,$Q2997*1000+$R2997*100+$K2997)</f>
        <v>0</v>
      </c>
      <c r="T2997" s="37" t="str">
        <f aca="false">IF($A2997="","",IF($B2997="","NO ACCOUNT",IF($Q2997=0,"UNMAPPED",IF($R2997=-1,"OUTSIDE FY RANGE","OK"))))</f>
        <v/>
      </c>
      <c r="U2997" s="40" t="str">
        <f aca="false">IF($A2997="","",$B2997&amp;"|"&amp;TEXT($A2997,"yyyymmdd")&amp;"|"&amp;TEXT($I2997,"0.00"))</f>
        <v/>
      </c>
      <c r="V2997" s="35" t="str">
        <f aca="false">IF($A2997="","",COUNTIF($U$8:$U$5007,$U2997))</f>
        <v/>
      </c>
    </row>
    <row r="2998" customFormat="false" ht="15" hidden="false" customHeight="false" outlineLevel="0" collapsed="false">
      <c r="A2998" s="31"/>
      <c r="B2998" s="32"/>
      <c r="C2998" s="32"/>
      <c r="D2998" s="32"/>
      <c r="E2998" s="32"/>
      <c r="F2998" s="32"/>
      <c r="G2998" s="33"/>
      <c r="H2998" s="33"/>
      <c r="I2998" s="34" t="str">
        <f aca="false">IF($A2998="","",$G2998-$H2998)</f>
        <v/>
      </c>
      <c r="J2998" s="35" t="str">
        <f aca="false">IF($A2998="","",IF(Setup!$B$6=1,YEAR($A2998),YEAR($A2998)+IF(MONTH($A2998)&gt;=Setup!$B$6,1,0)))</f>
        <v/>
      </c>
      <c r="K2998" s="35" t="str">
        <f aca="false">IF($A2998="","",MOD(MONTH($A2998)-Setup!$B$6+12,12)+1)</f>
        <v/>
      </c>
      <c r="L2998" s="36" t="str">
        <f aca="false">IF($A2998="","",TEXT($A2998,"MMM-YY"))</f>
        <v/>
      </c>
      <c r="M2998" s="37" t="str">
        <f aca="false">IF($A2998="","",IF($Q2998=0,"UNMAPPED",INDEX(COA_Mapping!$C$7:$C$256,$Q2998)))</f>
        <v/>
      </c>
      <c r="N2998" s="38" t="str">
        <f aca="false">IF($A2998="","",IF($Q2998=0,"",INDEX(COA_Mapping!$E$7:$E$256,$Q2998)))</f>
        <v/>
      </c>
      <c r="O2998" s="38" t="n">
        <f aca="false">IF($A2998="",1,IF($Q2998=0,1,INDEX(COA_Mapping!$F$7:$F$256,$Q2998)))</f>
        <v>1</v>
      </c>
      <c r="P2998" s="34" t="str">
        <f aca="false">IF($A2998="","",$I2998*$O2998)</f>
        <v/>
      </c>
      <c r="Q2998" s="39" t="n">
        <f aca="false">IF($B2998="",0,IFERROR(MATCH($B2998,COA_Mapping!$A$7:$A$256,0),0))</f>
        <v>0</v>
      </c>
      <c r="R2998" s="39" t="n">
        <f aca="false">IF($A2998="",-1,IF($J2998=Setup!$B$7,1,IF($J2998=Setup!$B$9,0,-1)))</f>
        <v>-1</v>
      </c>
      <c r="S2998" s="35" t="n">
        <f aca="false">IF(OR($A2998="",$Q2998=0,$R2998=-1),0,$Q2998*1000+$R2998*100+$K2998)</f>
        <v>0</v>
      </c>
      <c r="T2998" s="37" t="str">
        <f aca="false">IF($A2998="","",IF($B2998="","NO ACCOUNT",IF($Q2998=0,"UNMAPPED",IF($R2998=-1,"OUTSIDE FY RANGE","OK"))))</f>
        <v/>
      </c>
      <c r="U2998" s="40" t="str">
        <f aca="false">IF($A2998="","",$B2998&amp;"|"&amp;TEXT($A2998,"yyyymmdd")&amp;"|"&amp;TEXT($I2998,"0.00"))</f>
        <v/>
      </c>
      <c r="V2998" s="35" t="str">
        <f aca="false">IF($A2998="","",COUNTIF($U$8:$U$5007,$U2998))</f>
        <v/>
      </c>
    </row>
    <row r="2999" customFormat="false" ht="15" hidden="false" customHeight="false" outlineLevel="0" collapsed="false">
      <c r="A2999" s="31"/>
      <c r="B2999" s="32"/>
      <c r="C2999" s="32"/>
      <c r="D2999" s="32"/>
      <c r="E2999" s="32"/>
      <c r="F2999" s="32"/>
      <c r="G2999" s="33"/>
      <c r="H2999" s="33"/>
      <c r="I2999" s="34" t="str">
        <f aca="false">IF($A2999="","",$G2999-$H2999)</f>
        <v/>
      </c>
      <c r="J2999" s="35" t="str">
        <f aca="false">IF($A2999="","",IF(Setup!$B$6=1,YEAR($A2999),YEAR($A2999)+IF(MONTH($A2999)&gt;=Setup!$B$6,1,0)))</f>
        <v/>
      </c>
      <c r="K2999" s="35" t="str">
        <f aca="false">IF($A2999="","",MOD(MONTH($A2999)-Setup!$B$6+12,12)+1)</f>
        <v/>
      </c>
      <c r="L2999" s="36" t="str">
        <f aca="false">IF($A2999="","",TEXT($A2999,"MMM-YY"))</f>
        <v/>
      </c>
      <c r="M2999" s="37" t="str">
        <f aca="false">IF($A2999="","",IF($Q2999=0,"UNMAPPED",INDEX(COA_Mapping!$C$7:$C$256,$Q2999)))</f>
        <v/>
      </c>
      <c r="N2999" s="38" t="str">
        <f aca="false">IF($A2999="","",IF($Q2999=0,"",INDEX(COA_Mapping!$E$7:$E$256,$Q2999)))</f>
        <v/>
      </c>
      <c r="O2999" s="38" t="n">
        <f aca="false">IF($A2999="",1,IF($Q2999=0,1,INDEX(COA_Mapping!$F$7:$F$256,$Q2999)))</f>
        <v>1</v>
      </c>
      <c r="P2999" s="34" t="str">
        <f aca="false">IF($A2999="","",$I2999*$O2999)</f>
        <v/>
      </c>
      <c r="Q2999" s="39" t="n">
        <f aca="false">IF($B2999="",0,IFERROR(MATCH($B2999,COA_Mapping!$A$7:$A$256,0),0))</f>
        <v>0</v>
      </c>
      <c r="R2999" s="39" t="n">
        <f aca="false">IF($A2999="",-1,IF($J2999=Setup!$B$7,1,IF($J2999=Setup!$B$9,0,-1)))</f>
        <v>-1</v>
      </c>
      <c r="S2999" s="35" t="n">
        <f aca="false">IF(OR($A2999="",$Q2999=0,$R2999=-1),0,$Q2999*1000+$R2999*100+$K2999)</f>
        <v>0</v>
      </c>
      <c r="T2999" s="37" t="str">
        <f aca="false">IF($A2999="","",IF($B2999="","NO ACCOUNT",IF($Q2999=0,"UNMAPPED",IF($R2999=-1,"OUTSIDE FY RANGE","OK"))))</f>
        <v/>
      </c>
      <c r="U2999" s="40" t="str">
        <f aca="false">IF($A2999="","",$B2999&amp;"|"&amp;TEXT($A2999,"yyyymmdd")&amp;"|"&amp;TEXT($I2999,"0.00"))</f>
        <v/>
      </c>
      <c r="V2999" s="35" t="str">
        <f aca="false">IF($A2999="","",COUNTIF($U$8:$U$5007,$U2999))</f>
        <v/>
      </c>
    </row>
    <row r="3000" customFormat="false" ht="15" hidden="false" customHeight="false" outlineLevel="0" collapsed="false">
      <c r="A3000" s="31"/>
      <c r="B3000" s="32"/>
      <c r="C3000" s="32"/>
      <c r="D3000" s="32"/>
      <c r="E3000" s="32"/>
      <c r="F3000" s="32"/>
      <c r="G3000" s="33"/>
      <c r="H3000" s="33"/>
      <c r="I3000" s="34" t="str">
        <f aca="false">IF($A3000="","",$G3000-$H3000)</f>
        <v/>
      </c>
      <c r="J3000" s="35" t="str">
        <f aca="false">IF($A3000="","",IF(Setup!$B$6=1,YEAR($A3000),YEAR($A3000)+IF(MONTH($A3000)&gt;=Setup!$B$6,1,0)))</f>
        <v/>
      </c>
      <c r="K3000" s="35" t="str">
        <f aca="false">IF($A3000="","",MOD(MONTH($A3000)-Setup!$B$6+12,12)+1)</f>
        <v/>
      </c>
      <c r="L3000" s="36" t="str">
        <f aca="false">IF($A3000="","",TEXT($A3000,"MMM-YY"))</f>
        <v/>
      </c>
      <c r="M3000" s="37" t="str">
        <f aca="false">IF($A3000="","",IF($Q3000=0,"UNMAPPED",INDEX(COA_Mapping!$C$7:$C$256,$Q3000)))</f>
        <v/>
      </c>
      <c r="N3000" s="38" t="str">
        <f aca="false">IF($A3000="","",IF($Q3000=0,"",INDEX(COA_Mapping!$E$7:$E$256,$Q3000)))</f>
        <v/>
      </c>
      <c r="O3000" s="38" t="n">
        <f aca="false">IF($A3000="",1,IF($Q3000=0,1,INDEX(COA_Mapping!$F$7:$F$256,$Q3000)))</f>
        <v>1</v>
      </c>
      <c r="P3000" s="34" t="str">
        <f aca="false">IF($A3000="","",$I3000*$O3000)</f>
        <v/>
      </c>
      <c r="Q3000" s="39" t="n">
        <f aca="false">IF($B3000="",0,IFERROR(MATCH($B3000,COA_Mapping!$A$7:$A$256,0),0))</f>
        <v>0</v>
      </c>
      <c r="R3000" s="39" t="n">
        <f aca="false">IF($A3000="",-1,IF($J3000=Setup!$B$7,1,IF($J3000=Setup!$B$9,0,-1)))</f>
        <v>-1</v>
      </c>
      <c r="S3000" s="35" t="n">
        <f aca="false">IF(OR($A3000="",$Q3000=0,$R3000=-1),0,$Q3000*1000+$R3000*100+$K3000)</f>
        <v>0</v>
      </c>
      <c r="T3000" s="37" t="str">
        <f aca="false">IF($A3000="","",IF($B3000="","NO ACCOUNT",IF($Q3000=0,"UNMAPPED",IF($R3000=-1,"OUTSIDE FY RANGE","OK"))))</f>
        <v/>
      </c>
      <c r="U3000" s="40" t="str">
        <f aca="false">IF($A3000="","",$B3000&amp;"|"&amp;TEXT($A3000,"yyyymmdd")&amp;"|"&amp;TEXT($I3000,"0.00"))</f>
        <v/>
      </c>
      <c r="V3000" s="35" t="str">
        <f aca="false">IF($A3000="","",COUNTIF($U$8:$U$5007,$U3000))</f>
        <v/>
      </c>
    </row>
    <row r="3001" customFormat="false" ht="15" hidden="false" customHeight="false" outlineLevel="0" collapsed="false">
      <c r="A3001" s="31"/>
      <c r="B3001" s="32"/>
      <c r="C3001" s="32"/>
      <c r="D3001" s="32"/>
      <c r="E3001" s="32"/>
      <c r="F3001" s="32"/>
      <c r="G3001" s="33"/>
      <c r="H3001" s="33"/>
      <c r="I3001" s="34" t="str">
        <f aca="false">IF($A3001="","",$G3001-$H3001)</f>
        <v/>
      </c>
      <c r="J3001" s="35" t="str">
        <f aca="false">IF($A3001="","",IF(Setup!$B$6=1,YEAR($A3001),YEAR($A3001)+IF(MONTH($A3001)&gt;=Setup!$B$6,1,0)))</f>
        <v/>
      </c>
      <c r="K3001" s="35" t="str">
        <f aca="false">IF($A3001="","",MOD(MONTH($A3001)-Setup!$B$6+12,12)+1)</f>
        <v/>
      </c>
      <c r="L3001" s="36" t="str">
        <f aca="false">IF($A3001="","",TEXT($A3001,"MMM-YY"))</f>
        <v/>
      </c>
      <c r="M3001" s="37" t="str">
        <f aca="false">IF($A3001="","",IF($Q3001=0,"UNMAPPED",INDEX(COA_Mapping!$C$7:$C$256,$Q3001)))</f>
        <v/>
      </c>
      <c r="N3001" s="38" t="str">
        <f aca="false">IF($A3001="","",IF($Q3001=0,"",INDEX(COA_Mapping!$E$7:$E$256,$Q3001)))</f>
        <v/>
      </c>
      <c r="O3001" s="38" t="n">
        <f aca="false">IF($A3001="",1,IF($Q3001=0,1,INDEX(COA_Mapping!$F$7:$F$256,$Q3001)))</f>
        <v>1</v>
      </c>
      <c r="P3001" s="34" t="str">
        <f aca="false">IF($A3001="","",$I3001*$O3001)</f>
        <v/>
      </c>
      <c r="Q3001" s="39" t="n">
        <f aca="false">IF($B3001="",0,IFERROR(MATCH($B3001,COA_Mapping!$A$7:$A$256,0),0))</f>
        <v>0</v>
      </c>
      <c r="R3001" s="39" t="n">
        <f aca="false">IF($A3001="",-1,IF($J3001=Setup!$B$7,1,IF($J3001=Setup!$B$9,0,-1)))</f>
        <v>-1</v>
      </c>
      <c r="S3001" s="35" t="n">
        <f aca="false">IF(OR($A3001="",$Q3001=0,$R3001=-1),0,$Q3001*1000+$R3001*100+$K3001)</f>
        <v>0</v>
      </c>
      <c r="T3001" s="37" t="str">
        <f aca="false">IF($A3001="","",IF($B3001="","NO ACCOUNT",IF($Q3001=0,"UNMAPPED",IF($R3001=-1,"OUTSIDE FY RANGE","OK"))))</f>
        <v/>
      </c>
      <c r="U3001" s="40" t="str">
        <f aca="false">IF($A3001="","",$B3001&amp;"|"&amp;TEXT($A3001,"yyyymmdd")&amp;"|"&amp;TEXT($I3001,"0.00"))</f>
        <v/>
      </c>
      <c r="V3001" s="35" t="str">
        <f aca="false">IF($A3001="","",COUNTIF($U$8:$U$5007,$U3001))</f>
        <v/>
      </c>
    </row>
    <row r="3002" customFormat="false" ht="15" hidden="false" customHeight="false" outlineLevel="0" collapsed="false">
      <c r="A3002" s="31"/>
      <c r="B3002" s="32"/>
      <c r="C3002" s="32"/>
      <c r="D3002" s="32"/>
      <c r="E3002" s="32"/>
      <c r="F3002" s="32"/>
      <c r="G3002" s="33"/>
      <c r="H3002" s="33"/>
      <c r="I3002" s="34" t="str">
        <f aca="false">IF($A3002="","",$G3002-$H3002)</f>
        <v/>
      </c>
      <c r="J3002" s="35" t="str">
        <f aca="false">IF($A3002="","",IF(Setup!$B$6=1,YEAR($A3002),YEAR($A3002)+IF(MONTH($A3002)&gt;=Setup!$B$6,1,0)))</f>
        <v/>
      </c>
      <c r="K3002" s="35" t="str">
        <f aca="false">IF($A3002="","",MOD(MONTH($A3002)-Setup!$B$6+12,12)+1)</f>
        <v/>
      </c>
      <c r="L3002" s="36" t="str">
        <f aca="false">IF($A3002="","",TEXT($A3002,"MMM-YY"))</f>
        <v/>
      </c>
      <c r="M3002" s="37" t="str">
        <f aca="false">IF($A3002="","",IF($Q3002=0,"UNMAPPED",INDEX(COA_Mapping!$C$7:$C$256,$Q3002)))</f>
        <v/>
      </c>
      <c r="N3002" s="38" t="str">
        <f aca="false">IF($A3002="","",IF($Q3002=0,"",INDEX(COA_Mapping!$E$7:$E$256,$Q3002)))</f>
        <v/>
      </c>
      <c r="O3002" s="38" t="n">
        <f aca="false">IF($A3002="",1,IF($Q3002=0,1,INDEX(COA_Mapping!$F$7:$F$256,$Q3002)))</f>
        <v>1</v>
      </c>
      <c r="P3002" s="34" t="str">
        <f aca="false">IF($A3002="","",$I3002*$O3002)</f>
        <v/>
      </c>
      <c r="Q3002" s="39" t="n">
        <f aca="false">IF($B3002="",0,IFERROR(MATCH($B3002,COA_Mapping!$A$7:$A$256,0),0))</f>
        <v>0</v>
      </c>
      <c r="R3002" s="39" t="n">
        <f aca="false">IF($A3002="",-1,IF($J3002=Setup!$B$7,1,IF($J3002=Setup!$B$9,0,-1)))</f>
        <v>-1</v>
      </c>
      <c r="S3002" s="35" t="n">
        <f aca="false">IF(OR($A3002="",$Q3002=0,$R3002=-1),0,$Q3002*1000+$R3002*100+$K3002)</f>
        <v>0</v>
      </c>
      <c r="T3002" s="37" t="str">
        <f aca="false">IF($A3002="","",IF($B3002="","NO ACCOUNT",IF($Q3002=0,"UNMAPPED",IF($R3002=-1,"OUTSIDE FY RANGE","OK"))))</f>
        <v/>
      </c>
      <c r="U3002" s="40" t="str">
        <f aca="false">IF($A3002="","",$B3002&amp;"|"&amp;TEXT($A3002,"yyyymmdd")&amp;"|"&amp;TEXT($I3002,"0.00"))</f>
        <v/>
      </c>
      <c r="V3002" s="35" t="str">
        <f aca="false">IF($A3002="","",COUNTIF($U$8:$U$5007,$U3002))</f>
        <v/>
      </c>
    </row>
    <row r="3003" customFormat="false" ht="15" hidden="false" customHeight="false" outlineLevel="0" collapsed="false">
      <c r="A3003" s="31"/>
      <c r="B3003" s="32"/>
      <c r="C3003" s="32"/>
      <c r="D3003" s="32"/>
      <c r="E3003" s="32"/>
      <c r="F3003" s="32"/>
      <c r="G3003" s="33"/>
      <c r="H3003" s="33"/>
      <c r="I3003" s="34" t="str">
        <f aca="false">IF($A3003="","",$G3003-$H3003)</f>
        <v/>
      </c>
      <c r="J3003" s="35" t="str">
        <f aca="false">IF($A3003="","",IF(Setup!$B$6=1,YEAR($A3003),YEAR($A3003)+IF(MONTH($A3003)&gt;=Setup!$B$6,1,0)))</f>
        <v/>
      </c>
      <c r="K3003" s="35" t="str">
        <f aca="false">IF($A3003="","",MOD(MONTH($A3003)-Setup!$B$6+12,12)+1)</f>
        <v/>
      </c>
      <c r="L3003" s="36" t="str">
        <f aca="false">IF($A3003="","",TEXT($A3003,"MMM-YY"))</f>
        <v/>
      </c>
      <c r="M3003" s="37" t="str">
        <f aca="false">IF($A3003="","",IF($Q3003=0,"UNMAPPED",INDEX(COA_Mapping!$C$7:$C$256,$Q3003)))</f>
        <v/>
      </c>
      <c r="N3003" s="38" t="str">
        <f aca="false">IF($A3003="","",IF($Q3003=0,"",INDEX(COA_Mapping!$E$7:$E$256,$Q3003)))</f>
        <v/>
      </c>
      <c r="O3003" s="38" t="n">
        <f aca="false">IF($A3003="",1,IF($Q3003=0,1,INDEX(COA_Mapping!$F$7:$F$256,$Q3003)))</f>
        <v>1</v>
      </c>
      <c r="P3003" s="34" t="str">
        <f aca="false">IF($A3003="","",$I3003*$O3003)</f>
        <v/>
      </c>
      <c r="Q3003" s="39" t="n">
        <f aca="false">IF($B3003="",0,IFERROR(MATCH($B3003,COA_Mapping!$A$7:$A$256,0),0))</f>
        <v>0</v>
      </c>
      <c r="R3003" s="39" t="n">
        <f aca="false">IF($A3003="",-1,IF($J3003=Setup!$B$7,1,IF($J3003=Setup!$B$9,0,-1)))</f>
        <v>-1</v>
      </c>
      <c r="S3003" s="35" t="n">
        <f aca="false">IF(OR($A3003="",$Q3003=0,$R3003=-1),0,$Q3003*1000+$R3003*100+$K3003)</f>
        <v>0</v>
      </c>
      <c r="T3003" s="37" t="str">
        <f aca="false">IF($A3003="","",IF($B3003="","NO ACCOUNT",IF($Q3003=0,"UNMAPPED",IF($R3003=-1,"OUTSIDE FY RANGE","OK"))))</f>
        <v/>
      </c>
      <c r="U3003" s="40" t="str">
        <f aca="false">IF($A3003="","",$B3003&amp;"|"&amp;TEXT($A3003,"yyyymmdd")&amp;"|"&amp;TEXT($I3003,"0.00"))</f>
        <v/>
      </c>
      <c r="V3003" s="35" t="str">
        <f aca="false">IF($A3003="","",COUNTIF($U$8:$U$5007,$U3003))</f>
        <v/>
      </c>
    </row>
    <row r="3004" customFormat="false" ht="15" hidden="false" customHeight="false" outlineLevel="0" collapsed="false">
      <c r="A3004" s="31"/>
      <c r="B3004" s="32"/>
      <c r="C3004" s="32"/>
      <c r="D3004" s="32"/>
      <c r="E3004" s="32"/>
      <c r="F3004" s="32"/>
      <c r="G3004" s="33"/>
      <c r="H3004" s="33"/>
      <c r="I3004" s="34" t="str">
        <f aca="false">IF($A3004="","",$G3004-$H3004)</f>
        <v/>
      </c>
      <c r="J3004" s="35" t="str">
        <f aca="false">IF($A3004="","",IF(Setup!$B$6=1,YEAR($A3004),YEAR($A3004)+IF(MONTH($A3004)&gt;=Setup!$B$6,1,0)))</f>
        <v/>
      </c>
      <c r="K3004" s="35" t="str">
        <f aca="false">IF($A3004="","",MOD(MONTH($A3004)-Setup!$B$6+12,12)+1)</f>
        <v/>
      </c>
      <c r="L3004" s="36" t="str">
        <f aca="false">IF($A3004="","",TEXT($A3004,"MMM-YY"))</f>
        <v/>
      </c>
      <c r="M3004" s="37" t="str">
        <f aca="false">IF($A3004="","",IF($Q3004=0,"UNMAPPED",INDEX(COA_Mapping!$C$7:$C$256,$Q3004)))</f>
        <v/>
      </c>
      <c r="N3004" s="38" t="str">
        <f aca="false">IF($A3004="","",IF($Q3004=0,"",INDEX(COA_Mapping!$E$7:$E$256,$Q3004)))</f>
        <v/>
      </c>
      <c r="O3004" s="38" t="n">
        <f aca="false">IF($A3004="",1,IF($Q3004=0,1,INDEX(COA_Mapping!$F$7:$F$256,$Q3004)))</f>
        <v>1</v>
      </c>
      <c r="P3004" s="34" t="str">
        <f aca="false">IF($A3004="","",$I3004*$O3004)</f>
        <v/>
      </c>
      <c r="Q3004" s="39" t="n">
        <f aca="false">IF($B3004="",0,IFERROR(MATCH($B3004,COA_Mapping!$A$7:$A$256,0),0))</f>
        <v>0</v>
      </c>
      <c r="R3004" s="39" t="n">
        <f aca="false">IF($A3004="",-1,IF($J3004=Setup!$B$7,1,IF($J3004=Setup!$B$9,0,-1)))</f>
        <v>-1</v>
      </c>
      <c r="S3004" s="35" t="n">
        <f aca="false">IF(OR($A3004="",$Q3004=0,$R3004=-1),0,$Q3004*1000+$R3004*100+$K3004)</f>
        <v>0</v>
      </c>
      <c r="T3004" s="37" t="str">
        <f aca="false">IF($A3004="","",IF($B3004="","NO ACCOUNT",IF($Q3004=0,"UNMAPPED",IF($R3004=-1,"OUTSIDE FY RANGE","OK"))))</f>
        <v/>
      </c>
      <c r="U3004" s="40" t="str">
        <f aca="false">IF($A3004="","",$B3004&amp;"|"&amp;TEXT($A3004,"yyyymmdd")&amp;"|"&amp;TEXT($I3004,"0.00"))</f>
        <v/>
      </c>
      <c r="V3004" s="35" t="str">
        <f aca="false">IF($A3004="","",COUNTIF($U$8:$U$5007,$U3004))</f>
        <v/>
      </c>
    </row>
    <row r="3005" customFormat="false" ht="15" hidden="false" customHeight="false" outlineLevel="0" collapsed="false">
      <c r="A3005" s="31"/>
      <c r="B3005" s="32"/>
      <c r="C3005" s="32"/>
      <c r="D3005" s="32"/>
      <c r="E3005" s="32"/>
      <c r="F3005" s="32"/>
      <c r="G3005" s="33"/>
      <c r="H3005" s="33"/>
      <c r="I3005" s="34" t="str">
        <f aca="false">IF($A3005="","",$G3005-$H3005)</f>
        <v/>
      </c>
      <c r="J3005" s="35" t="str">
        <f aca="false">IF($A3005="","",IF(Setup!$B$6=1,YEAR($A3005),YEAR($A3005)+IF(MONTH($A3005)&gt;=Setup!$B$6,1,0)))</f>
        <v/>
      </c>
      <c r="K3005" s="35" t="str">
        <f aca="false">IF($A3005="","",MOD(MONTH($A3005)-Setup!$B$6+12,12)+1)</f>
        <v/>
      </c>
      <c r="L3005" s="36" t="str">
        <f aca="false">IF($A3005="","",TEXT($A3005,"MMM-YY"))</f>
        <v/>
      </c>
      <c r="M3005" s="37" t="str">
        <f aca="false">IF($A3005="","",IF($Q3005=0,"UNMAPPED",INDEX(COA_Mapping!$C$7:$C$256,$Q3005)))</f>
        <v/>
      </c>
      <c r="N3005" s="38" t="str">
        <f aca="false">IF($A3005="","",IF($Q3005=0,"",INDEX(COA_Mapping!$E$7:$E$256,$Q3005)))</f>
        <v/>
      </c>
      <c r="O3005" s="38" t="n">
        <f aca="false">IF($A3005="",1,IF($Q3005=0,1,INDEX(COA_Mapping!$F$7:$F$256,$Q3005)))</f>
        <v>1</v>
      </c>
      <c r="P3005" s="34" t="str">
        <f aca="false">IF($A3005="","",$I3005*$O3005)</f>
        <v/>
      </c>
      <c r="Q3005" s="39" t="n">
        <f aca="false">IF($B3005="",0,IFERROR(MATCH($B3005,COA_Mapping!$A$7:$A$256,0),0))</f>
        <v>0</v>
      </c>
      <c r="R3005" s="39" t="n">
        <f aca="false">IF($A3005="",-1,IF($J3005=Setup!$B$7,1,IF($J3005=Setup!$B$9,0,-1)))</f>
        <v>-1</v>
      </c>
      <c r="S3005" s="35" t="n">
        <f aca="false">IF(OR($A3005="",$Q3005=0,$R3005=-1),0,$Q3005*1000+$R3005*100+$K3005)</f>
        <v>0</v>
      </c>
      <c r="T3005" s="37" t="str">
        <f aca="false">IF($A3005="","",IF($B3005="","NO ACCOUNT",IF($Q3005=0,"UNMAPPED",IF($R3005=-1,"OUTSIDE FY RANGE","OK"))))</f>
        <v/>
      </c>
      <c r="U3005" s="40" t="str">
        <f aca="false">IF($A3005="","",$B3005&amp;"|"&amp;TEXT($A3005,"yyyymmdd")&amp;"|"&amp;TEXT($I3005,"0.00"))</f>
        <v/>
      </c>
      <c r="V3005" s="35" t="str">
        <f aca="false">IF($A3005="","",COUNTIF($U$8:$U$5007,$U3005))</f>
        <v/>
      </c>
    </row>
    <row r="3006" customFormat="false" ht="15" hidden="false" customHeight="false" outlineLevel="0" collapsed="false">
      <c r="A3006" s="31"/>
      <c r="B3006" s="32"/>
      <c r="C3006" s="32"/>
      <c r="D3006" s="32"/>
      <c r="E3006" s="32"/>
      <c r="F3006" s="32"/>
      <c r="G3006" s="33"/>
      <c r="H3006" s="33"/>
      <c r="I3006" s="34" t="str">
        <f aca="false">IF($A3006="","",$G3006-$H3006)</f>
        <v/>
      </c>
      <c r="J3006" s="35" t="str">
        <f aca="false">IF($A3006="","",IF(Setup!$B$6=1,YEAR($A3006),YEAR($A3006)+IF(MONTH($A3006)&gt;=Setup!$B$6,1,0)))</f>
        <v/>
      </c>
      <c r="K3006" s="35" t="str">
        <f aca="false">IF($A3006="","",MOD(MONTH($A3006)-Setup!$B$6+12,12)+1)</f>
        <v/>
      </c>
      <c r="L3006" s="36" t="str">
        <f aca="false">IF($A3006="","",TEXT($A3006,"MMM-YY"))</f>
        <v/>
      </c>
      <c r="M3006" s="37" t="str">
        <f aca="false">IF($A3006="","",IF($Q3006=0,"UNMAPPED",INDEX(COA_Mapping!$C$7:$C$256,$Q3006)))</f>
        <v/>
      </c>
      <c r="N3006" s="38" t="str">
        <f aca="false">IF($A3006="","",IF($Q3006=0,"",INDEX(COA_Mapping!$E$7:$E$256,$Q3006)))</f>
        <v/>
      </c>
      <c r="O3006" s="38" t="n">
        <f aca="false">IF($A3006="",1,IF($Q3006=0,1,INDEX(COA_Mapping!$F$7:$F$256,$Q3006)))</f>
        <v>1</v>
      </c>
      <c r="P3006" s="34" t="str">
        <f aca="false">IF($A3006="","",$I3006*$O3006)</f>
        <v/>
      </c>
      <c r="Q3006" s="39" t="n">
        <f aca="false">IF($B3006="",0,IFERROR(MATCH($B3006,COA_Mapping!$A$7:$A$256,0),0))</f>
        <v>0</v>
      </c>
      <c r="R3006" s="39" t="n">
        <f aca="false">IF($A3006="",-1,IF($J3006=Setup!$B$7,1,IF($J3006=Setup!$B$9,0,-1)))</f>
        <v>-1</v>
      </c>
      <c r="S3006" s="35" t="n">
        <f aca="false">IF(OR($A3006="",$Q3006=0,$R3006=-1),0,$Q3006*1000+$R3006*100+$K3006)</f>
        <v>0</v>
      </c>
      <c r="T3006" s="37" t="str">
        <f aca="false">IF($A3006="","",IF($B3006="","NO ACCOUNT",IF($Q3006=0,"UNMAPPED",IF($R3006=-1,"OUTSIDE FY RANGE","OK"))))</f>
        <v/>
      </c>
      <c r="U3006" s="40" t="str">
        <f aca="false">IF($A3006="","",$B3006&amp;"|"&amp;TEXT($A3006,"yyyymmdd")&amp;"|"&amp;TEXT($I3006,"0.00"))</f>
        <v/>
      </c>
      <c r="V3006" s="35" t="str">
        <f aca="false">IF($A3006="","",COUNTIF($U$8:$U$5007,$U3006))</f>
        <v/>
      </c>
    </row>
    <row r="3007" customFormat="false" ht="15" hidden="false" customHeight="false" outlineLevel="0" collapsed="false">
      <c r="A3007" s="31"/>
      <c r="B3007" s="32"/>
      <c r="C3007" s="32"/>
      <c r="D3007" s="32"/>
      <c r="E3007" s="32"/>
      <c r="F3007" s="32"/>
      <c r="G3007" s="33"/>
      <c r="H3007" s="33"/>
      <c r="I3007" s="34" t="str">
        <f aca="false">IF($A3007="","",$G3007-$H3007)</f>
        <v/>
      </c>
      <c r="J3007" s="35" t="str">
        <f aca="false">IF($A3007="","",IF(Setup!$B$6=1,YEAR($A3007),YEAR($A3007)+IF(MONTH($A3007)&gt;=Setup!$B$6,1,0)))</f>
        <v/>
      </c>
      <c r="K3007" s="35" t="str">
        <f aca="false">IF($A3007="","",MOD(MONTH($A3007)-Setup!$B$6+12,12)+1)</f>
        <v/>
      </c>
      <c r="L3007" s="36" t="str">
        <f aca="false">IF($A3007="","",TEXT($A3007,"MMM-YY"))</f>
        <v/>
      </c>
      <c r="M3007" s="37" t="str">
        <f aca="false">IF($A3007="","",IF($Q3007=0,"UNMAPPED",INDEX(COA_Mapping!$C$7:$C$256,$Q3007)))</f>
        <v/>
      </c>
      <c r="N3007" s="38" t="str">
        <f aca="false">IF($A3007="","",IF($Q3007=0,"",INDEX(COA_Mapping!$E$7:$E$256,$Q3007)))</f>
        <v/>
      </c>
      <c r="O3007" s="38" t="n">
        <f aca="false">IF($A3007="",1,IF($Q3007=0,1,INDEX(COA_Mapping!$F$7:$F$256,$Q3007)))</f>
        <v>1</v>
      </c>
      <c r="P3007" s="34" t="str">
        <f aca="false">IF($A3007="","",$I3007*$O3007)</f>
        <v/>
      </c>
      <c r="Q3007" s="39" t="n">
        <f aca="false">IF($B3007="",0,IFERROR(MATCH($B3007,COA_Mapping!$A$7:$A$256,0),0))</f>
        <v>0</v>
      </c>
      <c r="R3007" s="39" t="n">
        <f aca="false">IF($A3007="",-1,IF($J3007=Setup!$B$7,1,IF($J3007=Setup!$B$9,0,-1)))</f>
        <v>-1</v>
      </c>
      <c r="S3007" s="35" t="n">
        <f aca="false">IF(OR($A3007="",$Q3007=0,$R3007=-1),0,$Q3007*1000+$R3007*100+$K3007)</f>
        <v>0</v>
      </c>
      <c r="T3007" s="37" t="str">
        <f aca="false">IF($A3007="","",IF($B3007="","NO ACCOUNT",IF($Q3007=0,"UNMAPPED",IF($R3007=-1,"OUTSIDE FY RANGE","OK"))))</f>
        <v/>
      </c>
      <c r="U3007" s="40" t="str">
        <f aca="false">IF($A3007="","",$B3007&amp;"|"&amp;TEXT($A3007,"yyyymmdd")&amp;"|"&amp;TEXT($I3007,"0.00"))</f>
        <v/>
      </c>
      <c r="V3007" s="35" t="str">
        <f aca="false">IF($A3007="","",COUNTIF($U$8:$U$5007,$U3007))</f>
        <v/>
      </c>
    </row>
    <row r="3008" customFormat="false" ht="15" hidden="false" customHeight="false" outlineLevel="0" collapsed="false">
      <c r="A3008" s="31"/>
      <c r="B3008" s="32"/>
      <c r="C3008" s="32"/>
      <c r="D3008" s="32"/>
      <c r="E3008" s="32"/>
      <c r="F3008" s="32"/>
      <c r="G3008" s="33"/>
      <c r="H3008" s="33"/>
      <c r="I3008" s="34" t="str">
        <f aca="false">IF($A3008="","",$G3008-$H3008)</f>
        <v/>
      </c>
      <c r="J3008" s="35" t="str">
        <f aca="false">IF($A3008="","",IF(Setup!$B$6=1,YEAR($A3008),YEAR($A3008)+IF(MONTH($A3008)&gt;=Setup!$B$6,1,0)))</f>
        <v/>
      </c>
      <c r="K3008" s="35" t="str">
        <f aca="false">IF($A3008="","",MOD(MONTH($A3008)-Setup!$B$6+12,12)+1)</f>
        <v/>
      </c>
      <c r="L3008" s="36" t="str">
        <f aca="false">IF($A3008="","",TEXT($A3008,"MMM-YY"))</f>
        <v/>
      </c>
      <c r="M3008" s="37" t="str">
        <f aca="false">IF($A3008="","",IF($Q3008=0,"UNMAPPED",INDEX(COA_Mapping!$C$7:$C$256,$Q3008)))</f>
        <v/>
      </c>
      <c r="N3008" s="38" t="str">
        <f aca="false">IF($A3008="","",IF($Q3008=0,"",INDEX(COA_Mapping!$E$7:$E$256,$Q3008)))</f>
        <v/>
      </c>
      <c r="O3008" s="38" t="n">
        <f aca="false">IF($A3008="",1,IF($Q3008=0,1,INDEX(COA_Mapping!$F$7:$F$256,$Q3008)))</f>
        <v>1</v>
      </c>
      <c r="P3008" s="34" t="str">
        <f aca="false">IF($A3008="","",$I3008*$O3008)</f>
        <v/>
      </c>
      <c r="Q3008" s="39" t="n">
        <f aca="false">IF($B3008="",0,IFERROR(MATCH($B3008,COA_Mapping!$A$7:$A$256,0),0))</f>
        <v>0</v>
      </c>
      <c r="R3008" s="39" t="n">
        <f aca="false">IF($A3008="",-1,IF($J3008=Setup!$B$7,1,IF($J3008=Setup!$B$9,0,-1)))</f>
        <v>-1</v>
      </c>
      <c r="S3008" s="35" t="n">
        <f aca="false">IF(OR($A3008="",$Q3008=0,$R3008=-1),0,$Q3008*1000+$R3008*100+$K3008)</f>
        <v>0</v>
      </c>
      <c r="T3008" s="37" t="str">
        <f aca="false">IF($A3008="","",IF($B3008="","NO ACCOUNT",IF($Q3008=0,"UNMAPPED",IF($R3008=-1,"OUTSIDE FY RANGE","OK"))))</f>
        <v/>
      </c>
      <c r="U3008" s="40" t="str">
        <f aca="false">IF($A3008="","",$B3008&amp;"|"&amp;TEXT($A3008,"yyyymmdd")&amp;"|"&amp;TEXT($I3008,"0.00"))</f>
        <v/>
      </c>
      <c r="V3008" s="35" t="str">
        <f aca="false">IF($A3008="","",COUNTIF($U$8:$U$5007,$U3008))</f>
        <v/>
      </c>
    </row>
    <row r="3009" customFormat="false" ht="15" hidden="false" customHeight="false" outlineLevel="0" collapsed="false">
      <c r="A3009" s="31"/>
      <c r="B3009" s="32"/>
      <c r="C3009" s="32"/>
      <c r="D3009" s="32"/>
      <c r="E3009" s="32"/>
      <c r="F3009" s="32"/>
      <c r="G3009" s="33"/>
      <c r="H3009" s="33"/>
      <c r="I3009" s="34" t="str">
        <f aca="false">IF($A3009="","",$G3009-$H3009)</f>
        <v/>
      </c>
      <c r="J3009" s="35" t="str">
        <f aca="false">IF($A3009="","",IF(Setup!$B$6=1,YEAR($A3009),YEAR($A3009)+IF(MONTH($A3009)&gt;=Setup!$B$6,1,0)))</f>
        <v/>
      </c>
      <c r="K3009" s="35" t="str">
        <f aca="false">IF($A3009="","",MOD(MONTH($A3009)-Setup!$B$6+12,12)+1)</f>
        <v/>
      </c>
      <c r="L3009" s="36" t="str">
        <f aca="false">IF($A3009="","",TEXT($A3009,"MMM-YY"))</f>
        <v/>
      </c>
      <c r="M3009" s="37" t="str">
        <f aca="false">IF($A3009="","",IF($Q3009=0,"UNMAPPED",INDEX(COA_Mapping!$C$7:$C$256,$Q3009)))</f>
        <v/>
      </c>
      <c r="N3009" s="38" t="str">
        <f aca="false">IF($A3009="","",IF($Q3009=0,"",INDEX(COA_Mapping!$E$7:$E$256,$Q3009)))</f>
        <v/>
      </c>
      <c r="O3009" s="38" t="n">
        <f aca="false">IF($A3009="",1,IF($Q3009=0,1,INDEX(COA_Mapping!$F$7:$F$256,$Q3009)))</f>
        <v>1</v>
      </c>
      <c r="P3009" s="34" t="str">
        <f aca="false">IF($A3009="","",$I3009*$O3009)</f>
        <v/>
      </c>
      <c r="Q3009" s="39" t="n">
        <f aca="false">IF($B3009="",0,IFERROR(MATCH($B3009,COA_Mapping!$A$7:$A$256,0),0))</f>
        <v>0</v>
      </c>
      <c r="R3009" s="39" t="n">
        <f aca="false">IF($A3009="",-1,IF($J3009=Setup!$B$7,1,IF($J3009=Setup!$B$9,0,-1)))</f>
        <v>-1</v>
      </c>
      <c r="S3009" s="35" t="n">
        <f aca="false">IF(OR($A3009="",$Q3009=0,$R3009=-1),0,$Q3009*1000+$R3009*100+$K3009)</f>
        <v>0</v>
      </c>
      <c r="T3009" s="37" t="str">
        <f aca="false">IF($A3009="","",IF($B3009="","NO ACCOUNT",IF($Q3009=0,"UNMAPPED",IF($R3009=-1,"OUTSIDE FY RANGE","OK"))))</f>
        <v/>
      </c>
      <c r="U3009" s="40" t="str">
        <f aca="false">IF($A3009="","",$B3009&amp;"|"&amp;TEXT($A3009,"yyyymmdd")&amp;"|"&amp;TEXT($I3009,"0.00"))</f>
        <v/>
      </c>
      <c r="V3009" s="35" t="str">
        <f aca="false">IF($A3009="","",COUNTIF($U$8:$U$5007,$U3009))</f>
        <v/>
      </c>
    </row>
    <row r="3010" customFormat="false" ht="15" hidden="false" customHeight="false" outlineLevel="0" collapsed="false">
      <c r="A3010" s="31"/>
      <c r="B3010" s="32"/>
      <c r="C3010" s="32"/>
      <c r="D3010" s="32"/>
      <c r="E3010" s="32"/>
      <c r="F3010" s="32"/>
      <c r="G3010" s="33"/>
      <c r="H3010" s="33"/>
      <c r="I3010" s="34" t="str">
        <f aca="false">IF($A3010="","",$G3010-$H3010)</f>
        <v/>
      </c>
      <c r="J3010" s="35" t="str">
        <f aca="false">IF($A3010="","",IF(Setup!$B$6=1,YEAR($A3010),YEAR($A3010)+IF(MONTH($A3010)&gt;=Setup!$B$6,1,0)))</f>
        <v/>
      </c>
      <c r="K3010" s="35" t="str">
        <f aca="false">IF($A3010="","",MOD(MONTH($A3010)-Setup!$B$6+12,12)+1)</f>
        <v/>
      </c>
      <c r="L3010" s="36" t="str">
        <f aca="false">IF($A3010="","",TEXT($A3010,"MMM-YY"))</f>
        <v/>
      </c>
      <c r="M3010" s="37" t="str">
        <f aca="false">IF($A3010="","",IF($Q3010=0,"UNMAPPED",INDEX(COA_Mapping!$C$7:$C$256,$Q3010)))</f>
        <v/>
      </c>
      <c r="N3010" s="38" t="str">
        <f aca="false">IF($A3010="","",IF($Q3010=0,"",INDEX(COA_Mapping!$E$7:$E$256,$Q3010)))</f>
        <v/>
      </c>
      <c r="O3010" s="38" t="n">
        <f aca="false">IF($A3010="",1,IF($Q3010=0,1,INDEX(COA_Mapping!$F$7:$F$256,$Q3010)))</f>
        <v>1</v>
      </c>
      <c r="P3010" s="34" t="str">
        <f aca="false">IF($A3010="","",$I3010*$O3010)</f>
        <v/>
      </c>
      <c r="Q3010" s="39" t="n">
        <f aca="false">IF($B3010="",0,IFERROR(MATCH($B3010,COA_Mapping!$A$7:$A$256,0),0))</f>
        <v>0</v>
      </c>
      <c r="R3010" s="39" t="n">
        <f aca="false">IF($A3010="",-1,IF($J3010=Setup!$B$7,1,IF($J3010=Setup!$B$9,0,-1)))</f>
        <v>-1</v>
      </c>
      <c r="S3010" s="35" t="n">
        <f aca="false">IF(OR($A3010="",$Q3010=0,$R3010=-1),0,$Q3010*1000+$R3010*100+$K3010)</f>
        <v>0</v>
      </c>
      <c r="T3010" s="37" t="str">
        <f aca="false">IF($A3010="","",IF($B3010="","NO ACCOUNT",IF($Q3010=0,"UNMAPPED",IF($R3010=-1,"OUTSIDE FY RANGE","OK"))))</f>
        <v/>
      </c>
      <c r="U3010" s="40" t="str">
        <f aca="false">IF($A3010="","",$B3010&amp;"|"&amp;TEXT($A3010,"yyyymmdd")&amp;"|"&amp;TEXT($I3010,"0.00"))</f>
        <v/>
      </c>
      <c r="V3010" s="35" t="str">
        <f aca="false">IF($A3010="","",COUNTIF($U$8:$U$5007,$U3010))</f>
        <v/>
      </c>
    </row>
    <row r="3011" customFormat="false" ht="15" hidden="false" customHeight="false" outlineLevel="0" collapsed="false">
      <c r="A3011" s="31"/>
      <c r="B3011" s="32"/>
      <c r="C3011" s="32"/>
      <c r="D3011" s="32"/>
      <c r="E3011" s="32"/>
      <c r="F3011" s="32"/>
      <c r="G3011" s="33"/>
      <c r="H3011" s="33"/>
      <c r="I3011" s="34" t="str">
        <f aca="false">IF($A3011="","",$G3011-$H3011)</f>
        <v/>
      </c>
      <c r="J3011" s="35" t="str">
        <f aca="false">IF($A3011="","",IF(Setup!$B$6=1,YEAR($A3011),YEAR($A3011)+IF(MONTH($A3011)&gt;=Setup!$B$6,1,0)))</f>
        <v/>
      </c>
      <c r="K3011" s="35" t="str">
        <f aca="false">IF($A3011="","",MOD(MONTH($A3011)-Setup!$B$6+12,12)+1)</f>
        <v/>
      </c>
      <c r="L3011" s="36" t="str">
        <f aca="false">IF($A3011="","",TEXT($A3011,"MMM-YY"))</f>
        <v/>
      </c>
      <c r="M3011" s="37" t="str">
        <f aca="false">IF($A3011="","",IF($Q3011=0,"UNMAPPED",INDEX(COA_Mapping!$C$7:$C$256,$Q3011)))</f>
        <v/>
      </c>
      <c r="N3011" s="38" t="str">
        <f aca="false">IF($A3011="","",IF($Q3011=0,"",INDEX(COA_Mapping!$E$7:$E$256,$Q3011)))</f>
        <v/>
      </c>
      <c r="O3011" s="38" t="n">
        <f aca="false">IF($A3011="",1,IF($Q3011=0,1,INDEX(COA_Mapping!$F$7:$F$256,$Q3011)))</f>
        <v>1</v>
      </c>
      <c r="P3011" s="34" t="str">
        <f aca="false">IF($A3011="","",$I3011*$O3011)</f>
        <v/>
      </c>
      <c r="Q3011" s="39" t="n">
        <f aca="false">IF($B3011="",0,IFERROR(MATCH($B3011,COA_Mapping!$A$7:$A$256,0),0))</f>
        <v>0</v>
      </c>
      <c r="R3011" s="39" t="n">
        <f aca="false">IF($A3011="",-1,IF($J3011=Setup!$B$7,1,IF($J3011=Setup!$B$9,0,-1)))</f>
        <v>-1</v>
      </c>
      <c r="S3011" s="35" t="n">
        <f aca="false">IF(OR($A3011="",$Q3011=0,$R3011=-1),0,$Q3011*1000+$R3011*100+$K3011)</f>
        <v>0</v>
      </c>
      <c r="T3011" s="37" t="str">
        <f aca="false">IF($A3011="","",IF($B3011="","NO ACCOUNT",IF($Q3011=0,"UNMAPPED",IF($R3011=-1,"OUTSIDE FY RANGE","OK"))))</f>
        <v/>
      </c>
      <c r="U3011" s="40" t="str">
        <f aca="false">IF($A3011="","",$B3011&amp;"|"&amp;TEXT($A3011,"yyyymmdd")&amp;"|"&amp;TEXT($I3011,"0.00"))</f>
        <v/>
      </c>
      <c r="V3011" s="35" t="str">
        <f aca="false">IF($A3011="","",COUNTIF($U$8:$U$5007,$U3011))</f>
        <v/>
      </c>
    </row>
    <row r="3012" customFormat="false" ht="15" hidden="false" customHeight="false" outlineLevel="0" collapsed="false">
      <c r="A3012" s="31"/>
      <c r="B3012" s="32"/>
      <c r="C3012" s="32"/>
      <c r="D3012" s="32"/>
      <c r="E3012" s="32"/>
      <c r="F3012" s="32"/>
      <c r="G3012" s="33"/>
      <c r="H3012" s="33"/>
      <c r="I3012" s="34" t="str">
        <f aca="false">IF($A3012="","",$G3012-$H3012)</f>
        <v/>
      </c>
      <c r="J3012" s="35" t="str">
        <f aca="false">IF($A3012="","",IF(Setup!$B$6=1,YEAR($A3012),YEAR($A3012)+IF(MONTH($A3012)&gt;=Setup!$B$6,1,0)))</f>
        <v/>
      </c>
      <c r="K3012" s="35" t="str">
        <f aca="false">IF($A3012="","",MOD(MONTH($A3012)-Setup!$B$6+12,12)+1)</f>
        <v/>
      </c>
      <c r="L3012" s="36" t="str">
        <f aca="false">IF($A3012="","",TEXT($A3012,"MMM-YY"))</f>
        <v/>
      </c>
      <c r="M3012" s="37" t="str">
        <f aca="false">IF($A3012="","",IF($Q3012=0,"UNMAPPED",INDEX(COA_Mapping!$C$7:$C$256,$Q3012)))</f>
        <v/>
      </c>
      <c r="N3012" s="38" t="str">
        <f aca="false">IF($A3012="","",IF($Q3012=0,"",INDEX(COA_Mapping!$E$7:$E$256,$Q3012)))</f>
        <v/>
      </c>
      <c r="O3012" s="38" t="n">
        <f aca="false">IF($A3012="",1,IF($Q3012=0,1,INDEX(COA_Mapping!$F$7:$F$256,$Q3012)))</f>
        <v>1</v>
      </c>
      <c r="P3012" s="34" t="str">
        <f aca="false">IF($A3012="","",$I3012*$O3012)</f>
        <v/>
      </c>
      <c r="Q3012" s="39" t="n">
        <f aca="false">IF($B3012="",0,IFERROR(MATCH($B3012,COA_Mapping!$A$7:$A$256,0),0))</f>
        <v>0</v>
      </c>
      <c r="R3012" s="39" t="n">
        <f aca="false">IF($A3012="",-1,IF($J3012=Setup!$B$7,1,IF($J3012=Setup!$B$9,0,-1)))</f>
        <v>-1</v>
      </c>
      <c r="S3012" s="35" t="n">
        <f aca="false">IF(OR($A3012="",$Q3012=0,$R3012=-1),0,$Q3012*1000+$R3012*100+$K3012)</f>
        <v>0</v>
      </c>
      <c r="T3012" s="37" t="str">
        <f aca="false">IF($A3012="","",IF($B3012="","NO ACCOUNT",IF($Q3012=0,"UNMAPPED",IF($R3012=-1,"OUTSIDE FY RANGE","OK"))))</f>
        <v/>
      </c>
      <c r="U3012" s="40" t="str">
        <f aca="false">IF($A3012="","",$B3012&amp;"|"&amp;TEXT($A3012,"yyyymmdd")&amp;"|"&amp;TEXT($I3012,"0.00"))</f>
        <v/>
      </c>
      <c r="V3012" s="35" t="str">
        <f aca="false">IF($A3012="","",COUNTIF($U$8:$U$5007,$U3012))</f>
        <v/>
      </c>
    </row>
    <row r="3013" customFormat="false" ht="15" hidden="false" customHeight="false" outlineLevel="0" collapsed="false">
      <c r="A3013" s="31"/>
      <c r="B3013" s="32"/>
      <c r="C3013" s="32"/>
      <c r="D3013" s="32"/>
      <c r="E3013" s="32"/>
      <c r="F3013" s="32"/>
      <c r="G3013" s="33"/>
      <c r="H3013" s="33"/>
      <c r="I3013" s="34" t="str">
        <f aca="false">IF($A3013="","",$G3013-$H3013)</f>
        <v/>
      </c>
      <c r="J3013" s="35" t="str">
        <f aca="false">IF($A3013="","",IF(Setup!$B$6=1,YEAR($A3013),YEAR($A3013)+IF(MONTH($A3013)&gt;=Setup!$B$6,1,0)))</f>
        <v/>
      </c>
      <c r="K3013" s="35" t="str">
        <f aca="false">IF($A3013="","",MOD(MONTH($A3013)-Setup!$B$6+12,12)+1)</f>
        <v/>
      </c>
      <c r="L3013" s="36" t="str">
        <f aca="false">IF($A3013="","",TEXT($A3013,"MMM-YY"))</f>
        <v/>
      </c>
      <c r="M3013" s="37" t="str">
        <f aca="false">IF($A3013="","",IF($Q3013=0,"UNMAPPED",INDEX(COA_Mapping!$C$7:$C$256,$Q3013)))</f>
        <v/>
      </c>
      <c r="N3013" s="38" t="str">
        <f aca="false">IF($A3013="","",IF($Q3013=0,"",INDEX(COA_Mapping!$E$7:$E$256,$Q3013)))</f>
        <v/>
      </c>
      <c r="O3013" s="38" t="n">
        <f aca="false">IF($A3013="",1,IF($Q3013=0,1,INDEX(COA_Mapping!$F$7:$F$256,$Q3013)))</f>
        <v>1</v>
      </c>
      <c r="P3013" s="34" t="str">
        <f aca="false">IF($A3013="","",$I3013*$O3013)</f>
        <v/>
      </c>
      <c r="Q3013" s="39" t="n">
        <f aca="false">IF($B3013="",0,IFERROR(MATCH($B3013,COA_Mapping!$A$7:$A$256,0),0))</f>
        <v>0</v>
      </c>
      <c r="R3013" s="39" t="n">
        <f aca="false">IF($A3013="",-1,IF($J3013=Setup!$B$7,1,IF($J3013=Setup!$B$9,0,-1)))</f>
        <v>-1</v>
      </c>
      <c r="S3013" s="35" t="n">
        <f aca="false">IF(OR($A3013="",$Q3013=0,$R3013=-1),0,$Q3013*1000+$R3013*100+$K3013)</f>
        <v>0</v>
      </c>
      <c r="T3013" s="37" t="str">
        <f aca="false">IF($A3013="","",IF($B3013="","NO ACCOUNT",IF($Q3013=0,"UNMAPPED",IF($R3013=-1,"OUTSIDE FY RANGE","OK"))))</f>
        <v/>
      </c>
      <c r="U3013" s="40" t="str">
        <f aca="false">IF($A3013="","",$B3013&amp;"|"&amp;TEXT($A3013,"yyyymmdd")&amp;"|"&amp;TEXT($I3013,"0.00"))</f>
        <v/>
      </c>
      <c r="V3013" s="35" t="str">
        <f aca="false">IF($A3013="","",COUNTIF($U$8:$U$5007,$U3013))</f>
        <v/>
      </c>
    </row>
    <row r="3014" customFormat="false" ht="15" hidden="false" customHeight="false" outlineLevel="0" collapsed="false">
      <c r="A3014" s="31"/>
      <c r="B3014" s="32"/>
      <c r="C3014" s="32"/>
      <c r="D3014" s="32"/>
      <c r="E3014" s="32"/>
      <c r="F3014" s="32"/>
      <c r="G3014" s="33"/>
      <c r="H3014" s="33"/>
      <c r="I3014" s="34" t="str">
        <f aca="false">IF($A3014="","",$G3014-$H3014)</f>
        <v/>
      </c>
      <c r="J3014" s="35" t="str">
        <f aca="false">IF($A3014="","",IF(Setup!$B$6=1,YEAR($A3014),YEAR($A3014)+IF(MONTH($A3014)&gt;=Setup!$B$6,1,0)))</f>
        <v/>
      </c>
      <c r="K3014" s="35" t="str">
        <f aca="false">IF($A3014="","",MOD(MONTH($A3014)-Setup!$B$6+12,12)+1)</f>
        <v/>
      </c>
      <c r="L3014" s="36" t="str">
        <f aca="false">IF($A3014="","",TEXT($A3014,"MMM-YY"))</f>
        <v/>
      </c>
      <c r="M3014" s="37" t="str">
        <f aca="false">IF($A3014="","",IF($Q3014=0,"UNMAPPED",INDEX(COA_Mapping!$C$7:$C$256,$Q3014)))</f>
        <v/>
      </c>
      <c r="N3014" s="38" t="str">
        <f aca="false">IF($A3014="","",IF($Q3014=0,"",INDEX(COA_Mapping!$E$7:$E$256,$Q3014)))</f>
        <v/>
      </c>
      <c r="O3014" s="38" t="n">
        <f aca="false">IF($A3014="",1,IF($Q3014=0,1,INDEX(COA_Mapping!$F$7:$F$256,$Q3014)))</f>
        <v>1</v>
      </c>
      <c r="P3014" s="34" t="str">
        <f aca="false">IF($A3014="","",$I3014*$O3014)</f>
        <v/>
      </c>
      <c r="Q3014" s="39" t="n">
        <f aca="false">IF($B3014="",0,IFERROR(MATCH($B3014,COA_Mapping!$A$7:$A$256,0),0))</f>
        <v>0</v>
      </c>
      <c r="R3014" s="39" t="n">
        <f aca="false">IF($A3014="",-1,IF($J3014=Setup!$B$7,1,IF($J3014=Setup!$B$9,0,-1)))</f>
        <v>-1</v>
      </c>
      <c r="S3014" s="35" t="n">
        <f aca="false">IF(OR($A3014="",$Q3014=0,$R3014=-1),0,$Q3014*1000+$R3014*100+$K3014)</f>
        <v>0</v>
      </c>
      <c r="T3014" s="37" t="str">
        <f aca="false">IF($A3014="","",IF($B3014="","NO ACCOUNT",IF($Q3014=0,"UNMAPPED",IF($R3014=-1,"OUTSIDE FY RANGE","OK"))))</f>
        <v/>
      </c>
      <c r="U3014" s="40" t="str">
        <f aca="false">IF($A3014="","",$B3014&amp;"|"&amp;TEXT($A3014,"yyyymmdd")&amp;"|"&amp;TEXT($I3014,"0.00"))</f>
        <v/>
      </c>
      <c r="V3014" s="35" t="str">
        <f aca="false">IF($A3014="","",COUNTIF($U$8:$U$5007,$U3014))</f>
        <v/>
      </c>
    </row>
    <row r="3015" customFormat="false" ht="15" hidden="false" customHeight="false" outlineLevel="0" collapsed="false">
      <c r="A3015" s="31"/>
      <c r="B3015" s="32"/>
      <c r="C3015" s="32"/>
      <c r="D3015" s="32"/>
      <c r="E3015" s="32"/>
      <c r="F3015" s="32"/>
      <c r="G3015" s="33"/>
      <c r="H3015" s="33"/>
      <c r="I3015" s="34" t="str">
        <f aca="false">IF($A3015="","",$G3015-$H3015)</f>
        <v/>
      </c>
      <c r="J3015" s="35" t="str">
        <f aca="false">IF($A3015="","",IF(Setup!$B$6=1,YEAR($A3015),YEAR($A3015)+IF(MONTH($A3015)&gt;=Setup!$B$6,1,0)))</f>
        <v/>
      </c>
      <c r="K3015" s="35" t="str">
        <f aca="false">IF($A3015="","",MOD(MONTH($A3015)-Setup!$B$6+12,12)+1)</f>
        <v/>
      </c>
      <c r="L3015" s="36" t="str">
        <f aca="false">IF($A3015="","",TEXT($A3015,"MMM-YY"))</f>
        <v/>
      </c>
      <c r="M3015" s="37" t="str">
        <f aca="false">IF($A3015="","",IF($Q3015=0,"UNMAPPED",INDEX(COA_Mapping!$C$7:$C$256,$Q3015)))</f>
        <v/>
      </c>
      <c r="N3015" s="38" t="str">
        <f aca="false">IF($A3015="","",IF($Q3015=0,"",INDEX(COA_Mapping!$E$7:$E$256,$Q3015)))</f>
        <v/>
      </c>
      <c r="O3015" s="38" t="n">
        <f aca="false">IF($A3015="",1,IF($Q3015=0,1,INDEX(COA_Mapping!$F$7:$F$256,$Q3015)))</f>
        <v>1</v>
      </c>
      <c r="P3015" s="34" t="str">
        <f aca="false">IF($A3015="","",$I3015*$O3015)</f>
        <v/>
      </c>
      <c r="Q3015" s="39" t="n">
        <f aca="false">IF($B3015="",0,IFERROR(MATCH($B3015,COA_Mapping!$A$7:$A$256,0),0))</f>
        <v>0</v>
      </c>
      <c r="R3015" s="39" t="n">
        <f aca="false">IF($A3015="",-1,IF($J3015=Setup!$B$7,1,IF($J3015=Setup!$B$9,0,-1)))</f>
        <v>-1</v>
      </c>
      <c r="S3015" s="35" t="n">
        <f aca="false">IF(OR($A3015="",$Q3015=0,$R3015=-1),0,$Q3015*1000+$R3015*100+$K3015)</f>
        <v>0</v>
      </c>
      <c r="T3015" s="37" t="str">
        <f aca="false">IF($A3015="","",IF($B3015="","NO ACCOUNT",IF($Q3015=0,"UNMAPPED",IF($R3015=-1,"OUTSIDE FY RANGE","OK"))))</f>
        <v/>
      </c>
      <c r="U3015" s="40" t="str">
        <f aca="false">IF($A3015="","",$B3015&amp;"|"&amp;TEXT($A3015,"yyyymmdd")&amp;"|"&amp;TEXT($I3015,"0.00"))</f>
        <v/>
      </c>
      <c r="V3015" s="35" t="str">
        <f aca="false">IF($A3015="","",COUNTIF($U$8:$U$5007,$U3015))</f>
        <v/>
      </c>
    </row>
    <row r="3016" customFormat="false" ht="15" hidden="false" customHeight="false" outlineLevel="0" collapsed="false">
      <c r="A3016" s="31"/>
      <c r="B3016" s="32"/>
      <c r="C3016" s="32"/>
      <c r="D3016" s="32"/>
      <c r="E3016" s="32"/>
      <c r="F3016" s="32"/>
      <c r="G3016" s="33"/>
      <c r="H3016" s="33"/>
      <c r="I3016" s="34" t="str">
        <f aca="false">IF($A3016="","",$G3016-$H3016)</f>
        <v/>
      </c>
      <c r="J3016" s="35" t="str">
        <f aca="false">IF($A3016="","",IF(Setup!$B$6=1,YEAR($A3016),YEAR($A3016)+IF(MONTH($A3016)&gt;=Setup!$B$6,1,0)))</f>
        <v/>
      </c>
      <c r="K3016" s="35" t="str">
        <f aca="false">IF($A3016="","",MOD(MONTH($A3016)-Setup!$B$6+12,12)+1)</f>
        <v/>
      </c>
      <c r="L3016" s="36" t="str">
        <f aca="false">IF($A3016="","",TEXT($A3016,"MMM-YY"))</f>
        <v/>
      </c>
      <c r="M3016" s="37" t="str">
        <f aca="false">IF($A3016="","",IF($Q3016=0,"UNMAPPED",INDEX(COA_Mapping!$C$7:$C$256,$Q3016)))</f>
        <v/>
      </c>
      <c r="N3016" s="38" t="str">
        <f aca="false">IF($A3016="","",IF($Q3016=0,"",INDEX(COA_Mapping!$E$7:$E$256,$Q3016)))</f>
        <v/>
      </c>
      <c r="O3016" s="38" t="n">
        <f aca="false">IF($A3016="",1,IF($Q3016=0,1,INDEX(COA_Mapping!$F$7:$F$256,$Q3016)))</f>
        <v>1</v>
      </c>
      <c r="P3016" s="34" t="str">
        <f aca="false">IF($A3016="","",$I3016*$O3016)</f>
        <v/>
      </c>
      <c r="Q3016" s="39" t="n">
        <f aca="false">IF($B3016="",0,IFERROR(MATCH($B3016,COA_Mapping!$A$7:$A$256,0),0))</f>
        <v>0</v>
      </c>
      <c r="R3016" s="39" t="n">
        <f aca="false">IF($A3016="",-1,IF($J3016=Setup!$B$7,1,IF($J3016=Setup!$B$9,0,-1)))</f>
        <v>-1</v>
      </c>
      <c r="S3016" s="35" t="n">
        <f aca="false">IF(OR($A3016="",$Q3016=0,$R3016=-1),0,$Q3016*1000+$R3016*100+$K3016)</f>
        <v>0</v>
      </c>
      <c r="T3016" s="37" t="str">
        <f aca="false">IF($A3016="","",IF($B3016="","NO ACCOUNT",IF($Q3016=0,"UNMAPPED",IF($R3016=-1,"OUTSIDE FY RANGE","OK"))))</f>
        <v/>
      </c>
      <c r="U3016" s="40" t="str">
        <f aca="false">IF($A3016="","",$B3016&amp;"|"&amp;TEXT($A3016,"yyyymmdd")&amp;"|"&amp;TEXT($I3016,"0.00"))</f>
        <v/>
      </c>
      <c r="V3016" s="35" t="str">
        <f aca="false">IF($A3016="","",COUNTIF($U$8:$U$5007,$U3016))</f>
        <v/>
      </c>
    </row>
    <row r="3017" customFormat="false" ht="15" hidden="false" customHeight="false" outlineLevel="0" collapsed="false">
      <c r="A3017" s="31"/>
      <c r="B3017" s="32"/>
      <c r="C3017" s="32"/>
      <c r="D3017" s="32"/>
      <c r="E3017" s="32"/>
      <c r="F3017" s="32"/>
      <c r="G3017" s="33"/>
      <c r="H3017" s="33"/>
      <c r="I3017" s="34" t="str">
        <f aca="false">IF($A3017="","",$G3017-$H3017)</f>
        <v/>
      </c>
      <c r="J3017" s="35" t="str">
        <f aca="false">IF($A3017="","",IF(Setup!$B$6=1,YEAR($A3017),YEAR($A3017)+IF(MONTH($A3017)&gt;=Setup!$B$6,1,0)))</f>
        <v/>
      </c>
      <c r="K3017" s="35" t="str">
        <f aca="false">IF($A3017="","",MOD(MONTH($A3017)-Setup!$B$6+12,12)+1)</f>
        <v/>
      </c>
      <c r="L3017" s="36" t="str">
        <f aca="false">IF($A3017="","",TEXT($A3017,"MMM-YY"))</f>
        <v/>
      </c>
      <c r="M3017" s="37" t="str">
        <f aca="false">IF($A3017="","",IF($Q3017=0,"UNMAPPED",INDEX(COA_Mapping!$C$7:$C$256,$Q3017)))</f>
        <v/>
      </c>
      <c r="N3017" s="38" t="str">
        <f aca="false">IF($A3017="","",IF($Q3017=0,"",INDEX(COA_Mapping!$E$7:$E$256,$Q3017)))</f>
        <v/>
      </c>
      <c r="O3017" s="38" t="n">
        <f aca="false">IF($A3017="",1,IF($Q3017=0,1,INDEX(COA_Mapping!$F$7:$F$256,$Q3017)))</f>
        <v>1</v>
      </c>
      <c r="P3017" s="34" t="str">
        <f aca="false">IF($A3017="","",$I3017*$O3017)</f>
        <v/>
      </c>
      <c r="Q3017" s="39" t="n">
        <f aca="false">IF($B3017="",0,IFERROR(MATCH($B3017,COA_Mapping!$A$7:$A$256,0),0))</f>
        <v>0</v>
      </c>
      <c r="R3017" s="39" t="n">
        <f aca="false">IF($A3017="",-1,IF($J3017=Setup!$B$7,1,IF($J3017=Setup!$B$9,0,-1)))</f>
        <v>-1</v>
      </c>
      <c r="S3017" s="35" t="n">
        <f aca="false">IF(OR($A3017="",$Q3017=0,$R3017=-1),0,$Q3017*1000+$R3017*100+$K3017)</f>
        <v>0</v>
      </c>
      <c r="T3017" s="37" t="str">
        <f aca="false">IF($A3017="","",IF($B3017="","NO ACCOUNT",IF($Q3017=0,"UNMAPPED",IF($R3017=-1,"OUTSIDE FY RANGE","OK"))))</f>
        <v/>
      </c>
      <c r="U3017" s="40" t="str">
        <f aca="false">IF($A3017="","",$B3017&amp;"|"&amp;TEXT($A3017,"yyyymmdd")&amp;"|"&amp;TEXT($I3017,"0.00"))</f>
        <v/>
      </c>
      <c r="V3017" s="35" t="str">
        <f aca="false">IF($A3017="","",COUNTIF($U$8:$U$5007,$U3017))</f>
        <v/>
      </c>
    </row>
    <row r="3018" customFormat="false" ht="15" hidden="false" customHeight="false" outlineLevel="0" collapsed="false">
      <c r="A3018" s="31"/>
      <c r="B3018" s="32"/>
      <c r="C3018" s="32"/>
      <c r="D3018" s="32"/>
      <c r="E3018" s="32"/>
      <c r="F3018" s="32"/>
      <c r="G3018" s="33"/>
      <c r="H3018" s="33"/>
      <c r="I3018" s="34" t="str">
        <f aca="false">IF($A3018="","",$G3018-$H3018)</f>
        <v/>
      </c>
      <c r="J3018" s="35" t="str">
        <f aca="false">IF($A3018="","",IF(Setup!$B$6=1,YEAR($A3018),YEAR($A3018)+IF(MONTH($A3018)&gt;=Setup!$B$6,1,0)))</f>
        <v/>
      </c>
      <c r="K3018" s="35" t="str">
        <f aca="false">IF($A3018="","",MOD(MONTH($A3018)-Setup!$B$6+12,12)+1)</f>
        <v/>
      </c>
      <c r="L3018" s="36" t="str">
        <f aca="false">IF($A3018="","",TEXT($A3018,"MMM-YY"))</f>
        <v/>
      </c>
      <c r="M3018" s="37" t="str">
        <f aca="false">IF($A3018="","",IF($Q3018=0,"UNMAPPED",INDEX(COA_Mapping!$C$7:$C$256,$Q3018)))</f>
        <v/>
      </c>
      <c r="N3018" s="38" t="str">
        <f aca="false">IF($A3018="","",IF($Q3018=0,"",INDEX(COA_Mapping!$E$7:$E$256,$Q3018)))</f>
        <v/>
      </c>
      <c r="O3018" s="38" t="n">
        <f aca="false">IF($A3018="",1,IF($Q3018=0,1,INDEX(COA_Mapping!$F$7:$F$256,$Q3018)))</f>
        <v>1</v>
      </c>
      <c r="P3018" s="34" t="str">
        <f aca="false">IF($A3018="","",$I3018*$O3018)</f>
        <v/>
      </c>
      <c r="Q3018" s="39" t="n">
        <f aca="false">IF($B3018="",0,IFERROR(MATCH($B3018,COA_Mapping!$A$7:$A$256,0),0))</f>
        <v>0</v>
      </c>
      <c r="R3018" s="39" t="n">
        <f aca="false">IF($A3018="",-1,IF($J3018=Setup!$B$7,1,IF($J3018=Setup!$B$9,0,-1)))</f>
        <v>-1</v>
      </c>
      <c r="S3018" s="35" t="n">
        <f aca="false">IF(OR($A3018="",$Q3018=0,$R3018=-1),0,$Q3018*1000+$R3018*100+$K3018)</f>
        <v>0</v>
      </c>
      <c r="T3018" s="37" t="str">
        <f aca="false">IF($A3018="","",IF($B3018="","NO ACCOUNT",IF($Q3018=0,"UNMAPPED",IF($R3018=-1,"OUTSIDE FY RANGE","OK"))))</f>
        <v/>
      </c>
      <c r="U3018" s="40" t="str">
        <f aca="false">IF($A3018="","",$B3018&amp;"|"&amp;TEXT($A3018,"yyyymmdd")&amp;"|"&amp;TEXT($I3018,"0.00"))</f>
        <v/>
      </c>
      <c r="V3018" s="35" t="str">
        <f aca="false">IF($A3018="","",COUNTIF($U$8:$U$5007,$U3018))</f>
        <v/>
      </c>
    </row>
    <row r="3019" customFormat="false" ht="15" hidden="false" customHeight="false" outlineLevel="0" collapsed="false">
      <c r="A3019" s="31"/>
      <c r="B3019" s="32"/>
      <c r="C3019" s="32"/>
      <c r="D3019" s="32"/>
      <c r="E3019" s="32"/>
      <c r="F3019" s="32"/>
      <c r="G3019" s="33"/>
      <c r="H3019" s="33"/>
      <c r="I3019" s="34" t="str">
        <f aca="false">IF($A3019="","",$G3019-$H3019)</f>
        <v/>
      </c>
      <c r="J3019" s="35" t="str">
        <f aca="false">IF($A3019="","",IF(Setup!$B$6=1,YEAR($A3019),YEAR($A3019)+IF(MONTH($A3019)&gt;=Setup!$B$6,1,0)))</f>
        <v/>
      </c>
      <c r="K3019" s="35" t="str">
        <f aca="false">IF($A3019="","",MOD(MONTH($A3019)-Setup!$B$6+12,12)+1)</f>
        <v/>
      </c>
      <c r="L3019" s="36" t="str">
        <f aca="false">IF($A3019="","",TEXT($A3019,"MMM-YY"))</f>
        <v/>
      </c>
      <c r="M3019" s="37" t="str">
        <f aca="false">IF($A3019="","",IF($Q3019=0,"UNMAPPED",INDEX(COA_Mapping!$C$7:$C$256,$Q3019)))</f>
        <v/>
      </c>
      <c r="N3019" s="38" t="str">
        <f aca="false">IF($A3019="","",IF($Q3019=0,"",INDEX(COA_Mapping!$E$7:$E$256,$Q3019)))</f>
        <v/>
      </c>
      <c r="O3019" s="38" t="n">
        <f aca="false">IF($A3019="",1,IF($Q3019=0,1,INDEX(COA_Mapping!$F$7:$F$256,$Q3019)))</f>
        <v>1</v>
      </c>
      <c r="P3019" s="34" t="str">
        <f aca="false">IF($A3019="","",$I3019*$O3019)</f>
        <v/>
      </c>
      <c r="Q3019" s="39" t="n">
        <f aca="false">IF($B3019="",0,IFERROR(MATCH($B3019,COA_Mapping!$A$7:$A$256,0),0))</f>
        <v>0</v>
      </c>
      <c r="R3019" s="39" t="n">
        <f aca="false">IF($A3019="",-1,IF($J3019=Setup!$B$7,1,IF($J3019=Setup!$B$9,0,-1)))</f>
        <v>-1</v>
      </c>
      <c r="S3019" s="35" t="n">
        <f aca="false">IF(OR($A3019="",$Q3019=0,$R3019=-1),0,$Q3019*1000+$R3019*100+$K3019)</f>
        <v>0</v>
      </c>
      <c r="T3019" s="37" t="str">
        <f aca="false">IF($A3019="","",IF($B3019="","NO ACCOUNT",IF($Q3019=0,"UNMAPPED",IF($R3019=-1,"OUTSIDE FY RANGE","OK"))))</f>
        <v/>
      </c>
      <c r="U3019" s="40" t="str">
        <f aca="false">IF($A3019="","",$B3019&amp;"|"&amp;TEXT($A3019,"yyyymmdd")&amp;"|"&amp;TEXT($I3019,"0.00"))</f>
        <v/>
      </c>
      <c r="V3019" s="35" t="str">
        <f aca="false">IF($A3019="","",COUNTIF($U$8:$U$5007,$U3019))</f>
        <v/>
      </c>
    </row>
    <row r="3020" customFormat="false" ht="15" hidden="false" customHeight="false" outlineLevel="0" collapsed="false">
      <c r="A3020" s="31"/>
      <c r="B3020" s="32"/>
      <c r="C3020" s="32"/>
      <c r="D3020" s="32"/>
      <c r="E3020" s="32"/>
      <c r="F3020" s="32"/>
      <c r="G3020" s="33"/>
      <c r="H3020" s="33"/>
      <c r="I3020" s="34" t="str">
        <f aca="false">IF($A3020="","",$G3020-$H3020)</f>
        <v/>
      </c>
      <c r="J3020" s="35" t="str">
        <f aca="false">IF($A3020="","",IF(Setup!$B$6=1,YEAR($A3020),YEAR($A3020)+IF(MONTH($A3020)&gt;=Setup!$B$6,1,0)))</f>
        <v/>
      </c>
      <c r="K3020" s="35" t="str">
        <f aca="false">IF($A3020="","",MOD(MONTH($A3020)-Setup!$B$6+12,12)+1)</f>
        <v/>
      </c>
      <c r="L3020" s="36" t="str">
        <f aca="false">IF($A3020="","",TEXT($A3020,"MMM-YY"))</f>
        <v/>
      </c>
      <c r="M3020" s="37" t="str">
        <f aca="false">IF($A3020="","",IF($Q3020=0,"UNMAPPED",INDEX(COA_Mapping!$C$7:$C$256,$Q3020)))</f>
        <v/>
      </c>
      <c r="N3020" s="38" t="str">
        <f aca="false">IF($A3020="","",IF($Q3020=0,"",INDEX(COA_Mapping!$E$7:$E$256,$Q3020)))</f>
        <v/>
      </c>
      <c r="O3020" s="38" t="n">
        <f aca="false">IF($A3020="",1,IF($Q3020=0,1,INDEX(COA_Mapping!$F$7:$F$256,$Q3020)))</f>
        <v>1</v>
      </c>
      <c r="P3020" s="34" t="str">
        <f aca="false">IF($A3020="","",$I3020*$O3020)</f>
        <v/>
      </c>
      <c r="Q3020" s="39" t="n">
        <f aca="false">IF($B3020="",0,IFERROR(MATCH($B3020,COA_Mapping!$A$7:$A$256,0),0))</f>
        <v>0</v>
      </c>
      <c r="R3020" s="39" t="n">
        <f aca="false">IF($A3020="",-1,IF($J3020=Setup!$B$7,1,IF($J3020=Setup!$B$9,0,-1)))</f>
        <v>-1</v>
      </c>
      <c r="S3020" s="35" t="n">
        <f aca="false">IF(OR($A3020="",$Q3020=0,$R3020=-1),0,$Q3020*1000+$R3020*100+$K3020)</f>
        <v>0</v>
      </c>
      <c r="T3020" s="37" t="str">
        <f aca="false">IF($A3020="","",IF($B3020="","NO ACCOUNT",IF($Q3020=0,"UNMAPPED",IF($R3020=-1,"OUTSIDE FY RANGE","OK"))))</f>
        <v/>
      </c>
      <c r="U3020" s="40" t="str">
        <f aca="false">IF($A3020="","",$B3020&amp;"|"&amp;TEXT($A3020,"yyyymmdd")&amp;"|"&amp;TEXT($I3020,"0.00"))</f>
        <v/>
      </c>
      <c r="V3020" s="35" t="str">
        <f aca="false">IF($A3020="","",COUNTIF($U$8:$U$5007,$U3020))</f>
        <v/>
      </c>
    </row>
    <row r="3021" customFormat="false" ht="15" hidden="false" customHeight="false" outlineLevel="0" collapsed="false">
      <c r="A3021" s="31"/>
      <c r="B3021" s="32"/>
      <c r="C3021" s="32"/>
      <c r="D3021" s="32"/>
      <c r="E3021" s="32"/>
      <c r="F3021" s="32"/>
      <c r="G3021" s="33"/>
      <c r="H3021" s="33"/>
      <c r="I3021" s="34" t="str">
        <f aca="false">IF($A3021="","",$G3021-$H3021)</f>
        <v/>
      </c>
      <c r="J3021" s="35" t="str">
        <f aca="false">IF($A3021="","",IF(Setup!$B$6=1,YEAR($A3021),YEAR($A3021)+IF(MONTH($A3021)&gt;=Setup!$B$6,1,0)))</f>
        <v/>
      </c>
      <c r="K3021" s="35" t="str">
        <f aca="false">IF($A3021="","",MOD(MONTH($A3021)-Setup!$B$6+12,12)+1)</f>
        <v/>
      </c>
      <c r="L3021" s="36" t="str">
        <f aca="false">IF($A3021="","",TEXT($A3021,"MMM-YY"))</f>
        <v/>
      </c>
      <c r="M3021" s="37" t="str">
        <f aca="false">IF($A3021="","",IF($Q3021=0,"UNMAPPED",INDEX(COA_Mapping!$C$7:$C$256,$Q3021)))</f>
        <v/>
      </c>
      <c r="N3021" s="38" t="str">
        <f aca="false">IF($A3021="","",IF($Q3021=0,"",INDEX(COA_Mapping!$E$7:$E$256,$Q3021)))</f>
        <v/>
      </c>
      <c r="O3021" s="38" t="n">
        <f aca="false">IF($A3021="",1,IF($Q3021=0,1,INDEX(COA_Mapping!$F$7:$F$256,$Q3021)))</f>
        <v>1</v>
      </c>
      <c r="P3021" s="34" t="str">
        <f aca="false">IF($A3021="","",$I3021*$O3021)</f>
        <v/>
      </c>
      <c r="Q3021" s="39" t="n">
        <f aca="false">IF($B3021="",0,IFERROR(MATCH($B3021,COA_Mapping!$A$7:$A$256,0),0))</f>
        <v>0</v>
      </c>
      <c r="R3021" s="39" t="n">
        <f aca="false">IF($A3021="",-1,IF($J3021=Setup!$B$7,1,IF($J3021=Setup!$B$9,0,-1)))</f>
        <v>-1</v>
      </c>
      <c r="S3021" s="35" t="n">
        <f aca="false">IF(OR($A3021="",$Q3021=0,$R3021=-1),0,$Q3021*1000+$R3021*100+$K3021)</f>
        <v>0</v>
      </c>
      <c r="T3021" s="37" t="str">
        <f aca="false">IF($A3021="","",IF($B3021="","NO ACCOUNT",IF($Q3021=0,"UNMAPPED",IF($R3021=-1,"OUTSIDE FY RANGE","OK"))))</f>
        <v/>
      </c>
      <c r="U3021" s="40" t="str">
        <f aca="false">IF($A3021="","",$B3021&amp;"|"&amp;TEXT($A3021,"yyyymmdd")&amp;"|"&amp;TEXT($I3021,"0.00"))</f>
        <v/>
      </c>
      <c r="V3021" s="35" t="str">
        <f aca="false">IF($A3021="","",COUNTIF($U$8:$U$5007,$U3021))</f>
        <v/>
      </c>
    </row>
    <row r="3022" customFormat="false" ht="15" hidden="false" customHeight="false" outlineLevel="0" collapsed="false">
      <c r="A3022" s="31"/>
      <c r="B3022" s="32"/>
      <c r="C3022" s="32"/>
      <c r="D3022" s="32"/>
      <c r="E3022" s="32"/>
      <c r="F3022" s="32"/>
      <c r="G3022" s="33"/>
      <c r="H3022" s="33"/>
      <c r="I3022" s="34" t="str">
        <f aca="false">IF($A3022="","",$G3022-$H3022)</f>
        <v/>
      </c>
      <c r="J3022" s="35" t="str">
        <f aca="false">IF($A3022="","",IF(Setup!$B$6=1,YEAR($A3022),YEAR($A3022)+IF(MONTH($A3022)&gt;=Setup!$B$6,1,0)))</f>
        <v/>
      </c>
      <c r="K3022" s="35" t="str">
        <f aca="false">IF($A3022="","",MOD(MONTH($A3022)-Setup!$B$6+12,12)+1)</f>
        <v/>
      </c>
      <c r="L3022" s="36" t="str">
        <f aca="false">IF($A3022="","",TEXT($A3022,"MMM-YY"))</f>
        <v/>
      </c>
      <c r="M3022" s="37" t="str">
        <f aca="false">IF($A3022="","",IF($Q3022=0,"UNMAPPED",INDEX(COA_Mapping!$C$7:$C$256,$Q3022)))</f>
        <v/>
      </c>
      <c r="N3022" s="38" t="str">
        <f aca="false">IF($A3022="","",IF($Q3022=0,"",INDEX(COA_Mapping!$E$7:$E$256,$Q3022)))</f>
        <v/>
      </c>
      <c r="O3022" s="38" t="n">
        <f aca="false">IF($A3022="",1,IF($Q3022=0,1,INDEX(COA_Mapping!$F$7:$F$256,$Q3022)))</f>
        <v>1</v>
      </c>
      <c r="P3022" s="34" t="str">
        <f aca="false">IF($A3022="","",$I3022*$O3022)</f>
        <v/>
      </c>
      <c r="Q3022" s="39" t="n">
        <f aca="false">IF($B3022="",0,IFERROR(MATCH($B3022,COA_Mapping!$A$7:$A$256,0),0))</f>
        <v>0</v>
      </c>
      <c r="R3022" s="39" t="n">
        <f aca="false">IF($A3022="",-1,IF($J3022=Setup!$B$7,1,IF($J3022=Setup!$B$9,0,-1)))</f>
        <v>-1</v>
      </c>
      <c r="S3022" s="35" t="n">
        <f aca="false">IF(OR($A3022="",$Q3022=0,$R3022=-1),0,$Q3022*1000+$R3022*100+$K3022)</f>
        <v>0</v>
      </c>
      <c r="T3022" s="37" t="str">
        <f aca="false">IF($A3022="","",IF($B3022="","NO ACCOUNT",IF($Q3022=0,"UNMAPPED",IF($R3022=-1,"OUTSIDE FY RANGE","OK"))))</f>
        <v/>
      </c>
      <c r="U3022" s="40" t="str">
        <f aca="false">IF($A3022="","",$B3022&amp;"|"&amp;TEXT($A3022,"yyyymmdd")&amp;"|"&amp;TEXT($I3022,"0.00"))</f>
        <v/>
      </c>
      <c r="V3022" s="35" t="str">
        <f aca="false">IF($A3022="","",COUNTIF($U$8:$U$5007,$U3022))</f>
        <v/>
      </c>
    </row>
    <row r="3023" customFormat="false" ht="15" hidden="false" customHeight="false" outlineLevel="0" collapsed="false">
      <c r="A3023" s="31"/>
      <c r="B3023" s="32"/>
      <c r="C3023" s="32"/>
      <c r="D3023" s="32"/>
      <c r="E3023" s="32"/>
      <c r="F3023" s="32"/>
      <c r="G3023" s="33"/>
      <c r="H3023" s="33"/>
      <c r="I3023" s="34" t="str">
        <f aca="false">IF($A3023="","",$G3023-$H3023)</f>
        <v/>
      </c>
      <c r="J3023" s="35" t="str">
        <f aca="false">IF($A3023="","",IF(Setup!$B$6=1,YEAR($A3023),YEAR($A3023)+IF(MONTH($A3023)&gt;=Setup!$B$6,1,0)))</f>
        <v/>
      </c>
      <c r="K3023" s="35" t="str">
        <f aca="false">IF($A3023="","",MOD(MONTH($A3023)-Setup!$B$6+12,12)+1)</f>
        <v/>
      </c>
      <c r="L3023" s="36" t="str">
        <f aca="false">IF($A3023="","",TEXT($A3023,"MMM-YY"))</f>
        <v/>
      </c>
      <c r="M3023" s="37" t="str">
        <f aca="false">IF($A3023="","",IF($Q3023=0,"UNMAPPED",INDEX(COA_Mapping!$C$7:$C$256,$Q3023)))</f>
        <v/>
      </c>
      <c r="N3023" s="38" t="str">
        <f aca="false">IF($A3023="","",IF($Q3023=0,"",INDEX(COA_Mapping!$E$7:$E$256,$Q3023)))</f>
        <v/>
      </c>
      <c r="O3023" s="38" t="n">
        <f aca="false">IF($A3023="",1,IF($Q3023=0,1,INDEX(COA_Mapping!$F$7:$F$256,$Q3023)))</f>
        <v>1</v>
      </c>
      <c r="P3023" s="34" t="str">
        <f aca="false">IF($A3023="","",$I3023*$O3023)</f>
        <v/>
      </c>
      <c r="Q3023" s="39" t="n">
        <f aca="false">IF($B3023="",0,IFERROR(MATCH($B3023,COA_Mapping!$A$7:$A$256,0),0))</f>
        <v>0</v>
      </c>
      <c r="R3023" s="39" t="n">
        <f aca="false">IF($A3023="",-1,IF($J3023=Setup!$B$7,1,IF($J3023=Setup!$B$9,0,-1)))</f>
        <v>-1</v>
      </c>
      <c r="S3023" s="35" t="n">
        <f aca="false">IF(OR($A3023="",$Q3023=0,$R3023=-1),0,$Q3023*1000+$R3023*100+$K3023)</f>
        <v>0</v>
      </c>
      <c r="T3023" s="37" t="str">
        <f aca="false">IF($A3023="","",IF($B3023="","NO ACCOUNT",IF($Q3023=0,"UNMAPPED",IF($R3023=-1,"OUTSIDE FY RANGE","OK"))))</f>
        <v/>
      </c>
      <c r="U3023" s="40" t="str">
        <f aca="false">IF($A3023="","",$B3023&amp;"|"&amp;TEXT($A3023,"yyyymmdd")&amp;"|"&amp;TEXT($I3023,"0.00"))</f>
        <v/>
      </c>
      <c r="V3023" s="35" t="str">
        <f aca="false">IF($A3023="","",COUNTIF($U$8:$U$5007,$U3023))</f>
        <v/>
      </c>
    </row>
    <row r="3024" customFormat="false" ht="15" hidden="false" customHeight="false" outlineLevel="0" collapsed="false">
      <c r="A3024" s="31"/>
      <c r="B3024" s="32"/>
      <c r="C3024" s="32"/>
      <c r="D3024" s="32"/>
      <c r="E3024" s="32"/>
      <c r="F3024" s="32"/>
      <c r="G3024" s="33"/>
      <c r="H3024" s="33"/>
      <c r="I3024" s="34" t="str">
        <f aca="false">IF($A3024="","",$G3024-$H3024)</f>
        <v/>
      </c>
      <c r="J3024" s="35" t="str">
        <f aca="false">IF($A3024="","",IF(Setup!$B$6=1,YEAR($A3024),YEAR($A3024)+IF(MONTH($A3024)&gt;=Setup!$B$6,1,0)))</f>
        <v/>
      </c>
      <c r="K3024" s="35" t="str">
        <f aca="false">IF($A3024="","",MOD(MONTH($A3024)-Setup!$B$6+12,12)+1)</f>
        <v/>
      </c>
      <c r="L3024" s="36" t="str">
        <f aca="false">IF($A3024="","",TEXT($A3024,"MMM-YY"))</f>
        <v/>
      </c>
      <c r="M3024" s="37" t="str">
        <f aca="false">IF($A3024="","",IF($Q3024=0,"UNMAPPED",INDEX(COA_Mapping!$C$7:$C$256,$Q3024)))</f>
        <v/>
      </c>
      <c r="N3024" s="38" t="str">
        <f aca="false">IF($A3024="","",IF($Q3024=0,"",INDEX(COA_Mapping!$E$7:$E$256,$Q3024)))</f>
        <v/>
      </c>
      <c r="O3024" s="38" t="n">
        <f aca="false">IF($A3024="",1,IF($Q3024=0,1,INDEX(COA_Mapping!$F$7:$F$256,$Q3024)))</f>
        <v>1</v>
      </c>
      <c r="P3024" s="34" t="str">
        <f aca="false">IF($A3024="","",$I3024*$O3024)</f>
        <v/>
      </c>
      <c r="Q3024" s="39" t="n">
        <f aca="false">IF($B3024="",0,IFERROR(MATCH($B3024,COA_Mapping!$A$7:$A$256,0),0))</f>
        <v>0</v>
      </c>
      <c r="R3024" s="39" t="n">
        <f aca="false">IF($A3024="",-1,IF($J3024=Setup!$B$7,1,IF($J3024=Setup!$B$9,0,-1)))</f>
        <v>-1</v>
      </c>
      <c r="S3024" s="35" t="n">
        <f aca="false">IF(OR($A3024="",$Q3024=0,$R3024=-1),0,$Q3024*1000+$R3024*100+$K3024)</f>
        <v>0</v>
      </c>
      <c r="T3024" s="37" t="str">
        <f aca="false">IF($A3024="","",IF($B3024="","NO ACCOUNT",IF($Q3024=0,"UNMAPPED",IF($R3024=-1,"OUTSIDE FY RANGE","OK"))))</f>
        <v/>
      </c>
      <c r="U3024" s="40" t="str">
        <f aca="false">IF($A3024="","",$B3024&amp;"|"&amp;TEXT($A3024,"yyyymmdd")&amp;"|"&amp;TEXT($I3024,"0.00"))</f>
        <v/>
      </c>
      <c r="V3024" s="35" t="str">
        <f aca="false">IF($A3024="","",COUNTIF($U$8:$U$5007,$U3024))</f>
        <v/>
      </c>
    </row>
    <row r="3025" customFormat="false" ht="15" hidden="false" customHeight="false" outlineLevel="0" collapsed="false">
      <c r="A3025" s="31"/>
      <c r="B3025" s="32"/>
      <c r="C3025" s="32"/>
      <c r="D3025" s="32"/>
      <c r="E3025" s="32"/>
      <c r="F3025" s="32"/>
      <c r="G3025" s="33"/>
      <c r="H3025" s="33"/>
      <c r="I3025" s="34" t="str">
        <f aca="false">IF($A3025="","",$G3025-$H3025)</f>
        <v/>
      </c>
      <c r="J3025" s="35" t="str">
        <f aca="false">IF($A3025="","",IF(Setup!$B$6=1,YEAR($A3025),YEAR($A3025)+IF(MONTH($A3025)&gt;=Setup!$B$6,1,0)))</f>
        <v/>
      </c>
      <c r="K3025" s="35" t="str">
        <f aca="false">IF($A3025="","",MOD(MONTH($A3025)-Setup!$B$6+12,12)+1)</f>
        <v/>
      </c>
      <c r="L3025" s="36" t="str">
        <f aca="false">IF($A3025="","",TEXT($A3025,"MMM-YY"))</f>
        <v/>
      </c>
      <c r="M3025" s="37" t="str">
        <f aca="false">IF($A3025="","",IF($Q3025=0,"UNMAPPED",INDEX(COA_Mapping!$C$7:$C$256,$Q3025)))</f>
        <v/>
      </c>
      <c r="N3025" s="38" t="str">
        <f aca="false">IF($A3025="","",IF($Q3025=0,"",INDEX(COA_Mapping!$E$7:$E$256,$Q3025)))</f>
        <v/>
      </c>
      <c r="O3025" s="38" t="n">
        <f aca="false">IF($A3025="",1,IF($Q3025=0,1,INDEX(COA_Mapping!$F$7:$F$256,$Q3025)))</f>
        <v>1</v>
      </c>
      <c r="P3025" s="34" t="str">
        <f aca="false">IF($A3025="","",$I3025*$O3025)</f>
        <v/>
      </c>
      <c r="Q3025" s="39" t="n">
        <f aca="false">IF($B3025="",0,IFERROR(MATCH($B3025,COA_Mapping!$A$7:$A$256,0),0))</f>
        <v>0</v>
      </c>
      <c r="R3025" s="39" t="n">
        <f aca="false">IF($A3025="",-1,IF($J3025=Setup!$B$7,1,IF($J3025=Setup!$B$9,0,-1)))</f>
        <v>-1</v>
      </c>
      <c r="S3025" s="35" t="n">
        <f aca="false">IF(OR($A3025="",$Q3025=0,$R3025=-1),0,$Q3025*1000+$R3025*100+$K3025)</f>
        <v>0</v>
      </c>
      <c r="T3025" s="37" t="str">
        <f aca="false">IF($A3025="","",IF($B3025="","NO ACCOUNT",IF($Q3025=0,"UNMAPPED",IF($R3025=-1,"OUTSIDE FY RANGE","OK"))))</f>
        <v/>
      </c>
      <c r="U3025" s="40" t="str">
        <f aca="false">IF($A3025="","",$B3025&amp;"|"&amp;TEXT($A3025,"yyyymmdd")&amp;"|"&amp;TEXT($I3025,"0.00"))</f>
        <v/>
      </c>
      <c r="V3025" s="35" t="str">
        <f aca="false">IF($A3025="","",COUNTIF($U$8:$U$5007,$U3025))</f>
        <v/>
      </c>
    </row>
    <row r="3026" customFormat="false" ht="15" hidden="false" customHeight="false" outlineLevel="0" collapsed="false">
      <c r="A3026" s="31"/>
      <c r="B3026" s="32"/>
      <c r="C3026" s="32"/>
      <c r="D3026" s="32"/>
      <c r="E3026" s="32"/>
      <c r="F3026" s="32"/>
      <c r="G3026" s="33"/>
      <c r="H3026" s="33"/>
      <c r="I3026" s="34" t="str">
        <f aca="false">IF($A3026="","",$G3026-$H3026)</f>
        <v/>
      </c>
      <c r="J3026" s="35" t="str">
        <f aca="false">IF($A3026="","",IF(Setup!$B$6=1,YEAR($A3026),YEAR($A3026)+IF(MONTH($A3026)&gt;=Setup!$B$6,1,0)))</f>
        <v/>
      </c>
      <c r="K3026" s="35" t="str">
        <f aca="false">IF($A3026="","",MOD(MONTH($A3026)-Setup!$B$6+12,12)+1)</f>
        <v/>
      </c>
      <c r="L3026" s="36" t="str">
        <f aca="false">IF($A3026="","",TEXT($A3026,"MMM-YY"))</f>
        <v/>
      </c>
      <c r="M3026" s="37" t="str">
        <f aca="false">IF($A3026="","",IF($Q3026=0,"UNMAPPED",INDEX(COA_Mapping!$C$7:$C$256,$Q3026)))</f>
        <v/>
      </c>
      <c r="N3026" s="38" t="str">
        <f aca="false">IF($A3026="","",IF($Q3026=0,"",INDEX(COA_Mapping!$E$7:$E$256,$Q3026)))</f>
        <v/>
      </c>
      <c r="O3026" s="38" t="n">
        <f aca="false">IF($A3026="",1,IF($Q3026=0,1,INDEX(COA_Mapping!$F$7:$F$256,$Q3026)))</f>
        <v>1</v>
      </c>
      <c r="P3026" s="34" t="str">
        <f aca="false">IF($A3026="","",$I3026*$O3026)</f>
        <v/>
      </c>
      <c r="Q3026" s="39" t="n">
        <f aca="false">IF($B3026="",0,IFERROR(MATCH($B3026,COA_Mapping!$A$7:$A$256,0),0))</f>
        <v>0</v>
      </c>
      <c r="R3026" s="39" t="n">
        <f aca="false">IF($A3026="",-1,IF($J3026=Setup!$B$7,1,IF($J3026=Setup!$B$9,0,-1)))</f>
        <v>-1</v>
      </c>
      <c r="S3026" s="35" t="n">
        <f aca="false">IF(OR($A3026="",$Q3026=0,$R3026=-1),0,$Q3026*1000+$R3026*100+$K3026)</f>
        <v>0</v>
      </c>
      <c r="T3026" s="37" t="str">
        <f aca="false">IF($A3026="","",IF($B3026="","NO ACCOUNT",IF($Q3026=0,"UNMAPPED",IF($R3026=-1,"OUTSIDE FY RANGE","OK"))))</f>
        <v/>
      </c>
      <c r="U3026" s="40" t="str">
        <f aca="false">IF($A3026="","",$B3026&amp;"|"&amp;TEXT($A3026,"yyyymmdd")&amp;"|"&amp;TEXT($I3026,"0.00"))</f>
        <v/>
      </c>
      <c r="V3026" s="35" t="str">
        <f aca="false">IF($A3026="","",COUNTIF($U$8:$U$5007,$U3026))</f>
        <v/>
      </c>
    </row>
    <row r="3027" customFormat="false" ht="15" hidden="false" customHeight="false" outlineLevel="0" collapsed="false">
      <c r="A3027" s="31"/>
      <c r="B3027" s="32"/>
      <c r="C3027" s="32"/>
      <c r="D3027" s="32"/>
      <c r="E3027" s="32"/>
      <c r="F3027" s="32"/>
      <c r="G3027" s="33"/>
      <c r="H3027" s="33"/>
      <c r="I3027" s="34" t="str">
        <f aca="false">IF($A3027="","",$G3027-$H3027)</f>
        <v/>
      </c>
      <c r="J3027" s="35" t="str">
        <f aca="false">IF($A3027="","",IF(Setup!$B$6=1,YEAR($A3027),YEAR($A3027)+IF(MONTH($A3027)&gt;=Setup!$B$6,1,0)))</f>
        <v/>
      </c>
      <c r="K3027" s="35" t="str">
        <f aca="false">IF($A3027="","",MOD(MONTH($A3027)-Setup!$B$6+12,12)+1)</f>
        <v/>
      </c>
      <c r="L3027" s="36" t="str">
        <f aca="false">IF($A3027="","",TEXT($A3027,"MMM-YY"))</f>
        <v/>
      </c>
      <c r="M3027" s="37" t="str">
        <f aca="false">IF($A3027="","",IF($Q3027=0,"UNMAPPED",INDEX(COA_Mapping!$C$7:$C$256,$Q3027)))</f>
        <v/>
      </c>
      <c r="N3027" s="38" t="str">
        <f aca="false">IF($A3027="","",IF($Q3027=0,"",INDEX(COA_Mapping!$E$7:$E$256,$Q3027)))</f>
        <v/>
      </c>
      <c r="O3027" s="38" t="n">
        <f aca="false">IF($A3027="",1,IF($Q3027=0,1,INDEX(COA_Mapping!$F$7:$F$256,$Q3027)))</f>
        <v>1</v>
      </c>
      <c r="P3027" s="34" t="str">
        <f aca="false">IF($A3027="","",$I3027*$O3027)</f>
        <v/>
      </c>
      <c r="Q3027" s="39" t="n">
        <f aca="false">IF($B3027="",0,IFERROR(MATCH($B3027,COA_Mapping!$A$7:$A$256,0),0))</f>
        <v>0</v>
      </c>
      <c r="R3027" s="39" t="n">
        <f aca="false">IF($A3027="",-1,IF($J3027=Setup!$B$7,1,IF($J3027=Setup!$B$9,0,-1)))</f>
        <v>-1</v>
      </c>
      <c r="S3027" s="35" t="n">
        <f aca="false">IF(OR($A3027="",$Q3027=0,$R3027=-1),0,$Q3027*1000+$R3027*100+$K3027)</f>
        <v>0</v>
      </c>
      <c r="T3027" s="37" t="str">
        <f aca="false">IF($A3027="","",IF($B3027="","NO ACCOUNT",IF($Q3027=0,"UNMAPPED",IF($R3027=-1,"OUTSIDE FY RANGE","OK"))))</f>
        <v/>
      </c>
      <c r="U3027" s="40" t="str">
        <f aca="false">IF($A3027="","",$B3027&amp;"|"&amp;TEXT($A3027,"yyyymmdd")&amp;"|"&amp;TEXT($I3027,"0.00"))</f>
        <v/>
      </c>
      <c r="V3027" s="35" t="str">
        <f aca="false">IF($A3027="","",COUNTIF($U$8:$U$5007,$U3027))</f>
        <v/>
      </c>
    </row>
    <row r="3028" customFormat="false" ht="15" hidden="false" customHeight="false" outlineLevel="0" collapsed="false">
      <c r="A3028" s="31"/>
      <c r="B3028" s="32"/>
      <c r="C3028" s="32"/>
      <c r="D3028" s="32"/>
      <c r="E3028" s="32"/>
      <c r="F3028" s="32"/>
      <c r="G3028" s="33"/>
      <c r="H3028" s="33"/>
      <c r="I3028" s="34" t="str">
        <f aca="false">IF($A3028="","",$G3028-$H3028)</f>
        <v/>
      </c>
      <c r="J3028" s="35" t="str">
        <f aca="false">IF($A3028="","",IF(Setup!$B$6=1,YEAR($A3028),YEAR($A3028)+IF(MONTH($A3028)&gt;=Setup!$B$6,1,0)))</f>
        <v/>
      </c>
      <c r="K3028" s="35" t="str">
        <f aca="false">IF($A3028="","",MOD(MONTH($A3028)-Setup!$B$6+12,12)+1)</f>
        <v/>
      </c>
      <c r="L3028" s="36" t="str">
        <f aca="false">IF($A3028="","",TEXT($A3028,"MMM-YY"))</f>
        <v/>
      </c>
      <c r="M3028" s="37" t="str">
        <f aca="false">IF($A3028="","",IF($Q3028=0,"UNMAPPED",INDEX(COA_Mapping!$C$7:$C$256,$Q3028)))</f>
        <v/>
      </c>
      <c r="N3028" s="38" t="str">
        <f aca="false">IF($A3028="","",IF($Q3028=0,"",INDEX(COA_Mapping!$E$7:$E$256,$Q3028)))</f>
        <v/>
      </c>
      <c r="O3028" s="38" t="n">
        <f aca="false">IF($A3028="",1,IF($Q3028=0,1,INDEX(COA_Mapping!$F$7:$F$256,$Q3028)))</f>
        <v>1</v>
      </c>
      <c r="P3028" s="34" t="str">
        <f aca="false">IF($A3028="","",$I3028*$O3028)</f>
        <v/>
      </c>
      <c r="Q3028" s="39" t="n">
        <f aca="false">IF($B3028="",0,IFERROR(MATCH($B3028,COA_Mapping!$A$7:$A$256,0),0))</f>
        <v>0</v>
      </c>
      <c r="R3028" s="39" t="n">
        <f aca="false">IF($A3028="",-1,IF($J3028=Setup!$B$7,1,IF($J3028=Setup!$B$9,0,-1)))</f>
        <v>-1</v>
      </c>
      <c r="S3028" s="35" t="n">
        <f aca="false">IF(OR($A3028="",$Q3028=0,$R3028=-1),0,$Q3028*1000+$R3028*100+$K3028)</f>
        <v>0</v>
      </c>
      <c r="T3028" s="37" t="str">
        <f aca="false">IF($A3028="","",IF($B3028="","NO ACCOUNT",IF($Q3028=0,"UNMAPPED",IF($R3028=-1,"OUTSIDE FY RANGE","OK"))))</f>
        <v/>
      </c>
      <c r="U3028" s="40" t="str">
        <f aca="false">IF($A3028="","",$B3028&amp;"|"&amp;TEXT($A3028,"yyyymmdd")&amp;"|"&amp;TEXT($I3028,"0.00"))</f>
        <v/>
      </c>
      <c r="V3028" s="35" t="str">
        <f aca="false">IF($A3028="","",COUNTIF($U$8:$U$5007,$U3028))</f>
        <v/>
      </c>
    </row>
    <row r="3029" customFormat="false" ht="15" hidden="false" customHeight="false" outlineLevel="0" collapsed="false">
      <c r="A3029" s="31"/>
      <c r="B3029" s="32"/>
      <c r="C3029" s="32"/>
      <c r="D3029" s="32"/>
      <c r="E3029" s="32"/>
      <c r="F3029" s="32"/>
      <c r="G3029" s="33"/>
      <c r="H3029" s="33"/>
      <c r="I3029" s="34" t="str">
        <f aca="false">IF($A3029="","",$G3029-$H3029)</f>
        <v/>
      </c>
      <c r="J3029" s="35" t="str">
        <f aca="false">IF($A3029="","",IF(Setup!$B$6=1,YEAR($A3029),YEAR($A3029)+IF(MONTH($A3029)&gt;=Setup!$B$6,1,0)))</f>
        <v/>
      </c>
      <c r="K3029" s="35" t="str">
        <f aca="false">IF($A3029="","",MOD(MONTH($A3029)-Setup!$B$6+12,12)+1)</f>
        <v/>
      </c>
      <c r="L3029" s="36" t="str">
        <f aca="false">IF($A3029="","",TEXT($A3029,"MMM-YY"))</f>
        <v/>
      </c>
      <c r="M3029" s="37" t="str">
        <f aca="false">IF($A3029="","",IF($Q3029=0,"UNMAPPED",INDEX(COA_Mapping!$C$7:$C$256,$Q3029)))</f>
        <v/>
      </c>
      <c r="N3029" s="38" t="str">
        <f aca="false">IF($A3029="","",IF($Q3029=0,"",INDEX(COA_Mapping!$E$7:$E$256,$Q3029)))</f>
        <v/>
      </c>
      <c r="O3029" s="38" t="n">
        <f aca="false">IF($A3029="",1,IF($Q3029=0,1,INDEX(COA_Mapping!$F$7:$F$256,$Q3029)))</f>
        <v>1</v>
      </c>
      <c r="P3029" s="34" t="str">
        <f aca="false">IF($A3029="","",$I3029*$O3029)</f>
        <v/>
      </c>
      <c r="Q3029" s="39" t="n">
        <f aca="false">IF($B3029="",0,IFERROR(MATCH($B3029,COA_Mapping!$A$7:$A$256,0),0))</f>
        <v>0</v>
      </c>
      <c r="R3029" s="39" t="n">
        <f aca="false">IF($A3029="",-1,IF($J3029=Setup!$B$7,1,IF($J3029=Setup!$B$9,0,-1)))</f>
        <v>-1</v>
      </c>
      <c r="S3029" s="35" t="n">
        <f aca="false">IF(OR($A3029="",$Q3029=0,$R3029=-1),0,$Q3029*1000+$R3029*100+$K3029)</f>
        <v>0</v>
      </c>
      <c r="T3029" s="37" t="str">
        <f aca="false">IF($A3029="","",IF($B3029="","NO ACCOUNT",IF($Q3029=0,"UNMAPPED",IF($R3029=-1,"OUTSIDE FY RANGE","OK"))))</f>
        <v/>
      </c>
      <c r="U3029" s="40" t="str">
        <f aca="false">IF($A3029="","",$B3029&amp;"|"&amp;TEXT($A3029,"yyyymmdd")&amp;"|"&amp;TEXT($I3029,"0.00"))</f>
        <v/>
      </c>
      <c r="V3029" s="35" t="str">
        <f aca="false">IF($A3029="","",COUNTIF($U$8:$U$5007,$U3029))</f>
        <v/>
      </c>
    </row>
    <row r="3030" customFormat="false" ht="15" hidden="false" customHeight="false" outlineLevel="0" collapsed="false">
      <c r="A3030" s="31"/>
      <c r="B3030" s="32"/>
      <c r="C3030" s="32"/>
      <c r="D3030" s="32"/>
      <c r="E3030" s="32"/>
      <c r="F3030" s="32"/>
      <c r="G3030" s="33"/>
      <c r="H3030" s="33"/>
      <c r="I3030" s="34" t="str">
        <f aca="false">IF($A3030="","",$G3030-$H3030)</f>
        <v/>
      </c>
      <c r="J3030" s="35" t="str">
        <f aca="false">IF($A3030="","",IF(Setup!$B$6=1,YEAR($A3030),YEAR($A3030)+IF(MONTH($A3030)&gt;=Setup!$B$6,1,0)))</f>
        <v/>
      </c>
      <c r="K3030" s="35" t="str">
        <f aca="false">IF($A3030="","",MOD(MONTH($A3030)-Setup!$B$6+12,12)+1)</f>
        <v/>
      </c>
      <c r="L3030" s="36" t="str">
        <f aca="false">IF($A3030="","",TEXT($A3030,"MMM-YY"))</f>
        <v/>
      </c>
      <c r="M3030" s="37" t="str">
        <f aca="false">IF($A3030="","",IF($Q3030=0,"UNMAPPED",INDEX(COA_Mapping!$C$7:$C$256,$Q3030)))</f>
        <v/>
      </c>
      <c r="N3030" s="38" t="str">
        <f aca="false">IF($A3030="","",IF($Q3030=0,"",INDEX(COA_Mapping!$E$7:$E$256,$Q3030)))</f>
        <v/>
      </c>
      <c r="O3030" s="38" t="n">
        <f aca="false">IF($A3030="",1,IF($Q3030=0,1,INDEX(COA_Mapping!$F$7:$F$256,$Q3030)))</f>
        <v>1</v>
      </c>
      <c r="P3030" s="34" t="str">
        <f aca="false">IF($A3030="","",$I3030*$O3030)</f>
        <v/>
      </c>
      <c r="Q3030" s="39" t="n">
        <f aca="false">IF($B3030="",0,IFERROR(MATCH($B3030,COA_Mapping!$A$7:$A$256,0),0))</f>
        <v>0</v>
      </c>
      <c r="R3030" s="39" t="n">
        <f aca="false">IF($A3030="",-1,IF($J3030=Setup!$B$7,1,IF($J3030=Setup!$B$9,0,-1)))</f>
        <v>-1</v>
      </c>
      <c r="S3030" s="35" t="n">
        <f aca="false">IF(OR($A3030="",$Q3030=0,$R3030=-1),0,$Q3030*1000+$R3030*100+$K3030)</f>
        <v>0</v>
      </c>
      <c r="T3030" s="37" t="str">
        <f aca="false">IF($A3030="","",IF($B3030="","NO ACCOUNT",IF($Q3030=0,"UNMAPPED",IF($R3030=-1,"OUTSIDE FY RANGE","OK"))))</f>
        <v/>
      </c>
      <c r="U3030" s="40" t="str">
        <f aca="false">IF($A3030="","",$B3030&amp;"|"&amp;TEXT($A3030,"yyyymmdd")&amp;"|"&amp;TEXT($I3030,"0.00"))</f>
        <v/>
      </c>
      <c r="V3030" s="35" t="str">
        <f aca="false">IF($A3030="","",COUNTIF($U$8:$U$5007,$U3030))</f>
        <v/>
      </c>
    </row>
    <row r="3031" customFormat="false" ht="15" hidden="false" customHeight="false" outlineLevel="0" collapsed="false">
      <c r="A3031" s="31"/>
      <c r="B3031" s="32"/>
      <c r="C3031" s="32"/>
      <c r="D3031" s="32"/>
      <c r="E3031" s="32"/>
      <c r="F3031" s="32"/>
      <c r="G3031" s="33"/>
      <c r="H3031" s="33"/>
      <c r="I3031" s="34" t="str">
        <f aca="false">IF($A3031="","",$G3031-$H3031)</f>
        <v/>
      </c>
      <c r="J3031" s="35" t="str">
        <f aca="false">IF($A3031="","",IF(Setup!$B$6=1,YEAR($A3031),YEAR($A3031)+IF(MONTH($A3031)&gt;=Setup!$B$6,1,0)))</f>
        <v/>
      </c>
      <c r="K3031" s="35" t="str">
        <f aca="false">IF($A3031="","",MOD(MONTH($A3031)-Setup!$B$6+12,12)+1)</f>
        <v/>
      </c>
      <c r="L3031" s="36" t="str">
        <f aca="false">IF($A3031="","",TEXT($A3031,"MMM-YY"))</f>
        <v/>
      </c>
      <c r="M3031" s="37" t="str">
        <f aca="false">IF($A3031="","",IF($Q3031=0,"UNMAPPED",INDEX(COA_Mapping!$C$7:$C$256,$Q3031)))</f>
        <v/>
      </c>
      <c r="N3031" s="38" t="str">
        <f aca="false">IF($A3031="","",IF($Q3031=0,"",INDEX(COA_Mapping!$E$7:$E$256,$Q3031)))</f>
        <v/>
      </c>
      <c r="O3031" s="38" t="n">
        <f aca="false">IF($A3031="",1,IF($Q3031=0,1,INDEX(COA_Mapping!$F$7:$F$256,$Q3031)))</f>
        <v>1</v>
      </c>
      <c r="P3031" s="34" t="str">
        <f aca="false">IF($A3031="","",$I3031*$O3031)</f>
        <v/>
      </c>
      <c r="Q3031" s="39" t="n">
        <f aca="false">IF($B3031="",0,IFERROR(MATCH($B3031,COA_Mapping!$A$7:$A$256,0),0))</f>
        <v>0</v>
      </c>
      <c r="R3031" s="39" t="n">
        <f aca="false">IF($A3031="",-1,IF($J3031=Setup!$B$7,1,IF($J3031=Setup!$B$9,0,-1)))</f>
        <v>-1</v>
      </c>
      <c r="S3031" s="35" t="n">
        <f aca="false">IF(OR($A3031="",$Q3031=0,$R3031=-1),0,$Q3031*1000+$R3031*100+$K3031)</f>
        <v>0</v>
      </c>
      <c r="T3031" s="37" t="str">
        <f aca="false">IF($A3031="","",IF($B3031="","NO ACCOUNT",IF($Q3031=0,"UNMAPPED",IF($R3031=-1,"OUTSIDE FY RANGE","OK"))))</f>
        <v/>
      </c>
      <c r="U3031" s="40" t="str">
        <f aca="false">IF($A3031="","",$B3031&amp;"|"&amp;TEXT($A3031,"yyyymmdd")&amp;"|"&amp;TEXT($I3031,"0.00"))</f>
        <v/>
      </c>
      <c r="V3031" s="35" t="str">
        <f aca="false">IF($A3031="","",COUNTIF($U$8:$U$5007,$U3031))</f>
        <v/>
      </c>
    </row>
    <row r="3032" customFormat="false" ht="15" hidden="false" customHeight="false" outlineLevel="0" collapsed="false">
      <c r="A3032" s="31"/>
      <c r="B3032" s="32"/>
      <c r="C3032" s="32"/>
      <c r="D3032" s="32"/>
      <c r="E3032" s="32"/>
      <c r="F3032" s="32"/>
      <c r="G3032" s="33"/>
      <c r="H3032" s="33"/>
      <c r="I3032" s="34" t="str">
        <f aca="false">IF($A3032="","",$G3032-$H3032)</f>
        <v/>
      </c>
      <c r="J3032" s="35" t="str">
        <f aca="false">IF($A3032="","",IF(Setup!$B$6=1,YEAR($A3032),YEAR($A3032)+IF(MONTH($A3032)&gt;=Setup!$B$6,1,0)))</f>
        <v/>
      </c>
      <c r="K3032" s="35" t="str">
        <f aca="false">IF($A3032="","",MOD(MONTH($A3032)-Setup!$B$6+12,12)+1)</f>
        <v/>
      </c>
      <c r="L3032" s="36" t="str">
        <f aca="false">IF($A3032="","",TEXT($A3032,"MMM-YY"))</f>
        <v/>
      </c>
      <c r="M3032" s="37" t="str">
        <f aca="false">IF($A3032="","",IF($Q3032=0,"UNMAPPED",INDEX(COA_Mapping!$C$7:$C$256,$Q3032)))</f>
        <v/>
      </c>
      <c r="N3032" s="38" t="str">
        <f aca="false">IF($A3032="","",IF($Q3032=0,"",INDEX(COA_Mapping!$E$7:$E$256,$Q3032)))</f>
        <v/>
      </c>
      <c r="O3032" s="38" t="n">
        <f aca="false">IF($A3032="",1,IF($Q3032=0,1,INDEX(COA_Mapping!$F$7:$F$256,$Q3032)))</f>
        <v>1</v>
      </c>
      <c r="P3032" s="34" t="str">
        <f aca="false">IF($A3032="","",$I3032*$O3032)</f>
        <v/>
      </c>
      <c r="Q3032" s="39" t="n">
        <f aca="false">IF($B3032="",0,IFERROR(MATCH($B3032,COA_Mapping!$A$7:$A$256,0),0))</f>
        <v>0</v>
      </c>
      <c r="R3032" s="39" t="n">
        <f aca="false">IF($A3032="",-1,IF($J3032=Setup!$B$7,1,IF($J3032=Setup!$B$9,0,-1)))</f>
        <v>-1</v>
      </c>
      <c r="S3032" s="35" t="n">
        <f aca="false">IF(OR($A3032="",$Q3032=0,$R3032=-1),0,$Q3032*1000+$R3032*100+$K3032)</f>
        <v>0</v>
      </c>
      <c r="T3032" s="37" t="str">
        <f aca="false">IF($A3032="","",IF($B3032="","NO ACCOUNT",IF($Q3032=0,"UNMAPPED",IF($R3032=-1,"OUTSIDE FY RANGE","OK"))))</f>
        <v/>
      </c>
      <c r="U3032" s="40" t="str">
        <f aca="false">IF($A3032="","",$B3032&amp;"|"&amp;TEXT($A3032,"yyyymmdd")&amp;"|"&amp;TEXT($I3032,"0.00"))</f>
        <v/>
      </c>
      <c r="V3032" s="35" t="str">
        <f aca="false">IF($A3032="","",COUNTIF($U$8:$U$5007,$U3032))</f>
        <v/>
      </c>
    </row>
    <row r="3033" customFormat="false" ht="15" hidden="false" customHeight="false" outlineLevel="0" collapsed="false">
      <c r="A3033" s="31"/>
      <c r="B3033" s="32"/>
      <c r="C3033" s="32"/>
      <c r="D3033" s="32"/>
      <c r="E3033" s="32"/>
      <c r="F3033" s="32"/>
      <c r="G3033" s="33"/>
      <c r="H3033" s="33"/>
      <c r="I3033" s="34" t="str">
        <f aca="false">IF($A3033="","",$G3033-$H3033)</f>
        <v/>
      </c>
      <c r="J3033" s="35" t="str">
        <f aca="false">IF($A3033="","",IF(Setup!$B$6=1,YEAR($A3033),YEAR($A3033)+IF(MONTH($A3033)&gt;=Setup!$B$6,1,0)))</f>
        <v/>
      </c>
      <c r="K3033" s="35" t="str">
        <f aca="false">IF($A3033="","",MOD(MONTH($A3033)-Setup!$B$6+12,12)+1)</f>
        <v/>
      </c>
      <c r="L3033" s="36" t="str">
        <f aca="false">IF($A3033="","",TEXT($A3033,"MMM-YY"))</f>
        <v/>
      </c>
      <c r="M3033" s="37" t="str">
        <f aca="false">IF($A3033="","",IF($Q3033=0,"UNMAPPED",INDEX(COA_Mapping!$C$7:$C$256,$Q3033)))</f>
        <v/>
      </c>
      <c r="N3033" s="38" t="str">
        <f aca="false">IF($A3033="","",IF($Q3033=0,"",INDEX(COA_Mapping!$E$7:$E$256,$Q3033)))</f>
        <v/>
      </c>
      <c r="O3033" s="38" t="n">
        <f aca="false">IF($A3033="",1,IF($Q3033=0,1,INDEX(COA_Mapping!$F$7:$F$256,$Q3033)))</f>
        <v>1</v>
      </c>
      <c r="P3033" s="34" t="str">
        <f aca="false">IF($A3033="","",$I3033*$O3033)</f>
        <v/>
      </c>
      <c r="Q3033" s="39" t="n">
        <f aca="false">IF($B3033="",0,IFERROR(MATCH($B3033,COA_Mapping!$A$7:$A$256,0),0))</f>
        <v>0</v>
      </c>
      <c r="R3033" s="39" t="n">
        <f aca="false">IF($A3033="",-1,IF($J3033=Setup!$B$7,1,IF($J3033=Setup!$B$9,0,-1)))</f>
        <v>-1</v>
      </c>
      <c r="S3033" s="35" t="n">
        <f aca="false">IF(OR($A3033="",$Q3033=0,$R3033=-1),0,$Q3033*1000+$R3033*100+$K3033)</f>
        <v>0</v>
      </c>
      <c r="T3033" s="37" t="str">
        <f aca="false">IF($A3033="","",IF($B3033="","NO ACCOUNT",IF($Q3033=0,"UNMAPPED",IF($R3033=-1,"OUTSIDE FY RANGE","OK"))))</f>
        <v/>
      </c>
      <c r="U3033" s="40" t="str">
        <f aca="false">IF($A3033="","",$B3033&amp;"|"&amp;TEXT($A3033,"yyyymmdd")&amp;"|"&amp;TEXT($I3033,"0.00"))</f>
        <v/>
      </c>
      <c r="V3033" s="35" t="str">
        <f aca="false">IF($A3033="","",COUNTIF($U$8:$U$5007,$U3033))</f>
        <v/>
      </c>
    </row>
    <row r="3034" customFormat="false" ht="15" hidden="false" customHeight="false" outlineLevel="0" collapsed="false">
      <c r="A3034" s="31"/>
      <c r="B3034" s="32"/>
      <c r="C3034" s="32"/>
      <c r="D3034" s="32"/>
      <c r="E3034" s="32"/>
      <c r="F3034" s="32"/>
      <c r="G3034" s="33"/>
      <c r="H3034" s="33"/>
      <c r="I3034" s="34" t="str">
        <f aca="false">IF($A3034="","",$G3034-$H3034)</f>
        <v/>
      </c>
      <c r="J3034" s="35" t="str">
        <f aca="false">IF($A3034="","",IF(Setup!$B$6=1,YEAR($A3034),YEAR($A3034)+IF(MONTH($A3034)&gt;=Setup!$B$6,1,0)))</f>
        <v/>
      </c>
      <c r="K3034" s="35" t="str">
        <f aca="false">IF($A3034="","",MOD(MONTH($A3034)-Setup!$B$6+12,12)+1)</f>
        <v/>
      </c>
      <c r="L3034" s="36" t="str">
        <f aca="false">IF($A3034="","",TEXT($A3034,"MMM-YY"))</f>
        <v/>
      </c>
      <c r="M3034" s="37" t="str">
        <f aca="false">IF($A3034="","",IF($Q3034=0,"UNMAPPED",INDEX(COA_Mapping!$C$7:$C$256,$Q3034)))</f>
        <v/>
      </c>
      <c r="N3034" s="38" t="str">
        <f aca="false">IF($A3034="","",IF($Q3034=0,"",INDEX(COA_Mapping!$E$7:$E$256,$Q3034)))</f>
        <v/>
      </c>
      <c r="O3034" s="38" t="n">
        <f aca="false">IF($A3034="",1,IF($Q3034=0,1,INDEX(COA_Mapping!$F$7:$F$256,$Q3034)))</f>
        <v>1</v>
      </c>
      <c r="P3034" s="34" t="str">
        <f aca="false">IF($A3034="","",$I3034*$O3034)</f>
        <v/>
      </c>
      <c r="Q3034" s="39" t="n">
        <f aca="false">IF($B3034="",0,IFERROR(MATCH($B3034,COA_Mapping!$A$7:$A$256,0),0))</f>
        <v>0</v>
      </c>
      <c r="R3034" s="39" t="n">
        <f aca="false">IF($A3034="",-1,IF($J3034=Setup!$B$7,1,IF($J3034=Setup!$B$9,0,-1)))</f>
        <v>-1</v>
      </c>
      <c r="S3034" s="35" t="n">
        <f aca="false">IF(OR($A3034="",$Q3034=0,$R3034=-1),0,$Q3034*1000+$R3034*100+$K3034)</f>
        <v>0</v>
      </c>
      <c r="T3034" s="37" t="str">
        <f aca="false">IF($A3034="","",IF($B3034="","NO ACCOUNT",IF($Q3034=0,"UNMAPPED",IF($R3034=-1,"OUTSIDE FY RANGE","OK"))))</f>
        <v/>
      </c>
      <c r="U3034" s="40" t="str">
        <f aca="false">IF($A3034="","",$B3034&amp;"|"&amp;TEXT($A3034,"yyyymmdd")&amp;"|"&amp;TEXT($I3034,"0.00"))</f>
        <v/>
      </c>
      <c r="V3034" s="35" t="str">
        <f aca="false">IF($A3034="","",COUNTIF($U$8:$U$5007,$U3034))</f>
        <v/>
      </c>
    </row>
    <row r="3035" customFormat="false" ht="15" hidden="false" customHeight="false" outlineLevel="0" collapsed="false">
      <c r="A3035" s="31"/>
      <c r="B3035" s="32"/>
      <c r="C3035" s="32"/>
      <c r="D3035" s="32"/>
      <c r="E3035" s="32"/>
      <c r="F3035" s="32"/>
      <c r="G3035" s="33"/>
      <c r="H3035" s="33"/>
      <c r="I3035" s="34" t="str">
        <f aca="false">IF($A3035="","",$G3035-$H3035)</f>
        <v/>
      </c>
      <c r="J3035" s="35" t="str">
        <f aca="false">IF($A3035="","",IF(Setup!$B$6=1,YEAR($A3035),YEAR($A3035)+IF(MONTH($A3035)&gt;=Setup!$B$6,1,0)))</f>
        <v/>
      </c>
      <c r="K3035" s="35" t="str">
        <f aca="false">IF($A3035="","",MOD(MONTH($A3035)-Setup!$B$6+12,12)+1)</f>
        <v/>
      </c>
      <c r="L3035" s="36" t="str">
        <f aca="false">IF($A3035="","",TEXT($A3035,"MMM-YY"))</f>
        <v/>
      </c>
      <c r="M3035" s="37" t="str">
        <f aca="false">IF($A3035="","",IF($Q3035=0,"UNMAPPED",INDEX(COA_Mapping!$C$7:$C$256,$Q3035)))</f>
        <v/>
      </c>
      <c r="N3035" s="38" t="str">
        <f aca="false">IF($A3035="","",IF($Q3035=0,"",INDEX(COA_Mapping!$E$7:$E$256,$Q3035)))</f>
        <v/>
      </c>
      <c r="O3035" s="38" t="n">
        <f aca="false">IF($A3035="",1,IF($Q3035=0,1,INDEX(COA_Mapping!$F$7:$F$256,$Q3035)))</f>
        <v>1</v>
      </c>
      <c r="P3035" s="34" t="str">
        <f aca="false">IF($A3035="","",$I3035*$O3035)</f>
        <v/>
      </c>
      <c r="Q3035" s="39" t="n">
        <f aca="false">IF($B3035="",0,IFERROR(MATCH($B3035,COA_Mapping!$A$7:$A$256,0),0))</f>
        <v>0</v>
      </c>
      <c r="R3035" s="39" t="n">
        <f aca="false">IF($A3035="",-1,IF($J3035=Setup!$B$7,1,IF($J3035=Setup!$B$9,0,-1)))</f>
        <v>-1</v>
      </c>
      <c r="S3035" s="35" t="n">
        <f aca="false">IF(OR($A3035="",$Q3035=0,$R3035=-1),0,$Q3035*1000+$R3035*100+$K3035)</f>
        <v>0</v>
      </c>
      <c r="T3035" s="37" t="str">
        <f aca="false">IF($A3035="","",IF($B3035="","NO ACCOUNT",IF($Q3035=0,"UNMAPPED",IF($R3035=-1,"OUTSIDE FY RANGE","OK"))))</f>
        <v/>
      </c>
      <c r="U3035" s="40" t="str">
        <f aca="false">IF($A3035="","",$B3035&amp;"|"&amp;TEXT($A3035,"yyyymmdd")&amp;"|"&amp;TEXT($I3035,"0.00"))</f>
        <v/>
      </c>
      <c r="V3035" s="35" t="str">
        <f aca="false">IF($A3035="","",COUNTIF($U$8:$U$5007,$U3035))</f>
        <v/>
      </c>
    </row>
    <row r="3036" customFormat="false" ht="15" hidden="false" customHeight="false" outlineLevel="0" collapsed="false">
      <c r="A3036" s="31"/>
      <c r="B3036" s="32"/>
      <c r="C3036" s="32"/>
      <c r="D3036" s="32"/>
      <c r="E3036" s="32"/>
      <c r="F3036" s="32"/>
      <c r="G3036" s="33"/>
      <c r="H3036" s="33"/>
      <c r="I3036" s="34" t="str">
        <f aca="false">IF($A3036="","",$G3036-$H3036)</f>
        <v/>
      </c>
      <c r="J3036" s="35" t="str">
        <f aca="false">IF($A3036="","",IF(Setup!$B$6=1,YEAR($A3036),YEAR($A3036)+IF(MONTH($A3036)&gt;=Setup!$B$6,1,0)))</f>
        <v/>
      </c>
      <c r="K3036" s="35" t="str">
        <f aca="false">IF($A3036="","",MOD(MONTH($A3036)-Setup!$B$6+12,12)+1)</f>
        <v/>
      </c>
      <c r="L3036" s="36" t="str">
        <f aca="false">IF($A3036="","",TEXT($A3036,"MMM-YY"))</f>
        <v/>
      </c>
      <c r="M3036" s="37" t="str">
        <f aca="false">IF($A3036="","",IF($Q3036=0,"UNMAPPED",INDEX(COA_Mapping!$C$7:$C$256,$Q3036)))</f>
        <v/>
      </c>
      <c r="N3036" s="38" t="str">
        <f aca="false">IF($A3036="","",IF($Q3036=0,"",INDEX(COA_Mapping!$E$7:$E$256,$Q3036)))</f>
        <v/>
      </c>
      <c r="O3036" s="38" t="n">
        <f aca="false">IF($A3036="",1,IF($Q3036=0,1,INDEX(COA_Mapping!$F$7:$F$256,$Q3036)))</f>
        <v>1</v>
      </c>
      <c r="P3036" s="34" t="str">
        <f aca="false">IF($A3036="","",$I3036*$O3036)</f>
        <v/>
      </c>
      <c r="Q3036" s="39" t="n">
        <f aca="false">IF($B3036="",0,IFERROR(MATCH($B3036,COA_Mapping!$A$7:$A$256,0),0))</f>
        <v>0</v>
      </c>
      <c r="R3036" s="39" t="n">
        <f aca="false">IF($A3036="",-1,IF($J3036=Setup!$B$7,1,IF($J3036=Setup!$B$9,0,-1)))</f>
        <v>-1</v>
      </c>
      <c r="S3036" s="35" t="n">
        <f aca="false">IF(OR($A3036="",$Q3036=0,$R3036=-1),0,$Q3036*1000+$R3036*100+$K3036)</f>
        <v>0</v>
      </c>
      <c r="T3036" s="37" t="str">
        <f aca="false">IF($A3036="","",IF($B3036="","NO ACCOUNT",IF($Q3036=0,"UNMAPPED",IF($R3036=-1,"OUTSIDE FY RANGE","OK"))))</f>
        <v/>
      </c>
      <c r="U3036" s="40" t="str">
        <f aca="false">IF($A3036="","",$B3036&amp;"|"&amp;TEXT($A3036,"yyyymmdd")&amp;"|"&amp;TEXT($I3036,"0.00"))</f>
        <v/>
      </c>
      <c r="V3036" s="35" t="str">
        <f aca="false">IF($A3036="","",COUNTIF($U$8:$U$5007,$U3036))</f>
        <v/>
      </c>
    </row>
    <row r="3037" customFormat="false" ht="15" hidden="false" customHeight="false" outlineLevel="0" collapsed="false">
      <c r="A3037" s="31"/>
      <c r="B3037" s="32"/>
      <c r="C3037" s="32"/>
      <c r="D3037" s="32"/>
      <c r="E3037" s="32"/>
      <c r="F3037" s="32"/>
      <c r="G3037" s="33"/>
      <c r="H3037" s="33"/>
      <c r="I3037" s="34" t="str">
        <f aca="false">IF($A3037="","",$G3037-$H3037)</f>
        <v/>
      </c>
      <c r="J3037" s="35" t="str">
        <f aca="false">IF($A3037="","",IF(Setup!$B$6=1,YEAR($A3037),YEAR($A3037)+IF(MONTH($A3037)&gt;=Setup!$B$6,1,0)))</f>
        <v/>
      </c>
      <c r="K3037" s="35" t="str">
        <f aca="false">IF($A3037="","",MOD(MONTH($A3037)-Setup!$B$6+12,12)+1)</f>
        <v/>
      </c>
      <c r="L3037" s="36" t="str">
        <f aca="false">IF($A3037="","",TEXT($A3037,"MMM-YY"))</f>
        <v/>
      </c>
      <c r="M3037" s="37" t="str">
        <f aca="false">IF($A3037="","",IF($Q3037=0,"UNMAPPED",INDEX(COA_Mapping!$C$7:$C$256,$Q3037)))</f>
        <v/>
      </c>
      <c r="N3037" s="38" t="str">
        <f aca="false">IF($A3037="","",IF($Q3037=0,"",INDEX(COA_Mapping!$E$7:$E$256,$Q3037)))</f>
        <v/>
      </c>
      <c r="O3037" s="38" t="n">
        <f aca="false">IF($A3037="",1,IF($Q3037=0,1,INDEX(COA_Mapping!$F$7:$F$256,$Q3037)))</f>
        <v>1</v>
      </c>
      <c r="P3037" s="34" t="str">
        <f aca="false">IF($A3037="","",$I3037*$O3037)</f>
        <v/>
      </c>
      <c r="Q3037" s="39" t="n">
        <f aca="false">IF($B3037="",0,IFERROR(MATCH($B3037,COA_Mapping!$A$7:$A$256,0),0))</f>
        <v>0</v>
      </c>
      <c r="R3037" s="39" t="n">
        <f aca="false">IF($A3037="",-1,IF($J3037=Setup!$B$7,1,IF($J3037=Setup!$B$9,0,-1)))</f>
        <v>-1</v>
      </c>
      <c r="S3037" s="35" t="n">
        <f aca="false">IF(OR($A3037="",$Q3037=0,$R3037=-1),0,$Q3037*1000+$R3037*100+$K3037)</f>
        <v>0</v>
      </c>
      <c r="T3037" s="37" t="str">
        <f aca="false">IF($A3037="","",IF($B3037="","NO ACCOUNT",IF($Q3037=0,"UNMAPPED",IF($R3037=-1,"OUTSIDE FY RANGE","OK"))))</f>
        <v/>
      </c>
      <c r="U3037" s="40" t="str">
        <f aca="false">IF($A3037="","",$B3037&amp;"|"&amp;TEXT($A3037,"yyyymmdd")&amp;"|"&amp;TEXT($I3037,"0.00"))</f>
        <v/>
      </c>
      <c r="V3037" s="35" t="str">
        <f aca="false">IF($A3037="","",COUNTIF($U$8:$U$5007,$U3037))</f>
        <v/>
      </c>
    </row>
    <row r="3038" customFormat="false" ht="15" hidden="false" customHeight="false" outlineLevel="0" collapsed="false">
      <c r="A3038" s="31"/>
      <c r="B3038" s="32"/>
      <c r="C3038" s="32"/>
      <c r="D3038" s="32"/>
      <c r="E3038" s="32"/>
      <c r="F3038" s="32"/>
      <c r="G3038" s="33"/>
      <c r="H3038" s="33"/>
      <c r="I3038" s="34" t="str">
        <f aca="false">IF($A3038="","",$G3038-$H3038)</f>
        <v/>
      </c>
      <c r="J3038" s="35" t="str">
        <f aca="false">IF($A3038="","",IF(Setup!$B$6=1,YEAR($A3038),YEAR($A3038)+IF(MONTH($A3038)&gt;=Setup!$B$6,1,0)))</f>
        <v/>
      </c>
      <c r="K3038" s="35" t="str">
        <f aca="false">IF($A3038="","",MOD(MONTH($A3038)-Setup!$B$6+12,12)+1)</f>
        <v/>
      </c>
      <c r="L3038" s="36" t="str">
        <f aca="false">IF($A3038="","",TEXT($A3038,"MMM-YY"))</f>
        <v/>
      </c>
      <c r="M3038" s="37" t="str">
        <f aca="false">IF($A3038="","",IF($Q3038=0,"UNMAPPED",INDEX(COA_Mapping!$C$7:$C$256,$Q3038)))</f>
        <v/>
      </c>
      <c r="N3038" s="38" t="str">
        <f aca="false">IF($A3038="","",IF($Q3038=0,"",INDEX(COA_Mapping!$E$7:$E$256,$Q3038)))</f>
        <v/>
      </c>
      <c r="O3038" s="38" t="n">
        <f aca="false">IF($A3038="",1,IF($Q3038=0,1,INDEX(COA_Mapping!$F$7:$F$256,$Q3038)))</f>
        <v>1</v>
      </c>
      <c r="P3038" s="34" t="str">
        <f aca="false">IF($A3038="","",$I3038*$O3038)</f>
        <v/>
      </c>
      <c r="Q3038" s="39" t="n">
        <f aca="false">IF($B3038="",0,IFERROR(MATCH($B3038,COA_Mapping!$A$7:$A$256,0),0))</f>
        <v>0</v>
      </c>
      <c r="R3038" s="39" t="n">
        <f aca="false">IF($A3038="",-1,IF($J3038=Setup!$B$7,1,IF($J3038=Setup!$B$9,0,-1)))</f>
        <v>-1</v>
      </c>
      <c r="S3038" s="35" t="n">
        <f aca="false">IF(OR($A3038="",$Q3038=0,$R3038=-1),0,$Q3038*1000+$R3038*100+$K3038)</f>
        <v>0</v>
      </c>
      <c r="T3038" s="37" t="str">
        <f aca="false">IF($A3038="","",IF($B3038="","NO ACCOUNT",IF($Q3038=0,"UNMAPPED",IF($R3038=-1,"OUTSIDE FY RANGE","OK"))))</f>
        <v/>
      </c>
      <c r="U3038" s="40" t="str">
        <f aca="false">IF($A3038="","",$B3038&amp;"|"&amp;TEXT($A3038,"yyyymmdd")&amp;"|"&amp;TEXT($I3038,"0.00"))</f>
        <v/>
      </c>
      <c r="V3038" s="35" t="str">
        <f aca="false">IF($A3038="","",COUNTIF($U$8:$U$5007,$U3038))</f>
        <v/>
      </c>
    </row>
    <row r="3039" customFormat="false" ht="15" hidden="false" customHeight="false" outlineLevel="0" collapsed="false">
      <c r="A3039" s="31"/>
      <c r="B3039" s="32"/>
      <c r="C3039" s="32"/>
      <c r="D3039" s="32"/>
      <c r="E3039" s="32"/>
      <c r="F3039" s="32"/>
      <c r="G3039" s="33"/>
      <c r="H3039" s="33"/>
      <c r="I3039" s="34" t="str">
        <f aca="false">IF($A3039="","",$G3039-$H3039)</f>
        <v/>
      </c>
      <c r="J3039" s="35" t="str">
        <f aca="false">IF($A3039="","",IF(Setup!$B$6=1,YEAR($A3039),YEAR($A3039)+IF(MONTH($A3039)&gt;=Setup!$B$6,1,0)))</f>
        <v/>
      </c>
      <c r="K3039" s="35" t="str">
        <f aca="false">IF($A3039="","",MOD(MONTH($A3039)-Setup!$B$6+12,12)+1)</f>
        <v/>
      </c>
      <c r="L3039" s="36" t="str">
        <f aca="false">IF($A3039="","",TEXT($A3039,"MMM-YY"))</f>
        <v/>
      </c>
      <c r="M3039" s="37" t="str">
        <f aca="false">IF($A3039="","",IF($Q3039=0,"UNMAPPED",INDEX(COA_Mapping!$C$7:$C$256,$Q3039)))</f>
        <v/>
      </c>
      <c r="N3039" s="38" t="str">
        <f aca="false">IF($A3039="","",IF($Q3039=0,"",INDEX(COA_Mapping!$E$7:$E$256,$Q3039)))</f>
        <v/>
      </c>
      <c r="O3039" s="38" t="n">
        <f aca="false">IF($A3039="",1,IF($Q3039=0,1,INDEX(COA_Mapping!$F$7:$F$256,$Q3039)))</f>
        <v>1</v>
      </c>
      <c r="P3039" s="34" t="str">
        <f aca="false">IF($A3039="","",$I3039*$O3039)</f>
        <v/>
      </c>
      <c r="Q3039" s="39" t="n">
        <f aca="false">IF($B3039="",0,IFERROR(MATCH($B3039,COA_Mapping!$A$7:$A$256,0),0))</f>
        <v>0</v>
      </c>
      <c r="R3039" s="39" t="n">
        <f aca="false">IF($A3039="",-1,IF($J3039=Setup!$B$7,1,IF($J3039=Setup!$B$9,0,-1)))</f>
        <v>-1</v>
      </c>
      <c r="S3039" s="35" t="n">
        <f aca="false">IF(OR($A3039="",$Q3039=0,$R3039=-1),0,$Q3039*1000+$R3039*100+$K3039)</f>
        <v>0</v>
      </c>
      <c r="T3039" s="37" t="str">
        <f aca="false">IF($A3039="","",IF($B3039="","NO ACCOUNT",IF($Q3039=0,"UNMAPPED",IF($R3039=-1,"OUTSIDE FY RANGE","OK"))))</f>
        <v/>
      </c>
      <c r="U3039" s="40" t="str">
        <f aca="false">IF($A3039="","",$B3039&amp;"|"&amp;TEXT($A3039,"yyyymmdd")&amp;"|"&amp;TEXT($I3039,"0.00"))</f>
        <v/>
      </c>
      <c r="V3039" s="35" t="str">
        <f aca="false">IF($A3039="","",COUNTIF($U$8:$U$5007,$U3039))</f>
        <v/>
      </c>
    </row>
    <row r="3040" customFormat="false" ht="15" hidden="false" customHeight="false" outlineLevel="0" collapsed="false">
      <c r="A3040" s="31"/>
      <c r="B3040" s="32"/>
      <c r="C3040" s="32"/>
      <c r="D3040" s="32"/>
      <c r="E3040" s="32"/>
      <c r="F3040" s="32"/>
      <c r="G3040" s="33"/>
      <c r="H3040" s="33"/>
      <c r="I3040" s="34" t="str">
        <f aca="false">IF($A3040="","",$G3040-$H3040)</f>
        <v/>
      </c>
      <c r="J3040" s="35" t="str">
        <f aca="false">IF($A3040="","",IF(Setup!$B$6=1,YEAR($A3040),YEAR($A3040)+IF(MONTH($A3040)&gt;=Setup!$B$6,1,0)))</f>
        <v/>
      </c>
      <c r="K3040" s="35" t="str">
        <f aca="false">IF($A3040="","",MOD(MONTH($A3040)-Setup!$B$6+12,12)+1)</f>
        <v/>
      </c>
      <c r="L3040" s="36" t="str">
        <f aca="false">IF($A3040="","",TEXT($A3040,"MMM-YY"))</f>
        <v/>
      </c>
      <c r="M3040" s="37" t="str">
        <f aca="false">IF($A3040="","",IF($Q3040=0,"UNMAPPED",INDEX(COA_Mapping!$C$7:$C$256,$Q3040)))</f>
        <v/>
      </c>
      <c r="N3040" s="38" t="str">
        <f aca="false">IF($A3040="","",IF($Q3040=0,"",INDEX(COA_Mapping!$E$7:$E$256,$Q3040)))</f>
        <v/>
      </c>
      <c r="O3040" s="38" t="n">
        <f aca="false">IF($A3040="",1,IF($Q3040=0,1,INDEX(COA_Mapping!$F$7:$F$256,$Q3040)))</f>
        <v>1</v>
      </c>
      <c r="P3040" s="34" t="str">
        <f aca="false">IF($A3040="","",$I3040*$O3040)</f>
        <v/>
      </c>
      <c r="Q3040" s="39" t="n">
        <f aca="false">IF($B3040="",0,IFERROR(MATCH($B3040,COA_Mapping!$A$7:$A$256,0),0))</f>
        <v>0</v>
      </c>
      <c r="R3040" s="39" t="n">
        <f aca="false">IF($A3040="",-1,IF($J3040=Setup!$B$7,1,IF($J3040=Setup!$B$9,0,-1)))</f>
        <v>-1</v>
      </c>
      <c r="S3040" s="35" t="n">
        <f aca="false">IF(OR($A3040="",$Q3040=0,$R3040=-1),0,$Q3040*1000+$R3040*100+$K3040)</f>
        <v>0</v>
      </c>
      <c r="T3040" s="37" t="str">
        <f aca="false">IF($A3040="","",IF($B3040="","NO ACCOUNT",IF($Q3040=0,"UNMAPPED",IF($R3040=-1,"OUTSIDE FY RANGE","OK"))))</f>
        <v/>
      </c>
      <c r="U3040" s="40" t="str">
        <f aca="false">IF($A3040="","",$B3040&amp;"|"&amp;TEXT($A3040,"yyyymmdd")&amp;"|"&amp;TEXT($I3040,"0.00"))</f>
        <v/>
      </c>
      <c r="V3040" s="35" t="str">
        <f aca="false">IF($A3040="","",COUNTIF($U$8:$U$5007,$U3040))</f>
        <v/>
      </c>
    </row>
    <row r="3041" customFormat="false" ht="15" hidden="false" customHeight="false" outlineLevel="0" collapsed="false">
      <c r="A3041" s="31"/>
      <c r="B3041" s="32"/>
      <c r="C3041" s="32"/>
      <c r="D3041" s="32"/>
      <c r="E3041" s="32"/>
      <c r="F3041" s="32"/>
      <c r="G3041" s="33"/>
      <c r="H3041" s="33"/>
      <c r="I3041" s="34" t="str">
        <f aca="false">IF($A3041="","",$G3041-$H3041)</f>
        <v/>
      </c>
      <c r="J3041" s="35" t="str">
        <f aca="false">IF($A3041="","",IF(Setup!$B$6=1,YEAR($A3041),YEAR($A3041)+IF(MONTH($A3041)&gt;=Setup!$B$6,1,0)))</f>
        <v/>
      </c>
      <c r="K3041" s="35" t="str">
        <f aca="false">IF($A3041="","",MOD(MONTH($A3041)-Setup!$B$6+12,12)+1)</f>
        <v/>
      </c>
      <c r="L3041" s="36" t="str">
        <f aca="false">IF($A3041="","",TEXT($A3041,"MMM-YY"))</f>
        <v/>
      </c>
      <c r="M3041" s="37" t="str">
        <f aca="false">IF($A3041="","",IF($Q3041=0,"UNMAPPED",INDEX(COA_Mapping!$C$7:$C$256,$Q3041)))</f>
        <v/>
      </c>
      <c r="N3041" s="38" t="str">
        <f aca="false">IF($A3041="","",IF($Q3041=0,"",INDEX(COA_Mapping!$E$7:$E$256,$Q3041)))</f>
        <v/>
      </c>
      <c r="O3041" s="38" t="n">
        <f aca="false">IF($A3041="",1,IF($Q3041=0,1,INDEX(COA_Mapping!$F$7:$F$256,$Q3041)))</f>
        <v>1</v>
      </c>
      <c r="P3041" s="34" t="str">
        <f aca="false">IF($A3041="","",$I3041*$O3041)</f>
        <v/>
      </c>
      <c r="Q3041" s="39" t="n">
        <f aca="false">IF($B3041="",0,IFERROR(MATCH($B3041,COA_Mapping!$A$7:$A$256,0),0))</f>
        <v>0</v>
      </c>
      <c r="R3041" s="39" t="n">
        <f aca="false">IF($A3041="",-1,IF($J3041=Setup!$B$7,1,IF($J3041=Setup!$B$9,0,-1)))</f>
        <v>-1</v>
      </c>
      <c r="S3041" s="35" t="n">
        <f aca="false">IF(OR($A3041="",$Q3041=0,$R3041=-1),0,$Q3041*1000+$R3041*100+$K3041)</f>
        <v>0</v>
      </c>
      <c r="T3041" s="37" t="str">
        <f aca="false">IF($A3041="","",IF($B3041="","NO ACCOUNT",IF($Q3041=0,"UNMAPPED",IF($R3041=-1,"OUTSIDE FY RANGE","OK"))))</f>
        <v/>
      </c>
      <c r="U3041" s="40" t="str">
        <f aca="false">IF($A3041="","",$B3041&amp;"|"&amp;TEXT($A3041,"yyyymmdd")&amp;"|"&amp;TEXT($I3041,"0.00"))</f>
        <v/>
      </c>
      <c r="V3041" s="35" t="str">
        <f aca="false">IF($A3041="","",COUNTIF($U$8:$U$5007,$U3041))</f>
        <v/>
      </c>
    </row>
    <row r="3042" customFormat="false" ht="15" hidden="false" customHeight="false" outlineLevel="0" collapsed="false">
      <c r="A3042" s="31"/>
      <c r="B3042" s="32"/>
      <c r="C3042" s="32"/>
      <c r="D3042" s="32"/>
      <c r="E3042" s="32"/>
      <c r="F3042" s="32"/>
      <c r="G3042" s="33"/>
      <c r="H3042" s="33"/>
      <c r="I3042" s="34" t="str">
        <f aca="false">IF($A3042="","",$G3042-$H3042)</f>
        <v/>
      </c>
      <c r="J3042" s="35" t="str">
        <f aca="false">IF($A3042="","",IF(Setup!$B$6=1,YEAR($A3042),YEAR($A3042)+IF(MONTH($A3042)&gt;=Setup!$B$6,1,0)))</f>
        <v/>
      </c>
      <c r="K3042" s="35" t="str">
        <f aca="false">IF($A3042="","",MOD(MONTH($A3042)-Setup!$B$6+12,12)+1)</f>
        <v/>
      </c>
      <c r="L3042" s="36" t="str">
        <f aca="false">IF($A3042="","",TEXT($A3042,"MMM-YY"))</f>
        <v/>
      </c>
      <c r="M3042" s="37" t="str">
        <f aca="false">IF($A3042="","",IF($Q3042=0,"UNMAPPED",INDEX(COA_Mapping!$C$7:$C$256,$Q3042)))</f>
        <v/>
      </c>
      <c r="N3042" s="38" t="str">
        <f aca="false">IF($A3042="","",IF($Q3042=0,"",INDEX(COA_Mapping!$E$7:$E$256,$Q3042)))</f>
        <v/>
      </c>
      <c r="O3042" s="38" t="n">
        <f aca="false">IF($A3042="",1,IF($Q3042=0,1,INDEX(COA_Mapping!$F$7:$F$256,$Q3042)))</f>
        <v>1</v>
      </c>
      <c r="P3042" s="34" t="str">
        <f aca="false">IF($A3042="","",$I3042*$O3042)</f>
        <v/>
      </c>
      <c r="Q3042" s="39" t="n">
        <f aca="false">IF($B3042="",0,IFERROR(MATCH($B3042,COA_Mapping!$A$7:$A$256,0),0))</f>
        <v>0</v>
      </c>
      <c r="R3042" s="39" t="n">
        <f aca="false">IF($A3042="",-1,IF($J3042=Setup!$B$7,1,IF($J3042=Setup!$B$9,0,-1)))</f>
        <v>-1</v>
      </c>
      <c r="S3042" s="35" t="n">
        <f aca="false">IF(OR($A3042="",$Q3042=0,$R3042=-1),0,$Q3042*1000+$R3042*100+$K3042)</f>
        <v>0</v>
      </c>
      <c r="T3042" s="37" t="str">
        <f aca="false">IF($A3042="","",IF($B3042="","NO ACCOUNT",IF($Q3042=0,"UNMAPPED",IF($R3042=-1,"OUTSIDE FY RANGE","OK"))))</f>
        <v/>
      </c>
      <c r="U3042" s="40" t="str">
        <f aca="false">IF($A3042="","",$B3042&amp;"|"&amp;TEXT($A3042,"yyyymmdd")&amp;"|"&amp;TEXT($I3042,"0.00"))</f>
        <v/>
      </c>
      <c r="V3042" s="35" t="str">
        <f aca="false">IF($A3042="","",COUNTIF($U$8:$U$5007,$U3042))</f>
        <v/>
      </c>
    </row>
    <row r="3043" customFormat="false" ht="15" hidden="false" customHeight="false" outlineLevel="0" collapsed="false">
      <c r="A3043" s="31"/>
      <c r="B3043" s="32"/>
      <c r="C3043" s="32"/>
      <c r="D3043" s="32"/>
      <c r="E3043" s="32"/>
      <c r="F3043" s="32"/>
      <c r="G3043" s="33"/>
      <c r="H3043" s="33"/>
      <c r="I3043" s="34" t="str">
        <f aca="false">IF($A3043="","",$G3043-$H3043)</f>
        <v/>
      </c>
      <c r="J3043" s="35" t="str">
        <f aca="false">IF($A3043="","",IF(Setup!$B$6=1,YEAR($A3043),YEAR($A3043)+IF(MONTH($A3043)&gt;=Setup!$B$6,1,0)))</f>
        <v/>
      </c>
      <c r="K3043" s="35" t="str">
        <f aca="false">IF($A3043="","",MOD(MONTH($A3043)-Setup!$B$6+12,12)+1)</f>
        <v/>
      </c>
      <c r="L3043" s="36" t="str">
        <f aca="false">IF($A3043="","",TEXT($A3043,"MMM-YY"))</f>
        <v/>
      </c>
      <c r="M3043" s="37" t="str">
        <f aca="false">IF($A3043="","",IF($Q3043=0,"UNMAPPED",INDEX(COA_Mapping!$C$7:$C$256,$Q3043)))</f>
        <v/>
      </c>
      <c r="N3043" s="38" t="str">
        <f aca="false">IF($A3043="","",IF($Q3043=0,"",INDEX(COA_Mapping!$E$7:$E$256,$Q3043)))</f>
        <v/>
      </c>
      <c r="O3043" s="38" t="n">
        <f aca="false">IF($A3043="",1,IF($Q3043=0,1,INDEX(COA_Mapping!$F$7:$F$256,$Q3043)))</f>
        <v>1</v>
      </c>
      <c r="P3043" s="34" t="str">
        <f aca="false">IF($A3043="","",$I3043*$O3043)</f>
        <v/>
      </c>
      <c r="Q3043" s="39" t="n">
        <f aca="false">IF($B3043="",0,IFERROR(MATCH($B3043,COA_Mapping!$A$7:$A$256,0),0))</f>
        <v>0</v>
      </c>
      <c r="R3043" s="39" t="n">
        <f aca="false">IF($A3043="",-1,IF($J3043=Setup!$B$7,1,IF($J3043=Setup!$B$9,0,-1)))</f>
        <v>-1</v>
      </c>
      <c r="S3043" s="35" t="n">
        <f aca="false">IF(OR($A3043="",$Q3043=0,$R3043=-1),0,$Q3043*1000+$R3043*100+$K3043)</f>
        <v>0</v>
      </c>
      <c r="T3043" s="37" t="str">
        <f aca="false">IF($A3043="","",IF($B3043="","NO ACCOUNT",IF($Q3043=0,"UNMAPPED",IF($R3043=-1,"OUTSIDE FY RANGE","OK"))))</f>
        <v/>
      </c>
      <c r="U3043" s="40" t="str">
        <f aca="false">IF($A3043="","",$B3043&amp;"|"&amp;TEXT($A3043,"yyyymmdd")&amp;"|"&amp;TEXT($I3043,"0.00"))</f>
        <v/>
      </c>
      <c r="V3043" s="35" t="str">
        <f aca="false">IF($A3043="","",COUNTIF($U$8:$U$5007,$U3043))</f>
        <v/>
      </c>
    </row>
    <row r="3044" customFormat="false" ht="15" hidden="false" customHeight="false" outlineLevel="0" collapsed="false">
      <c r="A3044" s="31"/>
      <c r="B3044" s="32"/>
      <c r="C3044" s="32"/>
      <c r="D3044" s="32"/>
      <c r="E3044" s="32"/>
      <c r="F3044" s="32"/>
      <c r="G3044" s="33"/>
      <c r="H3044" s="33"/>
      <c r="I3044" s="34" t="str">
        <f aca="false">IF($A3044="","",$G3044-$H3044)</f>
        <v/>
      </c>
      <c r="J3044" s="35" t="str">
        <f aca="false">IF($A3044="","",IF(Setup!$B$6=1,YEAR($A3044),YEAR($A3044)+IF(MONTH($A3044)&gt;=Setup!$B$6,1,0)))</f>
        <v/>
      </c>
      <c r="K3044" s="35" t="str">
        <f aca="false">IF($A3044="","",MOD(MONTH($A3044)-Setup!$B$6+12,12)+1)</f>
        <v/>
      </c>
      <c r="L3044" s="36" t="str">
        <f aca="false">IF($A3044="","",TEXT($A3044,"MMM-YY"))</f>
        <v/>
      </c>
      <c r="M3044" s="37" t="str">
        <f aca="false">IF($A3044="","",IF($Q3044=0,"UNMAPPED",INDEX(COA_Mapping!$C$7:$C$256,$Q3044)))</f>
        <v/>
      </c>
      <c r="N3044" s="38" t="str">
        <f aca="false">IF($A3044="","",IF($Q3044=0,"",INDEX(COA_Mapping!$E$7:$E$256,$Q3044)))</f>
        <v/>
      </c>
      <c r="O3044" s="38" t="n">
        <f aca="false">IF($A3044="",1,IF($Q3044=0,1,INDEX(COA_Mapping!$F$7:$F$256,$Q3044)))</f>
        <v>1</v>
      </c>
      <c r="P3044" s="34" t="str">
        <f aca="false">IF($A3044="","",$I3044*$O3044)</f>
        <v/>
      </c>
      <c r="Q3044" s="39" t="n">
        <f aca="false">IF($B3044="",0,IFERROR(MATCH($B3044,COA_Mapping!$A$7:$A$256,0),0))</f>
        <v>0</v>
      </c>
      <c r="R3044" s="39" t="n">
        <f aca="false">IF($A3044="",-1,IF($J3044=Setup!$B$7,1,IF($J3044=Setup!$B$9,0,-1)))</f>
        <v>-1</v>
      </c>
      <c r="S3044" s="35" t="n">
        <f aca="false">IF(OR($A3044="",$Q3044=0,$R3044=-1),0,$Q3044*1000+$R3044*100+$K3044)</f>
        <v>0</v>
      </c>
      <c r="T3044" s="37" t="str">
        <f aca="false">IF($A3044="","",IF($B3044="","NO ACCOUNT",IF($Q3044=0,"UNMAPPED",IF($R3044=-1,"OUTSIDE FY RANGE","OK"))))</f>
        <v/>
      </c>
      <c r="U3044" s="40" t="str">
        <f aca="false">IF($A3044="","",$B3044&amp;"|"&amp;TEXT($A3044,"yyyymmdd")&amp;"|"&amp;TEXT($I3044,"0.00"))</f>
        <v/>
      </c>
      <c r="V3044" s="35" t="str">
        <f aca="false">IF($A3044="","",COUNTIF($U$8:$U$5007,$U3044))</f>
        <v/>
      </c>
    </row>
    <row r="3045" customFormat="false" ht="15" hidden="false" customHeight="false" outlineLevel="0" collapsed="false">
      <c r="A3045" s="31"/>
      <c r="B3045" s="32"/>
      <c r="C3045" s="32"/>
      <c r="D3045" s="32"/>
      <c r="E3045" s="32"/>
      <c r="F3045" s="32"/>
      <c r="G3045" s="33"/>
      <c r="H3045" s="33"/>
      <c r="I3045" s="34" t="str">
        <f aca="false">IF($A3045="","",$G3045-$H3045)</f>
        <v/>
      </c>
      <c r="J3045" s="35" t="str">
        <f aca="false">IF($A3045="","",IF(Setup!$B$6=1,YEAR($A3045),YEAR($A3045)+IF(MONTH($A3045)&gt;=Setup!$B$6,1,0)))</f>
        <v/>
      </c>
      <c r="K3045" s="35" t="str">
        <f aca="false">IF($A3045="","",MOD(MONTH($A3045)-Setup!$B$6+12,12)+1)</f>
        <v/>
      </c>
      <c r="L3045" s="36" t="str">
        <f aca="false">IF($A3045="","",TEXT($A3045,"MMM-YY"))</f>
        <v/>
      </c>
      <c r="M3045" s="37" t="str">
        <f aca="false">IF($A3045="","",IF($Q3045=0,"UNMAPPED",INDEX(COA_Mapping!$C$7:$C$256,$Q3045)))</f>
        <v/>
      </c>
      <c r="N3045" s="38" t="str">
        <f aca="false">IF($A3045="","",IF($Q3045=0,"",INDEX(COA_Mapping!$E$7:$E$256,$Q3045)))</f>
        <v/>
      </c>
      <c r="O3045" s="38" t="n">
        <f aca="false">IF($A3045="",1,IF($Q3045=0,1,INDEX(COA_Mapping!$F$7:$F$256,$Q3045)))</f>
        <v>1</v>
      </c>
      <c r="P3045" s="34" t="str">
        <f aca="false">IF($A3045="","",$I3045*$O3045)</f>
        <v/>
      </c>
      <c r="Q3045" s="39" t="n">
        <f aca="false">IF($B3045="",0,IFERROR(MATCH($B3045,COA_Mapping!$A$7:$A$256,0),0))</f>
        <v>0</v>
      </c>
      <c r="R3045" s="39" t="n">
        <f aca="false">IF($A3045="",-1,IF($J3045=Setup!$B$7,1,IF($J3045=Setup!$B$9,0,-1)))</f>
        <v>-1</v>
      </c>
      <c r="S3045" s="35" t="n">
        <f aca="false">IF(OR($A3045="",$Q3045=0,$R3045=-1),0,$Q3045*1000+$R3045*100+$K3045)</f>
        <v>0</v>
      </c>
      <c r="T3045" s="37" t="str">
        <f aca="false">IF($A3045="","",IF($B3045="","NO ACCOUNT",IF($Q3045=0,"UNMAPPED",IF($R3045=-1,"OUTSIDE FY RANGE","OK"))))</f>
        <v/>
      </c>
      <c r="U3045" s="40" t="str">
        <f aca="false">IF($A3045="","",$B3045&amp;"|"&amp;TEXT($A3045,"yyyymmdd")&amp;"|"&amp;TEXT($I3045,"0.00"))</f>
        <v/>
      </c>
      <c r="V3045" s="35" t="str">
        <f aca="false">IF($A3045="","",COUNTIF($U$8:$U$5007,$U3045))</f>
        <v/>
      </c>
    </row>
    <row r="3046" customFormat="false" ht="15" hidden="false" customHeight="false" outlineLevel="0" collapsed="false">
      <c r="A3046" s="31"/>
      <c r="B3046" s="32"/>
      <c r="C3046" s="32"/>
      <c r="D3046" s="32"/>
      <c r="E3046" s="32"/>
      <c r="F3046" s="32"/>
      <c r="G3046" s="33"/>
      <c r="H3046" s="33"/>
      <c r="I3046" s="34" t="str">
        <f aca="false">IF($A3046="","",$G3046-$H3046)</f>
        <v/>
      </c>
      <c r="J3046" s="35" t="str">
        <f aca="false">IF($A3046="","",IF(Setup!$B$6=1,YEAR($A3046),YEAR($A3046)+IF(MONTH($A3046)&gt;=Setup!$B$6,1,0)))</f>
        <v/>
      </c>
      <c r="K3046" s="35" t="str">
        <f aca="false">IF($A3046="","",MOD(MONTH($A3046)-Setup!$B$6+12,12)+1)</f>
        <v/>
      </c>
      <c r="L3046" s="36" t="str">
        <f aca="false">IF($A3046="","",TEXT($A3046,"MMM-YY"))</f>
        <v/>
      </c>
      <c r="M3046" s="37" t="str">
        <f aca="false">IF($A3046="","",IF($Q3046=0,"UNMAPPED",INDEX(COA_Mapping!$C$7:$C$256,$Q3046)))</f>
        <v/>
      </c>
      <c r="N3046" s="38" t="str">
        <f aca="false">IF($A3046="","",IF($Q3046=0,"",INDEX(COA_Mapping!$E$7:$E$256,$Q3046)))</f>
        <v/>
      </c>
      <c r="O3046" s="38" t="n">
        <f aca="false">IF($A3046="",1,IF($Q3046=0,1,INDEX(COA_Mapping!$F$7:$F$256,$Q3046)))</f>
        <v>1</v>
      </c>
      <c r="P3046" s="34" t="str">
        <f aca="false">IF($A3046="","",$I3046*$O3046)</f>
        <v/>
      </c>
      <c r="Q3046" s="39" t="n">
        <f aca="false">IF($B3046="",0,IFERROR(MATCH($B3046,COA_Mapping!$A$7:$A$256,0),0))</f>
        <v>0</v>
      </c>
      <c r="R3046" s="39" t="n">
        <f aca="false">IF($A3046="",-1,IF($J3046=Setup!$B$7,1,IF($J3046=Setup!$B$9,0,-1)))</f>
        <v>-1</v>
      </c>
      <c r="S3046" s="35" t="n">
        <f aca="false">IF(OR($A3046="",$Q3046=0,$R3046=-1),0,$Q3046*1000+$R3046*100+$K3046)</f>
        <v>0</v>
      </c>
      <c r="T3046" s="37" t="str">
        <f aca="false">IF($A3046="","",IF($B3046="","NO ACCOUNT",IF($Q3046=0,"UNMAPPED",IF($R3046=-1,"OUTSIDE FY RANGE","OK"))))</f>
        <v/>
      </c>
      <c r="U3046" s="40" t="str">
        <f aca="false">IF($A3046="","",$B3046&amp;"|"&amp;TEXT($A3046,"yyyymmdd")&amp;"|"&amp;TEXT($I3046,"0.00"))</f>
        <v/>
      </c>
      <c r="V3046" s="35" t="str">
        <f aca="false">IF($A3046="","",COUNTIF($U$8:$U$5007,$U3046))</f>
        <v/>
      </c>
    </row>
    <row r="3047" customFormat="false" ht="15" hidden="false" customHeight="false" outlineLevel="0" collapsed="false">
      <c r="A3047" s="31"/>
      <c r="B3047" s="32"/>
      <c r="C3047" s="32"/>
      <c r="D3047" s="32"/>
      <c r="E3047" s="32"/>
      <c r="F3047" s="32"/>
      <c r="G3047" s="33"/>
      <c r="H3047" s="33"/>
      <c r="I3047" s="34" t="str">
        <f aca="false">IF($A3047="","",$G3047-$H3047)</f>
        <v/>
      </c>
      <c r="J3047" s="35" t="str">
        <f aca="false">IF($A3047="","",IF(Setup!$B$6=1,YEAR($A3047),YEAR($A3047)+IF(MONTH($A3047)&gt;=Setup!$B$6,1,0)))</f>
        <v/>
      </c>
      <c r="K3047" s="35" t="str">
        <f aca="false">IF($A3047="","",MOD(MONTH($A3047)-Setup!$B$6+12,12)+1)</f>
        <v/>
      </c>
      <c r="L3047" s="36" t="str">
        <f aca="false">IF($A3047="","",TEXT($A3047,"MMM-YY"))</f>
        <v/>
      </c>
      <c r="M3047" s="37" t="str">
        <f aca="false">IF($A3047="","",IF($Q3047=0,"UNMAPPED",INDEX(COA_Mapping!$C$7:$C$256,$Q3047)))</f>
        <v/>
      </c>
      <c r="N3047" s="38" t="str">
        <f aca="false">IF($A3047="","",IF($Q3047=0,"",INDEX(COA_Mapping!$E$7:$E$256,$Q3047)))</f>
        <v/>
      </c>
      <c r="O3047" s="38" t="n">
        <f aca="false">IF($A3047="",1,IF($Q3047=0,1,INDEX(COA_Mapping!$F$7:$F$256,$Q3047)))</f>
        <v>1</v>
      </c>
      <c r="P3047" s="34" t="str">
        <f aca="false">IF($A3047="","",$I3047*$O3047)</f>
        <v/>
      </c>
      <c r="Q3047" s="39" t="n">
        <f aca="false">IF($B3047="",0,IFERROR(MATCH($B3047,COA_Mapping!$A$7:$A$256,0),0))</f>
        <v>0</v>
      </c>
      <c r="R3047" s="39" t="n">
        <f aca="false">IF($A3047="",-1,IF($J3047=Setup!$B$7,1,IF($J3047=Setup!$B$9,0,-1)))</f>
        <v>-1</v>
      </c>
      <c r="S3047" s="35" t="n">
        <f aca="false">IF(OR($A3047="",$Q3047=0,$R3047=-1),0,$Q3047*1000+$R3047*100+$K3047)</f>
        <v>0</v>
      </c>
      <c r="T3047" s="37" t="str">
        <f aca="false">IF($A3047="","",IF($B3047="","NO ACCOUNT",IF($Q3047=0,"UNMAPPED",IF($R3047=-1,"OUTSIDE FY RANGE","OK"))))</f>
        <v/>
      </c>
      <c r="U3047" s="40" t="str">
        <f aca="false">IF($A3047="","",$B3047&amp;"|"&amp;TEXT($A3047,"yyyymmdd")&amp;"|"&amp;TEXT($I3047,"0.00"))</f>
        <v/>
      </c>
      <c r="V3047" s="35" t="str">
        <f aca="false">IF($A3047="","",COUNTIF($U$8:$U$5007,$U3047))</f>
        <v/>
      </c>
    </row>
    <row r="3048" customFormat="false" ht="15" hidden="false" customHeight="false" outlineLevel="0" collapsed="false">
      <c r="A3048" s="31"/>
      <c r="B3048" s="32"/>
      <c r="C3048" s="32"/>
      <c r="D3048" s="32"/>
      <c r="E3048" s="32"/>
      <c r="F3048" s="32"/>
      <c r="G3048" s="33"/>
      <c r="H3048" s="33"/>
      <c r="I3048" s="34" t="str">
        <f aca="false">IF($A3048="","",$G3048-$H3048)</f>
        <v/>
      </c>
      <c r="J3048" s="35" t="str">
        <f aca="false">IF($A3048="","",IF(Setup!$B$6=1,YEAR($A3048),YEAR($A3048)+IF(MONTH($A3048)&gt;=Setup!$B$6,1,0)))</f>
        <v/>
      </c>
      <c r="K3048" s="35" t="str">
        <f aca="false">IF($A3048="","",MOD(MONTH($A3048)-Setup!$B$6+12,12)+1)</f>
        <v/>
      </c>
      <c r="L3048" s="36" t="str">
        <f aca="false">IF($A3048="","",TEXT($A3048,"MMM-YY"))</f>
        <v/>
      </c>
      <c r="M3048" s="37" t="str">
        <f aca="false">IF($A3048="","",IF($Q3048=0,"UNMAPPED",INDEX(COA_Mapping!$C$7:$C$256,$Q3048)))</f>
        <v/>
      </c>
      <c r="N3048" s="38" t="str">
        <f aca="false">IF($A3048="","",IF($Q3048=0,"",INDEX(COA_Mapping!$E$7:$E$256,$Q3048)))</f>
        <v/>
      </c>
      <c r="O3048" s="38" t="n">
        <f aca="false">IF($A3048="",1,IF($Q3048=0,1,INDEX(COA_Mapping!$F$7:$F$256,$Q3048)))</f>
        <v>1</v>
      </c>
      <c r="P3048" s="34" t="str">
        <f aca="false">IF($A3048="","",$I3048*$O3048)</f>
        <v/>
      </c>
      <c r="Q3048" s="39" t="n">
        <f aca="false">IF($B3048="",0,IFERROR(MATCH($B3048,COA_Mapping!$A$7:$A$256,0),0))</f>
        <v>0</v>
      </c>
      <c r="R3048" s="39" t="n">
        <f aca="false">IF($A3048="",-1,IF($J3048=Setup!$B$7,1,IF($J3048=Setup!$B$9,0,-1)))</f>
        <v>-1</v>
      </c>
      <c r="S3048" s="35" t="n">
        <f aca="false">IF(OR($A3048="",$Q3048=0,$R3048=-1),0,$Q3048*1000+$R3048*100+$K3048)</f>
        <v>0</v>
      </c>
      <c r="T3048" s="37" t="str">
        <f aca="false">IF($A3048="","",IF($B3048="","NO ACCOUNT",IF($Q3048=0,"UNMAPPED",IF($R3048=-1,"OUTSIDE FY RANGE","OK"))))</f>
        <v/>
      </c>
      <c r="U3048" s="40" t="str">
        <f aca="false">IF($A3048="","",$B3048&amp;"|"&amp;TEXT($A3048,"yyyymmdd")&amp;"|"&amp;TEXT($I3048,"0.00"))</f>
        <v/>
      </c>
      <c r="V3048" s="35" t="str">
        <f aca="false">IF($A3048="","",COUNTIF($U$8:$U$5007,$U3048))</f>
        <v/>
      </c>
    </row>
    <row r="3049" customFormat="false" ht="15" hidden="false" customHeight="false" outlineLevel="0" collapsed="false">
      <c r="A3049" s="31"/>
      <c r="B3049" s="32"/>
      <c r="C3049" s="32"/>
      <c r="D3049" s="32"/>
      <c r="E3049" s="32"/>
      <c r="F3049" s="32"/>
      <c r="G3049" s="33"/>
      <c r="H3049" s="33"/>
      <c r="I3049" s="34" t="str">
        <f aca="false">IF($A3049="","",$G3049-$H3049)</f>
        <v/>
      </c>
      <c r="J3049" s="35" t="str">
        <f aca="false">IF($A3049="","",IF(Setup!$B$6=1,YEAR($A3049),YEAR($A3049)+IF(MONTH($A3049)&gt;=Setup!$B$6,1,0)))</f>
        <v/>
      </c>
      <c r="K3049" s="35" t="str">
        <f aca="false">IF($A3049="","",MOD(MONTH($A3049)-Setup!$B$6+12,12)+1)</f>
        <v/>
      </c>
      <c r="L3049" s="36" t="str">
        <f aca="false">IF($A3049="","",TEXT($A3049,"MMM-YY"))</f>
        <v/>
      </c>
      <c r="M3049" s="37" t="str">
        <f aca="false">IF($A3049="","",IF($Q3049=0,"UNMAPPED",INDEX(COA_Mapping!$C$7:$C$256,$Q3049)))</f>
        <v/>
      </c>
      <c r="N3049" s="38" t="str">
        <f aca="false">IF($A3049="","",IF($Q3049=0,"",INDEX(COA_Mapping!$E$7:$E$256,$Q3049)))</f>
        <v/>
      </c>
      <c r="O3049" s="38" t="n">
        <f aca="false">IF($A3049="",1,IF($Q3049=0,1,INDEX(COA_Mapping!$F$7:$F$256,$Q3049)))</f>
        <v>1</v>
      </c>
      <c r="P3049" s="34" t="str">
        <f aca="false">IF($A3049="","",$I3049*$O3049)</f>
        <v/>
      </c>
      <c r="Q3049" s="39" t="n">
        <f aca="false">IF($B3049="",0,IFERROR(MATCH($B3049,COA_Mapping!$A$7:$A$256,0),0))</f>
        <v>0</v>
      </c>
      <c r="R3049" s="39" t="n">
        <f aca="false">IF($A3049="",-1,IF($J3049=Setup!$B$7,1,IF($J3049=Setup!$B$9,0,-1)))</f>
        <v>-1</v>
      </c>
      <c r="S3049" s="35" t="n">
        <f aca="false">IF(OR($A3049="",$Q3049=0,$R3049=-1),0,$Q3049*1000+$R3049*100+$K3049)</f>
        <v>0</v>
      </c>
      <c r="T3049" s="37" t="str">
        <f aca="false">IF($A3049="","",IF($B3049="","NO ACCOUNT",IF($Q3049=0,"UNMAPPED",IF($R3049=-1,"OUTSIDE FY RANGE","OK"))))</f>
        <v/>
      </c>
      <c r="U3049" s="40" t="str">
        <f aca="false">IF($A3049="","",$B3049&amp;"|"&amp;TEXT($A3049,"yyyymmdd")&amp;"|"&amp;TEXT($I3049,"0.00"))</f>
        <v/>
      </c>
      <c r="V3049" s="35" t="str">
        <f aca="false">IF($A3049="","",COUNTIF($U$8:$U$5007,$U3049))</f>
        <v/>
      </c>
    </row>
    <row r="3050" customFormat="false" ht="15" hidden="false" customHeight="false" outlineLevel="0" collapsed="false">
      <c r="A3050" s="31"/>
      <c r="B3050" s="32"/>
      <c r="C3050" s="32"/>
      <c r="D3050" s="32"/>
      <c r="E3050" s="32"/>
      <c r="F3050" s="32"/>
      <c r="G3050" s="33"/>
      <c r="H3050" s="33"/>
      <c r="I3050" s="34" t="str">
        <f aca="false">IF($A3050="","",$G3050-$H3050)</f>
        <v/>
      </c>
      <c r="J3050" s="35" t="str">
        <f aca="false">IF($A3050="","",IF(Setup!$B$6=1,YEAR($A3050),YEAR($A3050)+IF(MONTH($A3050)&gt;=Setup!$B$6,1,0)))</f>
        <v/>
      </c>
      <c r="K3050" s="35" t="str">
        <f aca="false">IF($A3050="","",MOD(MONTH($A3050)-Setup!$B$6+12,12)+1)</f>
        <v/>
      </c>
      <c r="L3050" s="36" t="str">
        <f aca="false">IF($A3050="","",TEXT($A3050,"MMM-YY"))</f>
        <v/>
      </c>
      <c r="M3050" s="37" t="str">
        <f aca="false">IF($A3050="","",IF($Q3050=0,"UNMAPPED",INDEX(COA_Mapping!$C$7:$C$256,$Q3050)))</f>
        <v/>
      </c>
      <c r="N3050" s="38" t="str">
        <f aca="false">IF($A3050="","",IF($Q3050=0,"",INDEX(COA_Mapping!$E$7:$E$256,$Q3050)))</f>
        <v/>
      </c>
      <c r="O3050" s="38" t="n">
        <f aca="false">IF($A3050="",1,IF($Q3050=0,1,INDEX(COA_Mapping!$F$7:$F$256,$Q3050)))</f>
        <v>1</v>
      </c>
      <c r="P3050" s="34" t="str">
        <f aca="false">IF($A3050="","",$I3050*$O3050)</f>
        <v/>
      </c>
      <c r="Q3050" s="39" t="n">
        <f aca="false">IF($B3050="",0,IFERROR(MATCH($B3050,COA_Mapping!$A$7:$A$256,0),0))</f>
        <v>0</v>
      </c>
      <c r="R3050" s="39" t="n">
        <f aca="false">IF($A3050="",-1,IF($J3050=Setup!$B$7,1,IF($J3050=Setup!$B$9,0,-1)))</f>
        <v>-1</v>
      </c>
      <c r="S3050" s="35" t="n">
        <f aca="false">IF(OR($A3050="",$Q3050=0,$R3050=-1),0,$Q3050*1000+$R3050*100+$K3050)</f>
        <v>0</v>
      </c>
      <c r="T3050" s="37" t="str">
        <f aca="false">IF($A3050="","",IF($B3050="","NO ACCOUNT",IF($Q3050=0,"UNMAPPED",IF($R3050=-1,"OUTSIDE FY RANGE","OK"))))</f>
        <v/>
      </c>
      <c r="U3050" s="40" t="str">
        <f aca="false">IF($A3050="","",$B3050&amp;"|"&amp;TEXT($A3050,"yyyymmdd")&amp;"|"&amp;TEXT($I3050,"0.00"))</f>
        <v/>
      </c>
      <c r="V3050" s="35" t="str">
        <f aca="false">IF($A3050="","",COUNTIF($U$8:$U$5007,$U3050))</f>
        <v/>
      </c>
    </row>
    <row r="3051" customFormat="false" ht="15" hidden="false" customHeight="false" outlineLevel="0" collapsed="false">
      <c r="A3051" s="31"/>
      <c r="B3051" s="32"/>
      <c r="C3051" s="32"/>
      <c r="D3051" s="32"/>
      <c r="E3051" s="32"/>
      <c r="F3051" s="32"/>
      <c r="G3051" s="33"/>
      <c r="H3051" s="33"/>
      <c r="I3051" s="34" t="str">
        <f aca="false">IF($A3051="","",$G3051-$H3051)</f>
        <v/>
      </c>
      <c r="J3051" s="35" t="str">
        <f aca="false">IF($A3051="","",IF(Setup!$B$6=1,YEAR($A3051),YEAR($A3051)+IF(MONTH($A3051)&gt;=Setup!$B$6,1,0)))</f>
        <v/>
      </c>
      <c r="K3051" s="35" t="str">
        <f aca="false">IF($A3051="","",MOD(MONTH($A3051)-Setup!$B$6+12,12)+1)</f>
        <v/>
      </c>
      <c r="L3051" s="36" t="str">
        <f aca="false">IF($A3051="","",TEXT($A3051,"MMM-YY"))</f>
        <v/>
      </c>
      <c r="M3051" s="37" t="str">
        <f aca="false">IF($A3051="","",IF($Q3051=0,"UNMAPPED",INDEX(COA_Mapping!$C$7:$C$256,$Q3051)))</f>
        <v/>
      </c>
      <c r="N3051" s="38" t="str">
        <f aca="false">IF($A3051="","",IF($Q3051=0,"",INDEX(COA_Mapping!$E$7:$E$256,$Q3051)))</f>
        <v/>
      </c>
      <c r="O3051" s="38" t="n">
        <f aca="false">IF($A3051="",1,IF($Q3051=0,1,INDEX(COA_Mapping!$F$7:$F$256,$Q3051)))</f>
        <v>1</v>
      </c>
      <c r="P3051" s="34" t="str">
        <f aca="false">IF($A3051="","",$I3051*$O3051)</f>
        <v/>
      </c>
      <c r="Q3051" s="39" t="n">
        <f aca="false">IF($B3051="",0,IFERROR(MATCH($B3051,COA_Mapping!$A$7:$A$256,0),0))</f>
        <v>0</v>
      </c>
      <c r="R3051" s="39" t="n">
        <f aca="false">IF($A3051="",-1,IF($J3051=Setup!$B$7,1,IF($J3051=Setup!$B$9,0,-1)))</f>
        <v>-1</v>
      </c>
      <c r="S3051" s="35" t="n">
        <f aca="false">IF(OR($A3051="",$Q3051=0,$R3051=-1),0,$Q3051*1000+$R3051*100+$K3051)</f>
        <v>0</v>
      </c>
      <c r="T3051" s="37" t="str">
        <f aca="false">IF($A3051="","",IF($B3051="","NO ACCOUNT",IF($Q3051=0,"UNMAPPED",IF($R3051=-1,"OUTSIDE FY RANGE","OK"))))</f>
        <v/>
      </c>
      <c r="U3051" s="40" t="str">
        <f aca="false">IF($A3051="","",$B3051&amp;"|"&amp;TEXT($A3051,"yyyymmdd")&amp;"|"&amp;TEXT($I3051,"0.00"))</f>
        <v/>
      </c>
      <c r="V3051" s="35" t="str">
        <f aca="false">IF($A3051="","",COUNTIF($U$8:$U$5007,$U3051))</f>
        <v/>
      </c>
    </row>
    <row r="3052" customFormat="false" ht="15" hidden="false" customHeight="false" outlineLevel="0" collapsed="false">
      <c r="A3052" s="31"/>
      <c r="B3052" s="32"/>
      <c r="C3052" s="32"/>
      <c r="D3052" s="32"/>
      <c r="E3052" s="32"/>
      <c r="F3052" s="32"/>
      <c r="G3052" s="33"/>
      <c r="H3052" s="33"/>
      <c r="I3052" s="34" t="str">
        <f aca="false">IF($A3052="","",$G3052-$H3052)</f>
        <v/>
      </c>
      <c r="J3052" s="35" t="str">
        <f aca="false">IF($A3052="","",IF(Setup!$B$6=1,YEAR($A3052),YEAR($A3052)+IF(MONTH($A3052)&gt;=Setup!$B$6,1,0)))</f>
        <v/>
      </c>
      <c r="K3052" s="35" t="str">
        <f aca="false">IF($A3052="","",MOD(MONTH($A3052)-Setup!$B$6+12,12)+1)</f>
        <v/>
      </c>
      <c r="L3052" s="36" t="str">
        <f aca="false">IF($A3052="","",TEXT($A3052,"MMM-YY"))</f>
        <v/>
      </c>
      <c r="M3052" s="37" t="str">
        <f aca="false">IF($A3052="","",IF($Q3052=0,"UNMAPPED",INDEX(COA_Mapping!$C$7:$C$256,$Q3052)))</f>
        <v/>
      </c>
      <c r="N3052" s="38" t="str">
        <f aca="false">IF($A3052="","",IF($Q3052=0,"",INDEX(COA_Mapping!$E$7:$E$256,$Q3052)))</f>
        <v/>
      </c>
      <c r="O3052" s="38" t="n">
        <f aca="false">IF($A3052="",1,IF($Q3052=0,1,INDEX(COA_Mapping!$F$7:$F$256,$Q3052)))</f>
        <v>1</v>
      </c>
      <c r="P3052" s="34" t="str">
        <f aca="false">IF($A3052="","",$I3052*$O3052)</f>
        <v/>
      </c>
      <c r="Q3052" s="39" t="n">
        <f aca="false">IF($B3052="",0,IFERROR(MATCH($B3052,COA_Mapping!$A$7:$A$256,0),0))</f>
        <v>0</v>
      </c>
      <c r="R3052" s="39" t="n">
        <f aca="false">IF($A3052="",-1,IF($J3052=Setup!$B$7,1,IF($J3052=Setup!$B$9,0,-1)))</f>
        <v>-1</v>
      </c>
      <c r="S3052" s="35" t="n">
        <f aca="false">IF(OR($A3052="",$Q3052=0,$R3052=-1),0,$Q3052*1000+$R3052*100+$K3052)</f>
        <v>0</v>
      </c>
      <c r="T3052" s="37" t="str">
        <f aca="false">IF($A3052="","",IF($B3052="","NO ACCOUNT",IF($Q3052=0,"UNMAPPED",IF($R3052=-1,"OUTSIDE FY RANGE","OK"))))</f>
        <v/>
      </c>
      <c r="U3052" s="40" t="str">
        <f aca="false">IF($A3052="","",$B3052&amp;"|"&amp;TEXT($A3052,"yyyymmdd")&amp;"|"&amp;TEXT($I3052,"0.00"))</f>
        <v/>
      </c>
      <c r="V3052" s="35" t="str">
        <f aca="false">IF($A3052="","",COUNTIF($U$8:$U$5007,$U3052))</f>
        <v/>
      </c>
    </row>
    <row r="3053" customFormat="false" ht="15" hidden="false" customHeight="false" outlineLevel="0" collapsed="false">
      <c r="A3053" s="31"/>
      <c r="B3053" s="32"/>
      <c r="C3053" s="32"/>
      <c r="D3053" s="32"/>
      <c r="E3053" s="32"/>
      <c r="F3053" s="32"/>
      <c r="G3053" s="33"/>
      <c r="H3053" s="33"/>
      <c r="I3053" s="34" t="str">
        <f aca="false">IF($A3053="","",$G3053-$H3053)</f>
        <v/>
      </c>
      <c r="J3053" s="35" t="str">
        <f aca="false">IF($A3053="","",IF(Setup!$B$6=1,YEAR($A3053),YEAR($A3053)+IF(MONTH($A3053)&gt;=Setup!$B$6,1,0)))</f>
        <v/>
      </c>
      <c r="K3053" s="35" t="str">
        <f aca="false">IF($A3053="","",MOD(MONTH($A3053)-Setup!$B$6+12,12)+1)</f>
        <v/>
      </c>
      <c r="L3053" s="36" t="str">
        <f aca="false">IF($A3053="","",TEXT($A3053,"MMM-YY"))</f>
        <v/>
      </c>
      <c r="M3053" s="37" t="str">
        <f aca="false">IF($A3053="","",IF($Q3053=0,"UNMAPPED",INDEX(COA_Mapping!$C$7:$C$256,$Q3053)))</f>
        <v/>
      </c>
      <c r="N3053" s="38" t="str">
        <f aca="false">IF($A3053="","",IF($Q3053=0,"",INDEX(COA_Mapping!$E$7:$E$256,$Q3053)))</f>
        <v/>
      </c>
      <c r="O3053" s="38" t="n">
        <f aca="false">IF($A3053="",1,IF($Q3053=0,1,INDEX(COA_Mapping!$F$7:$F$256,$Q3053)))</f>
        <v>1</v>
      </c>
      <c r="P3053" s="34" t="str">
        <f aca="false">IF($A3053="","",$I3053*$O3053)</f>
        <v/>
      </c>
      <c r="Q3053" s="39" t="n">
        <f aca="false">IF($B3053="",0,IFERROR(MATCH($B3053,COA_Mapping!$A$7:$A$256,0),0))</f>
        <v>0</v>
      </c>
      <c r="R3053" s="39" t="n">
        <f aca="false">IF($A3053="",-1,IF($J3053=Setup!$B$7,1,IF($J3053=Setup!$B$9,0,-1)))</f>
        <v>-1</v>
      </c>
      <c r="S3053" s="35" t="n">
        <f aca="false">IF(OR($A3053="",$Q3053=0,$R3053=-1),0,$Q3053*1000+$R3053*100+$K3053)</f>
        <v>0</v>
      </c>
      <c r="T3053" s="37" t="str">
        <f aca="false">IF($A3053="","",IF($B3053="","NO ACCOUNT",IF($Q3053=0,"UNMAPPED",IF($R3053=-1,"OUTSIDE FY RANGE","OK"))))</f>
        <v/>
      </c>
      <c r="U3053" s="40" t="str">
        <f aca="false">IF($A3053="","",$B3053&amp;"|"&amp;TEXT($A3053,"yyyymmdd")&amp;"|"&amp;TEXT($I3053,"0.00"))</f>
        <v/>
      </c>
      <c r="V3053" s="35" t="str">
        <f aca="false">IF($A3053="","",COUNTIF($U$8:$U$5007,$U3053))</f>
        <v/>
      </c>
    </row>
    <row r="3054" customFormat="false" ht="15" hidden="false" customHeight="false" outlineLevel="0" collapsed="false">
      <c r="A3054" s="31"/>
      <c r="B3054" s="32"/>
      <c r="C3054" s="32"/>
      <c r="D3054" s="32"/>
      <c r="E3054" s="32"/>
      <c r="F3054" s="32"/>
      <c r="G3054" s="33"/>
      <c r="H3054" s="33"/>
      <c r="I3054" s="34" t="str">
        <f aca="false">IF($A3054="","",$G3054-$H3054)</f>
        <v/>
      </c>
      <c r="J3054" s="35" t="str">
        <f aca="false">IF($A3054="","",IF(Setup!$B$6=1,YEAR($A3054),YEAR($A3054)+IF(MONTH($A3054)&gt;=Setup!$B$6,1,0)))</f>
        <v/>
      </c>
      <c r="K3054" s="35" t="str">
        <f aca="false">IF($A3054="","",MOD(MONTH($A3054)-Setup!$B$6+12,12)+1)</f>
        <v/>
      </c>
      <c r="L3054" s="36" t="str">
        <f aca="false">IF($A3054="","",TEXT($A3054,"MMM-YY"))</f>
        <v/>
      </c>
      <c r="M3054" s="37" t="str">
        <f aca="false">IF($A3054="","",IF($Q3054=0,"UNMAPPED",INDEX(COA_Mapping!$C$7:$C$256,$Q3054)))</f>
        <v/>
      </c>
      <c r="N3054" s="38" t="str">
        <f aca="false">IF($A3054="","",IF($Q3054=0,"",INDEX(COA_Mapping!$E$7:$E$256,$Q3054)))</f>
        <v/>
      </c>
      <c r="O3054" s="38" t="n">
        <f aca="false">IF($A3054="",1,IF($Q3054=0,1,INDEX(COA_Mapping!$F$7:$F$256,$Q3054)))</f>
        <v>1</v>
      </c>
      <c r="P3054" s="34" t="str">
        <f aca="false">IF($A3054="","",$I3054*$O3054)</f>
        <v/>
      </c>
      <c r="Q3054" s="39" t="n">
        <f aca="false">IF($B3054="",0,IFERROR(MATCH($B3054,COA_Mapping!$A$7:$A$256,0),0))</f>
        <v>0</v>
      </c>
      <c r="R3054" s="39" t="n">
        <f aca="false">IF($A3054="",-1,IF($J3054=Setup!$B$7,1,IF($J3054=Setup!$B$9,0,-1)))</f>
        <v>-1</v>
      </c>
      <c r="S3054" s="35" t="n">
        <f aca="false">IF(OR($A3054="",$Q3054=0,$R3054=-1),0,$Q3054*1000+$R3054*100+$K3054)</f>
        <v>0</v>
      </c>
      <c r="T3054" s="37" t="str">
        <f aca="false">IF($A3054="","",IF($B3054="","NO ACCOUNT",IF($Q3054=0,"UNMAPPED",IF($R3054=-1,"OUTSIDE FY RANGE","OK"))))</f>
        <v/>
      </c>
      <c r="U3054" s="40" t="str">
        <f aca="false">IF($A3054="","",$B3054&amp;"|"&amp;TEXT($A3054,"yyyymmdd")&amp;"|"&amp;TEXT($I3054,"0.00"))</f>
        <v/>
      </c>
      <c r="V3054" s="35" t="str">
        <f aca="false">IF($A3054="","",COUNTIF($U$8:$U$5007,$U3054))</f>
        <v/>
      </c>
    </row>
    <row r="3055" customFormat="false" ht="15" hidden="false" customHeight="false" outlineLevel="0" collapsed="false">
      <c r="A3055" s="31"/>
      <c r="B3055" s="32"/>
      <c r="C3055" s="32"/>
      <c r="D3055" s="32"/>
      <c r="E3055" s="32"/>
      <c r="F3055" s="32"/>
      <c r="G3055" s="33"/>
      <c r="H3055" s="33"/>
      <c r="I3055" s="34" t="str">
        <f aca="false">IF($A3055="","",$G3055-$H3055)</f>
        <v/>
      </c>
      <c r="J3055" s="35" t="str">
        <f aca="false">IF($A3055="","",IF(Setup!$B$6=1,YEAR($A3055),YEAR($A3055)+IF(MONTH($A3055)&gt;=Setup!$B$6,1,0)))</f>
        <v/>
      </c>
      <c r="K3055" s="35" t="str">
        <f aca="false">IF($A3055="","",MOD(MONTH($A3055)-Setup!$B$6+12,12)+1)</f>
        <v/>
      </c>
      <c r="L3055" s="36" t="str">
        <f aca="false">IF($A3055="","",TEXT($A3055,"MMM-YY"))</f>
        <v/>
      </c>
      <c r="M3055" s="37" t="str">
        <f aca="false">IF($A3055="","",IF($Q3055=0,"UNMAPPED",INDEX(COA_Mapping!$C$7:$C$256,$Q3055)))</f>
        <v/>
      </c>
      <c r="N3055" s="38" t="str">
        <f aca="false">IF($A3055="","",IF($Q3055=0,"",INDEX(COA_Mapping!$E$7:$E$256,$Q3055)))</f>
        <v/>
      </c>
      <c r="O3055" s="38" t="n">
        <f aca="false">IF($A3055="",1,IF($Q3055=0,1,INDEX(COA_Mapping!$F$7:$F$256,$Q3055)))</f>
        <v>1</v>
      </c>
      <c r="P3055" s="34" t="str">
        <f aca="false">IF($A3055="","",$I3055*$O3055)</f>
        <v/>
      </c>
      <c r="Q3055" s="39" t="n">
        <f aca="false">IF($B3055="",0,IFERROR(MATCH($B3055,COA_Mapping!$A$7:$A$256,0),0))</f>
        <v>0</v>
      </c>
      <c r="R3055" s="39" t="n">
        <f aca="false">IF($A3055="",-1,IF($J3055=Setup!$B$7,1,IF($J3055=Setup!$B$9,0,-1)))</f>
        <v>-1</v>
      </c>
      <c r="S3055" s="35" t="n">
        <f aca="false">IF(OR($A3055="",$Q3055=0,$R3055=-1),0,$Q3055*1000+$R3055*100+$K3055)</f>
        <v>0</v>
      </c>
      <c r="T3055" s="37" t="str">
        <f aca="false">IF($A3055="","",IF($B3055="","NO ACCOUNT",IF($Q3055=0,"UNMAPPED",IF($R3055=-1,"OUTSIDE FY RANGE","OK"))))</f>
        <v/>
      </c>
      <c r="U3055" s="40" t="str">
        <f aca="false">IF($A3055="","",$B3055&amp;"|"&amp;TEXT($A3055,"yyyymmdd")&amp;"|"&amp;TEXT($I3055,"0.00"))</f>
        <v/>
      </c>
      <c r="V3055" s="35" t="str">
        <f aca="false">IF($A3055="","",COUNTIF($U$8:$U$5007,$U3055))</f>
        <v/>
      </c>
    </row>
    <row r="3056" customFormat="false" ht="15" hidden="false" customHeight="false" outlineLevel="0" collapsed="false">
      <c r="A3056" s="31"/>
      <c r="B3056" s="32"/>
      <c r="C3056" s="32"/>
      <c r="D3056" s="32"/>
      <c r="E3056" s="32"/>
      <c r="F3056" s="32"/>
      <c r="G3056" s="33"/>
      <c r="H3056" s="33"/>
      <c r="I3056" s="34" t="str">
        <f aca="false">IF($A3056="","",$G3056-$H3056)</f>
        <v/>
      </c>
      <c r="J3056" s="35" t="str">
        <f aca="false">IF($A3056="","",IF(Setup!$B$6=1,YEAR($A3056),YEAR($A3056)+IF(MONTH($A3056)&gt;=Setup!$B$6,1,0)))</f>
        <v/>
      </c>
      <c r="K3056" s="35" t="str">
        <f aca="false">IF($A3056="","",MOD(MONTH($A3056)-Setup!$B$6+12,12)+1)</f>
        <v/>
      </c>
      <c r="L3056" s="36" t="str">
        <f aca="false">IF($A3056="","",TEXT($A3056,"MMM-YY"))</f>
        <v/>
      </c>
      <c r="M3056" s="37" t="str">
        <f aca="false">IF($A3056="","",IF($Q3056=0,"UNMAPPED",INDEX(COA_Mapping!$C$7:$C$256,$Q3056)))</f>
        <v/>
      </c>
      <c r="N3056" s="38" t="str">
        <f aca="false">IF($A3056="","",IF($Q3056=0,"",INDEX(COA_Mapping!$E$7:$E$256,$Q3056)))</f>
        <v/>
      </c>
      <c r="O3056" s="38" t="n">
        <f aca="false">IF($A3056="",1,IF($Q3056=0,1,INDEX(COA_Mapping!$F$7:$F$256,$Q3056)))</f>
        <v>1</v>
      </c>
      <c r="P3056" s="34" t="str">
        <f aca="false">IF($A3056="","",$I3056*$O3056)</f>
        <v/>
      </c>
      <c r="Q3056" s="39" t="n">
        <f aca="false">IF($B3056="",0,IFERROR(MATCH($B3056,COA_Mapping!$A$7:$A$256,0),0))</f>
        <v>0</v>
      </c>
      <c r="R3056" s="39" t="n">
        <f aca="false">IF($A3056="",-1,IF($J3056=Setup!$B$7,1,IF($J3056=Setup!$B$9,0,-1)))</f>
        <v>-1</v>
      </c>
      <c r="S3056" s="35" t="n">
        <f aca="false">IF(OR($A3056="",$Q3056=0,$R3056=-1),0,$Q3056*1000+$R3056*100+$K3056)</f>
        <v>0</v>
      </c>
      <c r="T3056" s="37" t="str">
        <f aca="false">IF($A3056="","",IF($B3056="","NO ACCOUNT",IF($Q3056=0,"UNMAPPED",IF($R3056=-1,"OUTSIDE FY RANGE","OK"))))</f>
        <v/>
      </c>
      <c r="U3056" s="40" t="str">
        <f aca="false">IF($A3056="","",$B3056&amp;"|"&amp;TEXT($A3056,"yyyymmdd")&amp;"|"&amp;TEXT($I3056,"0.00"))</f>
        <v/>
      </c>
      <c r="V3056" s="35" t="str">
        <f aca="false">IF($A3056="","",COUNTIF($U$8:$U$5007,$U3056))</f>
        <v/>
      </c>
    </row>
    <row r="3057" customFormat="false" ht="15" hidden="false" customHeight="false" outlineLevel="0" collapsed="false">
      <c r="A3057" s="31"/>
      <c r="B3057" s="32"/>
      <c r="C3057" s="32"/>
      <c r="D3057" s="32"/>
      <c r="E3057" s="32"/>
      <c r="F3057" s="32"/>
      <c r="G3057" s="33"/>
      <c r="H3057" s="33"/>
      <c r="I3057" s="34" t="str">
        <f aca="false">IF($A3057="","",$G3057-$H3057)</f>
        <v/>
      </c>
      <c r="J3057" s="35" t="str">
        <f aca="false">IF($A3057="","",IF(Setup!$B$6=1,YEAR($A3057),YEAR($A3057)+IF(MONTH($A3057)&gt;=Setup!$B$6,1,0)))</f>
        <v/>
      </c>
      <c r="K3057" s="35" t="str">
        <f aca="false">IF($A3057="","",MOD(MONTH($A3057)-Setup!$B$6+12,12)+1)</f>
        <v/>
      </c>
      <c r="L3057" s="36" t="str">
        <f aca="false">IF($A3057="","",TEXT($A3057,"MMM-YY"))</f>
        <v/>
      </c>
      <c r="M3057" s="37" t="str">
        <f aca="false">IF($A3057="","",IF($Q3057=0,"UNMAPPED",INDEX(COA_Mapping!$C$7:$C$256,$Q3057)))</f>
        <v/>
      </c>
      <c r="N3057" s="38" t="str">
        <f aca="false">IF($A3057="","",IF($Q3057=0,"",INDEX(COA_Mapping!$E$7:$E$256,$Q3057)))</f>
        <v/>
      </c>
      <c r="O3057" s="38" t="n">
        <f aca="false">IF($A3057="",1,IF($Q3057=0,1,INDEX(COA_Mapping!$F$7:$F$256,$Q3057)))</f>
        <v>1</v>
      </c>
      <c r="P3057" s="34" t="str">
        <f aca="false">IF($A3057="","",$I3057*$O3057)</f>
        <v/>
      </c>
      <c r="Q3057" s="39" t="n">
        <f aca="false">IF($B3057="",0,IFERROR(MATCH($B3057,COA_Mapping!$A$7:$A$256,0),0))</f>
        <v>0</v>
      </c>
      <c r="R3057" s="39" t="n">
        <f aca="false">IF($A3057="",-1,IF($J3057=Setup!$B$7,1,IF($J3057=Setup!$B$9,0,-1)))</f>
        <v>-1</v>
      </c>
      <c r="S3057" s="35" t="n">
        <f aca="false">IF(OR($A3057="",$Q3057=0,$R3057=-1),0,$Q3057*1000+$R3057*100+$K3057)</f>
        <v>0</v>
      </c>
      <c r="T3057" s="37" t="str">
        <f aca="false">IF($A3057="","",IF($B3057="","NO ACCOUNT",IF($Q3057=0,"UNMAPPED",IF($R3057=-1,"OUTSIDE FY RANGE","OK"))))</f>
        <v/>
      </c>
      <c r="U3057" s="40" t="str">
        <f aca="false">IF($A3057="","",$B3057&amp;"|"&amp;TEXT($A3057,"yyyymmdd")&amp;"|"&amp;TEXT($I3057,"0.00"))</f>
        <v/>
      </c>
      <c r="V3057" s="35" t="str">
        <f aca="false">IF($A3057="","",COUNTIF($U$8:$U$5007,$U3057))</f>
        <v/>
      </c>
    </row>
    <row r="3058" customFormat="false" ht="15" hidden="false" customHeight="false" outlineLevel="0" collapsed="false">
      <c r="A3058" s="31"/>
      <c r="B3058" s="32"/>
      <c r="C3058" s="32"/>
      <c r="D3058" s="32"/>
      <c r="E3058" s="32"/>
      <c r="F3058" s="32"/>
      <c r="G3058" s="33"/>
      <c r="H3058" s="33"/>
      <c r="I3058" s="34" t="str">
        <f aca="false">IF($A3058="","",$G3058-$H3058)</f>
        <v/>
      </c>
      <c r="J3058" s="35" t="str">
        <f aca="false">IF($A3058="","",IF(Setup!$B$6=1,YEAR($A3058),YEAR($A3058)+IF(MONTH($A3058)&gt;=Setup!$B$6,1,0)))</f>
        <v/>
      </c>
      <c r="K3058" s="35" t="str">
        <f aca="false">IF($A3058="","",MOD(MONTH($A3058)-Setup!$B$6+12,12)+1)</f>
        <v/>
      </c>
      <c r="L3058" s="36" t="str">
        <f aca="false">IF($A3058="","",TEXT($A3058,"MMM-YY"))</f>
        <v/>
      </c>
      <c r="M3058" s="37" t="str">
        <f aca="false">IF($A3058="","",IF($Q3058=0,"UNMAPPED",INDEX(COA_Mapping!$C$7:$C$256,$Q3058)))</f>
        <v/>
      </c>
      <c r="N3058" s="38" t="str">
        <f aca="false">IF($A3058="","",IF($Q3058=0,"",INDEX(COA_Mapping!$E$7:$E$256,$Q3058)))</f>
        <v/>
      </c>
      <c r="O3058" s="38" t="n">
        <f aca="false">IF($A3058="",1,IF($Q3058=0,1,INDEX(COA_Mapping!$F$7:$F$256,$Q3058)))</f>
        <v>1</v>
      </c>
      <c r="P3058" s="34" t="str">
        <f aca="false">IF($A3058="","",$I3058*$O3058)</f>
        <v/>
      </c>
      <c r="Q3058" s="39" t="n">
        <f aca="false">IF($B3058="",0,IFERROR(MATCH($B3058,COA_Mapping!$A$7:$A$256,0),0))</f>
        <v>0</v>
      </c>
      <c r="R3058" s="39" t="n">
        <f aca="false">IF($A3058="",-1,IF($J3058=Setup!$B$7,1,IF($J3058=Setup!$B$9,0,-1)))</f>
        <v>-1</v>
      </c>
      <c r="S3058" s="35" t="n">
        <f aca="false">IF(OR($A3058="",$Q3058=0,$R3058=-1),0,$Q3058*1000+$R3058*100+$K3058)</f>
        <v>0</v>
      </c>
      <c r="T3058" s="37" t="str">
        <f aca="false">IF($A3058="","",IF($B3058="","NO ACCOUNT",IF($Q3058=0,"UNMAPPED",IF($R3058=-1,"OUTSIDE FY RANGE","OK"))))</f>
        <v/>
      </c>
      <c r="U3058" s="40" t="str">
        <f aca="false">IF($A3058="","",$B3058&amp;"|"&amp;TEXT($A3058,"yyyymmdd")&amp;"|"&amp;TEXT($I3058,"0.00"))</f>
        <v/>
      </c>
      <c r="V3058" s="35" t="str">
        <f aca="false">IF($A3058="","",COUNTIF($U$8:$U$5007,$U3058))</f>
        <v/>
      </c>
    </row>
    <row r="3059" customFormat="false" ht="15" hidden="false" customHeight="false" outlineLevel="0" collapsed="false">
      <c r="A3059" s="31"/>
      <c r="B3059" s="32"/>
      <c r="C3059" s="32"/>
      <c r="D3059" s="32"/>
      <c r="E3059" s="32"/>
      <c r="F3059" s="32"/>
      <c r="G3059" s="33"/>
      <c r="H3059" s="33"/>
      <c r="I3059" s="34" t="str">
        <f aca="false">IF($A3059="","",$G3059-$H3059)</f>
        <v/>
      </c>
      <c r="J3059" s="35" t="str">
        <f aca="false">IF($A3059="","",IF(Setup!$B$6=1,YEAR($A3059),YEAR($A3059)+IF(MONTH($A3059)&gt;=Setup!$B$6,1,0)))</f>
        <v/>
      </c>
      <c r="K3059" s="35" t="str">
        <f aca="false">IF($A3059="","",MOD(MONTH($A3059)-Setup!$B$6+12,12)+1)</f>
        <v/>
      </c>
      <c r="L3059" s="36" t="str">
        <f aca="false">IF($A3059="","",TEXT($A3059,"MMM-YY"))</f>
        <v/>
      </c>
      <c r="M3059" s="37" t="str">
        <f aca="false">IF($A3059="","",IF($Q3059=0,"UNMAPPED",INDEX(COA_Mapping!$C$7:$C$256,$Q3059)))</f>
        <v/>
      </c>
      <c r="N3059" s="38" t="str">
        <f aca="false">IF($A3059="","",IF($Q3059=0,"",INDEX(COA_Mapping!$E$7:$E$256,$Q3059)))</f>
        <v/>
      </c>
      <c r="O3059" s="38" t="n">
        <f aca="false">IF($A3059="",1,IF($Q3059=0,1,INDEX(COA_Mapping!$F$7:$F$256,$Q3059)))</f>
        <v>1</v>
      </c>
      <c r="P3059" s="34" t="str">
        <f aca="false">IF($A3059="","",$I3059*$O3059)</f>
        <v/>
      </c>
      <c r="Q3059" s="39" t="n">
        <f aca="false">IF($B3059="",0,IFERROR(MATCH($B3059,COA_Mapping!$A$7:$A$256,0),0))</f>
        <v>0</v>
      </c>
      <c r="R3059" s="39" t="n">
        <f aca="false">IF($A3059="",-1,IF($J3059=Setup!$B$7,1,IF($J3059=Setup!$B$9,0,-1)))</f>
        <v>-1</v>
      </c>
      <c r="S3059" s="35" t="n">
        <f aca="false">IF(OR($A3059="",$Q3059=0,$R3059=-1),0,$Q3059*1000+$R3059*100+$K3059)</f>
        <v>0</v>
      </c>
      <c r="T3059" s="37" t="str">
        <f aca="false">IF($A3059="","",IF($B3059="","NO ACCOUNT",IF($Q3059=0,"UNMAPPED",IF($R3059=-1,"OUTSIDE FY RANGE","OK"))))</f>
        <v/>
      </c>
      <c r="U3059" s="40" t="str">
        <f aca="false">IF($A3059="","",$B3059&amp;"|"&amp;TEXT($A3059,"yyyymmdd")&amp;"|"&amp;TEXT($I3059,"0.00"))</f>
        <v/>
      </c>
      <c r="V3059" s="35" t="str">
        <f aca="false">IF($A3059="","",COUNTIF($U$8:$U$5007,$U3059))</f>
        <v/>
      </c>
    </row>
    <row r="3060" customFormat="false" ht="15" hidden="false" customHeight="false" outlineLevel="0" collapsed="false">
      <c r="A3060" s="31"/>
      <c r="B3060" s="32"/>
      <c r="C3060" s="32"/>
      <c r="D3060" s="32"/>
      <c r="E3060" s="32"/>
      <c r="F3060" s="32"/>
      <c r="G3060" s="33"/>
      <c r="H3060" s="33"/>
      <c r="I3060" s="34" t="str">
        <f aca="false">IF($A3060="","",$G3060-$H3060)</f>
        <v/>
      </c>
      <c r="J3060" s="35" t="str">
        <f aca="false">IF($A3060="","",IF(Setup!$B$6=1,YEAR($A3060),YEAR($A3060)+IF(MONTH($A3060)&gt;=Setup!$B$6,1,0)))</f>
        <v/>
      </c>
      <c r="K3060" s="35" t="str">
        <f aca="false">IF($A3060="","",MOD(MONTH($A3060)-Setup!$B$6+12,12)+1)</f>
        <v/>
      </c>
      <c r="L3060" s="36" t="str">
        <f aca="false">IF($A3060="","",TEXT($A3060,"MMM-YY"))</f>
        <v/>
      </c>
      <c r="M3060" s="37" t="str">
        <f aca="false">IF($A3060="","",IF($Q3060=0,"UNMAPPED",INDEX(COA_Mapping!$C$7:$C$256,$Q3060)))</f>
        <v/>
      </c>
      <c r="N3060" s="38" t="str">
        <f aca="false">IF($A3060="","",IF($Q3060=0,"",INDEX(COA_Mapping!$E$7:$E$256,$Q3060)))</f>
        <v/>
      </c>
      <c r="O3060" s="38" t="n">
        <f aca="false">IF($A3060="",1,IF($Q3060=0,1,INDEX(COA_Mapping!$F$7:$F$256,$Q3060)))</f>
        <v>1</v>
      </c>
      <c r="P3060" s="34" t="str">
        <f aca="false">IF($A3060="","",$I3060*$O3060)</f>
        <v/>
      </c>
      <c r="Q3060" s="39" t="n">
        <f aca="false">IF($B3060="",0,IFERROR(MATCH($B3060,COA_Mapping!$A$7:$A$256,0),0))</f>
        <v>0</v>
      </c>
      <c r="R3060" s="39" t="n">
        <f aca="false">IF($A3060="",-1,IF($J3060=Setup!$B$7,1,IF($J3060=Setup!$B$9,0,-1)))</f>
        <v>-1</v>
      </c>
      <c r="S3060" s="35" t="n">
        <f aca="false">IF(OR($A3060="",$Q3060=0,$R3060=-1),0,$Q3060*1000+$R3060*100+$K3060)</f>
        <v>0</v>
      </c>
      <c r="T3060" s="37" t="str">
        <f aca="false">IF($A3060="","",IF($B3060="","NO ACCOUNT",IF($Q3060=0,"UNMAPPED",IF($R3060=-1,"OUTSIDE FY RANGE","OK"))))</f>
        <v/>
      </c>
      <c r="U3060" s="40" t="str">
        <f aca="false">IF($A3060="","",$B3060&amp;"|"&amp;TEXT($A3060,"yyyymmdd")&amp;"|"&amp;TEXT($I3060,"0.00"))</f>
        <v/>
      </c>
      <c r="V3060" s="35" t="str">
        <f aca="false">IF($A3060="","",COUNTIF($U$8:$U$5007,$U3060))</f>
        <v/>
      </c>
    </row>
    <row r="3061" customFormat="false" ht="15" hidden="false" customHeight="false" outlineLevel="0" collapsed="false">
      <c r="A3061" s="31"/>
      <c r="B3061" s="32"/>
      <c r="C3061" s="32"/>
      <c r="D3061" s="32"/>
      <c r="E3061" s="32"/>
      <c r="F3061" s="32"/>
      <c r="G3061" s="33"/>
      <c r="H3061" s="33"/>
      <c r="I3061" s="34" t="str">
        <f aca="false">IF($A3061="","",$G3061-$H3061)</f>
        <v/>
      </c>
      <c r="J3061" s="35" t="str">
        <f aca="false">IF($A3061="","",IF(Setup!$B$6=1,YEAR($A3061),YEAR($A3061)+IF(MONTH($A3061)&gt;=Setup!$B$6,1,0)))</f>
        <v/>
      </c>
      <c r="K3061" s="35" t="str">
        <f aca="false">IF($A3061="","",MOD(MONTH($A3061)-Setup!$B$6+12,12)+1)</f>
        <v/>
      </c>
      <c r="L3061" s="36" t="str">
        <f aca="false">IF($A3061="","",TEXT($A3061,"MMM-YY"))</f>
        <v/>
      </c>
      <c r="M3061" s="37" t="str">
        <f aca="false">IF($A3061="","",IF($Q3061=0,"UNMAPPED",INDEX(COA_Mapping!$C$7:$C$256,$Q3061)))</f>
        <v/>
      </c>
      <c r="N3061" s="38" t="str">
        <f aca="false">IF($A3061="","",IF($Q3061=0,"",INDEX(COA_Mapping!$E$7:$E$256,$Q3061)))</f>
        <v/>
      </c>
      <c r="O3061" s="38" t="n">
        <f aca="false">IF($A3061="",1,IF($Q3061=0,1,INDEX(COA_Mapping!$F$7:$F$256,$Q3061)))</f>
        <v>1</v>
      </c>
      <c r="P3061" s="34" t="str">
        <f aca="false">IF($A3061="","",$I3061*$O3061)</f>
        <v/>
      </c>
      <c r="Q3061" s="39" t="n">
        <f aca="false">IF($B3061="",0,IFERROR(MATCH($B3061,COA_Mapping!$A$7:$A$256,0),0))</f>
        <v>0</v>
      </c>
      <c r="R3061" s="39" t="n">
        <f aca="false">IF($A3061="",-1,IF($J3061=Setup!$B$7,1,IF($J3061=Setup!$B$9,0,-1)))</f>
        <v>-1</v>
      </c>
      <c r="S3061" s="35" t="n">
        <f aca="false">IF(OR($A3061="",$Q3061=0,$R3061=-1),0,$Q3061*1000+$R3061*100+$K3061)</f>
        <v>0</v>
      </c>
      <c r="T3061" s="37" t="str">
        <f aca="false">IF($A3061="","",IF($B3061="","NO ACCOUNT",IF($Q3061=0,"UNMAPPED",IF($R3061=-1,"OUTSIDE FY RANGE","OK"))))</f>
        <v/>
      </c>
      <c r="U3061" s="40" t="str">
        <f aca="false">IF($A3061="","",$B3061&amp;"|"&amp;TEXT($A3061,"yyyymmdd")&amp;"|"&amp;TEXT($I3061,"0.00"))</f>
        <v/>
      </c>
      <c r="V3061" s="35" t="str">
        <f aca="false">IF($A3061="","",COUNTIF($U$8:$U$5007,$U3061))</f>
        <v/>
      </c>
    </row>
    <row r="3062" customFormat="false" ht="15" hidden="false" customHeight="false" outlineLevel="0" collapsed="false">
      <c r="A3062" s="31"/>
      <c r="B3062" s="32"/>
      <c r="C3062" s="32"/>
      <c r="D3062" s="32"/>
      <c r="E3062" s="32"/>
      <c r="F3062" s="32"/>
      <c r="G3062" s="33"/>
      <c r="H3062" s="33"/>
      <c r="I3062" s="34" t="str">
        <f aca="false">IF($A3062="","",$G3062-$H3062)</f>
        <v/>
      </c>
      <c r="J3062" s="35" t="str">
        <f aca="false">IF($A3062="","",IF(Setup!$B$6=1,YEAR($A3062),YEAR($A3062)+IF(MONTH($A3062)&gt;=Setup!$B$6,1,0)))</f>
        <v/>
      </c>
      <c r="K3062" s="35" t="str">
        <f aca="false">IF($A3062="","",MOD(MONTH($A3062)-Setup!$B$6+12,12)+1)</f>
        <v/>
      </c>
      <c r="L3062" s="36" t="str">
        <f aca="false">IF($A3062="","",TEXT($A3062,"MMM-YY"))</f>
        <v/>
      </c>
      <c r="M3062" s="37" t="str">
        <f aca="false">IF($A3062="","",IF($Q3062=0,"UNMAPPED",INDEX(COA_Mapping!$C$7:$C$256,$Q3062)))</f>
        <v/>
      </c>
      <c r="N3062" s="38" t="str">
        <f aca="false">IF($A3062="","",IF($Q3062=0,"",INDEX(COA_Mapping!$E$7:$E$256,$Q3062)))</f>
        <v/>
      </c>
      <c r="O3062" s="38" t="n">
        <f aca="false">IF($A3062="",1,IF($Q3062=0,1,INDEX(COA_Mapping!$F$7:$F$256,$Q3062)))</f>
        <v>1</v>
      </c>
      <c r="P3062" s="34" t="str">
        <f aca="false">IF($A3062="","",$I3062*$O3062)</f>
        <v/>
      </c>
      <c r="Q3062" s="39" t="n">
        <f aca="false">IF($B3062="",0,IFERROR(MATCH($B3062,COA_Mapping!$A$7:$A$256,0),0))</f>
        <v>0</v>
      </c>
      <c r="R3062" s="39" t="n">
        <f aca="false">IF($A3062="",-1,IF($J3062=Setup!$B$7,1,IF($J3062=Setup!$B$9,0,-1)))</f>
        <v>-1</v>
      </c>
      <c r="S3062" s="35" t="n">
        <f aca="false">IF(OR($A3062="",$Q3062=0,$R3062=-1),0,$Q3062*1000+$R3062*100+$K3062)</f>
        <v>0</v>
      </c>
      <c r="T3062" s="37" t="str">
        <f aca="false">IF($A3062="","",IF($B3062="","NO ACCOUNT",IF($Q3062=0,"UNMAPPED",IF($R3062=-1,"OUTSIDE FY RANGE","OK"))))</f>
        <v/>
      </c>
      <c r="U3062" s="40" t="str">
        <f aca="false">IF($A3062="","",$B3062&amp;"|"&amp;TEXT($A3062,"yyyymmdd")&amp;"|"&amp;TEXT($I3062,"0.00"))</f>
        <v/>
      </c>
      <c r="V3062" s="35" t="str">
        <f aca="false">IF($A3062="","",COUNTIF($U$8:$U$5007,$U3062))</f>
        <v/>
      </c>
    </row>
    <row r="3063" customFormat="false" ht="15" hidden="false" customHeight="false" outlineLevel="0" collapsed="false">
      <c r="A3063" s="31"/>
      <c r="B3063" s="32"/>
      <c r="C3063" s="32"/>
      <c r="D3063" s="32"/>
      <c r="E3063" s="32"/>
      <c r="F3063" s="32"/>
      <c r="G3063" s="33"/>
      <c r="H3063" s="33"/>
      <c r="I3063" s="34" t="str">
        <f aca="false">IF($A3063="","",$G3063-$H3063)</f>
        <v/>
      </c>
      <c r="J3063" s="35" t="str">
        <f aca="false">IF($A3063="","",IF(Setup!$B$6=1,YEAR($A3063),YEAR($A3063)+IF(MONTH($A3063)&gt;=Setup!$B$6,1,0)))</f>
        <v/>
      </c>
      <c r="K3063" s="35" t="str">
        <f aca="false">IF($A3063="","",MOD(MONTH($A3063)-Setup!$B$6+12,12)+1)</f>
        <v/>
      </c>
      <c r="L3063" s="36" t="str">
        <f aca="false">IF($A3063="","",TEXT($A3063,"MMM-YY"))</f>
        <v/>
      </c>
      <c r="M3063" s="37" t="str">
        <f aca="false">IF($A3063="","",IF($Q3063=0,"UNMAPPED",INDEX(COA_Mapping!$C$7:$C$256,$Q3063)))</f>
        <v/>
      </c>
      <c r="N3063" s="38" t="str">
        <f aca="false">IF($A3063="","",IF($Q3063=0,"",INDEX(COA_Mapping!$E$7:$E$256,$Q3063)))</f>
        <v/>
      </c>
      <c r="O3063" s="38" t="n">
        <f aca="false">IF($A3063="",1,IF($Q3063=0,1,INDEX(COA_Mapping!$F$7:$F$256,$Q3063)))</f>
        <v>1</v>
      </c>
      <c r="P3063" s="34" t="str">
        <f aca="false">IF($A3063="","",$I3063*$O3063)</f>
        <v/>
      </c>
      <c r="Q3063" s="39" t="n">
        <f aca="false">IF($B3063="",0,IFERROR(MATCH($B3063,COA_Mapping!$A$7:$A$256,0),0))</f>
        <v>0</v>
      </c>
      <c r="R3063" s="39" t="n">
        <f aca="false">IF($A3063="",-1,IF($J3063=Setup!$B$7,1,IF($J3063=Setup!$B$9,0,-1)))</f>
        <v>-1</v>
      </c>
      <c r="S3063" s="35" t="n">
        <f aca="false">IF(OR($A3063="",$Q3063=0,$R3063=-1),0,$Q3063*1000+$R3063*100+$K3063)</f>
        <v>0</v>
      </c>
      <c r="T3063" s="37" t="str">
        <f aca="false">IF($A3063="","",IF($B3063="","NO ACCOUNT",IF($Q3063=0,"UNMAPPED",IF($R3063=-1,"OUTSIDE FY RANGE","OK"))))</f>
        <v/>
      </c>
      <c r="U3063" s="40" t="str">
        <f aca="false">IF($A3063="","",$B3063&amp;"|"&amp;TEXT($A3063,"yyyymmdd")&amp;"|"&amp;TEXT($I3063,"0.00"))</f>
        <v/>
      </c>
      <c r="V3063" s="35" t="str">
        <f aca="false">IF($A3063="","",COUNTIF($U$8:$U$5007,$U3063))</f>
        <v/>
      </c>
    </row>
    <row r="3064" customFormat="false" ht="15" hidden="false" customHeight="false" outlineLevel="0" collapsed="false">
      <c r="A3064" s="31"/>
      <c r="B3064" s="32"/>
      <c r="C3064" s="32"/>
      <c r="D3064" s="32"/>
      <c r="E3064" s="32"/>
      <c r="F3064" s="32"/>
      <c r="G3064" s="33"/>
      <c r="H3064" s="33"/>
      <c r="I3064" s="34" t="str">
        <f aca="false">IF($A3064="","",$G3064-$H3064)</f>
        <v/>
      </c>
      <c r="J3064" s="35" t="str">
        <f aca="false">IF($A3064="","",IF(Setup!$B$6=1,YEAR($A3064),YEAR($A3064)+IF(MONTH($A3064)&gt;=Setup!$B$6,1,0)))</f>
        <v/>
      </c>
      <c r="K3064" s="35" t="str">
        <f aca="false">IF($A3064="","",MOD(MONTH($A3064)-Setup!$B$6+12,12)+1)</f>
        <v/>
      </c>
      <c r="L3064" s="36" t="str">
        <f aca="false">IF($A3064="","",TEXT($A3064,"MMM-YY"))</f>
        <v/>
      </c>
      <c r="M3064" s="37" t="str">
        <f aca="false">IF($A3064="","",IF($Q3064=0,"UNMAPPED",INDEX(COA_Mapping!$C$7:$C$256,$Q3064)))</f>
        <v/>
      </c>
      <c r="N3064" s="38" t="str">
        <f aca="false">IF($A3064="","",IF($Q3064=0,"",INDEX(COA_Mapping!$E$7:$E$256,$Q3064)))</f>
        <v/>
      </c>
      <c r="O3064" s="38" t="n">
        <f aca="false">IF($A3064="",1,IF($Q3064=0,1,INDEX(COA_Mapping!$F$7:$F$256,$Q3064)))</f>
        <v>1</v>
      </c>
      <c r="P3064" s="34" t="str">
        <f aca="false">IF($A3064="","",$I3064*$O3064)</f>
        <v/>
      </c>
      <c r="Q3064" s="39" t="n">
        <f aca="false">IF($B3064="",0,IFERROR(MATCH($B3064,COA_Mapping!$A$7:$A$256,0),0))</f>
        <v>0</v>
      </c>
      <c r="R3064" s="39" t="n">
        <f aca="false">IF($A3064="",-1,IF($J3064=Setup!$B$7,1,IF($J3064=Setup!$B$9,0,-1)))</f>
        <v>-1</v>
      </c>
      <c r="S3064" s="35" t="n">
        <f aca="false">IF(OR($A3064="",$Q3064=0,$R3064=-1),0,$Q3064*1000+$R3064*100+$K3064)</f>
        <v>0</v>
      </c>
      <c r="T3064" s="37" t="str">
        <f aca="false">IF($A3064="","",IF($B3064="","NO ACCOUNT",IF($Q3064=0,"UNMAPPED",IF($R3064=-1,"OUTSIDE FY RANGE","OK"))))</f>
        <v/>
      </c>
      <c r="U3064" s="40" t="str">
        <f aca="false">IF($A3064="","",$B3064&amp;"|"&amp;TEXT($A3064,"yyyymmdd")&amp;"|"&amp;TEXT($I3064,"0.00"))</f>
        <v/>
      </c>
      <c r="V3064" s="35" t="str">
        <f aca="false">IF($A3064="","",COUNTIF($U$8:$U$5007,$U3064))</f>
        <v/>
      </c>
    </row>
    <row r="3065" customFormat="false" ht="15" hidden="false" customHeight="false" outlineLevel="0" collapsed="false">
      <c r="A3065" s="31"/>
      <c r="B3065" s="32"/>
      <c r="C3065" s="32"/>
      <c r="D3065" s="32"/>
      <c r="E3065" s="32"/>
      <c r="F3065" s="32"/>
      <c r="G3065" s="33"/>
      <c r="H3065" s="33"/>
      <c r="I3065" s="34" t="str">
        <f aca="false">IF($A3065="","",$G3065-$H3065)</f>
        <v/>
      </c>
      <c r="J3065" s="35" t="str">
        <f aca="false">IF($A3065="","",IF(Setup!$B$6=1,YEAR($A3065),YEAR($A3065)+IF(MONTH($A3065)&gt;=Setup!$B$6,1,0)))</f>
        <v/>
      </c>
      <c r="K3065" s="35" t="str">
        <f aca="false">IF($A3065="","",MOD(MONTH($A3065)-Setup!$B$6+12,12)+1)</f>
        <v/>
      </c>
      <c r="L3065" s="36" t="str">
        <f aca="false">IF($A3065="","",TEXT($A3065,"MMM-YY"))</f>
        <v/>
      </c>
      <c r="M3065" s="37" t="str">
        <f aca="false">IF($A3065="","",IF($Q3065=0,"UNMAPPED",INDEX(COA_Mapping!$C$7:$C$256,$Q3065)))</f>
        <v/>
      </c>
      <c r="N3065" s="38" t="str">
        <f aca="false">IF($A3065="","",IF($Q3065=0,"",INDEX(COA_Mapping!$E$7:$E$256,$Q3065)))</f>
        <v/>
      </c>
      <c r="O3065" s="38" t="n">
        <f aca="false">IF($A3065="",1,IF($Q3065=0,1,INDEX(COA_Mapping!$F$7:$F$256,$Q3065)))</f>
        <v>1</v>
      </c>
      <c r="P3065" s="34" t="str">
        <f aca="false">IF($A3065="","",$I3065*$O3065)</f>
        <v/>
      </c>
      <c r="Q3065" s="39" t="n">
        <f aca="false">IF($B3065="",0,IFERROR(MATCH($B3065,COA_Mapping!$A$7:$A$256,0),0))</f>
        <v>0</v>
      </c>
      <c r="R3065" s="39" t="n">
        <f aca="false">IF($A3065="",-1,IF($J3065=Setup!$B$7,1,IF($J3065=Setup!$B$9,0,-1)))</f>
        <v>-1</v>
      </c>
      <c r="S3065" s="35" t="n">
        <f aca="false">IF(OR($A3065="",$Q3065=0,$R3065=-1),0,$Q3065*1000+$R3065*100+$K3065)</f>
        <v>0</v>
      </c>
      <c r="T3065" s="37" t="str">
        <f aca="false">IF($A3065="","",IF($B3065="","NO ACCOUNT",IF($Q3065=0,"UNMAPPED",IF($R3065=-1,"OUTSIDE FY RANGE","OK"))))</f>
        <v/>
      </c>
      <c r="U3065" s="40" t="str">
        <f aca="false">IF($A3065="","",$B3065&amp;"|"&amp;TEXT($A3065,"yyyymmdd")&amp;"|"&amp;TEXT($I3065,"0.00"))</f>
        <v/>
      </c>
      <c r="V3065" s="35" t="str">
        <f aca="false">IF($A3065="","",COUNTIF($U$8:$U$5007,$U3065))</f>
        <v/>
      </c>
    </row>
    <row r="3066" customFormat="false" ht="15" hidden="false" customHeight="false" outlineLevel="0" collapsed="false">
      <c r="A3066" s="31"/>
      <c r="B3066" s="32"/>
      <c r="C3066" s="32"/>
      <c r="D3066" s="32"/>
      <c r="E3066" s="32"/>
      <c r="F3066" s="32"/>
      <c r="G3066" s="33"/>
      <c r="H3066" s="33"/>
      <c r="I3066" s="34" t="str">
        <f aca="false">IF($A3066="","",$G3066-$H3066)</f>
        <v/>
      </c>
      <c r="J3066" s="35" t="str">
        <f aca="false">IF($A3066="","",IF(Setup!$B$6=1,YEAR($A3066),YEAR($A3066)+IF(MONTH($A3066)&gt;=Setup!$B$6,1,0)))</f>
        <v/>
      </c>
      <c r="K3066" s="35" t="str">
        <f aca="false">IF($A3066="","",MOD(MONTH($A3066)-Setup!$B$6+12,12)+1)</f>
        <v/>
      </c>
      <c r="L3066" s="36" t="str">
        <f aca="false">IF($A3066="","",TEXT($A3066,"MMM-YY"))</f>
        <v/>
      </c>
      <c r="M3066" s="37" t="str">
        <f aca="false">IF($A3066="","",IF($Q3066=0,"UNMAPPED",INDEX(COA_Mapping!$C$7:$C$256,$Q3066)))</f>
        <v/>
      </c>
      <c r="N3066" s="38" t="str">
        <f aca="false">IF($A3066="","",IF($Q3066=0,"",INDEX(COA_Mapping!$E$7:$E$256,$Q3066)))</f>
        <v/>
      </c>
      <c r="O3066" s="38" t="n">
        <f aca="false">IF($A3066="",1,IF($Q3066=0,1,INDEX(COA_Mapping!$F$7:$F$256,$Q3066)))</f>
        <v>1</v>
      </c>
      <c r="P3066" s="34" t="str">
        <f aca="false">IF($A3066="","",$I3066*$O3066)</f>
        <v/>
      </c>
      <c r="Q3066" s="39" t="n">
        <f aca="false">IF($B3066="",0,IFERROR(MATCH($B3066,COA_Mapping!$A$7:$A$256,0),0))</f>
        <v>0</v>
      </c>
      <c r="R3066" s="39" t="n">
        <f aca="false">IF($A3066="",-1,IF($J3066=Setup!$B$7,1,IF($J3066=Setup!$B$9,0,-1)))</f>
        <v>-1</v>
      </c>
      <c r="S3066" s="35" t="n">
        <f aca="false">IF(OR($A3066="",$Q3066=0,$R3066=-1),0,$Q3066*1000+$R3066*100+$K3066)</f>
        <v>0</v>
      </c>
      <c r="T3066" s="37" t="str">
        <f aca="false">IF($A3066="","",IF($B3066="","NO ACCOUNT",IF($Q3066=0,"UNMAPPED",IF($R3066=-1,"OUTSIDE FY RANGE","OK"))))</f>
        <v/>
      </c>
      <c r="U3066" s="40" t="str">
        <f aca="false">IF($A3066="","",$B3066&amp;"|"&amp;TEXT($A3066,"yyyymmdd")&amp;"|"&amp;TEXT($I3066,"0.00"))</f>
        <v/>
      </c>
      <c r="V3066" s="35" t="str">
        <f aca="false">IF($A3066="","",COUNTIF($U$8:$U$5007,$U3066))</f>
        <v/>
      </c>
    </row>
    <row r="3067" customFormat="false" ht="15" hidden="false" customHeight="false" outlineLevel="0" collapsed="false">
      <c r="A3067" s="31"/>
      <c r="B3067" s="32"/>
      <c r="C3067" s="32"/>
      <c r="D3067" s="32"/>
      <c r="E3067" s="32"/>
      <c r="F3067" s="32"/>
      <c r="G3067" s="33"/>
      <c r="H3067" s="33"/>
      <c r="I3067" s="34" t="str">
        <f aca="false">IF($A3067="","",$G3067-$H3067)</f>
        <v/>
      </c>
      <c r="J3067" s="35" t="str">
        <f aca="false">IF($A3067="","",IF(Setup!$B$6=1,YEAR($A3067),YEAR($A3067)+IF(MONTH($A3067)&gt;=Setup!$B$6,1,0)))</f>
        <v/>
      </c>
      <c r="K3067" s="35" t="str">
        <f aca="false">IF($A3067="","",MOD(MONTH($A3067)-Setup!$B$6+12,12)+1)</f>
        <v/>
      </c>
      <c r="L3067" s="36" t="str">
        <f aca="false">IF($A3067="","",TEXT($A3067,"MMM-YY"))</f>
        <v/>
      </c>
      <c r="M3067" s="37" t="str">
        <f aca="false">IF($A3067="","",IF($Q3067=0,"UNMAPPED",INDEX(COA_Mapping!$C$7:$C$256,$Q3067)))</f>
        <v/>
      </c>
      <c r="N3067" s="38" t="str">
        <f aca="false">IF($A3067="","",IF($Q3067=0,"",INDEX(COA_Mapping!$E$7:$E$256,$Q3067)))</f>
        <v/>
      </c>
      <c r="O3067" s="38" t="n">
        <f aca="false">IF($A3067="",1,IF($Q3067=0,1,INDEX(COA_Mapping!$F$7:$F$256,$Q3067)))</f>
        <v>1</v>
      </c>
      <c r="P3067" s="34" t="str">
        <f aca="false">IF($A3067="","",$I3067*$O3067)</f>
        <v/>
      </c>
      <c r="Q3067" s="39" t="n">
        <f aca="false">IF($B3067="",0,IFERROR(MATCH($B3067,COA_Mapping!$A$7:$A$256,0),0))</f>
        <v>0</v>
      </c>
      <c r="R3067" s="39" t="n">
        <f aca="false">IF($A3067="",-1,IF($J3067=Setup!$B$7,1,IF($J3067=Setup!$B$9,0,-1)))</f>
        <v>-1</v>
      </c>
      <c r="S3067" s="35" t="n">
        <f aca="false">IF(OR($A3067="",$Q3067=0,$R3067=-1),0,$Q3067*1000+$R3067*100+$K3067)</f>
        <v>0</v>
      </c>
      <c r="T3067" s="37" t="str">
        <f aca="false">IF($A3067="","",IF($B3067="","NO ACCOUNT",IF($Q3067=0,"UNMAPPED",IF($R3067=-1,"OUTSIDE FY RANGE","OK"))))</f>
        <v/>
      </c>
      <c r="U3067" s="40" t="str">
        <f aca="false">IF($A3067="","",$B3067&amp;"|"&amp;TEXT($A3067,"yyyymmdd")&amp;"|"&amp;TEXT($I3067,"0.00"))</f>
        <v/>
      </c>
      <c r="V3067" s="35" t="str">
        <f aca="false">IF($A3067="","",COUNTIF($U$8:$U$5007,$U3067))</f>
        <v/>
      </c>
    </row>
    <row r="3068" customFormat="false" ht="15" hidden="false" customHeight="false" outlineLevel="0" collapsed="false">
      <c r="A3068" s="31"/>
      <c r="B3068" s="32"/>
      <c r="C3068" s="32"/>
      <c r="D3068" s="32"/>
      <c r="E3068" s="32"/>
      <c r="F3068" s="32"/>
      <c r="G3068" s="33"/>
      <c r="H3068" s="33"/>
      <c r="I3068" s="34" t="str">
        <f aca="false">IF($A3068="","",$G3068-$H3068)</f>
        <v/>
      </c>
      <c r="J3068" s="35" t="str">
        <f aca="false">IF($A3068="","",IF(Setup!$B$6=1,YEAR($A3068),YEAR($A3068)+IF(MONTH($A3068)&gt;=Setup!$B$6,1,0)))</f>
        <v/>
      </c>
      <c r="K3068" s="35" t="str">
        <f aca="false">IF($A3068="","",MOD(MONTH($A3068)-Setup!$B$6+12,12)+1)</f>
        <v/>
      </c>
      <c r="L3068" s="36" t="str">
        <f aca="false">IF($A3068="","",TEXT($A3068,"MMM-YY"))</f>
        <v/>
      </c>
      <c r="M3068" s="37" t="str">
        <f aca="false">IF($A3068="","",IF($Q3068=0,"UNMAPPED",INDEX(COA_Mapping!$C$7:$C$256,$Q3068)))</f>
        <v/>
      </c>
      <c r="N3068" s="38" t="str">
        <f aca="false">IF($A3068="","",IF($Q3068=0,"",INDEX(COA_Mapping!$E$7:$E$256,$Q3068)))</f>
        <v/>
      </c>
      <c r="O3068" s="38" t="n">
        <f aca="false">IF($A3068="",1,IF($Q3068=0,1,INDEX(COA_Mapping!$F$7:$F$256,$Q3068)))</f>
        <v>1</v>
      </c>
      <c r="P3068" s="34" t="str">
        <f aca="false">IF($A3068="","",$I3068*$O3068)</f>
        <v/>
      </c>
      <c r="Q3068" s="39" t="n">
        <f aca="false">IF($B3068="",0,IFERROR(MATCH($B3068,COA_Mapping!$A$7:$A$256,0),0))</f>
        <v>0</v>
      </c>
      <c r="R3068" s="39" t="n">
        <f aca="false">IF($A3068="",-1,IF($J3068=Setup!$B$7,1,IF($J3068=Setup!$B$9,0,-1)))</f>
        <v>-1</v>
      </c>
      <c r="S3068" s="35" t="n">
        <f aca="false">IF(OR($A3068="",$Q3068=0,$R3068=-1),0,$Q3068*1000+$R3068*100+$K3068)</f>
        <v>0</v>
      </c>
      <c r="T3068" s="37" t="str">
        <f aca="false">IF($A3068="","",IF($B3068="","NO ACCOUNT",IF($Q3068=0,"UNMAPPED",IF($R3068=-1,"OUTSIDE FY RANGE","OK"))))</f>
        <v/>
      </c>
      <c r="U3068" s="40" t="str">
        <f aca="false">IF($A3068="","",$B3068&amp;"|"&amp;TEXT($A3068,"yyyymmdd")&amp;"|"&amp;TEXT($I3068,"0.00"))</f>
        <v/>
      </c>
      <c r="V3068" s="35" t="str">
        <f aca="false">IF($A3068="","",COUNTIF($U$8:$U$5007,$U3068))</f>
        <v/>
      </c>
    </row>
    <row r="3069" customFormat="false" ht="15" hidden="false" customHeight="false" outlineLevel="0" collapsed="false">
      <c r="A3069" s="31"/>
      <c r="B3069" s="32"/>
      <c r="C3069" s="32"/>
      <c r="D3069" s="32"/>
      <c r="E3069" s="32"/>
      <c r="F3069" s="32"/>
      <c r="G3069" s="33"/>
      <c r="H3069" s="33"/>
      <c r="I3069" s="34" t="str">
        <f aca="false">IF($A3069="","",$G3069-$H3069)</f>
        <v/>
      </c>
      <c r="J3069" s="35" t="str">
        <f aca="false">IF($A3069="","",IF(Setup!$B$6=1,YEAR($A3069),YEAR($A3069)+IF(MONTH($A3069)&gt;=Setup!$B$6,1,0)))</f>
        <v/>
      </c>
      <c r="K3069" s="35" t="str">
        <f aca="false">IF($A3069="","",MOD(MONTH($A3069)-Setup!$B$6+12,12)+1)</f>
        <v/>
      </c>
      <c r="L3069" s="36" t="str">
        <f aca="false">IF($A3069="","",TEXT($A3069,"MMM-YY"))</f>
        <v/>
      </c>
      <c r="M3069" s="37" t="str">
        <f aca="false">IF($A3069="","",IF($Q3069=0,"UNMAPPED",INDEX(COA_Mapping!$C$7:$C$256,$Q3069)))</f>
        <v/>
      </c>
      <c r="N3069" s="38" t="str">
        <f aca="false">IF($A3069="","",IF($Q3069=0,"",INDEX(COA_Mapping!$E$7:$E$256,$Q3069)))</f>
        <v/>
      </c>
      <c r="O3069" s="38" t="n">
        <f aca="false">IF($A3069="",1,IF($Q3069=0,1,INDEX(COA_Mapping!$F$7:$F$256,$Q3069)))</f>
        <v>1</v>
      </c>
      <c r="P3069" s="34" t="str">
        <f aca="false">IF($A3069="","",$I3069*$O3069)</f>
        <v/>
      </c>
      <c r="Q3069" s="39" t="n">
        <f aca="false">IF($B3069="",0,IFERROR(MATCH($B3069,COA_Mapping!$A$7:$A$256,0),0))</f>
        <v>0</v>
      </c>
      <c r="R3069" s="39" t="n">
        <f aca="false">IF($A3069="",-1,IF($J3069=Setup!$B$7,1,IF($J3069=Setup!$B$9,0,-1)))</f>
        <v>-1</v>
      </c>
      <c r="S3069" s="35" t="n">
        <f aca="false">IF(OR($A3069="",$Q3069=0,$R3069=-1),0,$Q3069*1000+$R3069*100+$K3069)</f>
        <v>0</v>
      </c>
      <c r="T3069" s="37" t="str">
        <f aca="false">IF($A3069="","",IF($B3069="","NO ACCOUNT",IF($Q3069=0,"UNMAPPED",IF($R3069=-1,"OUTSIDE FY RANGE","OK"))))</f>
        <v/>
      </c>
      <c r="U3069" s="40" t="str">
        <f aca="false">IF($A3069="","",$B3069&amp;"|"&amp;TEXT($A3069,"yyyymmdd")&amp;"|"&amp;TEXT($I3069,"0.00"))</f>
        <v/>
      </c>
      <c r="V3069" s="35" t="str">
        <f aca="false">IF($A3069="","",COUNTIF($U$8:$U$5007,$U3069))</f>
        <v/>
      </c>
    </row>
    <row r="3070" customFormat="false" ht="15" hidden="false" customHeight="false" outlineLevel="0" collapsed="false">
      <c r="A3070" s="31"/>
      <c r="B3070" s="32"/>
      <c r="C3070" s="32"/>
      <c r="D3070" s="32"/>
      <c r="E3070" s="32"/>
      <c r="F3070" s="32"/>
      <c r="G3070" s="33"/>
      <c r="H3070" s="33"/>
      <c r="I3070" s="34" t="str">
        <f aca="false">IF($A3070="","",$G3070-$H3070)</f>
        <v/>
      </c>
      <c r="J3070" s="35" t="str">
        <f aca="false">IF($A3070="","",IF(Setup!$B$6=1,YEAR($A3070),YEAR($A3070)+IF(MONTH($A3070)&gt;=Setup!$B$6,1,0)))</f>
        <v/>
      </c>
      <c r="K3070" s="35" t="str">
        <f aca="false">IF($A3070="","",MOD(MONTH($A3070)-Setup!$B$6+12,12)+1)</f>
        <v/>
      </c>
      <c r="L3070" s="36" t="str">
        <f aca="false">IF($A3070="","",TEXT($A3070,"MMM-YY"))</f>
        <v/>
      </c>
      <c r="M3070" s="37" t="str">
        <f aca="false">IF($A3070="","",IF($Q3070=0,"UNMAPPED",INDEX(COA_Mapping!$C$7:$C$256,$Q3070)))</f>
        <v/>
      </c>
      <c r="N3070" s="38" t="str">
        <f aca="false">IF($A3070="","",IF($Q3070=0,"",INDEX(COA_Mapping!$E$7:$E$256,$Q3070)))</f>
        <v/>
      </c>
      <c r="O3070" s="38" t="n">
        <f aca="false">IF($A3070="",1,IF($Q3070=0,1,INDEX(COA_Mapping!$F$7:$F$256,$Q3070)))</f>
        <v>1</v>
      </c>
      <c r="P3070" s="34" t="str">
        <f aca="false">IF($A3070="","",$I3070*$O3070)</f>
        <v/>
      </c>
      <c r="Q3070" s="39" t="n">
        <f aca="false">IF($B3070="",0,IFERROR(MATCH($B3070,COA_Mapping!$A$7:$A$256,0),0))</f>
        <v>0</v>
      </c>
      <c r="R3070" s="39" t="n">
        <f aca="false">IF($A3070="",-1,IF($J3070=Setup!$B$7,1,IF($J3070=Setup!$B$9,0,-1)))</f>
        <v>-1</v>
      </c>
      <c r="S3070" s="35" t="n">
        <f aca="false">IF(OR($A3070="",$Q3070=0,$R3070=-1),0,$Q3070*1000+$R3070*100+$K3070)</f>
        <v>0</v>
      </c>
      <c r="T3070" s="37" t="str">
        <f aca="false">IF($A3070="","",IF($B3070="","NO ACCOUNT",IF($Q3070=0,"UNMAPPED",IF($R3070=-1,"OUTSIDE FY RANGE","OK"))))</f>
        <v/>
      </c>
      <c r="U3070" s="40" t="str">
        <f aca="false">IF($A3070="","",$B3070&amp;"|"&amp;TEXT($A3070,"yyyymmdd")&amp;"|"&amp;TEXT($I3070,"0.00"))</f>
        <v/>
      </c>
      <c r="V3070" s="35" t="str">
        <f aca="false">IF($A3070="","",COUNTIF($U$8:$U$5007,$U3070))</f>
        <v/>
      </c>
    </row>
    <row r="3071" customFormat="false" ht="15" hidden="false" customHeight="false" outlineLevel="0" collapsed="false">
      <c r="A3071" s="31"/>
      <c r="B3071" s="32"/>
      <c r="C3071" s="32"/>
      <c r="D3071" s="32"/>
      <c r="E3071" s="32"/>
      <c r="F3071" s="32"/>
      <c r="G3071" s="33"/>
      <c r="H3071" s="33"/>
      <c r="I3071" s="34" t="str">
        <f aca="false">IF($A3071="","",$G3071-$H3071)</f>
        <v/>
      </c>
      <c r="J3071" s="35" t="str">
        <f aca="false">IF($A3071="","",IF(Setup!$B$6=1,YEAR($A3071),YEAR($A3071)+IF(MONTH($A3071)&gt;=Setup!$B$6,1,0)))</f>
        <v/>
      </c>
      <c r="K3071" s="35" t="str">
        <f aca="false">IF($A3071="","",MOD(MONTH($A3071)-Setup!$B$6+12,12)+1)</f>
        <v/>
      </c>
      <c r="L3071" s="36" t="str">
        <f aca="false">IF($A3071="","",TEXT($A3071,"MMM-YY"))</f>
        <v/>
      </c>
      <c r="M3071" s="37" t="str">
        <f aca="false">IF($A3071="","",IF($Q3071=0,"UNMAPPED",INDEX(COA_Mapping!$C$7:$C$256,$Q3071)))</f>
        <v/>
      </c>
      <c r="N3071" s="38" t="str">
        <f aca="false">IF($A3071="","",IF($Q3071=0,"",INDEX(COA_Mapping!$E$7:$E$256,$Q3071)))</f>
        <v/>
      </c>
      <c r="O3071" s="38" t="n">
        <f aca="false">IF($A3071="",1,IF($Q3071=0,1,INDEX(COA_Mapping!$F$7:$F$256,$Q3071)))</f>
        <v>1</v>
      </c>
      <c r="P3071" s="34" t="str">
        <f aca="false">IF($A3071="","",$I3071*$O3071)</f>
        <v/>
      </c>
      <c r="Q3071" s="39" t="n">
        <f aca="false">IF($B3071="",0,IFERROR(MATCH($B3071,COA_Mapping!$A$7:$A$256,0),0))</f>
        <v>0</v>
      </c>
      <c r="R3071" s="39" t="n">
        <f aca="false">IF($A3071="",-1,IF($J3071=Setup!$B$7,1,IF($J3071=Setup!$B$9,0,-1)))</f>
        <v>-1</v>
      </c>
      <c r="S3071" s="35" t="n">
        <f aca="false">IF(OR($A3071="",$Q3071=0,$R3071=-1),0,$Q3071*1000+$R3071*100+$K3071)</f>
        <v>0</v>
      </c>
      <c r="T3071" s="37" t="str">
        <f aca="false">IF($A3071="","",IF($B3071="","NO ACCOUNT",IF($Q3071=0,"UNMAPPED",IF($R3071=-1,"OUTSIDE FY RANGE","OK"))))</f>
        <v/>
      </c>
      <c r="U3071" s="40" t="str">
        <f aca="false">IF($A3071="","",$B3071&amp;"|"&amp;TEXT($A3071,"yyyymmdd")&amp;"|"&amp;TEXT($I3071,"0.00"))</f>
        <v/>
      </c>
      <c r="V3071" s="35" t="str">
        <f aca="false">IF($A3071="","",COUNTIF($U$8:$U$5007,$U3071))</f>
        <v/>
      </c>
    </row>
    <row r="3072" customFormat="false" ht="15" hidden="false" customHeight="false" outlineLevel="0" collapsed="false">
      <c r="A3072" s="31"/>
      <c r="B3072" s="32"/>
      <c r="C3072" s="32"/>
      <c r="D3072" s="32"/>
      <c r="E3072" s="32"/>
      <c r="F3072" s="32"/>
      <c r="G3072" s="33"/>
      <c r="H3072" s="33"/>
      <c r="I3072" s="34" t="str">
        <f aca="false">IF($A3072="","",$G3072-$H3072)</f>
        <v/>
      </c>
      <c r="J3072" s="35" t="str">
        <f aca="false">IF($A3072="","",IF(Setup!$B$6=1,YEAR($A3072),YEAR($A3072)+IF(MONTH($A3072)&gt;=Setup!$B$6,1,0)))</f>
        <v/>
      </c>
      <c r="K3072" s="35" t="str">
        <f aca="false">IF($A3072="","",MOD(MONTH($A3072)-Setup!$B$6+12,12)+1)</f>
        <v/>
      </c>
      <c r="L3072" s="36" t="str">
        <f aca="false">IF($A3072="","",TEXT($A3072,"MMM-YY"))</f>
        <v/>
      </c>
      <c r="M3072" s="37" t="str">
        <f aca="false">IF($A3072="","",IF($Q3072=0,"UNMAPPED",INDEX(COA_Mapping!$C$7:$C$256,$Q3072)))</f>
        <v/>
      </c>
      <c r="N3072" s="38" t="str">
        <f aca="false">IF($A3072="","",IF($Q3072=0,"",INDEX(COA_Mapping!$E$7:$E$256,$Q3072)))</f>
        <v/>
      </c>
      <c r="O3072" s="38" t="n">
        <f aca="false">IF($A3072="",1,IF($Q3072=0,1,INDEX(COA_Mapping!$F$7:$F$256,$Q3072)))</f>
        <v>1</v>
      </c>
      <c r="P3072" s="34" t="str">
        <f aca="false">IF($A3072="","",$I3072*$O3072)</f>
        <v/>
      </c>
      <c r="Q3072" s="39" t="n">
        <f aca="false">IF($B3072="",0,IFERROR(MATCH($B3072,COA_Mapping!$A$7:$A$256,0),0))</f>
        <v>0</v>
      </c>
      <c r="R3072" s="39" t="n">
        <f aca="false">IF($A3072="",-1,IF($J3072=Setup!$B$7,1,IF($J3072=Setup!$B$9,0,-1)))</f>
        <v>-1</v>
      </c>
      <c r="S3072" s="35" t="n">
        <f aca="false">IF(OR($A3072="",$Q3072=0,$R3072=-1),0,$Q3072*1000+$R3072*100+$K3072)</f>
        <v>0</v>
      </c>
      <c r="T3072" s="37" t="str">
        <f aca="false">IF($A3072="","",IF($B3072="","NO ACCOUNT",IF($Q3072=0,"UNMAPPED",IF($R3072=-1,"OUTSIDE FY RANGE","OK"))))</f>
        <v/>
      </c>
      <c r="U3072" s="40" t="str">
        <f aca="false">IF($A3072="","",$B3072&amp;"|"&amp;TEXT($A3072,"yyyymmdd")&amp;"|"&amp;TEXT($I3072,"0.00"))</f>
        <v/>
      </c>
      <c r="V3072" s="35" t="str">
        <f aca="false">IF($A3072="","",COUNTIF($U$8:$U$5007,$U3072))</f>
        <v/>
      </c>
    </row>
    <row r="3073" customFormat="false" ht="15" hidden="false" customHeight="false" outlineLevel="0" collapsed="false">
      <c r="A3073" s="31"/>
      <c r="B3073" s="32"/>
      <c r="C3073" s="32"/>
      <c r="D3073" s="32"/>
      <c r="E3073" s="32"/>
      <c r="F3073" s="32"/>
      <c r="G3073" s="33"/>
      <c r="H3073" s="33"/>
      <c r="I3073" s="34" t="str">
        <f aca="false">IF($A3073="","",$G3073-$H3073)</f>
        <v/>
      </c>
      <c r="J3073" s="35" t="str">
        <f aca="false">IF($A3073="","",IF(Setup!$B$6=1,YEAR($A3073),YEAR($A3073)+IF(MONTH($A3073)&gt;=Setup!$B$6,1,0)))</f>
        <v/>
      </c>
      <c r="K3073" s="35" t="str">
        <f aca="false">IF($A3073="","",MOD(MONTH($A3073)-Setup!$B$6+12,12)+1)</f>
        <v/>
      </c>
      <c r="L3073" s="36" t="str">
        <f aca="false">IF($A3073="","",TEXT($A3073,"MMM-YY"))</f>
        <v/>
      </c>
      <c r="M3073" s="37" t="str">
        <f aca="false">IF($A3073="","",IF($Q3073=0,"UNMAPPED",INDEX(COA_Mapping!$C$7:$C$256,$Q3073)))</f>
        <v/>
      </c>
      <c r="N3073" s="38" t="str">
        <f aca="false">IF($A3073="","",IF($Q3073=0,"",INDEX(COA_Mapping!$E$7:$E$256,$Q3073)))</f>
        <v/>
      </c>
      <c r="O3073" s="38" t="n">
        <f aca="false">IF($A3073="",1,IF($Q3073=0,1,INDEX(COA_Mapping!$F$7:$F$256,$Q3073)))</f>
        <v>1</v>
      </c>
      <c r="P3073" s="34" t="str">
        <f aca="false">IF($A3073="","",$I3073*$O3073)</f>
        <v/>
      </c>
      <c r="Q3073" s="39" t="n">
        <f aca="false">IF($B3073="",0,IFERROR(MATCH($B3073,COA_Mapping!$A$7:$A$256,0),0))</f>
        <v>0</v>
      </c>
      <c r="R3073" s="39" t="n">
        <f aca="false">IF($A3073="",-1,IF($J3073=Setup!$B$7,1,IF($J3073=Setup!$B$9,0,-1)))</f>
        <v>-1</v>
      </c>
      <c r="S3073" s="35" t="n">
        <f aca="false">IF(OR($A3073="",$Q3073=0,$R3073=-1),0,$Q3073*1000+$R3073*100+$K3073)</f>
        <v>0</v>
      </c>
      <c r="T3073" s="37" t="str">
        <f aca="false">IF($A3073="","",IF($B3073="","NO ACCOUNT",IF($Q3073=0,"UNMAPPED",IF($R3073=-1,"OUTSIDE FY RANGE","OK"))))</f>
        <v/>
      </c>
      <c r="U3073" s="40" t="str">
        <f aca="false">IF($A3073="","",$B3073&amp;"|"&amp;TEXT($A3073,"yyyymmdd")&amp;"|"&amp;TEXT($I3073,"0.00"))</f>
        <v/>
      </c>
      <c r="V3073" s="35" t="str">
        <f aca="false">IF($A3073="","",COUNTIF($U$8:$U$5007,$U3073))</f>
        <v/>
      </c>
    </row>
    <row r="3074" customFormat="false" ht="15" hidden="false" customHeight="false" outlineLevel="0" collapsed="false">
      <c r="A3074" s="31"/>
      <c r="B3074" s="32"/>
      <c r="C3074" s="32"/>
      <c r="D3074" s="32"/>
      <c r="E3074" s="32"/>
      <c r="F3074" s="32"/>
      <c r="G3074" s="33"/>
      <c r="H3074" s="33"/>
      <c r="I3074" s="34" t="str">
        <f aca="false">IF($A3074="","",$G3074-$H3074)</f>
        <v/>
      </c>
      <c r="J3074" s="35" t="str">
        <f aca="false">IF($A3074="","",IF(Setup!$B$6=1,YEAR($A3074),YEAR($A3074)+IF(MONTH($A3074)&gt;=Setup!$B$6,1,0)))</f>
        <v/>
      </c>
      <c r="K3074" s="35" t="str">
        <f aca="false">IF($A3074="","",MOD(MONTH($A3074)-Setup!$B$6+12,12)+1)</f>
        <v/>
      </c>
      <c r="L3074" s="36" t="str">
        <f aca="false">IF($A3074="","",TEXT($A3074,"MMM-YY"))</f>
        <v/>
      </c>
      <c r="M3074" s="37" t="str">
        <f aca="false">IF($A3074="","",IF($Q3074=0,"UNMAPPED",INDEX(COA_Mapping!$C$7:$C$256,$Q3074)))</f>
        <v/>
      </c>
      <c r="N3074" s="38" t="str">
        <f aca="false">IF($A3074="","",IF($Q3074=0,"",INDEX(COA_Mapping!$E$7:$E$256,$Q3074)))</f>
        <v/>
      </c>
      <c r="O3074" s="38" t="n">
        <f aca="false">IF($A3074="",1,IF($Q3074=0,1,INDEX(COA_Mapping!$F$7:$F$256,$Q3074)))</f>
        <v>1</v>
      </c>
      <c r="P3074" s="34" t="str">
        <f aca="false">IF($A3074="","",$I3074*$O3074)</f>
        <v/>
      </c>
      <c r="Q3074" s="39" t="n">
        <f aca="false">IF($B3074="",0,IFERROR(MATCH($B3074,COA_Mapping!$A$7:$A$256,0),0))</f>
        <v>0</v>
      </c>
      <c r="R3074" s="39" t="n">
        <f aca="false">IF($A3074="",-1,IF($J3074=Setup!$B$7,1,IF($J3074=Setup!$B$9,0,-1)))</f>
        <v>-1</v>
      </c>
      <c r="S3074" s="35" t="n">
        <f aca="false">IF(OR($A3074="",$Q3074=0,$R3074=-1),0,$Q3074*1000+$R3074*100+$K3074)</f>
        <v>0</v>
      </c>
      <c r="T3074" s="37" t="str">
        <f aca="false">IF($A3074="","",IF($B3074="","NO ACCOUNT",IF($Q3074=0,"UNMAPPED",IF($R3074=-1,"OUTSIDE FY RANGE","OK"))))</f>
        <v/>
      </c>
      <c r="U3074" s="40" t="str">
        <f aca="false">IF($A3074="","",$B3074&amp;"|"&amp;TEXT($A3074,"yyyymmdd")&amp;"|"&amp;TEXT($I3074,"0.00"))</f>
        <v/>
      </c>
      <c r="V3074" s="35" t="str">
        <f aca="false">IF($A3074="","",COUNTIF($U$8:$U$5007,$U3074))</f>
        <v/>
      </c>
    </row>
    <row r="3075" customFormat="false" ht="15" hidden="false" customHeight="false" outlineLevel="0" collapsed="false">
      <c r="A3075" s="31"/>
      <c r="B3075" s="32"/>
      <c r="C3075" s="32"/>
      <c r="D3075" s="32"/>
      <c r="E3075" s="32"/>
      <c r="F3075" s="32"/>
      <c r="G3075" s="33"/>
      <c r="H3075" s="33"/>
      <c r="I3075" s="34" t="str">
        <f aca="false">IF($A3075="","",$G3075-$H3075)</f>
        <v/>
      </c>
      <c r="J3075" s="35" t="str">
        <f aca="false">IF($A3075="","",IF(Setup!$B$6=1,YEAR($A3075),YEAR($A3075)+IF(MONTH($A3075)&gt;=Setup!$B$6,1,0)))</f>
        <v/>
      </c>
      <c r="K3075" s="35" t="str">
        <f aca="false">IF($A3075="","",MOD(MONTH($A3075)-Setup!$B$6+12,12)+1)</f>
        <v/>
      </c>
      <c r="L3075" s="36" t="str">
        <f aca="false">IF($A3075="","",TEXT($A3075,"MMM-YY"))</f>
        <v/>
      </c>
      <c r="M3075" s="37" t="str">
        <f aca="false">IF($A3075="","",IF($Q3075=0,"UNMAPPED",INDEX(COA_Mapping!$C$7:$C$256,$Q3075)))</f>
        <v/>
      </c>
      <c r="N3075" s="38" t="str">
        <f aca="false">IF($A3075="","",IF($Q3075=0,"",INDEX(COA_Mapping!$E$7:$E$256,$Q3075)))</f>
        <v/>
      </c>
      <c r="O3075" s="38" t="n">
        <f aca="false">IF($A3075="",1,IF($Q3075=0,1,INDEX(COA_Mapping!$F$7:$F$256,$Q3075)))</f>
        <v>1</v>
      </c>
      <c r="P3075" s="34" t="str">
        <f aca="false">IF($A3075="","",$I3075*$O3075)</f>
        <v/>
      </c>
      <c r="Q3075" s="39" t="n">
        <f aca="false">IF($B3075="",0,IFERROR(MATCH($B3075,COA_Mapping!$A$7:$A$256,0),0))</f>
        <v>0</v>
      </c>
      <c r="R3075" s="39" t="n">
        <f aca="false">IF($A3075="",-1,IF($J3075=Setup!$B$7,1,IF($J3075=Setup!$B$9,0,-1)))</f>
        <v>-1</v>
      </c>
      <c r="S3075" s="35" t="n">
        <f aca="false">IF(OR($A3075="",$Q3075=0,$R3075=-1),0,$Q3075*1000+$R3075*100+$K3075)</f>
        <v>0</v>
      </c>
      <c r="T3075" s="37" t="str">
        <f aca="false">IF($A3075="","",IF($B3075="","NO ACCOUNT",IF($Q3075=0,"UNMAPPED",IF($R3075=-1,"OUTSIDE FY RANGE","OK"))))</f>
        <v/>
      </c>
      <c r="U3075" s="40" t="str">
        <f aca="false">IF($A3075="","",$B3075&amp;"|"&amp;TEXT($A3075,"yyyymmdd")&amp;"|"&amp;TEXT($I3075,"0.00"))</f>
        <v/>
      </c>
      <c r="V3075" s="35" t="str">
        <f aca="false">IF($A3075="","",COUNTIF($U$8:$U$5007,$U3075))</f>
        <v/>
      </c>
    </row>
    <row r="3076" customFormat="false" ht="15" hidden="false" customHeight="false" outlineLevel="0" collapsed="false">
      <c r="A3076" s="31"/>
      <c r="B3076" s="32"/>
      <c r="C3076" s="32"/>
      <c r="D3076" s="32"/>
      <c r="E3076" s="32"/>
      <c r="F3076" s="32"/>
      <c r="G3076" s="33"/>
      <c r="H3076" s="33"/>
      <c r="I3076" s="34" t="str">
        <f aca="false">IF($A3076="","",$G3076-$H3076)</f>
        <v/>
      </c>
      <c r="J3076" s="35" t="str">
        <f aca="false">IF($A3076="","",IF(Setup!$B$6=1,YEAR($A3076),YEAR($A3076)+IF(MONTH($A3076)&gt;=Setup!$B$6,1,0)))</f>
        <v/>
      </c>
      <c r="K3076" s="35" t="str">
        <f aca="false">IF($A3076="","",MOD(MONTH($A3076)-Setup!$B$6+12,12)+1)</f>
        <v/>
      </c>
      <c r="L3076" s="36" t="str">
        <f aca="false">IF($A3076="","",TEXT($A3076,"MMM-YY"))</f>
        <v/>
      </c>
      <c r="M3076" s="37" t="str">
        <f aca="false">IF($A3076="","",IF($Q3076=0,"UNMAPPED",INDEX(COA_Mapping!$C$7:$C$256,$Q3076)))</f>
        <v/>
      </c>
      <c r="N3076" s="38" t="str">
        <f aca="false">IF($A3076="","",IF($Q3076=0,"",INDEX(COA_Mapping!$E$7:$E$256,$Q3076)))</f>
        <v/>
      </c>
      <c r="O3076" s="38" t="n">
        <f aca="false">IF($A3076="",1,IF($Q3076=0,1,INDEX(COA_Mapping!$F$7:$F$256,$Q3076)))</f>
        <v>1</v>
      </c>
      <c r="P3076" s="34" t="str">
        <f aca="false">IF($A3076="","",$I3076*$O3076)</f>
        <v/>
      </c>
      <c r="Q3076" s="39" t="n">
        <f aca="false">IF($B3076="",0,IFERROR(MATCH($B3076,COA_Mapping!$A$7:$A$256,0),0))</f>
        <v>0</v>
      </c>
      <c r="R3076" s="39" t="n">
        <f aca="false">IF($A3076="",-1,IF($J3076=Setup!$B$7,1,IF($J3076=Setup!$B$9,0,-1)))</f>
        <v>-1</v>
      </c>
      <c r="S3076" s="35" t="n">
        <f aca="false">IF(OR($A3076="",$Q3076=0,$R3076=-1),0,$Q3076*1000+$R3076*100+$K3076)</f>
        <v>0</v>
      </c>
      <c r="T3076" s="37" t="str">
        <f aca="false">IF($A3076="","",IF($B3076="","NO ACCOUNT",IF($Q3076=0,"UNMAPPED",IF($R3076=-1,"OUTSIDE FY RANGE","OK"))))</f>
        <v/>
      </c>
      <c r="U3076" s="40" t="str">
        <f aca="false">IF($A3076="","",$B3076&amp;"|"&amp;TEXT($A3076,"yyyymmdd")&amp;"|"&amp;TEXT($I3076,"0.00"))</f>
        <v/>
      </c>
      <c r="V3076" s="35" t="str">
        <f aca="false">IF($A3076="","",COUNTIF($U$8:$U$5007,$U3076))</f>
        <v/>
      </c>
    </row>
    <row r="3077" customFormat="false" ht="15" hidden="false" customHeight="false" outlineLevel="0" collapsed="false">
      <c r="A3077" s="31"/>
      <c r="B3077" s="32"/>
      <c r="C3077" s="32"/>
      <c r="D3077" s="32"/>
      <c r="E3077" s="32"/>
      <c r="F3077" s="32"/>
      <c r="G3077" s="33"/>
      <c r="H3077" s="33"/>
      <c r="I3077" s="34" t="str">
        <f aca="false">IF($A3077="","",$G3077-$H3077)</f>
        <v/>
      </c>
      <c r="J3077" s="35" t="str">
        <f aca="false">IF($A3077="","",IF(Setup!$B$6=1,YEAR($A3077),YEAR($A3077)+IF(MONTH($A3077)&gt;=Setup!$B$6,1,0)))</f>
        <v/>
      </c>
      <c r="K3077" s="35" t="str">
        <f aca="false">IF($A3077="","",MOD(MONTH($A3077)-Setup!$B$6+12,12)+1)</f>
        <v/>
      </c>
      <c r="L3077" s="36" t="str">
        <f aca="false">IF($A3077="","",TEXT($A3077,"MMM-YY"))</f>
        <v/>
      </c>
      <c r="M3077" s="37" t="str">
        <f aca="false">IF($A3077="","",IF($Q3077=0,"UNMAPPED",INDEX(COA_Mapping!$C$7:$C$256,$Q3077)))</f>
        <v/>
      </c>
      <c r="N3077" s="38" t="str">
        <f aca="false">IF($A3077="","",IF($Q3077=0,"",INDEX(COA_Mapping!$E$7:$E$256,$Q3077)))</f>
        <v/>
      </c>
      <c r="O3077" s="38" t="n">
        <f aca="false">IF($A3077="",1,IF($Q3077=0,1,INDEX(COA_Mapping!$F$7:$F$256,$Q3077)))</f>
        <v>1</v>
      </c>
      <c r="P3077" s="34" t="str">
        <f aca="false">IF($A3077="","",$I3077*$O3077)</f>
        <v/>
      </c>
      <c r="Q3077" s="39" t="n">
        <f aca="false">IF($B3077="",0,IFERROR(MATCH($B3077,COA_Mapping!$A$7:$A$256,0),0))</f>
        <v>0</v>
      </c>
      <c r="R3077" s="39" t="n">
        <f aca="false">IF($A3077="",-1,IF($J3077=Setup!$B$7,1,IF($J3077=Setup!$B$9,0,-1)))</f>
        <v>-1</v>
      </c>
      <c r="S3077" s="35" t="n">
        <f aca="false">IF(OR($A3077="",$Q3077=0,$R3077=-1),0,$Q3077*1000+$R3077*100+$K3077)</f>
        <v>0</v>
      </c>
      <c r="T3077" s="37" t="str">
        <f aca="false">IF($A3077="","",IF($B3077="","NO ACCOUNT",IF($Q3077=0,"UNMAPPED",IF($R3077=-1,"OUTSIDE FY RANGE","OK"))))</f>
        <v/>
      </c>
      <c r="U3077" s="40" t="str">
        <f aca="false">IF($A3077="","",$B3077&amp;"|"&amp;TEXT($A3077,"yyyymmdd")&amp;"|"&amp;TEXT($I3077,"0.00"))</f>
        <v/>
      </c>
      <c r="V3077" s="35" t="str">
        <f aca="false">IF($A3077="","",COUNTIF($U$8:$U$5007,$U3077))</f>
        <v/>
      </c>
    </row>
    <row r="3078" customFormat="false" ht="15" hidden="false" customHeight="false" outlineLevel="0" collapsed="false">
      <c r="A3078" s="31"/>
      <c r="B3078" s="32"/>
      <c r="C3078" s="32"/>
      <c r="D3078" s="32"/>
      <c r="E3078" s="32"/>
      <c r="F3078" s="32"/>
      <c r="G3078" s="33"/>
      <c r="H3078" s="33"/>
      <c r="I3078" s="34" t="str">
        <f aca="false">IF($A3078="","",$G3078-$H3078)</f>
        <v/>
      </c>
      <c r="J3078" s="35" t="str">
        <f aca="false">IF($A3078="","",IF(Setup!$B$6=1,YEAR($A3078),YEAR($A3078)+IF(MONTH($A3078)&gt;=Setup!$B$6,1,0)))</f>
        <v/>
      </c>
      <c r="K3078" s="35" t="str">
        <f aca="false">IF($A3078="","",MOD(MONTH($A3078)-Setup!$B$6+12,12)+1)</f>
        <v/>
      </c>
      <c r="L3078" s="36" t="str">
        <f aca="false">IF($A3078="","",TEXT($A3078,"MMM-YY"))</f>
        <v/>
      </c>
      <c r="M3078" s="37" t="str">
        <f aca="false">IF($A3078="","",IF($Q3078=0,"UNMAPPED",INDEX(COA_Mapping!$C$7:$C$256,$Q3078)))</f>
        <v/>
      </c>
      <c r="N3078" s="38" t="str">
        <f aca="false">IF($A3078="","",IF($Q3078=0,"",INDEX(COA_Mapping!$E$7:$E$256,$Q3078)))</f>
        <v/>
      </c>
      <c r="O3078" s="38" t="n">
        <f aca="false">IF($A3078="",1,IF($Q3078=0,1,INDEX(COA_Mapping!$F$7:$F$256,$Q3078)))</f>
        <v>1</v>
      </c>
      <c r="P3078" s="34" t="str">
        <f aca="false">IF($A3078="","",$I3078*$O3078)</f>
        <v/>
      </c>
      <c r="Q3078" s="39" t="n">
        <f aca="false">IF($B3078="",0,IFERROR(MATCH($B3078,COA_Mapping!$A$7:$A$256,0),0))</f>
        <v>0</v>
      </c>
      <c r="R3078" s="39" t="n">
        <f aca="false">IF($A3078="",-1,IF($J3078=Setup!$B$7,1,IF($J3078=Setup!$B$9,0,-1)))</f>
        <v>-1</v>
      </c>
      <c r="S3078" s="35" t="n">
        <f aca="false">IF(OR($A3078="",$Q3078=0,$R3078=-1),0,$Q3078*1000+$R3078*100+$K3078)</f>
        <v>0</v>
      </c>
      <c r="T3078" s="37" t="str">
        <f aca="false">IF($A3078="","",IF($B3078="","NO ACCOUNT",IF($Q3078=0,"UNMAPPED",IF($R3078=-1,"OUTSIDE FY RANGE","OK"))))</f>
        <v/>
      </c>
      <c r="U3078" s="40" t="str">
        <f aca="false">IF($A3078="","",$B3078&amp;"|"&amp;TEXT($A3078,"yyyymmdd")&amp;"|"&amp;TEXT($I3078,"0.00"))</f>
        <v/>
      </c>
      <c r="V3078" s="35" t="str">
        <f aca="false">IF($A3078="","",COUNTIF($U$8:$U$5007,$U3078))</f>
        <v/>
      </c>
    </row>
    <row r="3079" customFormat="false" ht="15" hidden="false" customHeight="false" outlineLevel="0" collapsed="false">
      <c r="A3079" s="31"/>
      <c r="B3079" s="32"/>
      <c r="C3079" s="32"/>
      <c r="D3079" s="32"/>
      <c r="E3079" s="32"/>
      <c r="F3079" s="32"/>
      <c r="G3079" s="33"/>
      <c r="H3079" s="33"/>
      <c r="I3079" s="34" t="str">
        <f aca="false">IF($A3079="","",$G3079-$H3079)</f>
        <v/>
      </c>
      <c r="J3079" s="35" t="str">
        <f aca="false">IF($A3079="","",IF(Setup!$B$6=1,YEAR($A3079),YEAR($A3079)+IF(MONTH($A3079)&gt;=Setup!$B$6,1,0)))</f>
        <v/>
      </c>
      <c r="K3079" s="35" t="str">
        <f aca="false">IF($A3079="","",MOD(MONTH($A3079)-Setup!$B$6+12,12)+1)</f>
        <v/>
      </c>
      <c r="L3079" s="36" t="str">
        <f aca="false">IF($A3079="","",TEXT($A3079,"MMM-YY"))</f>
        <v/>
      </c>
      <c r="M3079" s="37" t="str">
        <f aca="false">IF($A3079="","",IF($Q3079=0,"UNMAPPED",INDEX(COA_Mapping!$C$7:$C$256,$Q3079)))</f>
        <v/>
      </c>
      <c r="N3079" s="38" t="str">
        <f aca="false">IF($A3079="","",IF($Q3079=0,"",INDEX(COA_Mapping!$E$7:$E$256,$Q3079)))</f>
        <v/>
      </c>
      <c r="O3079" s="38" t="n">
        <f aca="false">IF($A3079="",1,IF($Q3079=0,1,INDEX(COA_Mapping!$F$7:$F$256,$Q3079)))</f>
        <v>1</v>
      </c>
      <c r="P3079" s="34" t="str">
        <f aca="false">IF($A3079="","",$I3079*$O3079)</f>
        <v/>
      </c>
      <c r="Q3079" s="39" t="n">
        <f aca="false">IF($B3079="",0,IFERROR(MATCH($B3079,COA_Mapping!$A$7:$A$256,0),0))</f>
        <v>0</v>
      </c>
      <c r="R3079" s="39" t="n">
        <f aca="false">IF($A3079="",-1,IF($J3079=Setup!$B$7,1,IF($J3079=Setup!$B$9,0,-1)))</f>
        <v>-1</v>
      </c>
      <c r="S3079" s="35" t="n">
        <f aca="false">IF(OR($A3079="",$Q3079=0,$R3079=-1),0,$Q3079*1000+$R3079*100+$K3079)</f>
        <v>0</v>
      </c>
      <c r="T3079" s="37" t="str">
        <f aca="false">IF($A3079="","",IF($B3079="","NO ACCOUNT",IF($Q3079=0,"UNMAPPED",IF($R3079=-1,"OUTSIDE FY RANGE","OK"))))</f>
        <v/>
      </c>
      <c r="U3079" s="40" t="str">
        <f aca="false">IF($A3079="","",$B3079&amp;"|"&amp;TEXT($A3079,"yyyymmdd")&amp;"|"&amp;TEXT($I3079,"0.00"))</f>
        <v/>
      </c>
      <c r="V3079" s="35" t="str">
        <f aca="false">IF($A3079="","",COUNTIF($U$8:$U$5007,$U3079))</f>
        <v/>
      </c>
    </row>
    <row r="3080" customFormat="false" ht="15" hidden="false" customHeight="false" outlineLevel="0" collapsed="false">
      <c r="A3080" s="31"/>
      <c r="B3080" s="32"/>
      <c r="C3080" s="32"/>
      <c r="D3080" s="32"/>
      <c r="E3080" s="32"/>
      <c r="F3080" s="32"/>
      <c r="G3080" s="33"/>
      <c r="H3080" s="33"/>
      <c r="I3080" s="34" t="str">
        <f aca="false">IF($A3080="","",$G3080-$H3080)</f>
        <v/>
      </c>
      <c r="J3080" s="35" t="str">
        <f aca="false">IF($A3080="","",IF(Setup!$B$6=1,YEAR($A3080),YEAR($A3080)+IF(MONTH($A3080)&gt;=Setup!$B$6,1,0)))</f>
        <v/>
      </c>
      <c r="K3080" s="35" t="str">
        <f aca="false">IF($A3080="","",MOD(MONTH($A3080)-Setup!$B$6+12,12)+1)</f>
        <v/>
      </c>
      <c r="L3080" s="36" t="str">
        <f aca="false">IF($A3080="","",TEXT($A3080,"MMM-YY"))</f>
        <v/>
      </c>
      <c r="M3080" s="37" t="str">
        <f aca="false">IF($A3080="","",IF($Q3080=0,"UNMAPPED",INDEX(COA_Mapping!$C$7:$C$256,$Q3080)))</f>
        <v/>
      </c>
      <c r="N3080" s="38" t="str">
        <f aca="false">IF($A3080="","",IF($Q3080=0,"",INDEX(COA_Mapping!$E$7:$E$256,$Q3080)))</f>
        <v/>
      </c>
      <c r="O3080" s="38" t="n">
        <f aca="false">IF($A3080="",1,IF($Q3080=0,1,INDEX(COA_Mapping!$F$7:$F$256,$Q3080)))</f>
        <v>1</v>
      </c>
      <c r="P3080" s="34" t="str">
        <f aca="false">IF($A3080="","",$I3080*$O3080)</f>
        <v/>
      </c>
      <c r="Q3080" s="39" t="n">
        <f aca="false">IF($B3080="",0,IFERROR(MATCH($B3080,COA_Mapping!$A$7:$A$256,0),0))</f>
        <v>0</v>
      </c>
      <c r="R3080" s="39" t="n">
        <f aca="false">IF($A3080="",-1,IF($J3080=Setup!$B$7,1,IF($J3080=Setup!$B$9,0,-1)))</f>
        <v>-1</v>
      </c>
      <c r="S3080" s="35" t="n">
        <f aca="false">IF(OR($A3080="",$Q3080=0,$R3080=-1),0,$Q3080*1000+$R3080*100+$K3080)</f>
        <v>0</v>
      </c>
      <c r="T3080" s="37" t="str">
        <f aca="false">IF($A3080="","",IF($B3080="","NO ACCOUNT",IF($Q3080=0,"UNMAPPED",IF($R3080=-1,"OUTSIDE FY RANGE","OK"))))</f>
        <v/>
      </c>
      <c r="U3080" s="40" t="str">
        <f aca="false">IF($A3080="","",$B3080&amp;"|"&amp;TEXT($A3080,"yyyymmdd")&amp;"|"&amp;TEXT($I3080,"0.00"))</f>
        <v/>
      </c>
      <c r="V3080" s="35" t="str">
        <f aca="false">IF($A3080="","",COUNTIF($U$8:$U$5007,$U3080))</f>
        <v/>
      </c>
    </row>
    <row r="3081" customFormat="false" ht="15" hidden="false" customHeight="false" outlineLevel="0" collapsed="false">
      <c r="A3081" s="31"/>
      <c r="B3081" s="32"/>
      <c r="C3081" s="32"/>
      <c r="D3081" s="32"/>
      <c r="E3081" s="32"/>
      <c r="F3081" s="32"/>
      <c r="G3081" s="33"/>
      <c r="H3081" s="33"/>
      <c r="I3081" s="34" t="str">
        <f aca="false">IF($A3081="","",$G3081-$H3081)</f>
        <v/>
      </c>
      <c r="J3081" s="35" t="str">
        <f aca="false">IF($A3081="","",IF(Setup!$B$6=1,YEAR($A3081),YEAR($A3081)+IF(MONTH($A3081)&gt;=Setup!$B$6,1,0)))</f>
        <v/>
      </c>
      <c r="K3081" s="35" t="str">
        <f aca="false">IF($A3081="","",MOD(MONTH($A3081)-Setup!$B$6+12,12)+1)</f>
        <v/>
      </c>
      <c r="L3081" s="36" t="str">
        <f aca="false">IF($A3081="","",TEXT($A3081,"MMM-YY"))</f>
        <v/>
      </c>
      <c r="M3081" s="37" t="str">
        <f aca="false">IF($A3081="","",IF($Q3081=0,"UNMAPPED",INDEX(COA_Mapping!$C$7:$C$256,$Q3081)))</f>
        <v/>
      </c>
      <c r="N3081" s="38" t="str">
        <f aca="false">IF($A3081="","",IF($Q3081=0,"",INDEX(COA_Mapping!$E$7:$E$256,$Q3081)))</f>
        <v/>
      </c>
      <c r="O3081" s="38" t="n">
        <f aca="false">IF($A3081="",1,IF($Q3081=0,1,INDEX(COA_Mapping!$F$7:$F$256,$Q3081)))</f>
        <v>1</v>
      </c>
      <c r="P3081" s="34" t="str">
        <f aca="false">IF($A3081="","",$I3081*$O3081)</f>
        <v/>
      </c>
      <c r="Q3081" s="39" t="n">
        <f aca="false">IF($B3081="",0,IFERROR(MATCH($B3081,COA_Mapping!$A$7:$A$256,0),0))</f>
        <v>0</v>
      </c>
      <c r="R3081" s="39" t="n">
        <f aca="false">IF($A3081="",-1,IF($J3081=Setup!$B$7,1,IF($J3081=Setup!$B$9,0,-1)))</f>
        <v>-1</v>
      </c>
      <c r="S3081" s="35" t="n">
        <f aca="false">IF(OR($A3081="",$Q3081=0,$R3081=-1),0,$Q3081*1000+$R3081*100+$K3081)</f>
        <v>0</v>
      </c>
      <c r="T3081" s="37" t="str">
        <f aca="false">IF($A3081="","",IF($B3081="","NO ACCOUNT",IF($Q3081=0,"UNMAPPED",IF($R3081=-1,"OUTSIDE FY RANGE","OK"))))</f>
        <v/>
      </c>
      <c r="U3081" s="40" t="str">
        <f aca="false">IF($A3081="","",$B3081&amp;"|"&amp;TEXT($A3081,"yyyymmdd")&amp;"|"&amp;TEXT($I3081,"0.00"))</f>
        <v/>
      </c>
      <c r="V3081" s="35" t="str">
        <f aca="false">IF($A3081="","",COUNTIF($U$8:$U$5007,$U3081))</f>
        <v/>
      </c>
    </row>
    <row r="3082" customFormat="false" ht="15" hidden="false" customHeight="false" outlineLevel="0" collapsed="false">
      <c r="A3082" s="31"/>
      <c r="B3082" s="32"/>
      <c r="C3082" s="32"/>
      <c r="D3082" s="32"/>
      <c r="E3082" s="32"/>
      <c r="F3082" s="32"/>
      <c r="G3082" s="33"/>
      <c r="H3082" s="33"/>
      <c r="I3082" s="34" t="str">
        <f aca="false">IF($A3082="","",$G3082-$H3082)</f>
        <v/>
      </c>
      <c r="J3082" s="35" t="str">
        <f aca="false">IF($A3082="","",IF(Setup!$B$6=1,YEAR($A3082),YEAR($A3082)+IF(MONTH($A3082)&gt;=Setup!$B$6,1,0)))</f>
        <v/>
      </c>
      <c r="K3082" s="35" t="str">
        <f aca="false">IF($A3082="","",MOD(MONTH($A3082)-Setup!$B$6+12,12)+1)</f>
        <v/>
      </c>
      <c r="L3082" s="36" t="str">
        <f aca="false">IF($A3082="","",TEXT($A3082,"MMM-YY"))</f>
        <v/>
      </c>
      <c r="M3082" s="37" t="str">
        <f aca="false">IF($A3082="","",IF($Q3082=0,"UNMAPPED",INDEX(COA_Mapping!$C$7:$C$256,$Q3082)))</f>
        <v/>
      </c>
      <c r="N3082" s="38" t="str">
        <f aca="false">IF($A3082="","",IF($Q3082=0,"",INDEX(COA_Mapping!$E$7:$E$256,$Q3082)))</f>
        <v/>
      </c>
      <c r="O3082" s="38" t="n">
        <f aca="false">IF($A3082="",1,IF($Q3082=0,1,INDEX(COA_Mapping!$F$7:$F$256,$Q3082)))</f>
        <v>1</v>
      </c>
      <c r="P3082" s="34" t="str">
        <f aca="false">IF($A3082="","",$I3082*$O3082)</f>
        <v/>
      </c>
      <c r="Q3082" s="39" t="n">
        <f aca="false">IF($B3082="",0,IFERROR(MATCH($B3082,COA_Mapping!$A$7:$A$256,0),0))</f>
        <v>0</v>
      </c>
      <c r="R3082" s="39" t="n">
        <f aca="false">IF($A3082="",-1,IF($J3082=Setup!$B$7,1,IF($J3082=Setup!$B$9,0,-1)))</f>
        <v>-1</v>
      </c>
      <c r="S3082" s="35" t="n">
        <f aca="false">IF(OR($A3082="",$Q3082=0,$R3082=-1),0,$Q3082*1000+$R3082*100+$K3082)</f>
        <v>0</v>
      </c>
      <c r="T3082" s="37" t="str">
        <f aca="false">IF($A3082="","",IF($B3082="","NO ACCOUNT",IF($Q3082=0,"UNMAPPED",IF($R3082=-1,"OUTSIDE FY RANGE","OK"))))</f>
        <v/>
      </c>
      <c r="U3082" s="40" t="str">
        <f aca="false">IF($A3082="","",$B3082&amp;"|"&amp;TEXT($A3082,"yyyymmdd")&amp;"|"&amp;TEXT($I3082,"0.00"))</f>
        <v/>
      </c>
      <c r="V3082" s="35" t="str">
        <f aca="false">IF($A3082="","",COUNTIF($U$8:$U$5007,$U3082))</f>
        <v/>
      </c>
    </row>
    <row r="3083" customFormat="false" ht="15" hidden="false" customHeight="false" outlineLevel="0" collapsed="false">
      <c r="A3083" s="31"/>
      <c r="B3083" s="32"/>
      <c r="C3083" s="32"/>
      <c r="D3083" s="32"/>
      <c r="E3083" s="32"/>
      <c r="F3083" s="32"/>
      <c r="G3083" s="33"/>
      <c r="H3083" s="33"/>
      <c r="I3083" s="34" t="str">
        <f aca="false">IF($A3083="","",$G3083-$H3083)</f>
        <v/>
      </c>
      <c r="J3083" s="35" t="str">
        <f aca="false">IF($A3083="","",IF(Setup!$B$6=1,YEAR($A3083),YEAR($A3083)+IF(MONTH($A3083)&gt;=Setup!$B$6,1,0)))</f>
        <v/>
      </c>
      <c r="K3083" s="35" t="str">
        <f aca="false">IF($A3083="","",MOD(MONTH($A3083)-Setup!$B$6+12,12)+1)</f>
        <v/>
      </c>
      <c r="L3083" s="36" t="str">
        <f aca="false">IF($A3083="","",TEXT($A3083,"MMM-YY"))</f>
        <v/>
      </c>
      <c r="M3083" s="37" t="str">
        <f aca="false">IF($A3083="","",IF($Q3083=0,"UNMAPPED",INDEX(COA_Mapping!$C$7:$C$256,$Q3083)))</f>
        <v/>
      </c>
      <c r="N3083" s="38" t="str">
        <f aca="false">IF($A3083="","",IF($Q3083=0,"",INDEX(COA_Mapping!$E$7:$E$256,$Q3083)))</f>
        <v/>
      </c>
      <c r="O3083" s="38" t="n">
        <f aca="false">IF($A3083="",1,IF($Q3083=0,1,INDEX(COA_Mapping!$F$7:$F$256,$Q3083)))</f>
        <v>1</v>
      </c>
      <c r="P3083" s="34" t="str">
        <f aca="false">IF($A3083="","",$I3083*$O3083)</f>
        <v/>
      </c>
      <c r="Q3083" s="39" t="n">
        <f aca="false">IF($B3083="",0,IFERROR(MATCH($B3083,COA_Mapping!$A$7:$A$256,0),0))</f>
        <v>0</v>
      </c>
      <c r="R3083" s="39" t="n">
        <f aca="false">IF($A3083="",-1,IF($J3083=Setup!$B$7,1,IF($J3083=Setup!$B$9,0,-1)))</f>
        <v>-1</v>
      </c>
      <c r="S3083" s="35" t="n">
        <f aca="false">IF(OR($A3083="",$Q3083=0,$R3083=-1),0,$Q3083*1000+$R3083*100+$K3083)</f>
        <v>0</v>
      </c>
      <c r="T3083" s="37" t="str">
        <f aca="false">IF($A3083="","",IF($B3083="","NO ACCOUNT",IF($Q3083=0,"UNMAPPED",IF($R3083=-1,"OUTSIDE FY RANGE","OK"))))</f>
        <v/>
      </c>
      <c r="U3083" s="40" t="str">
        <f aca="false">IF($A3083="","",$B3083&amp;"|"&amp;TEXT($A3083,"yyyymmdd")&amp;"|"&amp;TEXT($I3083,"0.00"))</f>
        <v/>
      </c>
      <c r="V3083" s="35" t="str">
        <f aca="false">IF($A3083="","",COUNTIF($U$8:$U$5007,$U3083))</f>
        <v/>
      </c>
    </row>
    <row r="3084" customFormat="false" ht="15" hidden="false" customHeight="false" outlineLevel="0" collapsed="false">
      <c r="A3084" s="31"/>
      <c r="B3084" s="32"/>
      <c r="C3084" s="32"/>
      <c r="D3084" s="32"/>
      <c r="E3084" s="32"/>
      <c r="F3084" s="32"/>
      <c r="G3084" s="33"/>
      <c r="H3084" s="33"/>
      <c r="I3084" s="34" t="str">
        <f aca="false">IF($A3084="","",$G3084-$H3084)</f>
        <v/>
      </c>
      <c r="J3084" s="35" t="str">
        <f aca="false">IF($A3084="","",IF(Setup!$B$6=1,YEAR($A3084),YEAR($A3084)+IF(MONTH($A3084)&gt;=Setup!$B$6,1,0)))</f>
        <v/>
      </c>
      <c r="K3084" s="35" t="str">
        <f aca="false">IF($A3084="","",MOD(MONTH($A3084)-Setup!$B$6+12,12)+1)</f>
        <v/>
      </c>
      <c r="L3084" s="36" t="str">
        <f aca="false">IF($A3084="","",TEXT($A3084,"MMM-YY"))</f>
        <v/>
      </c>
      <c r="M3084" s="37" t="str">
        <f aca="false">IF($A3084="","",IF($Q3084=0,"UNMAPPED",INDEX(COA_Mapping!$C$7:$C$256,$Q3084)))</f>
        <v/>
      </c>
      <c r="N3084" s="38" t="str">
        <f aca="false">IF($A3084="","",IF($Q3084=0,"",INDEX(COA_Mapping!$E$7:$E$256,$Q3084)))</f>
        <v/>
      </c>
      <c r="O3084" s="38" t="n">
        <f aca="false">IF($A3084="",1,IF($Q3084=0,1,INDEX(COA_Mapping!$F$7:$F$256,$Q3084)))</f>
        <v>1</v>
      </c>
      <c r="P3084" s="34" t="str">
        <f aca="false">IF($A3084="","",$I3084*$O3084)</f>
        <v/>
      </c>
      <c r="Q3084" s="39" t="n">
        <f aca="false">IF($B3084="",0,IFERROR(MATCH($B3084,COA_Mapping!$A$7:$A$256,0),0))</f>
        <v>0</v>
      </c>
      <c r="R3084" s="39" t="n">
        <f aca="false">IF($A3084="",-1,IF($J3084=Setup!$B$7,1,IF($J3084=Setup!$B$9,0,-1)))</f>
        <v>-1</v>
      </c>
      <c r="S3084" s="35" t="n">
        <f aca="false">IF(OR($A3084="",$Q3084=0,$R3084=-1),0,$Q3084*1000+$R3084*100+$K3084)</f>
        <v>0</v>
      </c>
      <c r="T3084" s="37" t="str">
        <f aca="false">IF($A3084="","",IF($B3084="","NO ACCOUNT",IF($Q3084=0,"UNMAPPED",IF($R3084=-1,"OUTSIDE FY RANGE","OK"))))</f>
        <v/>
      </c>
      <c r="U3084" s="40" t="str">
        <f aca="false">IF($A3084="","",$B3084&amp;"|"&amp;TEXT($A3084,"yyyymmdd")&amp;"|"&amp;TEXT($I3084,"0.00"))</f>
        <v/>
      </c>
      <c r="V3084" s="35" t="str">
        <f aca="false">IF($A3084="","",COUNTIF($U$8:$U$5007,$U3084))</f>
        <v/>
      </c>
    </row>
    <row r="3085" customFormat="false" ht="15" hidden="false" customHeight="false" outlineLevel="0" collapsed="false">
      <c r="A3085" s="31"/>
      <c r="B3085" s="32"/>
      <c r="C3085" s="32"/>
      <c r="D3085" s="32"/>
      <c r="E3085" s="32"/>
      <c r="F3085" s="32"/>
      <c r="G3085" s="33"/>
      <c r="H3085" s="33"/>
      <c r="I3085" s="34" t="str">
        <f aca="false">IF($A3085="","",$G3085-$H3085)</f>
        <v/>
      </c>
      <c r="J3085" s="35" t="str">
        <f aca="false">IF($A3085="","",IF(Setup!$B$6=1,YEAR($A3085),YEAR($A3085)+IF(MONTH($A3085)&gt;=Setup!$B$6,1,0)))</f>
        <v/>
      </c>
      <c r="K3085" s="35" t="str">
        <f aca="false">IF($A3085="","",MOD(MONTH($A3085)-Setup!$B$6+12,12)+1)</f>
        <v/>
      </c>
      <c r="L3085" s="36" t="str">
        <f aca="false">IF($A3085="","",TEXT($A3085,"MMM-YY"))</f>
        <v/>
      </c>
      <c r="M3085" s="37" t="str">
        <f aca="false">IF($A3085="","",IF($Q3085=0,"UNMAPPED",INDEX(COA_Mapping!$C$7:$C$256,$Q3085)))</f>
        <v/>
      </c>
      <c r="N3085" s="38" t="str">
        <f aca="false">IF($A3085="","",IF($Q3085=0,"",INDEX(COA_Mapping!$E$7:$E$256,$Q3085)))</f>
        <v/>
      </c>
      <c r="O3085" s="38" t="n">
        <f aca="false">IF($A3085="",1,IF($Q3085=0,1,INDEX(COA_Mapping!$F$7:$F$256,$Q3085)))</f>
        <v>1</v>
      </c>
      <c r="P3085" s="34" t="str">
        <f aca="false">IF($A3085="","",$I3085*$O3085)</f>
        <v/>
      </c>
      <c r="Q3085" s="39" t="n">
        <f aca="false">IF($B3085="",0,IFERROR(MATCH($B3085,COA_Mapping!$A$7:$A$256,0),0))</f>
        <v>0</v>
      </c>
      <c r="R3085" s="39" t="n">
        <f aca="false">IF($A3085="",-1,IF($J3085=Setup!$B$7,1,IF($J3085=Setup!$B$9,0,-1)))</f>
        <v>-1</v>
      </c>
      <c r="S3085" s="35" t="n">
        <f aca="false">IF(OR($A3085="",$Q3085=0,$R3085=-1),0,$Q3085*1000+$R3085*100+$K3085)</f>
        <v>0</v>
      </c>
      <c r="T3085" s="37" t="str">
        <f aca="false">IF($A3085="","",IF($B3085="","NO ACCOUNT",IF($Q3085=0,"UNMAPPED",IF($R3085=-1,"OUTSIDE FY RANGE","OK"))))</f>
        <v/>
      </c>
      <c r="U3085" s="40" t="str">
        <f aca="false">IF($A3085="","",$B3085&amp;"|"&amp;TEXT($A3085,"yyyymmdd")&amp;"|"&amp;TEXT($I3085,"0.00"))</f>
        <v/>
      </c>
      <c r="V3085" s="35" t="str">
        <f aca="false">IF($A3085="","",COUNTIF($U$8:$U$5007,$U3085))</f>
        <v/>
      </c>
    </row>
    <row r="3086" customFormat="false" ht="15" hidden="false" customHeight="false" outlineLevel="0" collapsed="false">
      <c r="A3086" s="31"/>
      <c r="B3086" s="32"/>
      <c r="C3086" s="32"/>
      <c r="D3086" s="32"/>
      <c r="E3086" s="32"/>
      <c r="F3086" s="32"/>
      <c r="G3086" s="33"/>
      <c r="H3086" s="33"/>
      <c r="I3086" s="34" t="str">
        <f aca="false">IF($A3086="","",$G3086-$H3086)</f>
        <v/>
      </c>
      <c r="J3086" s="35" t="str">
        <f aca="false">IF($A3086="","",IF(Setup!$B$6=1,YEAR($A3086),YEAR($A3086)+IF(MONTH($A3086)&gt;=Setup!$B$6,1,0)))</f>
        <v/>
      </c>
      <c r="K3086" s="35" t="str">
        <f aca="false">IF($A3086="","",MOD(MONTH($A3086)-Setup!$B$6+12,12)+1)</f>
        <v/>
      </c>
      <c r="L3086" s="36" t="str">
        <f aca="false">IF($A3086="","",TEXT($A3086,"MMM-YY"))</f>
        <v/>
      </c>
      <c r="M3086" s="37" t="str">
        <f aca="false">IF($A3086="","",IF($Q3086=0,"UNMAPPED",INDEX(COA_Mapping!$C$7:$C$256,$Q3086)))</f>
        <v/>
      </c>
      <c r="N3086" s="38" t="str">
        <f aca="false">IF($A3086="","",IF($Q3086=0,"",INDEX(COA_Mapping!$E$7:$E$256,$Q3086)))</f>
        <v/>
      </c>
      <c r="O3086" s="38" t="n">
        <f aca="false">IF($A3086="",1,IF($Q3086=0,1,INDEX(COA_Mapping!$F$7:$F$256,$Q3086)))</f>
        <v>1</v>
      </c>
      <c r="P3086" s="34" t="str">
        <f aca="false">IF($A3086="","",$I3086*$O3086)</f>
        <v/>
      </c>
      <c r="Q3086" s="39" t="n">
        <f aca="false">IF($B3086="",0,IFERROR(MATCH($B3086,COA_Mapping!$A$7:$A$256,0),0))</f>
        <v>0</v>
      </c>
      <c r="R3086" s="39" t="n">
        <f aca="false">IF($A3086="",-1,IF($J3086=Setup!$B$7,1,IF($J3086=Setup!$B$9,0,-1)))</f>
        <v>-1</v>
      </c>
      <c r="S3086" s="35" t="n">
        <f aca="false">IF(OR($A3086="",$Q3086=0,$R3086=-1),0,$Q3086*1000+$R3086*100+$K3086)</f>
        <v>0</v>
      </c>
      <c r="T3086" s="37" t="str">
        <f aca="false">IF($A3086="","",IF($B3086="","NO ACCOUNT",IF($Q3086=0,"UNMAPPED",IF($R3086=-1,"OUTSIDE FY RANGE","OK"))))</f>
        <v/>
      </c>
      <c r="U3086" s="40" t="str">
        <f aca="false">IF($A3086="","",$B3086&amp;"|"&amp;TEXT($A3086,"yyyymmdd")&amp;"|"&amp;TEXT($I3086,"0.00"))</f>
        <v/>
      </c>
      <c r="V3086" s="35" t="str">
        <f aca="false">IF($A3086="","",COUNTIF($U$8:$U$5007,$U3086))</f>
        <v/>
      </c>
    </row>
    <row r="3087" customFormat="false" ht="15" hidden="false" customHeight="false" outlineLevel="0" collapsed="false">
      <c r="A3087" s="31"/>
      <c r="B3087" s="32"/>
      <c r="C3087" s="32"/>
      <c r="D3087" s="32"/>
      <c r="E3087" s="32"/>
      <c r="F3087" s="32"/>
      <c r="G3087" s="33"/>
      <c r="H3087" s="33"/>
      <c r="I3087" s="34" t="str">
        <f aca="false">IF($A3087="","",$G3087-$H3087)</f>
        <v/>
      </c>
      <c r="J3087" s="35" t="str">
        <f aca="false">IF($A3087="","",IF(Setup!$B$6=1,YEAR($A3087),YEAR($A3087)+IF(MONTH($A3087)&gt;=Setup!$B$6,1,0)))</f>
        <v/>
      </c>
      <c r="K3087" s="35" t="str">
        <f aca="false">IF($A3087="","",MOD(MONTH($A3087)-Setup!$B$6+12,12)+1)</f>
        <v/>
      </c>
      <c r="L3087" s="36" t="str">
        <f aca="false">IF($A3087="","",TEXT($A3087,"MMM-YY"))</f>
        <v/>
      </c>
      <c r="M3087" s="37" t="str">
        <f aca="false">IF($A3087="","",IF($Q3087=0,"UNMAPPED",INDEX(COA_Mapping!$C$7:$C$256,$Q3087)))</f>
        <v/>
      </c>
      <c r="N3087" s="38" t="str">
        <f aca="false">IF($A3087="","",IF($Q3087=0,"",INDEX(COA_Mapping!$E$7:$E$256,$Q3087)))</f>
        <v/>
      </c>
      <c r="O3087" s="38" t="n">
        <f aca="false">IF($A3087="",1,IF($Q3087=0,1,INDEX(COA_Mapping!$F$7:$F$256,$Q3087)))</f>
        <v>1</v>
      </c>
      <c r="P3087" s="34" t="str">
        <f aca="false">IF($A3087="","",$I3087*$O3087)</f>
        <v/>
      </c>
      <c r="Q3087" s="39" t="n">
        <f aca="false">IF($B3087="",0,IFERROR(MATCH($B3087,COA_Mapping!$A$7:$A$256,0),0))</f>
        <v>0</v>
      </c>
      <c r="R3087" s="39" t="n">
        <f aca="false">IF($A3087="",-1,IF($J3087=Setup!$B$7,1,IF($J3087=Setup!$B$9,0,-1)))</f>
        <v>-1</v>
      </c>
      <c r="S3087" s="35" t="n">
        <f aca="false">IF(OR($A3087="",$Q3087=0,$R3087=-1),0,$Q3087*1000+$R3087*100+$K3087)</f>
        <v>0</v>
      </c>
      <c r="T3087" s="37" t="str">
        <f aca="false">IF($A3087="","",IF($B3087="","NO ACCOUNT",IF($Q3087=0,"UNMAPPED",IF($R3087=-1,"OUTSIDE FY RANGE","OK"))))</f>
        <v/>
      </c>
      <c r="U3087" s="40" t="str">
        <f aca="false">IF($A3087="","",$B3087&amp;"|"&amp;TEXT($A3087,"yyyymmdd")&amp;"|"&amp;TEXT($I3087,"0.00"))</f>
        <v/>
      </c>
      <c r="V3087" s="35" t="str">
        <f aca="false">IF($A3087="","",COUNTIF($U$8:$U$5007,$U3087))</f>
        <v/>
      </c>
    </row>
    <row r="3088" customFormat="false" ht="15" hidden="false" customHeight="false" outlineLevel="0" collapsed="false">
      <c r="A3088" s="31"/>
      <c r="B3088" s="32"/>
      <c r="C3088" s="32"/>
      <c r="D3088" s="32"/>
      <c r="E3088" s="32"/>
      <c r="F3088" s="32"/>
      <c r="G3088" s="33"/>
      <c r="H3088" s="33"/>
      <c r="I3088" s="34" t="str">
        <f aca="false">IF($A3088="","",$G3088-$H3088)</f>
        <v/>
      </c>
      <c r="J3088" s="35" t="str">
        <f aca="false">IF($A3088="","",IF(Setup!$B$6=1,YEAR($A3088),YEAR($A3088)+IF(MONTH($A3088)&gt;=Setup!$B$6,1,0)))</f>
        <v/>
      </c>
      <c r="K3088" s="35" t="str">
        <f aca="false">IF($A3088="","",MOD(MONTH($A3088)-Setup!$B$6+12,12)+1)</f>
        <v/>
      </c>
      <c r="L3088" s="36" t="str">
        <f aca="false">IF($A3088="","",TEXT($A3088,"MMM-YY"))</f>
        <v/>
      </c>
      <c r="M3088" s="37" t="str">
        <f aca="false">IF($A3088="","",IF($Q3088=0,"UNMAPPED",INDEX(COA_Mapping!$C$7:$C$256,$Q3088)))</f>
        <v/>
      </c>
      <c r="N3088" s="38" t="str">
        <f aca="false">IF($A3088="","",IF($Q3088=0,"",INDEX(COA_Mapping!$E$7:$E$256,$Q3088)))</f>
        <v/>
      </c>
      <c r="O3088" s="38" t="n">
        <f aca="false">IF($A3088="",1,IF($Q3088=0,1,INDEX(COA_Mapping!$F$7:$F$256,$Q3088)))</f>
        <v>1</v>
      </c>
      <c r="P3088" s="34" t="str">
        <f aca="false">IF($A3088="","",$I3088*$O3088)</f>
        <v/>
      </c>
      <c r="Q3088" s="39" t="n">
        <f aca="false">IF($B3088="",0,IFERROR(MATCH($B3088,COA_Mapping!$A$7:$A$256,0),0))</f>
        <v>0</v>
      </c>
      <c r="R3088" s="39" t="n">
        <f aca="false">IF($A3088="",-1,IF($J3088=Setup!$B$7,1,IF($J3088=Setup!$B$9,0,-1)))</f>
        <v>-1</v>
      </c>
      <c r="S3088" s="35" t="n">
        <f aca="false">IF(OR($A3088="",$Q3088=0,$R3088=-1),0,$Q3088*1000+$R3088*100+$K3088)</f>
        <v>0</v>
      </c>
      <c r="T3088" s="37" t="str">
        <f aca="false">IF($A3088="","",IF($B3088="","NO ACCOUNT",IF($Q3088=0,"UNMAPPED",IF($R3088=-1,"OUTSIDE FY RANGE","OK"))))</f>
        <v/>
      </c>
      <c r="U3088" s="40" t="str">
        <f aca="false">IF($A3088="","",$B3088&amp;"|"&amp;TEXT($A3088,"yyyymmdd")&amp;"|"&amp;TEXT($I3088,"0.00"))</f>
        <v/>
      </c>
      <c r="V3088" s="35" t="str">
        <f aca="false">IF($A3088="","",COUNTIF($U$8:$U$5007,$U3088))</f>
        <v/>
      </c>
    </row>
    <row r="3089" customFormat="false" ht="15" hidden="false" customHeight="false" outlineLevel="0" collapsed="false">
      <c r="A3089" s="31"/>
      <c r="B3089" s="32"/>
      <c r="C3089" s="32"/>
      <c r="D3089" s="32"/>
      <c r="E3089" s="32"/>
      <c r="F3089" s="32"/>
      <c r="G3089" s="33"/>
      <c r="H3089" s="33"/>
      <c r="I3089" s="34" t="str">
        <f aca="false">IF($A3089="","",$G3089-$H3089)</f>
        <v/>
      </c>
      <c r="J3089" s="35" t="str">
        <f aca="false">IF($A3089="","",IF(Setup!$B$6=1,YEAR($A3089),YEAR($A3089)+IF(MONTH($A3089)&gt;=Setup!$B$6,1,0)))</f>
        <v/>
      </c>
      <c r="K3089" s="35" t="str">
        <f aca="false">IF($A3089="","",MOD(MONTH($A3089)-Setup!$B$6+12,12)+1)</f>
        <v/>
      </c>
      <c r="L3089" s="36" t="str">
        <f aca="false">IF($A3089="","",TEXT($A3089,"MMM-YY"))</f>
        <v/>
      </c>
      <c r="M3089" s="37" t="str">
        <f aca="false">IF($A3089="","",IF($Q3089=0,"UNMAPPED",INDEX(COA_Mapping!$C$7:$C$256,$Q3089)))</f>
        <v/>
      </c>
      <c r="N3089" s="38" t="str">
        <f aca="false">IF($A3089="","",IF($Q3089=0,"",INDEX(COA_Mapping!$E$7:$E$256,$Q3089)))</f>
        <v/>
      </c>
      <c r="O3089" s="38" t="n">
        <f aca="false">IF($A3089="",1,IF($Q3089=0,1,INDEX(COA_Mapping!$F$7:$F$256,$Q3089)))</f>
        <v>1</v>
      </c>
      <c r="P3089" s="34" t="str">
        <f aca="false">IF($A3089="","",$I3089*$O3089)</f>
        <v/>
      </c>
      <c r="Q3089" s="39" t="n">
        <f aca="false">IF($B3089="",0,IFERROR(MATCH($B3089,COA_Mapping!$A$7:$A$256,0),0))</f>
        <v>0</v>
      </c>
      <c r="R3089" s="39" t="n">
        <f aca="false">IF($A3089="",-1,IF($J3089=Setup!$B$7,1,IF($J3089=Setup!$B$9,0,-1)))</f>
        <v>-1</v>
      </c>
      <c r="S3089" s="35" t="n">
        <f aca="false">IF(OR($A3089="",$Q3089=0,$R3089=-1),0,$Q3089*1000+$R3089*100+$K3089)</f>
        <v>0</v>
      </c>
      <c r="T3089" s="37" t="str">
        <f aca="false">IF($A3089="","",IF($B3089="","NO ACCOUNT",IF($Q3089=0,"UNMAPPED",IF($R3089=-1,"OUTSIDE FY RANGE","OK"))))</f>
        <v/>
      </c>
      <c r="U3089" s="40" t="str">
        <f aca="false">IF($A3089="","",$B3089&amp;"|"&amp;TEXT($A3089,"yyyymmdd")&amp;"|"&amp;TEXT($I3089,"0.00"))</f>
        <v/>
      </c>
      <c r="V3089" s="35" t="str">
        <f aca="false">IF($A3089="","",COUNTIF($U$8:$U$5007,$U3089))</f>
        <v/>
      </c>
    </row>
    <row r="3090" customFormat="false" ht="15" hidden="false" customHeight="false" outlineLevel="0" collapsed="false">
      <c r="A3090" s="31"/>
      <c r="B3090" s="32"/>
      <c r="C3090" s="32"/>
      <c r="D3090" s="32"/>
      <c r="E3090" s="32"/>
      <c r="F3090" s="32"/>
      <c r="G3090" s="33"/>
      <c r="H3090" s="33"/>
      <c r="I3090" s="34" t="str">
        <f aca="false">IF($A3090="","",$G3090-$H3090)</f>
        <v/>
      </c>
      <c r="J3090" s="35" t="str">
        <f aca="false">IF($A3090="","",IF(Setup!$B$6=1,YEAR($A3090),YEAR($A3090)+IF(MONTH($A3090)&gt;=Setup!$B$6,1,0)))</f>
        <v/>
      </c>
      <c r="K3090" s="35" t="str">
        <f aca="false">IF($A3090="","",MOD(MONTH($A3090)-Setup!$B$6+12,12)+1)</f>
        <v/>
      </c>
      <c r="L3090" s="36" t="str">
        <f aca="false">IF($A3090="","",TEXT($A3090,"MMM-YY"))</f>
        <v/>
      </c>
      <c r="M3090" s="37" t="str">
        <f aca="false">IF($A3090="","",IF($Q3090=0,"UNMAPPED",INDEX(COA_Mapping!$C$7:$C$256,$Q3090)))</f>
        <v/>
      </c>
      <c r="N3090" s="38" t="str">
        <f aca="false">IF($A3090="","",IF($Q3090=0,"",INDEX(COA_Mapping!$E$7:$E$256,$Q3090)))</f>
        <v/>
      </c>
      <c r="O3090" s="38" t="n">
        <f aca="false">IF($A3090="",1,IF($Q3090=0,1,INDEX(COA_Mapping!$F$7:$F$256,$Q3090)))</f>
        <v>1</v>
      </c>
      <c r="P3090" s="34" t="str">
        <f aca="false">IF($A3090="","",$I3090*$O3090)</f>
        <v/>
      </c>
      <c r="Q3090" s="39" t="n">
        <f aca="false">IF($B3090="",0,IFERROR(MATCH($B3090,COA_Mapping!$A$7:$A$256,0),0))</f>
        <v>0</v>
      </c>
      <c r="R3090" s="39" t="n">
        <f aca="false">IF($A3090="",-1,IF($J3090=Setup!$B$7,1,IF($J3090=Setup!$B$9,0,-1)))</f>
        <v>-1</v>
      </c>
      <c r="S3090" s="35" t="n">
        <f aca="false">IF(OR($A3090="",$Q3090=0,$R3090=-1),0,$Q3090*1000+$R3090*100+$K3090)</f>
        <v>0</v>
      </c>
      <c r="T3090" s="37" t="str">
        <f aca="false">IF($A3090="","",IF($B3090="","NO ACCOUNT",IF($Q3090=0,"UNMAPPED",IF($R3090=-1,"OUTSIDE FY RANGE","OK"))))</f>
        <v/>
      </c>
      <c r="U3090" s="40" t="str">
        <f aca="false">IF($A3090="","",$B3090&amp;"|"&amp;TEXT($A3090,"yyyymmdd")&amp;"|"&amp;TEXT($I3090,"0.00"))</f>
        <v/>
      </c>
      <c r="V3090" s="35" t="str">
        <f aca="false">IF($A3090="","",COUNTIF($U$8:$U$5007,$U3090))</f>
        <v/>
      </c>
    </row>
    <row r="3091" customFormat="false" ht="15" hidden="false" customHeight="false" outlineLevel="0" collapsed="false">
      <c r="A3091" s="31"/>
      <c r="B3091" s="32"/>
      <c r="C3091" s="32"/>
      <c r="D3091" s="32"/>
      <c r="E3091" s="32"/>
      <c r="F3091" s="32"/>
      <c r="G3091" s="33"/>
      <c r="H3091" s="33"/>
      <c r="I3091" s="34" t="str">
        <f aca="false">IF($A3091="","",$G3091-$H3091)</f>
        <v/>
      </c>
      <c r="J3091" s="35" t="str">
        <f aca="false">IF($A3091="","",IF(Setup!$B$6=1,YEAR($A3091),YEAR($A3091)+IF(MONTH($A3091)&gt;=Setup!$B$6,1,0)))</f>
        <v/>
      </c>
      <c r="K3091" s="35" t="str">
        <f aca="false">IF($A3091="","",MOD(MONTH($A3091)-Setup!$B$6+12,12)+1)</f>
        <v/>
      </c>
      <c r="L3091" s="36" t="str">
        <f aca="false">IF($A3091="","",TEXT($A3091,"MMM-YY"))</f>
        <v/>
      </c>
      <c r="M3091" s="37" t="str">
        <f aca="false">IF($A3091="","",IF($Q3091=0,"UNMAPPED",INDEX(COA_Mapping!$C$7:$C$256,$Q3091)))</f>
        <v/>
      </c>
      <c r="N3091" s="38" t="str">
        <f aca="false">IF($A3091="","",IF($Q3091=0,"",INDEX(COA_Mapping!$E$7:$E$256,$Q3091)))</f>
        <v/>
      </c>
      <c r="O3091" s="38" t="n">
        <f aca="false">IF($A3091="",1,IF($Q3091=0,1,INDEX(COA_Mapping!$F$7:$F$256,$Q3091)))</f>
        <v>1</v>
      </c>
      <c r="P3091" s="34" t="str">
        <f aca="false">IF($A3091="","",$I3091*$O3091)</f>
        <v/>
      </c>
      <c r="Q3091" s="39" t="n">
        <f aca="false">IF($B3091="",0,IFERROR(MATCH($B3091,COA_Mapping!$A$7:$A$256,0),0))</f>
        <v>0</v>
      </c>
      <c r="R3091" s="39" t="n">
        <f aca="false">IF($A3091="",-1,IF($J3091=Setup!$B$7,1,IF($J3091=Setup!$B$9,0,-1)))</f>
        <v>-1</v>
      </c>
      <c r="S3091" s="35" t="n">
        <f aca="false">IF(OR($A3091="",$Q3091=0,$R3091=-1),0,$Q3091*1000+$R3091*100+$K3091)</f>
        <v>0</v>
      </c>
      <c r="T3091" s="37" t="str">
        <f aca="false">IF($A3091="","",IF($B3091="","NO ACCOUNT",IF($Q3091=0,"UNMAPPED",IF($R3091=-1,"OUTSIDE FY RANGE","OK"))))</f>
        <v/>
      </c>
      <c r="U3091" s="40" t="str">
        <f aca="false">IF($A3091="","",$B3091&amp;"|"&amp;TEXT($A3091,"yyyymmdd")&amp;"|"&amp;TEXT($I3091,"0.00"))</f>
        <v/>
      </c>
      <c r="V3091" s="35" t="str">
        <f aca="false">IF($A3091="","",COUNTIF($U$8:$U$5007,$U3091))</f>
        <v/>
      </c>
    </row>
    <row r="3092" customFormat="false" ht="15" hidden="false" customHeight="false" outlineLevel="0" collapsed="false">
      <c r="A3092" s="31"/>
      <c r="B3092" s="32"/>
      <c r="C3092" s="32"/>
      <c r="D3092" s="32"/>
      <c r="E3092" s="32"/>
      <c r="F3092" s="32"/>
      <c r="G3092" s="33"/>
      <c r="H3092" s="33"/>
      <c r="I3092" s="34" t="str">
        <f aca="false">IF($A3092="","",$G3092-$H3092)</f>
        <v/>
      </c>
      <c r="J3092" s="35" t="str">
        <f aca="false">IF($A3092="","",IF(Setup!$B$6=1,YEAR($A3092),YEAR($A3092)+IF(MONTH($A3092)&gt;=Setup!$B$6,1,0)))</f>
        <v/>
      </c>
      <c r="K3092" s="35" t="str">
        <f aca="false">IF($A3092="","",MOD(MONTH($A3092)-Setup!$B$6+12,12)+1)</f>
        <v/>
      </c>
      <c r="L3092" s="36" t="str">
        <f aca="false">IF($A3092="","",TEXT($A3092,"MMM-YY"))</f>
        <v/>
      </c>
      <c r="M3092" s="37" t="str">
        <f aca="false">IF($A3092="","",IF($Q3092=0,"UNMAPPED",INDEX(COA_Mapping!$C$7:$C$256,$Q3092)))</f>
        <v/>
      </c>
      <c r="N3092" s="38" t="str">
        <f aca="false">IF($A3092="","",IF($Q3092=0,"",INDEX(COA_Mapping!$E$7:$E$256,$Q3092)))</f>
        <v/>
      </c>
      <c r="O3092" s="38" t="n">
        <f aca="false">IF($A3092="",1,IF($Q3092=0,1,INDEX(COA_Mapping!$F$7:$F$256,$Q3092)))</f>
        <v>1</v>
      </c>
      <c r="P3092" s="34" t="str">
        <f aca="false">IF($A3092="","",$I3092*$O3092)</f>
        <v/>
      </c>
      <c r="Q3092" s="39" t="n">
        <f aca="false">IF($B3092="",0,IFERROR(MATCH($B3092,COA_Mapping!$A$7:$A$256,0),0))</f>
        <v>0</v>
      </c>
      <c r="R3092" s="39" t="n">
        <f aca="false">IF($A3092="",-1,IF($J3092=Setup!$B$7,1,IF($J3092=Setup!$B$9,0,-1)))</f>
        <v>-1</v>
      </c>
      <c r="S3092" s="35" t="n">
        <f aca="false">IF(OR($A3092="",$Q3092=0,$R3092=-1),0,$Q3092*1000+$R3092*100+$K3092)</f>
        <v>0</v>
      </c>
      <c r="T3092" s="37" t="str">
        <f aca="false">IF($A3092="","",IF($B3092="","NO ACCOUNT",IF($Q3092=0,"UNMAPPED",IF($R3092=-1,"OUTSIDE FY RANGE","OK"))))</f>
        <v/>
      </c>
      <c r="U3092" s="40" t="str">
        <f aca="false">IF($A3092="","",$B3092&amp;"|"&amp;TEXT($A3092,"yyyymmdd")&amp;"|"&amp;TEXT($I3092,"0.00"))</f>
        <v/>
      </c>
      <c r="V3092" s="35" t="str">
        <f aca="false">IF($A3092="","",COUNTIF($U$8:$U$5007,$U3092))</f>
        <v/>
      </c>
    </row>
    <row r="3093" customFormat="false" ht="15" hidden="false" customHeight="false" outlineLevel="0" collapsed="false">
      <c r="A3093" s="31"/>
      <c r="B3093" s="32"/>
      <c r="C3093" s="32"/>
      <c r="D3093" s="32"/>
      <c r="E3093" s="32"/>
      <c r="F3093" s="32"/>
      <c r="G3093" s="33"/>
      <c r="H3093" s="33"/>
      <c r="I3093" s="34" t="str">
        <f aca="false">IF($A3093="","",$G3093-$H3093)</f>
        <v/>
      </c>
      <c r="J3093" s="35" t="str">
        <f aca="false">IF($A3093="","",IF(Setup!$B$6=1,YEAR($A3093),YEAR($A3093)+IF(MONTH($A3093)&gt;=Setup!$B$6,1,0)))</f>
        <v/>
      </c>
      <c r="K3093" s="35" t="str">
        <f aca="false">IF($A3093="","",MOD(MONTH($A3093)-Setup!$B$6+12,12)+1)</f>
        <v/>
      </c>
      <c r="L3093" s="36" t="str">
        <f aca="false">IF($A3093="","",TEXT($A3093,"MMM-YY"))</f>
        <v/>
      </c>
      <c r="M3093" s="37" t="str">
        <f aca="false">IF($A3093="","",IF($Q3093=0,"UNMAPPED",INDEX(COA_Mapping!$C$7:$C$256,$Q3093)))</f>
        <v/>
      </c>
      <c r="N3093" s="38" t="str">
        <f aca="false">IF($A3093="","",IF($Q3093=0,"",INDEX(COA_Mapping!$E$7:$E$256,$Q3093)))</f>
        <v/>
      </c>
      <c r="O3093" s="38" t="n">
        <f aca="false">IF($A3093="",1,IF($Q3093=0,1,INDEX(COA_Mapping!$F$7:$F$256,$Q3093)))</f>
        <v>1</v>
      </c>
      <c r="P3093" s="34" t="str">
        <f aca="false">IF($A3093="","",$I3093*$O3093)</f>
        <v/>
      </c>
      <c r="Q3093" s="39" t="n">
        <f aca="false">IF($B3093="",0,IFERROR(MATCH($B3093,COA_Mapping!$A$7:$A$256,0),0))</f>
        <v>0</v>
      </c>
      <c r="R3093" s="39" t="n">
        <f aca="false">IF($A3093="",-1,IF($J3093=Setup!$B$7,1,IF($J3093=Setup!$B$9,0,-1)))</f>
        <v>-1</v>
      </c>
      <c r="S3093" s="35" t="n">
        <f aca="false">IF(OR($A3093="",$Q3093=0,$R3093=-1),0,$Q3093*1000+$R3093*100+$K3093)</f>
        <v>0</v>
      </c>
      <c r="T3093" s="37" t="str">
        <f aca="false">IF($A3093="","",IF($B3093="","NO ACCOUNT",IF($Q3093=0,"UNMAPPED",IF($R3093=-1,"OUTSIDE FY RANGE","OK"))))</f>
        <v/>
      </c>
      <c r="U3093" s="40" t="str">
        <f aca="false">IF($A3093="","",$B3093&amp;"|"&amp;TEXT($A3093,"yyyymmdd")&amp;"|"&amp;TEXT($I3093,"0.00"))</f>
        <v/>
      </c>
      <c r="V3093" s="35" t="str">
        <f aca="false">IF($A3093="","",COUNTIF($U$8:$U$5007,$U3093))</f>
        <v/>
      </c>
    </row>
    <row r="3094" customFormat="false" ht="15" hidden="false" customHeight="false" outlineLevel="0" collapsed="false">
      <c r="A3094" s="31"/>
      <c r="B3094" s="32"/>
      <c r="C3094" s="32"/>
      <c r="D3094" s="32"/>
      <c r="E3094" s="32"/>
      <c r="F3094" s="32"/>
      <c r="G3094" s="33"/>
      <c r="H3094" s="33"/>
      <c r="I3094" s="34" t="str">
        <f aca="false">IF($A3094="","",$G3094-$H3094)</f>
        <v/>
      </c>
      <c r="J3094" s="35" t="str">
        <f aca="false">IF($A3094="","",IF(Setup!$B$6=1,YEAR($A3094),YEAR($A3094)+IF(MONTH($A3094)&gt;=Setup!$B$6,1,0)))</f>
        <v/>
      </c>
      <c r="K3094" s="35" t="str">
        <f aca="false">IF($A3094="","",MOD(MONTH($A3094)-Setup!$B$6+12,12)+1)</f>
        <v/>
      </c>
      <c r="L3094" s="36" t="str">
        <f aca="false">IF($A3094="","",TEXT($A3094,"MMM-YY"))</f>
        <v/>
      </c>
      <c r="M3094" s="37" t="str">
        <f aca="false">IF($A3094="","",IF($Q3094=0,"UNMAPPED",INDEX(COA_Mapping!$C$7:$C$256,$Q3094)))</f>
        <v/>
      </c>
      <c r="N3094" s="38" t="str">
        <f aca="false">IF($A3094="","",IF($Q3094=0,"",INDEX(COA_Mapping!$E$7:$E$256,$Q3094)))</f>
        <v/>
      </c>
      <c r="O3094" s="38" t="n">
        <f aca="false">IF($A3094="",1,IF($Q3094=0,1,INDEX(COA_Mapping!$F$7:$F$256,$Q3094)))</f>
        <v>1</v>
      </c>
      <c r="P3094" s="34" t="str">
        <f aca="false">IF($A3094="","",$I3094*$O3094)</f>
        <v/>
      </c>
      <c r="Q3094" s="39" t="n">
        <f aca="false">IF($B3094="",0,IFERROR(MATCH($B3094,COA_Mapping!$A$7:$A$256,0),0))</f>
        <v>0</v>
      </c>
      <c r="R3094" s="39" t="n">
        <f aca="false">IF($A3094="",-1,IF($J3094=Setup!$B$7,1,IF($J3094=Setup!$B$9,0,-1)))</f>
        <v>-1</v>
      </c>
      <c r="S3094" s="35" t="n">
        <f aca="false">IF(OR($A3094="",$Q3094=0,$R3094=-1),0,$Q3094*1000+$R3094*100+$K3094)</f>
        <v>0</v>
      </c>
      <c r="T3094" s="37" t="str">
        <f aca="false">IF($A3094="","",IF($B3094="","NO ACCOUNT",IF($Q3094=0,"UNMAPPED",IF($R3094=-1,"OUTSIDE FY RANGE","OK"))))</f>
        <v/>
      </c>
      <c r="U3094" s="40" t="str">
        <f aca="false">IF($A3094="","",$B3094&amp;"|"&amp;TEXT($A3094,"yyyymmdd")&amp;"|"&amp;TEXT($I3094,"0.00"))</f>
        <v/>
      </c>
      <c r="V3094" s="35" t="str">
        <f aca="false">IF($A3094="","",COUNTIF($U$8:$U$5007,$U3094))</f>
        <v/>
      </c>
    </row>
    <row r="3095" customFormat="false" ht="15" hidden="false" customHeight="false" outlineLevel="0" collapsed="false">
      <c r="A3095" s="31"/>
      <c r="B3095" s="32"/>
      <c r="C3095" s="32"/>
      <c r="D3095" s="32"/>
      <c r="E3095" s="32"/>
      <c r="F3095" s="32"/>
      <c r="G3095" s="33"/>
      <c r="H3095" s="33"/>
      <c r="I3095" s="34" t="str">
        <f aca="false">IF($A3095="","",$G3095-$H3095)</f>
        <v/>
      </c>
      <c r="J3095" s="35" t="str">
        <f aca="false">IF($A3095="","",IF(Setup!$B$6=1,YEAR($A3095),YEAR($A3095)+IF(MONTH($A3095)&gt;=Setup!$B$6,1,0)))</f>
        <v/>
      </c>
      <c r="K3095" s="35" t="str">
        <f aca="false">IF($A3095="","",MOD(MONTH($A3095)-Setup!$B$6+12,12)+1)</f>
        <v/>
      </c>
      <c r="L3095" s="36" t="str">
        <f aca="false">IF($A3095="","",TEXT($A3095,"MMM-YY"))</f>
        <v/>
      </c>
      <c r="M3095" s="37" t="str">
        <f aca="false">IF($A3095="","",IF($Q3095=0,"UNMAPPED",INDEX(COA_Mapping!$C$7:$C$256,$Q3095)))</f>
        <v/>
      </c>
      <c r="N3095" s="38" t="str">
        <f aca="false">IF($A3095="","",IF($Q3095=0,"",INDEX(COA_Mapping!$E$7:$E$256,$Q3095)))</f>
        <v/>
      </c>
      <c r="O3095" s="38" t="n">
        <f aca="false">IF($A3095="",1,IF($Q3095=0,1,INDEX(COA_Mapping!$F$7:$F$256,$Q3095)))</f>
        <v>1</v>
      </c>
      <c r="P3095" s="34" t="str">
        <f aca="false">IF($A3095="","",$I3095*$O3095)</f>
        <v/>
      </c>
      <c r="Q3095" s="39" t="n">
        <f aca="false">IF($B3095="",0,IFERROR(MATCH($B3095,COA_Mapping!$A$7:$A$256,0),0))</f>
        <v>0</v>
      </c>
      <c r="R3095" s="39" t="n">
        <f aca="false">IF($A3095="",-1,IF($J3095=Setup!$B$7,1,IF($J3095=Setup!$B$9,0,-1)))</f>
        <v>-1</v>
      </c>
      <c r="S3095" s="35" t="n">
        <f aca="false">IF(OR($A3095="",$Q3095=0,$R3095=-1),0,$Q3095*1000+$R3095*100+$K3095)</f>
        <v>0</v>
      </c>
      <c r="T3095" s="37" t="str">
        <f aca="false">IF($A3095="","",IF($B3095="","NO ACCOUNT",IF($Q3095=0,"UNMAPPED",IF($R3095=-1,"OUTSIDE FY RANGE","OK"))))</f>
        <v/>
      </c>
      <c r="U3095" s="40" t="str">
        <f aca="false">IF($A3095="","",$B3095&amp;"|"&amp;TEXT($A3095,"yyyymmdd")&amp;"|"&amp;TEXT($I3095,"0.00"))</f>
        <v/>
      </c>
      <c r="V3095" s="35" t="str">
        <f aca="false">IF($A3095="","",COUNTIF($U$8:$U$5007,$U3095))</f>
        <v/>
      </c>
    </row>
    <row r="3096" customFormat="false" ht="15" hidden="false" customHeight="false" outlineLevel="0" collapsed="false">
      <c r="A3096" s="31"/>
      <c r="B3096" s="32"/>
      <c r="C3096" s="32"/>
      <c r="D3096" s="32"/>
      <c r="E3096" s="32"/>
      <c r="F3096" s="32"/>
      <c r="G3096" s="33"/>
      <c r="H3096" s="33"/>
      <c r="I3096" s="34" t="str">
        <f aca="false">IF($A3096="","",$G3096-$H3096)</f>
        <v/>
      </c>
      <c r="J3096" s="35" t="str">
        <f aca="false">IF($A3096="","",IF(Setup!$B$6=1,YEAR($A3096),YEAR($A3096)+IF(MONTH($A3096)&gt;=Setup!$B$6,1,0)))</f>
        <v/>
      </c>
      <c r="K3096" s="35" t="str">
        <f aca="false">IF($A3096="","",MOD(MONTH($A3096)-Setup!$B$6+12,12)+1)</f>
        <v/>
      </c>
      <c r="L3096" s="36" t="str">
        <f aca="false">IF($A3096="","",TEXT($A3096,"MMM-YY"))</f>
        <v/>
      </c>
      <c r="M3096" s="37" t="str">
        <f aca="false">IF($A3096="","",IF($Q3096=0,"UNMAPPED",INDEX(COA_Mapping!$C$7:$C$256,$Q3096)))</f>
        <v/>
      </c>
      <c r="N3096" s="38" t="str">
        <f aca="false">IF($A3096="","",IF($Q3096=0,"",INDEX(COA_Mapping!$E$7:$E$256,$Q3096)))</f>
        <v/>
      </c>
      <c r="O3096" s="38" t="n">
        <f aca="false">IF($A3096="",1,IF($Q3096=0,1,INDEX(COA_Mapping!$F$7:$F$256,$Q3096)))</f>
        <v>1</v>
      </c>
      <c r="P3096" s="34" t="str">
        <f aca="false">IF($A3096="","",$I3096*$O3096)</f>
        <v/>
      </c>
      <c r="Q3096" s="39" t="n">
        <f aca="false">IF($B3096="",0,IFERROR(MATCH($B3096,COA_Mapping!$A$7:$A$256,0),0))</f>
        <v>0</v>
      </c>
      <c r="R3096" s="39" t="n">
        <f aca="false">IF($A3096="",-1,IF($J3096=Setup!$B$7,1,IF($J3096=Setup!$B$9,0,-1)))</f>
        <v>-1</v>
      </c>
      <c r="S3096" s="35" t="n">
        <f aca="false">IF(OR($A3096="",$Q3096=0,$R3096=-1),0,$Q3096*1000+$R3096*100+$K3096)</f>
        <v>0</v>
      </c>
      <c r="T3096" s="37" t="str">
        <f aca="false">IF($A3096="","",IF($B3096="","NO ACCOUNT",IF($Q3096=0,"UNMAPPED",IF($R3096=-1,"OUTSIDE FY RANGE","OK"))))</f>
        <v/>
      </c>
      <c r="U3096" s="40" t="str">
        <f aca="false">IF($A3096="","",$B3096&amp;"|"&amp;TEXT($A3096,"yyyymmdd")&amp;"|"&amp;TEXT($I3096,"0.00"))</f>
        <v/>
      </c>
      <c r="V3096" s="35" t="str">
        <f aca="false">IF($A3096="","",COUNTIF($U$8:$U$5007,$U3096))</f>
        <v/>
      </c>
    </row>
    <row r="3097" customFormat="false" ht="15" hidden="false" customHeight="false" outlineLevel="0" collapsed="false">
      <c r="A3097" s="31"/>
      <c r="B3097" s="32"/>
      <c r="C3097" s="32"/>
      <c r="D3097" s="32"/>
      <c r="E3097" s="32"/>
      <c r="F3097" s="32"/>
      <c r="G3097" s="33"/>
      <c r="H3097" s="33"/>
      <c r="I3097" s="34" t="str">
        <f aca="false">IF($A3097="","",$G3097-$H3097)</f>
        <v/>
      </c>
      <c r="J3097" s="35" t="str">
        <f aca="false">IF($A3097="","",IF(Setup!$B$6=1,YEAR($A3097),YEAR($A3097)+IF(MONTH($A3097)&gt;=Setup!$B$6,1,0)))</f>
        <v/>
      </c>
      <c r="K3097" s="35" t="str">
        <f aca="false">IF($A3097="","",MOD(MONTH($A3097)-Setup!$B$6+12,12)+1)</f>
        <v/>
      </c>
      <c r="L3097" s="36" t="str">
        <f aca="false">IF($A3097="","",TEXT($A3097,"MMM-YY"))</f>
        <v/>
      </c>
      <c r="M3097" s="37" t="str">
        <f aca="false">IF($A3097="","",IF($Q3097=0,"UNMAPPED",INDEX(COA_Mapping!$C$7:$C$256,$Q3097)))</f>
        <v/>
      </c>
      <c r="N3097" s="38" t="str">
        <f aca="false">IF($A3097="","",IF($Q3097=0,"",INDEX(COA_Mapping!$E$7:$E$256,$Q3097)))</f>
        <v/>
      </c>
      <c r="O3097" s="38" t="n">
        <f aca="false">IF($A3097="",1,IF($Q3097=0,1,INDEX(COA_Mapping!$F$7:$F$256,$Q3097)))</f>
        <v>1</v>
      </c>
      <c r="P3097" s="34" t="str">
        <f aca="false">IF($A3097="","",$I3097*$O3097)</f>
        <v/>
      </c>
      <c r="Q3097" s="39" t="n">
        <f aca="false">IF($B3097="",0,IFERROR(MATCH($B3097,COA_Mapping!$A$7:$A$256,0),0))</f>
        <v>0</v>
      </c>
      <c r="R3097" s="39" t="n">
        <f aca="false">IF($A3097="",-1,IF($J3097=Setup!$B$7,1,IF($J3097=Setup!$B$9,0,-1)))</f>
        <v>-1</v>
      </c>
      <c r="S3097" s="35" t="n">
        <f aca="false">IF(OR($A3097="",$Q3097=0,$R3097=-1),0,$Q3097*1000+$R3097*100+$K3097)</f>
        <v>0</v>
      </c>
      <c r="T3097" s="37" t="str">
        <f aca="false">IF($A3097="","",IF($B3097="","NO ACCOUNT",IF($Q3097=0,"UNMAPPED",IF($R3097=-1,"OUTSIDE FY RANGE","OK"))))</f>
        <v/>
      </c>
      <c r="U3097" s="40" t="str">
        <f aca="false">IF($A3097="","",$B3097&amp;"|"&amp;TEXT($A3097,"yyyymmdd")&amp;"|"&amp;TEXT($I3097,"0.00"))</f>
        <v/>
      </c>
      <c r="V3097" s="35" t="str">
        <f aca="false">IF($A3097="","",COUNTIF($U$8:$U$5007,$U3097))</f>
        <v/>
      </c>
    </row>
    <row r="3098" customFormat="false" ht="15" hidden="false" customHeight="false" outlineLevel="0" collapsed="false">
      <c r="A3098" s="31"/>
      <c r="B3098" s="32"/>
      <c r="C3098" s="32"/>
      <c r="D3098" s="32"/>
      <c r="E3098" s="32"/>
      <c r="F3098" s="32"/>
      <c r="G3098" s="33"/>
      <c r="H3098" s="33"/>
      <c r="I3098" s="34" t="str">
        <f aca="false">IF($A3098="","",$G3098-$H3098)</f>
        <v/>
      </c>
      <c r="J3098" s="35" t="str">
        <f aca="false">IF($A3098="","",IF(Setup!$B$6=1,YEAR($A3098),YEAR($A3098)+IF(MONTH($A3098)&gt;=Setup!$B$6,1,0)))</f>
        <v/>
      </c>
      <c r="K3098" s="35" t="str">
        <f aca="false">IF($A3098="","",MOD(MONTH($A3098)-Setup!$B$6+12,12)+1)</f>
        <v/>
      </c>
      <c r="L3098" s="36" t="str">
        <f aca="false">IF($A3098="","",TEXT($A3098,"MMM-YY"))</f>
        <v/>
      </c>
      <c r="M3098" s="37" t="str">
        <f aca="false">IF($A3098="","",IF($Q3098=0,"UNMAPPED",INDEX(COA_Mapping!$C$7:$C$256,$Q3098)))</f>
        <v/>
      </c>
      <c r="N3098" s="38" t="str">
        <f aca="false">IF($A3098="","",IF($Q3098=0,"",INDEX(COA_Mapping!$E$7:$E$256,$Q3098)))</f>
        <v/>
      </c>
      <c r="O3098" s="38" t="n">
        <f aca="false">IF($A3098="",1,IF($Q3098=0,1,INDEX(COA_Mapping!$F$7:$F$256,$Q3098)))</f>
        <v>1</v>
      </c>
      <c r="P3098" s="34" t="str">
        <f aca="false">IF($A3098="","",$I3098*$O3098)</f>
        <v/>
      </c>
      <c r="Q3098" s="39" t="n">
        <f aca="false">IF($B3098="",0,IFERROR(MATCH($B3098,COA_Mapping!$A$7:$A$256,0),0))</f>
        <v>0</v>
      </c>
      <c r="R3098" s="39" t="n">
        <f aca="false">IF($A3098="",-1,IF($J3098=Setup!$B$7,1,IF($J3098=Setup!$B$9,0,-1)))</f>
        <v>-1</v>
      </c>
      <c r="S3098" s="35" t="n">
        <f aca="false">IF(OR($A3098="",$Q3098=0,$R3098=-1),0,$Q3098*1000+$R3098*100+$K3098)</f>
        <v>0</v>
      </c>
      <c r="T3098" s="37" t="str">
        <f aca="false">IF($A3098="","",IF($B3098="","NO ACCOUNT",IF($Q3098=0,"UNMAPPED",IF($R3098=-1,"OUTSIDE FY RANGE","OK"))))</f>
        <v/>
      </c>
      <c r="U3098" s="40" t="str">
        <f aca="false">IF($A3098="","",$B3098&amp;"|"&amp;TEXT($A3098,"yyyymmdd")&amp;"|"&amp;TEXT($I3098,"0.00"))</f>
        <v/>
      </c>
      <c r="V3098" s="35" t="str">
        <f aca="false">IF($A3098="","",COUNTIF($U$8:$U$5007,$U3098))</f>
        <v/>
      </c>
    </row>
    <row r="3099" customFormat="false" ht="15" hidden="false" customHeight="false" outlineLevel="0" collapsed="false">
      <c r="A3099" s="31"/>
      <c r="B3099" s="32"/>
      <c r="C3099" s="32"/>
      <c r="D3099" s="32"/>
      <c r="E3099" s="32"/>
      <c r="F3099" s="32"/>
      <c r="G3099" s="33"/>
      <c r="H3099" s="33"/>
      <c r="I3099" s="34" t="str">
        <f aca="false">IF($A3099="","",$G3099-$H3099)</f>
        <v/>
      </c>
      <c r="J3099" s="35" t="str">
        <f aca="false">IF($A3099="","",IF(Setup!$B$6=1,YEAR($A3099),YEAR($A3099)+IF(MONTH($A3099)&gt;=Setup!$B$6,1,0)))</f>
        <v/>
      </c>
      <c r="K3099" s="35" t="str">
        <f aca="false">IF($A3099="","",MOD(MONTH($A3099)-Setup!$B$6+12,12)+1)</f>
        <v/>
      </c>
      <c r="L3099" s="36" t="str">
        <f aca="false">IF($A3099="","",TEXT($A3099,"MMM-YY"))</f>
        <v/>
      </c>
      <c r="M3099" s="37" t="str">
        <f aca="false">IF($A3099="","",IF($Q3099=0,"UNMAPPED",INDEX(COA_Mapping!$C$7:$C$256,$Q3099)))</f>
        <v/>
      </c>
      <c r="N3099" s="38" t="str">
        <f aca="false">IF($A3099="","",IF($Q3099=0,"",INDEX(COA_Mapping!$E$7:$E$256,$Q3099)))</f>
        <v/>
      </c>
      <c r="O3099" s="38" t="n">
        <f aca="false">IF($A3099="",1,IF($Q3099=0,1,INDEX(COA_Mapping!$F$7:$F$256,$Q3099)))</f>
        <v>1</v>
      </c>
      <c r="P3099" s="34" t="str">
        <f aca="false">IF($A3099="","",$I3099*$O3099)</f>
        <v/>
      </c>
      <c r="Q3099" s="39" t="n">
        <f aca="false">IF($B3099="",0,IFERROR(MATCH($B3099,COA_Mapping!$A$7:$A$256,0),0))</f>
        <v>0</v>
      </c>
      <c r="R3099" s="39" t="n">
        <f aca="false">IF($A3099="",-1,IF($J3099=Setup!$B$7,1,IF($J3099=Setup!$B$9,0,-1)))</f>
        <v>-1</v>
      </c>
      <c r="S3099" s="35" t="n">
        <f aca="false">IF(OR($A3099="",$Q3099=0,$R3099=-1),0,$Q3099*1000+$R3099*100+$K3099)</f>
        <v>0</v>
      </c>
      <c r="T3099" s="37" t="str">
        <f aca="false">IF($A3099="","",IF($B3099="","NO ACCOUNT",IF($Q3099=0,"UNMAPPED",IF($R3099=-1,"OUTSIDE FY RANGE","OK"))))</f>
        <v/>
      </c>
      <c r="U3099" s="40" t="str">
        <f aca="false">IF($A3099="","",$B3099&amp;"|"&amp;TEXT($A3099,"yyyymmdd")&amp;"|"&amp;TEXT($I3099,"0.00"))</f>
        <v/>
      </c>
      <c r="V3099" s="35" t="str">
        <f aca="false">IF($A3099="","",COUNTIF($U$8:$U$5007,$U3099))</f>
        <v/>
      </c>
    </row>
    <row r="3100" customFormat="false" ht="15" hidden="false" customHeight="false" outlineLevel="0" collapsed="false">
      <c r="A3100" s="31"/>
      <c r="B3100" s="32"/>
      <c r="C3100" s="32"/>
      <c r="D3100" s="32"/>
      <c r="E3100" s="32"/>
      <c r="F3100" s="32"/>
      <c r="G3100" s="33"/>
      <c r="H3100" s="33"/>
      <c r="I3100" s="34" t="str">
        <f aca="false">IF($A3100="","",$G3100-$H3100)</f>
        <v/>
      </c>
      <c r="J3100" s="35" t="str">
        <f aca="false">IF($A3100="","",IF(Setup!$B$6=1,YEAR($A3100),YEAR($A3100)+IF(MONTH($A3100)&gt;=Setup!$B$6,1,0)))</f>
        <v/>
      </c>
      <c r="K3100" s="35" t="str">
        <f aca="false">IF($A3100="","",MOD(MONTH($A3100)-Setup!$B$6+12,12)+1)</f>
        <v/>
      </c>
      <c r="L3100" s="36" t="str">
        <f aca="false">IF($A3100="","",TEXT($A3100,"MMM-YY"))</f>
        <v/>
      </c>
      <c r="M3100" s="37" t="str">
        <f aca="false">IF($A3100="","",IF($Q3100=0,"UNMAPPED",INDEX(COA_Mapping!$C$7:$C$256,$Q3100)))</f>
        <v/>
      </c>
      <c r="N3100" s="38" t="str">
        <f aca="false">IF($A3100="","",IF($Q3100=0,"",INDEX(COA_Mapping!$E$7:$E$256,$Q3100)))</f>
        <v/>
      </c>
      <c r="O3100" s="38" t="n">
        <f aca="false">IF($A3100="",1,IF($Q3100=0,1,INDEX(COA_Mapping!$F$7:$F$256,$Q3100)))</f>
        <v>1</v>
      </c>
      <c r="P3100" s="34" t="str">
        <f aca="false">IF($A3100="","",$I3100*$O3100)</f>
        <v/>
      </c>
      <c r="Q3100" s="39" t="n">
        <f aca="false">IF($B3100="",0,IFERROR(MATCH($B3100,COA_Mapping!$A$7:$A$256,0),0))</f>
        <v>0</v>
      </c>
      <c r="R3100" s="39" t="n">
        <f aca="false">IF($A3100="",-1,IF($J3100=Setup!$B$7,1,IF($J3100=Setup!$B$9,0,-1)))</f>
        <v>-1</v>
      </c>
      <c r="S3100" s="35" t="n">
        <f aca="false">IF(OR($A3100="",$Q3100=0,$R3100=-1),0,$Q3100*1000+$R3100*100+$K3100)</f>
        <v>0</v>
      </c>
      <c r="T3100" s="37" t="str">
        <f aca="false">IF($A3100="","",IF($B3100="","NO ACCOUNT",IF($Q3100=0,"UNMAPPED",IF($R3100=-1,"OUTSIDE FY RANGE","OK"))))</f>
        <v/>
      </c>
      <c r="U3100" s="40" t="str">
        <f aca="false">IF($A3100="","",$B3100&amp;"|"&amp;TEXT($A3100,"yyyymmdd")&amp;"|"&amp;TEXT($I3100,"0.00"))</f>
        <v/>
      </c>
      <c r="V3100" s="35" t="str">
        <f aca="false">IF($A3100="","",COUNTIF($U$8:$U$5007,$U3100))</f>
        <v/>
      </c>
    </row>
    <row r="3101" customFormat="false" ht="15" hidden="false" customHeight="false" outlineLevel="0" collapsed="false">
      <c r="A3101" s="31"/>
      <c r="B3101" s="32"/>
      <c r="C3101" s="32"/>
      <c r="D3101" s="32"/>
      <c r="E3101" s="32"/>
      <c r="F3101" s="32"/>
      <c r="G3101" s="33"/>
      <c r="H3101" s="33"/>
      <c r="I3101" s="34" t="str">
        <f aca="false">IF($A3101="","",$G3101-$H3101)</f>
        <v/>
      </c>
      <c r="J3101" s="35" t="str">
        <f aca="false">IF($A3101="","",IF(Setup!$B$6=1,YEAR($A3101),YEAR($A3101)+IF(MONTH($A3101)&gt;=Setup!$B$6,1,0)))</f>
        <v/>
      </c>
      <c r="K3101" s="35" t="str">
        <f aca="false">IF($A3101="","",MOD(MONTH($A3101)-Setup!$B$6+12,12)+1)</f>
        <v/>
      </c>
      <c r="L3101" s="36" t="str">
        <f aca="false">IF($A3101="","",TEXT($A3101,"MMM-YY"))</f>
        <v/>
      </c>
      <c r="M3101" s="37" t="str">
        <f aca="false">IF($A3101="","",IF($Q3101=0,"UNMAPPED",INDEX(COA_Mapping!$C$7:$C$256,$Q3101)))</f>
        <v/>
      </c>
      <c r="N3101" s="38" t="str">
        <f aca="false">IF($A3101="","",IF($Q3101=0,"",INDEX(COA_Mapping!$E$7:$E$256,$Q3101)))</f>
        <v/>
      </c>
      <c r="O3101" s="38" t="n">
        <f aca="false">IF($A3101="",1,IF($Q3101=0,1,INDEX(COA_Mapping!$F$7:$F$256,$Q3101)))</f>
        <v>1</v>
      </c>
      <c r="P3101" s="34" t="str">
        <f aca="false">IF($A3101="","",$I3101*$O3101)</f>
        <v/>
      </c>
      <c r="Q3101" s="39" t="n">
        <f aca="false">IF($B3101="",0,IFERROR(MATCH($B3101,COA_Mapping!$A$7:$A$256,0),0))</f>
        <v>0</v>
      </c>
      <c r="R3101" s="39" t="n">
        <f aca="false">IF($A3101="",-1,IF($J3101=Setup!$B$7,1,IF($J3101=Setup!$B$9,0,-1)))</f>
        <v>-1</v>
      </c>
      <c r="S3101" s="35" t="n">
        <f aca="false">IF(OR($A3101="",$Q3101=0,$R3101=-1),0,$Q3101*1000+$R3101*100+$K3101)</f>
        <v>0</v>
      </c>
      <c r="T3101" s="37" t="str">
        <f aca="false">IF($A3101="","",IF($B3101="","NO ACCOUNT",IF($Q3101=0,"UNMAPPED",IF($R3101=-1,"OUTSIDE FY RANGE","OK"))))</f>
        <v/>
      </c>
      <c r="U3101" s="40" t="str">
        <f aca="false">IF($A3101="","",$B3101&amp;"|"&amp;TEXT($A3101,"yyyymmdd")&amp;"|"&amp;TEXT($I3101,"0.00"))</f>
        <v/>
      </c>
      <c r="V3101" s="35" t="str">
        <f aca="false">IF($A3101="","",COUNTIF($U$8:$U$5007,$U3101))</f>
        <v/>
      </c>
    </row>
    <row r="3102" customFormat="false" ht="15" hidden="false" customHeight="false" outlineLevel="0" collapsed="false">
      <c r="A3102" s="31"/>
      <c r="B3102" s="32"/>
      <c r="C3102" s="32"/>
      <c r="D3102" s="32"/>
      <c r="E3102" s="32"/>
      <c r="F3102" s="32"/>
      <c r="G3102" s="33"/>
      <c r="H3102" s="33"/>
      <c r="I3102" s="34" t="str">
        <f aca="false">IF($A3102="","",$G3102-$H3102)</f>
        <v/>
      </c>
      <c r="J3102" s="35" t="str">
        <f aca="false">IF($A3102="","",IF(Setup!$B$6=1,YEAR($A3102),YEAR($A3102)+IF(MONTH($A3102)&gt;=Setup!$B$6,1,0)))</f>
        <v/>
      </c>
      <c r="K3102" s="35" t="str">
        <f aca="false">IF($A3102="","",MOD(MONTH($A3102)-Setup!$B$6+12,12)+1)</f>
        <v/>
      </c>
      <c r="L3102" s="36" t="str">
        <f aca="false">IF($A3102="","",TEXT($A3102,"MMM-YY"))</f>
        <v/>
      </c>
      <c r="M3102" s="37" t="str">
        <f aca="false">IF($A3102="","",IF($Q3102=0,"UNMAPPED",INDEX(COA_Mapping!$C$7:$C$256,$Q3102)))</f>
        <v/>
      </c>
      <c r="N3102" s="38" t="str">
        <f aca="false">IF($A3102="","",IF($Q3102=0,"",INDEX(COA_Mapping!$E$7:$E$256,$Q3102)))</f>
        <v/>
      </c>
      <c r="O3102" s="38" t="n">
        <f aca="false">IF($A3102="",1,IF($Q3102=0,1,INDEX(COA_Mapping!$F$7:$F$256,$Q3102)))</f>
        <v>1</v>
      </c>
      <c r="P3102" s="34" t="str">
        <f aca="false">IF($A3102="","",$I3102*$O3102)</f>
        <v/>
      </c>
      <c r="Q3102" s="39" t="n">
        <f aca="false">IF($B3102="",0,IFERROR(MATCH($B3102,COA_Mapping!$A$7:$A$256,0),0))</f>
        <v>0</v>
      </c>
      <c r="R3102" s="39" t="n">
        <f aca="false">IF($A3102="",-1,IF($J3102=Setup!$B$7,1,IF($J3102=Setup!$B$9,0,-1)))</f>
        <v>-1</v>
      </c>
      <c r="S3102" s="35" t="n">
        <f aca="false">IF(OR($A3102="",$Q3102=0,$R3102=-1),0,$Q3102*1000+$R3102*100+$K3102)</f>
        <v>0</v>
      </c>
      <c r="T3102" s="37" t="str">
        <f aca="false">IF($A3102="","",IF($B3102="","NO ACCOUNT",IF($Q3102=0,"UNMAPPED",IF($R3102=-1,"OUTSIDE FY RANGE","OK"))))</f>
        <v/>
      </c>
      <c r="U3102" s="40" t="str">
        <f aca="false">IF($A3102="","",$B3102&amp;"|"&amp;TEXT($A3102,"yyyymmdd")&amp;"|"&amp;TEXT($I3102,"0.00"))</f>
        <v/>
      </c>
      <c r="V3102" s="35" t="str">
        <f aca="false">IF($A3102="","",COUNTIF($U$8:$U$5007,$U3102))</f>
        <v/>
      </c>
    </row>
    <row r="3103" customFormat="false" ht="15" hidden="false" customHeight="false" outlineLevel="0" collapsed="false">
      <c r="A3103" s="31"/>
      <c r="B3103" s="32"/>
      <c r="C3103" s="32"/>
      <c r="D3103" s="32"/>
      <c r="E3103" s="32"/>
      <c r="F3103" s="32"/>
      <c r="G3103" s="33"/>
      <c r="H3103" s="33"/>
      <c r="I3103" s="34" t="str">
        <f aca="false">IF($A3103="","",$G3103-$H3103)</f>
        <v/>
      </c>
      <c r="J3103" s="35" t="str">
        <f aca="false">IF($A3103="","",IF(Setup!$B$6=1,YEAR($A3103),YEAR($A3103)+IF(MONTH($A3103)&gt;=Setup!$B$6,1,0)))</f>
        <v/>
      </c>
      <c r="K3103" s="35" t="str">
        <f aca="false">IF($A3103="","",MOD(MONTH($A3103)-Setup!$B$6+12,12)+1)</f>
        <v/>
      </c>
      <c r="L3103" s="36" t="str">
        <f aca="false">IF($A3103="","",TEXT($A3103,"MMM-YY"))</f>
        <v/>
      </c>
      <c r="M3103" s="37" t="str">
        <f aca="false">IF($A3103="","",IF($Q3103=0,"UNMAPPED",INDEX(COA_Mapping!$C$7:$C$256,$Q3103)))</f>
        <v/>
      </c>
      <c r="N3103" s="38" t="str">
        <f aca="false">IF($A3103="","",IF($Q3103=0,"",INDEX(COA_Mapping!$E$7:$E$256,$Q3103)))</f>
        <v/>
      </c>
      <c r="O3103" s="38" t="n">
        <f aca="false">IF($A3103="",1,IF($Q3103=0,1,INDEX(COA_Mapping!$F$7:$F$256,$Q3103)))</f>
        <v>1</v>
      </c>
      <c r="P3103" s="34" t="str">
        <f aca="false">IF($A3103="","",$I3103*$O3103)</f>
        <v/>
      </c>
      <c r="Q3103" s="39" t="n">
        <f aca="false">IF($B3103="",0,IFERROR(MATCH($B3103,COA_Mapping!$A$7:$A$256,0),0))</f>
        <v>0</v>
      </c>
      <c r="R3103" s="39" t="n">
        <f aca="false">IF($A3103="",-1,IF($J3103=Setup!$B$7,1,IF($J3103=Setup!$B$9,0,-1)))</f>
        <v>-1</v>
      </c>
      <c r="S3103" s="35" t="n">
        <f aca="false">IF(OR($A3103="",$Q3103=0,$R3103=-1),0,$Q3103*1000+$R3103*100+$K3103)</f>
        <v>0</v>
      </c>
      <c r="T3103" s="37" t="str">
        <f aca="false">IF($A3103="","",IF($B3103="","NO ACCOUNT",IF($Q3103=0,"UNMAPPED",IF($R3103=-1,"OUTSIDE FY RANGE","OK"))))</f>
        <v/>
      </c>
      <c r="U3103" s="40" t="str">
        <f aca="false">IF($A3103="","",$B3103&amp;"|"&amp;TEXT($A3103,"yyyymmdd")&amp;"|"&amp;TEXT($I3103,"0.00"))</f>
        <v/>
      </c>
      <c r="V3103" s="35" t="str">
        <f aca="false">IF($A3103="","",COUNTIF($U$8:$U$5007,$U3103))</f>
        <v/>
      </c>
    </row>
    <row r="3104" customFormat="false" ht="15" hidden="false" customHeight="false" outlineLevel="0" collapsed="false">
      <c r="A3104" s="31"/>
      <c r="B3104" s="32"/>
      <c r="C3104" s="32"/>
      <c r="D3104" s="32"/>
      <c r="E3104" s="32"/>
      <c r="F3104" s="32"/>
      <c r="G3104" s="33"/>
      <c r="H3104" s="33"/>
      <c r="I3104" s="34" t="str">
        <f aca="false">IF($A3104="","",$G3104-$H3104)</f>
        <v/>
      </c>
      <c r="J3104" s="35" t="str">
        <f aca="false">IF($A3104="","",IF(Setup!$B$6=1,YEAR($A3104),YEAR($A3104)+IF(MONTH($A3104)&gt;=Setup!$B$6,1,0)))</f>
        <v/>
      </c>
      <c r="K3104" s="35" t="str">
        <f aca="false">IF($A3104="","",MOD(MONTH($A3104)-Setup!$B$6+12,12)+1)</f>
        <v/>
      </c>
      <c r="L3104" s="36" t="str">
        <f aca="false">IF($A3104="","",TEXT($A3104,"MMM-YY"))</f>
        <v/>
      </c>
      <c r="M3104" s="37" t="str">
        <f aca="false">IF($A3104="","",IF($Q3104=0,"UNMAPPED",INDEX(COA_Mapping!$C$7:$C$256,$Q3104)))</f>
        <v/>
      </c>
      <c r="N3104" s="38" t="str">
        <f aca="false">IF($A3104="","",IF($Q3104=0,"",INDEX(COA_Mapping!$E$7:$E$256,$Q3104)))</f>
        <v/>
      </c>
      <c r="O3104" s="38" t="n">
        <f aca="false">IF($A3104="",1,IF($Q3104=0,1,INDEX(COA_Mapping!$F$7:$F$256,$Q3104)))</f>
        <v>1</v>
      </c>
      <c r="P3104" s="34" t="str">
        <f aca="false">IF($A3104="","",$I3104*$O3104)</f>
        <v/>
      </c>
      <c r="Q3104" s="39" t="n">
        <f aca="false">IF($B3104="",0,IFERROR(MATCH($B3104,COA_Mapping!$A$7:$A$256,0),0))</f>
        <v>0</v>
      </c>
      <c r="R3104" s="39" t="n">
        <f aca="false">IF($A3104="",-1,IF($J3104=Setup!$B$7,1,IF($J3104=Setup!$B$9,0,-1)))</f>
        <v>-1</v>
      </c>
      <c r="S3104" s="35" t="n">
        <f aca="false">IF(OR($A3104="",$Q3104=0,$R3104=-1),0,$Q3104*1000+$R3104*100+$K3104)</f>
        <v>0</v>
      </c>
      <c r="T3104" s="37" t="str">
        <f aca="false">IF($A3104="","",IF($B3104="","NO ACCOUNT",IF($Q3104=0,"UNMAPPED",IF($R3104=-1,"OUTSIDE FY RANGE","OK"))))</f>
        <v/>
      </c>
      <c r="U3104" s="40" t="str">
        <f aca="false">IF($A3104="","",$B3104&amp;"|"&amp;TEXT($A3104,"yyyymmdd")&amp;"|"&amp;TEXT($I3104,"0.00"))</f>
        <v/>
      </c>
      <c r="V3104" s="35" t="str">
        <f aca="false">IF($A3104="","",COUNTIF($U$8:$U$5007,$U3104))</f>
        <v/>
      </c>
    </row>
    <row r="3105" customFormat="false" ht="15" hidden="false" customHeight="false" outlineLevel="0" collapsed="false">
      <c r="A3105" s="31"/>
      <c r="B3105" s="32"/>
      <c r="C3105" s="32"/>
      <c r="D3105" s="32"/>
      <c r="E3105" s="32"/>
      <c r="F3105" s="32"/>
      <c r="G3105" s="33"/>
      <c r="H3105" s="33"/>
      <c r="I3105" s="34" t="str">
        <f aca="false">IF($A3105="","",$G3105-$H3105)</f>
        <v/>
      </c>
      <c r="J3105" s="35" t="str">
        <f aca="false">IF($A3105="","",IF(Setup!$B$6=1,YEAR($A3105),YEAR($A3105)+IF(MONTH($A3105)&gt;=Setup!$B$6,1,0)))</f>
        <v/>
      </c>
      <c r="K3105" s="35" t="str">
        <f aca="false">IF($A3105="","",MOD(MONTH($A3105)-Setup!$B$6+12,12)+1)</f>
        <v/>
      </c>
      <c r="L3105" s="36" t="str">
        <f aca="false">IF($A3105="","",TEXT($A3105,"MMM-YY"))</f>
        <v/>
      </c>
      <c r="M3105" s="37" t="str">
        <f aca="false">IF($A3105="","",IF($Q3105=0,"UNMAPPED",INDEX(COA_Mapping!$C$7:$C$256,$Q3105)))</f>
        <v/>
      </c>
      <c r="N3105" s="38" t="str">
        <f aca="false">IF($A3105="","",IF($Q3105=0,"",INDEX(COA_Mapping!$E$7:$E$256,$Q3105)))</f>
        <v/>
      </c>
      <c r="O3105" s="38" t="n">
        <f aca="false">IF($A3105="",1,IF($Q3105=0,1,INDEX(COA_Mapping!$F$7:$F$256,$Q3105)))</f>
        <v>1</v>
      </c>
      <c r="P3105" s="34" t="str">
        <f aca="false">IF($A3105="","",$I3105*$O3105)</f>
        <v/>
      </c>
      <c r="Q3105" s="39" t="n">
        <f aca="false">IF($B3105="",0,IFERROR(MATCH($B3105,COA_Mapping!$A$7:$A$256,0),0))</f>
        <v>0</v>
      </c>
      <c r="R3105" s="39" t="n">
        <f aca="false">IF($A3105="",-1,IF($J3105=Setup!$B$7,1,IF($J3105=Setup!$B$9,0,-1)))</f>
        <v>-1</v>
      </c>
      <c r="S3105" s="35" t="n">
        <f aca="false">IF(OR($A3105="",$Q3105=0,$R3105=-1),0,$Q3105*1000+$R3105*100+$K3105)</f>
        <v>0</v>
      </c>
      <c r="T3105" s="37" t="str">
        <f aca="false">IF($A3105="","",IF($B3105="","NO ACCOUNT",IF($Q3105=0,"UNMAPPED",IF($R3105=-1,"OUTSIDE FY RANGE","OK"))))</f>
        <v/>
      </c>
      <c r="U3105" s="40" t="str">
        <f aca="false">IF($A3105="","",$B3105&amp;"|"&amp;TEXT($A3105,"yyyymmdd")&amp;"|"&amp;TEXT($I3105,"0.00"))</f>
        <v/>
      </c>
      <c r="V3105" s="35" t="str">
        <f aca="false">IF($A3105="","",COUNTIF($U$8:$U$5007,$U3105))</f>
        <v/>
      </c>
    </row>
    <row r="3106" customFormat="false" ht="15" hidden="false" customHeight="false" outlineLevel="0" collapsed="false">
      <c r="A3106" s="31"/>
      <c r="B3106" s="32"/>
      <c r="C3106" s="32"/>
      <c r="D3106" s="32"/>
      <c r="E3106" s="32"/>
      <c r="F3106" s="32"/>
      <c r="G3106" s="33"/>
      <c r="H3106" s="33"/>
      <c r="I3106" s="34" t="str">
        <f aca="false">IF($A3106="","",$G3106-$H3106)</f>
        <v/>
      </c>
      <c r="J3106" s="35" t="str">
        <f aca="false">IF($A3106="","",IF(Setup!$B$6=1,YEAR($A3106),YEAR($A3106)+IF(MONTH($A3106)&gt;=Setup!$B$6,1,0)))</f>
        <v/>
      </c>
      <c r="K3106" s="35" t="str">
        <f aca="false">IF($A3106="","",MOD(MONTH($A3106)-Setup!$B$6+12,12)+1)</f>
        <v/>
      </c>
      <c r="L3106" s="36" t="str">
        <f aca="false">IF($A3106="","",TEXT($A3106,"MMM-YY"))</f>
        <v/>
      </c>
      <c r="M3106" s="37" t="str">
        <f aca="false">IF($A3106="","",IF($Q3106=0,"UNMAPPED",INDEX(COA_Mapping!$C$7:$C$256,$Q3106)))</f>
        <v/>
      </c>
      <c r="N3106" s="38" t="str">
        <f aca="false">IF($A3106="","",IF($Q3106=0,"",INDEX(COA_Mapping!$E$7:$E$256,$Q3106)))</f>
        <v/>
      </c>
      <c r="O3106" s="38" t="n">
        <f aca="false">IF($A3106="",1,IF($Q3106=0,1,INDEX(COA_Mapping!$F$7:$F$256,$Q3106)))</f>
        <v>1</v>
      </c>
      <c r="P3106" s="34" t="str">
        <f aca="false">IF($A3106="","",$I3106*$O3106)</f>
        <v/>
      </c>
      <c r="Q3106" s="39" t="n">
        <f aca="false">IF($B3106="",0,IFERROR(MATCH($B3106,COA_Mapping!$A$7:$A$256,0),0))</f>
        <v>0</v>
      </c>
      <c r="R3106" s="39" t="n">
        <f aca="false">IF($A3106="",-1,IF($J3106=Setup!$B$7,1,IF($J3106=Setup!$B$9,0,-1)))</f>
        <v>-1</v>
      </c>
      <c r="S3106" s="35" t="n">
        <f aca="false">IF(OR($A3106="",$Q3106=0,$R3106=-1),0,$Q3106*1000+$R3106*100+$K3106)</f>
        <v>0</v>
      </c>
      <c r="T3106" s="37" t="str">
        <f aca="false">IF($A3106="","",IF($B3106="","NO ACCOUNT",IF($Q3106=0,"UNMAPPED",IF($R3106=-1,"OUTSIDE FY RANGE","OK"))))</f>
        <v/>
      </c>
      <c r="U3106" s="40" t="str">
        <f aca="false">IF($A3106="","",$B3106&amp;"|"&amp;TEXT($A3106,"yyyymmdd")&amp;"|"&amp;TEXT($I3106,"0.00"))</f>
        <v/>
      </c>
      <c r="V3106" s="35" t="str">
        <f aca="false">IF($A3106="","",COUNTIF($U$8:$U$5007,$U3106))</f>
        <v/>
      </c>
    </row>
    <row r="3107" customFormat="false" ht="15" hidden="false" customHeight="false" outlineLevel="0" collapsed="false">
      <c r="A3107" s="31"/>
      <c r="B3107" s="32"/>
      <c r="C3107" s="32"/>
      <c r="D3107" s="32"/>
      <c r="E3107" s="32"/>
      <c r="F3107" s="32"/>
      <c r="G3107" s="33"/>
      <c r="H3107" s="33"/>
      <c r="I3107" s="34" t="str">
        <f aca="false">IF($A3107="","",$G3107-$H3107)</f>
        <v/>
      </c>
      <c r="J3107" s="35" t="str">
        <f aca="false">IF($A3107="","",IF(Setup!$B$6=1,YEAR($A3107),YEAR($A3107)+IF(MONTH($A3107)&gt;=Setup!$B$6,1,0)))</f>
        <v/>
      </c>
      <c r="K3107" s="35" t="str">
        <f aca="false">IF($A3107="","",MOD(MONTH($A3107)-Setup!$B$6+12,12)+1)</f>
        <v/>
      </c>
      <c r="L3107" s="36" t="str">
        <f aca="false">IF($A3107="","",TEXT($A3107,"MMM-YY"))</f>
        <v/>
      </c>
      <c r="M3107" s="37" t="str">
        <f aca="false">IF($A3107="","",IF($Q3107=0,"UNMAPPED",INDEX(COA_Mapping!$C$7:$C$256,$Q3107)))</f>
        <v/>
      </c>
      <c r="N3107" s="38" t="str">
        <f aca="false">IF($A3107="","",IF($Q3107=0,"",INDEX(COA_Mapping!$E$7:$E$256,$Q3107)))</f>
        <v/>
      </c>
      <c r="O3107" s="38" t="n">
        <f aca="false">IF($A3107="",1,IF($Q3107=0,1,INDEX(COA_Mapping!$F$7:$F$256,$Q3107)))</f>
        <v>1</v>
      </c>
      <c r="P3107" s="34" t="str">
        <f aca="false">IF($A3107="","",$I3107*$O3107)</f>
        <v/>
      </c>
      <c r="Q3107" s="39" t="n">
        <f aca="false">IF($B3107="",0,IFERROR(MATCH($B3107,COA_Mapping!$A$7:$A$256,0),0))</f>
        <v>0</v>
      </c>
      <c r="R3107" s="39" t="n">
        <f aca="false">IF($A3107="",-1,IF($J3107=Setup!$B$7,1,IF($J3107=Setup!$B$9,0,-1)))</f>
        <v>-1</v>
      </c>
      <c r="S3107" s="35" t="n">
        <f aca="false">IF(OR($A3107="",$Q3107=0,$R3107=-1),0,$Q3107*1000+$R3107*100+$K3107)</f>
        <v>0</v>
      </c>
      <c r="T3107" s="37" t="str">
        <f aca="false">IF($A3107="","",IF($B3107="","NO ACCOUNT",IF($Q3107=0,"UNMAPPED",IF($R3107=-1,"OUTSIDE FY RANGE","OK"))))</f>
        <v/>
      </c>
      <c r="U3107" s="40" t="str">
        <f aca="false">IF($A3107="","",$B3107&amp;"|"&amp;TEXT($A3107,"yyyymmdd")&amp;"|"&amp;TEXT($I3107,"0.00"))</f>
        <v/>
      </c>
      <c r="V3107" s="35" t="str">
        <f aca="false">IF($A3107="","",COUNTIF($U$8:$U$5007,$U3107))</f>
        <v/>
      </c>
    </row>
    <row r="3108" customFormat="false" ht="15" hidden="false" customHeight="false" outlineLevel="0" collapsed="false">
      <c r="A3108" s="31"/>
      <c r="B3108" s="32"/>
      <c r="C3108" s="32"/>
      <c r="D3108" s="32"/>
      <c r="E3108" s="32"/>
      <c r="F3108" s="32"/>
      <c r="G3108" s="33"/>
      <c r="H3108" s="33"/>
      <c r="I3108" s="34" t="str">
        <f aca="false">IF($A3108="","",$G3108-$H3108)</f>
        <v/>
      </c>
      <c r="J3108" s="35" t="str">
        <f aca="false">IF($A3108="","",IF(Setup!$B$6=1,YEAR($A3108),YEAR($A3108)+IF(MONTH($A3108)&gt;=Setup!$B$6,1,0)))</f>
        <v/>
      </c>
      <c r="K3108" s="35" t="str">
        <f aca="false">IF($A3108="","",MOD(MONTH($A3108)-Setup!$B$6+12,12)+1)</f>
        <v/>
      </c>
      <c r="L3108" s="36" t="str">
        <f aca="false">IF($A3108="","",TEXT($A3108,"MMM-YY"))</f>
        <v/>
      </c>
      <c r="M3108" s="37" t="str">
        <f aca="false">IF($A3108="","",IF($Q3108=0,"UNMAPPED",INDEX(COA_Mapping!$C$7:$C$256,$Q3108)))</f>
        <v/>
      </c>
      <c r="N3108" s="38" t="str">
        <f aca="false">IF($A3108="","",IF($Q3108=0,"",INDEX(COA_Mapping!$E$7:$E$256,$Q3108)))</f>
        <v/>
      </c>
      <c r="O3108" s="38" t="n">
        <f aca="false">IF($A3108="",1,IF($Q3108=0,1,INDEX(COA_Mapping!$F$7:$F$256,$Q3108)))</f>
        <v>1</v>
      </c>
      <c r="P3108" s="34" t="str">
        <f aca="false">IF($A3108="","",$I3108*$O3108)</f>
        <v/>
      </c>
      <c r="Q3108" s="39" t="n">
        <f aca="false">IF($B3108="",0,IFERROR(MATCH($B3108,COA_Mapping!$A$7:$A$256,0),0))</f>
        <v>0</v>
      </c>
      <c r="R3108" s="39" t="n">
        <f aca="false">IF($A3108="",-1,IF($J3108=Setup!$B$7,1,IF($J3108=Setup!$B$9,0,-1)))</f>
        <v>-1</v>
      </c>
      <c r="S3108" s="35" t="n">
        <f aca="false">IF(OR($A3108="",$Q3108=0,$R3108=-1),0,$Q3108*1000+$R3108*100+$K3108)</f>
        <v>0</v>
      </c>
      <c r="T3108" s="37" t="str">
        <f aca="false">IF($A3108="","",IF($B3108="","NO ACCOUNT",IF($Q3108=0,"UNMAPPED",IF($R3108=-1,"OUTSIDE FY RANGE","OK"))))</f>
        <v/>
      </c>
      <c r="U3108" s="40" t="str">
        <f aca="false">IF($A3108="","",$B3108&amp;"|"&amp;TEXT($A3108,"yyyymmdd")&amp;"|"&amp;TEXT($I3108,"0.00"))</f>
        <v/>
      </c>
      <c r="V3108" s="35" t="str">
        <f aca="false">IF($A3108="","",COUNTIF($U$8:$U$5007,$U3108))</f>
        <v/>
      </c>
    </row>
    <row r="3109" customFormat="false" ht="15" hidden="false" customHeight="false" outlineLevel="0" collapsed="false">
      <c r="A3109" s="31"/>
      <c r="B3109" s="32"/>
      <c r="C3109" s="32"/>
      <c r="D3109" s="32"/>
      <c r="E3109" s="32"/>
      <c r="F3109" s="32"/>
      <c r="G3109" s="33"/>
      <c r="H3109" s="33"/>
      <c r="I3109" s="34" t="str">
        <f aca="false">IF($A3109="","",$G3109-$H3109)</f>
        <v/>
      </c>
      <c r="J3109" s="35" t="str">
        <f aca="false">IF($A3109="","",IF(Setup!$B$6=1,YEAR($A3109),YEAR($A3109)+IF(MONTH($A3109)&gt;=Setup!$B$6,1,0)))</f>
        <v/>
      </c>
      <c r="K3109" s="35" t="str">
        <f aca="false">IF($A3109="","",MOD(MONTH($A3109)-Setup!$B$6+12,12)+1)</f>
        <v/>
      </c>
      <c r="L3109" s="36" t="str">
        <f aca="false">IF($A3109="","",TEXT($A3109,"MMM-YY"))</f>
        <v/>
      </c>
      <c r="M3109" s="37" t="str">
        <f aca="false">IF($A3109="","",IF($Q3109=0,"UNMAPPED",INDEX(COA_Mapping!$C$7:$C$256,$Q3109)))</f>
        <v/>
      </c>
      <c r="N3109" s="38" t="str">
        <f aca="false">IF($A3109="","",IF($Q3109=0,"",INDEX(COA_Mapping!$E$7:$E$256,$Q3109)))</f>
        <v/>
      </c>
      <c r="O3109" s="38" t="n">
        <f aca="false">IF($A3109="",1,IF($Q3109=0,1,INDEX(COA_Mapping!$F$7:$F$256,$Q3109)))</f>
        <v>1</v>
      </c>
      <c r="P3109" s="34" t="str">
        <f aca="false">IF($A3109="","",$I3109*$O3109)</f>
        <v/>
      </c>
      <c r="Q3109" s="39" t="n">
        <f aca="false">IF($B3109="",0,IFERROR(MATCH($B3109,COA_Mapping!$A$7:$A$256,0),0))</f>
        <v>0</v>
      </c>
      <c r="R3109" s="39" t="n">
        <f aca="false">IF($A3109="",-1,IF($J3109=Setup!$B$7,1,IF($J3109=Setup!$B$9,0,-1)))</f>
        <v>-1</v>
      </c>
      <c r="S3109" s="35" t="n">
        <f aca="false">IF(OR($A3109="",$Q3109=0,$R3109=-1),0,$Q3109*1000+$R3109*100+$K3109)</f>
        <v>0</v>
      </c>
      <c r="T3109" s="37" t="str">
        <f aca="false">IF($A3109="","",IF($B3109="","NO ACCOUNT",IF($Q3109=0,"UNMAPPED",IF($R3109=-1,"OUTSIDE FY RANGE","OK"))))</f>
        <v/>
      </c>
      <c r="U3109" s="40" t="str">
        <f aca="false">IF($A3109="","",$B3109&amp;"|"&amp;TEXT($A3109,"yyyymmdd")&amp;"|"&amp;TEXT($I3109,"0.00"))</f>
        <v/>
      </c>
      <c r="V3109" s="35" t="str">
        <f aca="false">IF($A3109="","",COUNTIF($U$8:$U$5007,$U3109))</f>
        <v/>
      </c>
    </row>
    <row r="3110" customFormat="false" ht="15" hidden="false" customHeight="false" outlineLevel="0" collapsed="false">
      <c r="A3110" s="31"/>
      <c r="B3110" s="32"/>
      <c r="C3110" s="32"/>
      <c r="D3110" s="32"/>
      <c r="E3110" s="32"/>
      <c r="F3110" s="32"/>
      <c r="G3110" s="33"/>
      <c r="H3110" s="33"/>
      <c r="I3110" s="34" t="str">
        <f aca="false">IF($A3110="","",$G3110-$H3110)</f>
        <v/>
      </c>
      <c r="J3110" s="35" t="str">
        <f aca="false">IF($A3110="","",IF(Setup!$B$6=1,YEAR($A3110),YEAR($A3110)+IF(MONTH($A3110)&gt;=Setup!$B$6,1,0)))</f>
        <v/>
      </c>
      <c r="K3110" s="35" t="str">
        <f aca="false">IF($A3110="","",MOD(MONTH($A3110)-Setup!$B$6+12,12)+1)</f>
        <v/>
      </c>
      <c r="L3110" s="36" t="str">
        <f aca="false">IF($A3110="","",TEXT($A3110,"MMM-YY"))</f>
        <v/>
      </c>
      <c r="M3110" s="37" t="str">
        <f aca="false">IF($A3110="","",IF($Q3110=0,"UNMAPPED",INDEX(COA_Mapping!$C$7:$C$256,$Q3110)))</f>
        <v/>
      </c>
      <c r="N3110" s="38" t="str">
        <f aca="false">IF($A3110="","",IF($Q3110=0,"",INDEX(COA_Mapping!$E$7:$E$256,$Q3110)))</f>
        <v/>
      </c>
      <c r="O3110" s="38" t="n">
        <f aca="false">IF($A3110="",1,IF($Q3110=0,1,INDEX(COA_Mapping!$F$7:$F$256,$Q3110)))</f>
        <v>1</v>
      </c>
      <c r="P3110" s="34" t="str">
        <f aca="false">IF($A3110="","",$I3110*$O3110)</f>
        <v/>
      </c>
      <c r="Q3110" s="39" t="n">
        <f aca="false">IF($B3110="",0,IFERROR(MATCH($B3110,COA_Mapping!$A$7:$A$256,0),0))</f>
        <v>0</v>
      </c>
      <c r="R3110" s="39" t="n">
        <f aca="false">IF($A3110="",-1,IF($J3110=Setup!$B$7,1,IF($J3110=Setup!$B$9,0,-1)))</f>
        <v>-1</v>
      </c>
      <c r="S3110" s="35" t="n">
        <f aca="false">IF(OR($A3110="",$Q3110=0,$R3110=-1),0,$Q3110*1000+$R3110*100+$K3110)</f>
        <v>0</v>
      </c>
      <c r="T3110" s="37" t="str">
        <f aca="false">IF($A3110="","",IF($B3110="","NO ACCOUNT",IF($Q3110=0,"UNMAPPED",IF($R3110=-1,"OUTSIDE FY RANGE","OK"))))</f>
        <v/>
      </c>
      <c r="U3110" s="40" t="str">
        <f aca="false">IF($A3110="","",$B3110&amp;"|"&amp;TEXT($A3110,"yyyymmdd")&amp;"|"&amp;TEXT($I3110,"0.00"))</f>
        <v/>
      </c>
      <c r="V3110" s="35" t="str">
        <f aca="false">IF($A3110="","",COUNTIF($U$8:$U$5007,$U3110))</f>
        <v/>
      </c>
    </row>
    <row r="3111" customFormat="false" ht="15" hidden="false" customHeight="false" outlineLevel="0" collapsed="false">
      <c r="A3111" s="31"/>
      <c r="B3111" s="32"/>
      <c r="C3111" s="32"/>
      <c r="D3111" s="32"/>
      <c r="E3111" s="32"/>
      <c r="F3111" s="32"/>
      <c r="G3111" s="33"/>
      <c r="H3111" s="33"/>
      <c r="I3111" s="34" t="str">
        <f aca="false">IF($A3111="","",$G3111-$H3111)</f>
        <v/>
      </c>
      <c r="J3111" s="35" t="str">
        <f aca="false">IF($A3111="","",IF(Setup!$B$6=1,YEAR($A3111),YEAR($A3111)+IF(MONTH($A3111)&gt;=Setup!$B$6,1,0)))</f>
        <v/>
      </c>
      <c r="K3111" s="35" t="str">
        <f aca="false">IF($A3111="","",MOD(MONTH($A3111)-Setup!$B$6+12,12)+1)</f>
        <v/>
      </c>
      <c r="L3111" s="36" t="str">
        <f aca="false">IF($A3111="","",TEXT($A3111,"MMM-YY"))</f>
        <v/>
      </c>
      <c r="M3111" s="37" t="str">
        <f aca="false">IF($A3111="","",IF($Q3111=0,"UNMAPPED",INDEX(COA_Mapping!$C$7:$C$256,$Q3111)))</f>
        <v/>
      </c>
      <c r="N3111" s="38" t="str">
        <f aca="false">IF($A3111="","",IF($Q3111=0,"",INDEX(COA_Mapping!$E$7:$E$256,$Q3111)))</f>
        <v/>
      </c>
      <c r="O3111" s="38" t="n">
        <f aca="false">IF($A3111="",1,IF($Q3111=0,1,INDEX(COA_Mapping!$F$7:$F$256,$Q3111)))</f>
        <v>1</v>
      </c>
      <c r="P3111" s="34" t="str">
        <f aca="false">IF($A3111="","",$I3111*$O3111)</f>
        <v/>
      </c>
      <c r="Q3111" s="39" t="n">
        <f aca="false">IF($B3111="",0,IFERROR(MATCH($B3111,COA_Mapping!$A$7:$A$256,0),0))</f>
        <v>0</v>
      </c>
      <c r="R3111" s="39" t="n">
        <f aca="false">IF($A3111="",-1,IF($J3111=Setup!$B$7,1,IF($J3111=Setup!$B$9,0,-1)))</f>
        <v>-1</v>
      </c>
      <c r="S3111" s="35" t="n">
        <f aca="false">IF(OR($A3111="",$Q3111=0,$R3111=-1),0,$Q3111*1000+$R3111*100+$K3111)</f>
        <v>0</v>
      </c>
      <c r="T3111" s="37" t="str">
        <f aca="false">IF($A3111="","",IF($B3111="","NO ACCOUNT",IF($Q3111=0,"UNMAPPED",IF($R3111=-1,"OUTSIDE FY RANGE","OK"))))</f>
        <v/>
      </c>
      <c r="U3111" s="40" t="str">
        <f aca="false">IF($A3111="","",$B3111&amp;"|"&amp;TEXT($A3111,"yyyymmdd")&amp;"|"&amp;TEXT($I3111,"0.00"))</f>
        <v/>
      </c>
      <c r="V3111" s="35" t="str">
        <f aca="false">IF($A3111="","",COUNTIF($U$8:$U$5007,$U3111))</f>
        <v/>
      </c>
    </row>
    <row r="3112" customFormat="false" ht="15" hidden="false" customHeight="false" outlineLevel="0" collapsed="false">
      <c r="A3112" s="31"/>
      <c r="B3112" s="32"/>
      <c r="C3112" s="32"/>
      <c r="D3112" s="32"/>
      <c r="E3112" s="32"/>
      <c r="F3112" s="32"/>
      <c r="G3112" s="33"/>
      <c r="H3112" s="33"/>
      <c r="I3112" s="34" t="str">
        <f aca="false">IF($A3112="","",$G3112-$H3112)</f>
        <v/>
      </c>
      <c r="J3112" s="35" t="str">
        <f aca="false">IF($A3112="","",IF(Setup!$B$6=1,YEAR($A3112),YEAR($A3112)+IF(MONTH($A3112)&gt;=Setup!$B$6,1,0)))</f>
        <v/>
      </c>
      <c r="K3112" s="35" t="str">
        <f aca="false">IF($A3112="","",MOD(MONTH($A3112)-Setup!$B$6+12,12)+1)</f>
        <v/>
      </c>
      <c r="L3112" s="36" t="str">
        <f aca="false">IF($A3112="","",TEXT($A3112,"MMM-YY"))</f>
        <v/>
      </c>
      <c r="M3112" s="37" t="str">
        <f aca="false">IF($A3112="","",IF($Q3112=0,"UNMAPPED",INDEX(COA_Mapping!$C$7:$C$256,$Q3112)))</f>
        <v/>
      </c>
      <c r="N3112" s="38" t="str">
        <f aca="false">IF($A3112="","",IF($Q3112=0,"",INDEX(COA_Mapping!$E$7:$E$256,$Q3112)))</f>
        <v/>
      </c>
      <c r="O3112" s="38" t="n">
        <f aca="false">IF($A3112="",1,IF($Q3112=0,1,INDEX(COA_Mapping!$F$7:$F$256,$Q3112)))</f>
        <v>1</v>
      </c>
      <c r="P3112" s="34" t="str">
        <f aca="false">IF($A3112="","",$I3112*$O3112)</f>
        <v/>
      </c>
      <c r="Q3112" s="39" t="n">
        <f aca="false">IF($B3112="",0,IFERROR(MATCH($B3112,COA_Mapping!$A$7:$A$256,0),0))</f>
        <v>0</v>
      </c>
      <c r="R3112" s="39" t="n">
        <f aca="false">IF($A3112="",-1,IF($J3112=Setup!$B$7,1,IF($J3112=Setup!$B$9,0,-1)))</f>
        <v>-1</v>
      </c>
      <c r="S3112" s="35" t="n">
        <f aca="false">IF(OR($A3112="",$Q3112=0,$R3112=-1),0,$Q3112*1000+$R3112*100+$K3112)</f>
        <v>0</v>
      </c>
      <c r="T3112" s="37" t="str">
        <f aca="false">IF($A3112="","",IF($B3112="","NO ACCOUNT",IF($Q3112=0,"UNMAPPED",IF($R3112=-1,"OUTSIDE FY RANGE","OK"))))</f>
        <v/>
      </c>
      <c r="U3112" s="40" t="str">
        <f aca="false">IF($A3112="","",$B3112&amp;"|"&amp;TEXT($A3112,"yyyymmdd")&amp;"|"&amp;TEXT($I3112,"0.00"))</f>
        <v/>
      </c>
      <c r="V3112" s="35" t="str">
        <f aca="false">IF($A3112="","",COUNTIF($U$8:$U$5007,$U3112))</f>
        <v/>
      </c>
    </row>
    <row r="3113" customFormat="false" ht="15" hidden="false" customHeight="false" outlineLevel="0" collapsed="false">
      <c r="A3113" s="31"/>
      <c r="B3113" s="32"/>
      <c r="C3113" s="32"/>
      <c r="D3113" s="32"/>
      <c r="E3113" s="32"/>
      <c r="F3113" s="32"/>
      <c r="G3113" s="33"/>
      <c r="H3113" s="33"/>
      <c r="I3113" s="34" t="str">
        <f aca="false">IF($A3113="","",$G3113-$H3113)</f>
        <v/>
      </c>
      <c r="J3113" s="35" t="str">
        <f aca="false">IF($A3113="","",IF(Setup!$B$6=1,YEAR($A3113),YEAR($A3113)+IF(MONTH($A3113)&gt;=Setup!$B$6,1,0)))</f>
        <v/>
      </c>
      <c r="K3113" s="35" t="str">
        <f aca="false">IF($A3113="","",MOD(MONTH($A3113)-Setup!$B$6+12,12)+1)</f>
        <v/>
      </c>
      <c r="L3113" s="36" t="str">
        <f aca="false">IF($A3113="","",TEXT($A3113,"MMM-YY"))</f>
        <v/>
      </c>
      <c r="M3113" s="37" t="str">
        <f aca="false">IF($A3113="","",IF($Q3113=0,"UNMAPPED",INDEX(COA_Mapping!$C$7:$C$256,$Q3113)))</f>
        <v/>
      </c>
      <c r="N3113" s="38" t="str">
        <f aca="false">IF($A3113="","",IF($Q3113=0,"",INDEX(COA_Mapping!$E$7:$E$256,$Q3113)))</f>
        <v/>
      </c>
      <c r="O3113" s="38" t="n">
        <f aca="false">IF($A3113="",1,IF($Q3113=0,1,INDEX(COA_Mapping!$F$7:$F$256,$Q3113)))</f>
        <v>1</v>
      </c>
      <c r="P3113" s="34" t="str">
        <f aca="false">IF($A3113="","",$I3113*$O3113)</f>
        <v/>
      </c>
      <c r="Q3113" s="39" t="n">
        <f aca="false">IF($B3113="",0,IFERROR(MATCH($B3113,COA_Mapping!$A$7:$A$256,0),0))</f>
        <v>0</v>
      </c>
      <c r="R3113" s="39" t="n">
        <f aca="false">IF($A3113="",-1,IF($J3113=Setup!$B$7,1,IF($J3113=Setup!$B$9,0,-1)))</f>
        <v>-1</v>
      </c>
      <c r="S3113" s="35" t="n">
        <f aca="false">IF(OR($A3113="",$Q3113=0,$R3113=-1),0,$Q3113*1000+$R3113*100+$K3113)</f>
        <v>0</v>
      </c>
      <c r="T3113" s="37" t="str">
        <f aca="false">IF($A3113="","",IF($B3113="","NO ACCOUNT",IF($Q3113=0,"UNMAPPED",IF($R3113=-1,"OUTSIDE FY RANGE","OK"))))</f>
        <v/>
      </c>
      <c r="U3113" s="40" t="str">
        <f aca="false">IF($A3113="","",$B3113&amp;"|"&amp;TEXT($A3113,"yyyymmdd")&amp;"|"&amp;TEXT($I3113,"0.00"))</f>
        <v/>
      </c>
      <c r="V3113" s="35" t="str">
        <f aca="false">IF($A3113="","",COUNTIF($U$8:$U$5007,$U3113))</f>
        <v/>
      </c>
    </row>
    <row r="3114" customFormat="false" ht="15" hidden="false" customHeight="false" outlineLevel="0" collapsed="false">
      <c r="A3114" s="31"/>
      <c r="B3114" s="32"/>
      <c r="C3114" s="32"/>
      <c r="D3114" s="32"/>
      <c r="E3114" s="32"/>
      <c r="F3114" s="32"/>
      <c r="G3114" s="33"/>
      <c r="H3114" s="33"/>
      <c r="I3114" s="34" t="str">
        <f aca="false">IF($A3114="","",$G3114-$H3114)</f>
        <v/>
      </c>
      <c r="J3114" s="35" t="str">
        <f aca="false">IF($A3114="","",IF(Setup!$B$6=1,YEAR($A3114),YEAR($A3114)+IF(MONTH($A3114)&gt;=Setup!$B$6,1,0)))</f>
        <v/>
      </c>
      <c r="K3114" s="35" t="str">
        <f aca="false">IF($A3114="","",MOD(MONTH($A3114)-Setup!$B$6+12,12)+1)</f>
        <v/>
      </c>
      <c r="L3114" s="36" t="str">
        <f aca="false">IF($A3114="","",TEXT($A3114,"MMM-YY"))</f>
        <v/>
      </c>
      <c r="M3114" s="37" t="str">
        <f aca="false">IF($A3114="","",IF($Q3114=0,"UNMAPPED",INDEX(COA_Mapping!$C$7:$C$256,$Q3114)))</f>
        <v/>
      </c>
      <c r="N3114" s="38" t="str">
        <f aca="false">IF($A3114="","",IF($Q3114=0,"",INDEX(COA_Mapping!$E$7:$E$256,$Q3114)))</f>
        <v/>
      </c>
      <c r="O3114" s="38" t="n">
        <f aca="false">IF($A3114="",1,IF($Q3114=0,1,INDEX(COA_Mapping!$F$7:$F$256,$Q3114)))</f>
        <v>1</v>
      </c>
      <c r="P3114" s="34" t="str">
        <f aca="false">IF($A3114="","",$I3114*$O3114)</f>
        <v/>
      </c>
      <c r="Q3114" s="39" t="n">
        <f aca="false">IF($B3114="",0,IFERROR(MATCH($B3114,COA_Mapping!$A$7:$A$256,0),0))</f>
        <v>0</v>
      </c>
      <c r="R3114" s="39" t="n">
        <f aca="false">IF($A3114="",-1,IF($J3114=Setup!$B$7,1,IF($J3114=Setup!$B$9,0,-1)))</f>
        <v>-1</v>
      </c>
      <c r="S3114" s="35" t="n">
        <f aca="false">IF(OR($A3114="",$Q3114=0,$R3114=-1),0,$Q3114*1000+$R3114*100+$K3114)</f>
        <v>0</v>
      </c>
      <c r="T3114" s="37" t="str">
        <f aca="false">IF($A3114="","",IF($B3114="","NO ACCOUNT",IF($Q3114=0,"UNMAPPED",IF($R3114=-1,"OUTSIDE FY RANGE","OK"))))</f>
        <v/>
      </c>
      <c r="U3114" s="40" t="str">
        <f aca="false">IF($A3114="","",$B3114&amp;"|"&amp;TEXT($A3114,"yyyymmdd")&amp;"|"&amp;TEXT($I3114,"0.00"))</f>
        <v/>
      </c>
      <c r="V3114" s="35" t="str">
        <f aca="false">IF($A3114="","",COUNTIF($U$8:$U$5007,$U3114))</f>
        <v/>
      </c>
    </row>
    <row r="3115" customFormat="false" ht="15" hidden="false" customHeight="false" outlineLevel="0" collapsed="false">
      <c r="A3115" s="31"/>
      <c r="B3115" s="32"/>
      <c r="C3115" s="32"/>
      <c r="D3115" s="32"/>
      <c r="E3115" s="32"/>
      <c r="F3115" s="32"/>
      <c r="G3115" s="33"/>
      <c r="H3115" s="33"/>
      <c r="I3115" s="34" t="str">
        <f aca="false">IF($A3115="","",$G3115-$H3115)</f>
        <v/>
      </c>
      <c r="J3115" s="35" t="str">
        <f aca="false">IF($A3115="","",IF(Setup!$B$6=1,YEAR($A3115),YEAR($A3115)+IF(MONTH($A3115)&gt;=Setup!$B$6,1,0)))</f>
        <v/>
      </c>
      <c r="K3115" s="35" t="str">
        <f aca="false">IF($A3115="","",MOD(MONTH($A3115)-Setup!$B$6+12,12)+1)</f>
        <v/>
      </c>
      <c r="L3115" s="36" t="str">
        <f aca="false">IF($A3115="","",TEXT($A3115,"MMM-YY"))</f>
        <v/>
      </c>
      <c r="M3115" s="37" t="str">
        <f aca="false">IF($A3115="","",IF($Q3115=0,"UNMAPPED",INDEX(COA_Mapping!$C$7:$C$256,$Q3115)))</f>
        <v/>
      </c>
      <c r="N3115" s="38" t="str">
        <f aca="false">IF($A3115="","",IF($Q3115=0,"",INDEX(COA_Mapping!$E$7:$E$256,$Q3115)))</f>
        <v/>
      </c>
      <c r="O3115" s="38" t="n">
        <f aca="false">IF($A3115="",1,IF($Q3115=0,1,INDEX(COA_Mapping!$F$7:$F$256,$Q3115)))</f>
        <v>1</v>
      </c>
      <c r="P3115" s="34" t="str">
        <f aca="false">IF($A3115="","",$I3115*$O3115)</f>
        <v/>
      </c>
      <c r="Q3115" s="39" t="n">
        <f aca="false">IF($B3115="",0,IFERROR(MATCH($B3115,COA_Mapping!$A$7:$A$256,0),0))</f>
        <v>0</v>
      </c>
      <c r="R3115" s="39" t="n">
        <f aca="false">IF($A3115="",-1,IF($J3115=Setup!$B$7,1,IF($J3115=Setup!$B$9,0,-1)))</f>
        <v>-1</v>
      </c>
      <c r="S3115" s="35" t="n">
        <f aca="false">IF(OR($A3115="",$Q3115=0,$R3115=-1),0,$Q3115*1000+$R3115*100+$K3115)</f>
        <v>0</v>
      </c>
      <c r="T3115" s="37" t="str">
        <f aca="false">IF($A3115="","",IF($B3115="","NO ACCOUNT",IF($Q3115=0,"UNMAPPED",IF($R3115=-1,"OUTSIDE FY RANGE","OK"))))</f>
        <v/>
      </c>
      <c r="U3115" s="40" t="str">
        <f aca="false">IF($A3115="","",$B3115&amp;"|"&amp;TEXT($A3115,"yyyymmdd")&amp;"|"&amp;TEXT($I3115,"0.00"))</f>
        <v/>
      </c>
      <c r="V3115" s="35" t="str">
        <f aca="false">IF($A3115="","",COUNTIF($U$8:$U$5007,$U3115))</f>
        <v/>
      </c>
    </row>
    <row r="3116" customFormat="false" ht="15" hidden="false" customHeight="false" outlineLevel="0" collapsed="false">
      <c r="A3116" s="31"/>
      <c r="B3116" s="32"/>
      <c r="C3116" s="32"/>
      <c r="D3116" s="32"/>
      <c r="E3116" s="32"/>
      <c r="F3116" s="32"/>
      <c r="G3116" s="33"/>
      <c r="H3116" s="33"/>
      <c r="I3116" s="34" t="str">
        <f aca="false">IF($A3116="","",$G3116-$H3116)</f>
        <v/>
      </c>
      <c r="J3116" s="35" t="str">
        <f aca="false">IF($A3116="","",IF(Setup!$B$6=1,YEAR($A3116),YEAR($A3116)+IF(MONTH($A3116)&gt;=Setup!$B$6,1,0)))</f>
        <v/>
      </c>
      <c r="K3116" s="35" t="str">
        <f aca="false">IF($A3116="","",MOD(MONTH($A3116)-Setup!$B$6+12,12)+1)</f>
        <v/>
      </c>
      <c r="L3116" s="36" t="str">
        <f aca="false">IF($A3116="","",TEXT($A3116,"MMM-YY"))</f>
        <v/>
      </c>
      <c r="M3116" s="37" t="str">
        <f aca="false">IF($A3116="","",IF($Q3116=0,"UNMAPPED",INDEX(COA_Mapping!$C$7:$C$256,$Q3116)))</f>
        <v/>
      </c>
      <c r="N3116" s="38" t="str">
        <f aca="false">IF($A3116="","",IF($Q3116=0,"",INDEX(COA_Mapping!$E$7:$E$256,$Q3116)))</f>
        <v/>
      </c>
      <c r="O3116" s="38" t="n">
        <f aca="false">IF($A3116="",1,IF($Q3116=0,1,INDEX(COA_Mapping!$F$7:$F$256,$Q3116)))</f>
        <v>1</v>
      </c>
      <c r="P3116" s="34" t="str">
        <f aca="false">IF($A3116="","",$I3116*$O3116)</f>
        <v/>
      </c>
      <c r="Q3116" s="39" t="n">
        <f aca="false">IF($B3116="",0,IFERROR(MATCH($B3116,COA_Mapping!$A$7:$A$256,0),0))</f>
        <v>0</v>
      </c>
      <c r="R3116" s="39" t="n">
        <f aca="false">IF($A3116="",-1,IF($J3116=Setup!$B$7,1,IF($J3116=Setup!$B$9,0,-1)))</f>
        <v>-1</v>
      </c>
      <c r="S3116" s="35" t="n">
        <f aca="false">IF(OR($A3116="",$Q3116=0,$R3116=-1),0,$Q3116*1000+$R3116*100+$K3116)</f>
        <v>0</v>
      </c>
      <c r="T3116" s="37" t="str">
        <f aca="false">IF($A3116="","",IF($B3116="","NO ACCOUNT",IF($Q3116=0,"UNMAPPED",IF($R3116=-1,"OUTSIDE FY RANGE","OK"))))</f>
        <v/>
      </c>
      <c r="U3116" s="40" t="str">
        <f aca="false">IF($A3116="","",$B3116&amp;"|"&amp;TEXT($A3116,"yyyymmdd")&amp;"|"&amp;TEXT($I3116,"0.00"))</f>
        <v/>
      </c>
      <c r="V3116" s="35" t="str">
        <f aca="false">IF($A3116="","",COUNTIF($U$8:$U$5007,$U3116))</f>
        <v/>
      </c>
    </row>
    <row r="3117" customFormat="false" ht="15" hidden="false" customHeight="false" outlineLevel="0" collapsed="false">
      <c r="A3117" s="31"/>
      <c r="B3117" s="32"/>
      <c r="C3117" s="32"/>
      <c r="D3117" s="32"/>
      <c r="E3117" s="32"/>
      <c r="F3117" s="32"/>
      <c r="G3117" s="33"/>
      <c r="H3117" s="33"/>
      <c r="I3117" s="34" t="str">
        <f aca="false">IF($A3117="","",$G3117-$H3117)</f>
        <v/>
      </c>
      <c r="J3117" s="35" t="str">
        <f aca="false">IF($A3117="","",IF(Setup!$B$6=1,YEAR($A3117),YEAR($A3117)+IF(MONTH($A3117)&gt;=Setup!$B$6,1,0)))</f>
        <v/>
      </c>
      <c r="K3117" s="35" t="str">
        <f aca="false">IF($A3117="","",MOD(MONTH($A3117)-Setup!$B$6+12,12)+1)</f>
        <v/>
      </c>
      <c r="L3117" s="36" t="str">
        <f aca="false">IF($A3117="","",TEXT($A3117,"MMM-YY"))</f>
        <v/>
      </c>
      <c r="M3117" s="37" t="str">
        <f aca="false">IF($A3117="","",IF($Q3117=0,"UNMAPPED",INDEX(COA_Mapping!$C$7:$C$256,$Q3117)))</f>
        <v/>
      </c>
      <c r="N3117" s="38" t="str">
        <f aca="false">IF($A3117="","",IF($Q3117=0,"",INDEX(COA_Mapping!$E$7:$E$256,$Q3117)))</f>
        <v/>
      </c>
      <c r="O3117" s="38" t="n">
        <f aca="false">IF($A3117="",1,IF($Q3117=0,1,INDEX(COA_Mapping!$F$7:$F$256,$Q3117)))</f>
        <v>1</v>
      </c>
      <c r="P3117" s="34" t="str">
        <f aca="false">IF($A3117="","",$I3117*$O3117)</f>
        <v/>
      </c>
      <c r="Q3117" s="39" t="n">
        <f aca="false">IF($B3117="",0,IFERROR(MATCH($B3117,COA_Mapping!$A$7:$A$256,0),0))</f>
        <v>0</v>
      </c>
      <c r="R3117" s="39" t="n">
        <f aca="false">IF($A3117="",-1,IF($J3117=Setup!$B$7,1,IF($J3117=Setup!$B$9,0,-1)))</f>
        <v>-1</v>
      </c>
      <c r="S3117" s="35" t="n">
        <f aca="false">IF(OR($A3117="",$Q3117=0,$R3117=-1),0,$Q3117*1000+$R3117*100+$K3117)</f>
        <v>0</v>
      </c>
      <c r="T3117" s="37" t="str">
        <f aca="false">IF($A3117="","",IF($B3117="","NO ACCOUNT",IF($Q3117=0,"UNMAPPED",IF($R3117=-1,"OUTSIDE FY RANGE","OK"))))</f>
        <v/>
      </c>
      <c r="U3117" s="40" t="str">
        <f aca="false">IF($A3117="","",$B3117&amp;"|"&amp;TEXT($A3117,"yyyymmdd")&amp;"|"&amp;TEXT($I3117,"0.00"))</f>
        <v/>
      </c>
      <c r="V3117" s="35" t="str">
        <f aca="false">IF($A3117="","",COUNTIF($U$8:$U$5007,$U3117))</f>
        <v/>
      </c>
    </row>
    <row r="3118" customFormat="false" ht="15" hidden="false" customHeight="false" outlineLevel="0" collapsed="false">
      <c r="A3118" s="31"/>
      <c r="B3118" s="32"/>
      <c r="C3118" s="32"/>
      <c r="D3118" s="32"/>
      <c r="E3118" s="32"/>
      <c r="F3118" s="32"/>
      <c r="G3118" s="33"/>
      <c r="H3118" s="33"/>
      <c r="I3118" s="34" t="str">
        <f aca="false">IF($A3118="","",$G3118-$H3118)</f>
        <v/>
      </c>
      <c r="J3118" s="35" t="str">
        <f aca="false">IF($A3118="","",IF(Setup!$B$6=1,YEAR($A3118),YEAR($A3118)+IF(MONTH($A3118)&gt;=Setup!$B$6,1,0)))</f>
        <v/>
      </c>
      <c r="K3118" s="35" t="str">
        <f aca="false">IF($A3118="","",MOD(MONTH($A3118)-Setup!$B$6+12,12)+1)</f>
        <v/>
      </c>
      <c r="L3118" s="36" t="str">
        <f aca="false">IF($A3118="","",TEXT($A3118,"MMM-YY"))</f>
        <v/>
      </c>
      <c r="M3118" s="37" t="str">
        <f aca="false">IF($A3118="","",IF($Q3118=0,"UNMAPPED",INDEX(COA_Mapping!$C$7:$C$256,$Q3118)))</f>
        <v/>
      </c>
      <c r="N3118" s="38" t="str">
        <f aca="false">IF($A3118="","",IF($Q3118=0,"",INDEX(COA_Mapping!$E$7:$E$256,$Q3118)))</f>
        <v/>
      </c>
      <c r="O3118" s="38" t="n">
        <f aca="false">IF($A3118="",1,IF($Q3118=0,1,INDEX(COA_Mapping!$F$7:$F$256,$Q3118)))</f>
        <v>1</v>
      </c>
      <c r="P3118" s="34" t="str">
        <f aca="false">IF($A3118="","",$I3118*$O3118)</f>
        <v/>
      </c>
      <c r="Q3118" s="39" t="n">
        <f aca="false">IF($B3118="",0,IFERROR(MATCH($B3118,COA_Mapping!$A$7:$A$256,0),0))</f>
        <v>0</v>
      </c>
      <c r="R3118" s="39" t="n">
        <f aca="false">IF($A3118="",-1,IF($J3118=Setup!$B$7,1,IF($J3118=Setup!$B$9,0,-1)))</f>
        <v>-1</v>
      </c>
      <c r="S3118" s="35" t="n">
        <f aca="false">IF(OR($A3118="",$Q3118=0,$R3118=-1),0,$Q3118*1000+$R3118*100+$K3118)</f>
        <v>0</v>
      </c>
      <c r="T3118" s="37" t="str">
        <f aca="false">IF($A3118="","",IF($B3118="","NO ACCOUNT",IF($Q3118=0,"UNMAPPED",IF($R3118=-1,"OUTSIDE FY RANGE","OK"))))</f>
        <v/>
      </c>
      <c r="U3118" s="40" t="str">
        <f aca="false">IF($A3118="","",$B3118&amp;"|"&amp;TEXT($A3118,"yyyymmdd")&amp;"|"&amp;TEXT($I3118,"0.00"))</f>
        <v/>
      </c>
      <c r="V3118" s="35" t="str">
        <f aca="false">IF($A3118="","",COUNTIF($U$8:$U$5007,$U3118))</f>
        <v/>
      </c>
    </row>
    <row r="3119" customFormat="false" ht="15" hidden="false" customHeight="false" outlineLevel="0" collapsed="false">
      <c r="A3119" s="31"/>
      <c r="B3119" s="32"/>
      <c r="C3119" s="32"/>
      <c r="D3119" s="32"/>
      <c r="E3119" s="32"/>
      <c r="F3119" s="32"/>
      <c r="G3119" s="33"/>
      <c r="H3119" s="33"/>
      <c r="I3119" s="34" t="str">
        <f aca="false">IF($A3119="","",$G3119-$H3119)</f>
        <v/>
      </c>
      <c r="J3119" s="35" t="str">
        <f aca="false">IF($A3119="","",IF(Setup!$B$6=1,YEAR($A3119),YEAR($A3119)+IF(MONTH($A3119)&gt;=Setup!$B$6,1,0)))</f>
        <v/>
      </c>
      <c r="K3119" s="35" t="str">
        <f aca="false">IF($A3119="","",MOD(MONTH($A3119)-Setup!$B$6+12,12)+1)</f>
        <v/>
      </c>
      <c r="L3119" s="36" t="str">
        <f aca="false">IF($A3119="","",TEXT($A3119,"MMM-YY"))</f>
        <v/>
      </c>
      <c r="M3119" s="37" t="str">
        <f aca="false">IF($A3119="","",IF($Q3119=0,"UNMAPPED",INDEX(COA_Mapping!$C$7:$C$256,$Q3119)))</f>
        <v/>
      </c>
      <c r="N3119" s="38" t="str">
        <f aca="false">IF($A3119="","",IF($Q3119=0,"",INDEX(COA_Mapping!$E$7:$E$256,$Q3119)))</f>
        <v/>
      </c>
      <c r="O3119" s="38" t="n">
        <f aca="false">IF($A3119="",1,IF($Q3119=0,1,INDEX(COA_Mapping!$F$7:$F$256,$Q3119)))</f>
        <v>1</v>
      </c>
      <c r="P3119" s="34" t="str">
        <f aca="false">IF($A3119="","",$I3119*$O3119)</f>
        <v/>
      </c>
      <c r="Q3119" s="39" t="n">
        <f aca="false">IF($B3119="",0,IFERROR(MATCH($B3119,COA_Mapping!$A$7:$A$256,0),0))</f>
        <v>0</v>
      </c>
      <c r="R3119" s="39" t="n">
        <f aca="false">IF($A3119="",-1,IF($J3119=Setup!$B$7,1,IF($J3119=Setup!$B$9,0,-1)))</f>
        <v>-1</v>
      </c>
      <c r="S3119" s="35" t="n">
        <f aca="false">IF(OR($A3119="",$Q3119=0,$R3119=-1),0,$Q3119*1000+$R3119*100+$K3119)</f>
        <v>0</v>
      </c>
      <c r="T3119" s="37" t="str">
        <f aca="false">IF($A3119="","",IF($B3119="","NO ACCOUNT",IF($Q3119=0,"UNMAPPED",IF($R3119=-1,"OUTSIDE FY RANGE","OK"))))</f>
        <v/>
      </c>
      <c r="U3119" s="40" t="str">
        <f aca="false">IF($A3119="","",$B3119&amp;"|"&amp;TEXT($A3119,"yyyymmdd")&amp;"|"&amp;TEXT($I3119,"0.00"))</f>
        <v/>
      </c>
      <c r="V3119" s="35" t="str">
        <f aca="false">IF($A3119="","",COUNTIF($U$8:$U$5007,$U3119))</f>
        <v/>
      </c>
    </row>
    <row r="3120" customFormat="false" ht="15" hidden="false" customHeight="false" outlineLevel="0" collapsed="false">
      <c r="A3120" s="31"/>
      <c r="B3120" s="32"/>
      <c r="C3120" s="32"/>
      <c r="D3120" s="32"/>
      <c r="E3120" s="32"/>
      <c r="F3120" s="32"/>
      <c r="G3120" s="33"/>
      <c r="H3120" s="33"/>
      <c r="I3120" s="34" t="str">
        <f aca="false">IF($A3120="","",$G3120-$H3120)</f>
        <v/>
      </c>
      <c r="J3120" s="35" t="str">
        <f aca="false">IF($A3120="","",IF(Setup!$B$6=1,YEAR($A3120),YEAR($A3120)+IF(MONTH($A3120)&gt;=Setup!$B$6,1,0)))</f>
        <v/>
      </c>
      <c r="K3120" s="35" t="str">
        <f aca="false">IF($A3120="","",MOD(MONTH($A3120)-Setup!$B$6+12,12)+1)</f>
        <v/>
      </c>
      <c r="L3120" s="36" t="str">
        <f aca="false">IF($A3120="","",TEXT($A3120,"MMM-YY"))</f>
        <v/>
      </c>
      <c r="M3120" s="37" t="str">
        <f aca="false">IF($A3120="","",IF($Q3120=0,"UNMAPPED",INDEX(COA_Mapping!$C$7:$C$256,$Q3120)))</f>
        <v/>
      </c>
      <c r="N3120" s="38" t="str">
        <f aca="false">IF($A3120="","",IF($Q3120=0,"",INDEX(COA_Mapping!$E$7:$E$256,$Q3120)))</f>
        <v/>
      </c>
      <c r="O3120" s="38" t="n">
        <f aca="false">IF($A3120="",1,IF($Q3120=0,1,INDEX(COA_Mapping!$F$7:$F$256,$Q3120)))</f>
        <v>1</v>
      </c>
      <c r="P3120" s="34" t="str">
        <f aca="false">IF($A3120="","",$I3120*$O3120)</f>
        <v/>
      </c>
      <c r="Q3120" s="39" t="n">
        <f aca="false">IF($B3120="",0,IFERROR(MATCH($B3120,COA_Mapping!$A$7:$A$256,0),0))</f>
        <v>0</v>
      </c>
      <c r="R3120" s="39" t="n">
        <f aca="false">IF($A3120="",-1,IF($J3120=Setup!$B$7,1,IF($J3120=Setup!$B$9,0,-1)))</f>
        <v>-1</v>
      </c>
      <c r="S3120" s="35" t="n">
        <f aca="false">IF(OR($A3120="",$Q3120=0,$R3120=-1),0,$Q3120*1000+$R3120*100+$K3120)</f>
        <v>0</v>
      </c>
      <c r="T3120" s="37" t="str">
        <f aca="false">IF($A3120="","",IF($B3120="","NO ACCOUNT",IF($Q3120=0,"UNMAPPED",IF($R3120=-1,"OUTSIDE FY RANGE","OK"))))</f>
        <v/>
      </c>
      <c r="U3120" s="40" t="str">
        <f aca="false">IF($A3120="","",$B3120&amp;"|"&amp;TEXT($A3120,"yyyymmdd")&amp;"|"&amp;TEXT($I3120,"0.00"))</f>
        <v/>
      </c>
      <c r="V3120" s="35" t="str">
        <f aca="false">IF($A3120="","",COUNTIF($U$8:$U$5007,$U3120))</f>
        <v/>
      </c>
    </row>
    <row r="3121" customFormat="false" ht="15" hidden="false" customHeight="false" outlineLevel="0" collapsed="false">
      <c r="A3121" s="31"/>
      <c r="B3121" s="32"/>
      <c r="C3121" s="32"/>
      <c r="D3121" s="32"/>
      <c r="E3121" s="32"/>
      <c r="F3121" s="32"/>
      <c r="G3121" s="33"/>
      <c r="H3121" s="33"/>
      <c r="I3121" s="34" t="str">
        <f aca="false">IF($A3121="","",$G3121-$H3121)</f>
        <v/>
      </c>
      <c r="J3121" s="35" t="str">
        <f aca="false">IF($A3121="","",IF(Setup!$B$6=1,YEAR($A3121),YEAR($A3121)+IF(MONTH($A3121)&gt;=Setup!$B$6,1,0)))</f>
        <v/>
      </c>
      <c r="K3121" s="35" t="str">
        <f aca="false">IF($A3121="","",MOD(MONTH($A3121)-Setup!$B$6+12,12)+1)</f>
        <v/>
      </c>
      <c r="L3121" s="36" t="str">
        <f aca="false">IF($A3121="","",TEXT($A3121,"MMM-YY"))</f>
        <v/>
      </c>
      <c r="M3121" s="37" t="str">
        <f aca="false">IF($A3121="","",IF($Q3121=0,"UNMAPPED",INDEX(COA_Mapping!$C$7:$C$256,$Q3121)))</f>
        <v/>
      </c>
      <c r="N3121" s="38" t="str">
        <f aca="false">IF($A3121="","",IF($Q3121=0,"",INDEX(COA_Mapping!$E$7:$E$256,$Q3121)))</f>
        <v/>
      </c>
      <c r="O3121" s="38" t="n">
        <f aca="false">IF($A3121="",1,IF($Q3121=0,1,INDEX(COA_Mapping!$F$7:$F$256,$Q3121)))</f>
        <v>1</v>
      </c>
      <c r="P3121" s="34" t="str">
        <f aca="false">IF($A3121="","",$I3121*$O3121)</f>
        <v/>
      </c>
      <c r="Q3121" s="39" t="n">
        <f aca="false">IF($B3121="",0,IFERROR(MATCH($B3121,COA_Mapping!$A$7:$A$256,0),0))</f>
        <v>0</v>
      </c>
      <c r="R3121" s="39" t="n">
        <f aca="false">IF($A3121="",-1,IF($J3121=Setup!$B$7,1,IF($J3121=Setup!$B$9,0,-1)))</f>
        <v>-1</v>
      </c>
      <c r="S3121" s="35" t="n">
        <f aca="false">IF(OR($A3121="",$Q3121=0,$R3121=-1),0,$Q3121*1000+$R3121*100+$K3121)</f>
        <v>0</v>
      </c>
      <c r="T3121" s="37" t="str">
        <f aca="false">IF($A3121="","",IF($B3121="","NO ACCOUNT",IF($Q3121=0,"UNMAPPED",IF($R3121=-1,"OUTSIDE FY RANGE","OK"))))</f>
        <v/>
      </c>
      <c r="U3121" s="40" t="str">
        <f aca="false">IF($A3121="","",$B3121&amp;"|"&amp;TEXT($A3121,"yyyymmdd")&amp;"|"&amp;TEXT($I3121,"0.00"))</f>
        <v/>
      </c>
      <c r="V3121" s="35" t="str">
        <f aca="false">IF($A3121="","",COUNTIF($U$8:$U$5007,$U3121))</f>
        <v/>
      </c>
    </row>
    <row r="3122" customFormat="false" ht="15" hidden="false" customHeight="false" outlineLevel="0" collapsed="false">
      <c r="A3122" s="31"/>
      <c r="B3122" s="32"/>
      <c r="C3122" s="32"/>
      <c r="D3122" s="32"/>
      <c r="E3122" s="32"/>
      <c r="F3122" s="32"/>
      <c r="G3122" s="33"/>
      <c r="H3122" s="33"/>
      <c r="I3122" s="34" t="str">
        <f aca="false">IF($A3122="","",$G3122-$H3122)</f>
        <v/>
      </c>
      <c r="J3122" s="35" t="str">
        <f aca="false">IF($A3122="","",IF(Setup!$B$6=1,YEAR($A3122),YEAR($A3122)+IF(MONTH($A3122)&gt;=Setup!$B$6,1,0)))</f>
        <v/>
      </c>
      <c r="K3122" s="35" t="str">
        <f aca="false">IF($A3122="","",MOD(MONTH($A3122)-Setup!$B$6+12,12)+1)</f>
        <v/>
      </c>
      <c r="L3122" s="36" t="str">
        <f aca="false">IF($A3122="","",TEXT($A3122,"MMM-YY"))</f>
        <v/>
      </c>
      <c r="M3122" s="37" t="str">
        <f aca="false">IF($A3122="","",IF($Q3122=0,"UNMAPPED",INDEX(COA_Mapping!$C$7:$C$256,$Q3122)))</f>
        <v/>
      </c>
      <c r="N3122" s="38" t="str">
        <f aca="false">IF($A3122="","",IF($Q3122=0,"",INDEX(COA_Mapping!$E$7:$E$256,$Q3122)))</f>
        <v/>
      </c>
      <c r="O3122" s="38" t="n">
        <f aca="false">IF($A3122="",1,IF($Q3122=0,1,INDEX(COA_Mapping!$F$7:$F$256,$Q3122)))</f>
        <v>1</v>
      </c>
      <c r="P3122" s="34" t="str">
        <f aca="false">IF($A3122="","",$I3122*$O3122)</f>
        <v/>
      </c>
      <c r="Q3122" s="39" t="n">
        <f aca="false">IF($B3122="",0,IFERROR(MATCH($B3122,COA_Mapping!$A$7:$A$256,0),0))</f>
        <v>0</v>
      </c>
      <c r="R3122" s="39" t="n">
        <f aca="false">IF($A3122="",-1,IF($J3122=Setup!$B$7,1,IF($J3122=Setup!$B$9,0,-1)))</f>
        <v>-1</v>
      </c>
      <c r="S3122" s="35" t="n">
        <f aca="false">IF(OR($A3122="",$Q3122=0,$R3122=-1),0,$Q3122*1000+$R3122*100+$K3122)</f>
        <v>0</v>
      </c>
      <c r="T3122" s="37" t="str">
        <f aca="false">IF($A3122="","",IF($B3122="","NO ACCOUNT",IF($Q3122=0,"UNMAPPED",IF($R3122=-1,"OUTSIDE FY RANGE","OK"))))</f>
        <v/>
      </c>
      <c r="U3122" s="40" t="str">
        <f aca="false">IF($A3122="","",$B3122&amp;"|"&amp;TEXT($A3122,"yyyymmdd")&amp;"|"&amp;TEXT($I3122,"0.00"))</f>
        <v/>
      </c>
      <c r="V3122" s="35" t="str">
        <f aca="false">IF($A3122="","",COUNTIF($U$8:$U$5007,$U3122))</f>
        <v/>
      </c>
    </row>
    <row r="3123" customFormat="false" ht="15" hidden="false" customHeight="false" outlineLevel="0" collapsed="false">
      <c r="A3123" s="31"/>
      <c r="B3123" s="32"/>
      <c r="C3123" s="32"/>
      <c r="D3123" s="32"/>
      <c r="E3123" s="32"/>
      <c r="F3123" s="32"/>
      <c r="G3123" s="33"/>
      <c r="H3123" s="33"/>
      <c r="I3123" s="34" t="str">
        <f aca="false">IF($A3123="","",$G3123-$H3123)</f>
        <v/>
      </c>
      <c r="J3123" s="35" t="str">
        <f aca="false">IF($A3123="","",IF(Setup!$B$6=1,YEAR($A3123),YEAR($A3123)+IF(MONTH($A3123)&gt;=Setup!$B$6,1,0)))</f>
        <v/>
      </c>
      <c r="K3123" s="35" t="str">
        <f aca="false">IF($A3123="","",MOD(MONTH($A3123)-Setup!$B$6+12,12)+1)</f>
        <v/>
      </c>
      <c r="L3123" s="36" t="str">
        <f aca="false">IF($A3123="","",TEXT($A3123,"MMM-YY"))</f>
        <v/>
      </c>
      <c r="M3123" s="37" t="str">
        <f aca="false">IF($A3123="","",IF($Q3123=0,"UNMAPPED",INDEX(COA_Mapping!$C$7:$C$256,$Q3123)))</f>
        <v/>
      </c>
      <c r="N3123" s="38" t="str">
        <f aca="false">IF($A3123="","",IF($Q3123=0,"",INDEX(COA_Mapping!$E$7:$E$256,$Q3123)))</f>
        <v/>
      </c>
      <c r="O3123" s="38" t="n">
        <f aca="false">IF($A3123="",1,IF($Q3123=0,1,INDEX(COA_Mapping!$F$7:$F$256,$Q3123)))</f>
        <v>1</v>
      </c>
      <c r="P3123" s="34" t="str">
        <f aca="false">IF($A3123="","",$I3123*$O3123)</f>
        <v/>
      </c>
      <c r="Q3123" s="39" t="n">
        <f aca="false">IF($B3123="",0,IFERROR(MATCH($B3123,COA_Mapping!$A$7:$A$256,0),0))</f>
        <v>0</v>
      </c>
      <c r="R3123" s="39" t="n">
        <f aca="false">IF($A3123="",-1,IF($J3123=Setup!$B$7,1,IF($J3123=Setup!$B$9,0,-1)))</f>
        <v>-1</v>
      </c>
      <c r="S3123" s="35" t="n">
        <f aca="false">IF(OR($A3123="",$Q3123=0,$R3123=-1),0,$Q3123*1000+$R3123*100+$K3123)</f>
        <v>0</v>
      </c>
      <c r="T3123" s="37" t="str">
        <f aca="false">IF($A3123="","",IF($B3123="","NO ACCOUNT",IF($Q3123=0,"UNMAPPED",IF($R3123=-1,"OUTSIDE FY RANGE","OK"))))</f>
        <v/>
      </c>
      <c r="U3123" s="40" t="str">
        <f aca="false">IF($A3123="","",$B3123&amp;"|"&amp;TEXT($A3123,"yyyymmdd")&amp;"|"&amp;TEXT($I3123,"0.00"))</f>
        <v/>
      </c>
      <c r="V3123" s="35" t="str">
        <f aca="false">IF($A3123="","",COUNTIF($U$8:$U$5007,$U3123))</f>
        <v/>
      </c>
    </row>
    <row r="3124" customFormat="false" ht="15" hidden="false" customHeight="false" outlineLevel="0" collapsed="false">
      <c r="A3124" s="31"/>
      <c r="B3124" s="32"/>
      <c r="C3124" s="32"/>
      <c r="D3124" s="32"/>
      <c r="E3124" s="32"/>
      <c r="F3124" s="32"/>
      <c r="G3124" s="33"/>
      <c r="H3124" s="33"/>
      <c r="I3124" s="34" t="str">
        <f aca="false">IF($A3124="","",$G3124-$H3124)</f>
        <v/>
      </c>
      <c r="J3124" s="35" t="str">
        <f aca="false">IF($A3124="","",IF(Setup!$B$6=1,YEAR($A3124),YEAR($A3124)+IF(MONTH($A3124)&gt;=Setup!$B$6,1,0)))</f>
        <v/>
      </c>
      <c r="K3124" s="35" t="str">
        <f aca="false">IF($A3124="","",MOD(MONTH($A3124)-Setup!$B$6+12,12)+1)</f>
        <v/>
      </c>
      <c r="L3124" s="36" t="str">
        <f aca="false">IF($A3124="","",TEXT($A3124,"MMM-YY"))</f>
        <v/>
      </c>
      <c r="M3124" s="37" t="str">
        <f aca="false">IF($A3124="","",IF($Q3124=0,"UNMAPPED",INDEX(COA_Mapping!$C$7:$C$256,$Q3124)))</f>
        <v/>
      </c>
      <c r="N3124" s="38" t="str">
        <f aca="false">IF($A3124="","",IF($Q3124=0,"",INDEX(COA_Mapping!$E$7:$E$256,$Q3124)))</f>
        <v/>
      </c>
      <c r="O3124" s="38" t="n">
        <f aca="false">IF($A3124="",1,IF($Q3124=0,1,INDEX(COA_Mapping!$F$7:$F$256,$Q3124)))</f>
        <v>1</v>
      </c>
      <c r="P3124" s="34" t="str">
        <f aca="false">IF($A3124="","",$I3124*$O3124)</f>
        <v/>
      </c>
      <c r="Q3124" s="39" t="n">
        <f aca="false">IF($B3124="",0,IFERROR(MATCH($B3124,COA_Mapping!$A$7:$A$256,0),0))</f>
        <v>0</v>
      </c>
      <c r="R3124" s="39" t="n">
        <f aca="false">IF($A3124="",-1,IF($J3124=Setup!$B$7,1,IF($J3124=Setup!$B$9,0,-1)))</f>
        <v>-1</v>
      </c>
      <c r="S3124" s="35" t="n">
        <f aca="false">IF(OR($A3124="",$Q3124=0,$R3124=-1),0,$Q3124*1000+$R3124*100+$K3124)</f>
        <v>0</v>
      </c>
      <c r="T3124" s="37" t="str">
        <f aca="false">IF($A3124="","",IF($B3124="","NO ACCOUNT",IF($Q3124=0,"UNMAPPED",IF($R3124=-1,"OUTSIDE FY RANGE","OK"))))</f>
        <v/>
      </c>
      <c r="U3124" s="40" t="str">
        <f aca="false">IF($A3124="","",$B3124&amp;"|"&amp;TEXT($A3124,"yyyymmdd")&amp;"|"&amp;TEXT($I3124,"0.00"))</f>
        <v/>
      </c>
      <c r="V3124" s="35" t="str">
        <f aca="false">IF($A3124="","",COUNTIF($U$8:$U$5007,$U3124))</f>
        <v/>
      </c>
    </row>
    <row r="3125" customFormat="false" ht="15" hidden="false" customHeight="false" outlineLevel="0" collapsed="false">
      <c r="A3125" s="31"/>
      <c r="B3125" s="32"/>
      <c r="C3125" s="32"/>
      <c r="D3125" s="32"/>
      <c r="E3125" s="32"/>
      <c r="F3125" s="32"/>
      <c r="G3125" s="33"/>
      <c r="H3125" s="33"/>
      <c r="I3125" s="34" t="str">
        <f aca="false">IF($A3125="","",$G3125-$H3125)</f>
        <v/>
      </c>
      <c r="J3125" s="35" t="str">
        <f aca="false">IF($A3125="","",IF(Setup!$B$6=1,YEAR($A3125),YEAR($A3125)+IF(MONTH($A3125)&gt;=Setup!$B$6,1,0)))</f>
        <v/>
      </c>
      <c r="K3125" s="35" t="str">
        <f aca="false">IF($A3125="","",MOD(MONTH($A3125)-Setup!$B$6+12,12)+1)</f>
        <v/>
      </c>
      <c r="L3125" s="36" t="str">
        <f aca="false">IF($A3125="","",TEXT($A3125,"MMM-YY"))</f>
        <v/>
      </c>
      <c r="M3125" s="37" t="str">
        <f aca="false">IF($A3125="","",IF($Q3125=0,"UNMAPPED",INDEX(COA_Mapping!$C$7:$C$256,$Q3125)))</f>
        <v/>
      </c>
      <c r="N3125" s="38" t="str">
        <f aca="false">IF($A3125="","",IF($Q3125=0,"",INDEX(COA_Mapping!$E$7:$E$256,$Q3125)))</f>
        <v/>
      </c>
      <c r="O3125" s="38" t="n">
        <f aca="false">IF($A3125="",1,IF($Q3125=0,1,INDEX(COA_Mapping!$F$7:$F$256,$Q3125)))</f>
        <v>1</v>
      </c>
      <c r="P3125" s="34" t="str">
        <f aca="false">IF($A3125="","",$I3125*$O3125)</f>
        <v/>
      </c>
      <c r="Q3125" s="39" t="n">
        <f aca="false">IF($B3125="",0,IFERROR(MATCH($B3125,COA_Mapping!$A$7:$A$256,0),0))</f>
        <v>0</v>
      </c>
      <c r="R3125" s="39" t="n">
        <f aca="false">IF($A3125="",-1,IF($J3125=Setup!$B$7,1,IF($J3125=Setup!$B$9,0,-1)))</f>
        <v>-1</v>
      </c>
      <c r="S3125" s="35" t="n">
        <f aca="false">IF(OR($A3125="",$Q3125=0,$R3125=-1),0,$Q3125*1000+$R3125*100+$K3125)</f>
        <v>0</v>
      </c>
      <c r="T3125" s="37" t="str">
        <f aca="false">IF($A3125="","",IF($B3125="","NO ACCOUNT",IF($Q3125=0,"UNMAPPED",IF($R3125=-1,"OUTSIDE FY RANGE","OK"))))</f>
        <v/>
      </c>
      <c r="U3125" s="40" t="str">
        <f aca="false">IF($A3125="","",$B3125&amp;"|"&amp;TEXT($A3125,"yyyymmdd")&amp;"|"&amp;TEXT($I3125,"0.00"))</f>
        <v/>
      </c>
      <c r="V3125" s="35" t="str">
        <f aca="false">IF($A3125="","",COUNTIF($U$8:$U$5007,$U3125))</f>
        <v/>
      </c>
    </row>
    <row r="3126" customFormat="false" ht="15" hidden="false" customHeight="false" outlineLevel="0" collapsed="false">
      <c r="A3126" s="31"/>
      <c r="B3126" s="32"/>
      <c r="C3126" s="32"/>
      <c r="D3126" s="32"/>
      <c r="E3126" s="32"/>
      <c r="F3126" s="32"/>
      <c r="G3126" s="33"/>
      <c r="H3126" s="33"/>
      <c r="I3126" s="34" t="str">
        <f aca="false">IF($A3126="","",$G3126-$H3126)</f>
        <v/>
      </c>
      <c r="J3126" s="35" t="str">
        <f aca="false">IF($A3126="","",IF(Setup!$B$6=1,YEAR($A3126),YEAR($A3126)+IF(MONTH($A3126)&gt;=Setup!$B$6,1,0)))</f>
        <v/>
      </c>
      <c r="K3126" s="35" t="str">
        <f aca="false">IF($A3126="","",MOD(MONTH($A3126)-Setup!$B$6+12,12)+1)</f>
        <v/>
      </c>
      <c r="L3126" s="36" t="str">
        <f aca="false">IF($A3126="","",TEXT($A3126,"MMM-YY"))</f>
        <v/>
      </c>
      <c r="M3126" s="37" t="str">
        <f aca="false">IF($A3126="","",IF($Q3126=0,"UNMAPPED",INDEX(COA_Mapping!$C$7:$C$256,$Q3126)))</f>
        <v/>
      </c>
      <c r="N3126" s="38" t="str">
        <f aca="false">IF($A3126="","",IF($Q3126=0,"",INDEX(COA_Mapping!$E$7:$E$256,$Q3126)))</f>
        <v/>
      </c>
      <c r="O3126" s="38" t="n">
        <f aca="false">IF($A3126="",1,IF($Q3126=0,1,INDEX(COA_Mapping!$F$7:$F$256,$Q3126)))</f>
        <v>1</v>
      </c>
      <c r="P3126" s="34" t="str">
        <f aca="false">IF($A3126="","",$I3126*$O3126)</f>
        <v/>
      </c>
      <c r="Q3126" s="39" t="n">
        <f aca="false">IF($B3126="",0,IFERROR(MATCH($B3126,COA_Mapping!$A$7:$A$256,0),0))</f>
        <v>0</v>
      </c>
      <c r="R3126" s="39" t="n">
        <f aca="false">IF($A3126="",-1,IF($J3126=Setup!$B$7,1,IF($J3126=Setup!$B$9,0,-1)))</f>
        <v>-1</v>
      </c>
      <c r="S3126" s="35" t="n">
        <f aca="false">IF(OR($A3126="",$Q3126=0,$R3126=-1),0,$Q3126*1000+$R3126*100+$K3126)</f>
        <v>0</v>
      </c>
      <c r="T3126" s="37" t="str">
        <f aca="false">IF($A3126="","",IF($B3126="","NO ACCOUNT",IF($Q3126=0,"UNMAPPED",IF($R3126=-1,"OUTSIDE FY RANGE","OK"))))</f>
        <v/>
      </c>
      <c r="U3126" s="40" t="str">
        <f aca="false">IF($A3126="","",$B3126&amp;"|"&amp;TEXT($A3126,"yyyymmdd")&amp;"|"&amp;TEXT($I3126,"0.00"))</f>
        <v/>
      </c>
      <c r="V3126" s="35" t="str">
        <f aca="false">IF($A3126="","",COUNTIF($U$8:$U$5007,$U3126))</f>
        <v/>
      </c>
    </row>
    <row r="3127" customFormat="false" ht="15" hidden="false" customHeight="false" outlineLevel="0" collapsed="false">
      <c r="A3127" s="31"/>
      <c r="B3127" s="32"/>
      <c r="C3127" s="32"/>
      <c r="D3127" s="32"/>
      <c r="E3127" s="32"/>
      <c r="F3127" s="32"/>
      <c r="G3127" s="33"/>
      <c r="H3127" s="33"/>
      <c r="I3127" s="34" t="str">
        <f aca="false">IF($A3127="","",$G3127-$H3127)</f>
        <v/>
      </c>
      <c r="J3127" s="35" t="str">
        <f aca="false">IF($A3127="","",IF(Setup!$B$6=1,YEAR($A3127),YEAR($A3127)+IF(MONTH($A3127)&gt;=Setup!$B$6,1,0)))</f>
        <v/>
      </c>
      <c r="K3127" s="35" t="str">
        <f aca="false">IF($A3127="","",MOD(MONTH($A3127)-Setup!$B$6+12,12)+1)</f>
        <v/>
      </c>
      <c r="L3127" s="36" t="str">
        <f aca="false">IF($A3127="","",TEXT($A3127,"MMM-YY"))</f>
        <v/>
      </c>
      <c r="M3127" s="37" t="str">
        <f aca="false">IF($A3127="","",IF($Q3127=0,"UNMAPPED",INDEX(COA_Mapping!$C$7:$C$256,$Q3127)))</f>
        <v/>
      </c>
      <c r="N3127" s="38" t="str">
        <f aca="false">IF($A3127="","",IF($Q3127=0,"",INDEX(COA_Mapping!$E$7:$E$256,$Q3127)))</f>
        <v/>
      </c>
      <c r="O3127" s="38" t="n">
        <f aca="false">IF($A3127="",1,IF($Q3127=0,1,INDEX(COA_Mapping!$F$7:$F$256,$Q3127)))</f>
        <v>1</v>
      </c>
      <c r="P3127" s="34" t="str">
        <f aca="false">IF($A3127="","",$I3127*$O3127)</f>
        <v/>
      </c>
      <c r="Q3127" s="39" t="n">
        <f aca="false">IF($B3127="",0,IFERROR(MATCH($B3127,COA_Mapping!$A$7:$A$256,0),0))</f>
        <v>0</v>
      </c>
      <c r="R3127" s="39" t="n">
        <f aca="false">IF($A3127="",-1,IF($J3127=Setup!$B$7,1,IF($J3127=Setup!$B$9,0,-1)))</f>
        <v>-1</v>
      </c>
      <c r="S3127" s="35" t="n">
        <f aca="false">IF(OR($A3127="",$Q3127=0,$R3127=-1),0,$Q3127*1000+$R3127*100+$K3127)</f>
        <v>0</v>
      </c>
      <c r="T3127" s="37" t="str">
        <f aca="false">IF($A3127="","",IF($B3127="","NO ACCOUNT",IF($Q3127=0,"UNMAPPED",IF($R3127=-1,"OUTSIDE FY RANGE","OK"))))</f>
        <v/>
      </c>
      <c r="U3127" s="40" t="str">
        <f aca="false">IF($A3127="","",$B3127&amp;"|"&amp;TEXT($A3127,"yyyymmdd")&amp;"|"&amp;TEXT($I3127,"0.00"))</f>
        <v/>
      </c>
      <c r="V3127" s="35" t="str">
        <f aca="false">IF($A3127="","",COUNTIF($U$8:$U$5007,$U3127))</f>
        <v/>
      </c>
    </row>
    <row r="3128" customFormat="false" ht="15" hidden="false" customHeight="false" outlineLevel="0" collapsed="false">
      <c r="A3128" s="31"/>
      <c r="B3128" s="32"/>
      <c r="C3128" s="32"/>
      <c r="D3128" s="32"/>
      <c r="E3128" s="32"/>
      <c r="F3128" s="32"/>
      <c r="G3128" s="33"/>
      <c r="H3128" s="33"/>
      <c r="I3128" s="34" t="str">
        <f aca="false">IF($A3128="","",$G3128-$H3128)</f>
        <v/>
      </c>
      <c r="J3128" s="35" t="str">
        <f aca="false">IF($A3128="","",IF(Setup!$B$6=1,YEAR($A3128),YEAR($A3128)+IF(MONTH($A3128)&gt;=Setup!$B$6,1,0)))</f>
        <v/>
      </c>
      <c r="K3128" s="35" t="str">
        <f aca="false">IF($A3128="","",MOD(MONTH($A3128)-Setup!$B$6+12,12)+1)</f>
        <v/>
      </c>
      <c r="L3128" s="36" t="str">
        <f aca="false">IF($A3128="","",TEXT($A3128,"MMM-YY"))</f>
        <v/>
      </c>
      <c r="M3128" s="37" t="str">
        <f aca="false">IF($A3128="","",IF($Q3128=0,"UNMAPPED",INDEX(COA_Mapping!$C$7:$C$256,$Q3128)))</f>
        <v/>
      </c>
      <c r="N3128" s="38" t="str">
        <f aca="false">IF($A3128="","",IF($Q3128=0,"",INDEX(COA_Mapping!$E$7:$E$256,$Q3128)))</f>
        <v/>
      </c>
      <c r="O3128" s="38" t="n">
        <f aca="false">IF($A3128="",1,IF($Q3128=0,1,INDEX(COA_Mapping!$F$7:$F$256,$Q3128)))</f>
        <v>1</v>
      </c>
      <c r="P3128" s="34" t="str">
        <f aca="false">IF($A3128="","",$I3128*$O3128)</f>
        <v/>
      </c>
      <c r="Q3128" s="39" t="n">
        <f aca="false">IF($B3128="",0,IFERROR(MATCH($B3128,COA_Mapping!$A$7:$A$256,0),0))</f>
        <v>0</v>
      </c>
      <c r="R3128" s="39" t="n">
        <f aca="false">IF($A3128="",-1,IF($J3128=Setup!$B$7,1,IF($J3128=Setup!$B$9,0,-1)))</f>
        <v>-1</v>
      </c>
      <c r="S3128" s="35" t="n">
        <f aca="false">IF(OR($A3128="",$Q3128=0,$R3128=-1),0,$Q3128*1000+$R3128*100+$K3128)</f>
        <v>0</v>
      </c>
      <c r="T3128" s="37" t="str">
        <f aca="false">IF($A3128="","",IF($B3128="","NO ACCOUNT",IF($Q3128=0,"UNMAPPED",IF($R3128=-1,"OUTSIDE FY RANGE","OK"))))</f>
        <v/>
      </c>
      <c r="U3128" s="40" t="str">
        <f aca="false">IF($A3128="","",$B3128&amp;"|"&amp;TEXT($A3128,"yyyymmdd")&amp;"|"&amp;TEXT($I3128,"0.00"))</f>
        <v/>
      </c>
      <c r="V3128" s="35" t="str">
        <f aca="false">IF($A3128="","",COUNTIF($U$8:$U$5007,$U3128))</f>
        <v/>
      </c>
    </row>
    <row r="3129" customFormat="false" ht="15" hidden="false" customHeight="false" outlineLevel="0" collapsed="false">
      <c r="A3129" s="31"/>
      <c r="B3129" s="32"/>
      <c r="C3129" s="32"/>
      <c r="D3129" s="32"/>
      <c r="E3129" s="32"/>
      <c r="F3129" s="32"/>
      <c r="G3129" s="33"/>
      <c r="H3129" s="33"/>
      <c r="I3129" s="34" t="str">
        <f aca="false">IF($A3129="","",$G3129-$H3129)</f>
        <v/>
      </c>
      <c r="J3129" s="35" t="str">
        <f aca="false">IF($A3129="","",IF(Setup!$B$6=1,YEAR($A3129),YEAR($A3129)+IF(MONTH($A3129)&gt;=Setup!$B$6,1,0)))</f>
        <v/>
      </c>
      <c r="K3129" s="35" t="str">
        <f aca="false">IF($A3129="","",MOD(MONTH($A3129)-Setup!$B$6+12,12)+1)</f>
        <v/>
      </c>
      <c r="L3129" s="36" t="str">
        <f aca="false">IF($A3129="","",TEXT($A3129,"MMM-YY"))</f>
        <v/>
      </c>
      <c r="M3129" s="37" t="str">
        <f aca="false">IF($A3129="","",IF($Q3129=0,"UNMAPPED",INDEX(COA_Mapping!$C$7:$C$256,$Q3129)))</f>
        <v/>
      </c>
      <c r="N3129" s="38" t="str">
        <f aca="false">IF($A3129="","",IF($Q3129=0,"",INDEX(COA_Mapping!$E$7:$E$256,$Q3129)))</f>
        <v/>
      </c>
      <c r="O3129" s="38" t="n">
        <f aca="false">IF($A3129="",1,IF($Q3129=0,1,INDEX(COA_Mapping!$F$7:$F$256,$Q3129)))</f>
        <v>1</v>
      </c>
      <c r="P3129" s="34" t="str">
        <f aca="false">IF($A3129="","",$I3129*$O3129)</f>
        <v/>
      </c>
      <c r="Q3129" s="39" t="n">
        <f aca="false">IF($B3129="",0,IFERROR(MATCH($B3129,COA_Mapping!$A$7:$A$256,0),0))</f>
        <v>0</v>
      </c>
      <c r="R3129" s="39" t="n">
        <f aca="false">IF($A3129="",-1,IF($J3129=Setup!$B$7,1,IF($J3129=Setup!$B$9,0,-1)))</f>
        <v>-1</v>
      </c>
      <c r="S3129" s="35" t="n">
        <f aca="false">IF(OR($A3129="",$Q3129=0,$R3129=-1),0,$Q3129*1000+$R3129*100+$K3129)</f>
        <v>0</v>
      </c>
      <c r="T3129" s="37" t="str">
        <f aca="false">IF($A3129="","",IF($B3129="","NO ACCOUNT",IF($Q3129=0,"UNMAPPED",IF($R3129=-1,"OUTSIDE FY RANGE","OK"))))</f>
        <v/>
      </c>
      <c r="U3129" s="40" t="str">
        <f aca="false">IF($A3129="","",$B3129&amp;"|"&amp;TEXT($A3129,"yyyymmdd")&amp;"|"&amp;TEXT($I3129,"0.00"))</f>
        <v/>
      </c>
      <c r="V3129" s="35" t="str">
        <f aca="false">IF($A3129="","",COUNTIF($U$8:$U$5007,$U3129))</f>
        <v/>
      </c>
    </row>
    <row r="3130" customFormat="false" ht="15" hidden="false" customHeight="false" outlineLevel="0" collapsed="false">
      <c r="A3130" s="31"/>
      <c r="B3130" s="32"/>
      <c r="C3130" s="32"/>
      <c r="D3130" s="32"/>
      <c r="E3130" s="32"/>
      <c r="F3130" s="32"/>
      <c r="G3130" s="33"/>
      <c r="H3130" s="33"/>
      <c r="I3130" s="34" t="str">
        <f aca="false">IF($A3130="","",$G3130-$H3130)</f>
        <v/>
      </c>
      <c r="J3130" s="35" t="str">
        <f aca="false">IF($A3130="","",IF(Setup!$B$6=1,YEAR($A3130),YEAR($A3130)+IF(MONTH($A3130)&gt;=Setup!$B$6,1,0)))</f>
        <v/>
      </c>
      <c r="K3130" s="35" t="str">
        <f aca="false">IF($A3130="","",MOD(MONTH($A3130)-Setup!$B$6+12,12)+1)</f>
        <v/>
      </c>
      <c r="L3130" s="36" t="str">
        <f aca="false">IF($A3130="","",TEXT($A3130,"MMM-YY"))</f>
        <v/>
      </c>
      <c r="M3130" s="37" t="str">
        <f aca="false">IF($A3130="","",IF($Q3130=0,"UNMAPPED",INDEX(COA_Mapping!$C$7:$C$256,$Q3130)))</f>
        <v/>
      </c>
      <c r="N3130" s="38" t="str">
        <f aca="false">IF($A3130="","",IF($Q3130=0,"",INDEX(COA_Mapping!$E$7:$E$256,$Q3130)))</f>
        <v/>
      </c>
      <c r="O3130" s="38" t="n">
        <f aca="false">IF($A3130="",1,IF($Q3130=0,1,INDEX(COA_Mapping!$F$7:$F$256,$Q3130)))</f>
        <v>1</v>
      </c>
      <c r="P3130" s="34" t="str">
        <f aca="false">IF($A3130="","",$I3130*$O3130)</f>
        <v/>
      </c>
      <c r="Q3130" s="39" t="n">
        <f aca="false">IF($B3130="",0,IFERROR(MATCH($B3130,COA_Mapping!$A$7:$A$256,0),0))</f>
        <v>0</v>
      </c>
      <c r="R3130" s="39" t="n">
        <f aca="false">IF($A3130="",-1,IF($J3130=Setup!$B$7,1,IF($J3130=Setup!$B$9,0,-1)))</f>
        <v>-1</v>
      </c>
      <c r="S3130" s="35" t="n">
        <f aca="false">IF(OR($A3130="",$Q3130=0,$R3130=-1),0,$Q3130*1000+$R3130*100+$K3130)</f>
        <v>0</v>
      </c>
      <c r="T3130" s="37" t="str">
        <f aca="false">IF($A3130="","",IF($B3130="","NO ACCOUNT",IF($Q3130=0,"UNMAPPED",IF($R3130=-1,"OUTSIDE FY RANGE","OK"))))</f>
        <v/>
      </c>
      <c r="U3130" s="40" t="str">
        <f aca="false">IF($A3130="","",$B3130&amp;"|"&amp;TEXT($A3130,"yyyymmdd")&amp;"|"&amp;TEXT($I3130,"0.00"))</f>
        <v/>
      </c>
      <c r="V3130" s="35" t="str">
        <f aca="false">IF($A3130="","",COUNTIF($U$8:$U$5007,$U3130))</f>
        <v/>
      </c>
    </row>
    <row r="3131" customFormat="false" ht="15" hidden="false" customHeight="false" outlineLevel="0" collapsed="false">
      <c r="A3131" s="31"/>
      <c r="B3131" s="32"/>
      <c r="C3131" s="32"/>
      <c r="D3131" s="32"/>
      <c r="E3131" s="32"/>
      <c r="F3131" s="32"/>
      <c r="G3131" s="33"/>
      <c r="H3131" s="33"/>
      <c r="I3131" s="34" t="str">
        <f aca="false">IF($A3131="","",$G3131-$H3131)</f>
        <v/>
      </c>
      <c r="J3131" s="35" t="str">
        <f aca="false">IF($A3131="","",IF(Setup!$B$6=1,YEAR($A3131),YEAR($A3131)+IF(MONTH($A3131)&gt;=Setup!$B$6,1,0)))</f>
        <v/>
      </c>
      <c r="K3131" s="35" t="str">
        <f aca="false">IF($A3131="","",MOD(MONTH($A3131)-Setup!$B$6+12,12)+1)</f>
        <v/>
      </c>
      <c r="L3131" s="36" t="str">
        <f aca="false">IF($A3131="","",TEXT($A3131,"MMM-YY"))</f>
        <v/>
      </c>
      <c r="M3131" s="37" t="str">
        <f aca="false">IF($A3131="","",IF($Q3131=0,"UNMAPPED",INDEX(COA_Mapping!$C$7:$C$256,$Q3131)))</f>
        <v/>
      </c>
      <c r="N3131" s="38" t="str">
        <f aca="false">IF($A3131="","",IF($Q3131=0,"",INDEX(COA_Mapping!$E$7:$E$256,$Q3131)))</f>
        <v/>
      </c>
      <c r="O3131" s="38" t="n">
        <f aca="false">IF($A3131="",1,IF($Q3131=0,1,INDEX(COA_Mapping!$F$7:$F$256,$Q3131)))</f>
        <v>1</v>
      </c>
      <c r="P3131" s="34" t="str">
        <f aca="false">IF($A3131="","",$I3131*$O3131)</f>
        <v/>
      </c>
      <c r="Q3131" s="39" t="n">
        <f aca="false">IF($B3131="",0,IFERROR(MATCH($B3131,COA_Mapping!$A$7:$A$256,0),0))</f>
        <v>0</v>
      </c>
      <c r="R3131" s="39" t="n">
        <f aca="false">IF($A3131="",-1,IF($J3131=Setup!$B$7,1,IF($J3131=Setup!$B$9,0,-1)))</f>
        <v>-1</v>
      </c>
      <c r="S3131" s="35" t="n">
        <f aca="false">IF(OR($A3131="",$Q3131=0,$R3131=-1),0,$Q3131*1000+$R3131*100+$K3131)</f>
        <v>0</v>
      </c>
      <c r="T3131" s="37" t="str">
        <f aca="false">IF($A3131="","",IF($B3131="","NO ACCOUNT",IF($Q3131=0,"UNMAPPED",IF($R3131=-1,"OUTSIDE FY RANGE","OK"))))</f>
        <v/>
      </c>
      <c r="U3131" s="40" t="str">
        <f aca="false">IF($A3131="","",$B3131&amp;"|"&amp;TEXT($A3131,"yyyymmdd")&amp;"|"&amp;TEXT($I3131,"0.00"))</f>
        <v/>
      </c>
      <c r="V3131" s="35" t="str">
        <f aca="false">IF($A3131="","",COUNTIF($U$8:$U$5007,$U3131))</f>
        <v/>
      </c>
    </row>
    <row r="3132" customFormat="false" ht="15" hidden="false" customHeight="false" outlineLevel="0" collapsed="false">
      <c r="A3132" s="31"/>
      <c r="B3132" s="32"/>
      <c r="C3132" s="32"/>
      <c r="D3132" s="32"/>
      <c r="E3132" s="32"/>
      <c r="F3132" s="32"/>
      <c r="G3132" s="33"/>
      <c r="H3132" s="33"/>
      <c r="I3132" s="34" t="str">
        <f aca="false">IF($A3132="","",$G3132-$H3132)</f>
        <v/>
      </c>
      <c r="J3132" s="35" t="str">
        <f aca="false">IF($A3132="","",IF(Setup!$B$6=1,YEAR($A3132),YEAR($A3132)+IF(MONTH($A3132)&gt;=Setup!$B$6,1,0)))</f>
        <v/>
      </c>
      <c r="K3132" s="35" t="str">
        <f aca="false">IF($A3132="","",MOD(MONTH($A3132)-Setup!$B$6+12,12)+1)</f>
        <v/>
      </c>
      <c r="L3132" s="36" t="str">
        <f aca="false">IF($A3132="","",TEXT($A3132,"MMM-YY"))</f>
        <v/>
      </c>
      <c r="M3132" s="37" t="str">
        <f aca="false">IF($A3132="","",IF($Q3132=0,"UNMAPPED",INDEX(COA_Mapping!$C$7:$C$256,$Q3132)))</f>
        <v/>
      </c>
      <c r="N3132" s="38" t="str">
        <f aca="false">IF($A3132="","",IF($Q3132=0,"",INDEX(COA_Mapping!$E$7:$E$256,$Q3132)))</f>
        <v/>
      </c>
      <c r="O3132" s="38" t="n">
        <f aca="false">IF($A3132="",1,IF($Q3132=0,1,INDEX(COA_Mapping!$F$7:$F$256,$Q3132)))</f>
        <v>1</v>
      </c>
      <c r="P3132" s="34" t="str">
        <f aca="false">IF($A3132="","",$I3132*$O3132)</f>
        <v/>
      </c>
      <c r="Q3132" s="39" t="n">
        <f aca="false">IF($B3132="",0,IFERROR(MATCH($B3132,COA_Mapping!$A$7:$A$256,0),0))</f>
        <v>0</v>
      </c>
      <c r="R3132" s="39" t="n">
        <f aca="false">IF($A3132="",-1,IF($J3132=Setup!$B$7,1,IF($J3132=Setup!$B$9,0,-1)))</f>
        <v>-1</v>
      </c>
      <c r="S3132" s="35" t="n">
        <f aca="false">IF(OR($A3132="",$Q3132=0,$R3132=-1),0,$Q3132*1000+$R3132*100+$K3132)</f>
        <v>0</v>
      </c>
      <c r="T3132" s="37" t="str">
        <f aca="false">IF($A3132="","",IF($B3132="","NO ACCOUNT",IF($Q3132=0,"UNMAPPED",IF($R3132=-1,"OUTSIDE FY RANGE","OK"))))</f>
        <v/>
      </c>
      <c r="U3132" s="40" t="str">
        <f aca="false">IF($A3132="","",$B3132&amp;"|"&amp;TEXT($A3132,"yyyymmdd")&amp;"|"&amp;TEXT($I3132,"0.00"))</f>
        <v/>
      </c>
      <c r="V3132" s="35" t="str">
        <f aca="false">IF($A3132="","",COUNTIF($U$8:$U$5007,$U3132))</f>
        <v/>
      </c>
    </row>
    <row r="3133" customFormat="false" ht="15" hidden="false" customHeight="false" outlineLevel="0" collapsed="false">
      <c r="A3133" s="31"/>
      <c r="B3133" s="32"/>
      <c r="C3133" s="32"/>
      <c r="D3133" s="32"/>
      <c r="E3133" s="32"/>
      <c r="F3133" s="32"/>
      <c r="G3133" s="33"/>
      <c r="H3133" s="33"/>
      <c r="I3133" s="34" t="str">
        <f aca="false">IF($A3133="","",$G3133-$H3133)</f>
        <v/>
      </c>
      <c r="J3133" s="35" t="str">
        <f aca="false">IF($A3133="","",IF(Setup!$B$6=1,YEAR($A3133),YEAR($A3133)+IF(MONTH($A3133)&gt;=Setup!$B$6,1,0)))</f>
        <v/>
      </c>
      <c r="K3133" s="35" t="str">
        <f aca="false">IF($A3133="","",MOD(MONTH($A3133)-Setup!$B$6+12,12)+1)</f>
        <v/>
      </c>
      <c r="L3133" s="36" t="str">
        <f aca="false">IF($A3133="","",TEXT($A3133,"MMM-YY"))</f>
        <v/>
      </c>
      <c r="M3133" s="37" t="str">
        <f aca="false">IF($A3133="","",IF($Q3133=0,"UNMAPPED",INDEX(COA_Mapping!$C$7:$C$256,$Q3133)))</f>
        <v/>
      </c>
      <c r="N3133" s="38" t="str">
        <f aca="false">IF($A3133="","",IF($Q3133=0,"",INDEX(COA_Mapping!$E$7:$E$256,$Q3133)))</f>
        <v/>
      </c>
      <c r="O3133" s="38" t="n">
        <f aca="false">IF($A3133="",1,IF($Q3133=0,1,INDEX(COA_Mapping!$F$7:$F$256,$Q3133)))</f>
        <v>1</v>
      </c>
      <c r="P3133" s="34" t="str">
        <f aca="false">IF($A3133="","",$I3133*$O3133)</f>
        <v/>
      </c>
      <c r="Q3133" s="39" t="n">
        <f aca="false">IF($B3133="",0,IFERROR(MATCH($B3133,COA_Mapping!$A$7:$A$256,0),0))</f>
        <v>0</v>
      </c>
      <c r="R3133" s="39" t="n">
        <f aca="false">IF($A3133="",-1,IF($J3133=Setup!$B$7,1,IF($J3133=Setup!$B$9,0,-1)))</f>
        <v>-1</v>
      </c>
      <c r="S3133" s="35" t="n">
        <f aca="false">IF(OR($A3133="",$Q3133=0,$R3133=-1),0,$Q3133*1000+$R3133*100+$K3133)</f>
        <v>0</v>
      </c>
      <c r="T3133" s="37" t="str">
        <f aca="false">IF($A3133="","",IF($B3133="","NO ACCOUNT",IF($Q3133=0,"UNMAPPED",IF($R3133=-1,"OUTSIDE FY RANGE","OK"))))</f>
        <v/>
      </c>
      <c r="U3133" s="40" t="str">
        <f aca="false">IF($A3133="","",$B3133&amp;"|"&amp;TEXT($A3133,"yyyymmdd")&amp;"|"&amp;TEXT($I3133,"0.00"))</f>
        <v/>
      </c>
      <c r="V3133" s="35" t="str">
        <f aca="false">IF($A3133="","",COUNTIF($U$8:$U$5007,$U3133))</f>
        <v/>
      </c>
    </row>
    <row r="3134" customFormat="false" ht="15" hidden="false" customHeight="false" outlineLevel="0" collapsed="false">
      <c r="A3134" s="31"/>
      <c r="B3134" s="32"/>
      <c r="C3134" s="32"/>
      <c r="D3134" s="32"/>
      <c r="E3134" s="32"/>
      <c r="F3134" s="32"/>
      <c r="G3134" s="33"/>
      <c r="H3134" s="33"/>
      <c r="I3134" s="34" t="str">
        <f aca="false">IF($A3134="","",$G3134-$H3134)</f>
        <v/>
      </c>
      <c r="J3134" s="35" t="str">
        <f aca="false">IF($A3134="","",IF(Setup!$B$6=1,YEAR($A3134),YEAR($A3134)+IF(MONTH($A3134)&gt;=Setup!$B$6,1,0)))</f>
        <v/>
      </c>
      <c r="K3134" s="35" t="str">
        <f aca="false">IF($A3134="","",MOD(MONTH($A3134)-Setup!$B$6+12,12)+1)</f>
        <v/>
      </c>
      <c r="L3134" s="36" t="str">
        <f aca="false">IF($A3134="","",TEXT($A3134,"MMM-YY"))</f>
        <v/>
      </c>
      <c r="M3134" s="37" t="str">
        <f aca="false">IF($A3134="","",IF($Q3134=0,"UNMAPPED",INDEX(COA_Mapping!$C$7:$C$256,$Q3134)))</f>
        <v/>
      </c>
      <c r="N3134" s="38" t="str">
        <f aca="false">IF($A3134="","",IF($Q3134=0,"",INDEX(COA_Mapping!$E$7:$E$256,$Q3134)))</f>
        <v/>
      </c>
      <c r="O3134" s="38" t="n">
        <f aca="false">IF($A3134="",1,IF($Q3134=0,1,INDEX(COA_Mapping!$F$7:$F$256,$Q3134)))</f>
        <v>1</v>
      </c>
      <c r="P3134" s="34" t="str">
        <f aca="false">IF($A3134="","",$I3134*$O3134)</f>
        <v/>
      </c>
      <c r="Q3134" s="39" t="n">
        <f aca="false">IF($B3134="",0,IFERROR(MATCH($B3134,COA_Mapping!$A$7:$A$256,0),0))</f>
        <v>0</v>
      </c>
      <c r="R3134" s="39" t="n">
        <f aca="false">IF($A3134="",-1,IF($J3134=Setup!$B$7,1,IF($J3134=Setup!$B$9,0,-1)))</f>
        <v>-1</v>
      </c>
      <c r="S3134" s="35" t="n">
        <f aca="false">IF(OR($A3134="",$Q3134=0,$R3134=-1),0,$Q3134*1000+$R3134*100+$K3134)</f>
        <v>0</v>
      </c>
      <c r="T3134" s="37" t="str">
        <f aca="false">IF($A3134="","",IF($B3134="","NO ACCOUNT",IF($Q3134=0,"UNMAPPED",IF($R3134=-1,"OUTSIDE FY RANGE","OK"))))</f>
        <v/>
      </c>
      <c r="U3134" s="40" t="str">
        <f aca="false">IF($A3134="","",$B3134&amp;"|"&amp;TEXT($A3134,"yyyymmdd")&amp;"|"&amp;TEXT($I3134,"0.00"))</f>
        <v/>
      </c>
      <c r="V3134" s="35" t="str">
        <f aca="false">IF($A3134="","",COUNTIF($U$8:$U$5007,$U3134))</f>
        <v/>
      </c>
    </row>
    <row r="3135" customFormat="false" ht="15" hidden="false" customHeight="false" outlineLevel="0" collapsed="false">
      <c r="A3135" s="31"/>
      <c r="B3135" s="32"/>
      <c r="C3135" s="32"/>
      <c r="D3135" s="32"/>
      <c r="E3135" s="32"/>
      <c r="F3135" s="32"/>
      <c r="G3135" s="33"/>
      <c r="H3135" s="33"/>
      <c r="I3135" s="34" t="str">
        <f aca="false">IF($A3135="","",$G3135-$H3135)</f>
        <v/>
      </c>
      <c r="J3135" s="35" t="str">
        <f aca="false">IF($A3135="","",IF(Setup!$B$6=1,YEAR($A3135),YEAR($A3135)+IF(MONTH($A3135)&gt;=Setup!$B$6,1,0)))</f>
        <v/>
      </c>
      <c r="K3135" s="35" t="str">
        <f aca="false">IF($A3135="","",MOD(MONTH($A3135)-Setup!$B$6+12,12)+1)</f>
        <v/>
      </c>
      <c r="L3135" s="36" t="str">
        <f aca="false">IF($A3135="","",TEXT($A3135,"MMM-YY"))</f>
        <v/>
      </c>
      <c r="M3135" s="37" t="str">
        <f aca="false">IF($A3135="","",IF($Q3135=0,"UNMAPPED",INDEX(COA_Mapping!$C$7:$C$256,$Q3135)))</f>
        <v/>
      </c>
      <c r="N3135" s="38" t="str">
        <f aca="false">IF($A3135="","",IF($Q3135=0,"",INDEX(COA_Mapping!$E$7:$E$256,$Q3135)))</f>
        <v/>
      </c>
      <c r="O3135" s="38" t="n">
        <f aca="false">IF($A3135="",1,IF($Q3135=0,1,INDEX(COA_Mapping!$F$7:$F$256,$Q3135)))</f>
        <v>1</v>
      </c>
      <c r="P3135" s="34" t="str">
        <f aca="false">IF($A3135="","",$I3135*$O3135)</f>
        <v/>
      </c>
      <c r="Q3135" s="39" t="n">
        <f aca="false">IF($B3135="",0,IFERROR(MATCH($B3135,COA_Mapping!$A$7:$A$256,0),0))</f>
        <v>0</v>
      </c>
      <c r="R3135" s="39" t="n">
        <f aca="false">IF($A3135="",-1,IF($J3135=Setup!$B$7,1,IF($J3135=Setup!$B$9,0,-1)))</f>
        <v>-1</v>
      </c>
      <c r="S3135" s="35" t="n">
        <f aca="false">IF(OR($A3135="",$Q3135=0,$R3135=-1),0,$Q3135*1000+$R3135*100+$K3135)</f>
        <v>0</v>
      </c>
      <c r="T3135" s="37" t="str">
        <f aca="false">IF($A3135="","",IF($B3135="","NO ACCOUNT",IF($Q3135=0,"UNMAPPED",IF($R3135=-1,"OUTSIDE FY RANGE","OK"))))</f>
        <v/>
      </c>
      <c r="U3135" s="40" t="str">
        <f aca="false">IF($A3135="","",$B3135&amp;"|"&amp;TEXT($A3135,"yyyymmdd")&amp;"|"&amp;TEXT($I3135,"0.00"))</f>
        <v/>
      </c>
      <c r="V3135" s="35" t="str">
        <f aca="false">IF($A3135="","",COUNTIF($U$8:$U$5007,$U3135))</f>
        <v/>
      </c>
    </row>
    <row r="3136" customFormat="false" ht="15" hidden="false" customHeight="false" outlineLevel="0" collapsed="false">
      <c r="A3136" s="31"/>
      <c r="B3136" s="32"/>
      <c r="C3136" s="32"/>
      <c r="D3136" s="32"/>
      <c r="E3136" s="32"/>
      <c r="F3136" s="32"/>
      <c r="G3136" s="33"/>
      <c r="H3136" s="33"/>
      <c r="I3136" s="34" t="str">
        <f aca="false">IF($A3136="","",$G3136-$H3136)</f>
        <v/>
      </c>
      <c r="J3136" s="35" t="str">
        <f aca="false">IF($A3136="","",IF(Setup!$B$6=1,YEAR($A3136),YEAR($A3136)+IF(MONTH($A3136)&gt;=Setup!$B$6,1,0)))</f>
        <v/>
      </c>
      <c r="K3136" s="35" t="str">
        <f aca="false">IF($A3136="","",MOD(MONTH($A3136)-Setup!$B$6+12,12)+1)</f>
        <v/>
      </c>
      <c r="L3136" s="36" t="str">
        <f aca="false">IF($A3136="","",TEXT($A3136,"MMM-YY"))</f>
        <v/>
      </c>
      <c r="M3136" s="37" t="str">
        <f aca="false">IF($A3136="","",IF($Q3136=0,"UNMAPPED",INDEX(COA_Mapping!$C$7:$C$256,$Q3136)))</f>
        <v/>
      </c>
      <c r="N3136" s="38" t="str">
        <f aca="false">IF($A3136="","",IF($Q3136=0,"",INDEX(COA_Mapping!$E$7:$E$256,$Q3136)))</f>
        <v/>
      </c>
      <c r="O3136" s="38" t="n">
        <f aca="false">IF($A3136="",1,IF($Q3136=0,1,INDEX(COA_Mapping!$F$7:$F$256,$Q3136)))</f>
        <v>1</v>
      </c>
      <c r="P3136" s="34" t="str">
        <f aca="false">IF($A3136="","",$I3136*$O3136)</f>
        <v/>
      </c>
      <c r="Q3136" s="39" t="n">
        <f aca="false">IF($B3136="",0,IFERROR(MATCH($B3136,COA_Mapping!$A$7:$A$256,0),0))</f>
        <v>0</v>
      </c>
      <c r="R3136" s="39" t="n">
        <f aca="false">IF($A3136="",-1,IF($J3136=Setup!$B$7,1,IF($J3136=Setup!$B$9,0,-1)))</f>
        <v>-1</v>
      </c>
      <c r="S3136" s="35" t="n">
        <f aca="false">IF(OR($A3136="",$Q3136=0,$R3136=-1),0,$Q3136*1000+$R3136*100+$K3136)</f>
        <v>0</v>
      </c>
      <c r="T3136" s="37" t="str">
        <f aca="false">IF($A3136="","",IF($B3136="","NO ACCOUNT",IF($Q3136=0,"UNMAPPED",IF($R3136=-1,"OUTSIDE FY RANGE","OK"))))</f>
        <v/>
      </c>
      <c r="U3136" s="40" t="str">
        <f aca="false">IF($A3136="","",$B3136&amp;"|"&amp;TEXT($A3136,"yyyymmdd")&amp;"|"&amp;TEXT($I3136,"0.00"))</f>
        <v/>
      </c>
      <c r="V3136" s="35" t="str">
        <f aca="false">IF($A3136="","",COUNTIF($U$8:$U$5007,$U3136))</f>
        <v/>
      </c>
    </row>
    <row r="3137" customFormat="false" ht="15" hidden="false" customHeight="false" outlineLevel="0" collapsed="false">
      <c r="A3137" s="31"/>
      <c r="B3137" s="32"/>
      <c r="C3137" s="32"/>
      <c r="D3137" s="32"/>
      <c r="E3137" s="32"/>
      <c r="F3137" s="32"/>
      <c r="G3137" s="33"/>
      <c r="H3137" s="33"/>
      <c r="I3137" s="34" t="str">
        <f aca="false">IF($A3137="","",$G3137-$H3137)</f>
        <v/>
      </c>
      <c r="J3137" s="35" t="str">
        <f aca="false">IF($A3137="","",IF(Setup!$B$6=1,YEAR($A3137),YEAR($A3137)+IF(MONTH($A3137)&gt;=Setup!$B$6,1,0)))</f>
        <v/>
      </c>
      <c r="K3137" s="35" t="str">
        <f aca="false">IF($A3137="","",MOD(MONTH($A3137)-Setup!$B$6+12,12)+1)</f>
        <v/>
      </c>
      <c r="L3137" s="36" t="str">
        <f aca="false">IF($A3137="","",TEXT($A3137,"MMM-YY"))</f>
        <v/>
      </c>
      <c r="M3137" s="37" t="str">
        <f aca="false">IF($A3137="","",IF($Q3137=0,"UNMAPPED",INDEX(COA_Mapping!$C$7:$C$256,$Q3137)))</f>
        <v/>
      </c>
      <c r="N3137" s="38" t="str">
        <f aca="false">IF($A3137="","",IF($Q3137=0,"",INDEX(COA_Mapping!$E$7:$E$256,$Q3137)))</f>
        <v/>
      </c>
      <c r="O3137" s="38" t="n">
        <f aca="false">IF($A3137="",1,IF($Q3137=0,1,INDEX(COA_Mapping!$F$7:$F$256,$Q3137)))</f>
        <v>1</v>
      </c>
      <c r="P3137" s="34" t="str">
        <f aca="false">IF($A3137="","",$I3137*$O3137)</f>
        <v/>
      </c>
      <c r="Q3137" s="39" t="n">
        <f aca="false">IF($B3137="",0,IFERROR(MATCH($B3137,COA_Mapping!$A$7:$A$256,0),0))</f>
        <v>0</v>
      </c>
      <c r="R3137" s="39" t="n">
        <f aca="false">IF($A3137="",-1,IF($J3137=Setup!$B$7,1,IF($J3137=Setup!$B$9,0,-1)))</f>
        <v>-1</v>
      </c>
      <c r="S3137" s="35" t="n">
        <f aca="false">IF(OR($A3137="",$Q3137=0,$R3137=-1),0,$Q3137*1000+$R3137*100+$K3137)</f>
        <v>0</v>
      </c>
      <c r="T3137" s="37" t="str">
        <f aca="false">IF($A3137="","",IF($B3137="","NO ACCOUNT",IF($Q3137=0,"UNMAPPED",IF($R3137=-1,"OUTSIDE FY RANGE","OK"))))</f>
        <v/>
      </c>
      <c r="U3137" s="40" t="str">
        <f aca="false">IF($A3137="","",$B3137&amp;"|"&amp;TEXT($A3137,"yyyymmdd")&amp;"|"&amp;TEXT($I3137,"0.00"))</f>
        <v/>
      </c>
      <c r="V3137" s="35" t="str">
        <f aca="false">IF($A3137="","",COUNTIF($U$8:$U$5007,$U3137))</f>
        <v/>
      </c>
    </row>
    <row r="3138" customFormat="false" ht="15" hidden="false" customHeight="false" outlineLevel="0" collapsed="false">
      <c r="A3138" s="31"/>
      <c r="B3138" s="32"/>
      <c r="C3138" s="32"/>
      <c r="D3138" s="32"/>
      <c r="E3138" s="32"/>
      <c r="F3138" s="32"/>
      <c r="G3138" s="33"/>
      <c r="H3138" s="33"/>
      <c r="I3138" s="34" t="str">
        <f aca="false">IF($A3138="","",$G3138-$H3138)</f>
        <v/>
      </c>
      <c r="J3138" s="35" t="str">
        <f aca="false">IF($A3138="","",IF(Setup!$B$6=1,YEAR($A3138),YEAR($A3138)+IF(MONTH($A3138)&gt;=Setup!$B$6,1,0)))</f>
        <v/>
      </c>
      <c r="K3138" s="35" t="str">
        <f aca="false">IF($A3138="","",MOD(MONTH($A3138)-Setup!$B$6+12,12)+1)</f>
        <v/>
      </c>
      <c r="L3138" s="36" t="str">
        <f aca="false">IF($A3138="","",TEXT($A3138,"MMM-YY"))</f>
        <v/>
      </c>
      <c r="M3138" s="37" t="str">
        <f aca="false">IF($A3138="","",IF($Q3138=0,"UNMAPPED",INDEX(COA_Mapping!$C$7:$C$256,$Q3138)))</f>
        <v/>
      </c>
      <c r="N3138" s="38" t="str">
        <f aca="false">IF($A3138="","",IF($Q3138=0,"",INDEX(COA_Mapping!$E$7:$E$256,$Q3138)))</f>
        <v/>
      </c>
      <c r="O3138" s="38" t="n">
        <f aca="false">IF($A3138="",1,IF($Q3138=0,1,INDEX(COA_Mapping!$F$7:$F$256,$Q3138)))</f>
        <v>1</v>
      </c>
      <c r="P3138" s="34" t="str">
        <f aca="false">IF($A3138="","",$I3138*$O3138)</f>
        <v/>
      </c>
      <c r="Q3138" s="39" t="n">
        <f aca="false">IF($B3138="",0,IFERROR(MATCH($B3138,COA_Mapping!$A$7:$A$256,0),0))</f>
        <v>0</v>
      </c>
      <c r="R3138" s="39" t="n">
        <f aca="false">IF($A3138="",-1,IF($J3138=Setup!$B$7,1,IF($J3138=Setup!$B$9,0,-1)))</f>
        <v>-1</v>
      </c>
      <c r="S3138" s="35" t="n">
        <f aca="false">IF(OR($A3138="",$Q3138=0,$R3138=-1),0,$Q3138*1000+$R3138*100+$K3138)</f>
        <v>0</v>
      </c>
      <c r="T3138" s="37" t="str">
        <f aca="false">IF($A3138="","",IF($B3138="","NO ACCOUNT",IF($Q3138=0,"UNMAPPED",IF($R3138=-1,"OUTSIDE FY RANGE","OK"))))</f>
        <v/>
      </c>
      <c r="U3138" s="40" t="str">
        <f aca="false">IF($A3138="","",$B3138&amp;"|"&amp;TEXT($A3138,"yyyymmdd")&amp;"|"&amp;TEXT($I3138,"0.00"))</f>
        <v/>
      </c>
      <c r="V3138" s="35" t="str">
        <f aca="false">IF($A3138="","",COUNTIF($U$8:$U$5007,$U3138))</f>
        <v/>
      </c>
    </row>
    <row r="3139" customFormat="false" ht="15" hidden="false" customHeight="false" outlineLevel="0" collapsed="false">
      <c r="A3139" s="31"/>
      <c r="B3139" s="32"/>
      <c r="C3139" s="32"/>
      <c r="D3139" s="32"/>
      <c r="E3139" s="32"/>
      <c r="F3139" s="32"/>
      <c r="G3139" s="33"/>
      <c r="H3139" s="33"/>
      <c r="I3139" s="34" t="str">
        <f aca="false">IF($A3139="","",$G3139-$H3139)</f>
        <v/>
      </c>
      <c r="J3139" s="35" t="str">
        <f aca="false">IF($A3139="","",IF(Setup!$B$6=1,YEAR($A3139),YEAR($A3139)+IF(MONTH($A3139)&gt;=Setup!$B$6,1,0)))</f>
        <v/>
      </c>
      <c r="K3139" s="35" t="str">
        <f aca="false">IF($A3139="","",MOD(MONTH($A3139)-Setup!$B$6+12,12)+1)</f>
        <v/>
      </c>
      <c r="L3139" s="36" t="str">
        <f aca="false">IF($A3139="","",TEXT($A3139,"MMM-YY"))</f>
        <v/>
      </c>
      <c r="M3139" s="37" t="str">
        <f aca="false">IF($A3139="","",IF($Q3139=0,"UNMAPPED",INDEX(COA_Mapping!$C$7:$C$256,$Q3139)))</f>
        <v/>
      </c>
      <c r="N3139" s="38" t="str">
        <f aca="false">IF($A3139="","",IF($Q3139=0,"",INDEX(COA_Mapping!$E$7:$E$256,$Q3139)))</f>
        <v/>
      </c>
      <c r="O3139" s="38" t="n">
        <f aca="false">IF($A3139="",1,IF($Q3139=0,1,INDEX(COA_Mapping!$F$7:$F$256,$Q3139)))</f>
        <v>1</v>
      </c>
      <c r="P3139" s="34" t="str">
        <f aca="false">IF($A3139="","",$I3139*$O3139)</f>
        <v/>
      </c>
      <c r="Q3139" s="39" t="n">
        <f aca="false">IF($B3139="",0,IFERROR(MATCH($B3139,COA_Mapping!$A$7:$A$256,0),0))</f>
        <v>0</v>
      </c>
      <c r="R3139" s="39" t="n">
        <f aca="false">IF($A3139="",-1,IF($J3139=Setup!$B$7,1,IF($J3139=Setup!$B$9,0,-1)))</f>
        <v>-1</v>
      </c>
      <c r="S3139" s="35" t="n">
        <f aca="false">IF(OR($A3139="",$Q3139=0,$R3139=-1),0,$Q3139*1000+$R3139*100+$K3139)</f>
        <v>0</v>
      </c>
      <c r="T3139" s="37" t="str">
        <f aca="false">IF($A3139="","",IF($B3139="","NO ACCOUNT",IF($Q3139=0,"UNMAPPED",IF($R3139=-1,"OUTSIDE FY RANGE","OK"))))</f>
        <v/>
      </c>
      <c r="U3139" s="40" t="str">
        <f aca="false">IF($A3139="","",$B3139&amp;"|"&amp;TEXT($A3139,"yyyymmdd")&amp;"|"&amp;TEXT($I3139,"0.00"))</f>
        <v/>
      </c>
      <c r="V3139" s="35" t="str">
        <f aca="false">IF($A3139="","",COUNTIF($U$8:$U$5007,$U3139))</f>
        <v/>
      </c>
    </row>
    <row r="3140" customFormat="false" ht="15" hidden="false" customHeight="false" outlineLevel="0" collapsed="false">
      <c r="A3140" s="31"/>
      <c r="B3140" s="32"/>
      <c r="C3140" s="32"/>
      <c r="D3140" s="32"/>
      <c r="E3140" s="32"/>
      <c r="F3140" s="32"/>
      <c r="G3140" s="33"/>
      <c r="H3140" s="33"/>
      <c r="I3140" s="34" t="str">
        <f aca="false">IF($A3140="","",$G3140-$H3140)</f>
        <v/>
      </c>
      <c r="J3140" s="35" t="str">
        <f aca="false">IF($A3140="","",IF(Setup!$B$6=1,YEAR($A3140),YEAR($A3140)+IF(MONTH($A3140)&gt;=Setup!$B$6,1,0)))</f>
        <v/>
      </c>
      <c r="K3140" s="35" t="str">
        <f aca="false">IF($A3140="","",MOD(MONTH($A3140)-Setup!$B$6+12,12)+1)</f>
        <v/>
      </c>
      <c r="L3140" s="36" t="str">
        <f aca="false">IF($A3140="","",TEXT($A3140,"MMM-YY"))</f>
        <v/>
      </c>
      <c r="M3140" s="37" t="str">
        <f aca="false">IF($A3140="","",IF($Q3140=0,"UNMAPPED",INDEX(COA_Mapping!$C$7:$C$256,$Q3140)))</f>
        <v/>
      </c>
      <c r="N3140" s="38" t="str">
        <f aca="false">IF($A3140="","",IF($Q3140=0,"",INDEX(COA_Mapping!$E$7:$E$256,$Q3140)))</f>
        <v/>
      </c>
      <c r="O3140" s="38" t="n">
        <f aca="false">IF($A3140="",1,IF($Q3140=0,1,INDEX(COA_Mapping!$F$7:$F$256,$Q3140)))</f>
        <v>1</v>
      </c>
      <c r="P3140" s="34" t="str">
        <f aca="false">IF($A3140="","",$I3140*$O3140)</f>
        <v/>
      </c>
      <c r="Q3140" s="39" t="n">
        <f aca="false">IF($B3140="",0,IFERROR(MATCH($B3140,COA_Mapping!$A$7:$A$256,0),0))</f>
        <v>0</v>
      </c>
      <c r="R3140" s="39" t="n">
        <f aca="false">IF($A3140="",-1,IF($J3140=Setup!$B$7,1,IF($J3140=Setup!$B$9,0,-1)))</f>
        <v>-1</v>
      </c>
      <c r="S3140" s="35" t="n">
        <f aca="false">IF(OR($A3140="",$Q3140=0,$R3140=-1),0,$Q3140*1000+$R3140*100+$K3140)</f>
        <v>0</v>
      </c>
      <c r="T3140" s="37" t="str">
        <f aca="false">IF($A3140="","",IF($B3140="","NO ACCOUNT",IF($Q3140=0,"UNMAPPED",IF($R3140=-1,"OUTSIDE FY RANGE","OK"))))</f>
        <v/>
      </c>
      <c r="U3140" s="40" t="str">
        <f aca="false">IF($A3140="","",$B3140&amp;"|"&amp;TEXT($A3140,"yyyymmdd")&amp;"|"&amp;TEXT($I3140,"0.00"))</f>
        <v/>
      </c>
      <c r="V3140" s="35" t="str">
        <f aca="false">IF($A3140="","",COUNTIF($U$8:$U$5007,$U3140))</f>
        <v/>
      </c>
    </row>
    <row r="3141" customFormat="false" ht="15" hidden="false" customHeight="false" outlineLevel="0" collapsed="false">
      <c r="A3141" s="31"/>
      <c r="B3141" s="32"/>
      <c r="C3141" s="32"/>
      <c r="D3141" s="32"/>
      <c r="E3141" s="32"/>
      <c r="F3141" s="32"/>
      <c r="G3141" s="33"/>
      <c r="H3141" s="33"/>
      <c r="I3141" s="34" t="str">
        <f aca="false">IF($A3141="","",$G3141-$H3141)</f>
        <v/>
      </c>
      <c r="J3141" s="35" t="str">
        <f aca="false">IF($A3141="","",IF(Setup!$B$6=1,YEAR($A3141),YEAR($A3141)+IF(MONTH($A3141)&gt;=Setup!$B$6,1,0)))</f>
        <v/>
      </c>
      <c r="K3141" s="35" t="str">
        <f aca="false">IF($A3141="","",MOD(MONTH($A3141)-Setup!$B$6+12,12)+1)</f>
        <v/>
      </c>
      <c r="L3141" s="36" t="str">
        <f aca="false">IF($A3141="","",TEXT($A3141,"MMM-YY"))</f>
        <v/>
      </c>
      <c r="M3141" s="37" t="str">
        <f aca="false">IF($A3141="","",IF($Q3141=0,"UNMAPPED",INDEX(COA_Mapping!$C$7:$C$256,$Q3141)))</f>
        <v/>
      </c>
      <c r="N3141" s="38" t="str">
        <f aca="false">IF($A3141="","",IF($Q3141=0,"",INDEX(COA_Mapping!$E$7:$E$256,$Q3141)))</f>
        <v/>
      </c>
      <c r="O3141" s="38" t="n">
        <f aca="false">IF($A3141="",1,IF($Q3141=0,1,INDEX(COA_Mapping!$F$7:$F$256,$Q3141)))</f>
        <v>1</v>
      </c>
      <c r="P3141" s="34" t="str">
        <f aca="false">IF($A3141="","",$I3141*$O3141)</f>
        <v/>
      </c>
      <c r="Q3141" s="39" t="n">
        <f aca="false">IF($B3141="",0,IFERROR(MATCH($B3141,COA_Mapping!$A$7:$A$256,0),0))</f>
        <v>0</v>
      </c>
      <c r="R3141" s="39" t="n">
        <f aca="false">IF($A3141="",-1,IF($J3141=Setup!$B$7,1,IF($J3141=Setup!$B$9,0,-1)))</f>
        <v>-1</v>
      </c>
      <c r="S3141" s="35" t="n">
        <f aca="false">IF(OR($A3141="",$Q3141=0,$R3141=-1),0,$Q3141*1000+$R3141*100+$K3141)</f>
        <v>0</v>
      </c>
      <c r="T3141" s="37" t="str">
        <f aca="false">IF($A3141="","",IF($B3141="","NO ACCOUNT",IF($Q3141=0,"UNMAPPED",IF($R3141=-1,"OUTSIDE FY RANGE","OK"))))</f>
        <v/>
      </c>
      <c r="U3141" s="40" t="str">
        <f aca="false">IF($A3141="","",$B3141&amp;"|"&amp;TEXT($A3141,"yyyymmdd")&amp;"|"&amp;TEXT($I3141,"0.00"))</f>
        <v/>
      </c>
      <c r="V3141" s="35" t="str">
        <f aca="false">IF($A3141="","",COUNTIF($U$8:$U$5007,$U3141))</f>
        <v/>
      </c>
    </row>
    <row r="3142" customFormat="false" ht="15" hidden="false" customHeight="false" outlineLevel="0" collapsed="false">
      <c r="A3142" s="31"/>
      <c r="B3142" s="32"/>
      <c r="C3142" s="32"/>
      <c r="D3142" s="32"/>
      <c r="E3142" s="32"/>
      <c r="F3142" s="32"/>
      <c r="G3142" s="33"/>
      <c r="H3142" s="33"/>
      <c r="I3142" s="34" t="str">
        <f aca="false">IF($A3142="","",$G3142-$H3142)</f>
        <v/>
      </c>
      <c r="J3142" s="35" t="str">
        <f aca="false">IF($A3142="","",IF(Setup!$B$6=1,YEAR($A3142),YEAR($A3142)+IF(MONTH($A3142)&gt;=Setup!$B$6,1,0)))</f>
        <v/>
      </c>
      <c r="K3142" s="35" t="str">
        <f aca="false">IF($A3142="","",MOD(MONTH($A3142)-Setup!$B$6+12,12)+1)</f>
        <v/>
      </c>
      <c r="L3142" s="36" t="str">
        <f aca="false">IF($A3142="","",TEXT($A3142,"MMM-YY"))</f>
        <v/>
      </c>
      <c r="M3142" s="37" t="str">
        <f aca="false">IF($A3142="","",IF($Q3142=0,"UNMAPPED",INDEX(COA_Mapping!$C$7:$C$256,$Q3142)))</f>
        <v/>
      </c>
      <c r="N3142" s="38" t="str">
        <f aca="false">IF($A3142="","",IF($Q3142=0,"",INDEX(COA_Mapping!$E$7:$E$256,$Q3142)))</f>
        <v/>
      </c>
      <c r="O3142" s="38" t="n">
        <f aca="false">IF($A3142="",1,IF($Q3142=0,1,INDEX(COA_Mapping!$F$7:$F$256,$Q3142)))</f>
        <v>1</v>
      </c>
      <c r="P3142" s="34" t="str">
        <f aca="false">IF($A3142="","",$I3142*$O3142)</f>
        <v/>
      </c>
      <c r="Q3142" s="39" t="n">
        <f aca="false">IF($B3142="",0,IFERROR(MATCH($B3142,COA_Mapping!$A$7:$A$256,0),0))</f>
        <v>0</v>
      </c>
      <c r="R3142" s="39" t="n">
        <f aca="false">IF($A3142="",-1,IF($J3142=Setup!$B$7,1,IF($J3142=Setup!$B$9,0,-1)))</f>
        <v>-1</v>
      </c>
      <c r="S3142" s="35" t="n">
        <f aca="false">IF(OR($A3142="",$Q3142=0,$R3142=-1),0,$Q3142*1000+$R3142*100+$K3142)</f>
        <v>0</v>
      </c>
      <c r="T3142" s="37" t="str">
        <f aca="false">IF($A3142="","",IF($B3142="","NO ACCOUNT",IF($Q3142=0,"UNMAPPED",IF($R3142=-1,"OUTSIDE FY RANGE","OK"))))</f>
        <v/>
      </c>
      <c r="U3142" s="40" t="str">
        <f aca="false">IF($A3142="","",$B3142&amp;"|"&amp;TEXT($A3142,"yyyymmdd")&amp;"|"&amp;TEXT($I3142,"0.00"))</f>
        <v/>
      </c>
      <c r="V3142" s="35" t="str">
        <f aca="false">IF($A3142="","",COUNTIF($U$8:$U$5007,$U3142))</f>
        <v/>
      </c>
    </row>
    <row r="3143" customFormat="false" ht="15" hidden="false" customHeight="false" outlineLevel="0" collapsed="false">
      <c r="A3143" s="31"/>
      <c r="B3143" s="32"/>
      <c r="C3143" s="32"/>
      <c r="D3143" s="32"/>
      <c r="E3143" s="32"/>
      <c r="F3143" s="32"/>
      <c r="G3143" s="33"/>
      <c r="H3143" s="33"/>
      <c r="I3143" s="34" t="str">
        <f aca="false">IF($A3143="","",$G3143-$H3143)</f>
        <v/>
      </c>
      <c r="J3143" s="35" t="str">
        <f aca="false">IF($A3143="","",IF(Setup!$B$6=1,YEAR($A3143),YEAR($A3143)+IF(MONTH($A3143)&gt;=Setup!$B$6,1,0)))</f>
        <v/>
      </c>
      <c r="K3143" s="35" t="str">
        <f aca="false">IF($A3143="","",MOD(MONTH($A3143)-Setup!$B$6+12,12)+1)</f>
        <v/>
      </c>
      <c r="L3143" s="36" t="str">
        <f aca="false">IF($A3143="","",TEXT($A3143,"MMM-YY"))</f>
        <v/>
      </c>
      <c r="M3143" s="37" t="str">
        <f aca="false">IF($A3143="","",IF($Q3143=0,"UNMAPPED",INDEX(COA_Mapping!$C$7:$C$256,$Q3143)))</f>
        <v/>
      </c>
      <c r="N3143" s="38" t="str">
        <f aca="false">IF($A3143="","",IF($Q3143=0,"",INDEX(COA_Mapping!$E$7:$E$256,$Q3143)))</f>
        <v/>
      </c>
      <c r="O3143" s="38" t="n">
        <f aca="false">IF($A3143="",1,IF($Q3143=0,1,INDEX(COA_Mapping!$F$7:$F$256,$Q3143)))</f>
        <v>1</v>
      </c>
      <c r="P3143" s="34" t="str">
        <f aca="false">IF($A3143="","",$I3143*$O3143)</f>
        <v/>
      </c>
      <c r="Q3143" s="39" t="n">
        <f aca="false">IF($B3143="",0,IFERROR(MATCH($B3143,COA_Mapping!$A$7:$A$256,0),0))</f>
        <v>0</v>
      </c>
      <c r="R3143" s="39" t="n">
        <f aca="false">IF($A3143="",-1,IF($J3143=Setup!$B$7,1,IF($J3143=Setup!$B$9,0,-1)))</f>
        <v>-1</v>
      </c>
      <c r="S3143" s="35" t="n">
        <f aca="false">IF(OR($A3143="",$Q3143=0,$R3143=-1),0,$Q3143*1000+$R3143*100+$K3143)</f>
        <v>0</v>
      </c>
      <c r="T3143" s="37" t="str">
        <f aca="false">IF($A3143="","",IF($B3143="","NO ACCOUNT",IF($Q3143=0,"UNMAPPED",IF($R3143=-1,"OUTSIDE FY RANGE","OK"))))</f>
        <v/>
      </c>
      <c r="U3143" s="40" t="str">
        <f aca="false">IF($A3143="","",$B3143&amp;"|"&amp;TEXT($A3143,"yyyymmdd")&amp;"|"&amp;TEXT($I3143,"0.00"))</f>
        <v/>
      </c>
      <c r="V3143" s="35" t="str">
        <f aca="false">IF($A3143="","",COUNTIF($U$8:$U$5007,$U3143))</f>
        <v/>
      </c>
    </row>
    <row r="3144" customFormat="false" ht="15" hidden="false" customHeight="false" outlineLevel="0" collapsed="false">
      <c r="A3144" s="31"/>
      <c r="B3144" s="32"/>
      <c r="C3144" s="32"/>
      <c r="D3144" s="32"/>
      <c r="E3144" s="32"/>
      <c r="F3144" s="32"/>
      <c r="G3144" s="33"/>
      <c r="H3144" s="33"/>
      <c r="I3144" s="34" t="str">
        <f aca="false">IF($A3144="","",$G3144-$H3144)</f>
        <v/>
      </c>
      <c r="J3144" s="35" t="str">
        <f aca="false">IF($A3144="","",IF(Setup!$B$6=1,YEAR($A3144),YEAR($A3144)+IF(MONTH($A3144)&gt;=Setup!$B$6,1,0)))</f>
        <v/>
      </c>
      <c r="K3144" s="35" t="str">
        <f aca="false">IF($A3144="","",MOD(MONTH($A3144)-Setup!$B$6+12,12)+1)</f>
        <v/>
      </c>
      <c r="L3144" s="36" t="str">
        <f aca="false">IF($A3144="","",TEXT($A3144,"MMM-YY"))</f>
        <v/>
      </c>
      <c r="M3144" s="37" t="str">
        <f aca="false">IF($A3144="","",IF($Q3144=0,"UNMAPPED",INDEX(COA_Mapping!$C$7:$C$256,$Q3144)))</f>
        <v/>
      </c>
      <c r="N3144" s="38" t="str">
        <f aca="false">IF($A3144="","",IF($Q3144=0,"",INDEX(COA_Mapping!$E$7:$E$256,$Q3144)))</f>
        <v/>
      </c>
      <c r="O3144" s="38" t="n">
        <f aca="false">IF($A3144="",1,IF($Q3144=0,1,INDEX(COA_Mapping!$F$7:$F$256,$Q3144)))</f>
        <v>1</v>
      </c>
      <c r="P3144" s="34" t="str">
        <f aca="false">IF($A3144="","",$I3144*$O3144)</f>
        <v/>
      </c>
      <c r="Q3144" s="39" t="n">
        <f aca="false">IF($B3144="",0,IFERROR(MATCH($B3144,COA_Mapping!$A$7:$A$256,0),0))</f>
        <v>0</v>
      </c>
      <c r="R3144" s="39" t="n">
        <f aca="false">IF($A3144="",-1,IF($J3144=Setup!$B$7,1,IF($J3144=Setup!$B$9,0,-1)))</f>
        <v>-1</v>
      </c>
      <c r="S3144" s="35" t="n">
        <f aca="false">IF(OR($A3144="",$Q3144=0,$R3144=-1),0,$Q3144*1000+$R3144*100+$K3144)</f>
        <v>0</v>
      </c>
      <c r="T3144" s="37" t="str">
        <f aca="false">IF($A3144="","",IF($B3144="","NO ACCOUNT",IF($Q3144=0,"UNMAPPED",IF($R3144=-1,"OUTSIDE FY RANGE","OK"))))</f>
        <v/>
      </c>
      <c r="U3144" s="40" t="str">
        <f aca="false">IF($A3144="","",$B3144&amp;"|"&amp;TEXT($A3144,"yyyymmdd")&amp;"|"&amp;TEXT($I3144,"0.00"))</f>
        <v/>
      </c>
      <c r="V3144" s="35" t="str">
        <f aca="false">IF($A3144="","",COUNTIF($U$8:$U$5007,$U3144))</f>
        <v/>
      </c>
    </row>
    <row r="3145" customFormat="false" ht="15" hidden="false" customHeight="false" outlineLevel="0" collapsed="false">
      <c r="A3145" s="31"/>
      <c r="B3145" s="32"/>
      <c r="C3145" s="32"/>
      <c r="D3145" s="32"/>
      <c r="E3145" s="32"/>
      <c r="F3145" s="32"/>
      <c r="G3145" s="33"/>
      <c r="H3145" s="33"/>
      <c r="I3145" s="34" t="str">
        <f aca="false">IF($A3145="","",$G3145-$H3145)</f>
        <v/>
      </c>
      <c r="J3145" s="35" t="str">
        <f aca="false">IF($A3145="","",IF(Setup!$B$6=1,YEAR($A3145),YEAR($A3145)+IF(MONTH($A3145)&gt;=Setup!$B$6,1,0)))</f>
        <v/>
      </c>
      <c r="K3145" s="35" t="str">
        <f aca="false">IF($A3145="","",MOD(MONTH($A3145)-Setup!$B$6+12,12)+1)</f>
        <v/>
      </c>
      <c r="L3145" s="36" t="str">
        <f aca="false">IF($A3145="","",TEXT($A3145,"MMM-YY"))</f>
        <v/>
      </c>
      <c r="M3145" s="37" t="str">
        <f aca="false">IF($A3145="","",IF($Q3145=0,"UNMAPPED",INDEX(COA_Mapping!$C$7:$C$256,$Q3145)))</f>
        <v/>
      </c>
      <c r="N3145" s="38" t="str">
        <f aca="false">IF($A3145="","",IF($Q3145=0,"",INDEX(COA_Mapping!$E$7:$E$256,$Q3145)))</f>
        <v/>
      </c>
      <c r="O3145" s="38" t="n">
        <f aca="false">IF($A3145="",1,IF($Q3145=0,1,INDEX(COA_Mapping!$F$7:$F$256,$Q3145)))</f>
        <v>1</v>
      </c>
      <c r="P3145" s="34" t="str">
        <f aca="false">IF($A3145="","",$I3145*$O3145)</f>
        <v/>
      </c>
      <c r="Q3145" s="39" t="n">
        <f aca="false">IF($B3145="",0,IFERROR(MATCH($B3145,COA_Mapping!$A$7:$A$256,0),0))</f>
        <v>0</v>
      </c>
      <c r="R3145" s="39" t="n">
        <f aca="false">IF($A3145="",-1,IF($J3145=Setup!$B$7,1,IF($J3145=Setup!$B$9,0,-1)))</f>
        <v>-1</v>
      </c>
      <c r="S3145" s="35" t="n">
        <f aca="false">IF(OR($A3145="",$Q3145=0,$R3145=-1),0,$Q3145*1000+$R3145*100+$K3145)</f>
        <v>0</v>
      </c>
      <c r="T3145" s="37" t="str">
        <f aca="false">IF($A3145="","",IF($B3145="","NO ACCOUNT",IF($Q3145=0,"UNMAPPED",IF($R3145=-1,"OUTSIDE FY RANGE","OK"))))</f>
        <v/>
      </c>
      <c r="U3145" s="40" t="str">
        <f aca="false">IF($A3145="","",$B3145&amp;"|"&amp;TEXT($A3145,"yyyymmdd")&amp;"|"&amp;TEXT($I3145,"0.00"))</f>
        <v/>
      </c>
      <c r="V3145" s="35" t="str">
        <f aca="false">IF($A3145="","",COUNTIF($U$8:$U$5007,$U3145))</f>
        <v/>
      </c>
    </row>
    <row r="3146" customFormat="false" ht="15" hidden="false" customHeight="false" outlineLevel="0" collapsed="false">
      <c r="A3146" s="31"/>
      <c r="B3146" s="32"/>
      <c r="C3146" s="32"/>
      <c r="D3146" s="32"/>
      <c r="E3146" s="32"/>
      <c r="F3146" s="32"/>
      <c r="G3146" s="33"/>
      <c r="H3146" s="33"/>
      <c r="I3146" s="34" t="str">
        <f aca="false">IF($A3146="","",$G3146-$H3146)</f>
        <v/>
      </c>
      <c r="J3146" s="35" t="str">
        <f aca="false">IF($A3146="","",IF(Setup!$B$6=1,YEAR($A3146),YEAR($A3146)+IF(MONTH($A3146)&gt;=Setup!$B$6,1,0)))</f>
        <v/>
      </c>
      <c r="K3146" s="35" t="str">
        <f aca="false">IF($A3146="","",MOD(MONTH($A3146)-Setup!$B$6+12,12)+1)</f>
        <v/>
      </c>
      <c r="L3146" s="36" t="str">
        <f aca="false">IF($A3146="","",TEXT($A3146,"MMM-YY"))</f>
        <v/>
      </c>
      <c r="M3146" s="37" t="str">
        <f aca="false">IF($A3146="","",IF($Q3146=0,"UNMAPPED",INDEX(COA_Mapping!$C$7:$C$256,$Q3146)))</f>
        <v/>
      </c>
      <c r="N3146" s="38" t="str">
        <f aca="false">IF($A3146="","",IF($Q3146=0,"",INDEX(COA_Mapping!$E$7:$E$256,$Q3146)))</f>
        <v/>
      </c>
      <c r="O3146" s="38" t="n">
        <f aca="false">IF($A3146="",1,IF($Q3146=0,1,INDEX(COA_Mapping!$F$7:$F$256,$Q3146)))</f>
        <v>1</v>
      </c>
      <c r="P3146" s="34" t="str">
        <f aca="false">IF($A3146="","",$I3146*$O3146)</f>
        <v/>
      </c>
      <c r="Q3146" s="39" t="n">
        <f aca="false">IF($B3146="",0,IFERROR(MATCH($B3146,COA_Mapping!$A$7:$A$256,0),0))</f>
        <v>0</v>
      </c>
      <c r="R3146" s="39" t="n">
        <f aca="false">IF($A3146="",-1,IF($J3146=Setup!$B$7,1,IF($J3146=Setup!$B$9,0,-1)))</f>
        <v>-1</v>
      </c>
      <c r="S3146" s="35" t="n">
        <f aca="false">IF(OR($A3146="",$Q3146=0,$R3146=-1),0,$Q3146*1000+$R3146*100+$K3146)</f>
        <v>0</v>
      </c>
      <c r="T3146" s="37" t="str">
        <f aca="false">IF($A3146="","",IF($B3146="","NO ACCOUNT",IF($Q3146=0,"UNMAPPED",IF($R3146=-1,"OUTSIDE FY RANGE","OK"))))</f>
        <v/>
      </c>
      <c r="U3146" s="40" t="str">
        <f aca="false">IF($A3146="","",$B3146&amp;"|"&amp;TEXT($A3146,"yyyymmdd")&amp;"|"&amp;TEXT($I3146,"0.00"))</f>
        <v/>
      </c>
      <c r="V3146" s="35" t="str">
        <f aca="false">IF($A3146="","",COUNTIF($U$8:$U$5007,$U3146))</f>
        <v/>
      </c>
    </row>
    <row r="3147" customFormat="false" ht="15" hidden="false" customHeight="false" outlineLevel="0" collapsed="false">
      <c r="A3147" s="31"/>
      <c r="B3147" s="32"/>
      <c r="C3147" s="32"/>
      <c r="D3147" s="32"/>
      <c r="E3147" s="32"/>
      <c r="F3147" s="32"/>
      <c r="G3147" s="33"/>
      <c r="H3147" s="33"/>
      <c r="I3147" s="34" t="str">
        <f aca="false">IF($A3147="","",$G3147-$H3147)</f>
        <v/>
      </c>
      <c r="J3147" s="35" t="str">
        <f aca="false">IF($A3147="","",IF(Setup!$B$6=1,YEAR($A3147),YEAR($A3147)+IF(MONTH($A3147)&gt;=Setup!$B$6,1,0)))</f>
        <v/>
      </c>
      <c r="K3147" s="35" t="str">
        <f aca="false">IF($A3147="","",MOD(MONTH($A3147)-Setup!$B$6+12,12)+1)</f>
        <v/>
      </c>
      <c r="L3147" s="36" t="str">
        <f aca="false">IF($A3147="","",TEXT($A3147,"MMM-YY"))</f>
        <v/>
      </c>
      <c r="M3147" s="37" t="str">
        <f aca="false">IF($A3147="","",IF($Q3147=0,"UNMAPPED",INDEX(COA_Mapping!$C$7:$C$256,$Q3147)))</f>
        <v/>
      </c>
      <c r="N3147" s="38" t="str">
        <f aca="false">IF($A3147="","",IF($Q3147=0,"",INDEX(COA_Mapping!$E$7:$E$256,$Q3147)))</f>
        <v/>
      </c>
      <c r="O3147" s="38" t="n">
        <f aca="false">IF($A3147="",1,IF($Q3147=0,1,INDEX(COA_Mapping!$F$7:$F$256,$Q3147)))</f>
        <v>1</v>
      </c>
      <c r="P3147" s="34" t="str">
        <f aca="false">IF($A3147="","",$I3147*$O3147)</f>
        <v/>
      </c>
      <c r="Q3147" s="39" t="n">
        <f aca="false">IF($B3147="",0,IFERROR(MATCH($B3147,COA_Mapping!$A$7:$A$256,0),0))</f>
        <v>0</v>
      </c>
      <c r="R3147" s="39" t="n">
        <f aca="false">IF($A3147="",-1,IF($J3147=Setup!$B$7,1,IF($J3147=Setup!$B$9,0,-1)))</f>
        <v>-1</v>
      </c>
      <c r="S3147" s="35" t="n">
        <f aca="false">IF(OR($A3147="",$Q3147=0,$R3147=-1),0,$Q3147*1000+$R3147*100+$K3147)</f>
        <v>0</v>
      </c>
      <c r="T3147" s="37" t="str">
        <f aca="false">IF($A3147="","",IF($B3147="","NO ACCOUNT",IF($Q3147=0,"UNMAPPED",IF($R3147=-1,"OUTSIDE FY RANGE","OK"))))</f>
        <v/>
      </c>
      <c r="U3147" s="40" t="str">
        <f aca="false">IF($A3147="","",$B3147&amp;"|"&amp;TEXT($A3147,"yyyymmdd")&amp;"|"&amp;TEXT($I3147,"0.00"))</f>
        <v/>
      </c>
      <c r="V3147" s="35" t="str">
        <f aca="false">IF($A3147="","",COUNTIF($U$8:$U$5007,$U3147))</f>
        <v/>
      </c>
    </row>
    <row r="3148" customFormat="false" ht="15" hidden="false" customHeight="false" outlineLevel="0" collapsed="false">
      <c r="A3148" s="31"/>
      <c r="B3148" s="32"/>
      <c r="C3148" s="32"/>
      <c r="D3148" s="32"/>
      <c r="E3148" s="32"/>
      <c r="F3148" s="32"/>
      <c r="G3148" s="33"/>
      <c r="H3148" s="33"/>
      <c r="I3148" s="34" t="str">
        <f aca="false">IF($A3148="","",$G3148-$H3148)</f>
        <v/>
      </c>
      <c r="J3148" s="35" t="str">
        <f aca="false">IF($A3148="","",IF(Setup!$B$6=1,YEAR($A3148),YEAR($A3148)+IF(MONTH($A3148)&gt;=Setup!$B$6,1,0)))</f>
        <v/>
      </c>
      <c r="K3148" s="35" t="str">
        <f aca="false">IF($A3148="","",MOD(MONTH($A3148)-Setup!$B$6+12,12)+1)</f>
        <v/>
      </c>
      <c r="L3148" s="36" t="str">
        <f aca="false">IF($A3148="","",TEXT($A3148,"MMM-YY"))</f>
        <v/>
      </c>
      <c r="M3148" s="37" t="str">
        <f aca="false">IF($A3148="","",IF($Q3148=0,"UNMAPPED",INDEX(COA_Mapping!$C$7:$C$256,$Q3148)))</f>
        <v/>
      </c>
      <c r="N3148" s="38" t="str">
        <f aca="false">IF($A3148="","",IF($Q3148=0,"",INDEX(COA_Mapping!$E$7:$E$256,$Q3148)))</f>
        <v/>
      </c>
      <c r="O3148" s="38" t="n">
        <f aca="false">IF($A3148="",1,IF($Q3148=0,1,INDEX(COA_Mapping!$F$7:$F$256,$Q3148)))</f>
        <v>1</v>
      </c>
      <c r="P3148" s="34" t="str">
        <f aca="false">IF($A3148="","",$I3148*$O3148)</f>
        <v/>
      </c>
      <c r="Q3148" s="39" t="n">
        <f aca="false">IF($B3148="",0,IFERROR(MATCH($B3148,COA_Mapping!$A$7:$A$256,0),0))</f>
        <v>0</v>
      </c>
      <c r="R3148" s="39" t="n">
        <f aca="false">IF($A3148="",-1,IF($J3148=Setup!$B$7,1,IF($J3148=Setup!$B$9,0,-1)))</f>
        <v>-1</v>
      </c>
      <c r="S3148" s="35" t="n">
        <f aca="false">IF(OR($A3148="",$Q3148=0,$R3148=-1),0,$Q3148*1000+$R3148*100+$K3148)</f>
        <v>0</v>
      </c>
      <c r="T3148" s="37" t="str">
        <f aca="false">IF($A3148="","",IF($B3148="","NO ACCOUNT",IF($Q3148=0,"UNMAPPED",IF($R3148=-1,"OUTSIDE FY RANGE","OK"))))</f>
        <v/>
      </c>
      <c r="U3148" s="40" t="str">
        <f aca="false">IF($A3148="","",$B3148&amp;"|"&amp;TEXT($A3148,"yyyymmdd")&amp;"|"&amp;TEXT($I3148,"0.00"))</f>
        <v/>
      </c>
      <c r="V3148" s="35" t="str">
        <f aca="false">IF($A3148="","",COUNTIF($U$8:$U$5007,$U3148))</f>
        <v/>
      </c>
    </row>
    <row r="3149" customFormat="false" ht="15" hidden="false" customHeight="false" outlineLevel="0" collapsed="false">
      <c r="A3149" s="31"/>
      <c r="B3149" s="32"/>
      <c r="C3149" s="32"/>
      <c r="D3149" s="32"/>
      <c r="E3149" s="32"/>
      <c r="F3149" s="32"/>
      <c r="G3149" s="33"/>
      <c r="H3149" s="33"/>
      <c r="I3149" s="34" t="str">
        <f aca="false">IF($A3149="","",$G3149-$H3149)</f>
        <v/>
      </c>
      <c r="J3149" s="35" t="str">
        <f aca="false">IF($A3149="","",IF(Setup!$B$6=1,YEAR($A3149),YEAR($A3149)+IF(MONTH($A3149)&gt;=Setup!$B$6,1,0)))</f>
        <v/>
      </c>
      <c r="K3149" s="35" t="str">
        <f aca="false">IF($A3149="","",MOD(MONTH($A3149)-Setup!$B$6+12,12)+1)</f>
        <v/>
      </c>
      <c r="L3149" s="36" t="str">
        <f aca="false">IF($A3149="","",TEXT($A3149,"MMM-YY"))</f>
        <v/>
      </c>
      <c r="M3149" s="37" t="str">
        <f aca="false">IF($A3149="","",IF($Q3149=0,"UNMAPPED",INDEX(COA_Mapping!$C$7:$C$256,$Q3149)))</f>
        <v/>
      </c>
      <c r="N3149" s="38" t="str">
        <f aca="false">IF($A3149="","",IF($Q3149=0,"",INDEX(COA_Mapping!$E$7:$E$256,$Q3149)))</f>
        <v/>
      </c>
      <c r="O3149" s="38" t="n">
        <f aca="false">IF($A3149="",1,IF($Q3149=0,1,INDEX(COA_Mapping!$F$7:$F$256,$Q3149)))</f>
        <v>1</v>
      </c>
      <c r="P3149" s="34" t="str">
        <f aca="false">IF($A3149="","",$I3149*$O3149)</f>
        <v/>
      </c>
      <c r="Q3149" s="39" t="n">
        <f aca="false">IF($B3149="",0,IFERROR(MATCH($B3149,COA_Mapping!$A$7:$A$256,0),0))</f>
        <v>0</v>
      </c>
      <c r="R3149" s="39" t="n">
        <f aca="false">IF($A3149="",-1,IF($J3149=Setup!$B$7,1,IF($J3149=Setup!$B$9,0,-1)))</f>
        <v>-1</v>
      </c>
      <c r="S3149" s="35" t="n">
        <f aca="false">IF(OR($A3149="",$Q3149=0,$R3149=-1),0,$Q3149*1000+$R3149*100+$K3149)</f>
        <v>0</v>
      </c>
      <c r="T3149" s="37" t="str">
        <f aca="false">IF($A3149="","",IF($B3149="","NO ACCOUNT",IF($Q3149=0,"UNMAPPED",IF($R3149=-1,"OUTSIDE FY RANGE","OK"))))</f>
        <v/>
      </c>
      <c r="U3149" s="40" t="str">
        <f aca="false">IF($A3149="","",$B3149&amp;"|"&amp;TEXT($A3149,"yyyymmdd")&amp;"|"&amp;TEXT($I3149,"0.00"))</f>
        <v/>
      </c>
      <c r="V3149" s="35" t="str">
        <f aca="false">IF($A3149="","",COUNTIF($U$8:$U$5007,$U3149))</f>
        <v/>
      </c>
    </row>
    <row r="3150" customFormat="false" ht="15" hidden="false" customHeight="false" outlineLevel="0" collapsed="false">
      <c r="A3150" s="31"/>
      <c r="B3150" s="32"/>
      <c r="C3150" s="32"/>
      <c r="D3150" s="32"/>
      <c r="E3150" s="32"/>
      <c r="F3150" s="32"/>
      <c r="G3150" s="33"/>
      <c r="H3150" s="33"/>
      <c r="I3150" s="34" t="str">
        <f aca="false">IF($A3150="","",$G3150-$H3150)</f>
        <v/>
      </c>
      <c r="J3150" s="35" t="str">
        <f aca="false">IF($A3150="","",IF(Setup!$B$6=1,YEAR($A3150),YEAR($A3150)+IF(MONTH($A3150)&gt;=Setup!$B$6,1,0)))</f>
        <v/>
      </c>
      <c r="K3150" s="35" t="str">
        <f aca="false">IF($A3150="","",MOD(MONTH($A3150)-Setup!$B$6+12,12)+1)</f>
        <v/>
      </c>
      <c r="L3150" s="36" t="str">
        <f aca="false">IF($A3150="","",TEXT($A3150,"MMM-YY"))</f>
        <v/>
      </c>
      <c r="M3150" s="37" t="str">
        <f aca="false">IF($A3150="","",IF($Q3150=0,"UNMAPPED",INDEX(COA_Mapping!$C$7:$C$256,$Q3150)))</f>
        <v/>
      </c>
      <c r="N3150" s="38" t="str">
        <f aca="false">IF($A3150="","",IF($Q3150=0,"",INDEX(COA_Mapping!$E$7:$E$256,$Q3150)))</f>
        <v/>
      </c>
      <c r="O3150" s="38" t="n">
        <f aca="false">IF($A3150="",1,IF($Q3150=0,1,INDEX(COA_Mapping!$F$7:$F$256,$Q3150)))</f>
        <v>1</v>
      </c>
      <c r="P3150" s="34" t="str">
        <f aca="false">IF($A3150="","",$I3150*$O3150)</f>
        <v/>
      </c>
      <c r="Q3150" s="39" t="n">
        <f aca="false">IF($B3150="",0,IFERROR(MATCH($B3150,COA_Mapping!$A$7:$A$256,0),0))</f>
        <v>0</v>
      </c>
      <c r="R3150" s="39" t="n">
        <f aca="false">IF($A3150="",-1,IF($J3150=Setup!$B$7,1,IF($J3150=Setup!$B$9,0,-1)))</f>
        <v>-1</v>
      </c>
      <c r="S3150" s="35" t="n">
        <f aca="false">IF(OR($A3150="",$Q3150=0,$R3150=-1),0,$Q3150*1000+$R3150*100+$K3150)</f>
        <v>0</v>
      </c>
      <c r="T3150" s="37" t="str">
        <f aca="false">IF($A3150="","",IF($B3150="","NO ACCOUNT",IF($Q3150=0,"UNMAPPED",IF($R3150=-1,"OUTSIDE FY RANGE","OK"))))</f>
        <v/>
      </c>
      <c r="U3150" s="40" t="str">
        <f aca="false">IF($A3150="","",$B3150&amp;"|"&amp;TEXT($A3150,"yyyymmdd")&amp;"|"&amp;TEXT($I3150,"0.00"))</f>
        <v/>
      </c>
      <c r="V3150" s="35" t="str">
        <f aca="false">IF($A3150="","",COUNTIF($U$8:$U$5007,$U3150))</f>
        <v/>
      </c>
    </row>
    <row r="3151" customFormat="false" ht="15" hidden="false" customHeight="false" outlineLevel="0" collapsed="false">
      <c r="A3151" s="31"/>
      <c r="B3151" s="32"/>
      <c r="C3151" s="32"/>
      <c r="D3151" s="32"/>
      <c r="E3151" s="32"/>
      <c r="F3151" s="32"/>
      <c r="G3151" s="33"/>
      <c r="H3151" s="33"/>
      <c r="I3151" s="34" t="str">
        <f aca="false">IF($A3151="","",$G3151-$H3151)</f>
        <v/>
      </c>
      <c r="J3151" s="35" t="str">
        <f aca="false">IF($A3151="","",IF(Setup!$B$6=1,YEAR($A3151),YEAR($A3151)+IF(MONTH($A3151)&gt;=Setup!$B$6,1,0)))</f>
        <v/>
      </c>
      <c r="K3151" s="35" t="str">
        <f aca="false">IF($A3151="","",MOD(MONTH($A3151)-Setup!$B$6+12,12)+1)</f>
        <v/>
      </c>
      <c r="L3151" s="36" t="str">
        <f aca="false">IF($A3151="","",TEXT($A3151,"MMM-YY"))</f>
        <v/>
      </c>
      <c r="M3151" s="37" t="str">
        <f aca="false">IF($A3151="","",IF($Q3151=0,"UNMAPPED",INDEX(COA_Mapping!$C$7:$C$256,$Q3151)))</f>
        <v/>
      </c>
      <c r="N3151" s="38" t="str">
        <f aca="false">IF($A3151="","",IF($Q3151=0,"",INDEX(COA_Mapping!$E$7:$E$256,$Q3151)))</f>
        <v/>
      </c>
      <c r="O3151" s="38" t="n">
        <f aca="false">IF($A3151="",1,IF($Q3151=0,1,INDEX(COA_Mapping!$F$7:$F$256,$Q3151)))</f>
        <v>1</v>
      </c>
      <c r="P3151" s="34" t="str">
        <f aca="false">IF($A3151="","",$I3151*$O3151)</f>
        <v/>
      </c>
      <c r="Q3151" s="39" t="n">
        <f aca="false">IF($B3151="",0,IFERROR(MATCH($B3151,COA_Mapping!$A$7:$A$256,0),0))</f>
        <v>0</v>
      </c>
      <c r="R3151" s="39" t="n">
        <f aca="false">IF($A3151="",-1,IF($J3151=Setup!$B$7,1,IF($J3151=Setup!$B$9,0,-1)))</f>
        <v>-1</v>
      </c>
      <c r="S3151" s="35" t="n">
        <f aca="false">IF(OR($A3151="",$Q3151=0,$R3151=-1),0,$Q3151*1000+$R3151*100+$K3151)</f>
        <v>0</v>
      </c>
      <c r="T3151" s="37" t="str">
        <f aca="false">IF($A3151="","",IF($B3151="","NO ACCOUNT",IF($Q3151=0,"UNMAPPED",IF($R3151=-1,"OUTSIDE FY RANGE","OK"))))</f>
        <v/>
      </c>
      <c r="U3151" s="40" t="str">
        <f aca="false">IF($A3151="","",$B3151&amp;"|"&amp;TEXT($A3151,"yyyymmdd")&amp;"|"&amp;TEXT($I3151,"0.00"))</f>
        <v/>
      </c>
      <c r="V3151" s="35" t="str">
        <f aca="false">IF($A3151="","",COUNTIF($U$8:$U$5007,$U3151))</f>
        <v/>
      </c>
    </row>
    <row r="3152" customFormat="false" ht="15" hidden="false" customHeight="false" outlineLevel="0" collapsed="false">
      <c r="A3152" s="31"/>
      <c r="B3152" s="32"/>
      <c r="C3152" s="32"/>
      <c r="D3152" s="32"/>
      <c r="E3152" s="32"/>
      <c r="F3152" s="32"/>
      <c r="G3152" s="33"/>
      <c r="H3152" s="33"/>
      <c r="I3152" s="34" t="str">
        <f aca="false">IF($A3152="","",$G3152-$H3152)</f>
        <v/>
      </c>
      <c r="J3152" s="35" t="str">
        <f aca="false">IF($A3152="","",IF(Setup!$B$6=1,YEAR($A3152),YEAR($A3152)+IF(MONTH($A3152)&gt;=Setup!$B$6,1,0)))</f>
        <v/>
      </c>
      <c r="K3152" s="35" t="str">
        <f aca="false">IF($A3152="","",MOD(MONTH($A3152)-Setup!$B$6+12,12)+1)</f>
        <v/>
      </c>
      <c r="L3152" s="36" t="str">
        <f aca="false">IF($A3152="","",TEXT($A3152,"MMM-YY"))</f>
        <v/>
      </c>
      <c r="M3152" s="37" t="str">
        <f aca="false">IF($A3152="","",IF($Q3152=0,"UNMAPPED",INDEX(COA_Mapping!$C$7:$C$256,$Q3152)))</f>
        <v/>
      </c>
      <c r="N3152" s="38" t="str">
        <f aca="false">IF($A3152="","",IF($Q3152=0,"",INDEX(COA_Mapping!$E$7:$E$256,$Q3152)))</f>
        <v/>
      </c>
      <c r="O3152" s="38" t="n">
        <f aca="false">IF($A3152="",1,IF($Q3152=0,1,INDEX(COA_Mapping!$F$7:$F$256,$Q3152)))</f>
        <v>1</v>
      </c>
      <c r="P3152" s="34" t="str">
        <f aca="false">IF($A3152="","",$I3152*$O3152)</f>
        <v/>
      </c>
      <c r="Q3152" s="39" t="n">
        <f aca="false">IF($B3152="",0,IFERROR(MATCH($B3152,COA_Mapping!$A$7:$A$256,0),0))</f>
        <v>0</v>
      </c>
      <c r="R3152" s="39" t="n">
        <f aca="false">IF($A3152="",-1,IF($J3152=Setup!$B$7,1,IF($J3152=Setup!$B$9,0,-1)))</f>
        <v>-1</v>
      </c>
      <c r="S3152" s="35" t="n">
        <f aca="false">IF(OR($A3152="",$Q3152=0,$R3152=-1),0,$Q3152*1000+$R3152*100+$K3152)</f>
        <v>0</v>
      </c>
      <c r="T3152" s="37" t="str">
        <f aca="false">IF($A3152="","",IF($B3152="","NO ACCOUNT",IF($Q3152=0,"UNMAPPED",IF($R3152=-1,"OUTSIDE FY RANGE","OK"))))</f>
        <v/>
      </c>
      <c r="U3152" s="40" t="str">
        <f aca="false">IF($A3152="","",$B3152&amp;"|"&amp;TEXT($A3152,"yyyymmdd")&amp;"|"&amp;TEXT($I3152,"0.00"))</f>
        <v/>
      </c>
      <c r="V3152" s="35" t="str">
        <f aca="false">IF($A3152="","",COUNTIF($U$8:$U$5007,$U3152))</f>
        <v/>
      </c>
    </row>
    <row r="3153" customFormat="false" ht="15" hidden="false" customHeight="false" outlineLevel="0" collapsed="false">
      <c r="A3153" s="31"/>
      <c r="B3153" s="32"/>
      <c r="C3153" s="32"/>
      <c r="D3153" s="32"/>
      <c r="E3153" s="32"/>
      <c r="F3153" s="32"/>
      <c r="G3153" s="33"/>
      <c r="H3153" s="33"/>
      <c r="I3153" s="34" t="str">
        <f aca="false">IF($A3153="","",$G3153-$H3153)</f>
        <v/>
      </c>
      <c r="J3153" s="35" t="str">
        <f aca="false">IF($A3153="","",IF(Setup!$B$6=1,YEAR($A3153),YEAR($A3153)+IF(MONTH($A3153)&gt;=Setup!$B$6,1,0)))</f>
        <v/>
      </c>
      <c r="K3153" s="35" t="str">
        <f aca="false">IF($A3153="","",MOD(MONTH($A3153)-Setup!$B$6+12,12)+1)</f>
        <v/>
      </c>
      <c r="L3153" s="36" t="str">
        <f aca="false">IF($A3153="","",TEXT($A3153,"MMM-YY"))</f>
        <v/>
      </c>
      <c r="M3153" s="37" t="str">
        <f aca="false">IF($A3153="","",IF($Q3153=0,"UNMAPPED",INDEX(COA_Mapping!$C$7:$C$256,$Q3153)))</f>
        <v/>
      </c>
      <c r="N3153" s="38" t="str">
        <f aca="false">IF($A3153="","",IF($Q3153=0,"",INDEX(COA_Mapping!$E$7:$E$256,$Q3153)))</f>
        <v/>
      </c>
      <c r="O3153" s="38" t="n">
        <f aca="false">IF($A3153="",1,IF($Q3153=0,1,INDEX(COA_Mapping!$F$7:$F$256,$Q3153)))</f>
        <v>1</v>
      </c>
      <c r="P3153" s="34" t="str">
        <f aca="false">IF($A3153="","",$I3153*$O3153)</f>
        <v/>
      </c>
      <c r="Q3153" s="39" t="n">
        <f aca="false">IF($B3153="",0,IFERROR(MATCH($B3153,COA_Mapping!$A$7:$A$256,0),0))</f>
        <v>0</v>
      </c>
      <c r="R3153" s="39" t="n">
        <f aca="false">IF($A3153="",-1,IF($J3153=Setup!$B$7,1,IF($J3153=Setup!$B$9,0,-1)))</f>
        <v>-1</v>
      </c>
      <c r="S3153" s="35" t="n">
        <f aca="false">IF(OR($A3153="",$Q3153=0,$R3153=-1),0,$Q3153*1000+$R3153*100+$K3153)</f>
        <v>0</v>
      </c>
      <c r="T3153" s="37" t="str">
        <f aca="false">IF($A3153="","",IF($B3153="","NO ACCOUNT",IF($Q3153=0,"UNMAPPED",IF($R3153=-1,"OUTSIDE FY RANGE","OK"))))</f>
        <v/>
      </c>
      <c r="U3153" s="40" t="str">
        <f aca="false">IF($A3153="","",$B3153&amp;"|"&amp;TEXT($A3153,"yyyymmdd")&amp;"|"&amp;TEXT($I3153,"0.00"))</f>
        <v/>
      </c>
      <c r="V3153" s="35" t="str">
        <f aca="false">IF($A3153="","",COUNTIF($U$8:$U$5007,$U3153))</f>
        <v/>
      </c>
    </row>
    <row r="3154" customFormat="false" ht="15" hidden="false" customHeight="false" outlineLevel="0" collapsed="false">
      <c r="A3154" s="31"/>
      <c r="B3154" s="32"/>
      <c r="C3154" s="32"/>
      <c r="D3154" s="32"/>
      <c r="E3154" s="32"/>
      <c r="F3154" s="32"/>
      <c r="G3154" s="33"/>
      <c r="H3154" s="33"/>
      <c r="I3154" s="34" t="str">
        <f aca="false">IF($A3154="","",$G3154-$H3154)</f>
        <v/>
      </c>
      <c r="J3154" s="35" t="str">
        <f aca="false">IF($A3154="","",IF(Setup!$B$6=1,YEAR($A3154),YEAR($A3154)+IF(MONTH($A3154)&gt;=Setup!$B$6,1,0)))</f>
        <v/>
      </c>
      <c r="K3154" s="35" t="str">
        <f aca="false">IF($A3154="","",MOD(MONTH($A3154)-Setup!$B$6+12,12)+1)</f>
        <v/>
      </c>
      <c r="L3154" s="36" t="str">
        <f aca="false">IF($A3154="","",TEXT($A3154,"MMM-YY"))</f>
        <v/>
      </c>
      <c r="M3154" s="37" t="str">
        <f aca="false">IF($A3154="","",IF($Q3154=0,"UNMAPPED",INDEX(COA_Mapping!$C$7:$C$256,$Q3154)))</f>
        <v/>
      </c>
      <c r="N3154" s="38" t="str">
        <f aca="false">IF($A3154="","",IF($Q3154=0,"",INDEX(COA_Mapping!$E$7:$E$256,$Q3154)))</f>
        <v/>
      </c>
      <c r="O3154" s="38" t="n">
        <f aca="false">IF($A3154="",1,IF($Q3154=0,1,INDEX(COA_Mapping!$F$7:$F$256,$Q3154)))</f>
        <v>1</v>
      </c>
      <c r="P3154" s="34" t="str">
        <f aca="false">IF($A3154="","",$I3154*$O3154)</f>
        <v/>
      </c>
      <c r="Q3154" s="39" t="n">
        <f aca="false">IF($B3154="",0,IFERROR(MATCH($B3154,COA_Mapping!$A$7:$A$256,0),0))</f>
        <v>0</v>
      </c>
      <c r="R3154" s="39" t="n">
        <f aca="false">IF($A3154="",-1,IF($J3154=Setup!$B$7,1,IF($J3154=Setup!$B$9,0,-1)))</f>
        <v>-1</v>
      </c>
      <c r="S3154" s="35" t="n">
        <f aca="false">IF(OR($A3154="",$Q3154=0,$R3154=-1),0,$Q3154*1000+$R3154*100+$K3154)</f>
        <v>0</v>
      </c>
      <c r="T3154" s="37" t="str">
        <f aca="false">IF($A3154="","",IF($B3154="","NO ACCOUNT",IF($Q3154=0,"UNMAPPED",IF($R3154=-1,"OUTSIDE FY RANGE","OK"))))</f>
        <v/>
      </c>
      <c r="U3154" s="40" t="str">
        <f aca="false">IF($A3154="","",$B3154&amp;"|"&amp;TEXT($A3154,"yyyymmdd")&amp;"|"&amp;TEXT($I3154,"0.00"))</f>
        <v/>
      </c>
      <c r="V3154" s="35" t="str">
        <f aca="false">IF($A3154="","",COUNTIF($U$8:$U$5007,$U3154))</f>
        <v/>
      </c>
    </row>
    <row r="3155" customFormat="false" ht="15" hidden="false" customHeight="false" outlineLevel="0" collapsed="false">
      <c r="A3155" s="31"/>
      <c r="B3155" s="32"/>
      <c r="C3155" s="32"/>
      <c r="D3155" s="32"/>
      <c r="E3155" s="32"/>
      <c r="F3155" s="32"/>
      <c r="G3155" s="33"/>
      <c r="H3155" s="33"/>
      <c r="I3155" s="34" t="str">
        <f aca="false">IF($A3155="","",$G3155-$H3155)</f>
        <v/>
      </c>
      <c r="J3155" s="35" t="str">
        <f aca="false">IF($A3155="","",IF(Setup!$B$6=1,YEAR($A3155),YEAR($A3155)+IF(MONTH($A3155)&gt;=Setup!$B$6,1,0)))</f>
        <v/>
      </c>
      <c r="K3155" s="35" t="str">
        <f aca="false">IF($A3155="","",MOD(MONTH($A3155)-Setup!$B$6+12,12)+1)</f>
        <v/>
      </c>
      <c r="L3155" s="36" t="str">
        <f aca="false">IF($A3155="","",TEXT($A3155,"MMM-YY"))</f>
        <v/>
      </c>
      <c r="M3155" s="37" t="str">
        <f aca="false">IF($A3155="","",IF($Q3155=0,"UNMAPPED",INDEX(COA_Mapping!$C$7:$C$256,$Q3155)))</f>
        <v/>
      </c>
      <c r="N3155" s="38" t="str">
        <f aca="false">IF($A3155="","",IF($Q3155=0,"",INDEX(COA_Mapping!$E$7:$E$256,$Q3155)))</f>
        <v/>
      </c>
      <c r="O3155" s="38" t="n">
        <f aca="false">IF($A3155="",1,IF($Q3155=0,1,INDEX(COA_Mapping!$F$7:$F$256,$Q3155)))</f>
        <v>1</v>
      </c>
      <c r="P3155" s="34" t="str">
        <f aca="false">IF($A3155="","",$I3155*$O3155)</f>
        <v/>
      </c>
      <c r="Q3155" s="39" t="n">
        <f aca="false">IF($B3155="",0,IFERROR(MATCH($B3155,COA_Mapping!$A$7:$A$256,0),0))</f>
        <v>0</v>
      </c>
      <c r="R3155" s="39" t="n">
        <f aca="false">IF($A3155="",-1,IF($J3155=Setup!$B$7,1,IF($J3155=Setup!$B$9,0,-1)))</f>
        <v>-1</v>
      </c>
      <c r="S3155" s="35" t="n">
        <f aca="false">IF(OR($A3155="",$Q3155=0,$R3155=-1),0,$Q3155*1000+$R3155*100+$K3155)</f>
        <v>0</v>
      </c>
      <c r="T3155" s="37" t="str">
        <f aca="false">IF($A3155="","",IF($B3155="","NO ACCOUNT",IF($Q3155=0,"UNMAPPED",IF($R3155=-1,"OUTSIDE FY RANGE","OK"))))</f>
        <v/>
      </c>
      <c r="U3155" s="40" t="str">
        <f aca="false">IF($A3155="","",$B3155&amp;"|"&amp;TEXT($A3155,"yyyymmdd")&amp;"|"&amp;TEXT($I3155,"0.00"))</f>
        <v/>
      </c>
      <c r="V3155" s="35" t="str">
        <f aca="false">IF($A3155="","",COUNTIF($U$8:$U$5007,$U3155))</f>
        <v/>
      </c>
    </row>
    <row r="3156" customFormat="false" ht="15" hidden="false" customHeight="false" outlineLevel="0" collapsed="false">
      <c r="A3156" s="31"/>
      <c r="B3156" s="32"/>
      <c r="C3156" s="32"/>
      <c r="D3156" s="32"/>
      <c r="E3156" s="32"/>
      <c r="F3156" s="32"/>
      <c r="G3156" s="33"/>
      <c r="H3156" s="33"/>
      <c r="I3156" s="34" t="str">
        <f aca="false">IF($A3156="","",$G3156-$H3156)</f>
        <v/>
      </c>
      <c r="J3156" s="35" t="str">
        <f aca="false">IF($A3156="","",IF(Setup!$B$6=1,YEAR($A3156),YEAR($A3156)+IF(MONTH($A3156)&gt;=Setup!$B$6,1,0)))</f>
        <v/>
      </c>
      <c r="K3156" s="35" t="str">
        <f aca="false">IF($A3156="","",MOD(MONTH($A3156)-Setup!$B$6+12,12)+1)</f>
        <v/>
      </c>
      <c r="L3156" s="36" t="str">
        <f aca="false">IF($A3156="","",TEXT($A3156,"MMM-YY"))</f>
        <v/>
      </c>
      <c r="M3156" s="37" t="str">
        <f aca="false">IF($A3156="","",IF($Q3156=0,"UNMAPPED",INDEX(COA_Mapping!$C$7:$C$256,$Q3156)))</f>
        <v/>
      </c>
      <c r="N3156" s="38" t="str">
        <f aca="false">IF($A3156="","",IF($Q3156=0,"",INDEX(COA_Mapping!$E$7:$E$256,$Q3156)))</f>
        <v/>
      </c>
      <c r="O3156" s="38" t="n">
        <f aca="false">IF($A3156="",1,IF($Q3156=0,1,INDEX(COA_Mapping!$F$7:$F$256,$Q3156)))</f>
        <v>1</v>
      </c>
      <c r="P3156" s="34" t="str">
        <f aca="false">IF($A3156="","",$I3156*$O3156)</f>
        <v/>
      </c>
      <c r="Q3156" s="39" t="n">
        <f aca="false">IF($B3156="",0,IFERROR(MATCH($B3156,COA_Mapping!$A$7:$A$256,0),0))</f>
        <v>0</v>
      </c>
      <c r="R3156" s="39" t="n">
        <f aca="false">IF($A3156="",-1,IF($J3156=Setup!$B$7,1,IF($J3156=Setup!$B$9,0,-1)))</f>
        <v>-1</v>
      </c>
      <c r="S3156" s="35" t="n">
        <f aca="false">IF(OR($A3156="",$Q3156=0,$R3156=-1),0,$Q3156*1000+$R3156*100+$K3156)</f>
        <v>0</v>
      </c>
      <c r="T3156" s="37" t="str">
        <f aca="false">IF($A3156="","",IF($B3156="","NO ACCOUNT",IF($Q3156=0,"UNMAPPED",IF($R3156=-1,"OUTSIDE FY RANGE","OK"))))</f>
        <v/>
      </c>
      <c r="U3156" s="40" t="str">
        <f aca="false">IF($A3156="","",$B3156&amp;"|"&amp;TEXT($A3156,"yyyymmdd")&amp;"|"&amp;TEXT($I3156,"0.00"))</f>
        <v/>
      </c>
      <c r="V3156" s="35" t="str">
        <f aca="false">IF($A3156="","",COUNTIF($U$8:$U$5007,$U3156))</f>
        <v/>
      </c>
    </row>
    <row r="3157" customFormat="false" ht="15" hidden="false" customHeight="false" outlineLevel="0" collapsed="false">
      <c r="A3157" s="31"/>
      <c r="B3157" s="32"/>
      <c r="C3157" s="32"/>
      <c r="D3157" s="32"/>
      <c r="E3157" s="32"/>
      <c r="F3157" s="32"/>
      <c r="G3157" s="33"/>
      <c r="H3157" s="33"/>
      <c r="I3157" s="34" t="str">
        <f aca="false">IF($A3157="","",$G3157-$H3157)</f>
        <v/>
      </c>
      <c r="J3157" s="35" t="str">
        <f aca="false">IF($A3157="","",IF(Setup!$B$6=1,YEAR($A3157),YEAR($A3157)+IF(MONTH($A3157)&gt;=Setup!$B$6,1,0)))</f>
        <v/>
      </c>
      <c r="K3157" s="35" t="str">
        <f aca="false">IF($A3157="","",MOD(MONTH($A3157)-Setup!$B$6+12,12)+1)</f>
        <v/>
      </c>
      <c r="L3157" s="36" t="str">
        <f aca="false">IF($A3157="","",TEXT($A3157,"MMM-YY"))</f>
        <v/>
      </c>
      <c r="M3157" s="37" t="str">
        <f aca="false">IF($A3157="","",IF($Q3157=0,"UNMAPPED",INDEX(COA_Mapping!$C$7:$C$256,$Q3157)))</f>
        <v/>
      </c>
      <c r="N3157" s="38" t="str">
        <f aca="false">IF($A3157="","",IF($Q3157=0,"",INDEX(COA_Mapping!$E$7:$E$256,$Q3157)))</f>
        <v/>
      </c>
      <c r="O3157" s="38" t="n">
        <f aca="false">IF($A3157="",1,IF($Q3157=0,1,INDEX(COA_Mapping!$F$7:$F$256,$Q3157)))</f>
        <v>1</v>
      </c>
      <c r="P3157" s="34" t="str">
        <f aca="false">IF($A3157="","",$I3157*$O3157)</f>
        <v/>
      </c>
      <c r="Q3157" s="39" t="n">
        <f aca="false">IF($B3157="",0,IFERROR(MATCH($B3157,COA_Mapping!$A$7:$A$256,0),0))</f>
        <v>0</v>
      </c>
      <c r="R3157" s="39" t="n">
        <f aca="false">IF($A3157="",-1,IF($J3157=Setup!$B$7,1,IF($J3157=Setup!$B$9,0,-1)))</f>
        <v>-1</v>
      </c>
      <c r="S3157" s="35" t="n">
        <f aca="false">IF(OR($A3157="",$Q3157=0,$R3157=-1),0,$Q3157*1000+$R3157*100+$K3157)</f>
        <v>0</v>
      </c>
      <c r="T3157" s="37" t="str">
        <f aca="false">IF($A3157="","",IF($B3157="","NO ACCOUNT",IF($Q3157=0,"UNMAPPED",IF($R3157=-1,"OUTSIDE FY RANGE","OK"))))</f>
        <v/>
      </c>
      <c r="U3157" s="40" t="str">
        <f aca="false">IF($A3157="","",$B3157&amp;"|"&amp;TEXT($A3157,"yyyymmdd")&amp;"|"&amp;TEXT($I3157,"0.00"))</f>
        <v/>
      </c>
      <c r="V3157" s="35" t="str">
        <f aca="false">IF($A3157="","",COUNTIF($U$8:$U$5007,$U3157))</f>
        <v/>
      </c>
    </row>
    <row r="3158" customFormat="false" ht="15" hidden="false" customHeight="false" outlineLevel="0" collapsed="false">
      <c r="A3158" s="31"/>
      <c r="B3158" s="32"/>
      <c r="C3158" s="32"/>
      <c r="D3158" s="32"/>
      <c r="E3158" s="32"/>
      <c r="F3158" s="32"/>
      <c r="G3158" s="33"/>
      <c r="H3158" s="33"/>
      <c r="I3158" s="34" t="str">
        <f aca="false">IF($A3158="","",$G3158-$H3158)</f>
        <v/>
      </c>
      <c r="J3158" s="35" t="str">
        <f aca="false">IF($A3158="","",IF(Setup!$B$6=1,YEAR($A3158),YEAR($A3158)+IF(MONTH($A3158)&gt;=Setup!$B$6,1,0)))</f>
        <v/>
      </c>
      <c r="K3158" s="35" t="str">
        <f aca="false">IF($A3158="","",MOD(MONTH($A3158)-Setup!$B$6+12,12)+1)</f>
        <v/>
      </c>
      <c r="L3158" s="36" t="str">
        <f aca="false">IF($A3158="","",TEXT($A3158,"MMM-YY"))</f>
        <v/>
      </c>
      <c r="M3158" s="37" t="str">
        <f aca="false">IF($A3158="","",IF($Q3158=0,"UNMAPPED",INDEX(COA_Mapping!$C$7:$C$256,$Q3158)))</f>
        <v/>
      </c>
      <c r="N3158" s="38" t="str">
        <f aca="false">IF($A3158="","",IF($Q3158=0,"",INDEX(COA_Mapping!$E$7:$E$256,$Q3158)))</f>
        <v/>
      </c>
      <c r="O3158" s="38" t="n">
        <f aca="false">IF($A3158="",1,IF($Q3158=0,1,INDEX(COA_Mapping!$F$7:$F$256,$Q3158)))</f>
        <v>1</v>
      </c>
      <c r="P3158" s="34" t="str">
        <f aca="false">IF($A3158="","",$I3158*$O3158)</f>
        <v/>
      </c>
      <c r="Q3158" s="39" t="n">
        <f aca="false">IF($B3158="",0,IFERROR(MATCH($B3158,COA_Mapping!$A$7:$A$256,0),0))</f>
        <v>0</v>
      </c>
      <c r="R3158" s="39" t="n">
        <f aca="false">IF($A3158="",-1,IF($J3158=Setup!$B$7,1,IF($J3158=Setup!$B$9,0,-1)))</f>
        <v>-1</v>
      </c>
      <c r="S3158" s="35" t="n">
        <f aca="false">IF(OR($A3158="",$Q3158=0,$R3158=-1),0,$Q3158*1000+$R3158*100+$K3158)</f>
        <v>0</v>
      </c>
      <c r="T3158" s="37" t="str">
        <f aca="false">IF($A3158="","",IF($B3158="","NO ACCOUNT",IF($Q3158=0,"UNMAPPED",IF($R3158=-1,"OUTSIDE FY RANGE","OK"))))</f>
        <v/>
      </c>
      <c r="U3158" s="40" t="str">
        <f aca="false">IF($A3158="","",$B3158&amp;"|"&amp;TEXT($A3158,"yyyymmdd")&amp;"|"&amp;TEXT($I3158,"0.00"))</f>
        <v/>
      </c>
      <c r="V3158" s="35" t="str">
        <f aca="false">IF($A3158="","",COUNTIF($U$8:$U$5007,$U3158))</f>
        <v/>
      </c>
    </row>
    <row r="3159" customFormat="false" ht="15" hidden="false" customHeight="false" outlineLevel="0" collapsed="false">
      <c r="A3159" s="31"/>
      <c r="B3159" s="32"/>
      <c r="C3159" s="32"/>
      <c r="D3159" s="32"/>
      <c r="E3159" s="32"/>
      <c r="F3159" s="32"/>
      <c r="G3159" s="33"/>
      <c r="H3159" s="33"/>
      <c r="I3159" s="34" t="str">
        <f aca="false">IF($A3159="","",$G3159-$H3159)</f>
        <v/>
      </c>
      <c r="J3159" s="35" t="str">
        <f aca="false">IF($A3159="","",IF(Setup!$B$6=1,YEAR($A3159),YEAR($A3159)+IF(MONTH($A3159)&gt;=Setup!$B$6,1,0)))</f>
        <v/>
      </c>
      <c r="K3159" s="35" t="str">
        <f aca="false">IF($A3159="","",MOD(MONTH($A3159)-Setup!$B$6+12,12)+1)</f>
        <v/>
      </c>
      <c r="L3159" s="36" t="str">
        <f aca="false">IF($A3159="","",TEXT($A3159,"MMM-YY"))</f>
        <v/>
      </c>
      <c r="M3159" s="37" t="str">
        <f aca="false">IF($A3159="","",IF($Q3159=0,"UNMAPPED",INDEX(COA_Mapping!$C$7:$C$256,$Q3159)))</f>
        <v/>
      </c>
      <c r="N3159" s="38" t="str">
        <f aca="false">IF($A3159="","",IF($Q3159=0,"",INDEX(COA_Mapping!$E$7:$E$256,$Q3159)))</f>
        <v/>
      </c>
      <c r="O3159" s="38" t="n">
        <f aca="false">IF($A3159="",1,IF($Q3159=0,1,INDEX(COA_Mapping!$F$7:$F$256,$Q3159)))</f>
        <v>1</v>
      </c>
      <c r="P3159" s="34" t="str">
        <f aca="false">IF($A3159="","",$I3159*$O3159)</f>
        <v/>
      </c>
      <c r="Q3159" s="39" t="n">
        <f aca="false">IF($B3159="",0,IFERROR(MATCH($B3159,COA_Mapping!$A$7:$A$256,0),0))</f>
        <v>0</v>
      </c>
      <c r="R3159" s="39" t="n">
        <f aca="false">IF($A3159="",-1,IF($J3159=Setup!$B$7,1,IF($J3159=Setup!$B$9,0,-1)))</f>
        <v>-1</v>
      </c>
      <c r="S3159" s="35" t="n">
        <f aca="false">IF(OR($A3159="",$Q3159=0,$R3159=-1),0,$Q3159*1000+$R3159*100+$K3159)</f>
        <v>0</v>
      </c>
      <c r="T3159" s="37" t="str">
        <f aca="false">IF($A3159="","",IF($B3159="","NO ACCOUNT",IF($Q3159=0,"UNMAPPED",IF($R3159=-1,"OUTSIDE FY RANGE","OK"))))</f>
        <v/>
      </c>
      <c r="U3159" s="40" t="str">
        <f aca="false">IF($A3159="","",$B3159&amp;"|"&amp;TEXT($A3159,"yyyymmdd")&amp;"|"&amp;TEXT($I3159,"0.00"))</f>
        <v/>
      </c>
      <c r="V3159" s="35" t="str">
        <f aca="false">IF($A3159="","",COUNTIF($U$8:$U$5007,$U3159))</f>
        <v/>
      </c>
    </row>
    <row r="3160" customFormat="false" ht="15" hidden="false" customHeight="false" outlineLevel="0" collapsed="false">
      <c r="A3160" s="31"/>
      <c r="B3160" s="32"/>
      <c r="C3160" s="32"/>
      <c r="D3160" s="32"/>
      <c r="E3160" s="32"/>
      <c r="F3160" s="32"/>
      <c r="G3160" s="33"/>
      <c r="H3160" s="33"/>
      <c r="I3160" s="34" t="str">
        <f aca="false">IF($A3160="","",$G3160-$H3160)</f>
        <v/>
      </c>
      <c r="J3160" s="35" t="str">
        <f aca="false">IF($A3160="","",IF(Setup!$B$6=1,YEAR($A3160),YEAR($A3160)+IF(MONTH($A3160)&gt;=Setup!$B$6,1,0)))</f>
        <v/>
      </c>
      <c r="K3160" s="35" t="str">
        <f aca="false">IF($A3160="","",MOD(MONTH($A3160)-Setup!$B$6+12,12)+1)</f>
        <v/>
      </c>
      <c r="L3160" s="36" t="str">
        <f aca="false">IF($A3160="","",TEXT($A3160,"MMM-YY"))</f>
        <v/>
      </c>
      <c r="M3160" s="37" t="str">
        <f aca="false">IF($A3160="","",IF($Q3160=0,"UNMAPPED",INDEX(COA_Mapping!$C$7:$C$256,$Q3160)))</f>
        <v/>
      </c>
      <c r="N3160" s="38" t="str">
        <f aca="false">IF($A3160="","",IF($Q3160=0,"",INDEX(COA_Mapping!$E$7:$E$256,$Q3160)))</f>
        <v/>
      </c>
      <c r="O3160" s="38" t="n">
        <f aca="false">IF($A3160="",1,IF($Q3160=0,1,INDEX(COA_Mapping!$F$7:$F$256,$Q3160)))</f>
        <v>1</v>
      </c>
      <c r="P3160" s="34" t="str">
        <f aca="false">IF($A3160="","",$I3160*$O3160)</f>
        <v/>
      </c>
      <c r="Q3160" s="39" t="n">
        <f aca="false">IF($B3160="",0,IFERROR(MATCH($B3160,COA_Mapping!$A$7:$A$256,0),0))</f>
        <v>0</v>
      </c>
      <c r="R3160" s="39" t="n">
        <f aca="false">IF($A3160="",-1,IF($J3160=Setup!$B$7,1,IF($J3160=Setup!$B$9,0,-1)))</f>
        <v>-1</v>
      </c>
      <c r="S3160" s="35" t="n">
        <f aca="false">IF(OR($A3160="",$Q3160=0,$R3160=-1),0,$Q3160*1000+$R3160*100+$K3160)</f>
        <v>0</v>
      </c>
      <c r="T3160" s="37" t="str">
        <f aca="false">IF($A3160="","",IF($B3160="","NO ACCOUNT",IF($Q3160=0,"UNMAPPED",IF($R3160=-1,"OUTSIDE FY RANGE","OK"))))</f>
        <v/>
      </c>
      <c r="U3160" s="40" t="str">
        <f aca="false">IF($A3160="","",$B3160&amp;"|"&amp;TEXT($A3160,"yyyymmdd")&amp;"|"&amp;TEXT($I3160,"0.00"))</f>
        <v/>
      </c>
      <c r="V3160" s="35" t="str">
        <f aca="false">IF($A3160="","",COUNTIF($U$8:$U$5007,$U3160))</f>
        <v/>
      </c>
    </row>
    <row r="3161" customFormat="false" ht="15" hidden="false" customHeight="false" outlineLevel="0" collapsed="false">
      <c r="A3161" s="31"/>
      <c r="B3161" s="32"/>
      <c r="C3161" s="32"/>
      <c r="D3161" s="32"/>
      <c r="E3161" s="32"/>
      <c r="F3161" s="32"/>
      <c r="G3161" s="33"/>
      <c r="H3161" s="33"/>
      <c r="I3161" s="34" t="str">
        <f aca="false">IF($A3161="","",$G3161-$H3161)</f>
        <v/>
      </c>
      <c r="J3161" s="35" t="str">
        <f aca="false">IF($A3161="","",IF(Setup!$B$6=1,YEAR($A3161),YEAR($A3161)+IF(MONTH($A3161)&gt;=Setup!$B$6,1,0)))</f>
        <v/>
      </c>
      <c r="K3161" s="35" t="str">
        <f aca="false">IF($A3161="","",MOD(MONTH($A3161)-Setup!$B$6+12,12)+1)</f>
        <v/>
      </c>
      <c r="L3161" s="36" t="str">
        <f aca="false">IF($A3161="","",TEXT($A3161,"MMM-YY"))</f>
        <v/>
      </c>
      <c r="M3161" s="37" t="str">
        <f aca="false">IF($A3161="","",IF($Q3161=0,"UNMAPPED",INDEX(COA_Mapping!$C$7:$C$256,$Q3161)))</f>
        <v/>
      </c>
      <c r="N3161" s="38" t="str">
        <f aca="false">IF($A3161="","",IF($Q3161=0,"",INDEX(COA_Mapping!$E$7:$E$256,$Q3161)))</f>
        <v/>
      </c>
      <c r="O3161" s="38" t="n">
        <f aca="false">IF($A3161="",1,IF($Q3161=0,1,INDEX(COA_Mapping!$F$7:$F$256,$Q3161)))</f>
        <v>1</v>
      </c>
      <c r="P3161" s="34" t="str">
        <f aca="false">IF($A3161="","",$I3161*$O3161)</f>
        <v/>
      </c>
      <c r="Q3161" s="39" t="n">
        <f aca="false">IF($B3161="",0,IFERROR(MATCH($B3161,COA_Mapping!$A$7:$A$256,0),0))</f>
        <v>0</v>
      </c>
      <c r="R3161" s="39" t="n">
        <f aca="false">IF($A3161="",-1,IF($J3161=Setup!$B$7,1,IF($J3161=Setup!$B$9,0,-1)))</f>
        <v>-1</v>
      </c>
      <c r="S3161" s="35" t="n">
        <f aca="false">IF(OR($A3161="",$Q3161=0,$R3161=-1),0,$Q3161*1000+$R3161*100+$K3161)</f>
        <v>0</v>
      </c>
      <c r="T3161" s="37" t="str">
        <f aca="false">IF($A3161="","",IF($B3161="","NO ACCOUNT",IF($Q3161=0,"UNMAPPED",IF($R3161=-1,"OUTSIDE FY RANGE","OK"))))</f>
        <v/>
      </c>
      <c r="U3161" s="40" t="str">
        <f aca="false">IF($A3161="","",$B3161&amp;"|"&amp;TEXT($A3161,"yyyymmdd")&amp;"|"&amp;TEXT($I3161,"0.00"))</f>
        <v/>
      </c>
      <c r="V3161" s="35" t="str">
        <f aca="false">IF($A3161="","",COUNTIF($U$8:$U$5007,$U3161))</f>
        <v/>
      </c>
    </row>
    <row r="3162" customFormat="false" ht="15" hidden="false" customHeight="false" outlineLevel="0" collapsed="false">
      <c r="A3162" s="31"/>
      <c r="B3162" s="32"/>
      <c r="C3162" s="32"/>
      <c r="D3162" s="32"/>
      <c r="E3162" s="32"/>
      <c r="F3162" s="32"/>
      <c r="G3162" s="33"/>
      <c r="H3162" s="33"/>
      <c r="I3162" s="34" t="str">
        <f aca="false">IF($A3162="","",$G3162-$H3162)</f>
        <v/>
      </c>
      <c r="J3162" s="35" t="str">
        <f aca="false">IF($A3162="","",IF(Setup!$B$6=1,YEAR($A3162),YEAR($A3162)+IF(MONTH($A3162)&gt;=Setup!$B$6,1,0)))</f>
        <v/>
      </c>
      <c r="K3162" s="35" t="str">
        <f aca="false">IF($A3162="","",MOD(MONTH($A3162)-Setup!$B$6+12,12)+1)</f>
        <v/>
      </c>
      <c r="L3162" s="36" t="str">
        <f aca="false">IF($A3162="","",TEXT($A3162,"MMM-YY"))</f>
        <v/>
      </c>
      <c r="M3162" s="37" t="str">
        <f aca="false">IF($A3162="","",IF($Q3162=0,"UNMAPPED",INDEX(COA_Mapping!$C$7:$C$256,$Q3162)))</f>
        <v/>
      </c>
      <c r="N3162" s="38" t="str">
        <f aca="false">IF($A3162="","",IF($Q3162=0,"",INDEX(COA_Mapping!$E$7:$E$256,$Q3162)))</f>
        <v/>
      </c>
      <c r="O3162" s="38" t="n">
        <f aca="false">IF($A3162="",1,IF($Q3162=0,1,INDEX(COA_Mapping!$F$7:$F$256,$Q3162)))</f>
        <v>1</v>
      </c>
      <c r="P3162" s="34" t="str">
        <f aca="false">IF($A3162="","",$I3162*$O3162)</f>
        <v/>
      </c>
      <c r="Q3162" s="39" t="n">
        <f aca="false">IF($B3162="",0,IFERROR(MATCH($B3162,COA_Mapping!$A$7:$A$256,0),0))</f>
        <v>0</v>
      </c>
      <c r="R3162" s="39" t="n">
        <f aca="false">IF($A3162="",-1,IF($J3162=Setup!$B$7,1,IF($J3162=Setup!$B$9,0,-1)))</f>
        <v>-1</v>
      </c>
      <c r="S3162" s="35" t="n">
        <f aca="false">IF(OR($A3162="",$Q3162=0,$R3162=-1),0,$Q3162*1000+$R3162*100+$K3162)</f>
        <v>0</v>
      </c>
      <c r="T3162" s="37" t="str">
        <f aca="false">IF($A3162="","",IF($B3162="","NO ACCOUNT",IF($Q3162=0,"UNMAPPED",IF($R3162=-1,"OUTSIDE FY RANGE","OK"))))</f>
        <v/>
      </c>
      <c r="U3162" s="40" t="str">
        <f aca="false">IF($A3162="","",$B3162&amp;"|"&amp;TEXT($A3162,"yyyymmdd")&amp;"|"&amp;TEXT($I3162,"0.00"))</f>
        <v/>
      </c>
      <c r="V3162" s="35" t="str">
        <f aca="false">IF($A3162="","",COUNTIF($U$8:$U$5007,$U3162))</f>
        <v/>
      </c>
    </row>
    <row r="3163" customFormat="false" ht="15" hidden="false" customHeight="false" outlineLevel="0" collapsed="false">
      <c r="A3163" s="31"/>
      <c r="B3163" s="32"/>
      <c r="C3163" s="32"/>
      <c r="D3163" s="32"/>
      <c r="E3163" s="32"/>
      <c r="F3163" s="32"/>
      <c r="G3163" s="33"/>
      <c r="H3163" s="33"/>
      <c r="I3163" s="34" t="str">
        <f aca="false">IF($A3163="","",$G3163-$H3163)</f>
        <v/>
      </c>
      <c r="J3163" s="35" t="str">
        <f aca="false">IF($A3163="","",IF(Setup!$B$6=1,YEAR($A3163),YEAR($A3163)+IF(MONTH($A3163)&gt;=Setup!$B$6,1,0)))</f>
        <v/>
      </c>
      <c r="K3163" s="35" t="str">
        <f aca="false">IF($A3163="","",MOD(MONTH($A3163)-Setup!$B$6+12,12)+1)</f>
        <v/>
      </c>
      <c r="L3163" s="36" t="str">
        <f aca="false">IF($A3163="","",TEXT($A3163,"MMM-YY"))</f>
        <v/>
      </c>
      <c r="M3163" s="37" t="str">
        <f aca="false">IF($A3163="","",IF($Q3163=0,"UNMAPPED",INDEX(COA_Mapping!$C$7:$C$256,$Q3163)))</f>
        <v/>
      </c>
      <c r="N3163" s="38" t="str">
        <f aca="false">IF($A3163="","",IF($Q3163=0,"",INDEX(COA_Mapping!$E$7:$E$256,$Q3163)))</f>
        <v/>
      </c>
      <c r="O3163" s="38" t="n">
        <f aca="false">IF($A3163="",1,IF($Q3163=0,1,INDEX(COA_Mapping!$F$7:$F$256,$Q3163)))</f>
        <v>1</v>
      </c>
      <c r="P3163" s="34" t="str">
        <f aca="false">IF($A3163="","",$I3163*$O3163)</f>
        <v/>
      </c>
      <c r="Q3163" s="39" t="n">
        <f aca="false">IF($B3163="",0,IFERROR(MATCH($B3163,COA_Mapping!$A$7:$A$256,0),0))</f>
        <v>0</v>
      </c>
      <c r="R3163" s="39" t="n">
        <f aca="false">IF($A3163="",-1,IF($J3163=Setup!$B$7,1,IF($J3163=Setup!$B$9,0,-1)))</f>
        <v>-1</v>
      </c>
      <c r="S3163" s="35" t="n">
        <f aca="false">IF(OR($A3163="",$Q3163=0,$R3163=-1),0,$Q3163*1000+$R3163*100+$K3163)</f>
        <v>0</v>
      </c>
      <c r="T3163" s="37" t="str">
        <f aca="false">IF($A3163="","",IF($B3163="","NO ACCOUNT",IF($Q3163=0,"UNMAPPED",IF($R3163=-1,"OUTSIDE FY RANGE","OK"))))</f>
        <v/>
      </c>
      <c r="U3163" s="40" t="str">
        <f aca="false">IF($A3163="","",$B3163&amp;"|"&amp;TEXT($A3163,"yyyymmdd")&amp;"|"&amp;TEXT($I3163,"0.00"))</f>
        <v/>
      </c>
      <c r="V3163" s="35" t="str">
        <f aca="false">IF($A3163="","",COUNTIF($U$8:$U$5007,$U3163))</f>
        <v/>
      </c>
    </row>
    <row r="3164" customFormat="false" ht="15" hidden="false" customHeight="false" outlineLevel="0" collapsed="false">
      <c r="A3164" s="31"/>
      <c r="B3164" s="32"/>
      <c r="C3164" s="32"/>
      <c r="D3164" s="32"/>
      <c r="E3164" s="32"/>
      <c r="F3164" s="32"/>
      <c r="G3164" s="33"/>
      <c r="H3164" s="33"/>
      <c r="I3164" s="34" t="str">
        <f aca="false">IF($A3164="","",$G3164-$H3164)</f>
        <v/>
      </c>
      <c r="J3164" s="35" t="str">
        <f aca="false">IF($A3164="","",IF(Setup!$B$6=1,YEAR($A3164),YEAR($A3164)+IF(MONTH($A3164)&gt;=Setup!$B$6,1,0)))</f>
        <v/>
      </c>
      <c r="K3164" s="35" t="str">
        <f aca="false">IF($A3164="","",MOD(MONTH($A3164)-Setup!$B$6+12,12)+1)</f>
        <v/>
      </c>
      <c r="L3164" s="36" t="str">
        <f aca="false">IF($A3164="","",TEXT($A3164,"MMM-YY"))</f>
        <v/>
      </c>
      <c r="M3164" s="37" t="str">
        <f aca="false">IF($A3164="","",IF($Q3164=0,"UNMAPPED",INDEX(COA_Mapping!$C$7:$C$256,$Q3164)))</f>
        <v/>
      </c>
      <c r="N3164" s="38" t="str">
        <f aca="false">IF($A3164="","",IF($Q3164=0,"",INDEX(COA_Mapping!$E$7:$E$256,$Q3164)))</f>
        <v/>
      </c>
      <c r="O3164" s="38" t="n">
        <f aca="false">IF($A3164="",1,IF($Q3164=0,1,INDEX(COA_Mapping!$F$7:$F$256,$Q3164)))</f>
        <v>1</v>
      </c>
      <c r="P3164" s="34" t="str">
        <f aca="false">IF($A3164="","",$I3164*$O3164)</f>
        <v/>
      </c>
      <c r="Q3164" s="39" t="n">
        <f aca="false">IF($B3164="",0,IFERROR(MATCH($B3164,COA_Mapping!$A$7:$A$256,0),0))</f>
        <v>0</v>
      </c>
      <c r="R3164" s="39" t="n">
        <f aca="false">IF($A3164="",-1,IF($J3164=Setup!$B$7,1,IF($J3164=Setup!$B$9,0,-1)))</f>
        <v>-1</v>
      </c>
      <c r="S3164" s="35" t="n">
        <f aca="false">IF(OR($A3164="",$Q3164=0,$R3164=-1),0,$Q3164*1000+$R3164*100+$K3164)</f>
        <v>0</v>
      </c>
      <c r="T3164" s="37" t="str">
        <f aca="false">IF($A3164="","",IF($B3164="","NO ACCOUNT",IF($Q3164=0,"UNMAPPED",IF($R3164=-1,"OUTSIDE FY RANGE","OK"))))</f>
        <v/>
      </c>
      <c r="U3164" s="40" t="str">
        <f aca="false">IF($A3164="","",$B3164&amp;"|"&amp;TEXT($A3164,"yyyymmdd")&amp;"|"&amp;TEXT($I3164,"0.00"))</f>
        <v/>
      </c>
      <c r="V3164" s="35" t="str">
        <f aca="false">IF($A3164="","",COUNTIF($U$8:$U$5007,$U3164))</f>
        <v/>
      </c>
    </row>
    <row r="3165" customFormat="false" ht="15" hidden="false" customHeight="false" outlineLevel="0" collapsed="false">
      <c r="A3165" s="31"/>
      <c r="B3165" s="32"/>
      <c r="C3165" s="32"/>
      <c r="D3165" s="32"/>
      <c r="E3165" s="32"/>
      <c r="F3165" s="32"/>
      <c r="G3165" s="33"/>
      <c r="H3165" s="33"/>
      <c r="I3165" s="34" t="str">
        <f aca="false">IF($A3165="","",$G3165-$H3165)</f>
        <v/>
      </c>
      <c r="J3165" s="35" t="str">
        <f aca="false">IF($A3165="","",IF(Setup!$B$6=1,YEAR($A3165),YEAR($A3165)+IF(MONTH($A3165)&gt;=Setup!$B$6,1,0)))</f>
        <v/>
      </c>
      <c r="K3165" s="35" t="str">
        <f aca="false">IF($A3165="","",MOD(MONTH($A3165)-Setup!$B$6+12,12)+1)</f>
        <v/>
      </c>
      <c r="L3165" s="36" t="str">
        <f aca="false">IF($A3165="","",TEXT($A3165,"MMM-YY"))</f>
        <v/>
      </c>
      <c r="M3165" s="37" t="str">
        <f aca="false">IF($A3165="","",IF($Q3165=0,"UNMAPPED",INDEX(COA_Mapping!$C$7:$C$256,$Q3165)))</f>
        <v/>
      </c>
      <c r="N3165" s="38" t="str">
        <f aca="false">IF($A3165="","",IF($Q3165=0,"",INDEX(COA_Mapping!$E$7:$E$256,$Q3165)))</f>
        <v/>
      </c>
      <c r="O3165" s="38" t="n">
        <f aca="false">IF($A3165="",1,IF($Q3165=0,1,INDEX(COA_Mapping!$F$7:$F$256,$Q3165)))</f>
        <v>1</v>
      </c>
      <c r="P3165" s="34" t="str">
        <f aca="false">IF($A3165="","",$I3165*$O3165)</f>
        <v/>
      </c>
      <c r="Q3165" s="39" t="n">
        <f aca="false">IF($B3165="",0,IFERROR(MATCH($B3165,COA_Mapping!$A$7:$A$256,0),0))</f>
        <v>0</v>
      </c>
      <c r="R3165" s="39" t="n">
        <f aca="false">IF($A3165="",-1,IF($J3165=Setup!$B$7,1,IF($J3165=Setup!$B$9,0,-1)))</f>
        <v>-1</v>
      </c>
      <c r="S3165" s="35" t="n">
        <f aca="false">IF(OR($A3165="",$Q3165=0,$R3165=-1),0,$Q3165*1000+$R3165*100+$K3165)</f>
        <v>0</v>
      </c>
      <c r="T3165" s="37" t="str">
        <f aca="false">IF($A3165="","",IF($B3165="","NO ACCOUNT",IF($Q3165=0,"UNMAPPED",IF($R3165=-1,"OUTSIDE FY RANGE","OK"))))</f>
        <v/>
      </c>
      <c r="U3165" s="40" t="str">
        <f aca="false">IF($A3165="","",$B3165&amp;"|"&amp;TEXT($A3165,"yyyymmdd")&amp;"|"&amp;TEXT($I3165,"0.00"))</f>
        <v/>
      </c>
      <c r="V3165" s="35" t="str">
        <f aca="false">IF($A3165="","",COUNTIF($U$8:$U$5007,$U3165))</f>
        <v/>
      </c>
    </row>
    <row r="3166" customFormat="false" ht="15" hidden="false" customHeight="false" outlineLevel="0" collapsed="false">
      <c r="A3166" s="31"/>
      <c r="B3166" s="32"/>
      <c r="C3166" s="32"/>
      <c r="D3166" s="32"/>
      <c r="E3166" s="32"/>
      <c r="F3166" s="32"/>
      <c r="G3166" s="33"/>
      <c r="H3166" s="33"/>
      <c r="I3166" s="34" t="str">
        <f aca="false">IF($A3166="","",$G3166-$H3166)</f>
        <v/>
      </c>
      <c r="J3166" s="35" t="str">
        <f aca="false">IF($A3166="","",IF(Setup!$B$6=1,YEAR($A3166),YEAR($A3166)+IF(MONTH($A3166)&gt;=Setup!$B$6,1,0)))</f>
        <v/>
      </c>
      <c r="K3166" s="35" t="str">
        <f aca="false">IF($A3166="","",MOD(MONTH($A3166)-Setup!$B$6+12,12)+1)</f>
        <v/>
      </c>
      <c r="L3166" s="36" t="str">
        <f aca="false">IF($A3166="","",TEXT($A3166,"MMM-YY"))</f>
        <v/>
      </c>
      <c r="M3166" s="37" t="str">
        <f aca="false">IF($A3166="","",IF($Q3166=0,"UNMAPPED",INDEX(COA_Mapping!$C$7:$C$256,$Q3166)))</f>
        <v/>
      </c>
      <c r="N3166" s="38" t="str">
        <f aca="false">IF($A3166="","",IF($Q3166=0,"",INDEX(COA_Mapping!$E$7:$E$256,$Q3166)))</f>
        <v/>
      </c>
      <c r="O3166" s="38" t="n">
        <f aca="false">IF($A3166="",1,IF($Q3166=0,1,INDEX(COA_Mapping!$F$7:$F$256,$Q3166)))</f>
        <v>1</v>
      </c>
      <c r="P3166" s="34" t="str">
        <f aca="false">IF($A3166="","",$I3166*$O3166)</f>
        <v/>
      </c>
      <c r="Q3166" s="39" t="n">
        <f aca="false">IF($B3166="",0,IFERROR(MATCH($B3166,COA_Mapping!$A$7:$A$256,0),0))</f>
        <v>0</v>
      </c>
      <c r="R3166" s="39" t="n">
        <f aca="false">IF($A3166="",-1,IF($J3166=Setup!$B$7,1,IF($J3166=Setup!$B$9,0,-1)))</f>
        <v>-1</v>
      </c>
      <c r="S3166" s="35" t="n">
        <f aca="false">IF(OR($A3166="",$Q3166=0,$R3166=-1),0,$Q3166*1000+$R3166*100+$K3166)</f>
        <v>0</v>
      </c>
      <c r="T3166" s="37" t="str">
        <f aca="false">IF($A3166="","",IF($B3166="","NO ACCOUNT",IF($Q3166=0,"UNMAPPED",IF($R3166=-1,"OUTSIDE FY RANGE","OK"))))</f>
        <v/>
      </c>
      <c r="U3166" s="40" t="str">
        <f aca="false">IF($A3166="","",$B3166&amp;"|"&amp;TEXT($A3166,"yyyymmdd")&amp;"|"&amp;TEXT($I3166,"0.00"))</f>
        <v/>
      </c>
      <c r="V3166" s="35" t="str">
        <f aca="false">IF($A3166="","",COUNTIF($U$8:$U$5007,$U3166))</f>
        <v/>
      </c>
    </row>
    <row r="3167" customFormat="false" ht="15" hidden="false" customHeight="false" outlineLevel="0" collapsed="false">
      <c r="A3167" s="31"/>
      <c r="B3167" s="32"/>
      <c r="C3167" s="32"/>
      <c r="D3167" s="32"/>
      <c r="E3167" s="32"/>
      <c r="F3167" s="32"/>
      <c r="G3167" s="33"/>
      <c r="H3167" s="33"/>
      <c r="I3167" s="34" t="str">
        <f aca="false">IF($A3167="","",$G3167-$H3167)</f>
        <v/>
      </c>
      <c r="J3167" s="35" t="str">
        <f aca="false">IF($A3167="","",IF(Setup!$B$6=1,YEAR($A3167),YEAR($A3167)+IF(MONTH($A3167)&gt;=Setup!$B$6,1,0)))</f>
        <v/>
      </c>
      <c r="K3167" s="35" t="str">
        <f aca="false">IF($A3167="","",MOD(MONTH($A3167)-Setup!$B$6+12,12)+1)</f>
        <v/>
      </c>
      <c r="L3167" s="36" t="str">
        <f aca="false">IF($A3167="","",TEXT($A3167,"MMM-YY"))</f>
        <v/>
      </c>
      <c r="M3167" s="37" t="str">
        <f aca="false">IF($A3167="","",IF($Q3167=0,"UNMAPPED",INDEX(COA_Mapping!$C$7:$C$256,$Q3167)))</f>
        <v/>
      </c>
      <c r="N3167" s="38" t="str">
        <f aca="false">IF($A3167="","",IF($Q3167=0,"",INDEX(COA_Mapping!$E$7:$E$256,$Q3167)))</f>
        <v/>
      </c>
      <c r="O3167" s="38" t="n">
        <f aca="false">IF($A3167="",1,IF($Q3167=0,1,INDEX(COA_Mapping!$F$7:$F$256,$Q3167)))</f>
        <v>1</v>
      </c>
      <c r="P3167" s="34" t="str">
        <f aca="false">IF($A3167="","",$I3167*$O3167)</f>
        <v/>
      </c>
      <c r="Q3167" s="39" t="n">
        <f aca="false">IF($B3167="",0,IFERROR(MATCH($B3167,COA_Mapping!$A$7:$A$256,0),0))</f>
        <v>0</v>
      </c>
      <c r="R3167" s="39" t="n">
        <f aca="false">IF($A3167="",-1,IF($J3167=Setup!$B$7,1,IF($J3167=Setup!$B$9,0,-1)))</f>
        <v>-1</v>
      </c>
      <c r="S3167" s="35" t="n">
        <f aca="false">IF(OR($A3167="",$Q3167=0,$R3167=-1),0,$Q3167*1000+$R3167*100+$K3167)</f>
        <v>0</v>
      </c>
      <c r="T3167" s="37" t="str">
        <f aca="false">IF($A3167="","",IF($B3167="","NO ACCOUNT",IF($Q3167=0,"UNMAPPED",IF($R3167=-1,"OUTSIDE FY RANGE","OK"))))</f>
        <v/>
      </c>
      <c r="U3167" s="40" t="str">
        <f aca="false">IF($A3167="","",$B3167&amp;"|"&amp;TEXT($A3167,"yyyymmdd")&amp;"|"&amp;TEXT($I3167,"0.00"))</f>
        <v/>
      </c>
      <c r="V3167" s="35" t="str">
        <f aca="false">IF($A3167="","",COUNTIF($U$8:$U$5007,$U3167))</f>
        <v/>
      </c>
    </row>
    <row r="3168" customFormat="false" ht="15" hidden="false" customHeight="false" outlineLevel="0" collapsed="false">
      <c r="A3168" s="31"/>
      <c r="B3168" s="32"/>
      <c r="C3168" s="32"/>
      <c r="D3168" s="32"/>
      <c r="E3168" s="32"/>
      <c r="F3168" s="32"/>
      <c r="G3168" s="33"/>
      <c r="H3168" s="33"/>
      <c r="I3168" s="34" t="str">
        <f aca="false">IF($A3168="","",$G3168-$H3168)</f>
        <v/>
      </c>
      <c r="J3168" s="35" t="str">
        <f aca="false">IF($A3168="","",IF(Setup!$B$6=1,YEAR($A3168),YEAR($A3168)+IF(MONTH($A3168)&gt;=Setup!$B$6,1,0)))</f>
        <v/>
      </c>
      <c r="K3168" s="35" t="str">
        <f aca="false">IF($A3168="","",MOD(MONTH($A3168)-Setup!$B$6+12,12)+1)</f>
        <v/>
      </c>
      <c r="L3168" s="36" t="str">
        <f aca="false">IF($A3168="","",TEXT($A3168,"MMM-YY"))</f>
        <v/>
      </c>
      <c r="M3168" s="37" t="str">
        <f aca="false">IF($A3168="","",IF($Q3168=0,"UNMAPPED",INDEX(COA_Mapping!$C$7:$C$256,$Q3168)))</f>
        <v/>
      </c>
      <c r="N3168" s="38" t="str">
        <f aca="false">IF($A3168="","",IF($Q3168=0,"",INDEX(COA_Mapping!$E$7:$E$256,$Q3168)))</f>
        <v/>
      </c>
      <c r="O3168" s="38" t="n">
        <f aca="false">IF($A3168="",1,IF($Q3168=0,1,INDEX(COA_Mapping!$F$7:$F$256,$Q3168)))</f>
        <v>1</v>
      </c>
      <c r="P3168" s="34" t="str">
        <f aca="false">IF($A3168="","",$I3168*$O3168)</f>
        <v/>
      </c>
      <c r="Q3168" s="39" t="n">
        <f aca="false">IF($B3168="",0,IFERROR(MATCH($B3168,COA_Mapping!$A$7:$A$256,0),0))</f>
        <v>0</v>
      </c>
      <c r="R3168" s="39" t="n">
        <f aca="false">IF($A3168="",-1,IF($J3168=Setup!$B$7,1,IF($J3168=Setup!$B$9,0,-1)))</f>
        <v>-1</v>
      </c>
      <c r="S3168" s="35" t="n">
        <f aca="false">IF(OR($A3168="",$Q3168=0,$R3168=-1),0,$Q3168*1000+$R3168*100+$K3168)</f>
        <v>0</v>
      </c>
      <c r="T3168" s="37" t="str">
        <f aca="false">IF($A3168="","",IF($B3168="","NO ACCOUNT",IF($Q3168=0,"UNMAPPED",IF($R3168=-1,"OUTSIDE FY RANGE","OK"))))</f>
        <v/>
      </c>
      <c r="U3168" s="40" t="str">
        <f aca="false">IF($A3168="","",$B3168&amp;"|"&amp;TEXT($A3168,"yyyymmdd")&amp;"|"&amp;TEXT($I3168,"0.00"))</f>
        <v/>
      </c>
      <c r="V3168" s="35" t="str">
        <f aca="false">IF($A3168="","",COUNTIF($U$8:$U$5007,$U3168))</f>
        <v/>
      </c>
    </row>
    <row r="3169" customFormat="false" ht="15" hidden="false" customHeight="false" outlineLevel="0" collapsed="false">
      <c r="A3169" s="31"/>
      <c r="B3169" s="32"/>
      <c r="C3169" s="32"/>
      <c r="D3169" s="32"/>
      <c r="E3169" s="32"/>
      <c r="F3169" s="32"/>
      <c r="G3169" s="33"/>
      <c r="H3169" s="33"/>
      <c r="I3169" s="34" t="str">
        <f aca="false">IF($A3169="","",$G3169-$H3169)</f>
        <v/>
      </c>
      <c r="J3169" s="35" t="str">
        <f aca="false">IF($A3169="","",IF(Setup!$B$6=1,YEAR($A3169),YEAR($A3169)+IF(MONTH($A3169)&gt;=Setup!$B$6,1,0)))</f>
        <v/>
      </c>
      <c r="K3169" s="35" t="str">
        <f aca="false">IF($A3169="","",MOD(MONTH($A3169)-Setup!$B$6+12,12)+1)</f>
        <v/>
      </c>
      <c r="L3169" s="36" t="str">
        <f aca="false">IF($A3169="","",TEXT($A3169,"MMM-YY"))</f>
        <v/>
      </c>
      <c r="M3169" s="37" t="str">
        <f aca="false">IF($A3169="","",IF($Q3169=0,"UNMAPPED",INDEX(COA_Mapping!$C$7:$C$256,$Q3169)))</f>
        <v/>
      </c>
      <c r="N3169" s="38" t="str">
        <f aca="false">IF($A3169="","",IF($Q3169=0,"",INDEX(COA_Mapping!$E$7:$E$256,$Q3169)))</f>
        <v/>
      </c>
      <c r="O3169" s="38" t="n">
        <f aca="false">IF($A3169="",1,IF($Q3169=0,1,INDEX(COA_Mapping!$F$7:$F$256,$Q3169)))</f>
        <v>1</v>
      </c>
      <c r="P3169" s="34" t="str">
        <f aca="false">IF($A3169="","",$I3169*$O3169)</f>
        <v/>
      </c>
      <c r="Q3169" s="39" t="n">
        <f aca="false">IF($B3169="",0,IFERROR(MATCH($B3169,COA_Mapping!$A$7:$A$256,0),0))</f>
        <v>0</v>
      </c>
      <c r="R3169" s="39" t="n">
        <f aca="false">IF($A3169="",-1,IF($J3169=Setup!$B$7,1,IF($J3169=Setup!$B$9,0,-1)))</f>
        <v>-1</v>
      </c>
      <c r="S3169" s="35" t="n">
        <f aca="false">IF(OR($A3169="",$Q3169=0,$R3169=-1),0,$Q3169*1000+$R3169*100+$K3169)</f>
        <v>0</v>
      </c>
      <c r="T3169" s="37" t="str">
        <f aca="false">IF($A3169="","",IF($B3169="","NO ACCOUNT",IF($Q3169=0,"UNMAPPED",IF($R3169=-1,"OUTSIDE FY RANGE","OK"))))</f>
        <v/>
      </c>
      <c r="U3169" s="40" t="str">
        <f aca="false">IF($A3169="","",$B3169&amp;"|"&amp;TEXT($A3169,"yyyymmdd")&amp;"|"&amp;TEXT($I3169,"0.00"))</f>
        <v/>
      </c>
      <c r="V3169" s="35" t="str">
        <f aca="false">IF($A3169="","",COUNTIF($U$8:$U$5007,$U3169))</f>
        <v/>
      </c>
    </row>
    <row r="3170" customFormat="false" ht="15" hidden="false" customHeight="false" outlineLevel="0" collapsed="false">
      <c r="A3170" s="31"/>
      <c r="B3170" s="32"/>
      <c r="C3170" s="32"/>
      <c r="D3170" s="32"/>
      <c r="E3170" s="32"/>
      <c r="F3170" s="32"/>
      <c r="G3170" s="33"/>
      <c r="H3170" s="33"/>
      <c r="I3170" s="34" t="str">
        <f aca="false">IF($A3170="","",$G3170-$H3170)</f>
        <v/>
      </c>
      <c r="J3170" s="35" t="str">
        <f aca="false">IF($A3170="","",IF(Setup!$B$6=1,YEAR($A3170),YEAR($A3170)+IF(MONTH($A3170)&gt;=Setup!$B$6,1,0)))</f>
        <v/>
      </c>
      <c r="K3170" s="35" t="str">
        <f aca="false">IF($A3170="","",MOD(MONTH($A3170)-Setup!$B$6+12,12)+1)</f>
        <v/>
      </c>
      <c r="L3170" s="36" t="str">
        <f aca="false">IF($A3170="","",TEXT($A3170,"MMM-YY"))</f>
        <v/>
      </c>
      <c r="M3170" s="37" t="str">
        <f aca="false">IF($A3170="","",IF($Q3170=0,"UNMAPPED",INDEX(COA_Mapping!$C$7:$C$256,$Q3170)))</f>
        <v/>
      </c>
      <c r="N3170" s="38" t="str">
        <f aca="false">IF($A3170="","",IF($Q3170=0,"",INDEX(COA_Mapping!$E$7:$E$256,$Q3170)))</f>
        <v/>
      </c>
      <c r="O3170" s="38" t="n">
        <f aca="false">IF($A3170="",1,IF($Q3170=0,1,INDEX(COA_Mapping!$F$7:$F$256,$Q3170)))</f>
        <v>1</v>
      </c>
      <c r="P3170" s="34" t="str">
        <f aca="false">IF($A3170="","",$I3170*$O3170)</f>
        <v/>
      </c>
      <c r="Q3170" s="39" t="n">
        <f aca="false">IF($B3170="",0,IFERROR(MATCH($B3170,COA_Mapping!$A$7:$A$256,0),0))</f>
        <v>0</v>
      </c>
      <c r="R3170" s="39" t="n">
        <f aca="false">IF($A3170="",-1,IF($J3170=Setup!$B$7,1,IF($J3170=Setup!$B$9,0,-1)))</f>
        <v>-1</v>
      </c>
      <c r="S3170" s="35" t="n">
        <f aca="false">IF(OR($A3170="",$Q3170=0,$R3170=-1),0,$Q3170*1000+$R3170*100+$K3170)</f>
        <v>0</v>
      </c>
      <c r="T3170" s="37" t="str">
        <f aca="false">IF($A3170="","",IF($B3170="","NO ACCOUNT",IF($Q3170=0,"UNMAPPED",IF($R3170=-1,"OUTSIDE FY RANGE","OK"))))</f>
        <v/>
      </c>
      <c r="U3170" s="40" t="str">
        <f aca="false">IF($A3170="","",$B3170&amp;"|"&amp;TEXT($A3170,"yyyymmdd")&amp;"|"&amp;TEXT($I3170,"0.00"))</f>
        <v/>
      </c>
      <c r="V3170" s="35" t="str">
        <f aca="false">IF($A3170="","",COUNTIF($U$8:$U$5007,$U3170))</f>
        <v/>
      </c>
    </row>
    <row r="3171" customFormat="false" ht="15" hidden="false" customHeight="false" outlineLevel="0" collapsed="false">
      <c r="A3171" s="31"/>
      <c r="B3171" s="32"/>
      <c r="C3171" s="32"/>
      <c r="D3171" s="32"/>
      <c r="E3171" s="32"/>
      <c r="F3171" s="32"/>
      <c r="G3171" s="33"/>
      <c r="H3171" s="33"/>
      <c r="I3171" s="34" t="str">
        <f aca="false">IF($A3171="","",$G3171-$H3171)</f>
        <v/>
      </c>
      <c r="J3171" s="35" t="str">
        <f aca="false">IF($A3171="","",IF(Setup!$B$6=1,YEAR($A3171),YEAR($A3171)+IF(MONTH($A3171)&gt;=Setup!$B$6,1,0)))</f>
        <v/>
      </c>
      <c r="K3171" s="35" t="str">
        <f aca="false">IF($A3171="","",MOD(MONTH($A3171)-Setup!$B$6+12,12)+1)</f>
        <v/>
      </c>
      <c r="L3171" s="36" t="str">
        <f aca="false">IF($A3171="","",TEXT($A3171,"MMM-YY"))</f>
        <v/>
      </c>
      <c r="M3171" s="37" t="str">
        <f aca="false">IF($A3171="","",IF($Q3171=0,"UNMAPPED",INDEX(COA_Mapping!$C$7:$C$256,$Q3171)))</f>
        <v/>
      </c>
      <c r="N3171" s="38" t="str">
        <f aca="false">IF($A3171="","",IF($Q3171=0,"",INDEX(COA_Mapping!$E$7:$E$256,$Q3171)))</f>
        <v/>
      </c>
      <c r="O3171" s="38" t="n">
        <f aca="false">IF($A3171="",1,IF($Q3171=0,1,INDEX(COA_Mapping!$F$7:$F$256,$Q3171)))</f>
        <v>1</v>
      </c>
      <c r="P3171" s="34" t="str">
        <f aca="false">IF($A3171="","",$I3171*$O3171)</f>
        <v/>
      </c>
      <c r="Q3171" s="39" t="n">
        <f aca="false">IF($B3171="",0,IFERROR(MATCH($B3171,COA_Mapping!$A$7:$A$256,0),0))</f>
        <v>0</v>
      </c>
      <c r="R3171" s="39" t="n">
        <f aca="false">IF($A3171="",-1,IF($J3171=Setup!$B$7,1,IF($J3171=Setup!$B$9,0,-1)))</f>
        <v>-1</v>
      </c>
      <c r="S3171" s="35" t="n">
        <f aca="false">IF(OR($A3171="",$Q3171=0,$R3171=-1),0,$Q3171*1000+$R3171*100+$K3171)</f>
        <v>0</v>
      </c>
      <c r="T3171" s="37" t="str">
        <f aca="false">IF($A3171="","",IF($B3171="","NO ACCOUNT",IF($Q3171=0,"UNMAPPED",IF($R3171=-1,"OUTSIDE FY RANGE","OK"))))</f>
        <v/>
      </c>
      <c r="U3171" s="40" t="str">
        <f aca="false">IF($A3171="","",$B3171&amp;"|"&amp;TEXT($A3171,"yyyymmdd")&amp;"|"&amp;TEXT($I3171,"0.00"))</f>
        <v/>
      </c>
      <c r="V3171" s="35" t="str">
        <f aca="false">IF($A3171="","",COUNTIF($U$8:$U$5007,$U3171))</f>
        <v/>
      </c>
    </row>
    <row r="3172" customFormat="false" ht="15" hidden="false" customHeight="false" outlineLevel="0" collapsed="false">
      <c r="A3172" s="31"/>
      <c r="B3172" s="32"/>
      <c r="C3172" s="32"/>
      <c r="D3172" s="32"/>
      <c r="E3172" s="32"/>
      <c r="F3172" s="32"/>
      <c r="G3172" s="33"/>
      <c r="H3172" s="33"/>
      <c r="I3172" s="34" t="str">
        <f aca="false">IF($A3172="","",$G3172-$H3172)</f>
        <v/>
      </c>
      <c r="J3172" s="35" t="str">
        <f aca="false">IF($A3172="","",IF(Setup!$B$6=1,YEAR($A3172),YEAR($A3172)+IF(MONTH($A3172)&gt;=Setup!$B$6,1,0)))</f>
        <v/>
      </c>
      <c r="K3172" s="35" t="str">
        <f aca="false">IF($A3172="","",MOD(MONTH($A3172)-Setup!$B$6+12,12)+1)</f>
        <v/>
      </c>
      <c r="L3172" s="36" t="str">
        <f aca="false">IF($A3172="","",TEXT($A3172,"MMM-YY"))</f>
        <v/>
      </c>
      <c r="M3172" s="37" t="str">
        <f aca="false">IF($A3172="","",IF($Q3172=0,"UNMAPPED",INDEX(COA_Mapping!$C$7:$C$256,$Q3172)))</f>
        <v/>
      </c>
      <c r="N3172" s="38" t="str">
        <f aca="false">IF($A3172="","",IF($Q3172=0,"",INDEX(COA_Mapping!$E$7:$E$256,$Q3172)))</f>
        <v/>
      </c>
      <c r="O3172" s="38" t="n">
        <f aca="false">IF($A3172="",1,IF($Q3172=0,1,INDEX(COA_Mapping!$F$7:$F$256,$Q3172)))</f>
        <v>1</v>
      </c>
      <c r="P3172" s="34" t="str">
        <f aca="false">IF($A3172="","",$I3172*$O3172)</f>
        <v/>
      </c>
      <c r="Q3172" s="39" t="n">
        <f aca="false">IF($B3172="",0,IFERROR(MATCH($B3172,COA_Mapping!$A$7:$A$256,0),0))</f>
        <v>0</v>
      </c>
      <c r="R3172" s="39" t="n">
        <f aca="false">IF($A3172="",-1,IF($J3172=Setup!$B$7,1,IF($J3172=Setup!$B$9,0,-1)))</f>
        <v>-1</v>
      </c>
      <c r="S3172" s="35" t="n">
        <f aca="false">IF(OR($A3172="",$Q3172=0,$R3172=-1),0,$Q3172*1000+$R3172*100+$K3172)</f>
        <v>0</v>
      </c>
      <c r="T3172" s="37" t="str">
        <f aca="false">IF($A3172="","",IF($B3172="","NO ACCOUNT",IF($Q3172=0,"UNMAPPED",IF($R3172=-1,"OUTSIDE FY RANGE","OK"))))</f>
        <v/>
      </c>
      <c r="U3172" s="40" t="str">
        <f aca="false">IF($A3172="","",$B3172&amp;"|"&amp;TEXT($A3172,"yyyymmdd")&amp;"|"&amp;TEXT($I3172,"0.00"))</f>
        <v/>
      </c>
      <c r="V3172" s="35" t="str">
        <f aca="false">IF($A3172="","",COUNTIF($U$8:$U$5007,$U3172))</f>
        <v/>
      </c>
    </row>
    <row r="3173" customFormat="false" ht="15" hidden="false" customHeight="false" outlineLevel="0" collapsed="false">
      <c r="A3173" s="31"/>
      <c r="B3173" s="32"/>
      <c r="C3173" s="32"/>
      <c r="D3173" s="32"/>
      <c r="E3173" s="32"/>
      <c r="F3173" s="32"/>
      <c r="G3173" s="33"/>
      <c r="H3173" s="33"/>
      <c r="I3173" s="34" t="str">
        <f aca="false">IF($A3173="","",$G3173-$H3173)</f>
        <v/>
      </c>
      <c r="J3173" s="35" t="str">
        <f aca="false">IF($A3173="","",IF(Setup!$B$6=1,YEAR($A3173),YEAR($A3173)+IF(MONTH($A3173)&gt;=Setup!$B$6,1,0)))</f>
        <v/>
      </c>
      <c r="K3173" s="35" t="str">
        <f aca="false">IF($A3173="","",MOD(MONTH($A3173)-Setup!$B$6+12,12)+1)</f>
        <v/>
      </c>
      <c r="L3173" s="36" t="str">
        <f aca="false">IF($A3173="","",TEXT($A3173,"MMM-YY"))</f>
        <v/>
      </c>
      <c r="M3173" s="37" t="str">
        <f aca="false">IF($A3173="","",IF($Q3173=0,"UNMAPPED",INDEX(COA_Mapping!$C$7:$C$256,$Q3173)))</f>
        <v/>
      </c>
      <c r="N3173" s="38" t="str">
        <f aca="false">IF($A3173="","",IF($Q3173=0,"",INDEX(COA_Mapping!$E$7:$E$256,$Q3173)))</f>
        <v/>
      </c>
      <c r="O3173" s="38" t="n">
        <f aca="false">IF($A3173="",1,IF($Q3173=0,1,INDEX(COA_Mapping!$F$7:$F$256,$Q3173)))</f>
        <v>1</v>
      </c>
      <c r="P3173" s="34" t="str">
        <f aca="false">IF($A3173="","",$I3173*$O3173)</f>
        <v/>
      </c>
      <c r="Q3173" s="39" t="n">
        <f aca="false">IF($B3173="",0,IFERROR(MATCH($B3173,COA_Mapping!$A$7:$A$256,0),0))</f>
        <v>0</v>
      </c>
      <c r="R3173" s="39" t="n">
        <f aca="false">IF($A3173="",-1,IF($J3173=Setup!$B$7,1,IF($J3173=Setup!$B$9,0,-1)))</f>
        <v>-1</v>
      </c>
      <c r="S3173" s="35" t="n">
        <f aca="false">IF(OR($A3173="",$Q3173=0,$R3173=-1),0,$Q3173*1000+$R3173*100+$K3173)</f>
        <v>0</v>
      </c>
      <c r="T3173" s="37" t="str">
        <f aca="false">IF($A3173="","",IF($B3173="","NO ACCOUNT",IF($Q3173=0,"UNMAPPED",IF($R3173=-1,"OUTSIDE FY RANGE","OK"))))</f>
        <v/>
      </c>
      <c r="U3173" s="40" t="str">
        <f aca="false">IF($A3173="","",$B3173&amp;"|"&amp;TEXT($A3173,"yyyymmdd")&amp;"|"&amp;TEXT($I3173,"0.00"))</f>
        <v/>
      </c>
      <c r="V3173" s="35" t="str">
        <f aca="false">IF($A3173="","",COUNTIF($U$8:$U$5007,$U3173))</f>
        <v/>
      </c>
    </row>
    <row r="3174" customFormat="false" ht="15" hidden="false" customHeight="false" outlineLevel="0" collapsed="false">
      <c r="A3174" s="31"/>
      <c r="B3174" s="32"/>
      <c r="C3174" s="32"/>
      <c r="D3174" s="32"/>
      <c r="E3174" s="32"/>
      <c r="F3174" s="32"/>
      <c r="G3174" s="33"/>
      <c r="H3174" s="33"/>
      <c r="I3174" s="34" t="str">
        <f aca="false">IF($A3174="","",$G3174-$H3174)</f>
        <v/>
      </c>
      <c r="J3174" s="35" t="str">
        <f aca="false">IF($A3174="","",IF(Setup!$B$6=1,YEAR($A3174),YEAR($A3174)+IF(MONTH($A3174)&gt;=Setup!$B$6,1,0)))</f>
        <v/>
      </c>
      <c r="K3174" s="35" t="str">
        <f aca="false">IF($A3174="","",MOD(MONTH($A3174)-Setup!$B$6+12,12)+1)</f>
        <v/>
      </c>
      <c r="L3174" s="36" t="str">
        <f aca="false">IF($A3174="","",TEXT($A3174,"MMM-YY"))</f>
        <v/>
      </c>
      <c r="M3174" s="37" t="str">
        <f aca="false">IF($A3174="","",IF($Q3174=0,"UNMAPPED",INDEX(COA_Mapping!$C$7:$C$256,$Q3174)))</f>
        <v/>
      </c>
      <c r="N3174" s="38" t="str">
        <f aca="false">IF($A3174="","",IF($Q3174=0,"",INDEX(COA_Mapping!$E$7:$E$256,$Q3174)))</f>
        <v/>
      </c>
      <c r="O3174" s="38" t="n">
        <f aca="false">IF($A3174="",1,IF($Q3174=0,1,INDEX(COA_Mapping!$F$7:$F$256,$Q3174)))</f>
        <v>1</v>
      </c>
      <c r="P3174" s="34" t="str">
        <f aca="false">IF($A3174="","",$I3174*$O3174)</f>
        <v/>
      </c>
      <c r="Q3174" s="39" t="n">
        <f aca="false">IF($B3174="",0,IFERROR(MATCH($B3174,COA_Mapping!$A$7:$A$256,0),0))</f>
        <v>0</v>
      </c>
      <c r="R3174" s="39" t="n">
        <f aca="false">IF($A3174="",-1,IF($J3174=Setup!$B$7,1,IF($J3174=Setup!$B$9,0,-1)))</f>
        <v>-1</v>
      </c>
      <c r="S3174" s="35" t="n">
        <f aca="false">IF(OR($A3174="",$Q3174=0,$R3174=-1),0,$Q3174*1000+$R3174*100+$K3174)</f>
        <v>0</v>
      </c>
      <c r="T3174" s="37" t="str">
        <f aca="false">IF($A3174="","",IF($B3174="","NO ACCOUNT",IF($Q3174=0,"UNMAPPED",IF($R3174=-1,"OUTSIDE FY RANGE","OK"))))</f>
        <v/>
      </c>
      <c r="U3174" s="40" t="str">
        <f aca="false">IF($A3174="","",$B3174&amp;"|"&amp;TEXT($A3174,"yyyymmdd")&amp;"|"&amp;TEXT($I3174,"0.00"))</f>
        <v/>
      </c>
      <c r="V3174" s="35" t="str">
        <f aca="false">IF($A3174="","",COUNTIF($U$8:$U$5007,$U3174))</f>
        <v/>
      </c>
    </row>
    <row r="3175" customFormat="false" ht="15" hidden="false" customHeight="false" outlineLevel="0" collapsed="false">
      <c r="A3175" s="31"/>
      <c r="B3175" s="32"/>
      <c r="C3175" s="32"/>
      <c r="D3175" s="32"/>
      <c r="E3175" s="32"/>
      <c r="F3175" s="32"/>
      <c r="G3175" s="33"/>
      <c r="H3175" s="33"/>
      <c r="I3175" s="34" t="str">
        <f aca="false">IF($A3175="","",$G3175-$H3175)</f>
        <v/>
      </c>
      <c r="J3175" s="35" t="str">
        <f aca="false">IF($A3175="","",IF(Setup!$B$6=1,YEAR($A3175),YEAR($A3175)+IF(MONTH($A3175)&gt;=Setup!$B$6,1,0)))</f>
        <v/>
      </c>
      <c r="K3175" s="35" t="str">
        <f aca="false">IF($A3175="","",MOD(MONTH($A3175)-Setup!$B$6+12,12)+1)</f>
        <v/>
      </c>
      <c r="L3175" s="36" t="str">
        <f aca="false">IF($A3175="","",TEXT($A3175,"MMM-YY"))</f>
        <v/>
      </c>
      <c r="M3175" s="37" t="str">
        <f aca="false">IF($A3175="","",IF($Q3175=0,"UNMAPPED",INDEX(COA_Mapping!$C$7:$C$256,$Q3175)))</f>
        <v/>
      </c>
      <c r="N3175" s="38" t="str">
        <f aca="false">IF($A3175="","",IF($Q3175=0,"",INDEX(COA_Mapping!$E$7:$E$256,$Q3175)))</f>
        <v/>
      </c>
      <c r="O3175" s="38" t="n">
        <f aca="false">IF($A3175="",1,IF($Q3175=0,1,INDEX(COA_Mapping!$F$7:$F$256,$Q3175)))</f>
        <v>1</v>
      </c>
      <c r="P3175" s="34" t="str">
        <f aca="false">IF($A3175="","",$I3175*$O3175)</f>
        <v/>
      </c>
      <c r="Q3175" s="39" t="n">
        <f aca="false">IF($B3175="",0,IFERROR(MATCH($B3175,COA_Mapping!$A$7:$A$256,0),0))</f>
        <v>0</v>
      </c>
      <c r="R3175" s="39" t="n">
        <f aca="false">IF($A3175="",-1,IF($J3175=Setup!$B$7,1,IF($J3175=Setup!$B$9,0,-1)))</f>
        <v>-1</v>
      </c>
      <c r="S3175" s="35" t="n">
        <f aca="false">IF(OR($A3175="",$Q3175=0,$R3175=-1),0,$Q3175*1000+$R3175*100+$K3175)</f>
        <v>0</v>
      </c>
      <c r="T3175" s="37" t="str">
        <f aca="false">IF($A3175="","",IF($B3175="","NO ACCOUNT",IF($Q3175=0,"UNMAPPED",IF($R3175=-1,"OUTSIDE FY RANGE","OK"))))</f>
        <v/>
      </c>
      <c r="U3175" s="40" t="str">
        <f aca="false">IF($A3175="","",$B3175&amp;"|"&amp;TEXT($A3175,"yyyymmdd")&amp;"|"&amp;TEXT($I3175,"0.00"))</f>
        <v/>
      </c>
      <c r="V3175" s="35" t="str">
        <f aca="false">IF($A3175="","",COUNTIF($U$8:$U$5007,$U3175))</f>
        <v/>
      </c>
    </row>
    <row r="3176" customFormat="false" ht="15" hidden="false" customHeight="false" outlineLevel="0" collapsed="false">
      <c r="A3176" s="31"/>
      <c r="B3176" s="32"/>
      <c r="C3176" s="32"/>
      <c r="D3176" s="32"/>
      <c r="E3176" s="32"/>
      <c r="F3176" s="32"/>
      <c r="G3176" s="33"/>
      <c r="H3176" s="33"/>
      <c r="I3176" s="34" t="str">
        <f aca="false">IF($A3176="","",$G3176-$H3176)</f>
        <v/>
      </c>
      <c r="J3176" s="35" t="str">
        <f aca="false">IF($A3176="","",IF(Setup!$B$6=1,YEAR($A3176),YEAR($A3176)+IF(MONTH($A3176)&gt;=Setup!$B$6,1,0)))</f>
        <v/>
      </c>
      <c r="K3176" s="35" t="str">
        <f aca="false">IF($A3176="","",MOD(MONTH($A3176)-Setup!$B$6+12,12)+1)</f>
        <v/>
      </c>
      <c r="L3176" s="36" t="str">
        <f aca="false">IF($A3176="","",TEXT($A3176,"MMM-YY"))</f>
        <v/>
      </c>
      <c r="M3176" s="37" t="str">
        <f aca="false">IF($A3176="","",IF($Q3176=0,"UNMAPPED",INDEX(COA_Mapping!$C$7:$C$256,$Q3176)))</f>
        <v/>
      </c>
      <c r="N3176" s="38" t="str">
        <f aca="false">IF($A3176="","",IF($Q3176=0,"",INDEX(COA_Mapping!$E$7:$E$256,$Q3176)))</f>
        <v/>
      </c>
      <c r="O3176" s="38" t="n">
        <f aca="false">IF($A3176="",1,IF($Q3176=0,1,INDEX(COA_Mapping!$F$7:$F$256,$Q3176)))</f>
        <v>1</v>
      </c>
      <c r="P3176" s="34" t="str">
        <f aca="false">IF($A3176="","",$I3176*$O3176)</f>
        <v/>
      </c>
      <c r="Q3176" s="39" t="n">
        <f aca="false">IF($B3176="",0,IFERROR(MATCH($B3176,COA_Mapping!$A$7:$A$256,0),0))</f>
        <v>0</v>
      </c>
      <c r="R3176" s="39" t="n">
        <f aca="false">IF($A3176="",-1,IF($J3176=Setup!$B$7,1,IF($J3176=Setup!$B$9,0,-1)))</f>
        <v>-1</v>
      </c>
      <c r="S3176" s="35" t="n">
        <f aca="false">IF(OR($A3176="",$Q3176=0,$R3176=-1),0,$Q3176*1000+$R3176*100+$K3176)</f>
        <v>0</v>
      </c>
      <c r="T3176" s="37" t="str">
        <f aca="false">IF($A3176="","",IF($B3176="","NO ACCOUNT",IF($Q3176=0,"UNMAPPED",IF($R3176=-1,"OUTSIDE FY RANGE","OK"))))</f>
        <v/>
      </c>
      <c r="U3176" s="40" t="str">
        <f aca="false">IF($A3176="","",$B3176&amp;"|"&amp;TEXT($A3176,"yyyymmdd")&amp;"|"&amp;TEXT($I3176,"0.00"))</f>
        <v/>
      </c>
      <c r="V3176" s="35" t="str">
        <f aca="false">IF($A3176="","",COUNTIF($U$8:$U$5007,$U3176))</f>
        <v/>
      </c>
    </row>
    <row r="3177" customFormat="false" ht="15" hidden="false" customHeight="false" outlineLevel="0" collapsed="false">
      <c r="A3177" s="31"/>
      <c r="B3177" s="32"/>
      <c r="C3177" s="32"/>
      <c r="D3177" s="32"/>
      <c r="E3177" s="32"/>
      <c r="F3177" s="32"/>
      <c r="G3177" s="33"/>
      <c r="H3177" s="33"/>
      <c r="I3177" s="34" t="str">
        <f aca="false">IF($A3177="","",$G3177-$H3177)</f>
        <v/>
      </c>
      <c r="J3177" s="35" t="str">
        <f aca="false">IF($A3177="","",IF(Setup!$B$6=1,YEAR($A3177),YEAR($A3177)+IF(MONTH($A3177)&gt;=Setup!$B$6,1,0)))</f>
        <v/>
      </c>
      <c r="K3177" s="35" t="str">
        <f aca="false">IF($A3177="","",MOD(MONTH($A3177)-Setup!$B$6+12,12)+1)</f>
        <v/>
      </c>
      <c r="L3177" s="36" t="str">
        <f aca="false">IF($A3177="","",TEXT($A3177,"MMM-YY"))</f>
        <v/>
      </c>
      <c r="M3177" s="37" t="str">
        <f aca="false">IF($A3177="","",IF($Q3177=0,"UNMAPPED",INDEX(COA_Mapping!$C$7:$C$256,$Q3177)))</f>
        <v/>
      </c>
      <c r="N3177" s="38" t="str">
        <f aca="false">IF($A3177="","",IF($Q3177=0,"",INDEX(COA_Mapping!$E$7:$E$256,$Q3177)))</f>
        <v/>
      </c>
      <c r="O3177" s="38" t="n">
        <f aca="false">IF($A3177="",1,IF($Q3177=0,1,INDEX(COA_Mapping!$F$7:$F$256,$Q3177)))</f>
        <v>1</v>
      </c>
      <c r="P3177" s="34" t="str">
        <f aca="false">IF($A3177="","",$I3177*$O3177)</f>
        <v/>
      </c>
      <c r="Q3177" s="39" t="n">
        <f aca="false">IF($B3177="",0,IFERROR(MATCH($B3177,COA_Mapping!$A$7:$A$256,0),0))</f>
        <v>0</v>
      </c>
      <c r="R3177" s="39" t="n">
        <f aca="false">IF($A3177="",-1,IF($J3177=Setup!$B$7,1,IF($J3177=Setup!$B$9,0,-1)))</f>
        <v>-1</v>
      </c>
      <c r="S3177" s="35" t="n">
        <f aca="false">IF(OR($A3177="",$Q3177=0,$R3177=-1),0,$Q3177*1000+$R3177*100+$K3177)</f>
        <v>0</v>
      </c>
      <c r="T3177" s="37" t="str">
        <f aca="false">IF($A3177="","",IF($B3177="","NO ACCOUNT",IF($Q3177=0,"UNMAPPED",IF($R3177=-1,"OUTSIDE FY RANGE","OK"))))</f>
        <v/>
      </c>
      <c r="U3177" s="40" t="str">
        <f aca="false">IF($A3177="","",$B3177&amp;"|"&amp;TEXT($A3177,"yyyymmdd")&amp;"|"&amp;TEXT($I3177,"0.00"))</f>
        <v/>
      </c>
      <c r="V3177" s="35" t="str">
        <f aca="false">IF($A3177="","",COUNTIF($U$8:$U$5007,$U3177))</f>
        <v/>
      </c>
    </row>
    <row r="3178" customFormat="false" ht="15" hidden="false" customHeight="false" outlineLevel="0" collapsed="false">
      <c r="A3178" s="31"/>
      <c r="B3178" s="32"/>
      <c r="C3178" s="32"/>
      <c r="D3178" s="32"/>
      <c r="E3178" s="32"/>
      <c r="F3178" s="32"/>
      <c r="G3178" s="33"/>
      <c r="H3178" s="33"/>
      <c r="I3178" s="34" t="str">
        <f aca="false">IF($A3178="","",$G3178-$H3178)</f>
        <v/>
      </c>
      <c r="J3178" s="35" t="str">
        <f aca="false">IF($A3178="","",IF(Setup!$B$6=1,YEAR($A3178),YEAR($A3178)+IF(MONTH($A3178)&gt;=Setup!$B$6,1,0)))</f>
        <v/>
      </c>
      <c r="K3178" s="35" t="str">
        <f aca="false">IF($A3178="","",MOD(MONTH($A3178)-Setup!$B$6+12,12)+1)</f>
        <v/>
      </c>
      <c r="L3178" s="36" t="str">
        <f aca="false">IF($A3178="","",TEXT($A3178,"MMM-YY"))</f>
        <v/>
      </c>
      <c r="M3178" s="37" t="str">
        <f aca="false">IF($A3178="","",IF($Q3178=0,"UNMAPPED",INDEX(COA_Mapping!$C$7:$C$256,$Q3178)))</f>
        <v/>
      </c>
      <c r="N3178" s="38" t="str">
        <f aca="false">IF($A3178="","",IF($Q3178=0,"",INDEX(COA_Mapping!$E$7:$E$256,$Q3178)))</f>
        <v/>
      </c>
      <c r="O3178" s="38" t="n">
        <f aca="false">IF($A3178="",1,IF($Q3178=0,1,INDEX(COA_Mapping!$F$7:$F$256,$Q3178)))</f>
        <v>1</v>
      </c>
      <c r="P3178" s="34" t="str">
        <f aca="false">IF($A3178="","",$I3178*$O3178)</f>
        <v/>
      </c>
      <c r="Q3178" s="39" t="n">
        <f aca="false">IF($B3178="",0,IFERROR(MATCH($B3178,COA_Mapping!$A$7:$A$256,0),0))</f>
        <v>0</v>
      </c>
      <c r="R3178" s="39" t="n">
        <f aca="false">IF($A3178="",-1,IF($J3178=Setup!$B$7,1,IF($J3178=Setup!$B$9,0,-1)))</f>
        <v>-1</v>
      </c>
      <c r="S3178" s="35" t="n">
        <f aca="false">IF(OR($A3178="",$Q3178=0,$R3178=-1),0,$Q3178*1000+$R3178*100+$K3178)</f>
        <v>0</v>
      </c>
      <c r="T3178" s="37" t="str">
        <f aca="false">IF($A3178="","",IF($B3178="","NO ACCOUNT",IF($Q3178=0,"UNMAPPED",IF($R3178=-1,"OUTSIDE FY RANGE","OK"))))</f>
        <v/>
      </c>
      <c r="U3178" s="40" t="str">
        <f aca="false">IF($A3178="","",$B3178&amp;"|"&amp;TEXT($A3178,"yyyymmdd")&amp;"|"&amp;TEXT($I3178,"0.00"))</f>
        <v/>
      </c>
      <c r="V3178" s="35" t="str">
        <f aca="false">IF($A3178="","",COUNTIF($U$8:$U$5007,$U3178))</f>
        <v/>
      </c>
    </row>
    <row r="3179" customFormat="false" ht="15" hidden="false" customHeight="false" outlineLevel="0" collapsed="false">
      <c r="A3179" s="31"/>
      <c r="B3179" s="32"/>
      <c r="C3179" s="32"/>
      <c r="D3179" s="32"/>
      <c r="E3179" s="32"/>
      <c r="F3179" s="32"/>
      <c r="G3179" s="33"/>
      <c r="H3179" s="33"/>
      <c r="I3179" s="34" t="str">
        <f aca="false">IF($A3179="","",$G3179-$H3179)</f>
        <v/>
      </c>
      <c r="J3179" s="35" t="str">
        <f aca="false">IF($A3179="","",IF(Setup!$B$6=1,YEAR($A3179),YEAR($A3179)+IF(MONTH($A3179)&gt;=Setup!$B$6,1,0)))</f>
        <v/>
      </c>
      <c r="K3179" s="35" t="str">
        <f aca="false">IF($A3179="","",MOD(MONTH($A3179)-Setup!$B$6+12,12)+1)</f>
        <v/>
      </c>
      <c r="L3179" s="36" t="str">
        <f aca="false">IF($A3179="","",TEXT($A3179,"MMM-YY"))</f>
        <v/>
      </c>
      <c r="M3179" s="37" t="str">
        <f aca="false">IF($A3179="","",IF($Q3179=0,"UNMAPPED",INDEX(COA_Mapping!$C$7:$C$256,$Q3179)))</f>
        <v/>
      </c>
      <c r="N3179" s="38" t="str">
        <f aca="false">IF($A3179="","",IF($Q3179=0,"",INDEX(COA_Mapping!$E$7:$E$256,$Q3179)))</f>
        <v/>
      </c>
      <c r="O3179" s="38" t="n">
        <f aca="false">IF($A3179="",1,IF($Q3179=0,1,INDEX(COA_Mapping!$F$7:$F$256,$Q3179)))</f>
        <v>1</v>
      </c>
      <c r="P3179" s="34" t="str">
        <f aca="false">IF($A3179="","",$I3179*$O3179)</f>
        <v/>
      </c>
      <c r="Q3179" s="39" t="n">
        <f aca="false">IF($B3179="",0,IFERROR(MATCH($B3179,COA_Mapping!$A$7:$A$256,0),0))</f>
        <v>0</v>
      </c>
      <c r="R3179" s="39" t="n">
        <f aca="false">IF($A3179="",-1,IF($J3179=Setup!$B$7,1,IF($J3179=Setup!$B$9,0,-1)))</f>
        <v>-1</v>
      </c>
      <c r="S3179" s="35" t="n">
        <f aca="false">IF(OR($A3179="",$Q3179=0,$R3179=-1),0,$Q3179*1000+$R3179*100+$K3179)</f>
        <v>0</v>
      </c>
      <c r="T3179" s="37" t="str">
        <f aca="false">IF($A3179="","",IF($B3179="","NO ACCOUNT",IF($Q3179=0,"UNMAPPED",IF($R3179=-1,"OUTSIDE FY RANGE","OK"))))</f>
        <v/>
      </c>
      <c r="U3179" s="40" t="str">
        <f aca="false">IF($A3179="","",$B3179&amp;"|"&amp;TEXT($A3179,"yyyymmdd")&amp;"|"&amp;TEXT($I3179,"0.00"))</f>
        <v/>
      </c>
      <c r="V3179" s="35" t="str">
        <f aca="false">IF($A3179="","",COUNTIF($U$8:$U$5007,$U3179))</f>
        <v/>
      </c>
    </row>
    <row r="3180" customFormat="false" ht="15" hidden="false" customHeight="false" outlineLevel="0" collapsed="false">
      <c r="A3180" s="31"/>
      <c r="B3180" s="32"/>
      <c r="C3180" s="32"/>
      <c r="D3180" s="32"/>
      <c r="E3180" s="32"/>
      <c r="F3180" s="32"/>
      <c r="G3180" s="33"/>
      <c r="H3180" s="33"/>
      <c r="I3180" s="34" t="str">
        <f aca="false">IF($A3180="","",$G3180-$H3180)</f>
        <v/>
      </c>
      <c r="J3180" s="35" t="str">
        <f aca="false">IF($A3180="","",IF(Setup!$B$6=1,YEAR($A3180),YEAR($A3180)+IF(MONTH($A3180)&gt;=Setup!$B$6,1,0)))</f>
        <v/>
      </c>
      <c r="K3180" s="35" t="str">
        <f aca="false">IF($A3180="","",MOD(MONTH($A3180)-Setup!$B$6+12,12)+1)</f>
        <v/>
      </c>
      <c r="L3180" s="36" t="str">
        <f aca="false">IF($A3180="","",TEXT($A3180,"MMM-YY"))</f>
        <v/>
      </c>
      <c r="M3180" s="37" t="str">
        <f aca="false">IF($A3180="","",IF($Q3180=0,"UNMAPPED",INDEX(COA_Mapping!$C$7:$C$256,$Q3180)))</f>
        <v/>
      </c>
      <c r="N3180" s="38" t="str">
        <f aca="false">IF($A3180="","",IF($Q3180=0,"",INDEX(COA_Mapping!$E$7:$E$256,$Q3180)))</f>
        <v/>
      </c>
      <c r="O3180" s="38" t="n">
        <f aca="false">IF($A3180="",1,IF($Q3180=0,1,INDEX(COA_Mapping!$F$7:$F$256,$Q3180)))</f>
        <v>1</v>
      </c>
      <c r="P3180" s="34" t="str">
        <f aca="false">IF($A3180="","",$I3180*$O3180)</f>
        <v/>
      </c>
      <c r="Q3180" s="39" t="n">
        <f aca="false">IF($B3180="",0,IFERROR(MATCH($B3180,COA_Mapping!$A$7:$A$256,0),0))</f>
        <v>0</v>
      </c>
      <c r="R3180" s="39" t="n">
        <f aca="false">IF($A3180="",-1,IF($J3180=Setup!$B$7,1,IF($J3180=Setup!$B$9,0,-1)))</f>
        <v>-1</v>
      </c>
      <c r="S3180" s="35" t="n">
        <f aca="false">IF(OR($A3180="",$Q3180=0,$R3180=-1),0,$Q3180*1000+$R3180*100+$K3180)</f>
        <v>0</v>
      </c>
      <c r="T3180" s="37" t="str">
        <f aca="false">IF($A3180="","",IF($B3180="","NO ACCOUNT",IF($Q3180=0,"UNMAPPED",IF($R3180=-1,"OUTSIDE FY RANGE","OK"))))</f>
        <v/>
      </c>
      <c r="U3180" s="40" t="str">
        <f aca="false">IF($A3180="","",$B3180&amp;"|"&amp;TEXT($A3180,"yyyymmdd")&amp;"|"&amp;TEXT($I3180,"0.00"))</f>
        <v/>
      </c>
      <c r="V3180" s="35" t="str">
        <f aca="false">IF($A3180="","",COUNTIF($U$8:$U$5007,$U3180))</f>
        <v/>
      </c>
    </row>
    <row r="3181" customFormat="false" ht="15" hidden="false" customHeight="false" outlineLevel="0" collapsed="false">
      <c r="A3181" s="31"/>
      <c r="B3181" s="32"/>
      <c r="C3181" s="32"/>
      <c r="D3181" s="32"/>
      <c r="E3181" s="32"/>
      <c r="F3181" s="32"/>
      <c r="G3181" s="33"/>
      <c r="H3181" s="33"/>
      <c r="I3181" s="34" t="str">
        <f aca="false">IF($A3181="","",$G3181-$H3181)</f>
        <v/>
      </c>
      <c r="J3181" s="35" t="str">
        <f aca="false">IF($A3181="","",IF(Setup!$B$6=1,YEAR($A3181),YEAR($A3181)+IF(MONTH($A3181)&gt;=Setup!$B$6,1,0)))</f>
        <v/>
      </c>
      <c r="K3181" s="35" t="str">
        <f aca="false">IF($A3181="","",MOD(MONTH($A3181)-Setup!$B$6+12,12)+1)</f>
        <v/>
      </c>
      <c r="L3181" s="36" t="str">
        <f aca="false">IF($A3181="","",TEXT($A3181,"MMM-YY"))</f>
        <v/>
      </c>
      <c r="M3181" s="37" t="str">
        <f aca="false">IF($A3181="","",IF($Q3181=0,"UNMAPPED",INDEX(COA_Mapping!$C$7:$C$256,$Q3181)))</f>
        <v/>
      </c>
      <c r="N3181" s="38" t="str">
        <f aca="false">IF($A3181="","",IF($Q3181=0,"",INDEX(COA_Mapping!$E$7:$E$256,$Q3181)))</f>
        <v/>
      </c>
      <c r="O3181" s="38" t="n">
        <f aca="false">IF($A3181="",1,IF($Q3181=0,1,INDEX(COA_Mapping!$F$7:$F$256,$Q3181)))</f>
        <v>1</v>
      </c>
      <c r="P3181" s="34" t="str">
        <f aca="false">IF($A3181="","",$I3181*$O3181)</f>
        <v/>
      </c>
      <c r="Q3181" s="39" t="n">
        <f aca="false">IF($B3181="",0,IFERROR(MATCH($B3181,COA_Mapping!$A$7:$A$256,0),0))</f>
        <v>0</v>
      </c>
      <c r="R3181" s="39" t="n">
        <f aca="false">IF($A3181="",-1,IF($J3181=Setup!$B$7,1,IF($J3181=Setup!$B$9,0,-1)))</f>
        <v>-1</v>
      </c>
      <c r="S3181" s="35" t="n">
        <f aca="false">IF(OR($A3181="",$Q3181=0,$R3181=-1),0,$Q3181*1000+$R3181*100+$K3181)</f>
        <v>0</v>
      </c>
      <c r="T3181" s="37" t="str">
        <f aca="false">IF($A3181="","",IF($B3181="","NO ACCOUNT",IF($Q3181=0,"UNMAPPED",IF($R3181=-1,"OUTSIDE FY RANGE","OK"))))</f>
        <v/>
      </c>
      <c r="U3181" s="40" t="str">
        <f aca="false">IF($A3181="","",$B3181&amp;"|"&amp;TEXT($A3181,"yyyymmdd")&amp;"|"&amp;TEXT($I3181,"0.00"))</f>
        <v/>
      </c>
      <c r="V3181" s="35" t="str">
        <f aca="false">IF($A3181="","",COUNTIF($U$8:$U$5007,$U3181))</f>
        <v/>
      </c>
    </row>
    <row r="3182" customFormat="false" ht="15" hidden="false" customHeight="false" outlineLevel="0" collapsed="false">
      <c r="A3182" s="31"/>
      <c r="B3182" s="32"/>
      <c r="C3182" s="32"/>
      <c r="D3182" s="32"/>
      <c r="E3182" s="32"/>
      <c r="F3182" s="32"/>
      <c r="G3182" s="33"/>
      <c r="H3182" s="33"/>
      <c r="I3182" s="34" t="str">
        <f aca="false">IF($A3182="","",$G3182-$H3182)</f>
        <v/>
      </c>
      <c r="J3182" s="35" t="str">
        <f aca="false">IF($A3182="","",IF(Setup!$B$6=1,YEAR($A3182),YEAR($A3182)+IF(MONTH($A3182)&gt;=Setup!$B$6,1,0)))</f>
        <v/>
      </c>
      <c r="K3182" s="35" t="str">
        <f aca="false">IF($A3182="","",MOD(MONTH($A3182)-Setup!$B$6+12,12)+1)</f>
        <v/>
      </c>
      <c r="L3182" s="36" t="str">
        <f aca="false">IF($A3182="","",TEXT($A3182,"MMM-YY"))</f>
        <v/>
      </c>
      <c r="M3182" s="37" t="str">
        <f aca="false">IF($A3182="","",IF($Q3182=0,"UNMAPPED",INDEX(COA_Mapping!$C$7:$C$256,$Q3182)))</f>
        <v/>
      </c>
      <c r="N3182" s="38" t="str">
        <f aca="false">IF($A3182="","",IF($Q3182=0,"",INDEX(COA_Mapping!$E$7:$E$256,$Q3182)))</f>
        <v/>
      </c>
      <c r="O3182" s="38" t="n">
        <f aca="false">IF($A3182="",1,IF($Q3182=0,1,INDEX(COA_Mapping!$F$7:$F$256,$Q3182)))</f>
        <v>1</v>
      </c>
      <c r="P3182" s="34" t="str">
        <f aca="false">IF($A3182="","",$I3182*$O3182)</f>
        <v/>
      </c>
      <c r="Q3182" s="39" t="n">
        <f aca="false">IF($B3182="",0,IFERROR(MATCH($B3182,COA_Mapping!$A$7:$A$256,0),0))</f>
        <v>0</v>
      </c>
      <c r="R3182" s="39" t="n">
        <f aca="false">IF($A3182="",-1,IF($J3182=Setup!$B$7,1,IF($J3182=Setup!$B$9,0,-1)))</f>
        <v>-1</v>
      </c>
      <c r="S3182" s="35" t="n">
        <f aca="false">IF(OR($A3182="",$Q3182=0,$R3182=-1),0,$Q3182*1000+$R3182*100+$K3182)</f>
        <v>0</v>
      </c>
      <c r="T3182" s="37" t="str">
        <f aca="false">IF($A3182="","",IF($B3182="","NO ACCOUNT",IF($Q3182=0,"UNMAPPED",IF($R3182=-1,"OUTSIDE FY RANGE","OK"))))</f>
        <v/>
      </c>
      <c r="U3182" s="40" t="str">
        <f aca="false">IF($A3182="","",$B3182&amp;"|"&amp;TEXT($A3182,"yyyymmdd")&amp;"|"&amp;TEXT($I3182,"0.00"))</f>
        <v/>
      </c>
      <c r="V3182" s="35" t="str">
        <f aca="false">IF($A3182="","",COUNTIF($U$8:$U$5007,$U3182))</f>
        <v/>
      </c>
    </row>
    <row r="3183" customFormat="false" ht="15" hidden="false" customHeight="false" outlineLevel="0" collapsed="false">
      <c r="A3183" s="31"/>
      <c r="B3183" s="32"/>
      <c r="C3183" s="32"/>
      <c r="D3183" s="32"/>
      <c r="E3183" s="32"/>
      <c r="F3183" s="32"/>
      <c r="G3183" s="33"/>
      <c r="H3183" s="33"/>
      <c r="I3183" s="34" t="str">
        <f aca="false">IF($A3183="","",$G3183-$H3183)</f>
        <v/>
      </c>
      <c r="J3183" s="35" t="str">
        <f aca="false">IF($A3183="","",IF(Setup!$B$6=1,YEAR($A3183),YEAR($A3183)+IF(MONTH($A3183)&gt;=Setup!$B$6,1,0)))</f>
        <v/>
      </c>
      <c r="K3183" s="35" t="str">
        <f aca="false">IF($A3183="","",MOD(MONTH($A3183)-Setup!$B$6+12,12)+1)</f>
        <v/>
      </c>
      <c r="L3183" s="36" t="str">
        <f aca="false">IF($A3183="","",TEXT($A3183,"MMM-YY"))</f>
        <v/>
      </c>
      <c r="M3183" s="37" t="str">
        <f aca="false">IF($A3183="","",IF($Q3183=0,"UNMAPPED",INDEX(COA_Mapping!$C$7:$C$256,$Q3183)))</f>
        <v/>
      </c>
      <c r="N3183" s="38" t="str">
        <f aca="false">IF($A3183="","",IF($Q3183=0,"",INDEX(COA_Mapping!$E$7:$E$256,$Q3183)))</f>
        <v/>
      </c>
      <c r="O3183" s="38" t="n">
        <f aca="false">IF($A3183="",1,IF($Q3183=0,1,INDEX(COA_Mapping!$F$7:$F$256,$Q3183)))</f>
        <v>1</v>
      </c>
      <c r="P3183" s="34" t="str">
        <f aca="false">IF($A3183="","",$I3183*$O3183)</f>
        <v/>
      </c>
      <c r="Q3183" s="39" t="n">
        <f aca="false">IF($B3183="",0,IFERROR(MATCH($B3183,COA_Mapping!$A$7:$A$256,0),0))</f>
        <v>0</v>
      </c>
      <c r="R3183" s="39" t="n">
        <f aca="false">IF($A3183="",-1,IF($J3183=Setup!$B$7,1,IF($J3183=Setup!$B$9,0,-1)))</f>
        <v>-1</v>
      </c>
      <c r="S3183" s="35" t="n">
        <f aca="false">IF(OR($A3183="",$Q3183=0,$R3183=-1),0,$Q3183*1000+$R3183*100+$K3183)</f>
        <v>0</v>
      </c>
      <c r="T3183" s="37" t="str">
        <f aca="false">IF($A3183="","",IF($B3183="","NO ACCOUNT",IF($Q3183=0,"UNMAPPED",IF($R3183=-1,"OUTSIDE FY RANGE","OK"))))</f>
        <v/>
      </c>
      <c r="U3183" s="40" t="str">
        <f aca="false">IF($A3183="","",$B3183&amp;"|"&amp;TEXT($A3183,"yyyymmdd")&amp;"|"&amp;TEXT($I3183,"0.00"))</f>
        <v/>
      </c>
      <c r="V3183" s="35" t="str">
        <f aca="false">IF($A3183="","",COUNTIF($U$8:$U$5007,$U3183))</f>
        <v/>
      </c>
    </row>
    <row r="3184" customFormat="false" ht="15" hidden="false" customHeight="false" outlineLevel="0" collapsed="false">
      <c r="A3184" s="31"/>
      <c r="B3184" s="32"/>
      <c r="C3184" s="32"/>
      <c r="D3184" s="32"/>
      <c r="E3184" s="32"/>
      <c r="F3184" s="32"/>
      <c r="G3184" s="33"/>
      <c r="H3184" s="33"/>
      <c r="I3184" s="34" t="str">
        <f aca="false">IF($A3184="","",$G3184-$H3184)</f>
        <v/>
      </c>
      <c r="J3184" s="35" t="str">
        <f aca="false">IF($A3184="","",IF(Setup!$B$6=1,YEAR($A3184),YEAR($A3184)+IF(MONTH($A3184)&gt;=Setup!$B$6,1,0)))</f>
        <v/>
      </c>
      <c r="K3184" s="35" t="str">
        <f aca="false">IF($A3184="","",MOD(MONTH($A3184)-Setup!$B$6+12,12)+1)</f>
        <v/>
      </c>
      <c r="L3184" s="36" t="str">
        <f aca="false">IF($A3184="","",TEXT($A3184,"MMM-YY"))</f>
        <v/>
      </c>
      <c r="M3184" s="37" t="str">
        <f aca="false">IF($A3184="","",IF($Q3184=0,"UNMAPPED",INDEX(COA_Mapping!$C$7:$C$256,$Q3184)))</f>
        <v/>
      </c>
      <c r="N3184" s="38" t="str">
        <f aca="false">IF($A3184="","",IF($Q3184=0,"",INDEX(COA_Mapping!$E$7:$E$256,$Q3184)))</f>
        <v/>
      </c>
      <c r="O3184" s="38" t="n">
        <f aca="false">IF($A3184="",1,IF($Q3184=0,1,INDEX(COA_Mapping!$F$7:$F$256,$Q3184)))</f>
        <v>1</v>
      </c>
      <c r="P3184" s="34" t="str">
        <f aca="false">IF($A3184="","",$I3184*$O3184)</f>
        <v/>
      </c>
      <c r="Q3184" s="39" t="n">
        <f aca="false">IF($B3184="",0,IFERROR(MATCH($B3184,COA_Mapping!$A$7:$A$256,0),0))</f>
        <v>0</v>
      </c>
      <c r="R3184" s="39" t="n">
        <f aca="false">IF($A3184="",-1,IF($J3184=Setup!$B$7,1,IF($J3184=Setup!$B$9,0,-1)))</f>
        <v>-1</v>
      </c>
      <c r="S3184" s="35" t="n">
        <f aca="false">IF(OR($A3184="",$Q3184=0,$R3184=-1),0,$Q3184*1000+$R3184*100+$K3184)</f>
        <v>0</v>
      </c>
      <c r="T3184" s="37" t="str">
        <f aca="false">IF($A3184="","",IF($B3184="","NO ACCOUNT",IF($Q3184=0,"UNMAPPED",IF($R3184=-1,"OUTSIDE FY RANGE","OK"))))</f>
        <v/>
      </c>
      <c r="U3184" s="40" t="str">
        <f aca="false">IF($A3184="","",$B3184&amp;"|"&amp;TEXT($A3184,"yyyymmdd")&amp;"|"&amp;TEXT($I3184,"0.00"))</f>
        <v/>
      </c>
      <c r="V3184" s="35" t="str">
        <f aca="false">IF($A3184="","",COUNTIF($U$8:$U$5007,$U3184))</f>
        <v/>
      </c>
    </row>
    <row r="3185" customFormat="false" ht="15" hidden="false" customHeight="false" outlineLevel="0" collapsed="false">
      <c r="A3185" s="31"/>
      <c r="B3185" s="32"/>
      <c r="C3185" s="32"/>
      <c r="D3185" s="32"/>
      <c r="E3185" s="32"/>
      <c r="F3185" s="32"/>
      <c r="G3185" s="33"/>
      <c r="H3185" s="33"/>
      <c r="I3185" s="34" t="str">
        <f aca="false">IF($A3185="","",$G3185-$H3185)</f>
        <v/>
      </c>
      <c r="J3185" s="35" t="str">
        <f aca="false">IF($A3185="","",IF(Setup!$B$6=1,YEAR($A3185),YEAR($A3185)+IF(MONTH($A3185)&gt;=Setup!$B$6,1,0)))</f>
        <v/>
      </c>
      <c r="K3185" s="35" t="str">
        <f aca="false">IF($A3185="","",MOD(MONTH($A3185)-Setup!$B$6+12,12)+1)</f>
        <v/>
      </c>
      <c r="L3185" s="36" t="str">
        <f aca="false">IF($A3185="","",TEXT($A3185,"MMM-YY"))</f>
        <v/>
      </c>
      <c r="M3185" s="37" t="str">
        <f aca="false">IF($A3185="","",IF($Q3185=0,"UNMAPPED",INDEX(COA_Mapping!$C$7:$C$256,$Q3185)))</f>
        <v/>
      </c>
      <c r="N3185" s="38" t="str">
        <f aca="false">IF($A3185="","",IF($Q3185=0,"",INDEX(COA_Mapping!$E$7:$E$256,$Q3185)))</f>
        <v/>
      </c>
      <c r="O3185" s="38" t="n">
        <f aca="false">IF($A3185="",1,IF($Q3185=0,1,INDEX(COA_Mapping!$F$7:$F$256,$Q3185)))</f>
        <v>1</v>
      </c>
      <c r="P3185" s="34" t="str">
        <f aca="false">IF($A3185="","",$I3185*$O3185)</f>
        <v/>
      </c>
      <c r="Q3185" s="39" t="n">
        <f aca="false">IF($B3185="",0,IFERROR(MATCH($B3185,COA_Mapping!$A$7:$A$256,0),0))</f>
        <v>0</v>
      </c>
      <c r="R3185" s="39" t="n">
        <f aca="false">IF($A3185="",-1,IF($J3185=Setup!$B$7,1,IF($J3185=Setup!$B$9,0,-1)))</f>
        <v>-1</v>
      </c>
      <c r="S3185" s="35" t="n">
        <f aca="false">IF(OR($A3185="",$Q3185=0,$R3185=-1),0,$Q3185*1000+$R3185*100+$K3185)</f>
        <v>0</v>
      </c>
      <c r="T3185" s="37" t="str">
        <f aca="false">IF($A3185="","",IF($B3185="","NO ACCOUNT",IF($Q3185=0,"UNMAPPED",IF($R3185=-1,"OUTSIDE FY RANGE","OK"))))</f>
        <v/>
      </c>
      <c r="U3185" s="40" t="str">
        <f aca="false">IF($A3185="","",$B3185&amp;"|"&amp;TEXT($A3185,"yyyymmdd")&amp;"|"&amp;TEXT($I3185,"0.00"))</f>
        <v/>
      </c>
      <c r="V3185" s="35" t="str">
        <f aca="false">IF($A3185="","",COUNTIF($U$8:$U$5007,$U3185))</f>
        <v/>
      </c>
    </row>
    <row r="3186" customFormat="false" ht="15" hidden="false" customHeight="false" outlineLevel="0" collapsed="false">
      <c r="A3186" s="31"/>
      <c r="B3186" s="32"/>
      <c r="C3186" s="32"/>
      <c r="D3186" s="32"/>
      <c r="E3186" s="32"/>
      <c r="F3186" s="32"/>
      <c r="G3186" s="33"/>
      <c r="H3186" s="33"/>
      <c r="I3186" s="34" t="str">
        <f aca="false">IF($A3186="","",$G3186-$H3186)</f>
        <v/>
      </c>
      <c r="J3186" s="35" t="str">
        <f aca="false">IF($A3186="","",IF(Setup!$B$6=1,YEAR($A3186),YEAR($A3186)+IF(MONTH($A3186)&gt;=Setup!$B$6,1,0)))</f>
        <v/>
      </c>
      <c r="K3186" s="35" t="str">
        <f aca="false">IF($A3186="","",MOD(MONTH($A3186)-Setup!$B$6+12,12)+1)</f>
        <v/>
      </c>
      <c r="L3186" s="36" t="str">
        <f aca="false">IF($A3186="","",TEXT($A3186,"MMM-YY"))</f>
        <v/>
      </c>
      <c r="M3186" s="37" t="str">
        <f aca="false">IF($A3186="","",IF($Q3186=0,"UNMAPPED",INDEX(COA_Mapping!$C$7:$C$256,$Q3186)))</f>
        <v/>
      </c>
      <c r="N3186" s="38" t="str">
        <f aca="false">IF($A3186="","",IF($Q3186=0,"",INDEX(COA_Mapping!$E$7:$E$256,$Q3186)))</f>
        <v/>
      </c>
      <c r="O3186" s="38" t="n">
        <f aca="false">IF($A3186="",1,IF($Q3186=0,1,INDEX(COA_Mapping!$F$7:$F$256,$Q3186)))</f>
        <v>1</v>
      </c>
      <c r="P3186" s="34" t="str">
        <f aca="false">IF($A3186="","",$I3186*$O3186)</f>
        <v/>
      </c>
      <c r="Q3186" s="39" t="n">
        <f aca="false">IF($B3186="",0,IFERROR(MATCH($B3186,COA_Mapping!$A$7:$A$256,0),0))</f>
        <v>0</v>
      </c>
      <c r="R3186" s="39" t="n">
        <f aca="false">IF($A3186="",-1,IF($J3186=Setup!$B$7,1,IF($J3186=Setup!$B$9,0,-1)))</f>
        <v>-1</v>
      </c>
      <c r="S3186" s="35" t="n">
        <f aca="false">IF(OR($A3186="",$Q3186=0,$R3186=-1),0,$Q3186*1000+$R3186*100+$K3186)</f>
        <v>0</v>
      </c>
      <c r="T3186" s="37" t="str">
        <f aca="false">IF($A3186="","",IF($B3186="","NO ACCOUNT",IF($Q3186=0,"UNMAPPED",IF($R3186=-1,"OUTSIDE FY RANGE","OK"))))</f>
        <v/>
      </c>
      <c r="U3186" s="40" t="str">
        <f aca="false">IF($A3186="","",$B3186&amp;"|"&amp;TEXT($A3186,"yyyymmdd")&amp;"|"&amp;TEXT($I3186,"0.00"))</f>
        <v/>
      </c>
      <c r="V3186" s="35" t="str">
        <f aca="false">IF($A3186="","",COUNTIF($U$8:$U$5007,$U3186))</f>
        <v/>
      </c>
    </row>
    <row r="3187" customFormat="false" ht="15" hidden="false" customHeight="false" outlineLevel="0" collapsed="false">
      <c r="A3187" s="31"/>
      <c r="B3187" s="32"/>
      <c r="C3187" s="32"/>
      <c r="D3187" s="32"/>
      <c r="E3187" s="32"/>
      <c r="F3187" s="32"/>
      <c r="G3187" s="33"/>
      <c r="H3187" s="33"/>
      <c r="I3187" s="34" t="str">
        <f aca="false">IF($A3187="","",$G3187-$H3187)</f>
        <v/>
      </c>
      <c r="J3187" s="35" t="str">
        <f aca="false">IF($A3187="","",IF(Setup!$B$6=1,YEAR($A3187),YEAR($A3187)+IF(MONTH($A3187)&gt;=Setup!$B$6,1,0)))</f>
        <v/>
      </c>
      <c r="K3187" s="35" t="str">
        <f aca="false">IF($A3187="","",MOD(MONTH($A3187)-Setup!$B$6+12,12)+1)</f>
        <v/>
      </c>
      <c r="L3187" s="36" t="str">
        <f aca="false">IF($A3187="","",TEXT($A3187,"MMM-YY"))</f>
        <v/>
      </c>
      <c r="M3187" s="37" t="str">
        <f aca="false">IF($A3187="","",IF($Q3187=0,"UNMAPPED",INDEX(COA_Mapping!$C$7:$C$256,$Q3187)))</f>
        <v/>
      </c>
      <c r="N3187" s="38" t="str">
        <f aca="false">IF($A3187="","",IF($Q3187=0,"",INDEX(COA_Mapping!$E$7:$E$256,$Q3187)))</f>
        <v/>
      </c>
      <c r="O3187" s="38" t="n">
        <f aca="false">IF($A3187="",1,IF($Q3187=0,1,INDEX(COA_Mapping!$F$7:$F$256,$Q3187)))</f>
        <v>1</v>
      </c>
      <c r="P3187" s="34" t="str">
        <f aca="false">IF($A3187="","",$I3187*$O3187)</f>
        <v/>
      </c>
      <c r="Q3187" s="39" t="n">
        <f aca="false">IF($B3187="",0,IFERROR(MATCH($B3187,COA_Mapping!$A$7:$A$256,0),0))</f>
        <v>0</v>
      </c>
      <c r="R3187" s="39" t="n">
        <f aca="false">IF($A3187="",-1,IF($J3187=Setup!$B$7,1,IF($J3187=Setup!$B$9,0,-1)))</f>
        <v>-1</v>
      </c>
      <c r="S3187" s="35" t="n">
        <f aca="false">IF(OR($A3187="",$Q3187=0,$R3187=-1),0,$Q3187*1000+$R3187*100+$K3187)</f>
        <v>0</v>
      </c>
      <c r="T3187" s="37" t="str">
        <f aca="false">IF($A3187="","",IF($B3187="","NO ACCOUNT",IF($Q3187=0,"UNMAPPED",IF($R3187=-1,"OUTSIDE FY RANGE","OK"))))</f>
        <v/>
      </c>
      <c r="U3187" s="40" t="str">
        <f aca="false">IF($A3187="","",$B3187&amp;"|"&amp;TEXT($A3187,"yyyymmdd")&amp;"|"&amp;TEXT($I3187,"0.00"))</f>
        <v/>
      </c>
      <c r="V3187" s="35" t="str">
        <f aca="false">IF($A3187="","",COUNTIF($U$8:$U$5007,$U3187))</f>
        <v/>
      </c>
    </row>
    <row r="3188" customFormat="false" ht="15" hidden="false" customHeight="false" outlineLevel="0" collapsed="false">
      <c r="A3188" s="31"/>
      <c r="B3188" s="32"/>
      <c r="C3188" s="32"/>
      <c r="D3188" s="32"/>
      <c r="E3188" s="32"/>
      <c r="F3188" s="32"/>
      <c r="G3188" s="33"/>
      <c r="H3188" s="33"/>
      <c r="I3188" s="34" t="str">
        <f aca="false">IF($A3188="","",$G3188-$H3188)</f>
        <v/>
      </c>
      <c r="J3188" s="35" t="str">
        <f aca="false">IF($A3188="","",IF(Setup!$B$6=1,YEAR($A3188),YEAR($A3188)+IF(MONTH($A3188)&gt;=Setup!$B$6,1,0)))</f>
        <v/>
      </c>
      <c r="K3188" s="35" t="str">
        <f aca="false">IF($A3188="","",MOD(MONTH($A3188)-Setup!$B$6+12,12)+1)</f>
        <v/>
      </c>
      <c r="L3188" s="36" t="str">
        <f aca="false">IF($A3188="","",TEXT($A3188,"MMM-YY"))</f>
        <v/>
      </c>
      <c r="M3188" s="37" t="str">
        <f aca="false">IF($A3188="","",IF($Q3188=0,"UNMAPPED",INDEX(COA_Mapping!$C$7:$C$256,$Q3188)))</f>
        <v/>
      </c>
      <c r="N3188" s="38" t="str">
        <f aca="false">IF($A3188="","",IF($Q3188=0,"",INDEX(COA_Mapping!$E$7:$E$256,$Q3188)))</f>
        <v/>
      </c>
      <c r="O3188" s="38" t="n">
        <f aca="false">IF($A3188="",1,IF($Q3188=0,1,INDEX(COA_Mapping!$F$7:$F$256,$Q3188)))</f>
        <v>1</v>
      </c>
      <c r="P3188" s="34" t="str">
        <f aca="false">IF($A3188="","",$I3188*$O3188)</f>
        <v/>
      </c>
      <c r="Q3188" s="39" t="n">
        <f aca="false">IF($B3188="",0,IFERROR(MATCH($B3188,COA_Mapping!$A$7:$A$256,0),0))</f>
        <v>0</v>
      </c>
      <c r="R3188" s="39" t="n">
        <f aca="false">IF($A3188="",-1,IF($J3188=Setup!$B$7,1,IF($J3188=Setup!$B$9,0,-1)))</f>
        <v>-1</v>
      </c>
      <c r="S3188" s="35" t="n">
        <f aca="false">IF(OR($A3188="",$Q3188=0,$R3188=-1),0,$Q3188*1000+$R3188*100+$K3188)</f>
        <v>0</v>
      </c>
      <c r="T3188" s="37" t="str">
        <f aca="false">IF($A3188="","",IF($B3188="","NO ACCOUNT",IF($Q3188=0,"UNMAPPED",IF($R3188=-1,"OUTSIDE FY RANGE","OK"))))</f>
        <v/>
      </c>
      <c r="U3188" s="40" t="str">
        <f aca="false">IF($A3188="","",$B3188&amp;"|"&amp;TEXT($A3188,"yyyymmdd")&amp;"|"&amp;TEXT($I3188,"0.00"))</f>
        <v/>
      </c>
      <c r="V3188" s="35" t="str">
        <f aca="false">IF($A3188="","",COUNTIF($U$8:$U$5007,$U3188))</f>
        <v/>
      </c>
    </row>
    <row r="3189" customFormat="false" ht="15" hidden="false" customHeight="false" outlineLevel="0" collapsed="false">
      <c r="A3189" s="31"/>
      <c r="B3189" s="32"/>
      <c r="C3189" s="32"/>
      <c r="D3189" s="32"/>
      <c r="E3189" s="32"/>
      <c r="F3189" s="32"/>
      <c r="G3189" s="33"/>
      <c r="H3189" s="33"/>
      <c r="I3189" s="34" t="str">
        <f aca="false">IF($A3189="","",$G3189-$H3189)</f>
        <v/>
      </c>
      <c r="J3189" s="35" t="str">
        <f aca="false">IF($A3189="","",IF(Setup!$B$6=1,YEAR($A3189),YEAR($A3189)+IF(MONTH($A3189)&gt;=Setup!$B$6,1,0)))</f>
        <v/>
      </c>
      <c r="K3189" s="35" t="str">
        <f aca="false">IF($A3189="","",MOD(MONTH($A3189)-Setup!$B$6+12,12)+1)</f>
        <v/>
      </c>
      <c r="L3189" s="36" t="str">
        <f aca="false">IF($A3189="","",TEXT($A3189,"MMM-YY"))</f>
        <v/>
      </c>
      <c r="M3189" s="37" t="str">
        <f aca="false">IF($A3189="","",IF($Q3189=0,"UNMAPPED",INDEX(COA_Mapping!$C$7:$C$256,$Q3189)))</f>
        <v/>
      </c>
      <c r="N3189" s="38" t="str">
        <f aca="false">IF($A3189="","",IF($Q3189=0,"",INDEX(COA_Mapping!$E$7:$E$256,$Q3189)))</f>
        <v/>
      </c>
      <c r="O3189" s="38" t="n">
        <f aca="false">IF($A3189="",1,IF($Q3189=0,1,INDEX(COA_Mapping!$F$7:$F$256,$Q3189)))</f>
        <v>1</v>
      </c>
      <c r="P3189" s="34" t="str">
        <f aca="false">IF($A3189="","",$I3189*$O3189)</f>
        <v/>
      </c>
      <c r="Q3189" s="39" t="n">
        <f aca="false">IF($B3189="",0,IFERROR(MATCH($B3189,COA_Mapping!$A$7:$A$256,0),0))</f>
        <v>0</v>
      </c>
      <c r="R3189" s="39" t="n">
        <f aca="false">IF($A3189="",-1,IF($J3189=Setup!$B$7,1,IF($J3189=Setup!$B$9,0,-1)))</f>
        <v>-1</v>
      </c>
      <c r="S3189" s="35" t="n">
        <f aca="false">IF(OR($A3189="",$Q3189=0,$R3189=-1),0,$Q3189*1000+$R3189*100+$K3189)</f>
        <v>0</v>
      </c>
      <c r="T3189" s="37" t="str">
        <f aca="false">IF($A3189="","",IF($B3189="","NO ACCOUNT",IF($Q3189=0,"UNMAPPED",IF($R3189=-1,"OUTSIDE FY RANGE","OK"))))</f>
        <v/>
      </c>
      <c r="U3189" s="40" t="str">
        <f aca="false">IF($A3189="","",$B3189&amp;"|"&amp;TEXT($A3189,"yyyymmdd")&amp;"|"&amp;TEXT($I3189,"0.00"))</f>
        <v/>
      </c>
      <c r="V3189" s="35" t="str">
        <f aca="false">IF($A3189="","",COUNTIF($U$8:$U$5007,$U3189))</f>
        <v/>
      </c>
    </row>
    <row r="3190" customFormat="false" ht="15" hidden="false" customHeight="false" outlineLevel="0" collapsed="false">
      <c r="A3190" s="31"/>
      <c r="B3190" s="32"/>
      <c r="C3190" s="32"/>
      <c r="D3190" s="32"/>
      <c r="E3190" s="32"/>
      <c r="F3190" s="32"/>
      <c r="G3190" s="33"/>
      <c r="H3190" s="33"/>
      <c r="I3190" s="34" t="str">
        <f aca="false">IF($A3190="","",$G3190-$H3190)</f>
        <v/>
      </c>
      <c r="J3190" s="35" t="str">
        <f aca="false">IF($A3190="","",IF(Setup!$B$6=1,YEAR($A3190),YEAR($A3190)+IF(MONTH($A3190)&gt;=Setup!$B$6,1,0)))</f>
        <v/>
      </c>
      <c r="K3190" s="35" t="str">
        <f aca="false">IF($A3190="","",MOD(MONTH($A3190)-Setup!$B$6+12,12)+1)</f>
        <v/>
      </c>
      <c r="L3190" s="36" t="str">
        <f aca="false">IF($A3190="","",TEXT($A3190,"MMM-YY"))</f>
        <v/>
      </c>
      <c r="M3190" s="37" t="str">
        <f aca="false">IF($A3190="","",IF($Q3190=0,"UNMAPPED",INDEX(COA_Mapping!$C$7:$C$256,$Q3190)))</f>
        <v/>
      </c>
      <c r="N3190" s="38" t="str">
        <f aca="false">IF($A3190="","",IF($Q3190=0,"",INDEX(COA_Mapping!$E$7:$E$256,$Q3190)))</f>
        <v/>
      </c>
      <c r="O3190" s="38" t="n">
        <f aca="false">IF($A3190="",1,IF($Q3190=0,1,INDEX(COA_Mapping!$F$7:$F$256,$Q3190)))</f>
        <v>1</v>
      </c>
      <c r="P3190" s="34" t="str">
        <f aca="false">IF($A3190="","",$I3190*$O3190)</f>
        <v/>
      </c>
      <c r="Q3190" s="39" t="n">
        <f aca="false">IF($B3190="",0,IFERROR(MATCH($B3190,COA_Mapping!$A$7:$A$256,0),0))</f>
        <v>0</v>
      </c>
      <c r="R3190" s="39" t="n">
        <f aca="false">IF($A3190="",-1,IF($J3190=Setup!$B$7,1,IF($J3190=Setup!$B$9,0,-1)))</f>
        <v>-1</v>
      </c>
      <c r="S3190" s="35" t="n">
        <f aca="false">IF(OR($A3190="",$Q3190=0,$R3190=-1),0,$Q3190*1000+$R3190*100+$K3190)</f>
        <v>0</v>
      </c>
      <c r="T3190" s="37" t="str">
        <f aca="false">IF($A3190="","",IF($B3190="","NO ACCOUNT",IF($Q3190=0,"UNMAPPED",IF($R3190=-1,"OUTSIDE FY RANGE","OK"))))</f>
        <v/>
      </c>
      <c r="U3190" s="40" t="str">
        <f aca="false">IF($A3190="","",$B3190&amp;"|"&amp;TEXT($A3190,"yyyymmdd")&amp;"|"&amp;TEXT($I3190,"0.00"))</f>
        <v/>
      </c>
      <c r="V3190" s="35" t="str">
        <f aca="false">IF($A3190="","",COUNTIF($U$8:$U$5007,$U3190))</f>
        <v/>
      </c>
    </row>
    <row r="3191" customFormat="false" ht="15" hidden="false" customHeight="false" outlineLevel="0" collapsed="false">
      <c r="A3191" s="31"/>
      <c r="B3191" s="32"/>
      <c r="C3191" s="32"/>
      <c r="D3191" s="32"/>
      <c r="E3191" s="32"/>
      <c r="F3191" s="32"/>
      <c r="G3191" s="33"/>
      <c r="H3191" s="33"/>
      <c r="I3191" s="34" t="str">
        <f aca="false">IF($A3191="","",$G3191-$H3191)</f>
        <v/>
      </c>
      <c r="J3191" s="35" t="str">
        <f aca="false">IF($A3191="","",IF(Setup!$B$6=1,YEAR($A3191),YEAR($A3191)+IF(MONTH($A3191)&gt;=Setup!$B$6,1,0)))</f>
        <v/>
      </c>
      <c r="K3191" s="35" t="str">
        <f aca="false">IF($A3191="","",MOD(MONTH($A3191)-Setup!$B$6+12,12)+1)</f>
        <v/>
      </c>
      <c r="L3191" s="36" t="str">
        <f aca="false">IF($A3191="","",TEXT($A3191,"MMM-YY"))</f>
        <v/>
      </c>
      <c r="M3191" s="37" t="str">
        <f aca="false">IF($A3191="","",IF($Q3191=0,"UNMAPPED",INDEX(COA_Mapping!$C$7:$C$256,$Q3191)))</f>
        <v/>
      </c>
      <c r="N3191" s="38" t="str">
        <f aca="false">IF($A3191="","",IF($Q3191=0,"",INDEX(COA_Mapping!$E$7:$E$256,$Q3191)))</f>
        <v/>
      </c>
      <c r="O3191" s="38" t="n">
        <f aca="false">IF($A3191="",1,IF($Q3191=0,1,INDEX(COA_Mapping!$F$7:$F$256,$Q3191)))</f>
        <v>1</v>
      </c>
      <c r="P3191" s="34" t="str">
        <f aca="false">IF($A3191="","",$I3191*$O3191)</f>
        <v/>
      </c>
      <c r="Q3191" s="39" t="n">
        <f aca="false">IF($B3191="",0,IFERROR(MATCH($B3191,COA_Mapping!$A$7:$A$256,0),0))</f>
        <v>0</v>
      </c>
      <c r="R3191" s="39" t="n">
        <f aca="false">IF($A3191="",-1,IF($J3191=Setup!$B$7,1,IF($J3191=Setup!$B$9,0,-1)))</f>
        <v>-1</v>
      </c>
      <c r="S3191" s="35" t="n">
        <f aca="false">IF(OR($A3191="",$Q3191=0,$R3191=-1),0,$Q3191*1000+$R3191*100+$K3191)</f>
        <v>0</v>
      </c>
      <c r="T3191" s="37" t="str">
        <f aca="false">IF($A3191="","",IF($B3191="","NO ACCOUNT",IF($Q3191=0,"UNMAPPED",IF($R3191=-1,"OUTSIDE FY RANGE","OK"))))</f>
        <v/>
      </c>
      <c r="U3191" s="40" t="str">
        <f aca="false">IF($A3191="","",$B3191&amp;"|"&amp;TEXT($A3191,"yyyymmdd")&amp;"|"&amp;TEXT($I3191,"0.00"))</f>
        <v/>
      </c>
      <c r="V3191" s="35" t="str">
        <f aca="false">IF($A3191="","",COUNTIF($U$8:$U$5007,$U3191))</f>
        <v/>
      </c>
    </row>
    <row r="3192" customFormat="false" ht="15" hidden="false" customHeight="false" outlineLevel="0" collapsed="false">
      <c r="A3192" s="31"/>
      <c r="B3192" s="32"/>
      <c r="C3192" s="32"/>
      <c r="D3192" s="32"/>
      <c r="E3192" s="32"/>
      <c r="F3192" s="32"/>
      <c r="G3192" s="33"/>
      <c r="H3192" s="33"/>
      <c r="I3192" s="34" t="str">
        <f aca="false">IF($A3192="","",$G3192-$H3192)</f>
        <v/>
      </c>
      <c r="J3192" s="35" t="str">
        <f aca="false">IF($A3192="","",IF(Setup!$B$6=1,YEAR($A3192),YEAR($A3192)+IF(MONTH($A3192)&gt;=Setup!$B$6,1,0)))</f>
        <v/>
      </c>
      <c r="K3192" s="35" t="str">
        <f aca="false">IF($A3192="","",MOD(MONTH($A3192)-Setup!$B$6+12,12)+1)</f>
        <v/>
      </c>
      <c r="L3192" s="36" t="str">
        <f aca="false">IF($A3192="","",TEXT($A3192,"MMM-YY"))</f>
        <v/>
      </c>
      <c r="M3192" s="37" t="str">
        <f aca="false">IF($A3192="","",IF($Q3192=0,"UNMAPPED",INDEX(COA_Mapping!$C$7:$C$256,$Q3192)))</f>
        <v/>
      </c>
      <c r="N3192" s="38" t="str">
        <f aca="false">IF($A3192="","",IF($Q3192=0,"",INDEX(COA_Mapping!$E$7:$E$256,$Q3192)))</f>
        <v/>
      </c>
      <c r="O3192" s="38" t="n">
        <f aca="false">IF($A3192="",1,IF($Q3192=0,1,INDEX(COA_Mapping!$F$7:$F$256,$Q3192)))</f>
        <v>1</v>
      </c>
      <c r="P3192" s="34" t="str">
        <f aca="false">IF($A3192="","",$I3192*$O3192)</f>
        <v/>
      </c>
      <c r="Q3192" s="39" t="n">
        <f aca="false">IF($B3192="",0,IFERROR(MATCH($B3192,COA_Mapping!$A$7:$A$256,0),0))</f>
        <v>0</v>
      </c>
      <c r="R3192" s="39" t="n">
        <f aca="false">IF($A3192="",-1,IF($J3192=Setup!$B$7,1,IF($J3192=Setup!$B$9,0,-1)))</f>
        <v>-1</v>
      </c>
      <c r="S3192" s="35" t="n">
        <f aca="false">IF(OR($A3192="",$Q3192=0,$R3192=-1),0,$Q3192*1000+$R3192*100+$K3192)</f>
        <v>0</v>
      </c>
      <c r="T3192" s="37" t="str">
        <f aca="false">IF($A3192="","",IF($B3192="","NO ACCOUNT",IF($Q3192=0,"UNMAPPED",IF($R3192=-1,"OUTSIDE FY RANGE","OK"))))</f>
        <v/>
      </c>
      <c r="U3192" s="40" t="str">
        <f aca="false">IF($A3192="","",$B3192&amp;"|"&amp;TEXT($A3192,"yyyymmdd")&amp;"|"&amp;TEXT($I3192,"0.00"))</f>
        <v/>
      </c>
      <c r="V3192" s="35" t="str">
        <f aca="false">IF($A3192="","",COUNTIF($U$8:$U$5007,$U3192))</f>
        <v/>
      </c>
    </row>
    <row r="3193" customFormat="false" ht="15" hidden="false" customHeight="false" outlineLevel="0" collapsed="false">
      <c r="A3193" s="31"/>
      <c r="B3193" s="32"/>
      <c r="C3193" s="32"/>
      <c r="D3193" s="32"/>
      <c r="E3193" s="32"/>
      <c r="F3193" s="32"/>
      <c r="G3193" s="33"/>
      <c r="H3193" s="33"/>
      <c r="I3193" s="34" t="str">
        <f aca="false">IF($A3193="","",$G3193-$H3193)</f>
        <v/>
      </c>
      <c r="J3193" s="35" t="str">
        <f aca="false">IF($A3193="","",IF(Setup!$B$6=1,YEAR($A3193),YEAR($A3193)+IF(MONTH($A3193)&gt;=Setup!$B$6,1,0)))</f>
        <v/>
      </c>
      <c r="K3193" s="35" t="str">
        <f aca="false">IF($A3193="","",MOD(MONTH($A3193)-Setup!$B$6+12,12)+1)</f>
        <v/>
      </c>
      <c r="L3193" s="36" t="str">
        <f aca="false">IF($A3193="","",TEXT($A3193,"MMM-YY"))</f>
        <v/>
      </c>
      <c r="M3193" s="37" t="str">
        <f aca="false">IF($A3193="","",IF($Q3193=0,"UNMAPPED",INDEX(COA_Mapping!$C$7:$C$256,$Q3193)))</f>
        <v/>
      </c>
      <c r="N3193" s="38" t="str">
        <f aca="false">IF($A3193="","",IF($Q3193=0,"",INDEX(COA_Mapping!$E$7:$E$256,$Q3193)))</f>
        <v/>
      </c>
      <c r="O3193" s="38" t="n">
        <f aca="false">IF($A3193="",1,IF($Q3193=0,1,INDEX(COA_Mapping!$F$7:$F$256,$Q3193)))</f>
        <v>1</v>
      </c>
      <c r="P3193" s="34" t="str">
        <f aca="false">IF($A3193="","",$I3193*$O3193)</f>
        <v/>
      </c>
      <c r="Q3193" s="39" t="n">
        <f aca="false">IF($B3193="",0,IFERROR(MATCH($B3193,COA_Mapping!$A$7:$A$256,0),0))</f>
        <v>0</v>
      </c>
      <c r="R3193" s="39" t="n">
        <f aca="false">IF($A3193="",-1,IF($J3193=Setup!$B$7,1,IF($J3193=Setup!$B$9,0,-1)))</f>
        <v>-1</v>
      </c>
      <c r="S3193" s="35" t="n">
        <f aca="false">IF(OR($A3193="",$Q3193=0,$R3193=-1),0,$Q3193*1000+$R3193*100+$K3193)</f>
        <v>0</v>
      </c>
      <c r="T3193" s="37" t="str">
        <f aca="false">IF($A3193="","",IF($B3193="","NO ACCOUNT",IF($Q3193=0,"UNMAPPED",IF($R3193=-1,"OUTSIDE FY RANGE","OK"))))</f>
        <v/>
      </c>
      <c r="U3193" s="40" t="str">
        <f aca="false">IF($A3193="","",$B3193&amp;"|"&amp;TEXT($A3193,"yyyymmdd")&amp;"|"&amp;TEXT($I3193,"0.00"))</f>
        <v/>
      </c>
      <c r="V3193" s="35" t="str">
        <f aca="false">IF($A3193="","",COUNTIF($U$8:$U$5007,$U3193))</f>
        <v/>
      </c>
    </row>
    <row r="3194" customFormat="false" ht="15" hidden="false" customHeight="false" outlineLevel="0" collapsed="false">
      <c r="A3194" s="31"/>
      <c r="B3194" s="32"/>
      <c r="C3194" s="32"/>
      <c r="D3194" s="32"/>
      <c r="E3194" s="32"/>
      <c r="F3194" s="32"/>
      <c r="G3194" s="33"/>
      <c r="H3194" s="33"/>
      <c r="I3194" s="34" t="str">
        <f aca="false">IF($A3194="","",$G3194-$H3194)</f>
        <v/>
      </c>
      <c r="J3194" s="35" t="str">
        <f aca="false">IF($A3194="","",IF(Setup!$B$6=1,YEAR($A3194),YEAR($A3194)+IF(MONTH($A3194)&gt;=Setup!$B$6,1,0)))</f>
        <v/>
      </c>
      <c r="K3194" s="35" t="str">
        <f aca="false">IF($A3194="","",MOD(MONTH($A3194)-Setup!$B$6+12,12)+1)</f>
        <v/>
      </c>
      <c r="L3194" s="36" t="str">
        <f aca="false">IF($A3194="","",TEXT($A3194,"MMM-YY"))</f>
        <v/>
      </c>
      <c r="M3194" s="37" t="str">
        <f aca="false">IF($A3194="","",IF($Q3194=0,"UNMAPPED",INDEX(COA_Mapping!$C$7:$C$256,$Q3194)))</f>
        <v/>
      </c>
      <c r="N3194" s="38" t="str">
        <f aca="false">IF($A3194="","",IF($Q3194=0,"",INDEX(COA_Mapping!$E$7:$E$256,$Q3194)))</f>
        <v/>
      </c>
      <c r="O3194" s="38" t="n">
        <f aca="false">IF($A3194="",1,IF($Q3194=0,1,INDEX(COA_Mapping!$F$7:$F$256,$Q3194)))</f>
        <v>1</v>
      </c>
      <c r="P3194" s="34" t="str">
        <f aca="false">IF($A3194="","",$I3194*$O3194)</f>
        <v/>
      </c>
      <c r="Q3194" s="39" t="n">
        <f aca="false">IF($B3194="",0,IFERROR(MATCH($B3194,COA_Mapping!$A$7:$A$256,0),0))</f>
        <v>0</v>
      </c>
      <c r="R3194" s="39" t="n">
        <f aca="false">IF($A3194="",-1,IF($J3194=Setup!$B$7,1,IF($J3194=Setup!$B$9,0,-1)))</f>
        <v>-1</v>
      </c>
      <c r="S3194" s="35" t="n">
        <f aca="false">IF(OR($A3194="",$Q3194=0,$R3194=-1),0,$Q3194*1000+$R3194*100+$K3194)</f>
        <v>0</v>
      </c>
      <c r="T3194" s="37" t="str">
        <f aca="false">IF($A3194="","",IF($B3194="","NO ACCOUNT",IF($Q3194=0,"UNMAPPED",IF($R3194=-1,"OUTSIDE FY RANGE","OK"))))</f>
        <v/>
      </c>
      <c r="U3194" s="40" t="str">
        <f aca="false">IF($A3194="","",$B3194&amp;"|"&amp;TEXT($A3194,"yyyymmdd")&amp;"|"&amp;TEXT($I3194,"0.00"))</f>
        <v/>
      </c>
      <c r="V3194" s="35" t="str">
        <f aca="false">IF($A3194="","",COUNTIF($U$8:$U$5007,$U3194))</f>
        <v/>
      </c>
    </row>
    <row r="3195" customFormat="false" ht="15" hidden="false" customHeight="false" outlineLevel="0" collapsed="false">
      <c r="A3195" s="31"/>
      <c r="B3195" s="32"/>
      <c r="C3195" s="32"/>
      <c r="D3195" s="32"/>
      <c r="E3195" s="32"/>
      <c r="F3195" s="32"/>
      <c r="G3195" s="33"/>
      <c r="H3195" s="33"/>
      <c r="I3195" s="34" t="str">
        <f aca="false">IF($A3195="","",$G3195-$H3195)</f>
        <v/>
      </c>
      <c r="J3195" s="35" t="str">
        <f aca="false">IF($A3195="","",IF(Setup!$B$6=1,YEAR($A3195),YEAR($A3195)+IF(MONTH($A3195)&gt;=Setup!$B$6,1,0)))</f>
        <v/>
      </c>
      <c r="K3195" s="35" t="str">
        <f aca="false">IF($A3195="","",MOD(MONTH($A3195)-Setup!$B$6+12,12)+1)</f>
        <v/>
      </c>
      <c r="L3195" s="36" t="str">
        <f aca="false">IF($A3195="","",TEXT($A3195,"MMM-YY"))</f>
        <v/>
      </c>
      <c r="M3195" s="37" t="str">
        <f aca="false">IF($A3195="","",IF($Q3195=0,"UNMAPPED",INDEX(COA_Mapping!$C$7:$C$256,$Q3195)))</f>
        <v/>
      </c>
      <c r="N3195" s="38" t="str">
        <f aca="false">IF($A3195="","",IF($Q3195=0,"",INDEX(COA_Mapping!$E$7:$E$256,$Q3195)))</f>
        <v/>
      </c>
      <c r="O3195" s="38" t="n">
        <f aca="false">IF($A3195="",1,IF($Q3195=0,1,INDEX(COA_Mapping!$F$7:$F$256,$Q3195)))</f>
        <v>1</v>
      </c>
      <c r="P3195" s="34" t="str">
        <f aca="false">IF($A3195="","",$I3195*$O3195)</f>
        <v/>
      </c>
      <c r="Q3195" s="39" t="n">
        <f aca="false">IF($B3195="",0,IFERROR(MATCH($B3195,COA_Mapping!$A$7:$A$256,0),0))</f>
        <v>0</v>
      </c>
      <c r="R3195" s="39" t="n">
        <f aca="false">IF($A3195="",-1,IF($J3195=Setup!$B$7,1,IF($J3195=Setup!$B$9,0,-1)))</f>
        <v>-1</v>
      </c>
      <c r="S3195" s="35" t="n">
        <f aca="false">IF(OR($A3195="",$Q3195=0,$R3195=-1),0,$Q3195*1000+$R3195*100+$K3195)</f>
        <v>0</v>
      </c>
      <c r="T3195" s="37" t="str">
        <f aca="false">IF($A3195="","",IF($B3195="","NO ACCOUNT",IF($Q3195=0,"UNMAPPED",IF($R3195=-1,"OUTSIDE FY RANGE","OK"))))</f>
        <v/>
      </c>
      <c r="U3195" s="40" t="str">
        <f aca="false">IF($A3195="","",$B3195&amp;"|"&amp;TEXT($A3195,"yyyymmdd")&amp;"|"&amp;TEXT($I3195,"0.00"))</f>
        <v/>
      </c>
      <c r="V3195" s="35" t="str">
        <f aca="false">IF($A3195="","",COUNTIF($U$8:$U$5007,$U3195))</f>
        <v/>
      </c>
    </row>
    <row r="3196" customFormat="false" ht="15" hidden="false" customHeight="false" outlineLevel="0" collapsed="false">
      <c r="A3196" s="31"/>
      <c r="B3196" s="32"/>
      <c r="C3196" s="32"/>
      <c r="D3196" s="32"/>
      <c r="E3196" s="32"/>
      <c r="F3196" s="32"/>
      <c r="G3196" s="33"/>
      <c r="H3196" s="33"/>
      <c r="I3196" s="34" t="str">
        <f aca="false">IF($A3196="","",$G3196-$H3196)</f>
        <v/>
      </c>
      <c r="J3196" s="35" t="str">
        <f aca="false">IF($A3196="","",IF(Setup!$B$6=1,YEAR($A3196),YEAR($A3196)+IF(MONTH($A3196)&gt;=Setup!$B$6,1,0)))</f>
        <v/>
      </c>
      <c r="K3196" s="35" t="str">
        <f aca="false">IF($A3196="","",MOD(MONTH($A3196)-Setup!$B$6+12,12)+1)</f>
        <v/>
      </c>
      <c r="L3196" s="36" t="str">
        <f aca="false">IF($A3196="","",TEXT($A3196,"MMM-YY"))</f>
        <v/>
      </c>
      <c r="M3196" s="37" t="str">
        <f aca="false">IF($A3196="","",IF($Q3196=0,"UNMAPPED",INDEX(COA_Mapping!$C$7:$C$256,$Q3196)))</f>
        <v/>
      </c>
      <c r="N3196" s="38" t="str">
        <f aca="false">IF($A3196="","",IF($Q3196=0,"",INDEX(COA_Mapping!$E$7:$E$256,$Q3196)))</f>
        <v/>
      </c>
      <c r="O3196" s="38" t="n">
        <f aca="false">IF($A3196="",1,IF($Q3196=0,1,INDEX(COA_Mapping!$F$7:$F$256,$Q3196)))</f>
        <v>1</v>
      </c>
      <c r="P3196" s="34" t="str">
        <f aca="false">IF($A3196="","",$I3196*$O3196)</f>
        <v/>
      </c>
      <c r="Q3196" s="39" t="n">
        <f aca="false">IF($B3196="",0,IFERROR(MATCH($B3196,COA_Mapping!$A$7:$A$256,0),0))</f>
        <v>0</v>
      </c>
      <c r="R3196" s="39" t="n">
        <f aca="false">IF($A3196="",-1,IF($J3196=Setup!$B$7,1,IF($J3196=Setup!$B$9,0,-1)))</f>
        <v>-1</v>
      </c>
      <c r="S3196" s="35" t="n">
        <f aca="false">IF(OR($A3196="",$Q3196=0,$R3196=-1),0,$Q3196*1000+$R3196*100+$K3196)</f>
        <v>0</v>
      </c>
      <c r="T3196" s="37" t="str">
        <f aca="false">IF($A3196="","",IF($B3196="","NO ACCOUNT",IF($Q3196=0,"UNMAPPED",IF($R3196=-1,"OUTSIDE FY RANGE","OK"))))</f>
        <v/>
      </c>
      <c r="U3196" s="40" t="str">
        <f aca="false">IF($A3196="","",$B3196&amp;"|"&amp;TEXT($A3196,"yyyymmdd")&amp;"|"&amp;TEXT($I3196,"0.00"))</f>
        <v/>
      </c>
      <c r="V3196" s="35" t="str">
        <f aca="false">IF($A3196="","",COUNTIF($U$8:$U$5007,$U3196))</f>
        <v/>
      </c>
    </row>
    <row r="3197" customFormat="false" ht="15" hidden="false" customHeight="false" outlineLevel="0" collapsed="false">
      <c r="A3197" s="31"/>
      <c r="B3197" s="32"/>
      <c r="C3197" s="32"/>
      <c r="D3197" s="32"/>
      <c r="E3197" s="32"/>
      <c r="F3197" s="32"/>
      <c r="G3197" s="33"/>
      <c r="H3197" s="33"/>
      <c r="I3197" s="34" t="str">
        <f aca="false">IF($A3197="","",$G3197-$H3197)</f>
        <v/>
      </c>
      <c r="J3197" s="35" t="str">
        <f aca="false">IF($A3197="","",IF(Setup!$B$6=1,YEAR($A3197),YEAR($A3197)+IF(MONTH($A3197)&gt;=Setup!$B$6,1,0)))</f>
        <v/>
      </c>
      <c r="K3197" s="35" t="str">
        <f aca="false">IF($A3197="","",MOD(MONTH($A3197)-Setup!$B$6+12,12)+1)</f>
        <v/>
      </c>
      <c r="L3197" s="36" t="str">
        <f aca="false">IF($A3197="","",TEXT($A3197,"MMM-YY"))</f>
        <v/>
      </c>
      <c r="M3197" s="37" t="str">
        <f aca="false">IF($A3197="","",IF($Q3197=0,"UNMAPPED",INDEX(COA_Mapping!$C$7:$C$256,$Q3197)))</f>
        <v/>
      </c>
      <c r="N3197" s="38" t="str">
        <f aca="false">IF($A3197="","",IF($Q3197=0,"",INDEX(COA_Mapping!$E$7:$E$256,$Q3197)))</f>
        <v/>
      </c>
      <c r="O3197" s="38" t="n">
        <f aca="false">IF($A3197="",1,IF($Q3197=0,1,INDEX(COA_Mapping!$F$7:$F$256,$Q3197)))</f>
        <v>1</v>
      </c>
      <c r="P3197" s="34" t="str">
        <f aca="false">IF($A3197="","",$I3197*$O3197)</f>
        <v/>
      </c>
      <c r="Q3197" s="39" t="n">
        <f aca="false">IF($B3197="",0,IFERROR(MATCH($B3197,COA_Mapping!$A$7:$A$256,0),0))</f>
        <v>0</v>
      </c>
      <c r="R3197" s="39" t="n">
        <f aca="false">IF($A3197="",-1,IF($J3197=Setup!$B$7,1,IF($J3197=Setup!$B$9,0,-1)))</f>
        <v>-1</v>
      </c>
      <c r="S3197" s="35" t="n">
        <f aca="false">IF(OR($A3197="",$Q3197=0,$R3197=-1),0,$Q3197*1000+$R3197*100+$K3197)</f>
        <v>0</v>
      </c>
      <c r="T3197" s="37" t="str">
        <f aca="false">IF($A3197="","",IF($B3197="","NO ACCOUNT",IF($Q3197=0,"UNMAPPED",IF($R3197=-1,"OUTSIDE FY RANGE","OK"))))</f>
        <v/>
      </c>
      <c r="U3197" s="40" t="str">
        <f aca="false">IF($A3197="","",$B3197&amp;"|"&amp;TEXT($A3197,"yyyymmdd")&amp;"|"&amp;TEXT($I3197,"0.00"))</f>
        <v/>
      </c>
      <c r="V3197" s="35" t="str">
        <f aca="false">IF($A3197="","",COUNTIF($U$8:$U$5007,$U3197))</f>
        <v/>
      </c>
    </row>
    <row r="3198" customFormat="false" ht="15" hidden="false" customHeight="false" outlineLevel="0" collapsed="false">
      <c r="A3198" s="31"/>
      <c r="B3198" s="32"/>
      <c r="C3198" s="32"/>
      <c r="D3198" s="32"/>
      <c r="E3198" s="32"/>
      <c r="F3198" s="32"/>
      <c r="G3198" s="33"/>
      <c r="H3198" s="33"/>
      <c r="I3198" s="34" t="str">
        <f aca="false">IF($A3198="","",$G3198-$H3198)</f>
        <v/>
      </c>
      <c r="J3198" s="35" t="str">
        <f aca="false">IF($A3198="","",IF(Setup!$B$6=1,YEAR($A3198),YEAR($A3198)+IF(MONTH($A3198)&gt;=Setup!$B$6,1,0)))</f>
        <v/>
      </c>
      <c r="K3198" s="35" t="str">
        <f aca="false">IF($A3198="","",MOD(MONTH($A3198)-Setup!$B$6+12,12)+1)</f>
        <v/>
      </c>
      <c r="L3198" s="36" t="str">
        <f aca="false">IF($A3198="","",TEXT($A3198,"MMM-YY"))</f>
        <v/>
      </c>
      <c r="M3198" s="37" t="str">
        <f aca="false">IF($A3198="","",IF($Q3198=0,"UNMAPPED",INDEX(COA_Mapping!$C$7:$C$256,$Q3198)))</f>
        <v/>
      </c>
      <c r="N3198" s="38" t="str">
        <f aca="false">IF($A3198="","",IF($Q3198=0,"",INDEX(COA_Mapping!$E$7:$E$256,$Q3198)))</f>
        <v/>
      </c>
      <c r="O3198" s="38" t="n">
        <f aca="false">IF($A3198="",1,IF($Q3198=0,1,INDEX(COA_Mapping!$F$7:$F$256,$Q3198)))</f>
        <v>1</v>
      </c>
      <c r="P3198" s="34" t="str">
        <f aca="false">IF($A3198="","",$I3198*$O3198)</f>
        <v/>
      </c>
      <c r="Q3198" s="39" t="n">
        <f aca="false">IF($B3198="",0,IFERROR(MATCH($B3198,COA_Mapping!$A$7:$A$256,0),0))</f>
        <v>0</v>
      </c>
      <c r="R3198" s="39" t="n">
        <f aca="false">IF($A3198="",-1,IF($J3198=Setup!$B$7,1,IF($J3198=Setup!$B$9,0,-1)))</f>
        <v>-1</v>
      </c>
      <c r="S3198" s="35" t="n">
        <f aca="false">IF(OR($A3198="",$Q3198=0,$R3198=-1),0,$Q3198*1000+$R3198*100+$K3198)</f>
        <v>0</v>
      </c>
      <c r="T3198" s="37" t="str">
        <f aca="false">IF($A3198="","",IF($B3198="","NO ACCOUNT",IF($Q3198=0,"UNMAPPED",IF($R3198=-1,"OUTSIDE FY RANGE","OK"))))</f>
        <v/>
      </c>
      <c r="U3198" s="40" t="str">
        <f aca="false">IF($A3198="","",$B3198&amp;"|"&amp;TEXT($A3198,"yyyymmdd")&amp;"|"&amp;TEXT($I3198,"0.00"))</f>
        <v/>
      </c>
      <c r="V3198" s="35" t="str">
        <f aca="false">IF($A3198="","",COUNTIF($U$8:$U$5007,$U3198))</f>
        <v/>
      </c>
    </row>
    <row r="3199" customFormat="false" ht="15" hidden="false" customHeight="false" outlineLevel="0" collapsed="false">
      <c r="A3199" s="31"/>
      <c r="B3199" s="32"/>
      <c r="C3199" s="32"/>
      <c r="D3199" s="32"/>
      <c r="E3199" s="32"/>
      <c r="F3199" s="32"/>
      <c r="G3199" s="33"/>
      <c r="H3199" s="33"/>
      <c r="I3199" s="34" t="str">
        <f aca="false">IF($A3199="","",$G3199-$H3199)</f>
        <v/>
      </c>
      <c r="J3199" s="35" t="str">
        <f aca="false">IF($A3199="","",IF(Setup!$B$6=1,YEAR($A3199),YEAR($A3199)+IF(MONTH($A3199)&gt;=Setup!$B$6,1,0)))</f>
        <v/>
      </c>
      <c r="K3199" s="35" t="str">
        <f aca="false">IF($A3199="","",MOD(MONTH($A3199)-Setup!$B$6+12,12)+1)</f>
        <v/>
      </c>
      <c r="L3199" s="36" t="str">
        <f aca="false">IF($A3199="","",TEXT($A3199,"MMM-YY"))</f>
        <v/>
      </c>
      <c r="M3199" s="37" t="str">
        <f aca="false">IF($A3199="","",IF($Q3199=0,"UNMAPPED",INDEX(COA_Mapping!$C$7:$C$256,$Q3199)))</f>
        <v/>
      </c>
      <c r="N3199" s="38" t="str">
        <f aca="false">IF($A3199="","",IF($Q3199=0,"",INDEX(COA_Mapping!$E$7:$E$256,$Q3199)))</f>
        <v/>
      </c>
      <c r="O3199" s="38" t="n">
        <f aca="false">IF($A3199="",1,IF($Q3199=0,1,INDEX(COA_Mapping!$F$7:$F$256,$Q3199)))</f>
        <v>1</v>
      </c>
      <c r="P3199" s="34" t="str">
        <f aca="false">IF($A3199="","",$I3199*$O3199)</f>
        <v/>
      </c>
      <c r="Q3199" s="39" t="n">
        <f aca="false">IF($B3199="",0,IFERROR(MATCH($B3199,COA_Mapping!$A$7:$A$256,0),0))</f>
        <v>0</v>
      </c>
      <c r="R3199" s="39" t="n">
        <f aca="false">IF($A3199="",-1,IF($J3199=Setup!$B$7,1,IF($J3199=Setup!$B$9,0,-1)))</f>
        <v>-1</v>
      </c>
      <c r="S3199" s="35" t="n">
        <f aca="false">IF(OR($A3199="",$Q3199=0,$R3199=-1),0,$Q3199*1000+$R3199*100+$K3199)</f>
        <v>0</v>
      </c>
      <c r="T3199" s="37" t="str">
        <f aca="false">IF($A3199="","",IF($B3199="","NO ACCOUNT",IF($Q3199=0,"UNMAPPED",IF($R3199=-1,"OUTSIDE FY RANGE","OK"))))</f>
        <v/>
      </c>
      <c r="U3199" s="40" t="str">
        <f aca="false">IF($A3199="","",$B3199&amp;"|"&amp;TEXT($A3199,"yyyymmdd")&amp;"|"&amp;TEXT($I3199,"0.00"))</f>
        <v/>
      </c>
      <c r="V3199" s="35" t="str">
        <f aca="false">IF($A3199="","",COUNTIF($U$8:$U$5007,$U3199))</f>
        <v/>
      </c>
    </row>
    <row r="3200" customFormat="false" ht="15" hidden="false" customHeight="false" outlineLevel="0" collapsed="false">
      <c r="A3200" s="31"/>
      <c r="B3200" s="32"/>
      <c r="C3200" s="32"/>
      <c r="D3200" s="32"/>
      <c r="E3200" s="32"/>
      <c r="F3200" s="32"/>
      <c r="G3200" s="33"/>
      <c r="H3200" s="33"/>
      <c r="I3200" s="34" t="str">
        <f aca="false">IF($A3200="","",$G3200-$H3200)</f>
        <v/>
      </c>
      <c r="J3200" s="35" t="str">
        <f aca="false">IF($A3200="","",IF(Setup!$B$6=1,YEAR($A3200),YEAR($A3200)+IF(MONTH($A3200)&gt;=Setup!$B$6,1,0)))</f>
        <v/>
      </c>
      <c r="K3200" s="35" t="str">
        <f aca="false">IF($A3200="","",MOD(MONTH($A3200)-Setup!$B$6+12,12)+1)</f>
        <v/>
      </c>
      <c r="L3200" s="36" t="str">
        <f aca="false">IF($A3200="","",TEXT($A3200,"MMM-YY"))</f>
        <v/>
      </c>
      <c r="M3200" s="37" t="str">
        <f aca="false">IF($A3200="","",IF($Q3200=0,"UNMAPPED",INDEX(COA_Mapping!$C$7:$C$256,$Q3200)))</f>
        <v/>
      </c>
      <c r="N3200" s="38" t="str">
        <f aca="false">IF($A3200="","",IF($Q3200=0,"",INDEX(COA_Mapping!$E$7:$E$256,$Q3200)))</f>
        <v/>
      </c>
      <c r="O3200" s="38" t="n">
        <f aca="false">IF($A3200="",1,IF($Q3200=0,1,INDEX(COA_Mapping!$F$7:$F$256,$Q3200)))</f>
        <v>1</v>
      </c>
      <c r="P3200" s="34" t="str">
        <f aca="false">IF($A3200="","",$I3200*$O3200)</f>
        <v/>
      </c>
      <c r="Q3200" s="39" t="n">
        <f aca="false">IF($B3200="",0,IFERROR(MATCH($B3200,COA_Mapping!$A$7:$A$256,0),0))</f>
        <v>0</v>
      </c>
      <c r="R3200" s="39" t="n">
        <f aca="false">IF($A3200="",-1,IF($J3200=Setup!$B$7,1,IF($J3200=Setup!$B$9,0,-1)))</f>
        <v>-1</v>
      </c>
      <c r="S3200" s="35" t="n">
        <f aca="false">IF(OR($A3200="",$Q3200=0,$R3200=-1),0,$Q3200*1000+$R3200*100+$K3200)</f>
        <v>0</v>
      </c>
      <c r="T3200" s="37" t="str">
        <f aca="false">IF($A3200="","",IF($B3200="","NO ACCOUNT",IF($Q3200=0,"UNMAPPED",IF($R3200=-1,"OUTSIDE FY RANGE","OK"))))</f>
        <v/>
      </c>
      <c r="U3200" s="40" t="str">
        <f aca="false">IF($A3200="","",$B3200&amp;"|"&amp;TEXT($A3200,"yyyymmdd")&amp;"|"&amp;TEXT($I3200,"0.00"))</f>
        <v/>
      </c>
      <c r="V3200" s="35" t="str">
        <f aca="false">IF($A3200="","",COUNTIF($U$8:$U$5007,$U3200))</f>
        <v/>
      </c>
    </row>
    <row r="3201" customFormat="false" ht="15" hidden="false" customHeight="false" outlineLevel="0" collapsed="false">
      <c r="A3201" s="31"/>
      <c r="B3201" s="32"/>
      <c r="C3201" s="32"/>
      <c r="D3201" s="32"/>
      <c r="E3201" s="32"/>
      <c r="F3201" s="32"/>
      <c r="G3201" s="33"/>
      <c r="H3201" s="33"/>
      <c r="I3201" s="34" t="str">
        <f aca="false">IF($A3201="","",$G3201-$H3201)</f>
        <v/>
      </c>
      <c r="J3201" s="35" t="str">
        <f aca="false">IF($A3201="","",IF(Setup!$B$6=1,YEAR($A3201),YEAR($A3201)+IF(MONTH($A3201)&gt;=Setup!$B$6,1,0)))</f>
        <v/>
      </c>
      <c r="K3201" s="35" t="str">
        <f aca="false">IF($A3201="","",MOD(MONTH($A3201)-Setup!$B$6+12,12)+1)</f>
        <v/>
      </c>
      <c r="L3201" s="36" t="str">
        <f aca="false">IF($A3201="","",TEXT($A3201,"MMM-YY"))</f>
        <v/>
      </c>
      <c r="M3201" s="37" t="str">
        <f aca="false">IF($A3201="","",IF($Q3201=0,"UNMAPPED",INDEX(COA_Mapping!$C$7:$C$256,$Q3201)))</f>
        <v/>
      </c>
      <c r="N3201" s="38" t="str">
        <f aca="false">IF($A3201="","",IF($Q3201=0,"",INDEX(COA_Mapping!$E$7:$E$256,$Q3201)))</f>
        <v/>
      </c>
      <c r="O3201" s="38" t="n">
        <f aca="false">IF($A3201="",1,IF($Q3201=0,1,INDEX(COA_Mapping!$F$7:$F$256,$Q3201)))</f>
        <v>1</v>
      </c>
      <c r="P3201" s="34" t="str">
        <f aca="false">IF($A3201="","",$I3201*$O3201)</f>
        <v/>
      </c>
      <c r="Q3201" s="39" t="n">
        <f aca="false">IF($B3201="",0,IFERROR(MATCH($B3201,COA_Mapping!$A$7:$A$256,0),0))</f>
        <v>0</v>
      </c>
      <c r="R3201" s="39" t="n">
        <f aca="false">IF($A3201="",-1,IF($J3201=Setup!$B$7,1,IF($J3201=Setup!$B$9,0,-1)))</f>
        <v>-1</v>
      </c>
      <c r="S3201" s="35" t="n">
        <f aca="false">IF(OR($A3201="",$Q3201=0,$R3201=-1),0,$Q3201*1000+$R3201*100+$K3201)</f>
        <v>0</v>
      </c>
      <c r="T3201" s="37" t="str">
        <f aca="false">IF($A3201="","",IF($B3201="","NO ACCOUNT",IF($Q3201=0,"UNMAPPED",IF($R3201=-1,"OUTSIDE FY RANGE","OK"))))</f>
        <v/>
      </c>
      <c r="U3201" s="40" t="str">
        <f aca="false">IF($A3201="","",$B3201&amp;"|"&amp;TEXT($A3201,"yyyymmdd")&amp;"|"&amp;TEXT($I3201,"0.00"))</f>
        <v/>
      </c>
      <c r="V3201" s="35" t="str">
        <f aca="false">IF($A3201="","",COUNTIF($U$8:$U$5007,$U3201))</f>
        <v/>
      </c>
    </row>
    <row r="3202" customFormat="false" ht="15" hidden="false" customHeight="false" outlineLevel="0" collapsed="false">
      <c r="A3202" s="31"/>
      <c r="B3202" s="32"/>
      <c r="C3202" s="32"/>
      <c r="D3202" s="32"/>
      <c r="E3202" s="32"/>
      <c r="F3202" s="32"/>
      <c r="G3202" s="33"/>
      <c r="H3202" s="33"/>
      <c r="I3202" s="34" t="str">
        <f aca="false">IF($A3202="","",$G3202-$H3202)</f>
        <v/>
      </c>
      <c r="J3202" s="35" t="str">
        <f aca="false">IF($A3202="","",IF(Setup!$B$6=1,YEAR($A3202),YEAR($A3202)+IF(MONTH($A3202)&gt;=Setup!$B$6,1,0)))</f>
        <v/>
      </c>
      <c r="K3202" s="35" t="str">
        <f aca="false">IF($A3202="","",MOD(MONTH($A3202)-Setup!$B$6+12,12)+1)</f>
        <v/>
      </c>
      <c r="L3202" s="36" t="str">
        <f aca="false">IF($A3202="","",TEXT($A3202,"MMM-YY"))</f>
        <v/>
      </c>
      <c r="M3202" s="37" t="str">
        <f aca="false">IF($A3202="","",IF($Q3202=0,"UNMAPPED",INDEX(COA_Mapping!$C$7:$C$256,$Q3202)))</f>
        <v/>
      </c>
      <c r="N3202" s="38" t="str">
        <f aca="false">IF($A3202="","",IF($Q3202=0,"",INDEX(COA_Mapping!$E$7:$E$256,$Q3202)))</f>
        <v/>
      </c>
      <c r="O3202" s="38" t="n">
        <f aca="false">IF($A3202="",1,IF($Q3202=0,1,INDEX(COA_Mapping!$F$7:$F$256,$Q3202)))</f>
        <v>1</v>
      </c>
      <c r="P3202" s="34" t="str">
        <f aca="false">IF($A3202="","",$I3202*$O3202)</f>
        <v/>
      </c>
      <c r="Q3202" s="39" t="n">
        <f aca="false">IF($B3202="",0,IFERROR(MATCH($B3202,COA_Mapping!$A$7:$A$256,0),0))</f>
        <v>0</v>
      </c>
      <c r="R3202" s="39" t="n">
        <f aca="false">IF($A3202="",-1,IF($J3202=Setup!$B$7,1,IF($J3202=Setup!$B$9,0,-1)))</f>
        <v>-1</v>
      </c>
      <c r="S3202" s="35" t="n">
        <f aca="false">IF(OR($A3202="",$Q3202=0,$R3202=-1),0,$Q3202*1000+$R3202*100+$K3202)</f>
        <v>0</v>
      </c>
      <c r="T3202" s="37" t="str">
        <f aca="false">IF($A3202="","",IF($B3202="","NO ACCOUNT",IF($Q3202=0,"UNMAPPED",IF($R3202=-1,"OUTSIDE FY RANGE","OK"))))</f>
        <v/>
      </c>
      <c r="U3202" s="40" t="str">
        <f aca="false">IF($A3202="","",$B3202&amp;"|"&amp;TEXT($A3202,"yyyymmdd")&amp;"|"&amp;TEXT($I3202,"0.00"))</f>
        <v/>
      </c>
      <c r="V3202" s="35" t="str">
        <f aca="false">IF($A3202="","",COUNTIF($U$8:$U$5007,$U3202))</f>
        <v/>
      </c>
    </row>
    <row r="3203" customFormat="false" ht="15" hidden="false" customHeight="false" outlineLevel="0" collapsed="false">
      <c r="A3203" s="31"/>
      <c r="B3203" s="32"/>
      <c r="C3203" s="32"/>
      <c r="D3203" s="32"/>
      <c r="E3203" s="32"/>
      <c r="F3203" s="32"/>
      <c r="G3203" s="33"/>
      <c r="H3203" s="33"/>
      <c r="I3203" s="34" t="str">
        <f aca="false">IF($A3203="","",$G3203-$H3203)</f>
        <v/>
      </c>
      <c r="J3203" s="35" t="str">
        <f aca="false">IF($A3203="","",IF(Setup!$B$6=1,YEAR($A3203),YEAR($A3203)+IF(MONTH($A3203)&gt;=Setup!$B$6,1,0)))</f>
        <v/>
      </c>
      <c r="K3203" s="35" t="str">
        <f aca="false">IF($A3203="","",MOD(MONTH($A3203)-Setup!$B$6+12,12)+1)</f>
        <v/>
      </c>
      <c r="L3203" s="36" t="str">
        <f aca="false">IF($A3203="","",TEXT($A3203,"MMM-YY"))</f>
        <v/>
      </c>
      <c r="M3203" s="37" t="str">
        <f aca="false">IF($A3203="","",IF($Q3203=0,"UNMAPPED",INDEX(COA_Mapping!$C$7:$C$256,$Q3203)))</f>
        <v/>
      </c>
      <c r="N3203" s="38" t="str">
        <f aca="false">IF($A3203="","",IF($Q3203=0,"",INDEX(COA_Mapping!$E$7:$E$256,$Q3203)))</f>
        <v/>
      </c>
      <c r="O3203" s="38" t="n">
        <f aca="false">IF($A3203="",1,IF($Q3203=0,1,INDEX(COA_Mapping!$F$7:$F$256,$Q3203)))</f>
        <v>1</v>
      </c>
      <c r="P3203" s="34" t="str">
        <f aca="false">IF($A3203="","",$I3203*$O3203)</f>
        <v/>
      </c>
      <c r="Q3203" s="39" t="n">
        <f aca="false">IF($B3203="",0,IFERROR(MATCH($B3203,COA_Mapping!$A$7:$A$256,0),0))</f>
        <v>0</v>
      </c>
      <c r="R3203" s="39" t="n">
        <f aca="false">IF($A3203="",-1,IF($J3203=Setup!$B$7,1,IF($J3203=Setup!$B$9,0,-1)))</f>
        <v>-1</v>
      </c>
      <c r="S3203" s="35" t="n">
        <f aca="false">IF(OR($A3203="",$Q3203=0,$R3203=-1),0,$Q3203*1000+$R3203*100+$K3203)</f>
        <v>0</v>
      </c>
      <c r="T3203" s="37" t="str">
        <f aca="false">IF($A3203="","",IF($B3203="","NO ACCOUNT",IF($Q3203=0,"UNMAPPED",IF($R3203=-1,"OUTSIDE FY RANGE","OK"))))</f>
        <v/>
      </c>
      <c r="U3203" s="40" t="str">
        <f aca="false">IF($A3203="","",$B3203&amp;"|"&amp;TEXT($A3203,"yyyymmdd")&amp;"|"&amp;TEXT($I3203,"0.00"))</f>
        <v/>
      </c>
      <c r="V3203" s="35" t="str">
        <f aca="false">IF($A3203="","",COUNTIF($U$8:$U$5007,$U3203))</f>
        <v/>
      </c>
    </row>
    <row r="3204" customFormat="false" ht="15" hidden="false" customHeight="false" outlineLevel="0" collapsed="false">
      <c r="A3204" s="31"/>
      <c r="B3204" s="32"/>
      <c r="C3204" s="32"/>
      <c r="D3204" s="32"/>
      <c r="E3204" s="32"/>
      <c r="F3204" s="32"/>
      <c r="G3204" s="33"/>
      <c r="H3204" s="33"/>
      <c r="I3204" s="34" t="str">
        <f aca="false">IF($A3204="","",$G3204-$H3204)</f>
        <v/>
      </c>
      <c r="J3204" s="35" t="str">
        <f aca="false">IF($A3204="","",IF(Setup!$B$6=1,YEAR($A3204),YEAR($A3204)+IF(MONTH($A3204)&gt;=Setup!$B$6,1,0)))</f>
        <v/>
      </c>
      <c r="K3204" s="35" t="str">
        <f aca="false">IF($A3204="","",MOD(MONTH($A3204)-Setup!$B$6+12,12)+1)</f>
        <v/>
      </c>
      <c r="L3204" s="36" t="str">
        <f aca="false">IF($A3204="","",TEXT($A3204,"MMM-YY"))</f>
        <v/>
      </c>
      <c r="M3204" s="37" t="str">
        <f aca="false">IF($A3204="","",IF($Q3204=0,"UNMAPPED",INDEX(COA_Mapping!$C$7:$C$256,$Q3204)))</f>
        <v/>
      </c>
      <c r="N3204" s="38" t="str">
        <f aca="false">IF($A3204="","",IF($Q3204=0,"",INDEX(COA_Mapping!$E$7:$E$256,$Q3204)))</f>
        <v/>
      </c>
      <c r="O3204" s="38" t="n">
        <f aca="false">IF($A3204="",1,IF($Q3204=0,1,INDEX(COA_Mapping!$F$7:$F$256,$Q3204)))</f>
        <v>1</v>
      </c>
      <c r="P3204" s="34" t="str">
        <f aca="false">IF($A3204="","",$I3204*$O3204)</f>
        <v/>
      </c>
      <c r="Q3204" s="39" t="n">
        <f aca="false">IF($B3204="",0,IFERROR(MATCH($B3204,COA_Mapping!$A$7:$A$256,0),0))</f>
        <v>0</v>
      </c>
      <c r="R3204" s="39" t="n">
        <f aca="false">IF($A3204="",-1,IF($J3204=Setup!$B$7,1,IF($J3204=Setup!$B$9,0,-1)))</f>
        <v>-1</v>
      </c>
      <c r="S3204" s="35" t="n">
        <f aca="false">IF(OR($A3204="",$Q3204=0,$R3204=-1),0,$Q3204*1000+$R3204*100+$K3204)</f>
        <v>0</v>
      </c>
      <c r="T3204" s="37" t="str">
        <f aca="false">IF($A3204="","",IF($B3204="","NO ACCOUNT",IF($Q3204=0,"UNMAPPED",IF($R3204=-1,"OUTSIDE FY RANGE","OK"))))</f>
        <v/>
      </c>
      <c r="U3204" s="40" t="str">
        <f aca="false">IF($A3204="","",$B3204&amp;"|"&amp;TEXT($A3204,"yyyymmdd")&amp;"|"&amp;TEXT($I3204,"0.00"))</f>
        <v/>
      </c>
      <c r="V3204" s="35" t="str">
        <f aca="false">IF($A3204="","",COUNTIF($U$8:$U$5007,$U3204))</f>
        <v/>
      </c>
    </row>
    <row r="3205" customFormat="false" ht="15" hidden="false" customHeight="false" outlineLevel="0" collapsed="false">
      <c r="A3205" s="31"/>
      <c r="B3205" s="32"/>
      <c r="C3205" s="32"/>
      <c r="D3205" s="32"/>
      <c r="E3205" s="32"/>
      <c r="F3205" s="32"/>
      <c r="G3205" s="33"/>
      <c r="H3205" s="33"/>
      <c r="I3205" s="34" t="str">
        <f aca="false">IF($A3205="","",$G3205-$H3205)</f>
        <v/>
      </c>
      <c r="J3205" s="35" t="str">
        <f aca="false">IF($A3205="","",IF(Setup!$B$6=1,YEAR($A3205),YEAR($A3205)+IF(MONTH($A3205)&gt;=Setup!$B$6,1,0)))</f>
        <v/>
      </c>
      <c r="K3205" s="35" t="str">
        <f aca="false">IF($A3205="","",MOD(MONTH($A3205)-Setup!$B$6+12,12)+1)</f>
        <v/>
      </c>
      <c r="L3205" s="36" t="str">
        <f aca="false">IF($A3205="","",TEXT($A3205,"MMM-YY"))</f>
        <v/>
      </c>
      <c r="M3205" s="37" t="str">
        <f aca="false">IF($A3205="","",IF($Q3205=0,"UNMAPPED",INDEX(COA_Mapping!$C$7:$C$256,$Q3205)))</f>
        <v/>
      </c>
      <c r="N3205" s="38" t="str">
        <f aca="false">IF($A3205="","",IF($Q3205=0,"",INDEX(COA_Mapping!$E$7:$E$256,$Q3205)))</f>
        <v/>
      </c>
      <c r="O3205" s="38" t="n">
        <f aca="false">IF($A3205="",1,IF($Q3205=0,1,INDEX(COA_Mapping!$F$7:$F$256,$Q3205)))</f>
        <v>1</v>
      </c>
      <c r="P3205" s="34" t="str">
        <f aca="false">IF($A3205="","",$I3205*$O3205)</f>
        <v/>
      </c>
      <c r="Q3205" s="39" t="n">
        <f aca="false">IF($B3205="",0,IFERROR(MATCH($B3205,COA_Mapping!$A$7:$A$256,0),0))</f>
        <v>0</v>
      </c>
      <c r="R3205" s="39" t="n">
        <f aca="false">IF($A3205="",-1,IF($J3205=Setup!$B$7,1,IF($J3205=Setup!$B$9,0,-1)))</f>
        <v>-1</v>
      </c>
      <c r="S3205" s="35" t="n">
        <f aca="false">IF(OR($A3205="",$Q3205=0,$R3205=-1),0,$Q3205*1000+$R3205*100+$K3205)</f>
        <v>0</v>
      </c>
      <c r="T3205" s="37" t="str">
        <f aca="false">IF($A3205="","",IF($B3205="","NO ACCOUNT",IF($Q3205=0,"UNMAPPED",IF($R3205=-1,"OUTSIDE FY RANGE","OK"))))</f>
        <v/>
      </c>
      <c r="U3205" s="40" t="str">
        <f aca="false">IF($A3205="","",$B3205&amp;"|"&amp;TEXT($A3205,"yyyymmdd")&amp;"|"&amp;TEXT($I3205,"0.00"))</f>
        <v/>
      </c>
      <c r="V3205" s="35" t="str">
        <f aca="false">IF($A3205="","",COUNTIF($U$8:$U$5007,$U3205))</f>
        <v/>
      </c>
    </row>
    <row r="3206" customFormat="false" ht="15" hidden="false" customHeight="false" outlineLevel="0" collapsed="false">
      <c r="A3206" s="31"/>
      <c r="B3206" s="32"/>
      <c r="C3206" s="32"/>
      <c r="D3206" s="32"/>
      <c r="E3206" s="32"/>
      <c r="F3206" s="32"/>
      <c r="G3206" s="33"/>
      <c r="H3206" s="33"/>
      <c r="I3206" s="34" t="str">
        <f aca="false">IF($A3206="","",$G3206-$H3206)</f>
        <v/>
      </c>
      <c r="J3206" s="35" t="str">
        <f aca="false">IF($A3206="","",IF(Setup!$B$6=1,YEAR($A3206),YEAR($A3206)+IF(MONTH($A3206)&gt;=Setup!$B$6,1,0)))</f>
        <v/>
      </c>
      <c r="K3206" s="35" t="str">
        <f aca="false">IF($A3206="","",MOD(MONTH($A3206)-Setup!$B$6+12,12)+1)</f>
        <v/>
      </c>
      <c r="L3206" s="36" t="str">
        <f aca="false">IF($A3206="","",TEXT($A3206,"MMM-YY"))</f>
        <v/>
      </c>
      <c r="M3206" s="37" t="str">
        <f aca="false">IF($A3206="","",IF($Q3206=0,"UNMAPPED",INDEX(COA_Mapping!$C$7:$C$256,$Q3206)))</f>
        <v/>
      </c>
      <c r="N3206" s="38" t="str">
        <f aca="false">IF($A3206="","",IF($Q3206=0,"",INDEX(COA_Mapping!$E$7:$E$256,$Q3206)))</f>
        <v/>
      </c>
      <c r="O3206" s="38" t="n">
        <f aca="false">IF($A3206="",1,IF($Q3206=0,1,INDEX(COA_Mapping!$F$7:$F$256,$Q3206)))</f>
        <v>1</v>
      </c>
      <c r="P3206" s="34" t="str">
        <f aca="false">IF($A3206="","",$I3206*$O3206)</f>
        <v/>
      </c>
      <c r="Q3206" s="39" t="n">
        <f aca="false">IF($B3206="",0,IFERROR(MATCH($B3206,COA_Mapping!$A$7:$A$256,0),0))</f>
        <v>0</v>
      </c>
      <c r="R3206" s="39" t="n">
        <f aca="false">IF($A3206="",-1,IF($J3206=Setup!$B$7,1,IF($J3206=Setup!$B$9,0,-1)))</f>
        <v>-1</v>
      </c>
      <c r="S3206" s="35" t="n">
        <f aca="false">IF(OR($A3206="",$Q3206=0,$R3206=-1),0,$Q3206*1000+$R3206*100+$K3206)</f>
        <v>0</v>
      </c>
      <c r="T3206" s="37" t="str">
        <f aca="false">IF($A3206="","",IF($B3206="","NO ACCOUNT",IF($Q3206=0,"UNMAPPED",IF($R3206=-1,"OUTSIDE FY RANGE","OK"))))</f>
        <v/>
      </c>
      <c r="U3206" s="40" t="str">
        <f aca="false">IF($A3206="","",$B3206&amp;"|"&amp;TEXT($A3206,"yyyymmdd")&amp;"|"&amp;TEXT($I3206,"0.00"))</f>
        <v/>
      </c>
      <c r="V3206" s="35" t="str">
        <f aca="false">IF($A3206="","",COUNTIF($U$8:$U$5007,$U3206))</f>
        <v/>
      </c>
    </row>
    <row r="3207" customFormat="false" ht="15" hidden="false" customHeight="false" outlineLevel="0" collapsed="false">
      <c r="A3207" s="31"/>
      <c r="B3207" s="32"/>
      <c r="C3207" s="32"/>
      <c r="D3207" s="32"/>
      <c r="E3207" s="32"/>
      <c r="F3207" s="32"/>
      <c r="G3207" s="33"/>
      <c r="H3207" s="33"/>
      <c r="I3207" s="34" t="str">
        <f aca="false">IF($A3207="","",$G3207-$H3207)</f>
        <v/>
      </c>
      <c r="J3207" s="35" t="str">
        <f aca="false">IF($A3207="","",IF(Setup!$B$6=1,YEAR($A3207),YEAR($A3207)+IF(MONTH($A3207)&gt;=Setup!$B$6,1,0)))</f>
        <v/>
      </c>
      <c r="K3207" s="35" t="str">
        <f aca="false">IF($A3207="","",MOD(MONTH($A3207)-Setup!$B$6+12,12)+1)</f>
        <v/>
      </c>
      <c r="L3207" s="36" t="str">
        <f aca="false">IF($A3207="","",TEXT($A3207,"MMM-YY"))</f>
        <v/>
      </c>
      <c r="M3207" s="37" t="str">
        <f aca="false">IF($A3207="","",IF($Q3207=0,"UNMAPPED",INDEX(COA_Mapping!$C$7:$C$256,$Q3207)))</f>
        <v/>
      </c>
      <c r="N3207" s="38" t="str">
        <f aca="false">IF($A3207="","",IF($Q3207=0,"",INDEX(COA_Mapping!$E$7:$E$256,$Q3207)))</f>
        <v/>
      </c>
      <c r="O3207" s="38" t="n">
        <f aca="false">IF($A3207="",1,IF($Q3207=0,1,INDEX(COA_Mapping!$F$7:$F$256,$Q3207)))</f>
        <v>1</v>
      </c>
      <c r="P3207" s="34" t="str">
        <f aca="false">IF($A3207="","",$I3207*$O3207)</f>
        <v/>
      </c>
      <c r="Q3207" s="39" t="n">
        <f aca="false">IF($B3207="",0,IFERROR(MATCH($B3207,COA_Mapping!$A$7:$A$256,0),0))</f>
        <v>0</v>
      </c>
      <c r="R3207" s="39" t="n">
        <f aca="false">IF($A3207="",-1,IF($J3207=Setup!$B$7,1,IF($J3207=Setup!$B$9,0,-1)))</f>
        <v>-1</v>
      </c>
      <c r="S3207" s="35" t="n">
        <f aca="false">IF(OR($A3207="",$Q3207=0,$R3207=-1),0,$Q3207*1000+$R3207*100+$K3207)</f>
        <v>0</v>
      </c>
      <c r="T3207" s="37" t="str">
        <f aca="false">IF($A3207="","",IF($B3207="","NO ACCOUNT",IF($Q3207=0,"UNMAPPED",IF($R3207=-1,"OUTSIDE FY RANGE","OK"))))</f>
        <v/>
      </c>
      <c r="U3207" s="40" t="str">
        <f aca="false">IF($A3207="","",$B3207&amp;"|"&amp;TEXT($A3207,"yyyymmdd")&amp;"|"&amp;TEXT($I3207,"0.00"))</f>
        <v/>
      </c>
      <c r="V3207" s="35" t="str">
        <f aca="false">IF($A3207="","",COUNTIF($U$8:$U$5007,$U3207))</f>
        <v/>
      </c>
    </row>
    <row r="3208" customFormat="false" ht="15" hidden="false" customHeight="false" outlineLevel="0" collapsed="false">
      <c r="A3208" s="31"/>
      <c r="B3208" s="32"/>
      <c r="C3208" s="32"/>
      <c r="D3208" s="32"/>
      <c r="E3208" s="32"/>
      <c r="F3208" s="32"/>
      <c r="G3208" s="33"/>
      <c r="H3208" s="33"/>
      <c r="I3208" s="34" t="str">
        <f aca="false">IF($A3208="","",$G3208-$H3208)</f>
        <v/>
      </c>
      <c r="J3208" s="35" t="str">
        <f aca="false">IF($A3208="","",IF(Setup!$B$6=1,YEAR($A3208),YEAR($A3208)+IF(MONTH($A3208)&gt;=Setup!$B$6,1,0)))</f>
        <v/>
      </c>
      <c r="K3208" s="35" t="str">
        <f aca="false">IF($A3208="","",MOD(MONTH($A3208)-Setup!$B$6+12,12)+1)</f>
        <v/>
      </c>
      <c r="L3208" s="36" t="str">
        <f aca="false">IF($A3208="","",TEXT($A3208,"MMM-YY"))</f>
        <v/>
      </c>
      <c r="M3208" s="37" t="str">
        <f aca="false">IF($A3208="","",IF($Q3208=0,"UNMAPPED",INDEX(COA_Mapping!$C$7:$C$256,$Q3208)))</f>
        <v/>
      </c>
      <c r="N3208" s="38" t="str">
        <f aca="false">IF($A3208="","",IF($Q3208=0,"",INDEX(COA_Mapping!$E$7:$E$256,$Q3208)))</f>
        <v/>
      </c>
      <c r="O3208" s="38" t="n">
        <f aca="false">IF($A3208="",1,IF($Q3208=0,1,INDEX(COA_Mapping!$F$7:$F$256,$Q3208)))</f>
        <v>1</v>
      </c>
      <c r="P3208" s="34" t="str">
        <f aca="false">IF($A3208="","",$I3208*$O3208)</f>
        <v/>
      </c>
      <c r="Q3208" s="39" t="n">
        <f aca="false">IF($B3208="",0,IFERROR(MATCH($B3208,COA_Mapping!$A$7:$A$256,0),0))</f>
        <v>0</v>
      </c>
      <c r="R3208" s="39" t="n">
        <f aca="false">IF($A3208="",-1,IF($J3208=Setup!$B$7,1,IF($J3208=Setup!$B$9,0,-1)))</f>
        <v>-1</v>
      </c>
      <c r="S3208" s="35" t="n">
        <f aca="false">IF(OR($A3208="",$Q3208=0,$R3208=-1),0,$Q3208*1000+$R3208*100+$K3208)</f>
        <v>0</v>
      </c>
      <c r="T3208" s="37" t="str">
        <f aca="false">IF($A3208="","",IF($B3208="","NO ACCOUNT",IF($Q3208=0,"UNMAPPED",IF($R3208=-1,"OUTSIDE FY RANGE","OK"))))</f>
        <v/>
      </c>
      <c r="U3208" s="40" t="str">
        <f aca="false">IF($A3208="","",$B3208&amp;"|"&amp;TEXT($A3208,"yyyymmdd")&amp;"|"&amp;TEXT($I3208,"0.00"))</f>
        <v/>
      </c>
      <c r="V3208" s="35" t="str">
        <f aca="false">IF($A3208="","",COUNTIF($U$8:$U$5007,$U3208))</f>
        <v/>
      </c>
    </row>
    <row r="3209" customFormat="false" ht="15" hidden="false" customHeight="false" outlineLevel="0" collapsed="false">
      <c r="A3209" s="31"/>
      <c r="B3209" s="32"/>
      <c r="C3209" s="32"/>
      <c r="D3209" s="32"/>
      <c r="E3209" s="32"/>
      <c r="F3209" s="32"/>
      <c r="G3209" s="33"/>
      <c r="H3209" s="33"/>
      <c r="I3209" s="34" t="str">
        <f aca="false">IF($A3209="","",$G3209-$H3209)</f>
        <v/>
      </c>
      <c r="J3209" s="35" t="str">
        <f aca="false">IF($A3209="","",IF(Setup!$B$6=1,YEAR($A3209),YEAR($A3209)+IF(MONTH($A3209)&gt;=Setup!$B$6,1,0)))</f>
        <v/>
      </c>
      <c r="K3209" s="35" t="str">
        <f aca="false">IF($A3209="","",MOD(MONTH($A3209)-Setup!$B$6+12,12)+1)</f>
        <v/>
      </c>
      <c r="L3209" s="36" t="str">
        <f aca="false">IF($A3209="","",TEXT($A3209,"MMM-YY"))</f>
        <v/>
      </c>
      <c r="M3209" s="37" t="str">
        <f aca="false">IF($A3209="","",IF($Q3209=0,"UNMAPPED",INDEX(COA_Mapping!$C$7:$C$256,$Q3209)))</f>
        <v/>
      </c>
      <c r="N3209" s="38" t="str">
        <f aca="false">IF($A3209="","",IF($Q3209=0,"",INDEX(COA_Mapping!$E$7:$E$256,$Q3209)))</f>
        <v/>
      </c>
      <c r="O3209" s="38" t="n">
        <f aca="false">IF($A3209="",1,IF($Q3209=0,1,INDEX(COA_Mapping!$F$7:$F$256,$Q3209)))</f>
        <v>1</v>
      </c>
      <c r="P3209" s="34" t="str">
        <f aca="false">IF($A3209="","",$I3209*$O3209)</f>
        <v/>
      </c>
      <c r="Q3209" s="39" t="n">
        <f aca="false">IF($B3209="",0,IFERROR(MATCH($B3209,COA_Mapping!$A$7:$A$256,0),0))</f>
        <v>0</v>
      </c>
      <c r="R3209" s="39" t="n">
        <f aca="false">IF($A3209="",-1,IF($J3209=Setup!$B$7,1,IF($J3209=Setup!$B$9,0,-1)))</f>
        <v>-1</v>
      </c>
      <c r="S3209" s="35" t="n">
        <f aca="false">IF(OR($A3209="",$Q3209=0,$R3209=-1),0,$Q3209*1000+$R3209*100+$K3209)</f>
        <v>0</v>
      </c>
      <c r="T3209" s="37" t="str">
        <f aca="false">IF($A3209="","",IF($B3209="","NO ACCOUNT",IF($Q3209=0,"UNMAPPED",IF($R3209=-1,"OUTSIDE FY RANGE","OK"))))</f>
        <v/>
      </c>
      <c r="U3209" s="40" t="str">
        <f aca="false">IF($A3209="","",$B3209&amp;"|"&amp;TEXT($A3209,"yyyymmdd")&amp;"|"&amp;TEXT($I3209,"0.00"))</f>
        <v/>
      </c>
      <c r="V3209" s="35" t="str">
        <f aca="false">IF($A3209="","",COUNTIF($U$8:$U$5007,$U3209))</f>
        <v/>
      </c>
    </row>
    <row r="3210" customFormat="false" ht="15" hidden="false" customHeight="false" outlineLevel="0" collapsed="false">
      <c r="A3210" s="31"/>
      <c r="B3210" s="32"/>
      <c r="C3210" s="32"/>
      <c r="D3210" s="32"/>
      <c r="E3210" s="32"/>
      <c r="F3210" s="32"/>
      <c r="G3210" s="33"/>
      <c r="H3210" s="33"/>
      <c r="I3210" s="34" t="str">
        <f aca="false">IF($A3210="","",$G3210-$H3210)</f>
        <v/>
      </c>
      <c r="J3210" s="35" t="str">
        <f aca="false">IF($A3210="","",IF(Setup!$B$6=1,YEAR($A3210),YEAR($A3210)+IF(MONTH($A3210)&gt;=Setup!$B$6,1,0)))</f>
        <v/>
      </c>
      <c r="K3210" s="35" t="str">
        <f aca="false">IF($A3210="","",MOD(MONTH($A3210)-Setup!$B$6+12,12)+1)</f>
        <v/>
      </c>
      <c r="L3210" s="36" t="str">
        <f aca="false">IF($A3210="","",TEXT($A3210,"MMM-YY"))</f>
        <v/>
      </c>
      <c r="M3210" s="37" t="str">
        <f aca="false">IF($A3210="","",IF($Q3210=0,"UNMAPPED",INDEX(COA_Mapping!$C$7:$C$256,$Q3210)))</f>
        <v/>
      </c>
      <c r="N3210" s="38" t="str">
        <f aca="false">IF($A3210="","",IF($Q3210=0,"",INDEX(COA_Mapping!$E$7:$E$256,$Q3210)))</f>
        <v/>
      </c>
      <c r="O3210" s="38" t="n">
        <f aca="false">IF($A3210="",1,IF($Q3210=0,1,INDEX(COA_Mapping!$F$7:$F$256,$Q3210)))</f>
        <v>1</v>
      </c>
      <c r="P3210" s="34" t="str">
        <f aca="false">IF($A3210="","",$I3210*$O3210)</f>
        <v/>
      </c>
      <c r="Q3210" s="39" t="n">
        <f aca="false">IF($B3210="",0,IFERROR(MATCH($B3210,COA_Mapping!$A$7:$A$256,0),0))</f>
        <v>0</v>
      </c>
      <c r="R3210" s="39" t="n">
        <f aca="false">IF($A3210="",-1,IF($J3210=Setup!$B$7,1,IF($J3210=Setup!$B$9,0,-1)))</f>
        <v>-1</v>
      </c>
      <c r="S3210" s="35" t="n">
        <f aca="false">IF(OR($A3210="",$Q3210=0,$R3210=-1),0,$Q3210*1000+$R3210*100+$K3210)</f>
        <v>0</v>
      </c>
      <c r="T3210" s="37" t="str">
        <f aca="false">IF($A3210="","",IF($B3210="","NO ACCOUNT",IF($Q3210=0,"UNMAPPED",IF($R3210=-1,"OUTSIDE FY RANGE","OK"))))</f>
        <v/>
      </c>
      <c r="U3210" s="40" t="str">
        <f aca="false">IF($A3210="","",$B3210&amp;"|"&amp;TEXT($A3210,"yyyymmdd")&amp;"|"&amp;TEXT($I3210,"0.00"))</f>
        <v/>
      </c>
      <c r="V3210" s="35" t="str">
        <f aca="false">IF($A3210="","",COUNTIF($U$8:$U$5007,$U3210))</f>
        <v/>
      </c>
    </row>
    <row r="3211" customFormat="false" ht="15" hidden="false" customHeight="false" outlineLevel="0" collapsed="false">
      <c r="A3211" s="31"/>
      <c r="B3211" s="32"/>
      <c r="C3211" s="32"/>
      <c r="D3211" s="32"/>
      <c r="E3211" s="32"/>
      <c r="F3211" s="32"/>
      <c r="G3211" s="33"/>
      <c r="H3211" s="33"/>
      <c r="I3211" s="34" t="str">
        <f aca="false">IF($A3211="","",$G3211-$H3211)</f>
        <v/>
      </c>
      <c r="J3211" s="35" t="str">
        <f aca="false">IF($A3211="","",IF(Setup!$B$6=1,YEAR($A3211),YEAR($A3211)+IF(MONTH($A3211)&gt;=Setup!$B$6,1,0)))</f>
        <v/>
      </c>
      <c r="K3211" s="35" t="str">
        <f aca="false">IF($A3211="","",MOD(MONTH($A3211)-Setup!$B$6+12,12)+1)</f>
        <v/>
      </c>
      <c r="L3211" s="36" t="str">
        <f aca="false">IF($A3211="","",TEXT($A3211,"MMM-YY"))</f>
        <v/>
      </c>
      <c r="M3211" s="37" t="str">
        <f aca="false">IF($A3211="","",IF($Q3211=0,"UNMAPPED",INDEX(COA_Mapping!$C$7:$C$256,$Q3211)))</f>
        <v/>
      </c>
      <c r="N3211" s="38" t="str">
        <f aca="false">IF($A3211="","",IF($Q3211=0,"",INDEX(COA_Mapping!$E$7:$E$256,$Q3211)))</f>
        <v/>
      </c>
      <c r="O3211" s="38" t="n">
        <f aca="false">IF($A3211="",1,IF($Q3211=0,1,INDEX(COA_Mapping!$F$7:$F$256,$Q3211)))</f>
        <v>1</v>
      </c>
      <c r="P3211" s="34" t="str">
        <f aca="false">IF($A3211="","",$I3211*$O3211)</f>
        <v/>
      </c>
      <c r="Q3211" s="39" t="n">
        <f aca="false">IF($B3211="",0,IFERROR(MATCH($B3211,COA_Mapping!$A$7:$A$256,0),0))</f>
        <v>0</v>
      </c>
      <c r="R3211" s="39" t="n">
        <f aca="false">IF($A3211="",-1,IF($J3211=Setup!$B$7,1,IF($J3211=Setup!$B$9,0,-1)))</f>
        <v>-1</v>
      </c>
      <c r="S3211" s="35" t="n">
        <f aca="false">IF(OR($A3211="",$Q3211=0,$R3211=-1),0,$Q3211*1000+$R3211*100+$K3211)</f>
        <v>0</v>
      </c>
      <c r="T3211" s="37" t="str">
        <f aca="false">IF($A3211="","",IF($B3211="","NO ACCOUNT",IF($Q3211=0,"UNMAPPED",IF($R3211=-1,"OUTSIDE FY RANGE","OK"))))</f>
        <v/>
      </c>
      <c r="U3211" s="40" t="str">
        <f aca="false">IF($A3211="","",$B3211&amp;"|"&amp;TEXT($A3211,"yyyymmdd")&amp;"|"&amp;TEXT($I3211,"0.00"))</f>
        <v/>
      </c>
      <c r="V3211" s="35" t="str">
        <f aca="false">IF($A3211="","",COUNTIF($U$8:$U$5007,$U3211))</f>
        <v/>
      </c>
    </row>
    <row r="3212" customFormat="false" ht="15" hidden="false" customHeight="false" outlineLevel="0" collapsed="false">
      <c r="A3212" s="31"/>
      <c r="B3212" s="32"/>
      <c r="C3212" s="32"/>
      <c r="D3212" s="32"/>
      <c r="E3212" s="32"/>
      <c r="F3212" s="32"/>
      <c r="G3212" s="33"/>
      <c r="H3212" s="33"/>
      <c r="I3212" s="34" t="str">
        <f aca="false">IF($A3212="","",$G3212-$H3212)</f>
        <v/>
      </c>
      <c r="J3212" s="35" t="str">
        <f aca="false">IF($A3212="","",IF(Setup!$B$6=1,YEAR($A3212),YEAR($A3212)+IF(MONTH($A3212)&gt;=Setup!$B$6,1,0)))</f>
        <v/>
      </c>
      <c r="K3212" s="35" t="str">
        <f aca="false">IF($A3212="","",MOD(MONTH($A3212)-Setup!$B$6+12,12)+1)</f>
        <v/>
      </c>
      <c r="L3212" s="36" t="str">
        <f aca="false">IF($A3212="","",TEXT($A3212,"MMM-YY"))</f>
        <v/>
      </c>
      <c r="M3212" s="37" t="str">
        <f aca="false">IF($A3212="","",IF($Q3212=0,"UNMAPPED",INDEX(COA_Mapping!$C$7:$C$256,$Q3212)))</f>
        <v/>
      </c>
      <c r="N3212" s="38" t="str">
        <f aca="false">IF($A3212="","",IF($Q3212=0,"",INDEX(COA_Mapping!$E$7:$E$256,$Q3212)))</f>
        <v/>
      </c>
      <c r="O3212" s="38" t="n">
        <f aca="false">IF($A3212="",1,IF($Q3212=0,1,INDEX(COA_Mapping!$F$7:$F$256,$Q3212)))</f>
        <v>1</v>
      </c>
      <c r="P3212" s="34" t="str">
        <f aca="false">IF($A3212="","",$I3212*$O3212)</f>
        <v/>
      </c>
      <c r="Q3212" s="39" t="n">
        <f aca="false">IF($B3212="",0,IFERROR(MATCH($B3212,COA_Mapping!$A$7:$A$256,0),0))</f>
        <v>0</v>
      </c>
      <c r="R3212" s="39" t="n">
        <f aca="false">IF($A3212="",-1,IF($J3212=Setup!$B$7,1,IF($J3212=Setup!$B$9,0,-1)))</f>
        <v>-1</v>
      </c>
      <c r="S3212" s="35" t="n">
        <f aca="false">IF(OR($A3212="",$Q3212=0,$R3212=-1),0,$Q3212*1000+$R3212*100+$K3212)</f>
        <v>0</v>
      </c>
      <c r="T3212" s="37" t="str">
        <f aca="false">IF($A3212="","",IF($B3212="","NO ACCOUNT",IF($Q3212=0,"UNMAPPED",IF($R3212=-1,"OUTSIDE FY RANGE","OK"))))</f>
        <v/>
      </c>
      <c r="U3212" s="40" t="str">
        <f aca="false">IF($A3212="","",$B3212&amp;"|"&amp;TEXT($A3212,"yyyymmdd")&amp;"|"&amp;TEXT($I3212,"0.00"))</f>
        <v/>
      </c>
      <c r="V3212" s="35" t="str">
        <f aca="false">IF($A3212="","",COUNTIF($U$8:$U$5007,$U3212))</f>
        <v/>
      </c>
    </row>
    <row r="3213" customFormat="false" ht="15" hidden="false" customHeight="false" outlineLevel="0" collapsed="false">
      <c r="A3213" s="31"/>
      <c r="B3213" s="32"/>
      <c r="C3213" s="32"/>
      <c r="D3213" s="32"/>
      <c r="E3213" s="32"/>
      <c r="F3213" s="32"/>
      <c r="G3213" s="33"/>
      <c r="H3213" s="33"/>
      <c r="I3213" s="34" t="str">
        <f aca="false">IF($A3213="","",$G3213-$H3213)</f>
        <v/>
      </c>
      <c r="J3213" s="35" t="str">
        <f aca="false">IF($A3213="","",IF(Setup!$B$6=1,YEAR($A3213),YEAR($A3213)+IF(MONTH($A3213)&gt;=Setup!$B$6,1,0)))</f>
        <v/>
      </c>
      <c r="K3213" s="35" t="str">
        <f aca="false">IF($A3213="","",MOD(MONTH($A3213)-Setup!$B$6+12,12)+1)</f>
        <v/>
      </c>
      <c r="L3213" s="36" t="str">
        <f aca="false">IF($A3213="","",TEXT($A3213,"MMM-YY"))</f>
        <v/>
      </c>
      <c r="M3213" s="37" t="str">
        <f aca="false">IF($A3213="","",IF($Q3213=0,"UNMAPPED",INDEX(COA_Mapping!$C$7:$C$256,$Q3213)))</f>
        <v/>
      </c>
      <c r="N3213" s="38" t="str">
        <f aca="false">IF($A3213="","",IF($Q3213=0,"",INDEX(COA_Mapping!$E$7:$E$256,$Q3213)))</f>
        <v/>
      </c>
      <c r="O3213" s="38" t="n">
        <f aca="false">IF($A3213="",1,IF($Q3213=0,1,INDEX(COA_Mapping!$F$7:$F$256,$Q3213)))</f>
        <v>1</v>
      </c>
      <c r="P3213" s="34" t="str">
        <f aca="false">IF($A3213="","",$I3213*$O3213)</f>
        <v/>
      </c>
      <c r="Q3213" s="39" t="n">
        <f aca="false">IF($B3213="",0,IFERROR(MATCH($B3213,COA_Mapping!$A$7:$A$256,0),0))</f>
        <v>0</v>
      </c>
      <c r="R3213" s="39" t="n">
        <f aca="false">IF($A3213="",-1,IF($J3213=Setup!$B$7,1,IF($J3213=Setup!$B$9,0,-1)))</f>
        <v>-1</v>
      </c>
      <c r="S3213" s="35" t="n">
        <f aca="false">IF(OR($A3213="",$Q3213=0,$R3213=-1),0,$Q3213*1000+$R3213*100+$K3213)</f>
        <v>0</v>
      </c>
      <c r="T3213" s="37" t="str">
        <f aca="false">IF($A3213="","",IF($B3213="","NO ACCOUNT",IF($Q3213=0,"UNMAPPED",IF($R3213=-1,"OUTSIDE FY RANGE","OK"))))</f>
        <v/>
      </c>
      <c r="U3213" s="40" t="str">
        <f aca="false">IF($A3213="","",$B3213&amp;"|"&amp;TEXT($A3213,"yyyymmdd")&amp;"|"&amp;TEXT($I3213,"0.00"))</f>
        <v/>
      </c>
      <c r="V3213" s="35" t="str">
        <f aca="false">IF($A3213="","",COUNTIF($U$8:$U$5007,$U3213))</f>
        <v/>
      </c>
    </row>
    <row r="3214" customFormat="false" ht="15" hidden="false" customHeight="false" outlineLevel="0" collapsed="false">
      <c r="A3214" s="31"/>
      <c r="B3214" s="32"/>
      <c r="C3214" s="32"/>
      <c r="D3214" s="32"/>
      <c r="E3214" s="32"/>
      <c r="F3214" s="32"/>
      <c r="G3214" s="33"/>
      <c r="H3214" s="33"/>
      <c r="I3214" s="34" t="str">
        <f aca="false">IF($A3214="","",$G3214-$H3214)</f>
        <v/>
      </c>
      <c r="J3214" s="35" t="str">
        <f aca="false">IF($A3214="","",IF(Setup!$B$6=1,YEAR($A3214),YEAR($A3214)+IF(MONTH($A3214)&gt;=Setup!$B$6,1,0)))</f>
        <v/>
      </c>
      <c r="K3214" s="35" t="str">
        <f aca="false">IF($A3214="","",MOD(MONTH($A3214)-Setup!$B$6+12,12)+1)</f>
        <v/>
      </c>
      <c r="L3214" s="36" t="str">
        <f aca="false">IF($A3214="","",TEXT($A3214,"MMM-YY"))</f>
        <v/>
      </c>
      <c r="M3214" s="37" t="str">
        <f aca="false">IF($A3214="","",IF($Q3214=0,"UNMAPPED",INDEX(COA_Mapping!$C$7:$C$256,$Q3214)))</f>
        <v/>
      </c>
      <c r="N3214" s="38" t="str">
        <f aca="false">IF($A3214="","",IF($Q3214=0,"",INDEX(COA_Mapping!$E$7:$E$256,$Q3214)))</f>
        <v/>
      </c>
      <c r="O3214" s="38" t="n">
        <f aca="false">IF($A3214="",1,IF($Q3214=0,1,INDEX(COA_Mapping!$F$7:$F$256,$Q3214)))</f>
        <v>1</v>
      </c>
      <c r="P3214" s="34" t="str">
        <f aca="false">IF($A3214="","",$I3214*$O3214)</f>
        <v/>
      </c>
      <c r="Q3214" s="39" t="n">
        <f aca="false">IF($B3214="",0,IFERROR(MATCH($B3214,COA_Mapping!$A$7:$A$256,0),0))</f>
        <v>0</v>
      </c>
      <c r="R3214" s="39" t="n">
        <f aca="false">IF($A3214="",-1,IF($J3214=Setup!$B$7,1,IF($J3214=Setup!$B$9,0,-1)))</f>
        <v>-1</v>
      </c>
      <c r="S3214" s="35" t="n">
        <f aca="false">IF(OR($A3214="",$Q3214=0,$R3214=-1),0,$Q3214*1000+$R3214*100+$K3214)</f>
        <v>0</v>
      </c>
      <c r="T3214" s="37" t="str">
        <f aca="false">IF($A3214="","",IF($B3214="","NO ACCOUNT",IF($Q3214=0,"UNMAPPED",IF($R3214=-1,"OUTSIDE FY RANGE","OK"))))</f>
        <v/>
      </c>
      <c r="U3214" s="40" t="str">
        <f aca="false">IF($A3214="","",$B3214&amp;"|"&amp;TEXT($A3214,"yyyymmdd")&amp;"|"&amp;TEXT($I3214,"0.00"))</f>
        <v/>
      </c>
      <c r="V3214" s="35" t="str">
        <f aca="false">IF($A3214="","",COUNTIF($U$8:$U$5007,$U3214))</f>
        <v/>
      </c>
    </row>
    <row r="3215" customFormat="false" ht="15" hidden="false" customHeight="false" outlineLevel="0" collapsed="false">
      <c r="A3215" s="31"/>
      <c r="B3215" s="32"/>
      <c r="C3215" s="32"/>
      <c r="D3215" s="32"/>
      <c r="E3215" s="32"/>
      <c r="F3215" s="32"/>
      <c r="G3215" s="33"/>
      <c r="H3215" s="33"/>
      <c r="I3215" s="34" t="str">
        <f aca="false">IF($A3215="","",$G3215-$H3215)</f>
        <v/>
      </c>
      <c r="J3215" s="35" t="str">
        <f aca="false">IF($A3215="","",IF(Setup!$B$6=1,YEAR($A3215),YEAR($A3215)+IF(MONTH($A3215)&gt;=Setup!$B$6,1,0)))</f>
        <v/>
      </c>
      <c r="K3215" s="35" t="str">
        <f aca="false">IF($A3215="","",MOD(MONTH($A3215)-Setup!$B$6+12,12)+1)</f>
        <v/>
      </c>
      <c r="L3215" s="36" t="str">
        <f aca="false">IF($A3215="","",TEXT($A3215,"MMM-YY"))</f>
        <v/>
      </c>
      <c r="M3215" s="37" t="str">
        <f aca="false">IF($A3215="","",IF($Q3215=0,"UNMAPPED",INDEX(COA_Mapping!$C$7:$C$256,$Q3215)))</f>
        <v/>
      </c>
      <c r="N3215" s="38" t="str">
        <f aca="false">IF($A3215="","",IF($Q3215=0,"",INDEX(COA_Mapping!$E$7:$E$256,$Q3215)))</f>
        <v/>
      </c>
      <c r="O3215" s="38" t="n">
        <f aca="false">IF($A3215="",1,IF($Q3215=0,1,INDEX(COA_Mapping!$F$7:$F$256,$Q3215)))</f>
        <v>1</v>
      </c>
      <c r="P3215" s="34" t="str">
        <f aca="false">IF($A3215="","",$I3215*$O3215)</f>
        <v/>
      </c>
      <c r="Q3215" s="39" t="n">
        <f aca="false">IF($B3215="",0,IFERROR(MATCH($B3215,COA_Mapping!$A$7:$A$256,0),0))</f>
        <v>0</v>
      </c>
      <c r="R3215" s="39" t="n">
        <f aca="false">IF($A3215="",-1,IF($J3215=Setup!$B$7,1,IF($J3215=Setup!$B$9,0,-1)))</f>
        <v>-1</v>
      </c>
      <c r="S3215" s="35" t="n">
        <f aca="false">IF(OR($A3215="",$Q3215=0,$R3215=-1),0,$Q3215*1000+$R3215*100+$K3215)</f>
        <v>0</v>
      </c>
      <c r="T3215" s="37" t="str">
        <f aca="false">IF($A3215="","",IF($B3215="","NO ACCOUNT",IF($Q3215=0,"UNMAPPED",IF($R3215=-1,"OUTSIDE FY RANGE","OK"))))</f>
        <v/>
      </c>
      <c r="U3215" s="40" t="str">
        <f aca="false">IF($A3215="","",$B3215&amp;"|"&amp;TEXT($A3215,"yyyymmdd")&amp;"|"&amp;TEXT($I3215,"0.00"))</f>
        <v/>
      </c>
      <c r="V3215" s="35" t="str">
        <f aca="false">IF($A3215="","",COUNTIF($U$8:$U$5007,$U3215))</f>
        <v/>
      </c>
    </row>
    <row r="3216" customFormat="false" ht="15" hidden="false" customHeight="false" outlineLevel="0" collapsed="false">
      <c r="A3216" s="31"/>
      <c r="B3216" s="32"/>
      <c r="C3216" s="32"/>
      <c r="D3216" s="32"/>
      <c r="E3216" s="32"/>
      <c r="F3216" s="32"/>
      <c r="G3216" s="33"/>
      <c r="H3216" s="33"/>
      <c r="I3216" s="34" t="str">
        <f aca="false">IF($A3216="","",$G3216-$H3216)</f>
        <v/>
      </c>
      <c r="J3216" s="35" t="str">
        <f aca="false">IF($A3216="","",IF(Setup!$B$6=1,YEAR($A3216),YEAR($A3216)+IF(MONTH($A3216)&gt;=Setup!$B$6,1,0)))</f>
        <v/>
      </c>
      <c r="K3216" s="35" t="str">
        <f aca="false">IF($A3216="","",MOD(MONTH($A3216)-Setup!$B$6+12,12)+1)</f>
        <v/>
      </c>
      <c r="L3216" s="36" t="str">
        <f aca="false">IF($A3216="","",TEXT($A3216,"MMM-YY"))</f>
        <v/>
      </c>
      <c r="M3216" s="37" t="str">
        <f aca="false">IF($A3216="","",IF($Q3216=0,"UNMAPPED",INDEX(COA_Mapping!$C$7:$C$256,$Q3216)))</f>
        <v/>
      </c>
      <c r="N3216" s="38" t="str">
        <f aca="false">IF($A3216="","",IF($Q3216=0,"",INDEX(COA_Mapping!$E$7:$E$256,$Q3216)))</f>
        <v/>
      </c>
      <c r="O3216" s="38" t="n">
        <f aca="false">IF($A3216="",1,IF($Q3216=0,1,INDEX(COA_Mapping!$F$7:$F$256,$Q3216)))</f>
        <v>1</v>
      </c>
      <c r="P3216" s="34" t="str">
        <f aca="false">IF($A3216="","",$I3216*$O3216)</f>
        <v/>
      </c>
      <c r="Q3216" s="39" t="n">
        <f aca="false">IF($B3216="",0,IFERROR(MATCH($B3216,COA_Mapping!$A$7:$A$256,0),0))</f>
        <v>0</v>
      </c>
      <c r="R3216" s="39" t="n">
        <f aca="false">IF($A3216="",-1,IF($J3216=Setup!$B$7,1,IF($J3216=Setup!$B$9,0,-1)))</f>
        <v>-1</v>
      </c>
      <c r="S3216" s="35" t="n">
        <f aca="false">IF(OR($A3216="",$Q3216=0,$R3216=-1),0,$Q3216*1000+$R3216*100+$K3216)</f>
        <v>0</v>
      </c>
      <c r="T3216" s="37" t="str">
        <f aca="false">IF($A3216="","",IF($B3216="","NO ACCOUNT",IF($Q3216=0,"UNMAPPED",IF($R3216=-1,"OUTSIDE FY RANGE","OK"))))</f>
        <v/>
      </c>
      <c r="U3216" s="40" t="str">
        <f aca="false">IF($A3216="","",$B3216&amp;"|"&amp;TEXT($A3216,"yyyymmdd")&amp;"|"&amp;TEXT($I3216,"0.00"))</f>
        <v/>
      </c>
      <c r="V3216" s="35" t="str">
        <f aca="false">IF($A3216="","",COUNTIF($U$8:$U$5007,$U3216))</f>
        <v/>
      </c>
    </row>
    <row r="3217" customFormat="false" ht="15" hidden="false" customHeight="false" outlineLevel="0" collapsed="false">
      <c r="A3217" s="31"/>
      <c r="B3217" s="32"/>
      <c r="C3217" s="32"/>
      <c r="D3217" s="32"/>
      <c r="E3217" s="32"/>
      <c r="F3217" s="32"/>
      <c r="G3217" s="33"/>
      <c r="H3217" s="33"/>
      <c r="I3217" s="34" t="str">
        <f aca="false">IF($A3217="","",$G3217-$H3217)</f>
        <v/>
      </c>
      <c r="J3217" s="35" t="str">
        <f aca="false">IF($A3217="","",IF(Setup!$B$6=1,YEAR($A3217),YEAR($A3217)+IF(MONTH($A3217)&gt;=Setup!$B$6,1,0)))</f>
        <v/>
      </c>
      <c r="K3217" s="35" t="str">
        <f aca="false">IF($A3217="","",MOD(MONTH($A3217)-Setup!$B$6+12,12)+1)</f>
        <v/>
      </c>
      <c r="L3217" s="36" t="str">
        <f aca="false">IF($A3217="","",TEXT($A3217,"MMM-YY"))</f>
        <v/>
      </c>
      <c r="M3217" s="37" t="str">
        <f aca="false">IF($A3217="","",IF($Q3217=0,"UNMAPPED",INDEX(COA_Mapping!$C$7:$C$256,$Q3217)))</f>
        <v/>
      </c>
      <c r="N3217" s="38" t="str">
        <f aca="false">IF($A3217="","",IF($Q3217=0,"",INDEX(COA_Mapping!$E$7:$E$256,$Q3217)))</f>
        <v/>
      </c>
      <c r="O3217" s="38" t="n">
        <f aca="false">IF($A3217="",1,IF($Q3217=0,1,INDEX(COA_Mapping!$F$7:$F$256,$Q3217)))</f>
        <v>1</v>
      </c>
      <c r="P3217" s="34" t="str">
        <f aca="false">IF($A3217="","",$I3217*$O3217)</f>
        <v/>
      </c>
      <c r="Q3217" s="39" t="n">
        <f aca="false">IF($B3217="",0,IFERROR(MATCH($B3217,COA_Mapping!$A$7:$A$256,0),0))</f>
        <v>0</v>
      </c>
      <c r="R3217" s="39" t="n">
        <f aca="false">IF($A3217="",-1,IF($J3217=Setup!$B$7,1,IF($J3217=Setup!$B$9,0,-1)))</f>
        <v>-1</v>
      </c>
      <c r="S3217" s="35" t="n">
        <f aca="false">IF(OR($A3217="",$Q3217=0,$R3217=-1),0,$Q3217*1000+$R3217*100+$K3217)</f>
        <v>0</v>
      </c>
      <c r="T3217" s="37" t="str">
        <f aca="false">IF($A3217="","",IF($B3217="","NO ACCOUNT",IF($Q3217=0,"UNMAPPED",IF($R3217=-1,"OUTSIDE FY RANGE","OK"))))</f>
        <v/>
      </c>
      <c r="U3217" s="40" t="str">
        <f aca="false">IF($A3217="","",$B3217&amp;"|"&amp;TEXT($A3217,"yyyymmdd")&amp;"|"&amp;TEXT($I3217,"0.00"))</f>
        <v/>
      </c>
      <c r="V3217" s="35" t="str">
        <f aca="false">IF($A3217="","",COUNTIF($U$8:$U$5007,$U3217))</f>
        <v/>
      </c>
    </row>
    <row r="3218" customFormat="false" ht="15" hidden="false" customHeight="false" outlineLevel="0" collapsed="false">
      <c r="A3218" s="31"/>
      <c r="B3218" s="32"/>
      <c r="C3218" s="32"/>
      <c r="D3218" s="32"/>
      <c r="E3218" s="32"/>
      <c r="F3218" s="32"/>
      <c r="G3218" s="33"/>
      <c r="H3218" s="33"/>
      <c r="I3218" s="34" t="str">
        <f aca="false">IF($A3218="","",$G3218-$H3218)</f>
        <v/>
      </c>
      <c r="J3218" s="35" t="str">
        <f aca="false">IF($A3218="","",IF(Setup!$B$6=1,YEAR($A3218),YEAR($A3218)+IF(MONTH($A3218)&gt;=Setup!$B$6,1,0)))</f>
        <v/>
      </c>
      <c r="K3218" s="35" t="str">
        <f aca="false">IF($A3218="","",MOD(MONTH($A3218)-Setup!$B$6+12,12)+1)</f>
        <v/>
      </c>
      <c r="L3218" s="36" t="str">
        <f aca="false">IF($A3218="","",TEXT($A3218,"MMM-YY"))</f>
        <v/>
      </c>
      <c r="M3218" s="37" t="str">
        <f aca="false">IF($A3218="","",IF($Q3218=0,"UNMAPPED",INDEX(COA_Mapping!$C$7:$C$256,$Q3218)))</f>
        <v/>
      </c>
      <c r="N3218" s="38" t="str">
        <f aca="false">IF($A3218="","",IF($Q3218=0,"",INDEX(COA_Mapping!$E$7:$E$256,$Q3218)))</f>
        <v/>
      </c>
      <c r="O3218" s="38" t="n">
        <f aca="false">IF($A3218="",1,IF($Q3218=0,1,INDEX(COA_Mapping!$F$7:$F$256,$Q3218)))</f>
        <v>1</v>
      </c>
      <c r="P3218" s="34" t="str">
        <f aca="false">IF($A3218="","",$I3218*$O3218)</f>
        <v/>
      </c>
      <c r="Q3218" s="39" t="n">
        <f aca="false">IF($B3218="",0,IFERROR(MATCH($B3218,COA_Mapping!$A$7:$A$256,0),0))</f>
        <v>0</v>
      </c>
      <c r="R3218" s="39" t="n">
        <f aca="false">IF($A3218="",-1,IF($J3218=Setup!$B$7,1,IF($J3218=Setup!$B$9,0,-1)))</f>
        <v>-1</v>
      </c>
      <c r="S3218" s="35" t="n">
        <f aca="false">IF(OR($A3218="",$Q3218=0,$R3218=-1),0,$Q3218*1000+$R3218*100+$K3218)</f>
        <v>0</v>
      </c>
      <c r="T3218" s="37" t="str">
        <f aca="false">IF($A3218="","",IF($B3218="","NO ACCOUNT",IF($Q3218=0,"UNMAPPED",IF($R3218=-1,"OUTSIDE FY RANGE","OK"))))</f>
        <v/>
      </c>
      <c r="U3218" s="40" t="str">
        <f aca="false">IF($A3218="","",$B3218&amp;"|"&amp;TEXT($A3218,"yyyymmdd")&amp;"|"&amp;TEXT($I3218,"0.00"))</f>
        <v/>
      </c>
      <c r="V3218" s="35" t="str">
        <f aca="false">IF($A3218="","",COUNTIF($U$8:$U$5007,$U3218))</f>
        <v/>
      </c>
    </row>
    <row r="3219" customFormat="false" ht="15" hidden="false" customHeight="false" outlineLevel="0" collapsed="false">
      <c r="A3219" s="31"/>
      <c r="B3219" s="32"/>
      <c r="C3219" s="32"/>
      <c r="D3219" s="32"/>
      <c r="E3219" s="32"/>
      <c r="F3219" s="32"/>
      <c r="G3219" s="33"/>
      <c r="H3219" s="33"/>
      <c r="I3219" s="34" t="str">
        <f aca="false">IF($A3219="","",$G3219-$H3219)</f>
        <v/>
      </c>
      <c r="J3219" s="35" t="str">
        <f aca="false">IF($A3219="","",IF(Setup!$B$6=1,YEAR($A3219),YEAR($A3219)+IF(MONTH($A3219)&gt;=Setup!$B$6,1,0)))</f>
        <v/>
      </c>
      <c r="K3219" s="35" t="str">
        <f aca="false">IF($A3219="","",MOD(MONTH($A3219)-Setup!$B$6+12,12)+1)</f>
        <v/>
      </c>
      <c r="L3219" s="36" t="str">
        <f aca="false">IF($A3219="","",TEXT($A3219,"MMM-YY"))</f>
        <v/>
      </c>
      <c r="M3219" s="37" t="str">
        <f aca="false">IF($A3219="","",IF($Q3219=0,"UNMAPPED",INDEX(COA_Mapping!$C$7:$C$256,$Q3219)))</f>
        <v/>
      </c>
      <c r="N3219" s="38" t="str">
        <f aca="false">IF($A3219="","",IF($Q3219=0,"",INDEX(COA_Mapping!$E$7:$E$256,$Q3219)))</f>
        <v/>
      </c>
      <c r="O3219" s="38" t="n">
        <f aca="false">IF($A3219="",1,IF($Q3219=0,1,INDEX(COA_Mapping!$F$7:$F$256,$Q3219)))</f>
        <v>1</v>
      </c>
      <c r="P3219" s="34" t="str">
        <f aca="false">IF($A3219="","",$I3219*$O3219)</f>
        <v/>
      </c>
      <c r="Q3219" s="39" t="n">
        <f aca="false">IF($B3219="",0,IFERROR(MATCH($B3219,COA_Mapping!$A$7:$A$256,0),0))</f>
        <v>0</v>
      </c>
      <c r="R3219" s="39" t="n">
        <f aca="false">IF($A3219="",-1,IF($J3219=Setup!$B$7,1,IF($J3219=Setup!$B$9,0,-1)))</f>
        <v>-1</v>
      </c>
      <c r="S3219" s="35" t="n">
        <f aca="false">IF(OR($A3219="",$Q3219=0,$R3219=-1),0,$Q3219*1000+$R3219*100+$K3219)</f>
        <v>0</v>
      </c>
      <c r="T3219" s="37" t="str">
        <f aca="false">IF($A3219="","",IF($B3219="","NO ACCOUNT",IF($Q3219=0,"UNMAPPED",IF($R3219=-1,"OUTSIDE FY RANGE","OK"))))</f>
        <v/>
      </c>
      <c r="U3219" s="40" t="str">
        <f aca="false">IF($A3219="","",$B3219&amp;"|"&amp;TEXT($A3219,"yyyymmdd")&amp;"|"&amp;TEXT($I3219,"0.00"))</f>
        <v/>
      </c>
      <c r="V3219" s="35" t="str">
        <f aca="false">IF($A3219="","",COUNTIF($U$8:$U$5007,$U3219))</f>
        <v/>
      </c>
    </row>
    <row r="3220" customFormat="false" ht="15" hidden="false" customHeight="false" outlineLevel="0" collapsed="false">
      <c r="A3220" s="31"/>
      <c r="B3220" s="32"/>
      <c r="C3220" s="32"/>
      <c r="D3220" s="32"/>
      <c r="E3220" s="32"/>
      <c r="F3220" s="32"/>
      <c r="G3220" s="33"/>
      <c r="H3220" s="33"/>
      <c r="I3220" s="34" t="str">
        <f aca="false">IF($A3220="","",$G3220-$H3220)</f>
        <v/>
      </c>
      <c r="J3220" s="35" t="str">
        <f aca="false">IF($A3220="","",IF(Setup!$B$6=1,YEAR($A3220),YEAR($A3220)+IF(MONTH($A3220)&gt;=Setup!$B$6,1,0)))</f>
        <v/>
      </c>
      <c r="K3220" s="35" t="str">
        <f aca="false">IF($A3220="","",MOD(MONTH($A3220)-Setup!$B$6+12,12)+1)</f>
        <v/>
      </c>
      <c r="L3220" s="36" t="str">
        <f aca="false">IF($A3220="","",TEXT($A3220,"MMM-YY"))</f>
        <v/>
      </c>
      <c r="M3220" s="37" t="str">
        <f aca="false">IF($A3220="","",IF($Q3220=0,"UNMAPPED",INDEX(COA_Mapping!$C$7:$C$256,$Q3220)))</f>
        <v/>
      </c>
      <c r="N3220" s="38" t="str">
        <f aca="false">IF($A3220="","",IF($Q3220=0,"",INDEX(COA_Mapping!$E$7:$E$256,$Q3220)))</f>
        <v/>
      </c>
      <c r="O3220" s="38" t="n">
        <f aca="false">IF($A3220="",1,IF($Q3220=0,1,INDEX(COA_Mapping!$F$7:$F$256,$Q3220)))</f>
        <v>1</v>
      </c>
      <c r="P3220" s="34" t="str">
        <f aca="false">IF($A3220="","",$I3220*$O3220)</f>
        <v/>
      </c>
      <c r="Q3220" s="39" t="n">
        <f aca="false">IF($B3220="",0,IFERROR(MATCH($B3220,COA_Mapping!$A$7:$A$256,0),0))</f>
        <v>0</v>
      </c>
      <c r="R3220" s="39" t="n">
        <f aca="false">IF($A3220="",-1,IF($J3220=Setup!$B$7,1,IF($J3220=Setup!$B$9,0,-1)))</f>
        <v>-1</v>
      </c>
      <c r="S3220" s="35" t="n">
        <f aca="false">IF(OR($A3220="",$Q3220=0,$R3220=-1),0,$Q3220*1000+$R3220*100+$K3220)</f>
        <v>0</v>
      </c>
      <c r="T3220" s="37" t="str">
        <f aca="false">IF($A3220="","",IF($B3220="","NO ACCOUNT",IF($Q3220=0,"UNMAPPED",IF($R3220=-1,"OUTSIDE FY RANGE","OK"))))</f>
        <v/>
      </c>
      <c r="U3220" s="40" t="str">
        <f aca="false">IF($A3220="","",$B3220&amp;"|"&amp;TEXT($A3220,"yyyymmdd")&amp;"|"&amp;TEXT($I3220,"0.00"))</f>
        <v/>
      </c>
      <c r="V3220" s="35" t="str">
        <f aca="false">IF($A3220="","",COUNTIF($U$8:$U$5007,$U3220))</f>
        <v/>
      </c>
    </row>
    <row r="3221" customFormat="false" ht="15" hidden="false" customHeight="false" outlineLevel="0" collapsed="false">
      <c r="A3221" s="31"/>
      <c r="B3221" s="32"/>
      <c r="C3221" s="32"/>
      <c r="D3221" s="32"/>
      <c r="E3221" s="32"/>
      <c r="F3221" s="32"/>
      <c r="G3221" s="33"/>
      <c r="H3221" s="33"/>
      <c r="I3221" s="34" t="str">
        <f aca="false">IF($A3221="","",$G3221-$H3221)</f>
        <v/>
      </c>
      <c r="J3221" s="35" t="str">
        <f aca="false">IF($A3221="","",IF(Setup!$B$6=1,YEAR($A3221),YEAR($A3221)+IF(MONTH($A3221)&gt;=Setup!$B$6,1,0)))</f>
        <v/>
      </c>
      <c r="K3221" s="35" t="str">
        <f aca="false">IF($A3221="","",MOD(MONTH($A3221)-Setup!$B$6+12,12)+1)</f>
        <v/>
      </c>
      <c r="L3221" s="36" t="str">
        <f aca="false">IF($A3221="","",TEXT($A3221,"MMM-YY"))</f>
        <v/>
      </c>
      <c r="M3221" s="37" t="str">
        <f aca="false">IF($A3221="","",IF($Q3221=0,"UNMAPPED",INDEX(COA_Mapping!$C$7:$C$256,$Q3221)))</f>
        <v/>
      </c>
      <c r="N3221" s="38" t="str">
        <f aca="false">IF($A3221="","",IF($Q3221=0,"",INDEX(COA_Mapping!$E$7:$E$256,$Q3221)))</f>
        <v/>
      </c>
      <c r="O3221" s="38" t="n">
        <f aca="false">IF($A3221="",1,IF($Q3221=0,1,INDEX(COA_Mapping!$F$7:$F$256,$Q3221)))</f>
        <v>1</v>
      </c>
      <c r="P3221" s="34" t="str">
        <f aca="false">IF($A3221="","",$I3221*$O3221)</f>
        <v/>
      </c>
      <c r="Q3221" s="39" t="n">
        <f aca="false">IF($B3221="",0,IFERROR(MATCH($B3221,COA_Mapping!$A$7:$A$256,0),0))</f>
        <v>0</v>
      </c>
      <c r="R3221" s="39" t="n">
        <f aca="false">IF($A3221="",-1,IF($J3221=Setup!$B$7,1,IF($J3221=Setup!$B$9,0,-1)))</f>
        <v>-1</v>
      </c>
      <c r="S3221" s="35" t="n">
        <f aca="false">IF(OR($A3221="",$Q3221=0,$R3221=-1),0,$Q3221*1000+$R3221*100+$K3221)</f>
        <v>0</v>
      </c>
      <c r="T3221" s="37" t="str">
        <f aca="false">IF($A3221="","",IF($B3221="","NO ACCOUNT",IF($Q3221=0,"UNMAPPED",IF($R3221=-1,"OUTSIDE FY RANGE","OK"))))</f>
        <v/>
      </c>
      <c r="U3221" s="40" t="str">
        <f aca="false">IF($A3221="","",$B3221&amp;"|"&amp;TEXT($A3221,"yyyymmdd")&amp;"|"&amp;TEXT($I3221,"0.00"))</f>
        <v/>
      </c>
      <c r="V3221" s="35" t="str">
        <f aca="false">IF($A3221="","",COUNTIF($U$8:$U$5007,$U3221))</f>
        <v/>
      </c>
    </row>
    <row r="3222" customFormat="false" ht="15" hidden="false" customHeight="false" outlineLevel="0" collapsed="false">
      <c r="A3222" s="31"/>
      <c r="B3222" s="32"/>
      <c r="C3222" s="32"/>
      <c r="D3222" s="32"/>
      <c r="E3222" s="32"/>
      <c r="F3222" s="32"/>
      <c r="G3222" s="33"/>
      <c r="H3222" s="33"/>
      <c r="I3222" s="34" t="str">
        <f aca="false">IF($A3222="","",$G3222-$H3222)</f>
        <v/>
      </c>
      <c r="J3222" s="35" t="str">
        <f aca="false">IF($A3222="","",IF(Setup!$B$6=1,YEAR($A3222),YEAR($A3222)+IF(MONTH($A3222)&gt;=Setup!$B$6,1,0)))</f>
        <v/>
      </c>
      <c r="K3222" s="35" t="str">
        <f aca="false">IF($A3222="","",MOD(MONTH($A3222)-Setup!$B$6+12,12)+1)</f>
        <v/>
      </c>
      <c r="L3222" s="36" t="str">
        <f aca="false">IF($A3222="","",TEXT($A3222,"MMM-YY"))</f>
        <v/>
      </c>
      <c r="M3222" s="37" t="str">
        <f aca="false">IF($A3222="","",IF($Q3222=0,"UNMAPPED",INDEX(COA_Mapping!$C$7:$C$256,$Q3222)))</f>
        <v/>
      </c>
      <c r="N3222" s="38" t="str">
        <f aca="false">IF($A3222="","",IF($Q3222=0,"",INDEX(COA_Mapping!$E$7:$E$256,$Q3222)))</f>
        <v/>
      </c>
      <c r="O3222" s="38" t="n">
        <f aca="false">IF($A3222="",1,IF($Q3222=0,1,INDEX(COA_Mapping!$F$7:$F$256,$Q3222)))</f>
        <v>1</v>
      </c>
      <c r="P3222" s="34" t="str">
        <f aca="false">IF($A3222="","",$I3222*$O3222)</f>
        <v/>
      </c>
      <c r="Q3222" s="39" t="n">
        <f aca="false">IF($B3222="",0,IFERROR(MATCH($B3222,COA_Mapping!$A$7:$A$256,0),0))</f>
        <v>0</v>
      </c>
      <c r="R3222" s="39" t="n">
        <f aca="false">IF($A3222="",-1,IF($J3222=Setup!$B$7,1,IF($J3222=Setup!$B$9,0,-1)))</f>
        <v>-1</v>
      </c>
      <c r="S3222" s="35" t="n">
        <f aca="false">IF(OR($A3222="",$Q3222=0,$R3222=-1),0,$Q3222*1000+$R3222*100+$K3222)</f>
        <v>0</v>
      </c>
      <c r="T3222" s="37" t="str">
        <f aca="false">IF($A3222="","",IF($B3222="","NO ACCOUNT",IF($Q3222=0,"UNMAPPED",IF($R3222=-1,"OUTSIDE FY RANGE","OK"))))</f>
        <v/>
      </c>
      <c r="U3222" s="40" t="str">
        <f aca="false">IF($A3222="","",$B3222&amp;"|"&amp;TEXT($A3222,"yyyymmdd")&amp;"|"&amp;TEXT($I3222,"0.00"))</f>
        <v/>
      </c>
      <c r="V3222" s="35" t="str">
        <f aca="false">IF($A3222="","",COUNTIF($U$8:$U$5007,$U3222))</f>
        <v/>
      </c>
    </row>
    <row r="3223" customFormat="false" ht="15" hidden="false" customHeight="false" outlineLevel="0" collapsed="false">
      <c r="A3223" s="31"/>
      <c r="B3223" s="32"/>
      <c r="C3223" s="32"/>
      <c r="D3223" s="32"/>
      <c r="E3223" s="32"/>
      <c r="F3223" s="32"/>
      <c r="G3223" s="33"/>
      <c r="H3223" s="33"/>
      <c r="I3223" s="34" t="str">
        <f aca="false">IF($A3223="","",$G3223-$H3223)</f>
        <v/>
      </c>
      <c r="J3223" s="35" t="str">
        <f aca="false">IF($A3223="","",IF(Setup!$B$6=1,YEAR($A3223),YEAR($A3223)+IF(MONTH($A3223)&gt;=Setup!$B$6,1,0)))</f>
        <v/>
      </c>
      <c r="K3223" s="35" t="str">
        <f aca="false">IF($A3223="","",MOD(MONTH($A3223)-Setup!$B$6+12,12)+1)</f>
        <v/>
      </c>
      <c r="L3223" s="36" t="str">
        <f aca="false">IF($A3223="","",TEXT($A3223,"MMM-YY"))</f>
        <v/>
      </c>
      <c r="M3223" s="37" t="str">
        <f aca="false">IF($A3223="","",IF($Q3223=0,"UNMAPPED",INDEX(COA_Mapping!$C$7:$C$256,$Q3223)))</f>
        <v/>
      </c>
      <c r="N3223" s="38" t="str">
        <f aca="false">IF($A3223="","",IF($Q3223=0,"",INDEX(COA_Mapping!$E$7:$E$256,$Q3223)))</f>
        <v/>
      </c>
      <c r="O3223" s="38" t="n">
        <f aca="false">IF($A3223="",1,IF($Q3223=0,1,INDEX(COA_Mapping!$F$7:$F$256,$Q3223)))</f>
        <v>1</v>
      </c>
      <c r="P3223" s="34" t="str">
        <f aca="false">IF($A3223="","",$I3223*$O3223)</f>
        <v/>
      </c>
      <c r="Q3223" s="39" t="n">
        <f aca="false">IF($B3223="",0,IFERROR(MATCH($B3223,COA_Mapping!$A$7:$A$256,0),0))</f>
        <v>0</v>
      </c>
      <c r="R3223" s="39" t="n">
        <f aca="false">IF($A3223="",-1,IF($J3223=Setup!$B$7,1,IF($J3223=Setup!$B$9,0,-1)))</f>
        <v>-1</v>
      </c>
      <c r="S3223" s="35" t="n">
        <f aca="false">IF(OR($A3223="",$Q3223=0,$R3223=-1),0,$Q3223*1000+$R3223*100+$K3223)</f>
        <v>0</v>
      </c>
      <c r="T3223" s="37" t="str">
        <f aca="false">IF($A3223="","",IF($B3223="","NO ACCOUNT",IF($Q3223=0,"UNMAPPED",IF($R3223=-1,"OUTSIDE FY RANGE","OK"))))</f>
        <v/>
      </c>
      <c r="U3223" s="40" t="str">
        <f aca="false">IF($A3223="","",$B3223&amp;"|"&amp;TEXT($A3223,"yyyymmdd")&amp;"|"&amp;TEXT($I3223,"0.00"))</f>
        <v/>
      </c>
      <c r="V3223" s="35" t="str">
        <f aca="false">IF($A3223="","",COUNTIF($U$8:$U$5007,$U3223))</f>
        <v/>
      </c>
    </row>
    <row r="3224" customFormat="false" ht="15" hidden="false" customHeight="false" outlineLevel="0" collapsed="false">
      <c r="A3224" s="31"/>
      <c r="B3224" s="32"/>
      <c r="C3224" s="32"/>
      <c r="D3224" s="32"/>
      <c r="E3224" s="32"/>
      <c r="F3224" s="32"/>
      <c r="G3224" s="33"/>
      <c r="H3224" s="33"/>
      <c r="I3224" s="34" t="str">
        <f aca="false">IF($A3224="","",$G3224-$H3224)</f>
        <v/>
      </c>
      <c r="J3224" s="35" t="str">
        <f aca="false">IF($A3224="","",IF(Setup!$B$6=1,YEAR($A3224),YEAR($A3224)+IF(MONTH($A3224)&gt;=Setup!$B$6,1,0)))</f>
        <v/>
      </c>
      <c r="K3224" s="35" t="str">
        <f aca="false">IF($A3224="","",MOD(MONTH($A3224)-Setup!$B$6+12,12)+1)</f>
        <v/>
      </c>
      <c r="L3224" s="36" t="str">
        <f aca="false">IF($A3224="","",TEXT($A3224,"MMM-YY"))</f>
        <v/>
      </c>
      <c r="M3224" s="37" t="str">
        <f aca="false">IF($A3224="","",IF($Q3224=0,"UNMAPPED",INDEX(COA_Mapping!$C$7:$C$256,$Q3224)))</f>
        <v/>
      </c>
      <c r="N3224" s="38" t="str">
        <f aca="false">IF($A3224="","",IF($Q3224=0,"",INDEX(COA_Mapping!$E$7:$E$256,$Q3224)))</f>
        <v/>
      </c>
      <c r="O3224" s="38" t="n">
        <f aca="false">IF($A3224="",1,IF($Q3224=0,1,INDEX(COA_Mapping!$F$7:$F$256,$Q3224)))</f>
        <v>1</v>
      </c>
      <c r="P3224" s="34" t="str">
        <f aca="false">IF($A3224="","",$I3224*$O3224)</f>
        <v/>
      </c>
      <c r="Q3224" s="39" t="n">
        <f aca="false">IF($B3224="",0,IFERROR(MATCH($B3224,COA_Mapping!$A$7:$A$256,0),0))</f>
        <v>0</v>
      </c>
      <c r="R3224" s="39" t="n">
        <f aca="false">IF($A3224="",-1,IF($J3224=Setup!$B$7,1,IF($J3224=Setup!$B$9,0,-1)))</f>
        <v>-1</v>
      </c>
      <c r="S3224" s="35" t="n">
        <f aca="false">IF(OR($A3224="",$Q3224=0,$R3224=-1),0,$Q3224*1000+$R3224*100+$K3224)</f>
        <v>0</v>
      </c>
      <c r="T3224" s="37" t="str">
        <f aca="false">IF($A3224="","",IF($B3224="","NO ACCOUNT",IF($Q3224=0,"UNMAPPED",IF($R3224=-1,"OUTSIDE FY RANGE","OK"))))</f>
        <v/>
      </c>
      <c r="U3224" s="40" t="str">
        <f aca="false">IF($A3224="","",$B3224&amp;"|"&amp;TEXT($A3224,"yyyymmdd")&amp;"|"&amp;TEXT($I3224,"0.00"))</f>
        <v/>
      </c>
      <c r="V3224" s="35" t="str">
        <f aca="false">IF($A3224="","",COUNTIF($U$8:$U$5007,$U3224))</f>
        <v/>
      </c>
    </row>
    <row r="3225" customFormat="false" ht="15" hidden="false" customHeight="false" outlineLevel="0" collapsed="false">
      <c r="A3225" s="31"/>
      <c r="B3225" s="32"/>
      <c r="C3225" s="32"/>
      <c r="D3225" s="32"/>
      <c r="E3225" s="32"/>
      <c r="F3225" s="32"/>
      <c r="G3225" s="33"/>
      <c r="H3225" s="33"/>
      <c r="I3225" s="34" t="str">
        <f aca="false">IF($A3225="","",$G3225-$H3225)</f>
        <v/>
      </c>
      <c r="J3225" s="35" t="str">
        <f aca="false">IF($A3225="","",IF(Setup!$B$6=1,YEAR($A3225),YEAR($A3225)+IF(MONTH($A3225)&gt;=Setup!$B$6,1,0)))</f>
        <v/>
      </c>
      <c r="K3225" s="35" t="str">
        <f aca="false">IF($A3225="","",MOD(MONTH($A3225)-Setup!$B$6+12,12)+1)</f>
        <v/>
      </c>
      <c r="L3225" s="36" t="str">
        <f aca="false">IF($A3225="","",TEXT($A3225,"MMM-YY"))</f>
        <v/>
      </c>
      <c r="M3225" s="37" t="str">
        <f aca="false">IF($A3225="","",IF($Q3225=0,"UNMAPPED",INDEX(COA_Mapping!$C$7:$C$256,$Q3225)))</f>
        <v/>
      </c>
      <c r="N3225" s="38" t="str">
        <f aca="false">IF($A3225="","",IF($Q3225=0,"",INDEX(COA_Mapping!$E$7:$E$256,$Q3225)))</f>
        <v/>
      </c>
      <c r="O3225" s="38" t="n">
        <f aca="false">IF($A3225="",1,IF($Q3225=0,1,INDEX(COA_Mapping!$F$7:$F$256,$Q3225)))</f>
        <v>1</v>
      </c>
      <c r="P3225" s="34" t="str">
        <f aca="false">IF($A3225="","",$I3225*$O3225)</f>
        <v/>
      </c>
      <c r="Q3225" s="39" t="n">
        <f aca="false">IF($B3225="",0,IFERROR(MATCH($B3225,COA_Mapping!$A$7:$A$256,0),0))</f>
        <v>0</v>
      </c>
      <c r="R3225" s="39" t="n">
        <f aca="false">IF($A3225="",-1,IF($J3225=Setup!$B$7,1,IF($J3225=Setup!$B$9,0,-1)))</f>
        <v>-1</v>
      </c>
      <c r="S3225" s="35" t="n">
        <f aca="false">IF(OR($A3225="",$Q3225=0,$R3225=-1),0,$Q3225*1000+$R3225*100+$K3225)</f>
        <v>0</v>
      </c>
      <c r="T3225" s="37" t="str">
        <f aca="false">IF($A3225="","",IF($B3225="","NO ACCOUNT",IF($Q3225=0,"UNMAPPED",IF($R3225=-1,"OUTSIDE FY RANGE","OK"))))</f>
        <v/>
      </c>
      <c r="U3225" s="40" t="str">
        <f aca="false">IF($A3225="","",$B3225&amp;"|"&amp;TEXT($A3225,"yyyymmdd")&amp;"|"&amp;TEXT($I3225,"0.00"))</f>
        <v/>
      </c>
      <c r="V3225" s="35" t="str">
        <f aca="false">IF($A3225="","",COUNTIF($U$8:$U$5007,$U3225))</f>
        <v/>
      </c>
    </row>
    <row r="3226" customFormat="false" ht="15" hidden="false" customHeight="false" outlineLevel="0" collapsed="false">
      <c r="A3226" s="31"/>
      <c r="B3226" s="32"/>
      <c r="C3226" s="32"/>
      <c r="D3226" s="32"/>
      <c r="E3226" s="32"/>
      <c r="F3226" s="32"/>
      <c r="G3226" s="33"/>
      <c r="H3226" s="33"/>
      <c r="I3226" s="34" t="str">
        <f aca="false">IF($A3226="","",$G3226-$H3226)</f>
        <v/>
      </c>
      <c r="J3226" s="35" t="str">
        <f aca="false">IF($A3226="","",IF(Setup!$B$6=1,YEAR($A3226),YEAR($A3226)+IF(MONTH($A3226)&gt;=Setup!$B$6,1,0)))</f>
        <v/>
      </c>
      <c r="K3226" s="35" t="str">
        <f aca="false">IF($A3226="","",MOD(MONTH($A3226)-Setup!$B$6+12,12)+1)</f>
        <v/>
      </c>
      <c r="L3226" s="36" t="str">
        <f aca="false">IF($A3226="","",TEXT($A3226,"MMM-YY"))</f>
        <v/>
      </c>
      <c r="M3226" s="37" t="str">
        <f aca="false">IF($A3226="","",IF($Q3226=0,"UNMAPPED",INDEX(COA_Mapping!$C$7:$C$256,$Q3226)))</f>
        <v/>
      </c>
      <c r="N3226" s="38" t="str">
        <f aca="false">IF($A3226="","",IF($Q3226=0,"",INDEX(COA_Mapping!$E$7:$E$256,$Q3226)))</f>
        <v/>
      </c>
      <c r="O3226" s="38" t="n">
        <f aca="false">IF($A3226="",1,IF($Q3226=0,1,INDEX(COA_Mapping!$F$7:$F$256,$Q3226)))</f>
        <v>1</v>
      </c>
      <c r="P3226" s="34" t="str">
        <f aca="false">IF($A3226="","",$I3226*$O3226)</f>
        <v/>
      </c>
      <c r="Q3226" s="39" t="n">
        <f aca="false">IF($B3226="",0,IFERROR(MATCH($B3226,COA_Mapping!$A$7:$A$256,0),0))</f>
        <v>0</v>
      </c>
      <c r="R3226" s="39" t="n">
        <f aca="false">IF($A3226="",-1,IF($J3226=Setup!$B$7,1,IF($J3226=Setup!$B$9,0,-1)))</f>
        <v>-1</v>
      </c>
      <c r="S3226" s="35" t="n">
        <f aca="false">IF(OR($A3226="",$Q3226=0,$R3226=-1),0,$Q3226*1000+$R3226*100+$K3226)</f>
        <v>0</v>
      </c>
      <c r="T3226" s="37" t="str">
        <f aca="false">IF($A3226="","",IF($B3226="","NO ACCOUNT",IF($Q3226=0,"UNMAPPED",IF($R3226=-1,"OUTSIDE FY RANGE","OK"))))</f>
        <v/>
      </c>
      <c r="U3226" s="40" t="str">
        <f aca="false">IF($A3226="","",$B3226&amp;"|"&amp;TEXT($A3226,"yyyymmdd")&amp;"|"&amp;TEXT($I3226,"0.00"))</f>
        <v/>
      </c>
      <c r="V3226" s="35" t="str">
        <f aca="false">IF($A3226="","",COUNTIF($U$8:$U$5007,$U3226))</f>
        <v/>
      </c>
    </row>
    <row r="3227" customFormat="false" ht="15" hidden="false" customHeight="false" outlineLevel="0" collapsed="false">
      <c r="A3227" s="31"/>
      <c r="B3227" s="32"/>
      <c r="C3227" s="32"/>
      <c r="D3227" s="32"/>
      <c r="E3227" s="32"/>
      <c r="F3227" s="32"/>
      <c r="G3227" s="33"/>
      <c r="H3227" s="33"/>
      <c r="I3227" s="34" t="str">
        <f aca="false">IF($A3227="","",$G3227-$H3227)</f>
        <v/>
      </c>
      <c r="J3227" s="35" t="str">
        <f aca="false">IF($A3227="","",IF(Setup!$B$6=1,YEAR($A3227),YEAR($A3227)+IF(MONTH($A3227)&gt;=Setup!$B$6,1,0)))</f>
        <v/>
      </c>
      <c r="K3227" s="35" t="str">
        <f aca="false">IF($A3227="","",MOD(MONTH($A3227)-Setup!$B$6+12,12)+1)</f>
        <v/>
      </c>
      <c r="L3227" s="36" t="str">
        <f aca="false">IF($A3227="","",TEXT($A3227,"MMM-YY"))</f>
        <v/>
      </c>
      <c r="M3227" s="37" t="str">
        <f aca="false">IF($A3227="","",IF($Q3227=0,"UNMAPPED",INDEX(COA_Mapping!$C$7:$C$256,$Q3227)))</f>
        <v/>
      </c>
      <c r="N3227" s="38" t="str">
        <f aca="false">IF($A3227="","",IF($Q3227=0,"",INDEX(COA_Mapping!$E$7:$E$256,$Q3227)))</f>
        <v/>
      </c>
      <c r="O3227" s="38" t="n">
        <f aca="false">IF($A3227="",1,IF($Q3227=0,1,INDEX(COA_Mapping!$F$7:$F$256,$Q3227)))</f>
        <v>1</v>
      </c>
      <c r="P3227" s="34" t="str">
        <f aca="false">IF($A3227="","",$I3227*$O3227)</f>
        <v/>
      </c>
      <c r="Q3227" s="39" t="n">
        <f aca="false">IF($B3227="",0,IFERROR(MATCH($B3227,COA_Mapping!$A$7:$A$256,0),0))</f>
        <v>0</v>
      </c>
      <c r="R3227" s="39" t="n">
        <f aca="false">IF($A3227="",-1,IF($J3227=Setup!$B$7,1,IF($J3227=Setup!$B$9,0,-1)))</f>
        <v>-1</v>
      </c>
      <c r="S3227" s="35" t="n">
        <f aca="false">IF(OR($A3227="",$Q3227=0,$R3227=-1),0,$Q3227*1000+$R3227*100+$K3227)</f>
        <v>0</v>
      </c>
      <c r="T3227" s="37" t="str">
        <f aca="false">IF($A3227="","",IF($B3227="","NO ACCOUNT",IF($Q3227=0,"UNMAPPED",IF($R3227=-1,"OUTSIDE FY RANGE","OK"))))</f>
        <v/>
      </c>
      <c r="U3227" s="40" t="str">
        <f aca="false">IF($A3227="","",$B3227&amp;"|"&amp;TEXT($A3227,"yyyymmdd")&amp;"|"&amp;TEXT($I3227,"0.00"))</f>
        <v/>
      </c>
      <c r="V3227" s="35" t="str">
        <f aca="false">IF($A3227="","",COUNTIF($U$8:$U$5007,$U3227))</f>
        <v/>
      </c>
    </row>
    <row r="3228" customFormat="false" ht="15" hidden="false" customHeight="false" outlineLevel="0" collapsed="false">
      <c r="A3228" s="31"/>
      <c r="B3228" s="32"/>
      <c r="C3228" s="32"/>
      <c r="D3228" s="32"/>
      <c r="E3228" s="32"/>
      <c r="F3228" s="32"/>
      <c r="G3228" s="33"/>
      <c r="H3228" s="33"/>
      <c r="I3228" s="34" t="str">
        <f aca="false">IF($A3228="","",$G3228-$H3228)</f>
        <v/>
      </c>
      <c r="J3228" s="35" t="str">
        <f aca="false">IF($A3228="","",IF(Setup!$B$6=1,YEAR($A3228),YEAR($A3228)+IF(MONTH($A3228)&gt;=Setup!$B$6,1,0)))</f>
        <v/>
      </c>
      <c r="K3228" s="35" t="str">
        <f aca="false">IF($A3228="","",MOD(MONTH($A3228)-Setup!$B$6+12,12)+1)</f>
        <v/>
      </c>
      <c r="L3228" s="36" t="str">
        <f aca="false">IF($A3228="","",TEXT($A3228,"MMM-YY"))</f>
        <v/>
      </c>
      <c r="M3228" s="37" t="str">
        <f aca="false">IF($A3228="","",IF($Q3228=0,"UNMAPPED",INDEX(COA_Mapping!$C$7:$C$256,$Q3228)))</f>
        <v/>
      </c>
      <c r="N3228" s="38" t="str">
        <f aca="false">IF($A3228="","",IF($Q3228=0,"",INDEX(COA_Mapping!$E$7:$E$256,$Q3228)))</f>
        <v/>
      </c>
      <c r="O3228" s="38" t="n">
        <f aca="false">IF($A3228="",1,IF($Q3228=0,1,INDEX(COA_Mapping!$F$7:$F$256,$Q3228)))</f>
        <v>1</v>
      </c>
      <c r="P3228" s="34" t="str">
        <f aca="false">IF($A3228="","",$I3228*$O3228)</f>
        <v/>
      </c>
      <c r="Q3228" s="39" t="n">
        <f aca="false">IF($B3228="",0,IFERROR(MATCH($B3228,COA_Mapping!$A$7:$A$256,0),0))</f>
        <v>0</v>
      </c>
      <c r="R3228" s="39" t="n">
        <f aca="false">IF($A3228="",-1,IF($J3228=Setup!$B$7,1,IF($J3228=Setup!$B$9,0,-1)))</f>
        <v>-1</v>
      </c>
      <c r="S3228" s="35" t="n">
        <f aca="false">IF(OR($A3228="",$Q3228=0,$R3228=-1),0,$Q3228*1000+$R3228*100+$K3228)</f>
        <v>0</v>
      </c>
      <c r="T3228" s="37" t="str">
        <f aca="false">IF($A3228="","",IF($B3228="","NO ACCOUNT",IF($Q3228=0,"UNMAPPED",IF($R3228=-1,"OUTSIDE FY RANGE","OK"))))</f>
        <v/>
      </c>
      <c r="U3228" s="40" t="str">
        <f aca="false">IF($A3228="","",$B3228&amp;"|"&amp;TEXT($A3228,"yyyymmdd")&amp;"|"&amp;TEXT($I3228,"0.00"))</f>
        <v/>
      </c>
      <c r="V3228" s="35" t="str">
        <f aca="false">IF($A3228="","",COUNTIF($U$8:$U$5007,$U3228))</f>
        <v/>
      </c>
    </row>
    <row r="3229" customFormat="false" ht="15" hidden="false" customHeight="false" outlineLevel="0" collapsed="false">
      <c r="A3229" s="31"/>
      <c r="B3229" s="32"/>
      <c r="C3229" s="32"/>
      <c r="D3229" s="32"/>
      <c r="E3229" s="32"/>
      <c r="F3229" s="32"/>
      <c r="G3229" s="33"/>
      <c r="H3229" s="33"/>
      <c r="I3229" s="34" t="str">
        <f aca="false">IF($A3229="","",$G3229-$H3229)</f>
        <v/>
      </c>
      <c r="J3229" s="35" t="str">
        <f aca="false">IF($A3229="","",IF(Setup!$B$6=1,YEAR($A3229),YEAR($A3229)+IF(MONTH($A3229)&gt;=Setup!$B$6,1,0)))</f>
        <v/>
      </c>
      <c r="K3229" s="35" t="str">
        <f aca="false">IF($A3229="","",MOD(MONTH($A3229)-Setup!$B$6+12,12)+1)</f>
        <v/>
      </c>
      <c r="L3229" s="36" t="str">
        <f aca="false">IF($A3229="","",TEXT($A3229,"MMM-YY"))</f>
        <v/>
      </c>
      <c r="M3229" s="37" t="str">
        <f aca="false">IF($A3229="","",IF($Q3229=0,"UNMAPPED",INDEX(COA_Mapping!$C$7:$C$256,$Q3229)))</f>
        <v/>
      </c>
      <c r="N3229" s="38" t="str">
        <f aca="false">IF($A3229="","",IF($Q3229=0,"",INDEX(COA_Mapping!$E$7:$E$256,$Q3229)))</f>
        <v/>
      </c>
      <c r="O3229" s="38" t="n">
        <f aca="false">IF($A3229="",1,IF($Q3229=0,1,INDEX(COA_Mapping!$F$7:$F$256,$Q3229)))</f>
        <v>1</v>
      </c>
      <c r="P3229" s="34" t="str">
        <f aca="false">IF($A3229="","",$I3229*$O3229)</f>
        <v/>
      </c>
      <c r="Q3229" s="39" t="n">
        <f aca="false">IF($B3229="",0,IFERROR(MATCH($B3229,COA_Mapping!$A$7:$A$256,0),0))</f>
        <v>0</v>
      </c>
      <c r="R3229" s="39" t="n">
        <f aca="false">IF($A3229="",-1,IF($J3229=Setup!$B$7,1,IF($J3229=Setup!$B$9,0,-1)))</f>
        <v>-1</v>
      </c>
      <c r="S3229" s="35" t="n">
        <f aca="false">IF(OR($A3229="",$Q3229=0,$R3229=-1),0,$Q3229*1000+$R3229*100+$K3229)</f>
        <v>0</v>
      </c>
      <c r="T3229" s="37" t="str">
        <f aca="false">IF($A3229="","",IF($B3229="","NO ACCOUNT",IF($Q3229=0,"UNMAPPED",IF($R3229=-1,"OUTSIDE FY RANGE","OK"))))</f>
        <v/>
      </c>
      <c r="U3229" s="40" t="str">
        <f aca="false">IF($A3229="","",$B3229&amp;"|"&amp;TEXT($A3229,"yyyymmdd")&amp;"|"&amp;TEXT($I3229,"0.00"))</f>
        <v/>
      </c>
      <c r="V3229" s="35" t="str">
        <f aca="false">IF($A3229="","",COUNTIF($U$8:$U$5007,$U3229))</f>
        <v/>
      </c>
    </row>
    <row r="3230" customFormat="false" ht="15" hidden="false" customHeight="false" outlineLevel="0" collapsed="false">
      <c r="A3230" s="31"/>
      <c r="B3230" s="32"/>
      <c r="C3230" s="32"/>
      <c r="D3230" s="32"/>
      <c r="E3230" s="32"/>
      <c r="F3230" s="32"/>
      <c r="G3230" s="33"/>
      <c r="H3230" s="33"/>
      <c r="I3230" s="34" t="str">
        <f aca="false">IF($A3230="","",$G3230-$H3230)</f>
        <v/>
      </c>
      <c r="J3230" s="35" t="str">
        <f aca="false">IF($A3230="","",IF(Setup!$B$6=1,YEAR($A3230),YEAR($A3230)+IF(MONTH($A3230)&gt;=Setup!$B$6,1,0)))</f>
        <v/>
      </c>
      <c r="K3230" s="35" t="str">
        <f aca="false">IF($A3230="","",MOD(MONTH($A3230)-Setup!$B$6+12,12)+1)</f>
        <v/>
      </c>
      <c r="L3230" s="36" t="str">
        <f aca="false">IF($A3230="","",TEXT($A3230,"MMM-YY"))</f>
        <v/>
      </c>
      <c r="M3230" s="37" t="str">
        <f aca="false">IF($A3230="","",IF($Q3230=0,"UNMAPPED",INDEX(COA_Mapping!$C$7:$C$256,$Q3230)))</f>
        <v/>
      </c>
      <c r="N3230" s="38" t="str">
        <f aca="false">IF($A3230="","",IF($Q3230=0,"",INDEX(COA_Mapping!$E$7:$E$256,$Q3230)))</f>
        <v/>
      </c>
      <c r="O3230" s="38" t="n">
        <f aca="false">IF($A3230="",1,IF($Q3230=0,1,INDEX(COA_Mapping!$F$7:$F$256,$Q3230)))</f>
        <v>1</v>
      </c>
      <c r="P3230" s="34" t="str">
        <f aca="false">IF($A3230="","",$I3230*$O3230)</f>
        <v/>
      </c>
      <c r="Q3230" s="39" t="n">
        <f aca="false">IF($B3230="",0,IFERROR(MATCH($B3230,COA_Mapping!$A$7:$A$256,0),0))</f>
        <v>0</v>
      </c>
      <c r="R3230" s="39" t="n">
        <f aca="false">IF($A3230="",-1,IF($J3230=Setup!$B$7,1,IF($J3230=Setup!$B$9,0,-1)))</f>
        <v>-1</v>
      </c>
      <c r="S3230" s="35" t="n">
        <f aca="false">IF(OR($A3230="",$Q3230=0,$R3230=-1),0,$Q3230*1000+$R3230*100+$K3230)</f>
        <v>0</v>
      </c>
      <c r="T3230" s="37" t="str">
        <f aca="false">IF($A3230="","",IF($B3230="","NO ACCOUNT",IF($Q3230=0,"UNMAPPED",IF($R3230=-1,"OUTSIDE FY RANGE","OK"))))</f>
        <v/>
      </c>
      <c r="U3230" s="40" t="str">
        <f aca="false">IF($A3230="","",$B3230&amp;"|"&amp;TEXT($A3230,"yyyymmdd")&amp;"|"&amp;TEXT($I3230,"0.00"))</f>
        <v/>
      </c>
      <c r="V3230" s="35" t="str">
        <f aca="false">IF($A3230="","",COUNTIF($U$8:$U$5007,$U3230))</f>
        <v/>
      </c>
    </row>
    <row r="3231" customFormat="false" ht="15" hidden="false" customHeight="false" outlineLevel="0" collapsed="false">
      <c r="A3231" s="31"/>
      <c r="B3231" s="32"/>
      <c r="C3231" s="32"/>
      <c r="D3231" s="32"/>
      <c r="E3231" s="32"/>
      <c r="F3231" s="32"/>
      <c r="G3231" s="33"/>
      <c r="H3231" s="33"/>
      <c r="I3231" s="34" t="str">
        <f aca="false">IF($A3231="","",$G3231-$H3231)</f>
        <v/>
      </c>
      <c r="J3231" s="35" t="str">
        <f aca="false">IF($A3231="","",IF(Setup!$B$6=1,YEAR($A3231),YEAR($A3231)+IF(MONTH($A3231)&gt;=Setup!$B$6,1,0)))</f>
        <v/>
      </c>
      <c r="K3231" s="35" t="str">
        <f aca="false">IF($A3231="","",MOD(MONTH($A3231)-Setup!$B$6+12,12)+1)</f>
        <v/>
      </c>
      <c r="L3231" s="36" t="str">
        <f aca="false">IF($A3231="","",TEXT($A3231,"MMM-YY"))</f>
        <v/>
      </c>
      <c r="M3231" s="37" t="str">
        <f aca="false">IF($A3231="","",IF($Q3231=0,"UNMAPPED",INDEX(COA_Mapping!$C$7:$C$256,$Q3231)))</f>
        <v/>
      </c>
      <c r="N3231" s="38" t="str">
        <f aca="false">IF($A3231="","",IF($Q3231=0,"",INDEX(COA_Mapping!$E$7:$E$256,$Q3231)))</f>
        <v/>
      </c>
      <c r="O3231" s="38" t="n">
        <f aca="false">IF($A3231="",1,IF($Q3231=0,1,INDEX(COA_Mapping!$F$7:$F$256,$Q3231)))</f>
        <v>1</v>
      </c>
      <c r="P3231" s="34" t="str">
        <f aca="false">IF($A3231="","",$I3231*$O3231)</f>
        <v/>
      </c>
      <c r="Q3231" s="39" t="n">
        <f aca="false">IF($B3231="",0,IFERROR(MATCH($B3231,COA_Mapping!$A$7:$A$256,0),0))</f>
        <v>0</v>
      </c>
      <c r="R3231" s="39" t="n">
        <f aca="false">IF($A3231="",-1,IF($J3231=Setup!$B$7,1,IF($J3231=Setup!$B$9,0,-1)))</f>
        <v>-1</v>
      </c>
      <c r="S3231" s="35" t="n">
        <f aca="false">IF(OR($A3231="",$Q3231=0,$R3231=-1),0,$Q3231*1000+$R3231*100+$K3231)</f>
        <v>0</v>
      </c>
      <c r="T3231" s="37" t="str">
        <f aca="false">IF($A3231="","",IF($B3231="","NO ACCOUNT",IF($Q3231=0,"UNMAPPED",IF($R3231=-1,"OUTSIDE FY RANGE","OK"))))</f>
        <v/>
      </c>
      <c r="U3231" s="40" t="str">
        <f aca="false">IF($A3231="","",$B3231&amp;"|"&amp;TEXT($A3231,"yyyymmdd")&amp;"|"&amp;TEXT($I3231,"0.00"))</f>
        <v/>
      </c>
      <c r="V3231" s="35" t="str">
        <f aca="false">IF($A3231="","",COUNTIF($U$8:$U$5007,$U3231))</f>
        <v/>
      </c>
    </row>
    <row r="3232" customFormat="false" ht="15" hidden="false" customHeight="false" outlineLevel="0" collapsed="false">
      <c r="A3232" s="31"/>
      <c r="B3232" s="32"/>
      <c r="C3232" s="32"/>
      <c r="D3232" s="32"/>
      <c r="E3232" s="32"/>
      <c r="F3232" s="32"/>
      <c r="G3232" s="33"/>
      <c r="H3232" s="33"/>
      <c r="I3232" s="34" t="str">
        <f aca="false">IF($A3232="","",$G3232-$H3232)</f>
        <v/>
      </c>
      <c r="J3232" s="35" t="str">
        <f aca="false">IF($A3232="","",IF(Setup!$B$6=1,YEAR($A3232),YEAR($A3232)+IF(MONTH($A3232)&gt;=Setup!$B$6,1,0)))</f>
        <v/>
      </c>
      <c r="K3232" s="35" t="str">
        <f aca="false">IF($A3232="","",MOD(MONTH($A3232)-Setup!$B$6+12,12)+1)</f>
        <v/>
      </c>
      <c r="L3232" s="36" t="str">
        <f aca="false">IF($A3232="","",TEXT($A3232,"MMM-YY"))</f>
        <v/>
      </c>
      <c r="M3232" s="37" t="str">
        <f aca="false">IF($A3232="","",IF($Q3232=0,"UNMAPPED",INDEX(COA_Mapping!$C$7:$C$256,$Q3232)))</f>
        <v/>
      </c>
      <c r="N3232" s="38" t="str">
        <f aca="false">IF($A3232="","",IF($Q3232=0,"",INDEX(COA_Mapping!$E$7:$E$256,$Q3232)))</f>
        <v/>
      </c>
      <c r="O3232" s="38" t="n">
        <f aca="false">IF($A3232="",1,IF($Q3232=0,1,INDEX(COA_Mapping!$F$7:$F$256,$Q3232)))</f>
        <v>1</v>
      </c>
      <c r="P3232" s="34" t="str">
        <f aca="false">IF($A3232="","",$I3232*$O3232)</f>
        <v/>
      </c>
      <c r="Q3232" s="39" t="n">
        <f aca="false">IF($B3232="",0,IFERROR(MATCH($B3232,COA_Mapping!$A$7:$A$256,0),0))</f>
        <v>0</v>
      </c>
      <c r="R3232" s="39" t="n">
        <f aca="false">IF($A3232="",-1,IF($J3232=Setup!$B$7,1,IF($J3232=Setup!$B$9,0,-1)))</f>
        <v>-1</v>
      </c>
      <c r="S3232" s="35" t="n">
        <f aca="false">IF(OR($A3232="",$Q3232=0,$R3232=-1),0,$Q3232*1000+$R3232*100+$K3232)</f>
        <v>0</v>
      </c>
      <c r="T3232" s="37" t="str">
        <f aca="false">IF($A3232="","",IF($B3232="","NO ACCOUNT",IF($Q3232=0,"UNMAPPED",IF($R3232=-1,"OUTSIDE FY RANGE","OK"))))</f>
        <v/>
      </c>
      <c r="U3232" s="40" t="str">
        <f aca="false">IF($A3232="","",$B3232&amp;"|"&amp;TEXT($A3232,"yyyymmdd")&amp;"|"&amp;TEXT($I3232,"0.00"))</f>
        <v/>
      </c>
      <c r="V3232" s="35" t="str">
        <f aca="false">IF($A3232="","",COUNTIF($U$8:$U$5007,$U3232))</f>
        <v/>
      </c>
    </row>
    <row r="3233" customFormat="false" ht="15" hidden="false" customHeight="false" outlineLevel="0" collapsed="false">
      <c r="A3233" s="31"/>
      <c r="B3233" s="32"/>
      <c r="C3233" s="32"/>
      <c r="D3233" s="32"/>
      <c r="E3233" s="32"/>
      <c r="F3233" s="32"/>
      <c r="G3233" s="33"/>
      <c r="H3233" s="33"/>
      <c r="I3233" s="34" t="str">
        <f aca="false">IF($A3233="","",$G3233-$H3233)</f>
        <v/>
      </c>
      <c r="J3233" s="35" t="str">
        <f aca="false">IF($A3233="","",IF(Setup!$B$6=1,YEAR($A3233),YEAR($A3233)+IF(MONTH($A3233)&gt;=Setup!$B$6,1,0)))</f>
        <v/>
      </c>
      <c r="K3233" s="35" t="str">
        <f aca="false">IF($A3233="","",MOD(MONTH($A3233)-Setup!$B$6+12,12)+1)</f>
        <v/>
      </c>
      <c r="L3233" s="36" t="str">
        <f aca="false">IF($A3233="","",TEXT($A3233,"MMM-YY"))</f>
        <v/>
      </c>
      <c r="M3233" s="37" t="str">
        <f aca="false">IF($A3233="","",IF($Q3233=0,"UNMAPPED",INDEX(COA_Mapping!$C$7:$C$256,$Q3233)))</f>
        <v/>
      </c>
      <c r="N3233" s="38" t="str">
        <f aca="false">IF($A3233="","",IF($Q3233=0,"",INDEX(COA_Mapping!$E$7:$E$256,$Q3233)))</f>
        <v/>
      </c>
      <c r="O3233" s="38" t="n">
        <f aca="false">IF($A3233="",1,IF($Q3233=0,1,INDEX(COA_Mapping!$F$7:$F$256,$Q3233)))</f>
        <v>1</v>
      </c>
      <c r="P3233" s="34" t="str">
        <f aca="false">IF($A3233="","",$I3233*$O3233)</f>
        <v/>
      </c>
      <c r="Q3233" s="39" t="n">
        <f aca="false">IF($B3233="",0,IFERROR(MATCH($B3233,COA_Mapping!$A$7:$A$256,0),0))</f>
        <v>0</v>
      </c>
      <c r="R3233" s="39" t="n">
        <f aca="false">IF($A3233="",-1,IF($J3233=Setup!$B$7,1,IF($J3233=Setup!$B$9,0,-1)))</f>
        <v>-1</v>
      </c>
      <c r="S3233" s="35" t="n">
        <f aca="false">IF(OR($A3233="",$Q3233=0,$R3233=-1),0,$Q3233*1000+$R3233*100+$K3233)</f>
        <v>0</v>
      </c>
      <c r="T3233" s="37" t="str">
        <f aca="false">IF($A3233="","",IF($B3233="","NO ACCOUNT",IF($Q3233=0,"UNMAPPED",IF($R3233=-1,"OUTSIDE FY RANGE","OK"))))</f>
        <v/>
      </c>
      <c r="U3233" s="40" t="str">
        <f aca="false">IF($A3233="","",$B3233&amp;"|"&amp;TEXT($A3233,"yyyymmdd")&amp;"|"&amp;TEXT($I3233,"0.00"))</f>
        <v/>
      </c>
      <c r="V3233" s="35" t="str">
        <f aca="false">IF($A3233="","",COUNTIF($U$8:$U$5007,$U3233))</f>
        <v/>
      </c>
    </row>
    <row r="3234" customFormat="false" ht="15" hidden="false" customHeight="false" outlineLevel="0" collapsed="false">
      <c r="A3234" s="31"/>
      <c r="B3234" s="32"/>
      <c r="C3234" s="32"/>
      <c r="D3234" s="32"/>
      <c r="E3234" s="32"/>
      <c r="F3234" s="32"/>
      <c r="G3234" s="33"/>
      <c r="H3234" s="33"/>
      <c r="I3234" s="34" t="str">
        <f aca="false">IF($A3234="","",$G3234-$H3234)</f>
        <v/>
      </c>
      <c r="J3234" s="35" t="str">
        <f aca="false">IF($A3234="","",IF(Setup!$B$6=1,YEAR($A3234),YEAR($A3234)+IF(MONTH($A3234)&gt;=Setup!$B$6,1,0)))</f>
        <v/>
      </c>
      <c r="K3234" s="35" t="str">
        <f aca="false">IF($A3234="","",MOD(MONTH($A3234)-Setup!$B$6+12,12)+1)</f>
        <v/>
      </c>
      <c r="L3234" s="36" t="str">
        <f aca="false">IF($A3234="","",TEXT($A3234,"MMM-YY"))</f>
        <v/>
      </c>
      <c r="M3234" s="37" t="str">
        <f aca="false">IF($A3234="","",IF($Q3234=0,"UNMAPPED",INDEX(COA_Mapping!$C$7:$C$256,$Q3234)))</f>
        <v/>
      </c>
      <c r="N3234" s="38" t="str">
        <f aca="false">IF($A3234="","",IF($Q3234=0,"",INDEX(COA_Mapping!$E$7:$E$256,$Q3234)))</f>
        <v/>
      </c>
      <c r="O3234" s="38" t="n">
        <f aca="false">IF($A3234="",1,IF($Q3234=0,1,INDEX(COA_Mapping!$F$7:$F$256,$Q3234)))</f>
        <v>1</v>
      </c>
      <c r="P3234" s="34" t="str">
        <f aca="false">IF($A3234="","",$I3234*$O3234)</f>
        <v/>
      </c>
      <c r="Q3234" s="39" t="n">
        <f aca="false">IF($B3234="",0,IFERROR(MATCH($B3234,COA_Mapping!$A$7:$A$256,0),0))</f>
        <v>0</v>
      </c>
      <c r="R3234" s="39" t="n">
        <f aca="false">IF($A3234="",-1,IF($J3234=Setup!$B$7,1,IF($J3234=Setup!$B$9,0,-1)))</f>
        <v>-1</v>
      </c>
      <c r="S3234" s="35" t="n">
        <f aca="false">IF(OR($A3234="",$Q3234=0,$R3234=-1),0,$Q3234*1000+$R3234*100+$K3234)</f>
        <v>0</v>
      </c>
      <c r="T3234" s="37" t="str">
        <f aca="false">IF($A3234="","",IF($B3234="","NO ACCOUNT",IF($Q3234=0,"UNMAPPED",IF($R3234=-1,"OUTSIDE FY RANGE","OK"))))</f>
        <v/>
      </c>
      <c r="U3234" s="40" t="str">
        <f aca="false">IF($A3234="","",$B3234&amp;"|"&amp;TEXT($A3234,"yyyymmdd")&amp;"|"&amp;TEXT($I3234,"0.00"))</f>
        <v/>
      </c>
      <c r="V3234" s="35" t="str">
        <f aca="false">IF($A3234="","",COUNTIF($U$8:$U$5007,$U3234))</f>
        <v/>
      </c>
    </row>
    <row r="3235" customFormat="false" ht="15" hidden="false" customHeight="false" outlineLevel="0" collapsed="false">
      <c r="A3235" s="31"/>
      <c r="B3235" s="32"/>
      <c r="C3235" s="32"/>
      <c r="D3235" s="32"/>
      <c r="E3235" s="32"/>
      <c r="F3235" s="32"/>
      <c r="G3235" s="33"/>
      <c r="H3235" s="33"/>
      <c r="I3235" s="34" t="str">
        <f aca="false">IF($A3235="","",$G3235-$H3235)</f>
        <v/>
      </c>
      <c r="J3235" s="35" t="str">
        <f aca="false">IF($A3235="","",IF(Setup!$B$6=1,YEAR($A3235),YEAR($A3235)+IF(MONTH($A3235)&gt;=Setup!$B$6,1,0)))</f>
        <v/>
      </c>
      <c r="K3235" s="35" t="str">
        <f aca="false">IF($A3235="","",MOD(MONTH($A3235)-Setup!$B$6+12,12)+1)</f>
        <v/>
      </c>
      <c r="L3235" s="36" t="str">
        <f aca="false">IF($A3235="","",TEXT($A3235,"MMM-YY"))</f>
        <v/>
      </c>
      <c r="M3235" s="37" t="str">
        <f aca="false">IF($A3235="","",IF($Q3235=0,"UNMAPPED",INDEX(COA_Mapping!$C$7:$C$256,$Q3235)))</f>
        <v/>
      </c>
      <c r="N3235" s="38" t="str">
        <f aca="false">IF($A3235="","",IF($Q3235=0,"",INDEX(COA_Mapping!$E$7:$E$256,$Q3235)))</f>
        <v/>
      </c>
      <c r="O3235" s="38" t="n">
        <f aca="false">IF($A3235="",1,IF($Q3235=0,1,INDEX(COA_Mapping!$F$7:$F$256,$Q3235)))</f>
        <v>1</v>
      </c>
      <c r="P3235" s="34" t="str">
        <f aca="false">IF($A3235="","",$I3235*$O3235)</f>
        <v/>
      </c>
      <c r="Q3235" s="39" t="n">
        <f aca="false">IF($B3235="",0,IFERROR(MATCH($B3235,COA_Mapping!$A$7:$A$256,0),0))</f>
        <v>0</v>
      </c>
      <c r="R3235" s="39" t="n">
        <f aca="false">IF($A3235="",-1,IF($J3235=Setup!$B$7,1,IF($J3235=Setup!$B$9,0,-1)))</f>
        <v>-1</v>
      </c>
      <c r="S3235" s="35" t="n">
        <f aca="false">IF(OR($A3235="",$Q3235=0,$R3235=-1),0,$Q3235*1000+$R3235*100+$K3235)</f>
        <v>0</v>
      </c>
      <c r="T3235" s="37" t="str">
        <f aca="false">IF($A3235="","",IF($B3235="","NO ACCOUNT",IF($Q3235=0,"UNMAPPED",IF($R3235=-1,"OUTSIDE FY RANGE","OK"))))</f>
        <v/>
      </c>
      <c r="U3235" s="40" t="str">
        <f aca="false">IF($A3235="","",$B3235&amp;"|"&amp;TEXT($A3235,"yyyymmdd")&amp;"|"&amp;TEXT($I3235,"0.00"))</f>
        <v/>
      </c>
      <c r="V3235" s="35" t="str">
        <f aca="false">IF($A3235="","",COUNTIF($U$8:$U$5007,$U3235))</f>
        <v/>
      </c>
    </row>
    <row r="3236" customFormat="false" ht="15" hidden="false" customHeight="false" outlineLevel="0" collapsed="false">
      <c r="A3236" s="31"/>
      <c r="B3236" s="32"/>
      <c r="C3236" s="32"/>
      <c r="D3236" s="32"/>
      <c r="E3236" s="32"/>
      <c r="F3236" s="32"/>
      <c r="G3236" s="33"/>
      <c r="H3236" s="33"/>
      <c r="I3236" s="34" t="str">
        <f aca="false">IF($A3236="","",$G3236-$H3236)</f>
        <v/>
      </c>
      <c r="J3236" s="35" t="str">
        <f aca="false">IF($A3236="","",IF(Setup!$B$6=1,YEAR($A3236),YEAR($A3236)+IF(MONTH($A3236)&gt;=Setup!$B$6,1,0)))</f>
        <v/>
      </c>
      <c r="K3236" s="35" t="str">
        <f aca="false">IF($A3236="","",MOD(MONTH($A3236)-Setup!$B$6+12,12)+1)</f>
        <v/>
      </c>
      <c r="L3236" s="36" t="str">
        <f aca="false">IF($A3236="","",TEXT($A3236,"MMM-YY"))</f>
        <v/>
      </c>
      <c r="M3236" s="37" t="str">
        <f aca="false">IF($A3236="","",IF($Q3236=0,"UNMAPPED",INDEX(COA_Mapping!$C$7:$C$256,$Q3236)))</f>
        <v/>
      </c>
      <c r="N3236" s="38" t="str">
        <f aca="false">IF($A3236="","",IF($Q3236=0,"",INDEX(COA_Mapping!$E$7:$E$256,$Q3236)))</f>
        <v/>
      </c>
      <c r="O3236" s="38" t="n">
        <f aca="false">IF($A3236="",1,IF($Q3236=0,1,INDEX(COA_Mapping!$F$7:$F$256,$Q3236)))</f>
        <v>1</v>
      </c>
      <c r="P3236" s="34" t="str">
        <f aca="false">IF($A3236="","",$I3236*$O3236)</f>
        <v/>
      </c>
      <c r="Q3236" s="39" t="n">
        <f aca="false">IF($B3236="",0,IFERROR(MATCH($B3236,COA_Mapping!$A$7:$A$256,0),0))</f>
        <v>0</v>
      </c>
      <c r="R3236" s="39" t="n">
        <f aca="false">IF($A3236="",-1,IF($J3236=Setup!$B$7,1,IF($J3236=Setup!$B$9,0,-1)))</f>
        <v>-1</v>
      </c>
      <c r="S3236" s="35" t="n">
        <f aca="false">IF(OR($A3236="",$Q3236=0,$R3236=-1),0,$Q3236*1000+$R3236*100+$K3236)</f>
        <v>0</v>
      </c>
      <c r="T3236" s="37" t="str">
        <f aca="false">IF($A3236="","",IF($B3236="","NO ACCOUNT",IF($Q3236=0,"UNMAPPED",IF($R3236=-1,"OUTSIDE FY RANGE","OK"))))</f>
        <v/>
      </c>
      <c r="U3236" s="40" t="str">
        <f aca="false">IF($A3236="","",$B3236&amp;"|"&amp;TEXT($A3236,"yyyymmdd")&amp;"|"&amp;TEXT($I3236,"0.00"))</f>
        <v/>
      </c>
      <c r="V3236" s="35" t="str">
        <f aca="false">IF($A3236="","",COUNTIF($U$8:$U$5007,$U3236))</f>
        <v/>
      </c>
    </row>
    <row r="3237" customFormat="false" ht="15" hidden="false" customHeight="false" outlineLevel="0" collapsed="false">
      <c r="A3237" s="31"/>
      <c r="B3237" s="32"/>
      <c r="C3237" s="32"/>
      <c r="D3237" s="32"/>
      <c r="E3237" s="32"/>
      <c r="F3237" s="32"/>
      <c r="G3237" s="33"/>
      <c r="H3237" s="33"/>
      <c r="I3237" s="34" t="str">
        <f aca="false">IF($A3237="","",$G3237-$H3237)</f>
        <v/>
      </c>
      <c r="J3237" s="35" t="str">
        <f aca="false">IF($A3237="","",IF(Setup!$B$6=1,YEAR($A3237),YEAR($A3237)+IF(MONTH($A3237)&gt;=Setup!$B$6,1,0)))</f>
        <v/>
      </c>
      <c r="K3237" s="35" t="str">
        <f aca="false">IF($A3237="","",MOD(MONTH($A3237)-Setup!$B$6+12,12)+1)</f>
        <v/>
      </c>
      <c r="L3237" s="36" t="str">
        <f aca="false">IF($A3237="","",TEXT($A3237,"MMM-YY"))</f>
        <v/>
      </c>
      <c r="M3237" s="37" t="str">
        <f aca="false">IF($A3237="","",IF($Q3237=0,"UNMAPPED",INDEX(COA_Mapping!$C$7:$C$256,$Q3237)))</f>
        <v/>
      </c>
      <c r="N3237" s="38" t="str">
        <f aca="false">IF($A3237="","",IF($Q3237=0,"",INDEX(COA_Mapping!$E$7:$E$256,$Q3237)))</f>
        <v/>
      </c>
      <c r="O3237" s="38" t="n">
        <f aca="false">IF($A3237="",1,IF($Q3237=0,1,INDEX(COA_Mapping!$F$7:$F$256,$Q3237)))</f>
        <v>1</v>
      </c>
      <c r="P3237" s="34" t="str">
        <f aca="false">IF($A3237="","",$I3237*$O3237)</f>
        <v/>
      </c>
      <c r="Q3237" s="39" t="n">
        <f aca="false">IF($B3237="",0,IFERROR(MATCH($B3237,COA_Mapping!$A$7:$A$256,0),0))</f>
        <v>0</v>
      </c>
      <c r="R3237" s="39" t="n">
        <f aca="false">IF($A3237="",-1,IF($J3237=Setup!$B$7,1,IF($J3237=Setup!$B$9,0,-1)))</f>
        <v>-1</v>
      </c>
      <c r="S3237" s="35" t="n">
        <f aca="false">IF(OR($A3237="",$Q3237=0,$R3237=-1),0,$Q3237*1000+$R3237*100+$K3237)</f>
        <v>0</v>
      </c>
      <c r="T3237" s="37" t="str">
        <f aca="false">IF($A3237="","",IF($B3237="","NO ACCOUNT",IF($Q3237=0,"UNMAPPED",IF($R3237=-1,"OUTSIDE FY RANGE","OK"))))</f>
        <v/>
      </c>
      <c r="U3237" s="40" t="str">
        <f aca="false">IF($A3237="","",$B3237&amp;"|"&amp;TEXT($A3237,"yyyymmdd")&amp;"|"&amp;TEXT($I3237,"0.00"))</f>
        <v/>
      </c>
      <c r="V3237" s="35" t="str">
        <f aca="false">IF($A3237="","",COUNTIF($U$8:$U$5007,$U3237))</f>
        <v/>
      </c>
    </row>
    <row r="3238" customFormat="false" ht="15" hidden="false" customHeight="false" outlineLevel="0" collapsed="false">
      <c r="A3238" s="31"/>
      <c r="B3238" s="32"/>
      <c r="C3238" s="32"/>
      <c r="D3238" s="32"/>
      <c r="E3238" s="32"/>
      <c r="F3238" s="32"/>
      <c r="G3238" s="33"/>
      <c r="H3238" s="33"/>
      <c r="I3238" s="34" t="str">
        <f aca="false">IF($A3238="","",$G3238-$H3238)</f>
        <v/>
      </c>
      <c r="J3238" s="35" t="str">
        <f aca="false">IF($A3238="","",IF(Setup!$B$6=1,YEAR($A3238),YEAR($A3238)+IF(MONTH($A3238)&gt;=Setup!$B$6,1,0)))</f>
        <v/>
      </c>
      <c r="K3238" s="35" t="str">
        <f aca="false">IF($A3238="","",MOD(MONTH($A3238)-Setup!$B$6+12,12)+1)</f>
        <v/>
      </c>
      <c r="L3238" s="36" t="str">
        <f aca="false">IF($A3238="","",TEXT($A3238,"MMM-YY"))</f>
        <v/>
      </c>
      <c r="M3238" s="37" t="str">
        <f aca="false">IF($A3238="","",IF($Q3238=0,"UNMAPPED",INDEX(COA_Mapping!$C$7:$C$256,$Q3238)))</f>
        <v/>
      </c>
      <c r="N3238" s="38" t="str">
        <f aca="false">IF($A3238="","",IF($Q3238=0,"",INDEX(COA_Mapping!$E$7:$E$256,$Q3238)))</f>
        <v/>
      </c>
      <c r="O3238" s="38" t="n">
        <f aca="false">IF($A3238="",1,IF($Q3238=0,1,INDEX(COA_Mapping!$F$7:$F$256,$Q3238)))</f>
        <v>1</v>
      </c>
      <c r="P3238" s="34" t="str">
        <f aca="false">IF($A3238="","",$I3238*$O3238)</f>
        <v/>
      </c>
      <c r="Q3238" s="39" t="n">
        <f aca="false">IF($B3238="",0,IFERROR(MATCH($B3238,COA_Mapping!$A$7:$A$256,0),0))</f>
        <v>0</v>
      </c>
      <c r="R3238" s="39" t="n">
        <f aca="false">IF($A3238="",-1,IF($J3238=Setup!$B$7,1,IF($J3238=Setup!$B$9,0,-1)))</f>
        <v>-1</v>
      </c>
      <c r="S3238" s="35" t="n">
        <f aca="false">IF(OR($A3238="",$Q3238=0,$R3238=-1),0,$Q3238*1000+$R3238*100+$K3238)</f>
        <v>0</v>
      </c>
      <c r="T3238" s="37" t="str">
        <f aca="false">IF($A3238="","",IF($B3238="","NO ACCOUNT",IF($Q3238=0,"UNMAPPED",IF($R3238=-1,"OUTSIDE FY RANGE","OK"))))</f>
        <v/>
      </c>
      <c r="U3238" s="40" t="str">
        <f aca="false">IF($A3238="","",$B3238&amp;"|"&amp;TEXT($A3238,"yyyymmdd")&amp;"|"&amp;TEXT($I3238,"0.00"))</f>
        <v/>
      </c>
      <c r="V3238" s="35" t="str">
        <f aca="false">IF($A3238="","",COUNTIF($U$8:$U$5007,$U3238))</f>
        <v/>
      </c>
    </row>
    <row r="3239" customFormat="false" ht="15" hidden="false" customHeight="false" outlineLevel="0" collapsed="false">
      <c r="A3239" s="31"/>
      <c r="B3239" s="32"/>
      <c r="C3239" s="32"/>
      <c r="D3239" s="32"/>
      <c r="E3239" s="32"/>
      <c r="F3239" s="32"/>
      <c r="G3239" s="33"/>
      <c r="H3239" s="33"/>
      <c r="I3239" s="34" t="str">
        <f aca="false">IF($A3239="","",$G3239-$H3239)</f>
        <v/>
      </c>
      <c r="J3239" s="35" t="str">
        <f aca="false">IF($A3239="","",IF(Setup!$B$6=1,YEAR($A3239),YEAR($A3239)+IF(MONTH($A3239)&gt;=Setup!$B$6,1,0)))</f>
        <v/>
      </c>
      <c r="K3239" s="35" t="str">
        <f aca="false">IF($A3239="","",MOD(MONTH($A3239)-Setup!$B$6+12,12)+1)</f>
        <v/>
      </c>
      <c r="L3239" s="36" t="str">
        <f aca="false">IF($A3239="","",TEXT($A3239,"MMM-YY"))</f>
        <v/>
      </c>
      <c r="M3239" s="37" t="str">
        <f aca="false">IF($A3239="","",IF($Q3239=0,"UNMAPPED",INDEX(COA_Mapping!$C$7:$C$256,$Q3239)))</f>
        <v/>
      </c>
      <c r="N3239" s="38" t="str">
        <f aca="false">IF($A3239="","",IF($Q3239=0,"",INDEX(COA_Mapping!$E$7:$E$256,$Q3239)))</f>
        <v/>
      </c>
      <c r="O3239" s="38" t="n">
        <f aca="false">IF($A3239="",1,IF($Q3239=0,1,INDEX(COA_Mapping!$F$7:$F$256,$Q3239)))</f>
        <v>1</v>
      </c>
      <c r="P3239" s="34" t="str">
        <f aca="false">IF($A3239="","",$I3239*$O3239)</f>
        <v/>
      </c>
      <c r="Q3239" s="39" t="n">
        <f aca="false">IF($B3239="",0,IFERROR(MATCH($B3239,COA_Mapping!$A$7:$A$256,0),0))</f>
        <v>0</v>
      </c>
      <c r="R3239" s="39" t="n">
        <f aca="false">IF($A3239="",-1,IF($J3239=Setup!$B$7,1,IF($J3239=Setup!$B$9,0,-1)))</f>
        <v>-1</v>
      </c>
      <c r="S3239" s="35" t="n">
        <f aca="false">IF(OR($A3239="",$Q3239=0,$R3239=-1),0,$Q3239*1000+$R3239*100+$K3239)</f>
        <v>0</v>
      </c>
      <c r="T3239" s="37" t="str">
        <f aca="false">IF($A3239="","",IF($B3239="","NO ACCOUNT",IF($Q3239=0,"UNMAPPED",IF($R3239=-1,"OUTSIDE FY RANGE","OK"))))</f>
        <v/>
      </c>
      <c r="U3239" s="40" t="str">
        <f aca="false">IF($A3239="","",$B3239&amp;"|"&amp;TEXT($A3239,"yyyymmdd")&amp;"|"&amp;TEXT($I3239,"0.00"))</f>
        <v/>
      </c>
      <c r="V3239" s="35" t="str">
        <f aca="false">IF($A3239="","",COUNTIF($U$8:$U$5007,$U3239))</f>
        <v/>
      </c>
    </row>
    <row r="3240" customFormat="false" ht="15" hidden="false" customHeight="false" outlineLevel="0" collapsed="false">
      <c r="A3240" s="31"/>
      <c r="B3240" s="32"/>
      <c r="C3240" s="32"/>
      <c r="D3240" s="32"/>
      <c r="E3240" s="32"/>
      <c r="F3240" s="32"/>
      <c r="G3240" s="33"/>
      <c r="H3240" s="33"/>
      <c r="I3240" s="34" t="str">
        <f aca="false">IF($A3240="","",$G3240-$H3240)</f>
        <v/>
      </c>
      <c r="J3240" s="35" t="str">
        <f aca="false">IF($A3240="","",IF(Setup!$B$6=1,YEAR($A3240),YEAR($A3240)+IF(MONTH($A3240)&gt;=Setup!$B$6,1,0)))</f>
        <v/>
      </c>
      <c r="K3240" s="35" t="str">
        <f aca="false">IF($A3240="","",MOD(MONTH($A3240)-Setup!$B$6+12,12)+1)</f>
        <v/>
      </c>
      <c r="L3240" s="36" t="str">
        <f aca="false">IF($A3240="","",TEXT($A3240,"MMM-YY"))</f>
        <v/>
      </c>
      <c r="M3240" s="37" t="str">
        <f aca="false">IF($A3240="","",IF($Q3240=0,"UNMAPPED",INDEX(COA_Mapping!$C$7:$C$256,$Q3240)))</f>
        <v/>
      </c>
      <c r="N3240" s="38" t="str">
        <f aca="false">IF($A3240="","",IF($Q3240=0,"",INDEX(COA_Mapping!$E$7:$E$256,$Q3240)))</f>
        <v/>
      </c>
      <c r="O3240" s="38" t="n">
        <f aca="false">IF($A3240="",1,IF($Q3240=0,1,INDEX(COA_Mapping!$F$7:$F$256,$Q3240)))</f>
        <v>1</v>
      </c>
      <c r="P3240" s="34" t="str">
        <f aca="false">IF($A3240="","",$I3240*$O3240)</f>
        <v/>
      </c>
      <c r="Q3240" s="39" t="n">
        <f aca="false">IF($B3240="",0,IFERROR(MATCH($B3240,COA_Mapping!$A$7:$A$256,0),0))</f>
        <v>0</v>
      </c>
      <c r="R3240" s="39" t="n">
        <f aca="false">IF($A3240="",-1,IF($J3240=Setup!$B$7,1,IF($J3240=Setup!$B$9,0,-1)))</f>
        <v>-1</v>
      </c>
      <c r="S3240" s="35" t="n">
        <f aca="false">IF(OR($A3240="",$Q3240=0,$R3240=-1),0,$Q3240*1000+$R3240*100+$K3240)</f>
        <v>0</v>
      </c>
      <c r="T3240" s="37" t="str">
        <f aca="false">IF($A3240="","",IF($B3240="","NO ACCOUNT",IF($Q3240=0,"UNMAPPED",IF($R3240=-1,"OUTSIDE FY RANGE","OK"))))</f>
        <v/>
      </c>
      <c r="U3240" s="40" t="str">
        <f aca="false">IF($A3240="","",$B3240&amp;"|"&amp;TEXT($A3240,"yyyymmdd")&amp;"|"&amp;TEXT($I3240,"0.00"))</f>
        <v/>
      </c>
      <c r="V3240" s="35" t="str">
        <f aca="false">IF($A3240="","",COUNTIF($U$8:$U$5007,$U3240))</f>
        <v/>
      </c>
    </row>
    <row r="3241" customFormat="false" ht="15" hidden="false" customHeight="false" outlineLevel="0" collapsed="false">
      <c r="A3241" s="31"/>
      <c r="B3241" s="32"/>
      <c r="C3241" s="32"/>
      <c r="D3241" s="32"/>
      <c r="E3241" s="32"/>
      <c r="F3241" s="32"/>
      <c r="G3241" s="33"/>
      <c r="H3241" s="33"/>
      <c r="I3241" s="34" t="str">
        <f aca="false">IF($A3241="","",$G3241-$H3241)</f>
        <v/>
      </c>
      <c r="J3241" s="35" t="str">
        <f aca="false">IF($A3241="","",IF(Setup!$B$6=1,YEAR($A3241),YEAR($A3241)+IF(MONTH($A3241)&gt;=Setup!$B$6,1,0)))</f>
        <v/>
      </c>
      <c r="K3241" s="35" t="str">
        <f aca="false">IF($A3241="","",MOD(MONTH($A3241)-Setup!$B$6+12,12)+1)</f>
        <v/>
      </c>
      <c r="L3241" s="36" t="str">
        <f aca="false">IF($A3241="","",TEXT($A3241,"MMM-YY"))</f>
        <v/>
      </c>
      <c r="M3241" s="37" t="str">
        <f aca="false">IF($A3241="","",IF($Q3241=0,"UNMAPPED",INDEX(COA_Mapping!$C$7:$C$256,$Q3241)))</f>
        <v/>
      </c>
      <c r="N3241" s="38" t="str">
        <f aca="false">IF($A3241="","",IF($Q3241=0,"",INDEX(COA_Mapping!$E$7:$E$256,$Q3241)))</f>
        <v/>
      </c>
      <c r="O3241" s="38" t="n">
        <f aca="false">IF($A3241="",1,IF($Q3241=0,1,INDEX(COA_Mapping!$F$7:$F$256,$Q3241)))</f>
        <v>1</v>
      </c>
      <c r="P3241" s="34" t="str">
        <f aca="false">IF($A3241="","",$I3241*$O3241)</f>
        <v/>
      </c>
      <c r="Q3241" s="39" t="n">
        <f aca="false">IF($B3241="",0,IFERROR(MATCH($B3241,COA_Mapping!$A$7:$A$256,0),0))</f>
        <v>0</v>
      </c>
      <c r="R3241" s="39" t="n">
        <f aca="false">IF($A3241="",-1,IF($J3241=Setup!$B$7,1,IF($J3241=Setup!$B$9,0,-1)))</f>
        <v>-1</v>
      </c>
      <c r="S3241" s="35" t="n">
        <f aca="false">IF(OR($A3241="",$Q3241=0,$R3241=-1),0,$Q3241*1000+$R3241*100+$K3241)</f>
        <v>0</v>
      </c>
      <c r="T3241" s="37" t="str">
        <f aca="false">IF($A3241="","",IF($B3241="","NO ACCOUNT",IF($Q3241=0,"UNMAPPED",IF($R3241=-1,"OUTSIDE FY RANGE","OK"))))</f>
        <v/>
      </c>
      <c r="U3241" s="40" t="str">
        <f aca="false">IF($A3241="","",$B3241&amp;"|"&amp;TEXT($A3241,"yyyymmdd")&amp;"|"&amp;TEXT($I3241,"0.00"))</f>
        <v/>
      </c>
      <c r="V3241" s="35" t="str">
        <f aca="false">IF($A3241="","",COUNTIF($U$8:$U$5007,$U3241))</f>
        <v/>
      </c>
    </row>
    <row r="3242" customFormat="false" ht="15" hidden="false" customHeight="false" outlineLevel="0" collapsed="false">
      <c r="A3242" s="31"/>
      <c r="B3242" s="32"/>
      <c r="C3242" s="32"/>
      <c r="D3242" s="32"/>
      <c r="E3242" s="32"/>
      <c r="F3242" s="32"/>
      <c r="G3242" s="33"/>
      <c r="H3242" s="33"/>
      <c r="I3242" s="34" t="str">
        <f aca="false">IF($A3242="","",$G3242-$H3242)</f>
        <v/>
      </c>
      <c r="J3242" s="35" t="str">
        <f aca="false">IF($A3242="","",IF(Setup!$B$6=1,YEAR($A3242),YEAR($A3242)+IF(MONTH($A3242)&gt;=Setup!$B$6,1,0)))</f>
        <v/>
      </c>
      <c r="K3242" s="35" t="str">
        <f aca="false">IF($A3242="","",MOD(MONTH($A3242)-Setup!$B$6+12,12)+1)</f>
        <v/>
      </c>
      <c r="L3242" s="36" t="str">
        <f aca="false">IF($A3242="","",TEXT($A3242,"MMM-YY"))</f>
        <v/>
      </c>
      <c r="M3242" s="37" t="str">
        <f aca="false">IF($A3242="","",IF($Q3242=0,"UNMAPPED",INDEX(COA_Mapping!$C$7:$C$256,$Q3242)))</f>
        <v/>
      </c>
      <c r="N3242" s="38" t="str">
        <f aca="false">IF($A3242="","",IF($Q3242=0,"",INDEX(COA_Mapping!$E$7:$E$256,$Q3242)))</f>
        <v/>
      </c>
      <c r="O3242" s="38" t="n">
        <f aca="false">IF($A3242="",1,IF($Q3242=0,1,INDEX(COA_Mapping!$F$7:$F$256,$Q3242)))</f>
        <v>1</v>
      </c>
      <c r="P3242" s="34" t="str">
        <f aca="false">IF($A3242="","",$I3242*$O3242)</f>
        <v/>
      </c>
      <c r="Q3242" s="39" t="n">
        <f aca="false">IF($B3242="",0,IFERROR(MATCH($B3242,COA_Mapping!$A$7:$A$256,0),0))</f>
        <v>0</v>
      </c>
      <c r="R3242" s="39" t="n">
        <f aca="false">IF($A3242="",-1,IF($J3242=Setup!$B$7,1,IF($J3242=Setup!$B$9,0,-1)))</f>
        <v>-1</v>
      </c>
      <c r="S3242" s="35" t="n">
        <f aca="false">IF(OR($A3242="",$Q3242=0,$R3242=-1),0,$Q3242*1000+$R3242*100+$K3242)</f>
        <v>0</v>
      </c>
      <c r="T3242" s="37" t="str">
        <f aca="false">IF($A3242="","",IF($B3242="","NO ACCOUNT",IF($Q3242=0,"UNMAPPED",IF($R3242=-1,"OUTSIDE FY RANGE","OK"))))</f>
        <v/>
      </c>
      <c r="U3242" s="40" t="str">
        <f aca="false">IF($A3242="","",$B3242&amp;"|"&amp;TEXT($A3242,"yyyymmdd")&amp;"|"&amp;TEXT($I3242,"0.00"))</f>
        <v/>
      </c>
      <c r="V3242" s="35" t="str">
        <f aca="false">IF($A3242="","",COUNTIF($U$8:$U$5007,$U3242))</f>
        <v/>
      </c>
    </row>
    <row r="3243" customFormat="false" ht="15" hidden="false" customHeight="false" outlineLevel="0" collapsed="false">
      <c r="A3243" s="31"/>
      <c r="B3243" s="32"/>
      <c r="C3243" s="32"/>
      <c r="D3243" s="32"/>
      <c r="E3243" s="32"/>
      <c r="F3243" s="32"/>
      <c r="G3243" s="33"/>
      <c r="H3243" s="33"/>
      <c r="I3243" s="34" t="str">
        <f aca="false">IF($A3243="","",$G3243-$H3243)</f>
        <v/>
      </c>
      <c r="J3243" s="35" t="str">
        <f aca="false">IF($A3243="","",IF(Setup!$B$6=1,YEAR($A3243),YEAR($A3243)+IF(MONTH($A3243)&gt;=Setup!$B$6,1,0)))</f>
        <v/>
      </c>
      <c r="K3243" s="35" t="str">
        <f aca="false">IF($A3243="","",MOD(MONTH($A3243)-Setup!$B$6+12,12)+1)</f>
        <v/>
      </c>
      <c r="L3243" s="36" t="str">
        <f aca="false">IF($A3243="","",TEXT($A3243,"MMM-YY"))</f>
        <v/>
      </c>
      <c r="M3243" s="37" t="str">
        <f aca="false">IF($A3243="","",IF($Q3243=0,"UNMAPPED",INDEX(COA_Mapping!$C$7:$C$256,$Q3243)))</f>
        <v/>
      </c>
      <c r="N3243" s="38" t="str">
        <f aca="false">IF($A3243="","",IF($Q3243=0,"",INDEX(COA_Mapping!$E$7:$E$256,$Q3243)))</f>
        <v/>
      </c>
      <c r="O3243" s="38" t="n">
        <f aca="false">IF($A3243="",1,IF($Q3243=0,1,INDEX(COA_Mapping!$F$7:$F$256,$Q3243)))</f>
        <v>1</v>
      </c>
      <c r="P3243" s="34" t="str">
        <f aca="false">IF($A3243="","",$I3243*$O3243)</f>
        <v/>
      </c>
      <c r="Q3243" s="39" t="n">
        <f aca="false">IF($B3243="",0,IFERROR(MATCH($B3243,COA_Mapping!$A$7:$A$256,0),0))</f>
        <v>0</v>
      </c>
      <c r="R3243" s="39" t="n">
        <f aca="false">IF($A3243="",-1,IF($J3243=Setup!$B$7,1,IF($J3243=Setup!$B$9,0,-1)))</f>
        <v>-1</v>
      </c>
      <c r="S3243" s="35" t="n">
        <f aca="false">IF(OR($A3243="",$Q3243=0,$R3243=-1),0,$Q3243*1000+$R3243*100+$K3243)</f>
        <v>0</v>
      </c>
      <c r="T3243" s="37" t="str">
        <f aca="false">IF($A3243="","",IF($B3243="","NO ACCOUNT",IF($Q3243=0,"UNMAPPED",IF($R3243=-1,"OUTSIDE FY RANGE","OK"))))</f>
        <v/>
      </c>
      <c r="U3243" s="40" t="str">
        <f aca="false">IF($A3243="","",$B3243&amp;"|"&amp;TEXT($A3243,"yyyymmdd")&amp;"|"&amp;TEXT($I3243,"0.00"))</f>
        <v/>
      </c>
      <c r="V3243" s="35" t="str">
        <f aca="false">IF($A3243="","",COUNTIF($U$8:$U$5007,$U3243))</f>
        <v/>
      </c>
    </row>
    <row r="3244" customFormat="false" ht="15" hidden="false" customHeight="false" outlineLevel="0" collapsed="false">
      <c r="A3244" s="31"/>
      <c r="B3244" s="32"/>
      <c r="C3244" s="32"/>
      <c r="D3244" s="32"/>
      <c r="E3244" s="32"/>
      <c r="F3244" s="32"/>
      <c r="G3244" s="33"/>
      <c r="H3244" s="33"/>
      <c r="I3244" s="34" t="str">
        <f aca="false">IF($A3244="","",$G3244-$H3244)</f>
        <v/>
      </c>
      <c r="J3244" s="35" t="str">
        <f aca="false">IF($A3244="","",IF(Setup!$B$6=1,YEAR($A3244),YEAR($A3244)+IF(MONTH($A3244)&gt;=Setup!$B$6,1,0)))</f>
        <v/>
      </c>
      <c r="K3244" s="35" t="str">
        <f aca="false">IF($A3244="","",MOD(MONTH($A3244)-Setup!$B$6+12,12)+1)</f>
        <v/>
      </c>
      <c r="L3244" s="36" t="str">
        <f aca="false">IF($A3244="","",TEXT($A3244,"MMM-YY"))</f>
        <v/>
      </c>
      <c r="M3244" s="37" t="str">
        <f aca="false">IF($A3244="","",IF($Q3244=0,"UNMAPPED",INDEX(COA_Mapping!$C$7:$C$256,$Q3244)))</f>
        <v/>
      </c>
      <c r="N3244" s="38" t="str">
        <f aca="false">IF($A3244="","",IF($Q3244=0,"",INDEX(COA_Mapping!$E$7:$E$256,$Q3244)))</f>
        <v/>
      </c>
      <c r="O3244" s="38" t="n">
        <f aca="false">IF($A3244="",1,IF($Q3244=0,1,INDEX(COA_Mapping!$F$7:$F$256,$Q3244)))</f>
        <v>1</v>
      </c>
      <c r="P3244" s="34" t="str">
        <f aca="false">IF($A3244="","",$I3244*$O3244)</f>
        <v/>
      </c>
      <c r="Q3244" s="39" t="n">
        <f aca="false">IF($B3244="",0,IFERROR(MATCH($B3244,COA_Mapping!$A$7:$A$256,0),0))</f>
        <v>0</v>
      </c>
      <c r="R3244" s="39" t="n">
        <f aca="false">IF($A3244="",-1,IF($J3244=Setup!$B$7,1,IF($J3244=Setup!$B$9,0,-1)))</f>
        <v>-1</v>
      </c>
      <c r="S3244" s="35" t="n">
        <f aca="false">IF(OR($A3244="",$Q3244=0,$R3244=-1),0,$Q3244*1000+$R3244*100+$K3244)</f>
        <v>0</v>
      </c>
      <c r="T3244" s="37" t="str">
        <f aca="false">IF($A3244="","",IF($B3244="","NO ACCOUNT",IF($Q3244=0,"UNMAPPED",IF($R3244=-1,"OUTSIDE FY RANGE","OK"))))</f>
        <v/>
      </c>
      <c r="U3244" s="40" t="str">
        <f aca="false">IF($A3244="","",$B3244&amp;"|"&amp;TEXT($A3244,"yyyymmdd")&amp;"|"&amp;TEXT($I3244,"0.00"))</f>
        <v/>
      </c>
      <c r="V3244" s="35" t="str">
        <f aca="false">IF($A3244="","",COUNTIF($U$8:$U$5007,$U3244))</f>
        <v/>
      </c>
    </row>
    <row r="3245" customFormat="false" ht="15" hidden="false" customHeight="false" outlineLevel="0" collapsed="false">
      <c r="A3245" s="31"/>
      <c r="B3245" s="32"/>
      <c r="C3245" s="32"/>
      <c r="D3245" s="32"/>
      <c r="E3245" s="32"/>
      <c r="F3245" s="32"/>
      <c r="G3245" s="33"/>
      <c r="H3245" s="33"/>
      <c r="I3245" s="34" t="str">
        <f aca="false">IF($A3245="","",$G3245-$H3245)</f>
        <v/>
      </c>
      <c r="J3245" s="35" t="str">
        <f aca="false">IF($A3245="","",IF(Setup!$B$6=1,YEAR($A3245),YEAR($A3245)+IF(MONTH($A3245)&gt;=Setup!$B$6,1,0)))</f>
        <v/>
      </c>
      <c r="K3245" s="35" t="str">
        <f aca="false">IF($A3245="","",MOD(MONTH($A3245)-Setup!$B$6+12,12)+1)</f>
        <v/>
      </c>
      <c r="L3245" s="36" t="str">
        <f aca="false">IF($A3245="","",TEXT($A3245,"MMM-YY"))</f>
        <v/>
      </c>
      <c r="M3245" s="37" t="str">
        <f aca="false">IF($A3245="","",IF($Q3245=0,"UNMAPPED",INDEX(COA_Mapping!$C$7:$C$256,$Q3245)))</f>
        <v/>
      </c>
      <c r="N3245" s="38" t="str">
        <f aca="false">IF($A3245="","",IF($Q3245=0,"",INDEX(COA_Mapping!$E$7:$E$256,$Q3245)))</f>
        <v/>
      </c>
      <c r="O3245" s="38" t="n">
        <f aca="false">IF($A3245="",1,IF($Q3245=0,1,INDEX(COA_Mapping!$F$7:$F$256,$Q3245)))</f>
        <v>1</v>
      </c>
      <c r="P3245" s="34" t="str">
        <f aca="false">IF($A3245="","",$I3245*$O3245)</f>
        <v/>
      </c>
      <c r="Q3245" s="39" t="n">
        <f aca="false">IF($B3245="",0,IFERROR(MATCH($B3245,COA_Mapping!$A$7:$A$256,0),0))</f>
        <v>0</v>
      </c>
      <c r="R3245" s="39" t="n">
        <f aca="false">IF($A3245="",-1,IF($J3245=Setup!$B$7,1,IF($J3245=Setup!$B$9,0,-1)))</f>
        <v>-1</v>
      </c>
      <c r="S3245" s="35" t="n">
        <f aca="false">IF(OR($A3245="",$Q3245=0,$R3245=-1),0,$Q3245*1000+$R3245*100+$K3245)</f>
        <v>0</v>
      </c>
      <c r="T3245" s="37" t="str">
        <f aca="false">IF($A3245="","",IF($B3245="","NO ACCOUNT",IF($Q3245=0,"UNMAPPED",IF($R3245=-1,"OUTSIDE FY RANGE","OK"))))</f>
        <v/>
      </c>
      <c r="U3245" s="40" t="str">
        <f aca="false">IF($A3245="","",$B3245&amp;"|"&amp;TEXT($A3245,"yyyymmdd")&amp;"|"&amp;TEXT($I3245,"0.00"))</f>
        <v/>
      </c>
      <c r="V3245" s="35" t="str">
        <f aca="false">IF($A3245="","",COUNTIF($U$8:$U$5007,$U3245))</f>
        <v/>
      </c>
    </row>
    <row r="3246" customFormat="false" ht="15" hidden="false" customHeight="false" outlineLevel="0" collapsed="false">
      <c r="A3246" s="31"/>
      <c r="B3246" s="32"/>
      <c r="C3246" s="32"/>
      <c r="D3246" s="32"/>
      <c r="E3246" s="32"/>
      <c r="F3246" s="32"/>
      <c r="G3246" s="33"/>
      <c r="H3246" s="33"/>
      <c r="I3246" s="34" t="str">
        <f aca="false">IF($A3246="","",$G3246-$H3246)</f>
        <v/>
      </c>
      <c r="J3246" s="35" t="str">
        <f aca="false">IF($A3246="","",IF(Setup!$B$6=1,YEAR($A3246),YEAR($A3246)+IF(MONTH($A3246)&gt;=Setup!$B$6,1,0)))</f>
        <v/>
      </c>
      <c r="K3246" s="35" t="str">
        <f aca="false">IF($A3246="","",MOD(MONTH($A3246)-Setup!$B$6+12,12)+1)</f>
        <v/>
      </c>
      <c r="L3246" s="36" t="str">
        <f aca="false">IF($A3246="","",TEXT($A3246,"MMM-YY"))</f>
        <v/>
      </c>
      <c r="M3246" s="37" t="str">
        <f aca="false">IF($A3246="","",IF($Q3246=0,"UNMAPPED",INDEX(COA_Mapping!$C$7:$C$256,$Q3246)))</f>
        <v/>
      </c>
      <c r="N3246" s="38" t="str">
        <f aca="false">IF($A3246="","",IF($Q3246=0,"",INDEX(COA_Mapping!$E$7:$E$256,$Q3246)))</f>
        <v/>
      </c>
      <c r="O3246" s="38" t="n">
        <f aca="false">IF($A3246="",1,IF($Q3246=0,1,INDEX(COA_Mapping!$F$7:$F$256,$Q3246)))</f>
        <v>1</v>
      </c>
      <c r="P3246" s="34" t="str">
        <f aca="false">IF($A3246="","",$I3246*$O3246)</f>
        <v/>
      </c>
      <c r="Q3246" s="39" t="n">
        <f aca="false">IF($B3246="",0,IFERROR(MATCH($B3246,COA_Mapping!$A$7:$A$256,0),0))</f>
        <v>0</v>
      </c>
      <c r="R3246" s="39" t="n">
        <f aca="false">IF($A3246="",-1,IF($J3246=Setup!$B$7,1,IF($J3246=Setup!$B$9,0,-1)))</f>
        <v>-1</v>
      </c>
      <c r="S3246" s="35" t="n">
        <f aca="false">IF(OR($A3246="",$Q3246=0,$R3246=-1),0,$Q3246*1000+$R3246*100+$K3246)</f>
        <v>0</v>
      </c>
      <c r="T3246" s="37" t="str">
        <f aca="false">IF($A3246="","",IF($B3246="","NO ACCOUNT",IF($Q3246=0,"UNMAPPED",IF($R3246=-1,"OUTSIDE FY RANGE","OK"))))</f>
        <v/>
      </c>
      <c r="U3246" s="40" t="str">
        <f aca="false">IF($A3246="","",$B3246&amp;"|"&amp;TEXT($A3246,"yyyymmdd")&amp;"|"&amp;TEXT($I3246,"0.00"))</f>
        <v/>
      </c>
      <c r="V3246" s="35" t="str">
        <f aca="false">IF($A3246="","",COUNTIF($U$8:$U$5007,$U3246))</f>
        <v/>
      </c>
    </row>
    <row r="3247" customFormat="false" ht="15" hidden="false" customHeight="false" outlineLevel="0" collapsed="false">
      <c r="A3247" s="31"/>
      <c r="B3247" s="32"/>
      <c r="C3247" s="32"/>
      <c r="D3247" s="32"/>
      <c r="E3247" s="32"/>
      <c r="F3247" s="32"/>
      <c r="G3247" s="33"/>
      <c r="H3247" s="33"/>
      <c r="I3247" s="34" t="str">
        <f aca="false">IF($A3247="","",$G3247-$H3247)</f>
        <v/>
      </c>
      <c r="J3247" s="35" t="str">
        <f aca="false">IF($A3247="","",IF(Setup!$B$6=1,YEAR($A3247),YEAR($A3247)+IF(MONTH($A3247)&gt;=Setup!$B$6,1,0)))</f>
        <v/>
      </c>
      <c r="K3247" s="35" t="str">
        <f aca="false">IF($A3247="","",MOD(MONTH($A3247)-Setup!$B$6+12,12)+1)</f>
        <v/>
      </c>
      <c r="L3247" s="36" t="str">
        <f aca="false">IF($A3247="","",TEXT($A3247,"MMM-YY"))</f>
        <v/>
      </c>
      <c r="M3247" s="37" t="str">
        <f aca="false">IF($A3247="","",IF($Q3247=0,"UNMAPPED",INDEX(COA_Mapping!$C$7:$C$256,$Q3247)))</f>
        <v/>
      </c>
      <c r="N3247" s="38" t="str">
        <f aca="false">IF($A3247="","",IF($Q3247=0,"",INDEX(COA_Mapping!$E$7:$E$256,$Q3247)))</f>
        <v/>
      </c>
      <c r="O3247" s="38" t="n">
        <f aca="false">IF($A3247="",1,IF($Q3247=0,1,INDEX(COA_Mapping!$F$7:$F$256,$Q3247)))</f>
        <v>1</v>
      </c>
      <c r="P3247" s="34" t="str">
        <f aca="false">IF($A3247="","",$I3247*$O3247)</f>
        <v/>
      </c>
      <c r="Q3247" s="39" t="n">
        <f aca="false">IF($B3247="",0,IFERROR(MATCH($B3247,COA_Mapping!$A$7:$A$256,0),0))</f>
        <v>0</v>
      </c>
      <c r="R3247" s="39" t="n">
        <f aca="false">IF($A3247="",-1,IF($J3247=Setup!$B$7,1,IF($J3247=Setup!$B$9,0,-1)))</f>
        <v>-1</v>
      </c>
      <c r="S3247" s="35" t="n">
        <f aca="false">IF(OR($A3247="",$Q3247=0,$R3247=-1),0,$Q3247*1000+$R3247*100+$K3247)</f>
        <v>0</v>
      </c>
      <c r="T3247" s="37" t="str">
        <f aca="false">IF($A3247="","",IF($B3247="","NO ACCOUNT",IF($Q3247=0,"UNMAPPED",IF($R3247=-1,"OUTSIDE FY RANGE","OK"))))</f>
        <v/>
      </c>
      <c r="U3247" s="40" t="str">
        <f aca="false">IF($A3247="","",$B3247&amp;"|"&amp;TEXT($A3247,"yyyymmdd")&amp;"|"&amp;TEXT($I3247,"0.00"))</f>
        <v/>
      </c>
      <c r="V3247" s="35" t="str">
        <f aca="false">IF($A3247="","",COUNTIF($U$8:$U$5007,$U3247))</f>
        <v/>
      </c>
    </row>
    <row r="3248" customFormat="false" ht="15" hidden="false" customHeight="false" outlineLevel="0" collapsed="false">
      <c r="A3248" s="31"/>
      <c r="B3248" s="32"/>
      <c r="C3248" s="32"/>
      <c r="D3248" s="32"/>
      <c r="E3248" s="32"/>
      <c r="F3248" s="32"/>
      <c r="G3248" s="33"/>
      <c r="H3248" s="33"/>
      <c r="I3248" s="34" t="str">
        <f aca="false">IF($A3248="","",$G3248-$H3248)</f>
        <v/>
      </c>
      <c r="J3248" s="35" t="str">
        <f aca="false">IF($A3248="","",IF(Setup!$B$6=1,YEAR($A3248),YEAR($A3248)+IF(MONTH($A3248)&gt;=Setup!$B$6,1,0)))</f>
        <v/>
      </c>
      <c r="K3248" s="35" t="str">
        <f aca="false">IF($A3248="","",MOD(MONTH($A3248)-Setup!$B$6+12,12)+1)</f>
        <v/>
      </c>
      <c r="L3248" s="36" t="str">
        <f aca="false">IF($A3248="","",TEXT($A3248,"MMM-YY"))</f>
        <v/>
      </c>
      <c r="M3248" s="37" t="str">
        <f aca="false">IF($A3248="","",IF($Q3248=0,"UNMAPPED",INDEX(COA_Mapping!$C$7:$C$256,$Q3248)))</f>
        <v/>
      </c>
      <c r="N3248" s="38" t="str">
        <f aca="false">IF($A3248="","",IF($Q3248=0,"",INDEX(COA_Mapping!$E$7:$E$256,$Q3248)))</f>
        <v/>
      </c>
      <c r="O3248" s="38" t="n">
        <f aca="false">IF($A3248="",1,IF($Q3248=0,1,INDEX(COA_Mapping!$F$7:$F$256,$Q3248)))</f>
        <v>1</v>
      </c>
      <c r="P3248" s="34" t="str">
        <f aca="false">IF($A3248="","",$I3248*$O3248)</f>
        <v/>
      </c>
      <c r="Q3248" s="39" t="n">
        <f aca="false">IF($B3248="",0,IFERROR(MATCH($B3248,COA_Mapping!$A$7:$A$256,0),0))</f>
        <v>0</v>
      </c>
      <c r="R3248" s="39" t="n">
        <f aca="false">IF($A3248="",-1,IF($J3248=Setup!$B$7,1,IF($J3248=Setup!$B$9,0,-1)))</f>
        <v>-1</v>
      </c>
      <c r="S3248" s="35" t="n">
        <f aca="false">IF(OR($A3248="",$Q3248=0,$R3248=-1),0,$Q3248*1000+$R3248*100+$K3248)</f>
        <v>0</v>
      </c>
      <c r="T3248" s="37" t="str">
        <f aca="false">IF($A3248="","",IF($B3248="","NO ACCOUNT",IF($Q3248=0,"UNMAPPED",IF($R3248=-1,"OUTSIDE FY RANGE","OK"))))</f>
        <v/>
      </c>
      <c r="U3248" s="40" t="str">
        <f aca="false">IF($A3248="","",$B3248&amp;"|"&amp;TEXT($A3248,"yyyymmdd")&amp;"|"&amp;TEXT($I3248,"0.00"))</f>
        <v/>
      </c>
      <c r="V3248" s="35" t="str">
        <f aca="false">IF($A3248="","",COUNTIF($U$8:$U$5007,$U3248))</f>
        <v/>
      </c>
    </row>
    <row r="3249" customFormat="false" ht="15" hidden="false" customHeight="false" outlineLevel="0" collapsed="false">
      <c r="A3249" s="31"/>
      <c r="B3249" s="32"/>
      <c r="C3249" s="32"/>
      <c r="D3249" s="32"/>
      <c r="E3249" s="32"/>
      <c r="F3249" s="32"/>
      <c r="G3249" s="33"/>
      <c r="H3249" s="33"/>
      <c r="I3249" s="34" t="str">
        <f aca="false">IF($A3249="","",$G3249-$H3249)</f>
        <v/>
      </c>
      <c r="J3249" s="35" t="str">
        <f aca="false">IF($A3249="","",IF(Setup!$B$6=1,YEAR($A3249),YEAR($A3249)+IF(MONTH($A3249)&gt;=Setup!$B$6,1,0)))</f>
        <v/>
      </c>
      <c r="K3249" s="35" t="str">
        <f aca="false">IF($A3249="","",MOD(MONTH($A3249)-Setup!$B$6+12,12)+1)</f>
        <v/>
      </c>
      <c r="L3249" s="36" t="str">
        <f aca="false">IF($A3249="","",TEXT($A3249,"MMM-YY"))</f>
        <v/>
      </c>
      <c r="M3249" s="37" t="str">
        <f aca="false">IF($A3249="","",IF($Q3249=0,"UNMAPPED",INDEX(COA_Mapping!$C$7:$C$256,$Q3249)))</f>
        <v/>
      </c>
      <c r="N3249" s="38" t="str">
        <f aca="false">IF($A3249="","",IF($Q3249=0,"",INDEX(COA_Mapping!$E$7:$E$256,$Q3249)))</f>
        <v/>
      </c>
      <c r="O3249" s="38" t="n">
        <f aca="false">IF($A3249="",1,IF($Q3249=0,1,INDEX(COA_Mapping!$F$7:$F$256,$Q3249)))</f>
        <v>1</v>
      </c>
      <c r="P3249" s="34" t="str">
        <f aca="false">IF($A3249="","",$I3249*$O3249)</f>
        <v/>
      </c>
      <c r="Q3249" s="39" t="n">
        <f aca="false">IF($B3249="",0,IFERROR(MATCH($B3249,COA_Mapping!$A$7:$A$256,0),0))</f>
        <v>0</v>
      </c>
      <c r="R3249" s="39" t="n">
        <f aca="false">IF($A3249="",-1,IF($J3249=Setup!$B$7,1,IF($J3249=Setup!$B$9,0,-1)))</f>
        <v>-1</v>
      </c>
      <c r="S3249" s="35" t="n">
        <f aca="false">IF(OR($A3249="",$Q3249=0,$R3249=-1),0,$Q3249*1000+$R3249*100+$K3249)</f>
        <v>0</v>
      </c>
      <c r="T3249" s="37" t="str">
        <f aca="false">IF($A3249="","",IF($B3249="","NO ACCOUNT",IF($Q3249=0,"UNMAPPED",IF($R3249=-1,"OUTSIDE FY RANGE","OK"))))</f>
        <v/>
      </c>
      <c r="U3249" s="40" t="str">
        <f aca="false">IF($A3249="","",$B3249&amp;"|"&amp;TEXT($A3249,"yyyymmdd")&amp;"|"&amp;TEXT($I3249,"0.00"))</f>
        <v/>
      </c>
      <c r="V3249" s="35" t="str">
        <f aca="false">IF($A3249="","",COUNTIF($U$8:$U$5007,$U3249))</f>
        <v/>
      </c>
    </row>
    <row r="3250" customFormat="false" ht="15" hidden="false" customHeight="false" outlineLevel="0" collapsed="false">
      <c r="A3250" s="31"/>
      <c r="B3250" s="32"/>
      <c r="C3250" s="32"/>
      <c r="D3250" s="32"/>
      <c r="E3250" s="32"/>
      <c r="F3250" s="32"/>
      <c r="G3250" s="33"/>
      <c r="H3250" s="33"/>
      <c r="I3250" s="34" t="str">
        <f aca="false">IF($A3250="","",$G3250-$H3250)</f>
        <v/>
      </c>
      <c r="J3250" s="35" t="str">
        <f aca="false">IF($A3250="","",IF(Setup!$B$6=1,YEAR($A3250),YEAR($A3250)+IF(MONTH($A3250)&gt;=Setup!$B$6,1,0)))</f>
        <v/>
      </c>
      <c r="K3250" s="35" t="str">
        <f aca="false">IF($A3250="","",MOD(MONTH($A3250)-Setup!$B$6+12,12)+1)</f>
        <v/>
      </c>
      <c r="L3250" s="36" t="str">
        <f aca="false">IF($A3250="","",TEXT($A3250,"MMM-YY"))</f>
        <v/>
      </c>
      <c r="M3250" s="37" t="str">
        <f aca="false">IF($A3250="","",IF($Q3250=0,"UNMAPPED",INDEX(COA_Mapping!$C$7:$C$256,$Q3250)))</f>
        <v/>
      </c>
      <c r="N3250" s="38" t="str">
        <f aca="false">IF($A3250="","",IF($Q3250=0,"",INDEX(COA_Mapping!$E$7:$E$256,$Q3250)))</f>
        <v/>
      </c>
      <c r="O3250" s="38" t="n">
        <f aca="false">IF($A3250="",1,IF($Q3250=0,1,INDEX(COA_Mapping!$F$7:$F$256,$Q3250)))</f>
        <v>1</v>
      </c>
      <c r="P3250" s="34" t="str">
        <f aca="false">IF($A3250="","",$I3250*$O3250)</f>
        <v/>
      </c>
      <c r="Q3250" s="39" t="n">
        <f aca="false">IF($B3250="",0,IFERROR(MATCH($B3250,COA_Mapping!$A$7:$A$256,0),0))</f>
        <v>0</v>
      </c>
      <c r="R3250" s="39" t="n">
        <f aca="false">IF($A3250="",-1,IF($J3250=Setup!$B$7,1,IF($J3250=Setup!$B$9,0,-1)))</f>
        <v>-1</v>
      </c>
      <c r="S3250" s="35" t="n">
        <f aca="false">IF(OR($A3250="",$Q3250=0,$R3250=-1),0,$Q3250*1000+$R3250*100+$K3250)</f>
        <v>0</v>
      </c>
      <c r="T3250" s="37" t="str">
        <f aca="false">IF($A3250="","",IF($B3250="","NO ACCOUNT",IF($Q3250=0,"UNMAPPED",IF($R3250=-1,"OUTSIDE FY RANGE","OK"))))</f>
        <v/>
      </c>
      <c r="U3250" s="40" t="str">
        <f aca="false">IF($A3250="","",$B3250&amp;"|"&amp;TEXT($A3250,"yyyymmdd")&amp;"|"&amp;TEXT($I3250,"0.00"))</f>
        <v/>
      </c>
      <c r="V3250" s="35" t="str">
        <f aca="false">IF($A3250="","",COUNTIF($U$8:$U$5007,$U3250))</f>
        <v/>
      </c>
    </row>
    <row r="3251" customFormat="false" ht="15" hidden="false" customHeight="false" outlineLevel="0" collapsed="false">
      <c r="A3251" s="31"/>
      <c r="B3251" s="32"/>
      <c r="C3251" s="32"/>
      <c r="D3251" s="32"/>
      <c r="E3251" s="32"/>
      <c r="F3251" s="32"/>
      <c r="G3251" s="33"/>
      <c r="H3251" s="33"/>
      <c r="I3251" s="34" t="str">
        <f aca="false">IF($A3251="","",$G3251-$H3251)</f>
        <v/>
      </c>
      <c r="J3251" s="35" t="str">
        <f aca="false">IF($A3251="","",IF(Setup!$B$6=1,YEAR($A3251),YEAR($A3251)+IF(MONTH($A3251)&gt;=Setup!$B$6,1,0)))</f>
        <v/>
      </c>
      <c r="K3251" s="35" t="str">
        <f aca="false">IF($A3251="","",MOD(MONTH($A3251)-Setup!$B$6+12,12)+1)</f>
        <v/>
      </c>
      <c r="L3251" s="36" t="str">
        <f aca="false">IF($A3251="","",TEXT($A3251,"MMM-YY"))</f>
        <v/>
      </c>
      <c r="M3251" s="37" t="str">
        <f aca="false">IF($A3251="","",IF($Q3251=0,"UNMAPPED",INDEX(COA_Mapping!$C$7:$C$256,$Q3251)))</f>
        <v/>
      </c>
      <c r="N3251" s="38" t="str">
        <f aca="false">IF($A3251="","",IF($Q3251=0,"",INDEX(COA_Mapping!$E$7:$E$256,$Q3251)))</f>
        <v/>
      </c>
      <c r="O3251" s="38" t="n">
        <f aca="false">IF($A3251="",1,IF($Q3251=0,1,INDEX(COA_Mapping!$F$7:$F$256,$Q3251)))</f>
        <v>1</v>
      </c>
      <c r="P3251" s="34" t="str">
        <f aca="false">IF($A3251="","",$I3251*$O3251)</f>
        <v/>
      </c>
      <c r="Q3251" s="39" t="n">
        <f aca="false">IF($B3251="",0,IFERROR(MATCH($B3251,COA_Mapping!$A$7:$A$256,0),0))</f>
        <v>0</v>
      </c>
      <c r="R3251" s="39" t="n">
        <f aca="false">IF($A3251="",-1,IF($J3251=Setup!$B$7,1,IF($J3251=Setup!$B$9,0,-1)))</f>
        <v>-1</v>
      </c>
      <c r="S3251" s="35" t="n">
        <f aca="false">IF(OR($A3251="",$Q3251=0,$R3251=-1),0,$Q3251*1000+$R3251*100+$K3251)</f>
        <v>0</v>
      </c>
      <c r="T3251" s="37" t="str">
        <f aca="false">IF($A3251="","",IF($B3251="","NO ACCOUNT",IF($Q3251=0,"UNMAPPED",IF($R3251=-1,"OUTSIDE FY RANGE","OK"))))</f>
        <v/>
      </c>
      <c r="U3251" s="40" t="str">
        <f aca="false">IF($A3251="","",$B3251&amp;"|"&amp;TEXT($A3251,"yyyymmdd")&amp;"|"&amp;TEXT($I3251,"0.00"))</f>
        <v/>
      </c>
      <c r="V3251" s="35" t="str">
        <f aca="false">IF($A3251="","",COUNTIF($U$8:$U$5007,$U3251))</f>
        <v/>
      </c>
    </row>
    <row r="3252" customFormat="false" ht="15" hidden="false" customHeight="false" outlineLevel="0" collapsed="false">
      <c r="A3252" s="31"/>
      <c r="B3252" s="32"/>
      <c r="C3252" s="32"/>
      <c r="D3252" s="32"/>
      <c r="E3252" s="32"/>
      <c r="F3252" s="32"/>
      <c r="G3252" s="33"/>
      <c r="H3252" s="33"/>
      <c r="I3252" s="34" t="str">
        <f aca="false">IF($A3252="","",$G3252-$H3252)</f>
        <v/>
      </c>
      <c r="J3252" s="35" t="str">
        <f aca="false">IF($A3252="","",IF(Setup!$B$6=1,YEAR($A3252),YEAR($A3252)+IF(MONTH($A3252)&gt;=Setup!$B$6,1,0)))</f>
        <v/>
      </c>
      <c r="K3252" s="35" t="str">
        <f aca="false">IF($A3252="","",MOD(MONTH($A3252)-Setup!$B$6+12,12)+1)</f>
        <v/>
      </c>
      <c r="L3252" s="36" t="str">
        <f aca="false">IF($A3252="","",TEXT($A3252,"MMM-YY"))</f>
        <v/>
      </c>
      <c r="M3252" s="37" t="str">
        <f aca="false">IF($A3252="","",IF($Q3252=0,"UNMAPPED",INDEX(COA_Mapping!$C$7:$C$256,$Q3252)))</f>
        <v/>
      </c>
      <c r="N3252" s="38" t="str">
        <f aca="false">IF($A3252="","",IF($Q3252=0,"",INDEX(COA_Mapping!$E$7:$E$256,$Q3252)))</f>
        <v/>
      </c>
      <c r="O3252" s="38" t="n">
        <f aca="false">IF($A3252="",1,IF($Q3252=0,1,INDEX(COA_Mapping!$F$7:$F$256,$Q3252)))</f>
        <v>1</v>
      </c>
      <c r="P3252" s="34" t="str">
        <f aca="false">IF($A3252="","",$I3252*$O3252)</f>
        <v/>
      </c>
      <c r="Q3252" s="39" t="n">
        <f aca="false">IF($B3252="",0,IFERROR(MATCH($B3252,COA_Mapping!$A$7:$A$256,0),0))</f>
        <v>0</v>
      </c>
      <c r="R3252" s="39" t="n">
        <f aca="false">IF($A3252="",-1,IF($J3252=Setup!$B$7,1,IF($J3252=Setup!$B$9,0,-1)))</f>
        <v>-1</v>
      </c>
      <c r="S3252" s="35" t="n">
        <f aca="false">IF(OR($A3252="",$Q3252=0,$R3252=-1),0,$Q3252*1000+$R3252*100+$K3252)</f>
        <v>0</v>
      </c>
      <c r="T3252" s="37" t="str">
        <f aca="false">IF($A3252="","",IF($B3252="","NO ACCOUNT",IF($Q3252=0,"UNMAPPED",IF($R3252=-1,"OUTSIDE FY RANGE","OK"))))</f>
        <v/>
      </c>
      <c r="U3252" s="40" t="str">
        <f aca="false">IF($A3252="","",$B3252&amp;"|"&amp;TEXT($A3252,"yyyymmdd")&amp;"|"&amp;TEXT($I3252,"0.00"))</f>
        <v/>
      </c>
      <c r="V3252" s="35" t="str">
        <f aca="false">IF($A3252="","",COUNTIF($U$8:$U$5007,$U3252))</f>
        <v/>
      </c>
    </row>
    <row r="3253" customFormat="false" ht="15" hidden="false" customHeight="false" outlineLevel="0" collapsed="false">
      <c r="A3253" s="31"/>
      <c r="B3253" s="32"/>
      <c r="C3253" s="32"/>
      <c r="D3253" s="32"/>
      <c r="E3253" s="32"/>
      <c r="F3253" s="32"/>
      <c r="G3253" s="33"/>
      <c r="H3253" s="33"/>
      <c r="I3253" s="34" t="str">
        <f aca="false">IF($A3253="","",$G3253-$H3253)</f>
        <v/>
      </c>
      <c r="J3253" s="35" t="str">
        <f aca="false">IF($A3253="","",IF(Setup!$B$6=1,YEAR($A3253),YEAR($A3253)+IF(MONTH($A3253)&gt;=Setup!$B$6,1,0)))</f>
        <v/>
      </c>
      <c r="K3253" s="35" t="str">
        <f aca="false">IF($A3253="","",MOD(MONTH($A3253)-Setup!$B$6+12,12)+1)</f>
        <v/>
      </c>
      <c r="L3253" s="36" t="str">
        <f aca="false">IF($A3253="","",TEXT($A3253,"MMM-YY"))</f>
        <v/>
      </c>
      <c r="M3253" s="37" t="str">
        <f aca="false">IF($A3253="","",IF($Q3253=0,"UNMAPPED",INDEX(COA_Mapping!$C$7:$C$256,$Q3253)))</f>
        <v/>
      </c>
      <c r="N3253" s="38" t="str">
        <f aca="false">IF($A3253="","",IF($Q3253=0,"",INDEX(COA_Mapping!$E$7:$E$256,$Q3253)))</f>
        <v/>
      </c>
      <c r="O3253" s="38" t="n">
        <f aca="false">IF($A3253="",1,IF($Q3253=0,1,INDEX(COA_Mapping!$F$7:$F$256,$Q3253)))</f>
        <v>1</v>
      </c>
      <c r="P3253" s="34" t="str">
        <f aca="false">IF($A3253="","",$I3253*$O3253)</f>
        <v/>
      </c>
      <c r="Q3253" s="39" t="n">
        <f aca="false">IF($B3253="",0,IFERROR(MATCH($B3253,COA_Mapping!$A$7:$A$256,0),0))</f>
        <v>0</v>
      </c>
      <c r="R3253" s="39" t="n">
        <f aca="false">IF($A3253="",-1,IF($J3253=Setup!$B$7,1,IF($J3253=Setup!$B$9,0,-1)))</f>
        <v>-1</v>
      </c>
      <c r="S3253" s="35" t="n">
        <f aca="false">IF(OR($A3253="",$Q3253=0,$R3253=-1),0,$Q3253*1000+$R3253*100+$K3253)</f>
        <v>0</v>
      </c>
      <c r="T3253" s="37" t="str">
        <f aca="false">IF($A3253="","",IF($B3253="","NO ACCOUNT",IF($Q3253=0,"UNMAPPED",IF($R3253=-1,"OUTSIDE FY RANGE","OK"))))</f>
        <v/>
      </c>
      <c r="U3253" s="40" t="str">
        <f aca="false">IF($A3253="","",$B3253&amp;"|"&amp;TEXT($A3253,"yyyymmdd")&amp;"|"&amp;TEXT($I3253,"0.00"))</f>
        <v/>
      </c>
      <c r="V3253" s="35" t="str">
        <f aca="false">IF($A3253="","",COUNTIF($U$8:$U$5007,$U3253))</f>
        <v/>
      </c>
    </row>
    <row r="3254" customFormat="false" ht="15" hidden="false" customHeight="false" outlineLevel="0" collapsed="false">
      <c r="A3254" s="31"/>
      <c r="B3254" s="32"/>
      <c r="C3254" s="32"/>
      <c r="D3254" s="32"/>
      <c r="E3254" s="32"/>
      <c r="F3254" s="32"/>
      <c r="G3254" s="33"/>
      <c r="H3254" s="33"/>
      <c r="I3254" s="34" t="str">
        <f aca="false">IF($A3254="","",$G3254-$H3254)</f>
        <v/>
      </c>
      <c r="J3254" s="35" t="str">
        <f aca="false">IF($A3254="","",IF(Setup!$B$6=1,YEAR($A3254),YEAR($A3254)+IF(MONTH($A3254)&gt;=Setup!$B$6,1,0)))</f>
        <v/>
      </c>
      <c r="K3254" s="35" t="str">
        <f aca="false">IF($A3254="","",MOD(MONTH($A3254)-Setup!$B$6+12,12)+1)</f>
        <v/>
      </c>
      <c r="L3254" s="36" t="str">
        <f aca="false">IF($A3254="","",TEXT($A3254,"MMM-YY"))</f>
        <v/>
      </c>
      <c r="M3254" s="37" t="str">
        <f aca="false">IF($A3254="","",IF($Q3254=0,"UNMAPPED",INDEX(COA_Mapping!$C$7:$C$256,$Q3254)))</f>
        <v/>
      </c>
      <c r="N3254" s="38" t="str">
        <f aca="false">IF($A3254="","",IF($Q3254=0,"",INDEX(COA_Mapping!$E$7:$E$256,$Q3254)))</f>
        <v/>
      </c>
      <c r="O3254" s="38" t="n">
        <f aca="false">IF($A3254="",1,IF($Q3254=0,1,INDEX(COA_Mapping!$F$7:$F$256,$Q3254)))</f>
        <v>1</v>
      </c>
      <c r="P3254" s="34" t="str">
        <f aca="false">IF($A3254="","",$I3254*$O3254)</f>
        <v/>
      </c>
      <c r="Q3254" s="39" t="n">
        <f aca="false">IF($B3254="",0,IFERROR(MATCH($B3254,COA_Mapping!$A$7:$A$256,0),0))</f>
        <v>0</v>
      </c>
      <c r="R3254" s="39" t="n">
        <f aca="false">IF($A3254="",-1,IF($J3254=Setup!$B$7,1,IF($J3254=Setup!$B$9,0,-1)))</f>
        <v>-1</v>
      </c>
      <c r="S3254" s="35" t="n">
        <f aca="false">IF(OR($A3254="",$Q3254=0,$R3254=-1),0,$Q3254*1000+$R3254*100+$K3254)</f>
        <v>0</v>
      </c>
      <c r="T3254" s="37" t="str">
        <f aca="false">IF($A3254="","",IF($B3254="","NO ACCOUNT",IF($Q3254=0,"UNMAPPED",IF($R3254=-1,"OUTSIDE FY RANGE","OK"))))</f>
        <v/>
      </c>
      <c r="U3254" s="40" t="str">
        <f aca="false">IF($A3254="","",$B3254&amp;"|"&amp;TEXT($A3254,"yyyymmdd")&amp;"|"&amp;TEXT($I3254,"0.00"))</f>
        <v/>
      </c>
      <c r="V3254" s="35" t="str">
        <f aca="false">IF($A3254="","",COUNTIF($U$8:$U$5007,$U3254))</f>
        <v/>
      </c>
    </row>
    <row r="3255" customFormat="false" ht="15" hidden="false" customHeight="false" outlineLevel="0" collapsed="false">
      <c r="A3255" s="31"/>
      <c r="B3255" s="32"/>
      <c r="C3255" s="32"/>
      <c r="D3255" s="32"/>
      <c r="E3255" s="32"/>
      <c r="F3255" s="32"/>
      <c r="G3255" s="33"/>
      <c r="H3255" s="33"/>
      <c r="I3255" s="34" t="str">
        <f aca="false">IF($A3255="","",$G3255-$H3255)</f>
        <v/>
      </c>
      <c r="J3255" s="35" t="str">
        <f aca="false">IF($A3255="","",IF(Setup!$B$6=1,YEAR($A3255),YEAR($A3255)+IF(MONTH($A3255)&gt;=Setup!$B$6,1,0)))</f>
        <v/>
      </c>
      <c r="K3255" s="35" t="str">
        <f aca="false">IF($A3255="","",MOD(MONTH($A3255)-Setup!$B$6+12,12)+1)</f>
        <v/>
      </c>
      <c r="L3255" s="36" t="str">
        <f aca="false">IF($A3255="","",TEXT($A3255,"MMM-YY"))</f>
        <v/>
      </c>
      <c r="M3255" s="37" t="str">
        <f aca="false">IF($A3255="","",IF($Q3255=0,"UNMAPPED",INDEX(COA_Mapping!$C$7:$C$256,$Q3255)))</f>
        <v/>
      </c>
      <c r="N3255" s="38" t="str">
        <f aca="false">IF($A3255="","",IF($Q3255=0,"",INDEX(COA_Mapping!$E$7:$E$256,$Q3255)))</f>
        <v/>
      </c>
      <c r="O3255" s="38" t="n">
        <f aca="false">IF($A3255="",1,IF($Q3255=0,1,INDEX(COA_Mapping!$F$7:$F$256,$Q3255)))</f>
        <v>1</v>
      </c>
      <c r="P3255" s="34" t="str">
        <f aca="false">IF($A3255="","",$I3255*$O3255)</f>
        <v/>
      </c>
      <c r="Q3255" s="39" t="n">
        <f aca="false">IF($B3255="",0,IFERROR(MATCH($B3255,COA_Mapping!$A$7:$A$256,0),0))</f>
        <v>0</v>
      </c>
      <c r="R3255" s="39" t="n">
        <f aca="false">IF($A3255="",-1,IF($J3255=Setup!$B$7,1,IF($J3255=Setup!$B$9,0,-1)))</f>
        <v>-1</v>
      </c>
      <c r="S3255" s="35" t="n">
        <f aca="false">IF(OR($A3255="",$Q3255=0,$R3255=-1),0,$Q3255*1000+$R3255*100+$K3255)</f>
        <v>0</v>
      </c>
      <c r="T3255" s="37" t="str">
        <f aca="false">IF($A3255="","",IF($B3255="","NO ACCOUNT",IF($Q3255=0,"UNMAPPED",IF($R3255=-1,"OUTSIDE FY RANGE","OK"))))</f>
        <v/>
      </c>
      <c r="U3255" s="40" t="str">
        <f aca="false">IF($A3255="","",$B3255&amp;"|"&amp;TEXT($A3255,"yyyymmdd")&amp;"|"&amp;TEXT($I3255,"0.00"))</f>
        <v/>
      </c>
      <c r="V3255" s="35" t="str">
        <f aca="false">IF($A3255="","",COUNTIF($U$8:$U$5007,$U3255))</f>
        <v/>
      </c>
    </row>
    <row r="3256" customFormat="false" ht="15" hidden="false" customHeight="false" outlineLevel="0" collapsed="false">
      <c r="A3256" s="31"/>
      <c r="B3256" s="32"/>
      <c r="C3256" s="32"/>
      <c r="D3256" s="32"/>
      <c r="E3256" s="32"/>
      <c r="F3256" s="32"/>
      <c r="G3256" s="33"/>
      <c r="H3256" s="33"/>
      <c r="I3256" s="34" t="str">
        <f aca="false">IF($A3256="","",$G3256-$H3256)</f>
        <v/>
      </c>
      <c r="J3256" s="35" t="str">
        <f aca="false">IF($A3256="","",IF(Setup!$B$6=1,YEAR($A3256),YEAR($A3256)+IF(MONTH($A3256)&gt;=Setup!$B$6,1,0)))</f>
        <v/>
      </c>
      <c r="K3256" s="35" t="str">
        <f aca="false">IF($A3256="","",MOD(MONTH($A3256)-Setup!$B$6+12,12)+1)</f>
        <v/>
      </c>
      <c r="L3256" s="36" t="str">
        <f aca="false">IF($A3256="","",TEXT($A3256,"MMM-YY"))</f>
        <v/>
      </c>
      <c r="M3256" s="37" t="str">
        <f aca="false">IF($A3256="","",IF($Q3256=0,"UNMAPPED",INDEX(COA_Mapping!$C$7:$C$256,$Q3256)))</f>
        <v/>
      </c>
      <c r="N3256" s="38" t="str">
        <f aca="false">IF($A3256="","",IF($Q3256=0,"",INDEX(COA_Mapping!$E$7:$E$256,$Q3256)))</f>
        <v/>
      </c>
      <c r="O3256" s="38" t="n">
        <f aca="false">IF($A3256="",1,IF($Q3256=0,1,INDEX(COA_Mapping!$F$7:$F$256,$Q3256)))</f>
        <v>1</v>
      </c>
      <c r="P3256" s="34" t="str">
        <f aca="false">IF($A3256="","",$I3256*$O3256)</f>
        <v/>
      </c>
      <c r="Q3256" s="39" t="n">
        <f aca="false">IF($B3256="",0,IFERROR(MATCH($B3256,COA_Mapping!$A$7:$A$256,0),0))</f>
        <v>0</v>
      </c>
      <c r="R3256" s="39" t="n">
        <f aca="false">IF($A3256="",-1,IF($J3256=Setup!$B$7,1,IF($J3256=Setup!$B$9,0,-1)))</f>
        <v>-1</v>
      </c>
      <c r="S3256" s="35" t="n">
        <f aca="false">IF(OR($A3256="",$Q3256=0,$R3256=-1),0,$Q3256*1000+$R3256*100+$K3256)</f>
        <v>0</v>
      </c>
      <c r="T3256" s="37" t="str">
        <f aca="false">IF($A3256="","",IF($B3256="","NO ACCOUNT",IF($Q3256=0,"UNMAPPED",IF($R3256=-1,"OUTSIDE FY RANGE","OK"))))</f>
        <v/>
      </c>
      <c r="U3256" s="40" t="str">
        <f aca="false">IF($A3256="","",$B3256&amp;"|"&amp;TEXT($A3256,"yyyymmdd")&amp;"|"&amp;TEXT($I3256,"0.00"))</f>
        <v/>
      </c>
      <c r="V3256" s="35" t="str">
        <f aca="false">IF($A3256="","",COUNTIF($U$8:$U$5007,$U3256))</f>
        <v/>
      </c>
    </row>
    <row r="3257" customFormat="false" ht="15" hidden="false" customHeight="false" outlineLevel="0" collapsed="false">
      <c r="A3257" s="31"/>
      <c r="B3257" s="32"/>
      <c r="C3257" s="32"/>
      <c r="D3257" s="32"/>
      <c r="E3257" s="32"/>
      <c r="F3257" s="32"/>
      <c r="G3257" s="33"/>
      <c r="H3257" s="33"/>
      <c r="I3257" s="34" t="str">
        <f aca="false">IF($A3257="","",$G3257-$H3257)</f>
        <v/>
      </c>
      <c r="J3257" s="35" t="str">
        <f aca="false">IF($A3257="","",IF(Setup!$B$6=1,YEAR($A3257),YEAR($A3257)+IF(MONTH($A3257)&gt;=Setup!$B$6,1,0)))</f>
        <v/>
      </c>
      <c r="K3257" s="35" t="str">
        <f aca="false">IF($A3257="","",MOD(MONTH($A3257)-Setup!$B$6+12,12)+1)</f>
        <v/>
      </c>
      <c r="L3257" s="36" t="str">
        <f aca="false">IF($A3257="","",TEXT($A3257,"MMM-YY"))</f>
        <v/>
      </c>
      <c r="M3257" s="37" t="str">
        <f aca="false">IF($A3257="","",IF($Q3257=0,"UNMAPPED",INDEX(COA_Mapping!$C$7:$C$256,$Q3257)))</f>
        <v/>
      </c>
      <c r="N3257" s="38" t="str">
        <f aca="false">IF($A3257="","",IF($Q3257=0,"",INDEX(COA_Mapping!$E$7:$E$256,$Q3257)))</f>
        <v/>
      </c>
      <c r="O3257" s="38" t="n">
        <f aca="false">IF($A3257="",1,IF($Q3257=0,1,INDEX(COA_Mapping!$F$7:$F$256,$Q3257)))</f>
        <v>1</v>
      </c>
      <c r="P3257" s="34" t="str">
        <f aca="false">IF($A3257="","",$I3257*$O3257)</f>
        <v/>
      </c>
      <c r="Q3257" s="39" t="n">
        <f aca="false">IF($B3257="",0,IFERROR(MATCH($B3257,COA_Mapping!$A$7:$A$256,0),0))</f>
        <v>0</v>
      </c>
      <c r="R3257" s="39" t="n">
        <f aca="false">IF($A3257="",-1,IF($J3257=Setup!$B$7,1,IF($J3257=Setup!$B$9,0,-1)))</f>
        <v>-1</v>
      </c>
      <c r="S3257" s="35" t="n">
        <f aca="false">IF(OR($A3257="",$Q3257=0,$R3257=-1),0,$Q3257*1000+$R3257*100+$K3257)</f>
        <v>0</v>
      </c>
      <c r="T3257" s="37" t="str">
        <f aca="false">IF($A3257="","",IF($B3257="","NO ACCOUNT",IF($Q3257=0,"UNMAPPED",IF($R3257=-1,"OUTSIDE FY RANGE","OK"))))</f>
        <v/>
      </c>
      <c r="U3257" s="40" t="str">
        <f aca="false">IF($A3257="","",$B3257&amp;"|"&amp;TEXT($A3257,"yyyymmdd")&amp;"|"&amp;TEXT($I3257,"0.00"))</f>
        <v/>
      </c>
      <c r="V3257" s="35" t="str">
        <f aca="false">IF($A3257="","",COUNTIF($U$8:$U$5007,$U3257))</f>
        <v/>
      </c>
    </row>
    <row r="3258" customFormat="false" ht="15" hidden="false" customHeight="false" outlineLevel="0" collapsed="false">
      <c r="A3258" s="31"/>
      <c r="B3258" s="32"/>
      <c r="C3258" s="32"/>
      <c r="D3258" s="32"/>
      <c r="E3258" s="32"/>
      <c r="F3258" s="32"/>
      <c r="G3258" s="33"/>
      <c r="H3258" s="33"/>
      <c r="I3258" s="34" t="str">
        <f aca="false">IF($A3258="","",$G3258-$H3258)</f>
        <v/>
      </c>
      <c r="J3258" s="35" t="str">
        <f aca="false">IF($A3258="","",IF(Setup!$B$6=1,YEAR($A3258),YEAR($A3258)+IF(MONTH($A3258)&gt;=Setup!$B$6,1,0)))</f>
        <v/>
      </c>
      <c r="K3258" s="35" t="str">
        <f aca="false">IF($A3258="","",MOD(MONTH($A3258)-Setup!$B$6+12,12)+1)</f>
        <v/>
      </c>
      <c r="L3258" s="36" t="str">
        <f aca="false">IF($A3258="","",TEXT($A3258,"MMM-YY"))</f>
        <v/>
      </c>
      <c r="M3258" s="37" t="str">
        <f aca="false">IF($A3258="","",IF($Q3258=0,"UNMAPPED",INDEX(COA_Mapping!$C$7:$C$256,$Q3258)))</f>
        <v/>
      </c>
      <c r="N3258" s="38" t="str">
        <f aca="false">IF($A3258="","",IF($Q3258=0,"",INDEX(COA_Mapping!$E$7:$E$256,$Q3258)))</f>
        <v/>
      </c>
      <c r="O3258" s="38" t="n">
        <f aca="false">IF($A3258="",1,IF($Q3258=0,1,INDEX(COA_Mapping!$F$7:$F$256,$Q3258)))</f>
        <v>1</v>
      </c>
      <c r="P3258" s="34" t="str">
        <f aca="false">IF($A3258="","",$I3258*$O3258)</f>
        <v/>
      </c>
      <c r="Q3258" s="39" t="n">
        <f aca="false">IF($B3258="",0,IFERROR(MATCH($B3258,COA_Mapping!$A$7:$A$256,0),0))</f>
        <v>0</v>
      </c>
      <c r="R3258" s="39" t="n">
        <f aca="false">IF($A3258="",-1,IF($J3258=Setup!$B$7,1,IF($J3258=Setup!$B$9,0,-1)))</f>
        <v>-1</v>
      </c>
      <c r="S3258" s="35" t="n">
        <f aca="false">IF(OR($A3258="",$Q3258=0,$R3258=-1),0,$Q3258*1000+$R3258*100+$K3258)</f>
        <v>0</v>
      </c>
      <c r="T3258" s="37" t="str">
        <f aca="false">IF($A3258="","",IF($B3258="","NO ACCOUNT",IF($Q3258=0,"UNMAPPED",IF($R3258=-1,"OUTSIDE FY RANGE","OK"))))</f>
        <v/>
      </c>
      <c r="U3258" s="40" t="str">
        <f aca="false">IF($A3258="","",$B3258&amp;"|"&amp;TEXT($A3258,"yyyymmdd")&amp;"|"&amp;TEXT($I3258,"0.00"))</f>
        <v/>
      </c>
      <c r="V3258" s="35" t="str">
        <f aca="false">IF($A3258="","",COUNTIF($U$8:$U$5007,$U3258))</f>
        <v/>
      </c>
    </row>
    <row r="3259" customFormat="false" ht="15" hidden="false" customHeight="false" outlineLevel="0" collapsed="false">
      <c r="A3259" s="31"/>
      <c r="B3259" s="32"/>
      <c r="C3259" s="32"/>
      <c r="D3259" s="32"/>
      <c r="E3259" s="32"/>
      <c r="F3259" s="32"/>
      <c r="G3259" s="33"/>
      <c r="H3259" s="33"/>
      <c r="I3259" s="34" t="str">
        <f aca="false">IF($A3259="","",$G3259-$H3259)</f>
        <v/>
      </c>
      <c r="J3259" s="35" t="str">
        <f aca="false">IF($A3259="","",IF(Setup!$B$6=1,YEAR($A3259),YEAR($A3259)+IF(MONTH($A3259)&gt;=Setup!$B$6,1,0)))</f>
        <v/>
      </c>
      <c r="K3259" s="35" t="str">
        <f aca="false">IF($A3259="","",MOD(MONTH($A3259)-Setup!$B$6+12,12)+1)</f>
        <v/>
      </c>
      <c r="L3259" s="36" t="str">
        <f aca="false">IF($A3259="","",TEXT($A3259,"MMM-YY"))</f>
        <v/>
      </c>
      <c r="M3259" s="37" t="str">
        <f aca="false">IF($A3259="","",IF($Q3259=0,"UNMAPPED",INDEX(COA_Mapping!$C$7:$C$256,$Q3259)))</f>
        <v/>
      </c>
      <c r="N3259" s="38" t="str">
        <f aca="false">IF($A3259="","",IF($Q3259=0,"",INDEX(COA_Mapping!$E$7:$E$256,$Q3259)))</f>
        <v/>
      </c>
      <c r="O3259" s="38" t="n">
        <f aca="false">IF($A3259="",1,IF($Q3259=0,1,INDEX(COA_Mapping!$F$7:$F$256,$Q3259)))</f>
        <v>1</v>
      </c>
      <c r="P3259" s="34" t="str">
        <f aca="false">IF($A3259="","",$I3259*$O3259)</f>
        <v/>
      </c>
      <c r="Q3259" s="39" t="n">
        <f aca="false">IF($B3259="",0,IFERROR(MATCH($B3259,COA_Mapping!$A$7:$A$256,0),0))</f>
        <v>0</v>
      </c>
      <c r="R3259" s="39" t="n">
        <f aca="false">IF($A3259="",-1,IF($J3259=Setup!$B$7,1,IF($J3259=Setup!$B$9,0,-1)))</f>
        <v>-1</v>
      </c>
      <c r="S3259" s="35" t="n">
        <f aca="false">IF(OR($A3259="",$Q3259=0,$R3259=-1),0,$Q3259*1000+$R3259*100+$K3259)</f>
        <v>0</v>
      </c>
      <c r="T3259" s="37" t="str">
        <f aca="false">IF($A3259="","",IF($B3259="","NO ACCOUNT",IF($Q3259=0,"UNMAPPED",IF($R3259=-1,"OUTSIDE FY RANGE","OK"))))</f>
        <v/>
      </c>
      <c r="U3259" s="40" t="str">
        <f aca="false">IF($A3259="","",$B3259&amp;"|"&amp;TEXT($A3259,"yyyymmdd")&amp;"|"&amp;TEXT($I3259,"0.00"))</f>
        <v/>
      </c>
      <c r="V3259" s="35" t="str">
        <f aca="false">IF($A3259="","",COUNTIF($U$8:$U$5007,$U3259))</f>
        <v/>
      </c>
    </row>
    <row r="3260" customFormat="false" ht="15" hidden="false" customHeight="false" outlineLevel="0" collapsed="false">
      <c r="A3260" s="31"/>
      <c r="B3260" s="32"/>
      <c r="C3260" s="32"/>
      <c r="D3260" s="32"/>
      <c r="E3260" s="32"/>
      <c r="F3260" s="32"/>
      <c r="G3260" s="33"/>
      <c r="H3260" s="33"/>
      <c r="I3260" s="34" t="str">
        <f aca="false">IF($A3260="","",$G3260-$H3260)</f>
        <v/>
      </c>
      <c r="J3260" s="35" t="str">
        <f aca="false">IF($A3260="","",IF(Setup!$B$6=1,YEAR($A3260),YEAR($A3260)+IF(MONTH($A3260)&gt;=Setup!$B$6,1,0)))</f>
        <v/>
      </c>
      <c r="K3260" s="35" t="str">
        <f aca="false">IF($A3260="","",MOD(MONTH($A3260)-Setup!$B$6+12,12)+1)</f>
        <v/>
      </c>
      <c r="L3260" s="36" t="str">
        <f aca="false">IF($A3260="","",TEXT($A3260,"MMM-YY"))</f>
        <v/>
      </c>
      <c r="M3260" s="37" t="str">
        <f aca="false">IF($A3260="","",IF($Q3260=0,"UNMAPPED",INDEX(COA_Mapping!$C$7:$C$256,$Q3260)))</f>
        <v/>
      </c>
      <c r="N3260" s="38" t="str">
        <f aca="false">IF($A3260="","",IF($Q3260=0,"",INDEX(COA_Mapping!$E$7:$E$256,$Q3260)))</f>
        <v/>
      </c>
      <c r="O3260" s="38" t="n">
        <f aca="false">IF($A3260="",1,IF($Q3260=0,1,INDEX(COA_Mapping!$F$7:$F$256,$Q3260)))</f>
        <v>1</v>
      </c>
      <c r="P3260" s="34" t="str">
        <f aca="false">IF($A3260="","",$I3260*$O3260)</f>
        <v/>
      </c>
      <c r="Q3260" s="39" t="n">
        <f aca="false">IF($B3260="",0,IFERROR(MATCH($B3260,COA_Mapping!$A$7:$A$256,0),0))</f>
        <v>0</v>
      </c>
      <c r="R3260" s="39" t="n">
        <f aca="false">IF($A3260="",-1,IF($J3260=Setup!$B$7,1,IF($J3260=Setup!$B$9,0,-1)))</f>
        <v>-1</v>
      </c>
      <c r="S3260" s="35" t="n">
        <f aca="false">IF(OR($A3260="",$Q3260=0,$R3260=-1),0,$Q3260*1000+$R3260*100+$K3260)</f>
        <v>0</v>
      </c>
      <c r="T3260" s="37" t="str">
        <f aca="false">IF($A3260="","",IF($B3260="","NO ACCOUNT",IF($Q3260=0,"UNMAPPED",IF($R3260=-1,"OUTSIDE FY RANGE","OK"))))</f>
        <v/>
      </c>
      <c r="U3260" s="40" t="str">
        <f aca="false">IF($A3260="","",$B3260&amp;"|"&amp;TEXT($A3260,"yyyymmdd")&amp;"|"&amp;TEXT($I3260,"0.00"))</f>
        <v/>
      </c>
      <c r="V3260" s="35" t="str">
        <f aca="false">IF($A3260="","",COUNTIF($U$8:$U$5007,$U3260))</f>
        <v/>
      </c>
    </row>
    <row r="3261" customFormat="false" ht="15" hidden="false" customHeight="false" outlineLevel="0" collapsed="false">
      <c r="A3261" s="31"/>
      <c r="B3261" s="32"/>
      <c r="C3261" s="32"/>
      <c r="D3261" s="32"/>
      <c r="E3261" s="32"/>
      <c r="F3261" s="32"/>
      <c r="G3261" s="33"/>
      <c r="H3261" s="33"/>
      <c r="I3261" s="34" t="str">
        <f aca="false">IF($A3261="","",$G3261-$H3261)</f>
        <v/>
      </c>
      <c r="J3261" s="35" t="str">
        <f aca="false">IF($A3261="","",IF(Setup!$B$6=1,YEAR($A3261),YEAR($A3261)+IF(MONTH($A3261)&gt;=Setup!$B$6,1,0)))</f>
        <v/>
      </c>
      <c r="K3261" s="35" t="str">
        <f aca="false">IF($A3261="","",MOD(MONTH($A3261)-Setup!$B$6+12,12)+1)</f>
        <v/>
      </c>
      <c r="L3261" s="36" t="str">
        <f aca="false">IF($A3261="","",TEXT($A3261,"MMM-YY"))</f>
        <v/>
      </c>
      <c r="M3261" s="37" t="str">
        <f aca="false">IF($A3261="","",IF($Q3261=0,"UNMAPPED",INDEX(COA_Mapping!$C$7:$C$256,$Q3261)))</f>
        <v/>
      </c>
      <c r="N3261" s="38" t="str">
        <f aca="false">IF($A3261="","",IF($Q3261=0,"",INDEX(COA_Mapping!$E$7:$E$256,$Q3261)))</f>
        <v/>
      </c>
      <c r="O3261" s="38" t="n">
        <f aca="false">IF($A3261="",1,IF($Q3261=0,1,INDEX(COA_Mapping!$F$7:$F$256,$Q3261)))</f>
        <v>1</v>
      </c>
      <c r="P3261" s="34" t="str">
        <f aca="false">IF($A3261="","",$I3261*$O3261)</f>
        <v/>
      </c>
      <c r="Q3261" s="39" t="n">
        <f aca="false">IF($B3261="",0,IFERROR(MATCH($B3261,COA_Mapping!$A$7:$A$256,0),0))</f>
        <v>0</v>
      </c>
      <c r="R3261" s="39" t="n">
        <f aca="false">IF($A3261="",-1,IF($J3261=Setup!$B$7,1,IF($J3261=Setup!$B$9,0,-1)))</f>
        <v>-1</v>
      </c>
      <c r="S3261" s="35" t="n">
        <f aca="false">IF(OR($A3261="",$Q3261=0,$R3261=-1),0,$Q3261*1000+$R3261*100+$K3261)</f>
        <v>0</v>
      </c>
      <c r="T3261" s="37" t="str">
        <f aca="false">IF($A3261="","",IF($B3261="","NO ACCOUNT",IF($Q3261=0,"UNMAPPED",IF($R3261=-1,"OUTSIDE FY RANGE","OK"))))</f>
        <v/>
      </c>
      <c r="U3261" s="40" t="str">
        <f aca="false">IF($A3261="","",$B3261&amp;"|"&amp;TEXT($A3261,"yyyymmdd")&amp;"|"&amp;TEXT($I3261,"0.00"))</f>
        <v/>
      </c>
      <c r="V3261" s="35" t="str">
        <f aca="false">IF($A3261="","",COUNTIF($U$8:$U$5007,$U3261))</f>
        <v/>
      </c>
    </row>
    <row r="3262" customFormat="false" ht="15" hidden="false" customHeight="false" outlineLevel="0" collapsed="false">
      <c r="A3262" s="31"/>
      <c r="B3262" s="32"/>
      <c r="C3262" s="32"/>
      <c r="D3262" s="32"/>
      <c r="E3262" s="32"/>
      <c r="F3262" s="32"/>
      <c r="G3262" s="33"/>
      <c r="H3262" s="33"/>
      <c r="I3262" s="34" t="str">
        <f aca="false">IF($A3262="","",$G3262-$H3262)</f>
        <v/>
      </c>
      <c r="J3262" s="35" t="str">
        <f aca="false">IF($A3262="","",IF(Setup!$B$6=1,YEAR($A3262),YEAR($A3262)+IF(MONTH($A3262)&gt;=Setup!$B$6,1,0)))</f>
        <v/>
      </c>
      <c r="K3262" s="35" t="str">
        <f aca="false">IF($A3262="","",MOD(MONTH($A3262)-Setup!$B$6+12,12)+1)</f>
        <v/>
      </c>
      <c r="L3262" s="36" t="str">
        <f aca="false">IF($A3262="","",TEXT($A3262,"MMM-YY"))</f>
        <v/>
      </c>
      <c r="M3262" s="37" t="str">
        <f aca="false">IF($A3262="","",IF($Q3262=0,"UNMAPPED",INDEX(COA_Mapping!$C$7:$C$256,$Q3262)))</f>
        <v/>
      </c>
      <c r="N3262" s="38" t="str">
        <f aca="false">IF($A3262="","",IF($Q3262=0,"",INDEX(COA_Mapping!$E$7:$E$256,$Q3262)))</f>
        <v/>
      </c>
      <c r="O3262" s="38" t="n">
        <f aca="false">IF($A3262="",1,IF($Q3262=0,1,INDEX(COA_Mapping!$F$7:$F$256,$Q3262)))</f>
        <v>1</v>
      </c>
      <c r="P3262" s="34" t="str">
        <f aca="false">IF($A3262="","",$I3262*$O3262)</f>
        <v/>
      </c>
      <c r="Q3262" s="39" t="n">
        <f aca="false">IF($B3262="",0,IFERROR(MATCH($B3262,COA_Mapping!$A$7:$A$256,0),0))</f>
        <v>0</v>
      </c>
      <c r="R3262" s="39" t="n">
        <f aca="false">IF($A3262="",-1,IF($J3262=Setup!$B$7,1,IF($J3262=Setup!$B$9,0,-1)))</f>
        <v>-1</v>
      </c>
      <c r="S3262" s="35" t="n">
        <f aca="false">IF(OR($A3262="",$Q3262=0,$R3262=-1),0,$Q3262*1000+$R3262*100+$K3262)</f>
        <v>0</v>
      </c>
      <c r="T3262" s="37" t="str">
        <f aca="false">IF($A3262="","",IF($B3262="","NO ACCOUNT",IF($Q3262=0,"UNMAPPED",IF($R3262=-1,"OUTSIDE FY RANGE","OK"))))</f>
        <v/>
      </c>
      <c r="U3262" s="40" t="str">
        <f aca="false">IF($A3262="","",$B3262&amp;"|"&amp;TEXT($A3262,"yyyymmdd")&amp;"|"&amp;TEXT($I3262,"0.00"))</f>
        <v/>
      </c>
      <c r="V3262" s="35" t="str">
        <f aca="false">IF($A3262="","",COUNTIF($U$8:$U$5007,$U3262))</f>
        <v/>
      </c>
    </row>
    <row r="3263" customFormat="false" ht="15" hidden="false" customHeight="false" outlineLevel="0" collapsed="false">
      <c r="A3263" s="31"/>
      <c r="B3263" s="32"/>
      <c r="C3263" s="32"/>
      <c r="D3263" s="32"/>
      <c r="E3263" s="32"/>
      <c r="F3263" s="32"/>
      <c r="G3263" s="33"/>
      <c r="H3263" s="33"/>
      <c r="I3263" s="34" t="str">
        <f aca="false">IF($A3263="","",$G3263-$H3263)</f>
        <v/>
      </c>
      <c r="J3263" s="35" t="str">
        <f aca="false">IF($A3263="","",IF(Setup!$B$6=1,YEAR($A3263),YEAR($A3263)+IF(MONTH($A3263)&gt;=Setup!$B$6,1,0)))</f>
        <v/>
      </c>
      <c r="K3263" s="35" t="str">
        <f aca="false">IF($A3263="","",MOD(MONTH($A3263)-Setup!$B$6+12,12)+1)</f>
        <v/>
      </c>
      <c r="L3263" s="36" t="str">
        <f aca="false">IF($A3263="","",TEXT($A3263,"MMM-YY"))</f>
        <v/>
      </c>
      <c r="M3263" s="37" t="str">
        <f aca="false">IF($A3263="","",IF($Q3263=0,"UNMAPPED",INDEX(COA_Mapping!$C$7:$C$256,$Q3263)))</f>
        <v/>
      </c>
      <c r="N3263" s="38" t="str">
        <f aca="false">IF($A3263="","",IF($Q3263=0,"",INDEX(COA_Mapping!$E$7:$E$256,$Q3263)))</f>
        <v/>
      </c>
      <c r="O3263" s="38" t="n">
        <f aca="false">IF($A3263="",1,IF($Q3263=0,1,INDEX(COA_Mapping!$F$7:$F$256,$Q3263)))</f>
        <v>1</v>
      </c>
      <c r="P3263" s="34" t="str">
        <f aca="false">IF($A3263="","",$I3263*$O3263)</f>
        <v/>
      </c>
      <c r="Q3263" s="39" t="n">
        <f aca="false">IF($B3263="",0,IFERROR(MATCH($B3263,COA_Mapping!$A$7:$A$256,0),0))</f>
        <v>0</v>
      </c>
      <c r="R3263" s="39" t="n">
        <f aca="false">IF($A3263="",-1,IF($J3263=Setup!$B$7,1,IF($J3263=Setup!$B$9,0,-1)))</f>
        <v>-1</v>
      </c>
      <c r="S3263" s="35" t="n">
        <f aca="false">IF(OR($A3263="",$Q3263=0,$R3263=-1),0,$Q3263*1000+$R3263*100+$K3263)</f>
        <v>0</v>
      </c>
      <c r="T3263" s="37" t="str">
        <f aca="false">IF($A3263="","",IF($B3263="","NO ACCOUNT",IF($Q3263=0,"UNMAPPED",IF($R3263=-1,"OUTSIDE FY RANGE","OK"))))</f>
        <v/>
      </c>
      <c r="U3263" s="40" t="str">
        <f aca="false">IF($A3263="","",$B3263&amp;"|"&amp;TEXT($A3263,"yyyymmdd")&amp;"|"&amp;TEXT($I3263,"0.00"))</f>
        <v/>
      </c>
      <c r="V3263" s="35" t="str">
        <f aca="false">IF($A3263="","",COUNTIF($U$8:$U$5007,$U3263))</f>
        <v/>
      </c>
    </row>
    <row r="3264" customFormat="false" ht="15" hidden="false" customHeight="false" outlineLevel="0" collapsed="false">
      <c r="A3264" s="31"/>
      <c r="B3264" s="32"/>
      <c r="C3264" s="32"/>
      <c r="D3264" s="32"/>
      <c r="E3264" s="32"/>
      <c r="F3264" s="32"/>
      <c r="G3264" s="33"/>
      <c r="H3264" s="33"/>
      <c r="I3264" s="34" t="str">
        <f aca="false">IF($A3264="","",$G3264-$H3264)</f>
        <v/>
      </c>
      <c r="J3264" s="35" t="str">
        <f aca="false">IF($A3264="","",IF(Setup!$B$6=1,YEAR($A3264),YEAR($A3264)+IF(MONTH($A3264)&gt;=Setup!$B$6,1,0)))</f>
        <v/>
      </c>
      <c r="K3264" s="35" t="str">
        <f aca="false">IF($A3264="","",MOD(MONTH($A3264)-Setup!$B$6+12,12)+1)</f>
        <v/>
      </c>
      <c r="L3264" s="36" t="str">
        <f aca="false">IF($A3264="","",TEXT($A3264,"MMM-YY"))</f>
        <v/>
      </c>
      <c r="M3264" s="37" t="str">
        <f aca="false">IF($A3264="","",IF($Q3264=0,"UNMAPPED",INDEX(COA_Mapping!$C$7:$C$256,$Q3264)))</f>
        <v/>
      </c>
      <c r="N3264" s="38" t="str">
        <f aca="false">IF($A3264="","",IF($Q3264=0,"",INDEX(COA_Mapping!$E$7:$E$256,$Q3264)))</f>
        <v/>
      </c>
      <c r="O3264" s="38" t="n">
        <f aca="false">IF($A3264="",1,IF($Q3264=0,1,INDEX(COA_Mapping!$F$7:$F$256,$Q3264)))</f>
        <v>1</v>
      </c>
      <c r="P3264" s="34" t="str">
        <f aca="false">IF($A3264="","",$I3264*$O3264)</f>
        <v/>
      </c>
      <c r="Q3264" s="39" t="n">
        <f aca="false">IF($B3264="",0,IFERROR(MATCH($B3264,COA_Mapping!$A$7:$A$256,0),0))</f>
        <v>0</v>
      </c>
      <c r="R3264" s="39" t="n">
        <f aca="false">IF($A3264="",-1,IF($J3264=Setup!$B$7,1,IF($J3264=Setup!$B$9,0,-1)))</f>
        <v>-1</v>
      </c>
      <c r="S3264" s="35" t="n">
        <f aca="false">IF(OR($A3264="",$Q3264=0,$R3264=-1),0,$Q3264*1000+$R3264*100+$K3264)</f>
        <v>0</v>
      </c>
      <c r="T3264" s="37" t="str">
        <f aca="false">IF($A3264="","",IF($B3264="","NO ACCOUNT",IF($Q3264=0,"UNMAPPED",IF($R3264=-1,"OUTSIDE FY RANGE","OK"))))</f>
        <v/>
      </c>
      <c r="U3264" s="40" t="str">
        <f aca="false">IF($A3264="","",$B3264&amp;"|"&amp;TEXT($A3264,"yyyymmdd")&amp;"|"&amp;TEXT($I3264,"0.00"))</f>
        <v/>
      </c>
      <c r="V3264" s="35" t="str">
        <f aca="false">IF($A3264="","",COUNTIF($U$8:$U$5007,$U3264))</f>
        <v/>
      </c>
    </row>
    <row r="3265" customFormat="false" ht="15" hidden="false" customHeight="false" outlineLevel="0" collapsed="false">
      <c r="A3265" s="31"/>
      <c r="B3265" s="32"/>
      <c r="C3265" s="32"/>
      <c r="D3265" s="32"/>
      <c r="E3265" s="32"/>
      <c r="F3265" s="32"/>
      <c r="G3265" s="33"/>
      <c r="H3265" s="33"/>
      <c r="I3265" s="34" t="str">
        <f aca="false">IF($A3265="","",$G3265-$H3265)</f>
        <v/>
      </c>
      <c r="J3265" s="35" t="str">
        <f aca="false">IF($A3265="","",IF(Setup!$B$6=1,YEAR($A3265),YEAR($A3265)+IF(MONTH($A3265)&gt;=Setup!$B$6,1,0)))</f>
        <v/>
      </c>
      <c r="K3265" s="35" t="str">
        <f aca="false">IF($A3265="","",MOD(MONTH($A3265)-Setup!$B$6+12,12)+1)</f>
        <v/>
      </c>
      <c r="L3265" s="36" t="str">
        <f aca="false">IF($A3265="","",TEXT($A3265,"MMM-YY"))</f>
        <v/>
      </c>
      <c r="M3265" s="37" t="str">
        <f aca="false">IF($A3265="","",IF($Q3265=0,"UNMAPPED",INDEX(COA_Mapping!$C$7:$C$256,$Q3265)))</f>
        <v/>
      </c>
      <c r="N3265" s="38" t="str">
        <f aca="false">IF($A3265="","",IF($Q3265=0,"",INDEX(COA_Mapping!$E$7:$E$256,$Q3265)))</f>
        <v/>
      </c>
      <c r="O3265" s="38" t="n">
        <f aca="false">IF($A3265="",1,IF($Q3265=0,1,INDEX(COA_Mapping!$F$7:$F$256,$Q3265)))</f>
        <v>1</v>
      </c>
      <c r="P3265" s="34" t="str">
        <f aca="false">IF($A3265="","",$I3265*$O3265)</f>
        <v/>
      </c>
      <c r="Q3265" s="39" t="n">
        <f aca="false">IF($B3265="",0,IFERROR(MATCH($B3265,COA_Mapping!$A$7:$A$256,0),0))</f>
        <v>0</v>
      </c>
      <c r="R3265" s="39" t="n">
        <f aca="false">IF($A3265="",-1,IF($J3265=Setup!$B$7,1,IF($J3265=Setup!$B$9,0,-1)))</f>
        <v>-1</v>
      </c>
      <c r="S3265" s="35" t="n">
        <f aca="false">IF(OR($A3265="",$Q3265=0,$R3265=-1),0,$Q3265*1000+$R3265*100+$K3265)</f>
        <v>0</v>
      </c>
      <c r="T3265" s="37" t="str">
        <f aca="false">IF($A3265="","",IF($B3265="","NO ACCOUNT",IF($Q3265=0,"UNMAPPED",IF($R3265=-1,"OUTSIDE FY RANGE","OK"))))</f>
        <v/>
      </c>
      <c r="U3265" s="40" t="str">
        <f aca="false">IF($A3265="","",$B3265&amp;"|"&amp;TEXT($A3265,"yyyymmdd")&amp;"|"&amp;TEXT($I3265,"0.00"))</f>
        <v/>
      </c>
      <c r="V3265" s="35" t="str">
        <f aca="false">IF($A3265="","",COUNTIF($U$8:$U$5007,$U3265))</f>
        <v/>
      </c>
    </row>
    <row r="3266" customFormat="false" ht="15" hidden="false" customHeight="false" outlineLevel="0" collapsed="false">
      <c r="A3266" s="31"/>
      <c r="B3266" s="32"/>
      <c r="C3266" s="32"/>
      <c r="D3266" s="32"/>
      <c r="E3266" s="32"/>
      <c r="F3266" s="32"/>
      <c r="G3266" s="33"/>
      <c r="H3266" s="33"/>
      <c r="I3266" s="34" t="str">
        <f aca="false">IF($A3266="","",$G3266-$H3266)</f>
        <v/>
      </c>
      <c r="J3266" s="35" t="str">
        <f aca="false">IF($A3266="","",IF(Setup!$B$6=1,YEAR($A3266),YEAR($A3266)+IF(MONTH($A3266)&gt;=Setup!$B$6,1,0)))</f>
        <v/>
      </c>
      <c r="K3266" s="35" t="str">
        <f aca="false">IF($A3266="","",MOD(MONTH($A3266)-Setup!$B$6+12,12)+1)</f>
        <v/>
      </c>
      <c r="L3266" s="36" t="str">
        <f aca="false">IF($A3266="","",TEXT($A3266,"MMM-YY"))</f>
        <v/>
      </c>
      <c r="M3266" s="37" t="str">
        <f aca="false">IF($A3266="","",IF($Q3266=0,"UNMAPPED",INDEX(COA_Mapping!$C$7:$C$256,$Q3266)))</f>
        <v/>
      </c>
      <c r="N3266" s="38" t="str">
        <f aca="false">IF($A3266="","",IF($Q3266=0,"",INDEX(COA_Mapping!$E$7:$E$256,$Q3266)))</f>
        <v/>
      </c>
      <c r="O3266" s="38" t="n">
        <f aca="false">IF($A3266="",1,IF($Q3266=0,1,INDEX(COA_Mapping!$F$7:$F$256,$Q3266)))</f>
        <v>1</v>
      </c>
      <c r="P3266" s="34" t="str">
        <f aca="false">IF($A3266="","",$I3266*$O3266)</f>
        <v/>
      </c>
      <c r="Q3266" s="39" t="n">
        <f aca="false">IF($B3266="",0,IFERROR(MATCH($B3266,COA_Mapping!$A$7:$A$256,0),0))</f>
        <v>0</v>
      </c>
      <c r="R3266" s="39" t="n">
        <f aca="false">IF($A3266="",-1,IF($J3266=Setup!$B$7,1,IF($J3266=Setup!$B$9,0,-1)))</f>
        <v>-1</v>
      </c>
      <c r="S3266" s="35" t="n">
        <f aca="false">IF(OR($A3266="",$Q3266=0,$R3266=-1),0,$Q3266*1000+$R3266*100+$K3266)</f>
        <v>0</v>
      </c>
      <c r="T3266" s="37" t="str">
        <f aca="false">IF($A3266="","",IF($B3266="","NO ACCOUNT",IF($Q3266=0,"UNMAPPED",IF($R3266=-1,"OUTSIDE FY RANGE","OK"))))</f>
        <v/>
      </c>
      <c r="U3266" s="40" t="str">
        <f aca="false">IF($A3266="","",$B3266&amp;"|"&amp;TEXT($A3266,"yyyymmdd")&amp;"|"&amp;TEXT($I3266,"0.00"))</f>
        <v/>
      </c>
      <c r="V3266" s="35" t="str">
        <f aca="false">IF($A3266="","",COUNTIF($U$8:$U$5007,$U3266))</f>
        <v/>
      </c>
    </row>
    <row r="3267" customFormat="false" ht="15" hidden="false" customHeight="false" outlineLevel="0" collapsed="false">
      <c r="A3267" s="31"/>
      <c r="B3267" s="32"/>
      <c r="C3267" s="32"/>
      <c r="D3267" s="32"/>
      <c r="E3267" s="32"/>
      <c r="F3267" s="32"/>
      <c r="G3267" s="33"/>
      <c r="H3267" s="33"/>
      <c r="I3267" s="34" t="str">
        <f aca="false">IF($A3267="","",$G3267-$H3267)</f>
        <v/>
      </c>
      <c r="J3267" s="35" t="str">
        <f aca="false">IF($A3267="","",IF(Setup!$B$6=1,YEAR($A3267),YEAR($A3267)+IF(MONTH($A3267)&gt;=Setup!$B$6,1,0)))</f>
        <v/>
      </c>
      <c r="K3267" s="35" t="str">
        <f aca="false">IF($A3267="","",MOD(MONTH($A3267)-Setup!$B$6+12,12)+1)</f>
        <v/>
      </c>
      <c r="L3267" s="36" t="str">
        <f aca="false">IF($A3267="","",TEXT($A3267,"MMM-YY"))</f>
        <v/>
      </c>
      <c r="M3267" s="37" t="str">
        <f aca="false">IF($A3267="","",IF($Q3267=0,"UNMAPPED",INDEX(COA_Mapping!$C$7:$C$256,$Q3267)))</f>
        <v/>
      </c>
      <c r="N3267" s="38" t="str">
        <f aca="false">IF($A3267="","",IF($Q3267=0,"",INDEX(COA_Mapping!$E$7:$E$256,$Q3267)))</f>
        <v/>
      </c>
      <c r="O3267" s="38" t="n">
        <f aca="false">IF($A3267="",1,IF($Q3267=0,1,INDEX(COA_Mapping!$F$7:$F$256,$Q3267)))</f>
        <v>1</v>
      </c>
      <c r="P3267" s="34" t="str">
        <f aca="false">IF($A3267="","",$I3267*$O3267)</f>
        <v/>
      </c>
      <c r="Q3267" s="39" t="n">
        <f aca="false">IF($B3267="",0,IFERROR(MATCH($B3267,COA_Mapping!$A$7:$A$256,0),0))</f>
        <v>0</v>
      </c>
      <c r="R3267" s="39" t="n">
        <f aca="false">IF($A3267="",-1,IF($J3267=Setup!$B$7,1,IF($J3267=Setup!$B$9,0,-1)))</f>
        <v>-1</v>
      </c>
      <c r="S3267" s="35" t="n">
        <f aca="false">IF(OR($A3267="",$Q3267=0,$R3267=-1),0,$Q3267*1000+$R3267*100+$K3267)</f>
        <v>0</v>
      </c>
      <c r="T3267" s="37" t="str">
        <f aca="false">IF($A3267="","",IF($B3267="","NO ACCOUNT",IF($Q3267=0,"UNMAPPED",IF($R3267=-1,"OUTSIDE FY RANGE","OK"))))</f>
        <v/>
      </c>
      <c r="U3267" s="40" t="str">
        <f aca="false">IF($A3267="","",$B3267&amp;"|"&amp;TEXT($A3267,"yyyymmdd")&amp;"|"&amp;TEXT($I3267,"0.00"))</f>
        <v/>
      </c>
      <c r="V3267" s="35" t="str">
        <f aca="false">IF($A3267="","",COUNTIF($U$8:$U$5007,$U3267))</f>
        <v/>
      </c>
    </row>
    <row r="3268" customFormat="false" ht="15" hidden="false" customHeight="false" outlineLevel="0" collapsed="false">
      <c r="A3268" s="31"/>
      <c r="B3268" s="32"/>
      <c r="C3268" s="32"/>
      <c r="D3268" s="32"/>
      <c r="E3268" s="32"/>
      <c r="F3268" s="32"/>
      <c r="G3268" s="33"/>
      <c r="H3268" s="33"/>
      <c r="I3268" s="34" t="str">
        <f aca="false">IF($A3268="","",$G3268-$H3268)</f>
        <v/>
      </c>
      <c r="J3268" s="35" t="str">
        <f aca="false">IF($A3268="","",IF(Setup!$B$6=1,YEAR($A3268),YEAR($A3268)+IF(MONTH($A3268)&gt;=Setup!$B$6,1,0)))</f>
        <v/>
      </c>
      <c r="K3268" s="35" t="str">
        <f aca="false">IF($A3268="","",MOD(MONTH($A3268)-Setup!$B$6+12,12)+1)</f>
        <v/>
      </c>
      <c r="L3268" s="36" t="str">
        <f aca="false">IF($A3268="","",TEXT($A3268,"MMM-YY"))</f>
        <v/>
      </c>
      <c r="M3268" s="37" t="str">
        <f aca="false">IF($A3268="","",IF($Q3268=0,"UNMAPPED",INDEX(COA_Mapping!$C$7:$C$256,$Q3268)))</f>
        <v/>
      </c>
      <c r="N3268" s="38" t="str">
        <f aca="false">IF($A3268="","",IF($Q3268=0,"",INDEX(COA_Mapping!$E$7:$E$256,$Q3268)))</f>
        <v/>
      </c>
      <c r="O3268" s="38" t="n">
        <f aca="false">IF($A3268="",1,IF($Q3268=0,1,INDEX(COA_Mapping!$F$7:$F$256,$Q3268)))</f>
        <v>1</v>
      </c>
      <c r="P3268" s="34" t="str">
        <f aca="false">IF($A3268="","",$I3268*$O3268)</f>
        <v/>
      </c>
      <c r="Q3268" s="39" t="n">
        <f aca="false">IF($B3268="",0,IFERROR(MATCH($B3268,COA_Mapping!$A$7:$A$256,0),0))</f>
        <v>0</v>
      </c>
      <c r="R3268" s="39" t="n">
        <f aca="false">IF($A3268="",-1,IF($J3268=Setup!$B$7,1,IF($J3268=Setup!$B$9,0,-1)))</f>
        <v>-1</v>
      </c>
      <c r="S3268" s="35" t="n">
        <f aca="false">IF(OR($A3268="",$Q3268=0,$R3268=-1),0,$Q3268*1000+$R3268*100+$K3268)</f>
        <v>0</v>
      </c>
      <c r="T3268" s="37" t="str">
        <f aca="false">IF($A3268="","",IF($B3268="","NO ACCOUNT",IF($Q3268=0,"UNMAPPED",IF($R3268=-1,"OUTSIDE FY RANGE","OK"))))</f>
        <v/>
      </c>
      <c r="U3268" s="40" t="str">
        <f aca="false">IF($A3268="","",$B3268&amp;"|"&amp;TEXT($A3268,"yyyymmdd")&amp;"|"&amp;TEXT($I3268,"0.00"))</f>
        <v/>
      </c>
      <c r="V3268" s="35" t="str">
        <f aca="false">IF($A3268="","",COUNTIF($U$8:$U$5007,$U3268))</f>
        <v/>
      </c>
    </row>
    <row r="3269" customFormat="false" ht="15" hidden="false" customHeight="false" outlineLevel="0" collapsed="false">
      <c r="A3269" s="31"/>
      <c r="B3269" s="32"/>
      <c r="C3269" s="32"/>
      <c r="D3269" s="32"/>
      <c r="E3269" s="32"/>
      <c r="F3269" s="32"/>
      <c r="G3269" s="33"/>
      <c r="H3269" s="33"/>
      <c r="I3269" s="34" t="str">
        <f aca="false">IF($A3269="","",$G3269-$H3269)</f>
        <v/>
      </c>
      <c r="J3269" s="35" t="str">
        <f aca="false">IF($A3269="","",IF(Setup!$B$6=1,YEAR($A3269),YEAR($A3269)+IF(MONTH($A3269)&gt;=Setup!$B$6,1,0)))</f>
        <v/>
      </c>
      <c r="K3269" s="35" t="str">
        <f aca="false">IF($A3269="","",MOD(MONTH($A3269)-Setup!$B$6+12,12)+1)</f>
        <v/>
      </c>
      <c r="L3269" s="36" t="str">
        <f aca="false">IF($A3269="","",TEXT($A3269,"MMM-YY"))</f>
        <v/>
      </c>
      <c r="M3269" s="37" t="str">
        <f aca="false">IF($A3269="","",IF($Q3269=0,"UNMAPPED",INDEX(COA_Mapping!$C$7:$C$256,$Q3269)))</f>
        <v/>
      </c>
      <c r="N3269" s="38" t="str">
        <f aca="false">IF($A3269="","",IF($Q3269=0,"",INDEX(COA_Mapping!$E$7:$E$256,$Q3269)))</f>
        <v/>
      </c>
      <c r="O3269" s="38" t="n">
        <f aca="false">IF($A3269="",1,IF($Q3269=0,1,INDEX(COA_Mapping!$F$7:$F$256,$Q3269)))</f>
        <v>1</v>
      </c>
      <c r="P3269" s="34" t="str">
        <f aca="false">IF($A3269="","",$I3269*$O3269)</f>
        <v/>
      </c>
      <c r="Q3269" s="39" t="n">
        <f aca="false">IF($B3269="",0,IFERROR(MATCH($B3269,COA_Mapping!$A$7:$A$256,0),0))</f>
        <v>0</v>
      </c>
      <c r="R3269" s="39" t="n">
        <f aca="false">IF($A3269="",-1,IF($J3269=Setup!$B$7,1,IF($J3269=Setup!$B$9,0,-1)))</f>
        <v>-1</v>
      </c>
      <c r="S3269" s="35" t="n">
        <f aca="false">IF(OR($A3269="",$Q3269=0,$R3269=-1),0,$Q3269*1000+$R3269*100+$K3269)</f>
        <v>0</v>
      </c>
      <c r="T3269" s="37" t="str">
        <f aca="false">IF($A3269="","",IF($B3269="","NO ACCOUNT",IF($Q3269=0,"UNMAPPED",IF($R3269=-1,"OUTSIDE FY RANGE","OK"))))</f>
        <v/>
      </c>
      <c r="U3269" s="40" t="str">
        <f aca="false">IF($A3269="","",$B3269&amp;"|"&amp;TEXT($A3269,"yyyymmdd")&amp;"|"&amp;TEXT($I3269,"0.00"))</f>
        <v/>
      </c>
      <c r="V3269" s="35" t="str">
        <f aca="false">IF($A3269="","",COUNTIF($U$8:$U$5007,$U3269))</f>
        <v/>
      </c>
    </row>
    <row r="3270" customFormat="false" ht="15" hidden="false" customHeight="false" outlineLevel="0" collapsed="false">
      <c r="A3270" s="31"/>
      <c r="B3270" s="32"/>
      <c r="C3270" s="32"/>
      <c r="D3270" s="32"/>
      <c r="E3270" s="32"/>
      <c r="F3270" s="32"/>
      <c r="G3270" s="33"/>
      <c r="H3270" s="33"/>
      <c r="I3270" s="34" t="str">
        <f aca="false">IF($A3270="","",$G3270-$H3270)</f>
        <v/>
      </c>
      <c r="J3270" s="35" t="str">
        <f aca="false">IF($A3270="","",IF(Setup!$B$6=1,YEAR($A3270),YEAR($A3270)+IF(MONTH($A3270)&gt;=Setup!$B$6,1,0)))</f>
        <v/>
      </c>
      <c r="K3270" s="35" t="str">
        <f aca="false">IF($A3270="","",MOD(MONTH($A3270)-Setup!$B$6+12,12)+1)</f>
        <v/>
      </c>
      <c r="L3270" s="36" t="str">
        <f aca="false">IF($A3270="","",TEXT($A3270,"MMM-YY"))</f>
        <v/>
      </c>
      <c r="M3270" s="37" t="str">
        <f aca="false">IF($A3270="","",IF($Q3270=0,"UNMAPPED",INDEX(COA_Mapping!$C$7:$C$256,$Q3270)))</f>
        <v/>
      </c>
      <c r="N3270" s="38" t="str">
        <f aca="false">IF($A3270="","",IF($Q3270=0,"",INDEX(COA_Mapping!$E$7:$E$256,$Q3270)))</f>
        <v/>
      </c>
      <c r="O3270" s="38" t="n">
        <f aca="false">IF($A3270="",1,IF($Q3270=0,1,INDEX(COA_Mapping!$F$7:$F$256,$Q3270)))</f>
        <v>1</v>
      </c>
      <c r="P3270" s="34" t="str">
        <f aca="false">IF($A3270="","",$I3270*$O3270)</f>
        <v/>
      </c>
      <c r="Q3270" s="39" t="n">
        <f aca="false">IF($B3270="",0,IFERROR(MATCH($B3270,COA_Mapping!$A$7:$A$256,0),0))</f>
        <v>0</v>
      </c>
      <c r="R3270" s="39" t="n">
        <f aca="false">IF($A3270="",-1,IF($J3270=Setup!$B$7,1,IF($J3270=Setup!$B$9,0,-1)))</f>
        <v>-1</v>
      </c>
      <c r="S3270" s="35" t="n">
        <f aca="false">IF(OR($A3270="",$Q3270=0,$R3270=-1),0,$Q3270*1000+$R3270*100+$K3270)</f>
        <v>0</v>
      </c>
      <c r="T3270" s="37" t="str">
        <f aca="false">IF($A3270="","",IF($B3270="","NO ACCOUNT",IF($Q3270=0,"UNMAPPED",IF($R3270=-1,"OUTSIDE FY RANGE","OK"))))</f>
        <v/>
      </c>
      <c r="U3270" s="40" t="str">
        <f aca="false">IF($A3270="","",$B3270&amp;"|"&amp;TEXT($A3270,"yyyymmdd")&amp;"|"&amp;TEXT($I3270,"0.00"))</f>
        <v/>
      </c>
      <c r="V3270" s="35" t="str">
        <f aca="false">IF($A3270="","",COUNTIF($U$8:$U$5007,$U3270))</f>
        <v/>
      </c>
    </row>
    <row r="3271" customFormat="false" ht="15" hidden="false" customHeight="false" outlineLevel="0" collapsed="false">
      <c r="A3271" s="31"/>
      <c r="B3271" s="32"/>
      <c r="C3271" s="32"/>
      <c r="D3271" s="32"/>
      <c r="E3271" s="32"/>
      <c r="F3271" s="32"/>
      <c r="G3271" s="33"/>
      <c r="H3271" s="33"/>
      <c r="I3271" s="34" t="str">
        <f aca="false">IF($A3271="","",$G3271-$H3271)</f>
        <v/>
      </c>
      <c r="J3271" s="35" t="str">
        <f aca="false">IF($A3271="","",IF(Setup!$B$6=1,YEAR($A3271),YEAR($A3271)+IF(MONTH($A3271)&gt;=Setup!$B$6,1,0)))</f>
        <v/>
      </c>
      <c r="K3271" s="35" t="str">
        <f aca="false">IF($A3271="","",MOD(MONTH($A3271)-Setup!$B$6+12,12)+1)</f>
        <v/>
      </c>
      <c r="L3271" s="36" t="str">
        <f aca="false">IF($A3271="","",TEXT($A3271,"MMM-YY"))</f>
        <v/>
      </c>
      <c r="M3271" s="37" t="str">
        <f aca="false">IF($A3271="","",IF($Q3271=0,"UNMAPPED",INDEX(COA_Mapping!$C$7:$C$256,$Q3271)))</f>
        <v/>
      </c>
      <c r="N3271" s="38" t="str">
        <f aca="false">IF($A3271="","",IF($Q3271=0,"",INDEX(COA_Mapping!$E$7:$E$256,$Q3271)))</f>
        <v/>
      </c>
      <c r="O3271" s="38" t="n">
        <f aca="false">IF($A3271="",1,IF($Q3271=0,1,INDEX(COA_Mapping!$F$7:$F$256,$Q3271)))</f>
        <v>1</v>
      </c>
      <c r="P3271" s="34" t="str">
        <f aca="false">IF($A3271="","",$I3271*$O3271)</f>
        <v/>
      </c>
      <c r="Q3271" s="39" t="n">
        <f aca="false">IF($B3271="",0,IFERROR(MATCH($B3271,COA_Mapping!$A$7:$A$256,0),0))</f>
        <v>0</v>
      </c>
      <c r="R3271" s="39" t="n">
        <f aca="false">IF($A3271="",-1,IF($J3271=Setup!$B$7,1,IF($J3271=Setup!$B$9,0,-1)))</f>
        <v>-1</v>
      </c>
      <c r="S3271" s="35" t="n">
        <f aca="false">IF(OR($A3271="",$Q3271=0,$R3271=-1),0,$Q3271*1000+$R3271*100+$K3271)</f>
        <v>0</v>
      </c>
      <c r="T3271" s="37" t="str">
        <f aca="false">IF($A3271="","",IF($B3271="","NO ACCOUNT",IF($Q3271=0,"UNMAPPED",IF($R3271=-1,"OUTSIDE FY RANGE","OK"))))</f>
        <v/>
      </c>
      <c r="U3271" s="40" t="str">
        <f aca="false">IF($A3271="","",$B3271&amp;"|"&amp;TEXT($A3271,"yyyymmdd")&amp;"|"&amp;TEXT($I3271,"0.00"))</f>
        <v/>
      </c>
      <c r="V3271" s="35" t="str">
        <f aca="false">IF($A3271="","",COUNTIF($U$8:$U$5007,$U3271))</f>
        <v/>
      </c>
    </row>
    <row r="3272" customFormat="false" ht="15" hidden="false" customHeight="false" outlineLevel="0" collapsed="false">
      <c r="A3272" s="31"/>
      <c r="B3272" s="32"/>
      <c r="C3272" s="32"/>
      <c r="D3272" s="32"/>
      <c r="E3272" s="32"/>
      <c r="F3272" s="32"/>
      <c r="G3272" s="33"/>
      <c r="H3272" s="33"/>
      <c r="I3272" s="34" t="str">
        <f aca="false">IF($A3272="","",$G3272-$H3272)</f>
        <v/>
      </c>
      <c r="J3272" s="35" t="str">
        <f aca="false">IF($A3272="","",IF(Setup!$B$6=1,YEAR($A3272),YEAR($A3272)+IF(MONTH($A3272)&gt;=Setup!$B$6,1,0)))</f>
        <v/>
      </c>
      <c r="K3272" s="35" t="str">
        <f aca="false">IF($A3272="","",MOD(MONTH($A3272)-Setup!$B$6+12,12)+1)</f>
        <v/>
      </c>
      <c r="L3272" s="36" t="str">
        <f aca="false">IF($A3272="","",TEXT($A3272,"MMM-YY"))</f>
        <v/>
      </c>
      <c r="M3272" s="37" t="str">
        <f aca="false">IF($A3272="","",IF($Q3272=0,"UNMAPPED",INDEX(COA_Mapping!$C$7:$C$256,$Q3272)))</f>
        <v/>
      </c>
      <c r="N3272" s="38" t="str">
        <f aca="false">IF($A3272="","",IF($Q3272=0,"",INDEX(COA_Mapping!$E$7:$E$256,$Q3272)))</f>
        <v/>
      </c>
      <c r="O3272" s="38" t="n">
        <f aca="false">IF($A3272="",1,IF($Q3272=0,1,INDEX(COA_Mapping!$F$7:$F$256,$Q3272)))</f>
        <v>1</v>
      </c>
      <c r="P3272" s="34" t="str">
        <f aca="false">IF($A3272="","",$I3272*$O3272)</f>
        <v/>
      </c>
      <c r="Q3272" s="39" t="n">
        <f aca="false">IF($B3272="",0,IFERROR(MATCH($B3272,COA_Mapping!$A$7:$A$256,0),0))</f>
        <v>0</v>
      </c>
      <c r="R3272" s="39" t="n">
        <f aca="false">IF($A3272="",-1,IF($J3272=Setup!$B$7,1,IF($J3272=Setup!$B$9,0,-1)))</f>
        <v>-1</v>
      </c>
      <c r="S3272" s="35" t="n">
        <f aca="false">IF(OR($A3272="",$Q3272=0,$R3272=-1),0,$Q3272*1000+$R3272*100+$K3272)</f>
        <v>0</v>
      </c>
      <c r="T3272" s="37" t="str">
        <f aca="false">IF($A3272="","",IF($B3272="","NO ACCOUNT",IF($Q3272=0,"UNMAPPED",IF($R3272=-1,"OUTSIDE FY RANGE","OK"))))</f>
        <v/>
      </c>
      <c r="U3272" s="40" t="str">
        <f aca="false">IF($A3272="","",$B3272&amp;"|"&amp;TEXT($A3272,"yyyymmdd")&amp;"|"&amp;TEXT($I3272,"0.00"))</f>
        <v/>
      </c>
      <c r="V3272" s="35" t="str">
        <f aca="false">IF($A3272="","",COUNTIF($U$8:$U$5007,$U3272))</f>
        <v/>
      </c>
    </row>
    <row r="3273" customFormat="false" ht="15" hidden="false" customHeight="false" outlineLevel="0" collapsed="false">
      <c r="A3273" s="31"/>
      <c r="B3273" s="32"/>
      <c r="C3273" s="32"/>
      <c r="D3273" s="32"/>
      <c r="E3273" s="32"/>
      <c r="F3273" s="32"/>
      <c r="G3273" s="33"/>
      <c r="H3273" s="33"/>
      <c r="I3273" s="34" t="str">
        <f aca="false">IF($A3273="","",$G3273-$H3273)</f>
        <v/>
      </c>
      <c r="J3273" s="35" t="str">
        <f aca="false">IF($A3273="","",IF(Setup!$B$6=1,YEAR($A3273),YEAR($A3273)+IF(MONTH($A3273)&gt;=Setup!$B$6,1,0)))</f>
        <v/>
      </c>
      <c r="K3273" s="35" t="str">
        <f aca="false">IF($A3273="","",MOD(MONTH($A3273)-Setup!$B$6+12,12)+1)</f>
        <v/>
      </c>
      <c r="L3273" s="36" t="str">
        <f aca="false">IF($A3273="","",TEXT($A3273,"MMM-YY"))</f>
        <v/>
      </c>
      <c r="M3273" s="37" t="str">
        <f aca="false">IF($A3273="","",IF($Q3273=0,"UNMAPPED",INDEX(COA_Mapping!$C$7:$C$256,$Q3273)))</f>
        <v/>
      </c>
      <c r="N3273" s="38" t="str">
        <f aca="false">IF($A3273="","",IF($Q3273=0,"",INDEX(COA_Mapping!$E$7:$E$256,$Q3273)))</f>
        <v/>
      </c>
      <c r="O3273" s="38" t="n">
        <f aca="false">IF($A3273="",1,IF($Q3273=0,1,INDEX(COA_Mapping!$F$7:$F$256,$Q3273)))</f>
        <v>1</v>
      </c>
      <c r="P3273" s="34" t="str">
        <f aca="false">IF($A3273="","",$I3273*$O3273)</f>
        <v/>
      </c>
      <c r="Q3273" s="39" t="n">
        <f aca="false">IF($B3273="",0,IFERROR(MATCH($B3273,COA_Mapping!$A$7:$A$256,0),0))</f>
        <v>0</v>
      </c>
      <c r="R3273" s="39" t="n">
        <f aca="false">IF($A3273="",-1,IF($J3273=Setup!$B$7,1,IF($J3273=Setup!$B$9,0,-1)))</f>
        <v>-1</v>
      </c>
      <c r="S3273" s="35" t="n">
        <f aca="false">IF(OR($A3273="",$Q3273=0,$R3273=-1),0,$Q3273*1000+$R3273*100+$K3273)</f>
        <v>0</v>
      </c>
      <c r="T3273" s="37" t="str">
        <f aca="false">IF($A3273="","",IF($B3273="","NO ACCOUNT",IF($Q3273=0,"UNMAPPED",IF($R3273=-1,"OUTSIDE FY RANGE","OK"))))</f>
        <v/>
      </c>
      <c r="U3273" s="40" t="str">
        <f aca="false">IF($A3273="","",$B3273&amp;"|"&amp;TEXT($A3273,"yyyymmdd")&amp;"|"&amp;TEXT($I3273,"0.00"))</f>
        <v/>
      </c>
      <c r="V3273" s="35" t="str">
        <f aca="false">IF($A3273="","",COUNTIF($U$8:$U$5007,$U3273))</f>
        <v/>
      </c>
    </row>
    <row r="3274" customFormat="false" ht="15" hidden="false" customHeight="false" outlineLevel="0" collapsed="false">
      <c r="A3274" s="31"/>
      <c r="B3274" s="32"/>
      <c r="C3274" s="32"/>
      <c r="D3274" s="32"/>
      <c r="E3274" s="32"/>
      <c r="F3274" s="32"/>
      <c r="G3274" s="33"/>
      <c r="H3274" s="33"/>
      <c r="I3274" s="34" t="str">
        <f aca="false">IF($A3274="","",$G3274-$H3274)</f>
        <v/>
      </c>
      <c r="J3274" s="35" t="str">
        <f aca="false">IF($A3274="","",IF(Setup!$B$6=1,YEAR($A3274),YEAR($A3274)+IF(MONTH($A3274)&gt;=Setup!$B$6,1,0)))</f>
        <v/>
      </c>
      <c r="K3274" s="35" t="str">
        <f aca="false">IF($A3274="","",MOD(MONTH($A3274)-Setup!$B$6+12,12)+1)</f>
        <v/>
      </c>
      <c r="L3274" s="36" t="str">
        <f aca="false">IF($A3274="","",TEXT($A3274,"MMM-YY"))</f>
        <v/>
      </c>
      <c r="M3274" s="37" t="str">
        <f aca="false">IF($A3274="","",IF($Q3274=0,"UNMAPPED",INDEX(COA_Mapping!$C$7:$C$256,$Q3274)))</f>
        <v/>
      </c>
      <c r="N3274" s="38" t="str">
        <f aca="false">IF($A3274="","",IF($Q3274=0,"",INDEX(COA_Mapping!$E$7:$E$256,$Q3274)))</f>
        <v/>
      </c>
      <c r="O3274" s="38" t="n">
        <f aca="false">IF($A3274="",1,IF($Q3274=0,1,INDEX(COA_Mapping!$F$7:$F$256,$Q3274)))</f>
        <v>1</v>
      </c>
      <c r="P3274" s="34" t="str">
        <f aca="false">IF($A3274="","",$I3274*$O3274)</f>
        <v/>
      </c>
      <c r="Q3274" s="39" t="n">
        <f aca="false">IF($B3274="",0,IFERROR(MATCH($B3274,COA_Mapping!$A$7:$A$256,0),0))</f>
        <v>0</v>
      </c>
      <c r="R3274" s="39" t="n">
        <f aca="false">IF($A3274="",-1,IF($J3274=Setup!$B$7,1,IF($J3274=Setup!$B$9,0,-1)))</f>
        <v>-1</v>
      </c>
      <c r="S3274" s="35" t="n">
        <f aca="false">IF(OR($A3274="",$Q3274=0,$R3274=-1),0,$Q3274*1000+$R3274*100+$K3274)</f>
        <v>0</v>
      </c>
      <c r="T3274" s="37" t="str">
        <f aca="false">IF($A3274="","",IF($B3274="","NO ACCOUNT",IF($Q3274=0,"UNMAPPED",IF($R3274=-1,"OUTSIDE FY RANGE","OK"))))</f>
        <v/>
      </c>
      <c r="U3274" s="40" t="str">
        <f aca="false">IF($A3274="","",$B3274&amp;"|"&amp;TEXT($A3274,"yyyymmdd")&amp;"|"&amp;TEXT($I3274,"0.00"))</f>
        <v/>
      </c>
      <c r="V3274" s="35" t="str">
        <f aca="false">IF($A3274="","",COUNTIF($U$8:$U$5007,$U3274))</f>
        <v/>
      </c>
    </row>
    <row r="3275" customFormat="false" ht="15" hidden="false" customHeight="false" outlineLevel="0" collapsed="false">
      <c r="A3275" s="31"/>
      <c r="B3275" s="32"/>
      <c r="C3275" s="32"/>
      <c r="D3275" s="32"/>
      <c r="E3275" s="32"/>
      <c r="F3275" s="32"/>
      <c r="G3275" s="33"/>
      <c r="H3275" s="33"/>
      <c r="I3275" s="34" t="str">
        <f aca="false">IF($A3275="","",$G3275-$H3275)</f>
        <v/>
      </c>
      <c r="J3275" s="35" t="str">
        <f aca="false">IF($A3275="","",IF(Setup!$B$6=1,YEAR($A3275),YEAR($A3275)+IF(MONTH($A3275)&gt;=Setup!$B$6,1,0)))</f>
        <v/>
      </c>
      <c r="K3275" s="35" t="str">
        <f aca="false">IF($A3275="","",MOD(MONTH($A3275)-Setup!$B$6+12,12)+1)</f>
        <v/>
      </c>
      <c r="L3275" s="36" t="str">
        <f aca="false">IF($A3275="","",TEXT($A3275,"MMM-YY"))</f>
        <v/>
      </c>
      <c r="M3275" s="37" t="str">
        <f aca="false">IF($A3275="","",IF($Q3275=0,"UNMAPPED",INDEX(COA_Mapping!$C$7:$C$256,$Q3275)))</f>
        <v/>
      </c>
      <c r="N3275" s="38" t="str">
        <f aca="false">IF($A3275="","",IF($Q3275=0,"",INDEX(COA_Mapping!$E$7:$E$256,$Q3275)))</f>
        <v/>
      </c>
      <c r="O3275" s="38" t="n">
        <f aca="false">IF($A3275="",1,IF($Q3275=0,1,INDEX(COA_Mapping!$F$7:$F$256,$Q3275)))</f>
        <v>1</v>
      </c>
      <c r="P3275" s="34" t="str">
        <f aca="false">IF($A3275="","",$I3275*$O3275)</f>
        <v/>
      </c>
      <c r="Q3275" s="39" t="n">
        <f aca="false">IF($B3275="",0,IFERROR(MATCH($B3275,COA_Mapping!$A$7:$A$256,0),0))</f>
        <v>0</v>
      </c>
      <c r="R3275" s="39" t="n">
        <f aca="false">IF($A3275="",-1,IF($J3275=Setup!$B$7,1,IF($J3275=Setup!$B$9,0,-1)))</f>
        <v>-1</v>
      </c>
      <c r="S3275" s="35" t="n">
        <f aca="false">IF(OR($A3275="",$Q3275=0,$R3275=-1),0,$Q3275*1000+$R3275*100+$K3275)</f>
        <v>0</v>
      </c>
      <c r="T3275" s="37" t="str">
        <f aca="false">IF($A3275="","",IF($B3275="","NO ACCOUNT",IF($Q3275=0,"UNMAPPED",IF($R3275=-1,"OUTSIDE FY RANGE","OK"))))</f>
        <v/>
      </c>
      <c r="U3275" s="40" t="str">
        <f aca="false">IF($A3275="","",$B3275&amp;"|"&amp;TEXT($A3275,"yyyymmdd")&amp;"|"&amp;TEXT($I3275,"0.00"))</f>
        <v/>
      </c>
      <c r="V3275" s="35" t="str">
        <f aca="false">IF($A3275="","",COUNTIF($U$8:$U$5007,$U3275))</f>
        <v/>
      </c>
    </row>
    <row r="3276" customFormat="false" ht="15" hidden="false" customHeight="false" outlineLevel="0" collapsed="false">
      <c r="A3276" s="31"/>
      <c r="B3276" s="32"/>
      <c r="C3276" s="32"/>
      <c r="D3276" s="32"/>
      <c r="E3276" s="32"/>
      <c r="F3276" s="32"/>
      <c r="G3276" s="33"/>
      <c r="H3276" s="33"/>
      <c r="I3276" s="34" t="str">
        <f aca="false">IF($A3276="","",$G3276-$H3276)</f>
        <v/>
      </c>
      <c r="J3276" s="35" t="str">
        <f aca="false">IF($A3276="","",IF(Setup!$B$6=1,YEAR($A3276),YEAR($A3276)+IF(MONTH($A3276)&gt;=Setup!$B$6,1,0)))</f>
        <v/>
      </c>
      <c r="K3276" s="35" t="str">
        <f aca="false">IF($A3276="","",MOD(MONTH($A3276)-Setup!$B$6+12,12)+1)</f>
        <v/>
      </c>
      <c r="L3276" s="36" t="str">
        <f aca="false">IF($A3276="","",TEXT($A3276,"MMM-YY"))</f>
        <v/>
      </c>
      <c r="M3276" s="37" t="str">
        <f aca="false">IF($A3276="","",IF($Q3276=0,"UNMAPPED",INDEX(COA_Mapping!$C$7:$C$256,$Q3276)))</f>
        <v/>
      </c>
      <c r="N3276" s="38" t="str">
        <f aca="false">IF($A3276="","",IF($Q3276=0,"",INDEX(COA_Mapping!$E$7:$E$256,$Q3276)))</f>
        <v/>
      </c>
      <c r="O3276" s="38" t="n">
        <f aca="false">IF($A3276="",1,IF($Q3276=0,1,INDEX(COA_Mapping!$F$7:$F$256,$Q3276)))</f>
        <v>1</v>
      </c>
      <c r="P3276" s="34" t="str">
        <f aca="false">IF($A3276="","",$I3276*$O3276)</f>
        <v/>
      </c>
      <c r="Q3276" s="39" t="n">
        <f aca="false">IF($B3276="",0,IFERROR(MATCH($B3276,COA_Mapping!$A$7:$A$256,0),0))</f>
        <v>0</v>
      </c>
      <c r="R3276" s="39" t="n">
        <f aca="false">IF($A3276="",-1,IF($J3276=Setup!$B$7,1,IF($J3276=Setup!$B$9,0,-1)))</f>
        <v>-1</v>
      </c>
      <c r="S3276" s="35" t="n">
        <f aca="false">IF(OR($A3276="",$Q3276=0,$R3276=-1),0,$Q3276*1000+$R3276*100+$K3276)</f>
        <v>0</v>
      </c>
      <c r="T3276" s="37" t="str">
        <f aca="false">IF($A3276="","",IF($B3276="","NO ACCOUNT",IF($Q3276=0,"UNMAPPED",IF($R3276=-1,"OUTSIDE FY RANGE","OK"))))</f>
        <v/>
      </c>
      <c r="U3276" s="40" t="str">
        <f aca="false">IF($A3276="","",$B3276&amp;"|"&amp;TEXT($A3276,"yyyymmdd")&amp;"|"&amp;TEXT($I3276,"0.00"))</f>
        <v/>
      </c>
      <c r="V3276" s="35" t="str">
        <f aca="false">IF($A3276="","",COUNTIF($U$8:$U$5007,$U3276))</f>
        <v/>
      </c>
    </row>
    <row r="3277" customFormat="false" ht="15" hidden="false" customHeight="false" outlineLevel="0" collapsed="false">
      <c r="A3277" s="31"/>
      <c r="B3277" s="32"/>
      <c r="C3277" s="32"/>
      <c r="D3277" s="32"/>
      <c r="E3277" s="32"/>
      <c r="F3277" s="32"/>
      <c r="G3277" s="33"/>
      <c r="H3277" s="33"/>
      <c r="I3277" s="34" t="str">
        <f aca="false">IF($A3277="","",$G3277-$H3277)</f>
        <v/>
      </c>
      <c r="J3277" s="35" t="str">
        <f aca="false">IF($A3277="","",IF(Setup!$B$6=1,YEAR($A3277),YEAR($A3277)+IF(MONTH($A3277)&gt;=Setup!$B$6,1,0)))</f>
        <v/>
      </c>
      <c r="K3277" s="35" t="str">
        <f aca="false">IF($A3277="","",MOD(MONTH($A3277)-Setup!$B$6+12,12)+1)</f>
        <v/>
      </c>
      <c r="L3277" s="36" t="str">
        <f aca="false">IF($A3277="","",TEXT($A3277,"MMM-YY"))</f>
        <v/>
      </c>
      <c r="M3277" s="37" t="str">
        <f aca="false">IF($A3277="","",IF($Q3277=0,"UNMAPPED",INDEX(COA_Mapping!$C$7:$C$256,$Q3277)))</f>
        <v/>
      </c>
      <c r="N3277" s="38" t="str">
        <f aca="false">IF($A3277="","",IF($Q3277=0,"",INDEX(COA_Mapping!$E$7:$E$256,$Q3277)))</f>
        <v/>
      </c>
      <c r="O3277" s="38" t="n">
        <f aca="false">IF($A3277="",1,IF($Q3277=0,1,INDEX(COA_Mapping!$F$7:$F$256,$Q3277)))</f>
        <v>1</v>
      </c>
      <c r="P3277" s="34" t="str">
        <f aca="false">IF($A3277="","",$I3277*$O3277)</f>
        <v/>
      </c>
      <c r="Q3277" s="39" t="n">
        <f aca="false">IF($B3277="",0,IFERROR(MATCH($B3277,COA_Mapping!$A$7:$A$256,0),0))</f>
        <v>0</v>
      </c>
      <c r="R3277" s="39" t="n">
        <f aca="false">IF($A3277="",-1,IF($J3277=Setup!$B$7,1,IF($J3277=Setup!$B$9,0,-1)))</f>
        <v>-1</v>
      </c>
      <c r="S3277" s="35" t="n">
        <f aca="false">IF(OR($A3277="",$Q3277=0,$R3277=-1),0,$Q3277*1000+$R3277*100+$K3277)</f>
        <v>0</v>
      </c>
      <c r="T3277" s="37" t="str">
        <f aca="false">IF($A3277="","",IF($B3277="","NO ACCOUNT",IF($Q3277=0,"UNMAPPED",IF($R3277=-1,"OUTSIDE FY RANGE","OK"))))</f>
        <v/>
      </c>
      <c r="U3277" s="40" t="str">
        <f aca="false">IF($A3277="","",$B3277&amp;"|"&amp;TEXT($A3277,"yyyymmdd")&amp;"|"&amp;TEXT($I3277,"0.00"))</f>
        <v/>
      </c>
      <c r="V3277" s="35" t="str">
        <f aca="false">IF($A3277="","",COUNTIF($U$8:$U$5007,$U3277))</f>
        <v/>
      </c>
    </row>
    <row r="3278" customFormat="false" ht="15" hidden="false" customHeight="false" outlineLevel="0" collapsed="false">
      <c r="A3278" s="31"/>
      <c r="B3278" s="32"/>
      <c r="C3278" s="32"/>
      <c r="D3278" s="32"/>
      <c r="E3278" s="32"/>
      <c r="F3278" s="32"/>
      <c r="G3278" s="33"/>
      <c r="H3278" s="33"/>
      <c r="I3278" s="34" t="str">
        <f aca="false">IF($A3278="","",$G3278-$H3278)</f>
        <v/>
      </c>
      <c r="J3278" s="35" t="str">
        <f aca="false">IF($A3278="","",IF(Setup!$B$6=1,YEAR($A3278),YEAR($A3278)+IF(MONTH($A3278)&gt;=Setup!$B$6,1,0)))</f>
        <v/>
      </c>
      <c r="K3278" s="35" t="str">
        <f aca="false">IF($A3278="","",MOD(MONTH($A3278)-Setup!$B$6+12,12)+1)</f>
        <v/>
      </c>
      <c r="L3278" s="36" t="str">
        <f aca="false">IF($A3278="","",TEXT($A3278,"MMM-YY"))</f>
        <v/>
      </c>
      <c r="M3278" s="37" t="str">
        <f aca="false">IF($A3278="","",IF($Q3278=0,"UNMAPPED",INDEX(COA_Mapping!$C$7:$C$256,$Q3278)))</f>
        <v/>
      </c>
      <c r="N3278" s="38" t="str">
        <f aca="false">IF($A3278="","",IF($Q3278=0,"",INDEX(COA_Mapping!$E$7:$E$256,$Q3278)))</f>
        <v/>
      </c>
      <c r="O3278" s="38" t="n">
        <f aca="false">IF($A3278="",1,IF($Q3278=0,1,INDEX(COA_Mapping!$F$7:$F$256,$Q3278)))</f>
        <v>1</v>
      </c>
      <c r="P3278" s="34" t="str">
        <f aca="false">IF($A3278="","",$I3278*$O3278)</f>
        <v/>
      </c>
      <c r="Q3278" s="39" t="n">
        <f aca="false">IF($B3278="",0,IFERROR(MATCH($B3278,COA_Mapping!$A$7:$A$256,0),0))</f>
        <v>0</v>
      </c>
      <c r="R3278" s="39" t="n">
        <f aca="false">IF($A3278="",-1,IF($J3278=Setup!$B$7,1,IF($J3278=Setup!$B$9,0,-1)))</f>
        <v>-1</v>
      </c>
      <c r="S3278" s="35" t="n">
        <f aca="false">IF(OR($A3278="",$Q3278=0,$R3278=-1),0,$Q3278*1000+$R3278*100+$K3278)</f>
        <v>0</v>
      </c>
      <c r="T3278" s="37" t="str">
        <f aca="false">IF($A3278="","",IF($B3278="","NO ACCOUNT",IF($Q3278=0,"UNMAPPED",IF($R3278=-1,"OUTSIDE FY RANGE","OK"))))</f>
        <v/>
      </c>
      <c r="U3278" s="40" t="str">
        <f aca="false">IF($A3278="","",$B3278&amp;"|"&amp;TEXT($A3278,"yyyymmdd")&amp;"|"&amp;TEXT($I3278,"0.00"))</f>
        <v/>
      </c>
      <c r="V3278" s="35" t="str">
        <f aca="false">IF($A3278="","",COUNTIF($U$8:$U$5007,$U3278))</f>
        <v/>
      </c>
    </row>
    <row r="3279" customFormat="false" ht="15" hidden="false" customHeight="false" outlineLevel="0" collapsed="false">
      <c r="A3279" s="31"/>
      <c r="B3279" s="32"/>
      <c r="C3279" s="32"/>
      <c r="D3279" s="32"/>
      <c r="E3279" s="32"/>
      <c r="F3279" s="32"/>
      <c r="G3279" s="33"/>
      <c r="H3279" s="33"/>
      <c r="I3279" s="34" t="str">
        <f aca="false">IF($A3279="","",$G3279-$H3279)</f>
        <v/>
      </c>
      <c r="J3279" s="35" t="str">
        <f aca="false">IF($A3279="","",IF(Setup!$B$6=1,YEAR($A3279),YEAR($A3279)+IF(MONTH($A3279)&gt;=Setup!$B$6,1,0)))</f>
        <v/>
      </c>
      <c r="K3279" s="35" t="str">
        <f aca="false">IF($A3279="","",MOD(MONTH($A3279)-Setup!$B$6+12,12)+1)</f>
        <v/>
      </c>
      <c r="L3279" s="36" t="str">
        <f aca="false">IF($A3279="","",TEXT($A3279,"MMM-YY"))</f>
        <v/>
      </c>
      <c r="M3279" s="37" t="str">
        <f aca="false">IF($A3279="","",IF($Q3279=0,"UNMAPPED",INDEX(COA_Mapping!$C$7:$C$256,$Q3279)))</f>
        <v/>
      </c>
      <c r="N3279" s="38" t="str">
        <f aca="false">IF($A3279="","",IF($Q3279=0,"",INDEX(COA_Mapping!$E$7:$E$256,$Q3279)))</f>
        <v/>
      </c>
      <c r="O3279" s="38" t="n">
        <f aca="false">IF($A3279="",1,IF($Q3279=0,1,INDEX(COA_Mapping!$F$7:$F$256,$Q3279)))</f>
        <v>1</v>
      </c>
      <c r="P3279" s="34" t="str">
        <f aca="false">IF($A3279="","",$I3279*$O3279)</f>
        <v/>
      </c>
      <c r="Q3279" s="39" t="n">
        <f aca="false">IF($B3279="",0,IFERROR(MATCH($B3279,COA_Mapping!$A$7:$A$256,0),0))</f>
        <v>0</v>
      </c>
      <c r="R3279" s="39" t="n">
        <f aca="false">IF($A3279="",-1,IF($J3279=Setup!$B$7,1,IF($J3279=Setup!$B$9,0,-1)))</f>
        <v>-1</v>
      </c>
      <c r="S3279" s="35" t="n">
        <f aca="false">IF(OR($A3279="",$Q3279=0,$R3279=-1),0,$Q3279*1000+$R3279*100+$K3279)</f>
        <v>0</v>
      </c>
      <c r="T3279" s="37" t="str">
        <f aca="false">IF($A3279="","",IF($B3279="","NO ACCOUNT",IF($Q3279=0,"UNMAPPED",IF($R3279=-1,"OUTSIDE FY RANGE","OK"))))</f>
        <v/>
      </c>
      <c r="U3279" s="40" t="str">
        <f aca="false">IF($A3279="","",$B3279&amp;"|"&amp;TEXT($A3279,"yyyymmdd")&amp;"|"&amp;TEXT($I3279,"0.00"))</f>
        <v/>
      </c>
      <c r="V3279" s="35" t="str">
        <f aca="false">IF($A3279="","",COUNTIF($U$8:$U$5007,$U3279))</f>
        <v/>
      </c>
    </row>
    <row r="3280" customFormat="false" ht="15" hidden="false" customHeight="false" outlineLevel="0" collapsed="false">
      <c r="A3280" s="31"/>
      <c r="B3280" s="32"/>
      <c r="C3280" s="32"/>
      <c r="D3280" s="32"/>
      <c r="E3280" s="32"/>
      <c r="F3280" s="32"/>
      <c r="G3280" s="33"/>
      <c r="H3280" s="33"/>
      <c r="I3280" s="34" t="str">
        <f aca="false">IF($A3280="","",$G3280-$H3280)</f>
        <v/>
      </c>
      <c r="J3280" s="35" t="str">
        <f aca="false">IF($A3280="","",IF(Setup!$B$6=1,YEAR($A3280),YEAR($A3280)+IF(MONTH($A3280)&gt;=Setup!$B$6,1,0)))</f>
        <v/>
      </c>
      <c r="K3280" s="35" t="str">
        <f aca="false">IF($A3280="","",MOD(MONTH($A3280)-Setup!$B$6+12,12)+1)</f>
        <v/>
      </c>
      <c r="L3280" s="36" t="str">
        <f aca="false">IF($A3280="","",TEXT($A3280,"MMM-YY"))</f>
        <v/>
      </c>
      <c r="M3280" s="37" t="str">
        <f aca="false">IF($A3280="","",IF($Q3280=0,"UNMAPPED",INDEX(COA_Mapping!$C$7:$C$256,$Q3280)))</f>
        <v/>
      </c>
      <c r="N3280" s="38" t="str">
        <f aca="false">IF($A3280="","",IF($Q3280=0,"",INDEX(COA_Mapping!$E$7:$E$256,$Q3280)))</f>
        <v/>
      </c>
      <c r="O3280" s="38" t="n">
        <f aca="false">IF($A3280="",1,IF($Q3280=0,1,INDEX(COA_Mapping!$F$7:$F$256,$Q3280)))</f>
        <v>1</v>
      </c>
      <c r="P3280" s="34" t="str">
        <f aca="false">IF($A3280="","",$I3280*$O3280)</f>
        <v/>
      </c>
      <c r="Q3280" s="39" t="n">
        <f aca="false">IF($B3280="",0,IFERROR(MATCH($B3280,COA_Mapping!$A$7:$A$256,0),0))</f>
        <v>0</v>
      </c>
      <c r="R3280" s="39" t="n">
        <f aca="false">IF($A3280="",-1,IF($J3280=Setup!$B$7,1,IF($J3280=Setup!$B$9,0,-1)))</f>
        <v>-1</v>
      </c>
      <c r="S3280" s="35" t="n">
        <f aca="false">IF(OR($A3280="",$Q3280=0,$R3280=-1),0,$Q3280*1000+$R3280*100+$K3280)</f>
        <v>0</v>
      </c>
      <c r="T3280" s="37" t="str">
        <f aca="false">IF($A3280="","",IF($B3280="","NO ACCOUNT",IF($Q3280=0,"UNMAPPED",IF($R3280=-1,"OUTSIDE FY RANGE","OK"))))</f>
        <v/>
      </c>
      <c r="U3280" s="40" t="str">
        <f aca="false">IF($A3280="","",$B3280&amp;"|"&amp;TEXT($A3280,"yyyymmdd")&amp;"|"&amp;TEXT($I3280,"0.00"))</f>
        <v/>
      </c>
      <c r="V3280" s="35" t="str">
        <f aca="false">IF($A3280="","",COUNTIF($U$8:$U$5007,$U3280))</f>
        <v/>
      </c>
    </row>
    <row r="3281" customFormat="false" ht="15" hidden="false" customHeight="false" outlineLevel="0" collapsed="false">
      <c r="A3281" s="31"/>
      <c r="B3281" s="32"/>
      <c r="C3281" s="32"/>
      <c r="D3281" s="32"/>
      <c r="E3281" s="32"/>
      <c r="F3281" s="32"/>
      <c r="G3281" s="33"/>
      <c r="H3281" s="33"/>
      <c r="I3281" s="34" t="str">
        <f aca="false">IF($A3281="","",$G3281-$H3281)</f>
        <v/>
      </c>
      <c r="J3281" s="35" t="str">
        <f aca="false">IF($A3281="","",IF(Setup!$B$6=1,YEAR($A3281),YEAR($A3281)+IF(MONTH($A3281)&gt;=Setup!$B$6,1,0)))</f>
        <v/>
      </c>
      <c r="K3281" s="35" t="str">
        <f aca="false">IF($A3281="","",MOD(MONTH($A3281)-Setup!$B$6+12,12)+1)</f>
        <v/>
      </c>
      <c r="L3281" s="36" t="str">
        <f aca="false">IF($A3281="","",TEXT($A3281,"MMM-YY"))</f>
        <v/>
      </c>
      <c r="M3281" s="37" t="str">
        <f aca="false">IF($A3281="","",IF($Q3281=0,"UNMAPPED",INDEX(COA_Mapping!$C$7:$C$256,$Q3281)))</f>
        <v/>
      </c>
      <c r="N3281" s="38" t="str">
        <f aca="false">IF($A3281="","",IF($Q3281=0,"",INDEX(COA_Mapping!$E$7:$E$256,$Q3281)))</f>
        <v/>
      </c>
      <c r="O3281" s="38" t="n">
        <f aca="false">IF($A3281="",1,IF($Q3281=0,1,INDEX(COA_Mapping!$F$7:$F$256,$Q3281)))</f>
        <v>1</v>
      </c>
      <c r="P3281" s="34" t="str">
        <f aca="false">IF($A3281="","",$I3281*$O3281)</f>
        <v/>
      </c>
      <c r="Q3281" s="39" t="n">
        <f aca="false">IF($B3281="",0,IFERROR(MATCH($B3281,COA_Mapping!$A$7:$A$256,0),0))</f>
        <v>0</v>
      </c>
      <c r="R3281" s="39" t="n">
        <f aca="false">IF($A3281="",-1,IF($J3281=Setup!$B$7,1,IF($J3281=Setup!$B$9,0,-1)))</f>
        <v>-1</v>
      </c>
      <c r="S3281" s="35" t="n">
        <f aca="false">IF(OR($A3281="",$Q3281=0,$R3281=-1),0,$Q3281*1000+$R3281*100+$K3281)</f>
        <v>0</v>
      </c>
      <c r="T3281" s="37" t="str">
        <f aca="false">IF($A3281="","",IF($B3281="","NO ACCOUNT",IF($Q3281=0,"UNMAPPED",IF($R3281=-1,"OUTSIDE FY RANGE","OK"))))</f>
        <v/>
      </c>
      <c r="U3281" s="40" t="str">
        <f aca="false">IF($A3281="","",$B3281&amp;"|"&amp;TEXT($A3281,"yyyymmdd")&amp;"|"&amp;TEXT($I3281,"0.00"))</f>
        <v/>
      </c>
      <c r="V3281" s="35" t="str">
        <f aca="false">IF($A3281="","",COUNTIF($U$8:$U$5007,$U3281))</f>
        <v/>
      </c>
    </row>
    <row r="3282" customFormat="false" ht="15" hidden="false" customHeight="false" outlineLevel="0" collapsed="false">
      <c r="A3282" s="31"/>
      <c r="B3282" s="32"/>
      <c r="C3282" s="32"/>
      <c r="D3282" s="32"/>
      <c r="E3282" s="32"/>
      <c r="F3282" s="32"/>
      <c r="G3282" s="33"/>
      <c r="H3282" s="33"/>
      <c r="I3282" s="34" t="str">
        <f aca="false">IF($A3282="","",$G3282-$H3282)</f>
        <v/>
      </c>
      <c r="J3282" s="35" t="str">
        <f aca="false">IF($A3282="","",IF(Setup!$B$6=1,YEAR($A3282),YEAR($A3282)+IF(MONTH($A3282)&gt;=Setup!$B$6,1,0)))</f>
        <v/>
      </c>
      <c r="K3282" s="35" t="str">
        <f aca="false">IF($A3282="","",MOD(MONTH($A3282)-Setup!$B$6+12,12)+1)</f>
        <v/>
      </c>
      <c r="L3282" s="36" t="str">
        <f aca="false">IF($A3282="","",TEXT($A3282,"MMM-YY"))</f>
        <v/>
      </c>
      <c r="M3282" s="37" t="str">
        <f aca="false">IF($A3282="","",IF($Q3282=0,"UNMAPPED",INDEX(COA_Mapping!$C$7:$C$256,$Q3282)))</f>
        <v/>
      </c>
      <c r="N3282" s="38" t="str">
        <f aca="false">IF($A3282="","",IF($Q3282=0,"",INDEX(COA_Mapping!$E$7:$E$256,$Q3282)))</f>
        <v/>
      </c>
      <c r="O3282" s="38" t="n">
        <f aca="false">IF($A3282="",1,IF($Q3282=0,1,INDEX(COA_Mapping!$F$7:$F$256,$Q3282)))</f>
        <v>1</v>
      </c>
      <c r="P3282" s="34" t="str">
        <f aca="false">IF($A3282="","",$I3282*$O3282)</f>
        <v/>
      </c>
      <c r="Q3282" s="39" t="n">
        <f aca="false">IF($B3282="",0,IFERROR(MATCH($B3282,COA_Mapping!$A$7:$A$256,0),0))</f>
        <v>0</v>
      </c>
      <c r="R3282" s="39" t="n">
        <f aca="false">IF($A3282="",-1,IF($J3282=Setup!$B$7,1,IF($J3282=Setup!$B$9,0,-1)))</f>
        <v>-1</v>
      </c>
      <c r="S3282" s="35" t="n">
        <f aca="false">IF(OR($A3282="",$Q3282=0,$R3282=-1),0,$Q3282*1000+$R3282*100+$K3282)</f>
        <v>0</v>
      </c>
      <c r="T3282" s="37" t="str">
        <f aca="false">IF($A3282="","",IF($B3282="","NO ACCOUNT",IF($Q3282=0,"UNMAPPED",IF($R3282=-1,"OUTSIDE FY RANGE","OK"))))</f>
        <v/>
      </c>
      <c r="U3282" s="40" t="str">
        <f aca="false">IF($A3282="","",$B3282&amp;"|"&amp;TEXT($A3282,"yyyymmdd")&amp;"|"&amp;TEXT($I3282,"0.00"))</f>
        <v/>
      </c>
      <c r="V3282" s="35" t="str">
        <f aca="false">IF($A3282="","",COUNTIF($U$8:$U$5007,$U3282))</f>
        <v/>
      </c>
    </row>
    <row r="3283" customFormat="false" ht="15" hidden="false" customHeight="false" outlineLevel="0" collapsed="false">
      <c r="A3283" s="31"/>
      <c r="B3283" s="32"/>
      <c r="C3283" s="32"/>
      <c r="D3283" s="32"/>
      <c r="E3283" s="32"/>
      <c r="F3283" s="32"/>
      <c r="G3283" s="33"/>
      <c r="H3283" s="33"/>
      <c r="I3283" s="34" t="str">
        <f aca="false">IF($A3283="","",$G3283-$H3283)</f>
        <v/>
      </c>
      <c r="J3283" s="35" t="str">
        <f aca="false">IF($A3283="","",IF(Setup!$B$6=1,YEAR($A3283),YEAR($A3283)+IF(MONTH($A3283)&gt;=Setup!$B$6,1,0)))</f>
        <v/>
      </c>
      <c r="K3283" s="35" t="str">
        <f aca="false">IF($A3283="","",MOD(MONTH($A3283)-Setup!$B$6+12,12)+1)</f>
        <v/>
      </c>
      <c r="L3283" s="36" t="str">
        <f aca="false">IF($A3283="","",TEXT($A3283,"MMM-YY"))</f>
        <v/>
      </c>
      <c r="M3283" s="37" t="str">
        <f aca="false">IF($A3283="","",IF($Q3283=0,"UNMAPPED",INDEX(COA_Mapping!$C$7:$C$256,$Q3283)))</f>
        <v/>
      </c>
      <c r="N3283" s="38" t="str">
        <f aca="false">IF($A3283="","",IF($Q3283=0,"",INDEX(COA_Mapping!$E$7:$E$256,$Q3283)))</f>
        <v/>
      </c>
      <c r="O3283" s="38" t="n">
        <f aca="false">IF($A3283="",1,IF($Q3283=0,1,INDEX(COA_Mapping!$F$7:$F$256,$Q3283)))</f>
        <v>1</v>
      </c>
      <c r="P3283" s="34" t="str">
        <f aca="false">IF($A3283="","",$I3283*$O3283)</f>
        <v/>
      </c>
      <c r="Q3283" s="39" t="n">
        <f aca="false">IF($B3283="",0,IFERROR(MATCH($B3283,COA_Mapping!$A$7:$A$256,0),0))</f>
        <v>0</v>
      </c>
      <c r="R3283" s="39" t="n">
        <f aca="false">IF($A3283="",-1,IF($J3283=Setup!$B$7,1,IF($J3283=Setup!$B$9,0,-1)))</f>
        <v>-1</v>
      </c>
      <c r="S3283" s="35" t="n">
        <f aca="false">IF(OR($A3283="",$Q3283=0,$R3283=-1),0,$Q3283*1000+$R3283*100+$K3283)</f>
        <v>0</v>
      </c>
      <c r="T3283" s="37" t="str">
        <f aca="false">IF($A3283="","",IF($B3283="","NO ACCOUNT",IF($Q3283=0,"UNMAPPED",IF($R3283=-1,"OUTSIDE FY RANGE","OK"))))</f>
        <v/>
      </c>
      <c r="U3283" s="40" t="str">
        <f aca="false">IF($A3283="","",$B3283&amp;"|"&amp;TEXT($A3283,"yyyymmdd")&amp;"|"&amp;TEXT($I3283,"0.00"))</f>
        <v/>
      </c>
      <c r="V3283" s="35" t="str">
        <f aca="false">IF($A3283="","",COUNTIF($U$8:$U$5007,$U3283))</f>
        <v/>
      </c>
    </row>
    <row r="3284" customFormat="false" ht="15" hidden="false" customHeight="false" outlineLevel="0" collapsed="false">
      <c r="A3284" s="31"/>
      <c r="B3284" s="32"/>
      <c r="C3284" s="32"/>
      <c r="D3284" s="32"/>
      <c r="E3284" s="32"/>
      <c r="F3284" s="32"/>
      <c r="G3284" s="33"/>
      <c r="H3284" s="33"/>
      <c r="I3284" s="34" t="str">
        <f aca="false">IF($A3284="","",$G3284-$H3284)</f>
        <v/>
      </c>
      <c r="J3284" s="35" t="str">
        <f aca="false">IF($A3284="","",IF(Setup!$B$6=1,YEAR($A3284),YEAR($A3284)+IF(MONTH($A3284)&gt;=Setup!$B$6,1,0)))</f>
        <v/>
      </c>
      <c r="K3284" s="35" t="str">
        <f aca="false">IF($A3284="","",MOD(MONTH($A3284)-Setup!$B$6+12,12)+1)</f>
        <v/>
      </c>
      <c r="L3284" s="36" t="str">
        <f aca="false">IF($A3284="","",TEXT($A3284,"MMM-YY"))</f>
        <v/>
      </c>
      <c r="M3284" s="37" t="str">
        <f aca="false">IF($A3284="","",IF($Q3284=0,"UNMAPPED",INDEX(COA_Mapping!$C$7:$C$256,$Q3284)))</f>
        <v/>
      </c>
      <c r="N3284" s="38" t="str">
        <f aca="false">IF($A3284="","",IF($Q3284=0,"",INDEX(COA_Mapping!$E$7:$E$256,$Q3284)))</f>
        <v/>
      </c>
      <c r="O3284" s="38" t="n">
        <f aca="false">IF($A3284="",1,IF($Q3284=0,1,INDEX(COA_Mapping!$F$7:$F$256,$Q3284)))</f>
        <v>1</v>
      </c>
      <c r="P3284" s="34" t="str">
        <f aca="false">IF($A3284="","",$I3284*$O3284)</f>
        <v/>
      </c>
      <c r="Q3284" s="39" t="n">
        <f aca="false">IF($B3284="",0,IFERROR(MATCH($B3284,COA_Mapping!$A$7:$A$256,0),0))</f>
        <v>0</v>
      </c>
      <c r="R3284" s="39" t="n">
        <f aca="false">IF($A3284="",-1,IF($J3284=Setup!$B$7,1,IF($J3284=Setup!$B$9,0,-1)))</f>
        <v>-1</v>
      </c>
      <c r="S3284" s="35" t="n">
        <f aca="false">IF(OR($A3284="",$Q3284=0,$R3284=-1),0,$Q3284*1000+$R3284*100+$K3284)</f>
        <v>0</v>
      </c>
      <c r="T3284" s="37" t="str">
        <f aca="false">IF($A3284="","",IF($B3284="","NO ACCOUNT",IF($Q3284=0,"UNMAPPED",IF($R3284=-1,"OUTSIDE FY RANGE","OK"))))</f>
        <v/>
      </c>
      <c r="U3284" s="40" t="str">
        <f aca="false">IF($A3284="","",$B3284&amp;"|"&amp;TEXT($A3284,"yyyymmdd")&amp;"|"&amp;TEXT($I3284,"0.00"))</f>
        <v/>
      </c>
      <c r="V3284" s="35" t="str">
        <f aca="false">IF($A3284="","",COUNTIF($U$8:$U$5007,$U3284))</f>
        <v/>
      </c>
    </row>
    <row r="3285" customFormat="false" ht="15" hidden="false" customHeight="false" outlineLevel="0" collapsed="false">
      <c r="A3285" s="31"/>
      <c r="B3285" s="32"/>
      <c r="C3285" s="32"/>
      <c r="D3285" s="32"/>
      <c r="E3285" s="32"/>
      <c r="F3285" s="32"/>
      <c r="G3285" s="33"/>
      <c r="H3285" s="33"/>
      <c r="I3285" s="34" t="str">
        <f aca="false">IF($A3285="","",$G3285-$H3285)</f>
        <v/>
      </c>
      <c r="J3285" s="35" t="str">
        <f aca="false">IF($A3285="","",IF(Setup!$B$6=1,YEAR($A3285),YEAR($A3285)+IF(MONTH($A3285)&gt;=Setup!$B$6,1,0)))</f>
        <v/>
      </c>
      <c r="K3285" s="35" t="str">
        <f aca="false">IF($A3285="","",MOD(MONTH($A3285)-Setup!$B$6+12,12)+1)</f>
        <v/>
      </c>
      <c r="L3285" s="36" t="str">
        <f aca="false">IF($A3285="","",TEXT($A3285,"MMM-YY"))</f>
        <v/>
      </c>
      <c r="M3285" s="37" t="str">
        <f aca="false">IF($A3285="","",IF($Q3285=0,"UNMAPPED",INDEX(COA_Mapping!$C$7:$C$256,$Q3285)))</f>
        <v/>
      </c>
      <c r="N3285" s="38" t="str">
        <f aca="false">IF($A3285="","",IF($Q3285=0,"",INDEX(COA_Mapping!$E$7:$E$256,$Q3285)))</f>
        <v/>
      </c>
      <c r="O3285" s="38" t="n">
        <f aca="false">IF($A3285="",1,IF($Q3285=0,1,INDEX(COA_Mapping!$F$7:$F$256,$Q3285)))</f>
        <v>1</v>
      </c>
      <c r="P3285" s="34" t="str">
        <f aca="false">IF($A3285="","",$I3285*$O3285)</f>
        <v/>
      </c>
      <c r="Q3285" s="39" t="n">
        <f aca="false">IF($B3285="",0,IFERROR(MATCH($B3285,COA_Mapping!$A$7:$A$256,0),0))</f>
        <v>0</v>
      </c>
      <c r="R3285" s="39" t="n">
        <f aca="false">IF($A3285="",-1,IF($J3285=Setup!$B$7,1,IF($J3285=Setup!$B$9,0,-1)))</f>
        <v>-1</v>
      </c>
      <c r="S3285" s="35" t="n">
        <f aca="false">IF(OR($A3285="",$Q3285=0,$R3285=-1),0,$Q3285*1000+$R3285*100+$K3285)</f>
        <v>0</v>
      </c>
      <c r="T3285" s="37" t="str">
        <f aca="false">IF($A3285="","",IF($B3285="","NO ACCOUNT",IF($Q3285=0,"UNMAPPED",IF($R3285=-1,"OUTSIDE FY RANGE","OK"))))</f>
        <v/>
      </c>
      <c r="U3285" s="40" t="str">
        <f aca="false">IF($A3285="","",$B3285&amp;"|"&amp;TEXT($A3285,"yyyymmdd")&amp;"|"&amp;TEXT($I3285,"0.00"))</f>
        <v/>
      </c>
      <c r="V3285" s="35" t="str">
        <f aca="false">IF($A3285="","",COUNTIF($U$8:$U$5007,$U3285))</f>
        <v/>
      </c>
    </row>
    <row r="3286" customFormat="false" ht="15" hidden="false" customHeight="false" outlineLevel="0" collapsed="false">
      <c r="A3286" s="31"/>
      <c r="B3286" s="32"/>
      <c r="C3286" s="32"/>
      <c r="D3286" s="32"/>
      <c r="E3286" s="32"/>
      <c r="F3286" s="32"/>
      <c r="G3286" s="33"/>
      <c r="H3286" s="33"/>
      <c r="I3286" s="34" t="str">
        <f aca="false">IF($A3286="","",$G3286-$H3286)</f>
        <v/>
      </c>
      <c r="J3286" s="35" t="str">
        <f aca="false">IF($A3286="","",IF(Setup!$B$6=1,YEAR($A3286),YEAR($A3286)+IF(MONTH($A3286)&gt;=Setup!$B$6,1,0)))</f>
        <v/>
      </c>
      <c r="K3286" s="35" t="str">
        <f aca="false">IF($A3286="","",MOD(MONTH($A3286)-Setup!$B$6+12,12)+1)</f>
        <v/>
      </c>
      <c r="L3286" s="36" t="str">
        <f aca="false">IF($A3286="","",TEXT($A3286,"MMM-YY"))</f>
        <v/>
      </c>
      <c r="M3286" s="37" t="str">
        <f aca="false">IF($A3286="","",IF($Q3286=0,"UNMAPPED",INDEX(COA_Mapping!$C$7:$C$256,$Q3286)))</f>
        <v/>
      </c>
      <c r="N3286" s="38" t="str">
        <f aca="false">IF($A3286="","",IF($Q3286=0,"",INDEX(COA_Mapping!$E$7:$E$256,$Q3286)))</f>
        <v/>
      </c>
      <c r="O3286" s="38" t="n">
        <f aca="false">IF($A3286="",1,IF($Q3286=0,1,INDEX(COA_Mapping!$F$7:$F$256,$Q3286)))</f>
        <v>1</v>
      </c>
      <c r="P3286" s="34" t="str">
        <f aca="false">IF($A3286="","",$I3286*$O3286)</f>
        <v/>
      </c>
      <c r="Q3286" s="39" t="n">
        <f aca="false">IF($B3286="",0,IFERROR(MATCH($B3286,COA_Mapping!$A$7:$A$256,0),0))</f>
        <v>0</v>
      </c>
      <c r="R3286" s="39" t="n">
        <f aca="false">IF($A3286="",-1,IF($J3286=Setup!$B$7,1,IF($J3286=Setup!$B$9,0,-1)))</f>
        <v>-1</v>
      </c>
      <c r="S3286" s="35" t="n">
        <f aca="false">IF(OR($A3286="",$Q3286=0,$R3286=-1),0,$Q3286*1000+$R3286*100+$K3286)</f>
        <v>0</v>
      </c>
      <c r="T3286" s="37" t="str">
        <f aca="false">IF($A3286="","",IF($B3286="","NO ACCOUNT",IF($Q3286=0,"UNMAPPED",IF($R3286=-1,"OUTSIDE FY RANGE","OK"))))</f>
        <v/>
      </c>
      <c r="U3286" s="40" t="str">
        <f aca="false">IF($A3286="","",$B3286&amp;"|"&amp;TEXT($A3286,"yyyymmdd")&amp;"|"&amp;TEXT($I3286,"0.00"))</f>
        <v/>
      </c>
      <c r="V3286" s="35" t="str">
        <f aca="false">IF($A3286="","",COUNTIF($U$8:$U$5007,$U3286))</f>
        <v/>
      </c>
    </row>
    <row r="3287" customFormat="false" ht="15" hidden="false" customHeight="false" outlineLevel="0" collapsed="false">
      <c r="A3287" s="31"/>
      <c r="B3287" s="32"/>
      <c r="C3287" s="32"/>
      <c r="D3287" s="32"/>
      <c r="E3287" s="32"/>
      <c r="F3287" s="32"/>
      <c r="G3287" s="33"/>
      <c r="H3287" s="33"/>
      <c r="I3287" s="34" t="str">
        <f aca="false">IF($A3287="","",$G3287-$H3287)</f>
        <v/>
      </c>
      <c r="J3287" s="35" t="str">
        <f aca="false">IF($A3287="","",IF(Setup!$B$6=1,YEAR($A3287),YEAR($A3287)+IF(MONTH($A3287)&gt;=Setup!$B$6,1,0)))</f>
        <v/>
      </c>
      <c r="K3287" s="35" t="str">
        <f aca="false">IF($A3287="","",MOD(MONTH($A3287)-Setup!$B$6+12,12)+1)</f>
        <v/>
      </c>
      <c r="L3287" s="36" t="str">
        <f aca="false">IF($A3287="","",TEXT($A3287,"MMM-YY"))</f>
        <v/>
      </c>
      <c r="M3287" s="37" t="str">
        <f aca="false">IF($A3287="","",IF($Q3287=0,"UNMAPPED",INDEX(COA_Mapping!$C$7:$C$256,$Q3287)))</f>
        <v/>
      </c>
      <c r="N3287" s="38" t="str">
        <f aca="false">IF($A3287="","",IF($Q3287=0,"",INDEX(COA_Mapping!$E$7:$E$256,$Q3287)))</f>
        <v/>
      </c>
      <c r="O3287" s="38" t="n">
        <f aca="false">IF($A3287="",1,IF($Q3287=0,1,INDEX(COA_Mapping!$F$7:$F$256,$Q3287)))</f>
        <v>1</v>
      </c>
      <c r="P3287" s="34" t="str">
        <f aca="false">IF($A3287="","",$I3287*$O3287)</f>
        <v/>
      </c>
      <c r="Q3287" s="39" t="n">
        <f aca="false">IF($B3287="",0,IFERROR(MATCH($B3287,COA_Mapping!$A$7:$A$256,0),0))</f>
        <v>0</v>
      </c>
      <c r="R3287" s="39" t="n">
        <f aca="false">IF($A3287="",-1,IF($J3287=Setup!$B$7,1,IF($J3287=Setup!$B$9,0,-1)))</f>
        <v>-1</v>
      </c>
      <c r="S3287" s="35" t="n">
        <f aca="false">IF(OR($A3287="",$Q3287=0,$R3287=-1),0,$Q3287*1000+$R3287*100+$K3287)</f>
        <v>0</v>
      </c>
      <c r="T3287" s="37" t="str">
        <f aca="false">IF($A3287="","",IF($B3287="","NO ACCOUNT",IF($Q3287=0,"UNMAPPED",IF($R3287=-1,"OUTSIDE FY RANGE","OK"))))</f>
        <v/>
      </c>
      <c r="U3287" s="40" t="str">
        <f aca="false">IF($A3287="","",$B3287&amp;"|"&amp;TEXT($A3287,"yyyymmdd")&amp;"|"&amp;TEXT($I3287,"0.00"))</f>
        <v/>
      </c>
      <c r="V3287" s="35" t="str">
        <f aca="false">IF($A3287="","",COUNTIF($U$8:$U$5007,$U3287))</f>
        <v/>
      </c>
    </row>
    <row r="3288" customFormat="false" ht="15" hidden="false" customHeight="false" outlineLevel="0" collapsed="false">
      <c r="A3288" s="31"/>
      <c r="B3288" s="32"/>
      <c r="C3288" s="32"/>
      <c r="D3288" s="32"/>
      <c r="E3288" s="32"/>
      <c r="F3288" s="32"/>
      <c r="G3288" s="33"/>
      <c r="H3288" s="33"/>
      <c r="I3288" s="34" t="str">
        <f aca="false">IF($A3288="","",$G3288-$H3288)</f>
        <v/>
      </c>
      <c r="J3288" s="35" t="str">
        <f aca="false">IF($A3288="","",IF(Setup!$B$6=1,YEAR($A3288),YEAR($A3288)+IF(MONTH($A3288)&gt;=Setup!$B$6,1,0)))</f>
        <v/>
      </c>
      <c r="K3288" s="35" t="str">
        <f aca="false">IF($A3288="","",MOD(MONTH($A3288)-Setup!$B$6+12,12)+1)</f>
        <v/>
      </c>
      <c r="L3288" s="36" t="str">
        <f aca="false">IF($A3288="","",TEXT($A3288,"MMM-YY"))</f>
        <v/>
      </c>
      <c r="M3288" s="37" t="str">
        <f aca="false">IF($A3288="","",IF($Q3288=0,"UNMAPPED",INDEX(COA_Mapping!$C$7:$C$256,$Q3288)))</f>
        <v/>
      </c>
      <c r="N3288" s="38" t="str">
        <f aca="false">IF($A3288="","",IF($Q3288=0,"",INDEX(COA_Mapping!$E$7:$E$256,$Q3288)))</f>
        <v/>
      </c>
      <c r="O3288" s="38" t="n">
        <f aca="false">IF($A3288="",1,IF($Q3288=0,1,INDEX(COA_Mapping!$F$7:$F$256,$Q3288)))</f>
        <v>1</v>
      </c>
      <c r="P3288" s="34" t="str">
        <f aca="false">IF($A3288="","",$I3288*$O3288)</f>
        <v/>
      </c>
      <c r="Q3288" s="39" t="n">
        <f aca="false">IF($B3288="",0,IFERROR(MATCH($B3288,COA_Mapping!$A$7:$A$256,0),0))</f>
        <v>0</v>
      </c>
      <c r="R3288" s="39" t="n">
        <f aca="false">IF($A3288="",-1,IF($J3288=Setup!$B$7,1,IF($J3288=Setup!$B$9,0,-1)))</f>
        <v>-1</v>
      </c>
      <c r="S3288" s="35" t="n">
        <f aca="false">IF(OR($A3288="",$Q3288=0,$R3288=-1),0,$Q3288*1000+$R3288*100+$K3288)</f>
        <v>0</v>
      </c>
      <c r="T3288" s="37" t="str">
        <f aca="false">IF($A3288="","",IF($B3288="","NO ACCOUNT",IF($Q3288=0,"UNMAPPED",IF($R3288=-1,"OUTSIDE FY RANGE","OK"))))</f>
        <v/>
      </c>
      <c r="U3288" s="40" t="str">
        <f aca="false">IF($A3288="","",$B3288&amp;"|"&amp;TEXT($A3288,"yyyymmdd")&amp;"|"&amp;TEXT($I3288,"0.00"))</f>
        <v/>
      </c>
      <c r="V3288" s="35" t="str">
        <f aca="false">IF($A3288="","",COUNTIF($U$8:$U$5007,$U3288))</f>
        <v/>
      </c>
    </row>
    <row r="3289" customFormat="false" ht="15" hidden="false" customHeight="false" outlineLevel="0" collapsed="false">
      <c r="A3289" s="31"/>
      <c r="B3289" s="32"/>
      <c r="C3289" s="32"/>
      <c r="D3289" s="32"/>
      <c r="E3289" s="32"/>
      <c r="F3289" s="32"/>
      <c r="G3289" s="33"/>
      <c r="H3289" s="33"/>
      <c r="I3289" s="34" t="str">
        <f aca="false">IF($A3289="","",$G3289-$H3289)</f>
        <v/>
      </c>
      <c r="J3289" s="35" t="str">
        <f aca="false">IF($A3289="","",IF(Setup!$B$6=1,YEAR($A3289),YEAR($A3289)+IF(MONTH($A3289)&gt;=Setup!$B$6,1,0)))</f>
        <v/>
      </c>
      <c r="K3289" s="35" t="str">
        <f aca="false">IF($A3289="","",MOD(MONTH($A3289)-Setup!$B$6+12,12)+1)</f>
        <v/>
      </c>
      <c r="L3289" s="36" t="str">
        <f aca="false">IF($A3289="","",TEXT($A3289,"MMM-YY"))</f>
        <v/>
      </c>
      <c r="M3289" s="37" t="str">
        <f aca="false">IF($A3289="","",IF($Q3289=0,"UNMAPPED",INDEX(COA_Mapping!$C$7:$C$256,$Q3289)))</f>
        <v/>
      </c>
      <c r="N3289" s="38" t="str">
        <f aca="false">IF($A3289="","",IF($Q3289=0,"",INDEX(COA_Mapping!$E$7:$E$256,$Q3289)))</f>
        <v/>
      </c>
      <c r="O3289" s="38" t="n">
        <f aca="false">IF($A3289="",1,IF($Q3289=0,1,INDEX(COA_Mapping!$F$7:$F$256,$Q3289)))</f>
        <v>1</v>
      </c>
      <c r="P3289" s="34" t="str">
        <f aca="false">IF($A3289="","",$I3289*$O3289)</f>
        <v/>
      </c>
      <c r="Q3289" s="39" t="n">
        <f aca="false">IF($B3289="",0,IFERROR(MATCH($B3289,COA_Mapping!$A$7:$A$256,0),0))</f>
        <v>0</v>
      </c>
      <c r="R3289" s="39" t="n">
        <f aca="false">IF($A3289="",-1,IF($J3289=Setup!$B$7,1,IF($J3289=Setup!$B$9,0,-1)))</f>
        <v>-1</v>
      </c>
      <c r="S3289" s="35" t="n">
        <f aca="false">IF(OR($A3289="",$Q3289=0,$R3289=-1),0,$Q3289*1000+$R3289*100+$K3289)</f>
        <v>0</v>
      </c>
      <c r="T3289" s="37" t="str">
        <f aca="false">IF($A3289="","",IF($B3289="","NO ACCOUNT",IF($Q3289=0,"UNMAPPED",IF($R3289=-1,"OUTSIDE FY RANGE","OK"))))</f>
        <v/>
      </c>
      <c r="U3289" s="40" t="str">
        <f aca="false">IF($A3289="","",$B3289&amp;"|"&amp;TEXT($A3289,"yyyymmdd")&amp;"|"&amp;TEXT($I3289,"0.00"))</f>
        <v/>
      </c>
      <c r="V3289" s="35" t="str">
        <f aca="false">IF($A3289="","",COUNTIF($U$8:$U$5007,$U3289))</f>
        <v/>
      </c>
    </row>
    <row r="3290" customFormat="false" ht="15" hidden="false" customHeight="false" outlineLevel="0" collapsed="false">
      <c r="A3290" s="31"/>
      <c r="B3290" s="32"/>
      <c r="C3290" s="32"/>
      <c r="D3290" s="32"/>
      <c r="E3290" s="32"/>
      <c r="F3290" s="32"/>
      <c r="G3290" s="33"/>
      <c r="H3290" s="33"/>
      <c r="I3290" s="34" t="str">
        <f aca="false">IF($A3290="","",$G3290-$H3290)</f>
        <v/>
      </c>
      <c r="J3290" s="35" t="str">
        <f aca="false">IF($A3290="","",IF(Setup!$B$6=1,YEAR($A3290),YEAR($A3290)+IF(MONTH($A3290)&gt;=Setup!$B$6,1,0)))</f>
        <v/>
      </c>
      <c r="K3290" s="35" t="str">
        <f aca="false">IF($A3290="","",MOD(MONTH($A3290)-Setup!$B$6+12,12)+1)</f>
        <v/>
      </c>
      <c r="L3290" s="36" t="str">
        <f aca="false">IF($A3290="","",TEXT($A3290,"MMM-YY"))</f>
        <v/>
      </c>
      <c r="M3290" s="37" t="str">
        <f aca="false">IF($A3290="","",IF($Q3290=0,"UNMAPPED",INDEX(COA_Mapping!$C$7:$C$256,$Q3290)))</f>
        <v/>
      </c>
      <c r="N3290" s="38" t="str">
        <f aca="false">IF($A3290="","",IF($Q3290=0,"",INDEX(COA_Mapping!$E$7:$E$256,$Q3290)))</f>
        <v/>
      </c>
      <c r="O3290" s="38" t="n">
        <f aca="false">IF($A3290="",1,IF($Q3290=0,1,INDEX(COA_Mapping!$F$7:$F$256,$Q3290)))</f>
        <v>1</v>
      </c>
      <c r="P3290" s="34" t="str">
        <f aca="false">IF($A3290="","",$I3290*$O3290)</f>
        <v/>
      </c>
      <c r="Q3290" s="39" t="n">
        <f aca="false">IF($B3290="",0,IFERROR(MATCH($B3290,COA_Mapping!$A$7:$A$256,0),0))</f>
        <v>0</v>
      </c>
      <c r="R3290" s="39" t="n">
        <f aca="false">IF($A3290="",-1,IF($J3290=Setup!$B$7,1,IF($J3290=Setup!$B$9,0,-1)))</f>
        <v>-1</v>
      </c>
      <c r="S3290" s="35" t="n">
        <f aca="false">IF(OR($A3290="",$Q3290=0,$R3290=-1),0,$Q3290*1000+$R3290*100+$K3290)</f>
        <v>0</v>
      </c>
      <c r="T3290" s="37" t="str">
        <f aca="false">IF($A3290="","",IF($B3290="","NO ACCOUNT",IF($Q3290=0,"UNMAPPED",IF($R3290=-1,"OUTSIDE FY RANGE","OK"))))</f>
        <v/>
      </c>
      <c r="U3290" s="40" t="str">
        <f aca="false">IF($A3290="","",$B3290&amp;"|"&amp;TEXT($A3290,"yyyymmdd")&amp;"|"&amp;TEXT($I3290,"0.00"))</f>
        <v/>
      </c>
      <c r="V3290" s="35" t="str">
        <f aca="false">IF($A3290="","",COUNTIF($U$8:$U$5007,$U3290))</f>
        <v/>
      </c>
    </row>
    <row r="3291" customFormat="false" ht="15" hidden="false" customHeight="false" outlineLevel="0" collapsed="false">
      <c r="A3291" s="31"/>
      <c r="B3291" s="32"/>
      <c r="C3291" s="32"/>
      <c r="D3291" s="32"/>
      <c r="E3291" s="32"/>
      <c r="F3291" s="32"/>
      <c r="G3291" s="33"/>
      <c r="H3291" s="33"/>
      <c r="I3291" s="34" t="str">
        <f aca="false">IF($A3291="","",$G3291-$H3291)</f>
        <v/>
      </c>
      <c r="J3291" s="35" t="str">
        <f aca="false">IF($A3291="","",IF(Setup!$B$6=1,YEAR($A3291),YEAR($A3291)+IF(MONTH($A3291)&gt;=Setup!$B$6,1,0)))</f>
        <v/>
      </c>
      <c r="K3291" s="35" t="str">
        <f aca="false">IF($A3291="","",MOD(MONTH($A3291)-Setup!$B$6+12,12)+1)</f>
        <v/>
      </c>
      <c r="L3291" s="36" t="str">
        <f aca="false">IF($A3291="","",TEXT($A3291,"MMM-YY"))</f>
        <v/>
      </c>
      <c r="M3291" s="37" t="str">
        <f aca="false">IF($A3291="","",IF($Q3291=0,"UNMAPPED",INDEX(COA_Mapping!$C$7:$C$256,$Q3291)))</f>
        <v/>
      </c>
      <c r="N3291" s="38" t="str">
        <f aca="false">IF($A3291="","",IF($Q3291=0,"",INDEX(COA_Mapping!$E$7:$E$256,$Q3291)))</f>
        <v/>
      </c>
      <c r="O3291" s="38" t="n">
        <f aca="false">IF($A3291="",1,IF($Q3291=0,1,INDEX(COA_Mapping!$F$7:$F$256,$Q3291)))</f>
        <v>1</v>
      </c>
      <c r="P3291" s="34" t="str">
        <f aca="false">IF($A3291="","",$I3291*$O3291)</f>
        <v/>
      </c>
      <c r="Q3291" s="39" t="n">
        <f aca="false">IF($B3291="",0,IFERROR(MATCH($B3291,COA_Mapping!$A$7:$A$256,0),0))</f>
        <v>0</v>
      </c>
      <c r="R3291" s="39" t="n">
        <f aca="false">IF($A3291="",-1,IF($J3291=Setup!$B$7,1,IF($J3291=Setup!$B$9,0,-1)))</f>
        <v>-1</v>
      </c>
      <c r="S3291" s="35" t="n">
        <f aca="false">IF(OR($A3291="",$Q3291=0,$R3291=-1),0,$Q3291*1000+$R3291*100+$K3291)</f>
        <v>0</v>
      </c>
      <c r="T3291" s="37" t="str">
        <f aca="false">IF($A3291="","",IF($B3291="","NO ACCOUNT",IF($Q3291=0,"UNMAPPED",IF($R3291=-1,"OUTSIDE FY RANGE","OK"))))</f>
        <v/>
      </c>
      <c r="U3291" s="40" t="str">
        <f aca="false">IF($A3291="","",$B3291&amp;"|"&amp;TEXT($A3291,"yyyymmdd")&amp;"|"&amp;TEXT($I3291,"0.00"))</f>
        <v/>
      </c>
      <c r="V3291" s="35" t="str">
        <f aca="false">IF($A3291="","",COUNTIF($U$8:$U$5007,$U3291))</f>
        <v/>
      </c>
    </row>
    <row r="3292" customFormat="false" ht="15" hidden="false" customHeight="false" outlineLevel="0" collapsed="false">
      <c r="A3292" s="31"/>
      <c r="B3292" s="32"/>
      <c r="C3292" s="32"/>
      <c r="D3292" s="32"/>
      <c r="E3292" s="32"/>
      <c r="F3292" s="32"/>
      <c r="G3292" s="33"/>
      <c r="H3292" s="33"/>
      <c r="I3292" s="34" t="str">
        <f aca="false">IF($A3292="","",$G3292-$H3292)</f>
        <v/>
      </c>
      <c r="J3292" s="35" t="str">
        <f aca="false">IF($A3292="","",IF(Setup!$B$6=1,YEAR($A3292),YEAR($A3292)+IF(MONTH($A3292)&gt;=Setup!$B$6,1,0)))</f>
        <v/>
      </c>
      <c r="K3292" s="35" t="str">
        <f aca="false">IF($A3292="","",MOD(MONTH($A3292)-Setup!$B$6+12,12)+1)</f>
        <v/>
      </c>
      <c r="L3292" s="36" t="str">
        <f aca="false">IF($A3292="","",TEXT($A3292,"MMM-YY"))</f>
        <v/>
      </c>
      <c r="M3292" s="37" t="str">
        <f aca="false">IF($A3292="","",IF($Q3292=0,"UNMAPPED",INDEX(COA_Mapping!$C$7:$C$256,$Q3292)))</f>
        <v/>
      </c>
      <c r="N3292" s="38" t="str">
        <f aca="false">IF($A3292="","",IF($Q3292=0,"",INDEX(COA_Mapping!$E$7:$E$256,$Q3292)))</f>
        <v/>
      </c>
      <c r="O3292" s="38" t="n">
        <f aca="false">IF($A3292="",1,IF($Q3292=0,1,INDEX(COA_Mapping!$F$7:$F$256,$Q3292)))</f>
        <v>1</v>
      </c>
      <c r="P3292" s="34" t="str">
        <f aca="false">IF($A3292="","",$I3292*$O3292)</f>
        <v/>
      </c>
      <c r="Q3292" s="39" t="n">
        <f aca="false">IF($B3292="",0,IFERROR(MATCH($B3292,COA_Mapping!$A$7:$A$256,0),0))</f>
        <v>0</v>
      </c>
      <c r="R3292" s="39" t="n">
        <f aca="false">IF($A3292="",-1,IF($J3292=Setup!$B$7,1,IF($J3292=Setup!$B$9,0,-1)))</f>
        <v>-1</v>
      </c>
      <c r="S3292" s="35" t="n">
        <f aca="false">IF(OR($A3292="",$Q3292=0,$R3292=-1),0,$Q3292*1000+$R3292*100+$K3292)</f>
        <v>0</v>
      </c>
      <c r="T3292" s="37" t="str">
        <f aca="false">IF($A3292="","",IF($B3292="","NO ACCOUNT",IF($Q3292=0,"UNMAPPED",IF($R3292=-1,"OUTSIDE FY RANGE","OK"))))</f>
        <v/>
      </c>
      <c r="U3292" s="40" t="str">
        <f aca="false">IF($A3292="","",$B3292&amp;"|"&amp;TEXT($A3292,"yyyymmdd")&amp;"|"&amp;TEXT($I3292,"0.00"))</f>
        <v/>
      </c>
      <c r="V3292" s="35" t="str">
        <f aca="false">IF($A3292="","",COUNTIF($U$8:$U$5007,$U3292))</f>
        <v/>
      </c>
    </row>
    <row r="3293" customFormat="false" ht="15" hidden="false" customHeight="false" outlineLevel="0" collapsed="false">
      <c r="A3293" s="31"/>
      <c r="B3293" s="32"/>
      <c r="C3293" s="32"/>
      <c r="D3293" s="32"/>
      <c r="E3293" s="32"/>
      <c r="F3293" s="32"/>
      <c r="G3293" s="33"/>
      <c r="H3293" s="33"/>
      <c r="I3293" s="34" t="str">
        <f aca="false">IF($A3293="","",$G3293-$H3293)</f>
        <v/>
      </c>
      <c r="J3293" s="35" t="str">
        <f aca="false">IF($A3293="","",IF(Setup!$B$6=1,YEAR($A3293),YEAR($A3293)+IF(MONTH($A3293)&gt;=Setup!$B$6,1,0)))</f>
        <v/>
      </c>
      <c r="K3293" s="35" t="str">
        <f aca="false">IF($A3293="","",MOD(MONTH($A3293)-Setup!$B$6+12,12)+1)</f>
        <v/>
      </c>
      <c r="L3293" s="36" t="str">
        <f aca="false">IF($A3293="","",TEXT($A3293,"MMM-YY"))</f>
        <v/>
      </c>
      <c r="M3293" s="37" t="str">
        <f aca="false">IF($A3293="","",IF($Q3293=0,"UNMAPPED",INDEX(COA_Mapping!$C$7:$C$256,$Q3293)))</f>
        <v/>
      </c>
      <c r="N3293" s="38" t="str">
        <f aca="false">IF($A3293="","",IF($Q3293=0,"",INDEX(COA_Mapping!$E$7:$E$256,$Q3293)))</f>
        <v/>
      </c>
      <c r="O3293" s="38" t="n">
        <f aca="false">IF($A3293="",1,IF($Q3293=0,1,INDEX(COA_Mapping!$F$7:$F$256,$Q3293)))</f>
        <v>1</v>
      </c>
      <c r="P3293" s="34" t="str">
        <f aca="false">IF($A3293="","",$I3293*$O3293)</f>
        <v/>
      </c>
      <c r="Q3293" s="39" t="n">
        <f aca="false">IF($B3293="",0,IFERROR(MATCH($B3293,COA_Mapping!$A$7:$A$256,0),0))</f>
        <v>0</v>
      </c>
      <c r="R3293" s="39" t="n">
        <f aca="false">IF($A3293="",-1,IF($J3293=Setup!$B$7,1,IF($J3293=Setup!$B$9,0,-1)))</f>
        <v>-1</v>
      </c>
      <c r="S3293" s="35" t="n">
        <f aca="false">IF(OR($A3293="",$Q3293=0,$R3293=-1),0,$Q3293*1000+$R3293*100+$K3293)</f>
        <v>0</v>
      </c>
      <c r="T3293" s="37" t="str">
        <f aca="false">IF($A3293="","",IF($B3293="","NO ACCOUNT",IF($Q3293=0,"UNMAPPED",IF($R3293=-1,"OUTSIDE FY RANGE","OK"))))</f>
        <v/>
      </c>
      <c r="U3293" s="40" t="str">
        <f aca="false">IF($A3293="","",$B3293&amp;"|"&amp;TEXT($A3293,"yyyymmdd")&amp;"|"&amp;TEXT($I3293,"0.00"))</f>
        <v/>
      </c>
      <c r="V3293" s="35" t="str">
        <f aca="false">IF($A3293="","",COUNTIF($U$8:$U$5007,$U3293))</f>
        <v/>
      </c>
    </row>
    <row r="3294" customFormat="false" ht="15" hidden="false" customHeight="false" outlineLevel="0" collapsed="false">
      <c r="A3294" s="31"/>
      <c r="B3294" s="32"/>
      <c r="C3294" s="32"/>
      <c r="D3294" s="32"/>
      <c r="E3294" s="32"/>
      <c r="F3294" s="32"/>
      <c r="G3294" s="33"/>
      <c r="H3294" s="33"/>
      <c r="I3294" s="34" t="str">
        <f aca="false">IF($A3294="","",$G3294-$H3294)</f>
        <v/>
      </c>
      <c r="J3294" s="35" t="str">
        <f aca="false">IF($A3294="","",IF(Setup!$B$6=1,YEAR($A3294),YEAR($A3294)+IF(MONTH($A3294)&gt;=Setup!$B$6,1,0)))</f>
        <v/>
      </c>
      <c r="K3294" s="35" t="str">
        <f aca="false">IF($A3294="","",MOD(MONTH($A3294)-Setup!$B$6+12,12)+1)</f>
        <v/>
      </c>
      <c r="L3294" s="36" t="str">
        <f aca="false">IF($A3294="","",TEXT($A3294,"MMM-YY"))</f>
        <v/>
      </c>
      <c r="M3294" s="37" t="str">
        <f aca="false">IF($A3294="","",IF($Q3294=0,"UNMAPPED",INDEX(COA_Mapping!$C$7:$C$256,$Q3294)))</f>
        <v/>
      </c>
      <c r="N3294" s="38" t="str">
        <f aca="false">IF($A3294="","",IF($Q3294=0,"",INDEX(COA_Mapping!$E$7:$E$256,$Q3294)))</f>
        <v/>
      </c>
      <c r="O3294" s="38" t="n">
        <f aca="false">IF($A3294="",1,IF($Q3294=0,1,INDEX(COA_Mapping!$F$7:$F$256,$Q3294)))</f>
        <v>1</v>
      </c>
      <c r="P3294" s="34" t="str">
        <f aca="false">IF($A3294="","",$I3294*$O3294)</f>
        <v/>
      </c>
      <c r="Q3294" s="39" t="n">
        <f aca="false">IF($B3294="",0,IFERROR(MATCH($B3294,COA_Mapping!$A$7:$A$256,0),0))</f>
        <v>0</v>
      </c>
      <c r="R3294" s="39" t="n">
        <f aca="false">IF($A3294="",-1,IF($J3294=Setup!$B$7,1,IF($J3294=Setup!$B$9,0,-1)))</f>
        <v>-1</v>
      </c>
      <c r="S3294" s="35" t="n">
        <f aca="false">IF(OR($A3294="",$Q3294=0,$R3294=-1),0,$Q3294*1000+$R3294*100+$K3294)</f>
        <v>0</v>
      </c>
      <c r="T3294" s="37" t="str">
        <f aca="false">IF($A3294="","",IF($B3294="","NO ACCOUNT",IF($Q3294=0,"UNMAPPED",IF($R3294=-1,"OUTSIDE FY RANGE","OK"))))</f>
        <v/>
      </c>
      <c r="U3294" s="40" t="str">
        <f aca="false">IF($A3294="","",$B3294&amp;"|"&amp;TEXT($A3294,"yyyymmdd")&amp;"|"&amp;TEXT($I3294,"0.00"))</f>
        <v/>
      </c>
      <c r="V3294" s="35" t="str">
        <f aca="false">IF($A3294="","",COUNTIF($U$8:$U$5007,$U3294))</f>
        <v/>
      </c>
    </row>
    <row r="3295" customFormat="false" ht="15" hidden="false" customHeight="false" outlineLevel="0" collapsed="false">
      <c r="A3295" s="31"/>
      <c r="B3295" s="32"/>
      <c r="C3295" s="32"/>
      <c r="D3295" s="32"/>
      <c r="E3295" s="32"/>
      <c r="F3295" s="32"/>
      <c r="G3295" s="33"/>
      <c r="H3295" s="33"/>
      <c r="I3295" s="34" t="str">
        <f aca="false">IF($A3295="","",$G3295-$H3295)</f>
        <v/>
      </c>
      <c r="J3295" s="35" t="str">
        <f aca="false">IF($A3295="","",IF(Setup!$B$6=1,YEAR($A3295),YEAR($A3295)+IF(MONTH($A3295)&gt;=Setup!$B$6,1,0)))</f>
        <v/>
      </c>
      <c r="K3295" s="35" t="str">
        <f aca="false">IF($A3295="","",MOD(MONTH($A3295)-Setup!$B$6+12,12)+1)</f>
        <v/>
      </c>
      <c r="L3295" s="36" t="str">
        <f aca="false">IF($A3295="","",TEXT($A3295,"MMM-YY"))</f>
        <v/>
      </c>
      <c r="M3295" s="37" t="str">
        <f aca="false">IF($A3295="","",IF($Q3295=0,"UNMAPPED",INDEX(COA_Mapping!$C$7:$C$256,$Q3295)))</f>
        <v/>
      </c>
      <c r="N3295" s="38" t="str">
        <f aca="false">IF($A3295="","",IF($Q3295=0,"",INDEX(COA_Mapping!$E$7:$E$256,$Q3295)))</f>
        <v/>
      </c>
      <c r="O3295" s="38" t="n">
        <f aca="false">IF($A3295="",1,IF($Q3295=0,1,INDEX(COA_Mapping!$F$7:$F$256,$Q3295)))</f>
        <v>1</v>
      </c>
      <c r="P3295" s="34" t="str">
        <f aca="false">IF($A3295="","",$I3295*$O3295)</f>
        <v/>
      </c>
      <c r="Q3295" s="39" t="n">
        <f aca="false">IF($B3295="",0,IFERROR(MATCH($B3295,COA_Mapping!$A$7:$A$256,0),0))</f>
        <v>0</v>
      </c>
      <c r="R3295" s="39" t="n">
        <f aca="false">IF($A3295="",-1,IF($J3295=Setup!$B$7,1,IF($J3295=Setup!$B$9,0,-1)))</f>
        <v>-1</v>
      </c>
      <c r="S3295" s="35" t="n">
        <f aca="false">IF(OR($A3295="",$Q3295=0,$R3295=-1),0,$Q3295*1000+$R3295*100+$K3295)</f>
        <v>0</v>
      </c>
      <c r="T3295" s="37" t="str">
        <f aca="false">IF($A3295="","",IF($B3295="","NO ACCOUNT",IF($Q3295=0,"UNMAPPED",IF($R3295=-1,"OUTSIDE FY RANGE","OK"))))</f>
        <v/>
      </c>
      <c r="U3295" s="40" t="str">
        <f aca="false">IF($A3295="","",$B3295&amp;"|"&amp;TEXT($A3295,"yyyymmdd")&amp;"|"&amp;TEXT($I3295,"0.00"))</f>
        <v/>
      </c>
      <c r="V3295" s="35" t="str">
        <f aca="false">IF($A3295="","",COUNTIF($U$8:$U$5007,$U3295))</f>
        <v/>
      </c>
    </row>
    <row r="3296" customFormat="false" ht="15" hidden="false" customHeight="false" outlineLevel="0" collapsed="false">
      <c r="A3296" s="31"/>
      <c r="B3296" s="32"/>
      <c r="C3296" s="32"/>
      <c r="D3296" s="32"/>
      <c r="E3296" s="32"/>
      <c r="F3296" s="32"/>
      <c r="G3296" s="33"/>
      <c r="H3296" s="33"/>
      <c r="I3296" s="34" t="str">
        <f aca="false">IF($A3296="","",$G3296-$H3296)</f>
        <v/>
      </c>
      <c r="J3296" s="35" t="str">
        <f aca="false">IF($A3296="","",IF(Setup!$B$6=1,YEAR($A3296),YEAR($A3296)+IF(MONTH($A3296)&gt;=Setup!$B$6,1,0)))</f>
        <v/>
      </c>
      <c r="K3296" s="35" t="str">
        <f aca="false">IF($A3296="","",MOD(MONTH($A3296)-Setup!$B$6+12,12)+1)</f>
        <v/>
      </c>
      <c r="L3296" s="36" t="str">
        <f aca="false">IF($A3296="","",TEXT($A3296,"MMM-YY"))</f>
        <v/>
      </c>
      <c r="M3296" s="37" t="str">
        <f aca="false">IF($A3296="","",IF($Q3296=0,"UNMAPPED",INDEX(COA_Mapping!$C$7:$C$256,$Q3296)))</f>
        <v/>
      </c>
      <c r="N3296" s="38" t="str">
        <f aca="false">IF($A3296="","",IF($Q3296=0,"",INDEX(COA_Mapping!$E$7:$E$256,$Q3296)))</f>
        <v/>
      </c>
      <c r="O3296" s="38" t="n">
        <f aca="false">IF($A3296="",1,IF($Q3296=0,1,INDEX(COA_Mapping!$F$7:$F$256,$Q3296)))</f>
        <v>1</v>
      </c>
      <c r="P3296" s="34" t="str">
        <f aca="false">IF($A3296="","",$I3296*$O3296)</f>
        <v/>
      </c>
      <c r="Q3296" s="39" t="n">
        <f aca="false">IF($B3296="",0,IFERROR(MATCH($B3296,COA_Mapping!$A$7:$A$256,0),0))</f>
        <v>0</v>
      </c>
      <c r="R3296" s="39" t="n">
        <f aca="false">IF($A3296="",-1,IF($J3296=Setup!$B$7,1,IF($J3296=Setup!$B$9,0,-1)))</f>
        <v>-1</v>
      </c>
      <c r="S3296" s="35" t="n">
        <f aca="false">IF(OR($A3296="",$Q3296=0,$R3296=-1),0,$Q3296*1000+$R3296*100+$K3296)</f>
        <v>0</v>
      </c>
      <c r="T3296" s="37" t="str">
        <f aca="false">IF($A3296="","",IF($B3296="","NO ACCOUNT",IF($Q3296=0,"UNMAPPED",IF($R3296=-1,"OUTSIDE FY RANGE","OK"))))</f>
        <v/>
      </c>
      <c r="U3296" s="40" t="str">
        <f aca="false">IF($A3296="","",$B3296&amp;"|"&amp;TEXT($A3296,"yyyymmdd")&amp;"|"&amp;TEXT($I3296,"0.00"))</f>
        <v/>
      </c>
      <c r="V3296" s="35" t="str">
        <f aca="false">IF($A3296="","",COUNTIF($U$8:$U$5007,$U3296))</f>
        <v/>
      </c>
    </row>
    <row r="3297" customFormat="false" ht="15" hidden="false" customHeight="false" outlineLevel="0" collapsed="false">
      <c r="A3297" s="31"/>
      <c r="B3297" s="32"/>
      <c r="C3297" s="32"/>
      <c r="D3297" s="32"/>
      <c r="E3297" s="32"/>
      <c r="F3297" s="32"/>
      <c r="G3297" s="33"/>
      <c r="H3297" s="33"/>
      <c r="I3297" s="34" t="str">
        <f aca="false">IF($A3297="","",$G3297-$H3297)</f>
        <v/>
      </c>
      <c r="J3297" s="35" t="str">
        <f aca="false">IF($A3297="","",IF(Setup!$B$6=1,YEAR($A3297),YEAR($A3297)+IF(MONTH($A3297)&gt;=Setup!$B$6,1,0)))</f>
        <v/>
      </c>
      <c r="K3297" s="35" t="str">
        <f aca="false">IF($A3297="","",MOD(MONTH($A3297)-Setup!$B$6+12,12)+1)</f>
        <v/>
      </c>
      <c r="L3297" s="36" t="str">
        <f aca="false">IF($A3297="","",TEXT($A3297,"MMM-YY"))</f>
        <v/>
      </c>
      <c r="M3297" s="37" t="str">
        <f aca="false">IF($A3297="","",IF($Q3297=0,"UNMAPPED",INDEX(COA_Mapping!$C$7:$C$256,$Q3297)))</f>
        <v/>
      </c>
      <c r="N3297" s="38" t="str">
        <f aca="false">IF($A3297="","",IF($Q3297=0,"",INDEX(COA_Mapping!$E$7:$E$256,$Q3297)))</f>
        <v/>
      </c>
      <c r="O3297" s="38" t="n">
        <f aca="false">IF($A3297="",1,IF($Q3297=0,1,INDEX(COA_Mapping!$F$7:$F$256,$Q3297)))</f>
        <v>1</v>
      </c>
      <c r="P3297" s="34" t="str">
        <f aca="false">IF($A3297="","",$I3297*$O3297)</f>
        <v/>
      </c>
      <c r="Q3297" s="39" t="n">
        <f aca="false">IF($B3297="",0,IFERROR(MATCH($B3297,COA_Mapping!$A$7:$A$256,0),0))</f>
        <v>0</v>
      </c>
      <c r="R3297" s="39" t="n">
        <f aca="false">IF($A3297="",-1,IF($J3297=Setup!$B$7,1,IF($J3297=Setup!$B$9,0,-1)))</f>
        <v>-1</v>
      </c>
      <c r="S3297" s="35" t="n">
        <f aca="false">IF(OR($A3297="",$Q3297=0,$R3297=-1),0,$Q3297*1000+$R3297*100+$K3297)</f>
        <v>0</v>
      </c>
      <c r="T3297" s="37" t="str">
        <f aca="false">IF($A3297="","",IF($B3297="","NO ACCOUNT",IF($Q3297=0,"UNMAPPED",IF($R3297=-1,"OUTSIDE FY RANGE","OK"))))</f>
        <v/>
      </c>
      <c r="U3297" s="40" t="str">
        <f aca="false">IF($A3297="","",$B3297&amp;"|"&amp;TEXT($A3297,"yyyymmdd")&amp;"|"&amp;TEXT($I3297,"0.00"))</f>
        <v/>
      </c>
      <c r="V3297" s="35" t="str">
        <f aca="false">IF($A3297="","",COUNTIF($U$8:$U$5007,$U3297))</f>
        <v/>
      </c>
    </row>
    <row r="3298" customFormat="false" ht="15" hidden="false" customHeight="false" outlineLevel="0" collapsed="false">
      <c r="A3298" s="31"/>
      <c r="B3298" s="32"/>
      <c r="C3298" s="32"/>
      <c r="D3298" s="32"/>
      <c r="E3298" s="32"/>
      <c r="F3298" s="32"/>
      <c r="G3298" s="33"/>
      <c r="H3298" s="33"/>
      <c r="I3298" s="34" t="str">
        <f aca="false">IF($A3298="","",$G3298-$H3298)</f>
        <v/>
      </c>
      <c r="J3298" s="35" t="str">
        <f aca="false">IF($A3298="","",IF(Setup!$B$6=1,YEAR($A3298),YEAR($A3298)+IF(MONTH($A3298)&gt;=Setup!$B$6,1,0)))</f>
        <v/>
      </c>
      <c r="K3298" s="35" t="str">
        <f aca="false">IF($A3298="","",MOD(MONTH($A3298)-Setup!$B$6+12,12)+1)</f>
        <v/>
      </c>
      <c r="L3298" s="36" t="str">
        <f aca="false">IF($A3298="","",TEXT($A3298,"MMM-YY"))</f>
        <v/>
      </c>
      <c r="M3298" s="37" t="str">
        <f aca="false">IF($A3298="","",IF($Q3298=0,"UNMAPPED",INDEX(COA_Mapping!$C$7:$C$256,$Q3298)))</f>
        <v/>
      </c>
      <c r="N3298" s="38" t="str">
        <f aca="false">IF($A3298="","",IF($Q3298=0,"",INDEX(COA_Mapping!$E$7:$E$256,$Q3298)))</f>
        <v/>
      </c>
      <c r="O3298" s="38" t="n">
        <f aca="false">IF($A3298="",1,IF($Q3298=0,1,INDEX(COA_Mapping!$F$7:$F$256,$Q3298)))</f>
        <v>1</v>
      </c>
      <c r="P3298" s="34" t="str">
        <f aca="false">IF($A3298="","",$I3298*$O3298)</f>
        <v/>
      </c>
      <c r="Q3298" s="39" t="n">
        <f aca="false">IF($B3298="",0,IFERROR(MATCH($B3298,COA_Mapping!$A$7:$A$256,0),0))</f>
        <v>0</v>
      </c>
      <c r="R3298" s="39" t="n">
        <f aca="false">IF($A3298="",-1,IF($J3298=Setup!$B$7,1,IF($J3298=Setup!$B$9,0,-1)))</f>
        <v>-1</v>
      </c>
      <c r="S3298" s="35" t="n">
        <f aca="false">IF(OR($A3298="",$Q3298=0,$R3298=-1),0,$Q3298*1000+$R3298*100+$K3298)</f>
        <v>0</v>
      </c>
      <c r="T3298" s="37" t="str">
        <f aca="false">IF($A3298="","",IF($B3298="","NO ACCOUNT",IF($Q3298=0,"UNMAPPED",IF($R3298=-1,"OUTSIDE FY RANGE","OK"))))</f>
        <v/>
      </c>
      <c r="U3298" s="40" t="str">
        <f aca="false">IF($A3298="","",$B3298&amp;"|"&amp;TEXT($A3298,"yyyymmdd")&amp;"|"&amp;TEXT($I3298,"0.00"))</f>
        <v/>
      </c>
      <c r="V3298" s="35" t="str">
        <f aca="false">IF($A3298="","",COUNTIF($U$8:$U$5007,$U3298))</f>
        <v/>
      </c>
    </row>
    <row r="3299" customFormat="false" ht="15" hidden="false" customHeight="false" outlineLevel="0" collapsed="false">
      <c r="A3299" s="31"/>
      <c r="B3299" s="32"/>
      <c r="C3299" s="32"/>
      <c r="D3299" s="32"/>
      <c r="E3299" s="32"/>
      <c r="F3299" s="32"/>
      <c r="G3299" s="33"/>
      <c r="H3299" s="33"/>
      <c r="I3299" s="34" t="str">
        <f aca="false">IF($A3299="","",$G3299-$H3299)</f>
        <v/>
      </c>
      <c r="J3299" s="35" t="str">
        <f aca="false">IF($A3299="","",IF(Setup!$B$6=1,YEAR($A3299),YEAR($A3299)+IF(MONTH($A3299)&gt;=Setup!$B$6,1,0)))</f>
        <v/>
      </c>
      <c r="K3299" s="35" t="str">
        <f aca="false">IF($A3299="","",MOD(MONTH($A3299)-Setup!$B$6+12,12)+1)</f>
        <v/>
      </c>
      <c r="L3299" s="36" t="str">
        <f aca="false">IF($A3299="","",TEXT($A3299,"MMM-YY"))</f>
        <v/>
      </c>
      <c r="M3299" s="37" t="str">
        <f aca="false">IF($A3299="","",IF($Q3299=0,"UNMAPPED",INDEX(COA_Mapping!$C$7:$C$256,$Q3299)))</f>
        <v/>
      </c>
      <c r="N3299" s="38" t="str">
        <f aca="false">IF($A3299="","",IF($Q3299=0,"",INDEX(COA_Mapping!$E$7:$E$256,$Q3299)))</f>
        <v/>
      </c>
      <c r="O3299" s="38" t="n">
        <f aca="false">IF($A3299="",1,IF($Q3299=0,1,INDEX(COA_Mapping!$F$7:$F$256,$Q3299)))</f>
        <v>1</v>
      </c>
      <c r="P3299" s="34" t="str">
        <f aca="false">IF($A3299="","",$I3299*$O3299)</f>
        <v/>
      </c>
      <c r="Q3299" s="39" t="n">
        <f aca="false">IF($B3299="",0,IFERROR(MATCH($B3299,COA_Mapping!$A$7:$A$256,0),0))</f>
        <v>0</v>
      </c>
      <c r="R3299" s="39" t="n">
        <f aca="false">IF($A3299="",-1,IF($J3299=Setup!$B$7,1,IF($J3299=Setup!$B$9,0,-1)))</f>
        <v>-1</v>
      </c>
      <c r="S3299" s="35" t="n">
        <f aca="false">IF(OR($A3299="",$Q3299=0,$R3299=-1),0,$Q3299*1000+$R3299*100+$K3299)</f>
        <v>0</v>
      </c>
      <c r="T3299" s="37" t="str">
        <f aca="false">IF($A3299="","",IF($B3299="","NO ACCOUNT",IF($Q3299=0,"UNMAPPED",IF($R3299=-1,"OUTSIDE FY RANGE","OK"))))</f>
        <v/>
      </c>
      <c r="U3299" s="40" t="str">
        <f aca="false">IF($A3299="","",$B3299&amp;"|"&amp;TEXT($A3299,"yyyymmdd")&amp;"|"&amp;TEXT($I3299,"0.00"))</f>
        <v/>
      </c>
      <c r="V3299" s="35" t="str">
        <f aca="false">IF($A3299="","",COUNTIF($U$8:$U$5007,$U3299))</f>
        <v/>
      </c>
    </row>
    <row r="3300" customFormat="false" ht="15" hidden="false" customHeight="false" outlineLevel="0" collapsed="false">
      <c r="A3300" s="31"/>
      <c r="B3300" s="32"/>
      <c r="C3300" s="32"/>
      <c r="D3300" s="32"/>
      <c r="E3300" s="32"/>
      <c r="F3300" s="32"/>
      <c r="G3300" s="33"/>
      <c r="H3300" s="33"/>
      <c r="I3300" s="34" t="str">
        <f aca="false">IF($A3300="","",$G3300-$H3300)</f>
        <v/>
      </c>
      <c r="J3300" s="35" t="str">
        <f aca="false">IF($A3300="","",IF(Setup!$B$6=1,YEAR($A3300),YEAR($A3300)+IF(MONTH($A3300)&gt;=Setup!$B$6,1,0)))</f>
        <v/>
      </c>
      <c r="K3300" s="35" t="str">
        <f aca="false">IF($A3300="","",MOD(MONTH($A3300)-Setup!$B$6+12,12)+1)</f>
        <v/>
      </c>
      <c r="L3300" s="36" t="str">
        <f aca="false">IF($A3300="","",TEXT($A3300,"MMM-YY"))</f>
        <v/>
      </c>
      <c r="M3300" s="37" t="str">
        <f aca="false">IF($A3300="","",IF($Q3300=0,"UNMAPPED",INDEX(COA_Mapping!$C$7:$C$256,$Q3300)))</f>
        <v/>
      </c>
      <c r="N3300" s="38" t="str">
        <f aca="false">IF($A3300="","",IF($Q3300=0,"",INDEX(COA_Mapping!$E$7:$E$256,$Q3300)))</f>
        <v/>
      </c>
      <c r="O3300" s="38" t="n">
        <f aca="false">IF($A3300="",1,IF($Q3300=0,1,INDEX(COA_Mapping!$F$7:$F$256,$Q3300)))</f>
        <v>1</v>
      </c>
      <c r="P3300" s="34" t="str">
        <f aca="false">IF($A3300="","",$I3300*$O3300)</f>
        <v/>
      </c>
      <c r="Q3300" s="39" t="n">
        <f aca="false">IF($B3300="",0,IFERROR(MATCH($B3300,COA_Mapping!$A$7:$A$256,0),0))</f>
        <v>0</v>
      </c>
      <c r="R3300" s="39" t="n">
        <f aca="false">IF($A3300="",-1,IF($J3300=Setup!$B$7,1,IF($J3300=Setup!$B$9,0,-1)))</f>
        <v>-1</v>
      </c>
      <c r="S3300" s="35" t="n">
        <f aca="false">IF(OR($A3300="",$Q3300=0,$R3300=-1),0,$Q3300*1000+$R3300*100+$K3300)</f>
        <v>0</v>
      </c>
      <c r="T3300" s="37" t="str">
        <f aca="false">IF($A3300="","",IF($B3300="","NO ACCOUNT",IF($Q3300=0,"UNMAPPED",IF($R3300=-1,"OUTSIDE FY RANGE","OK"))))</f>
        <v/>
      </c>
      <c r="U3300" s="40" t="str">
        <f aca="false">IF($A3300="","",$B3300&amp;"|"&amp;TEXT($A3300,"yyyymmdd")&amp;"|"&amp;TEXT($I3300,"0.00"))</f>
        <v/>
      </c>
      <c r="V3300" s="35" t="str">
        <f aca="false">IF($A3300="","",COUNTIF($U$8:$U$5007,$U3300))</f>
        <v/>
      </c>
    </row>
    <row r="3301" customFormat="false" ht="15" hidden="false" customHeight="false" outlineLevel="0" collapsed="false">
      <c r="A3301" s="31"/>
      <c r="B3301" s="32"/>
      <c r="C3301" s="32"/>
      <c r="D3301" s="32"/>
      <c r="E3301" s="32"/>
      <c r="F3301" s="32"/>
      <c r="G3301" s="33"/>
      <c r="H3301" s="33"/>
      <c r="I3301" s="34" t="str">
        <f aca="false">IF($A3301="","",$G3301-$H3301)</f>
        <v/>
      </c>
      <c r="J3301" s="35" t="str">
        <f aca="false">IF($A3301="","",IF(Setup!$B$6=1,YEAR($A3301),YEAR($A3301)+IF(MONTH($A3301)&gt;=Setup!$B$6,1,0)))</f>
        <v/>
      </c>
      <c r="K3301" s="35" t="str">
        <f aca="false">IF($A3301="","",MOD(MONTH($A3301)-Setup!$B$6+12,12)+1)</f>
        <v/>
      </c>
      <c r="L3301" s="36" t="str">
        <f aca="false">IF($A3301="","",TEXT($A3301,"MMM-YY"))</f>
        <v/>
      </c>
      <c r="M3301" s="37" t="str">
        <f aca="false">IF($A3301="","",IF($Q3301=0,"UNMAPPED",INDEX(COA_Mapping!$C$7:$C$256,$Q3301)))</f>
        <v/>
      </c>
      <c r="N3301" s="38" t="str">
        <f aca="false">IF($A3301="","",IF($Q3301=0,"",INDEX(COA_Mapping!$E$7:$E$256,$Q3301)))</f>
        <v/>
      </c>
      <c r="O3301" s="38" t="n">
        <f aca="false">IF($A3301="",1,IF($Q3301=0,1,INDEX(COA_Mapping!$F$7:$F$256,$Q3301)))</f>
        <v>1</v>
      </c>
      <c r="P3301" s="34" t="str">
        <f aca="false">IF($A3301="","",$I3301*$O3301)</f>
        <v/>
      </c>
      <c r="Q3301" s="39" t="n">
        <f aca="false">IF($B3301="",0,IFERROR(MATCH($B3301,COA_Mapping!$A$7:$A$256,0),0))</f>
        <v>0</v>
      </c>
      <c r="R3301" s="39" t="n">
        <f aca="false">IF($A3301="",-1,IF($J3301=Setup!$B$7,1,IF($J3301=Setup!$B$9,0,-1)))</f>
        <v>-1</v>
      </c>
      <c r="S3301" s="35" t="n">
        <f aca="false">IF(OR($A3301="",$Q3301=0,$R3301=-1),0,$Q3301*1000+$R3301*100+$K3301)</f>
        <v>0</v>
      </c>
      <c r="T3301" s="37" t="str">
        <f aca="false">IF($A3301="","",IF($B3301="","NO ACCOUNT",IF($Q3301=0,"UNMAPPED",IF($R3301=-1,"OUTSIDE FY RANGE","OK"))))</f>
        <v/>
      </c>
      <c r="U3301" s="40" t="str">
        <f aca="false">IF($A3301="","",$B3301&amp;"|"&amp;TEXT($A3301,"yyyymmdd")&amp;"|"&amp;TEXT($I3301,"0.00"))</f>
        <v/>
      </c>
      <c r="V3301" s="35" t="str">
        <f aca="false">IF($A3301="","",COUNTIF($U$8:$U$5007,$U3301))</f>
        <v/>
      </c>
    </row>
    <row r="3302" customFormat="false" ht="15" hidden="false" customHeight="false" outlineLevel="0" collapsed="false">
      <c r="A3302" s="31"/>
      <c r="B3302" s="32"/>
      <c r="C3302" s="32"/>
      <c r="D3302" s="32"/>
      <c r="E3302" s="32"/>
      <c r="F3302" s="32"/>
      <c r="G3302" s="33"/>
      <c r="H3302" s="33"/>
      <c r="I3302" s="34" t="str">
        <f aca="false">IF($A3302="","",$G3302-$H3302)</f>
        <v/>
      </c>
      <c r="J3302" s="35" t="str">
        <f aca="false">IF($A3302="","",IF(Setup!$B$6=1,YEAR($A3302),YEAR($A3302)+IF(MONTH($A3302)&gt;=Setup!$B$6,1,0)))</f>
        <v/>
      </c>
      <c r="K3302" s="35" t="str">
        <f aca="false">IF($A3302="","",MOD(MONTH($A3302)-Setup!$B$6+12,12)+1)</f>
        <v/>
      </c>
      <c r="L3302" s="36" t="str">
        <f aca="false">IF($A3302="","",TEXT($A3302,"MMM-YY"))</f>
        <v/>
      </c>
      <c r="M3302" s="37" t="str">
        <f aca="false">IF($A3302="","",IF($Q3302=0,"UNMAPPED",INDEX(COA_Mapping!$C$7:$C$256,$Q3302)))</f>
        <v/>
      </c>
      <c r="N3302" s="38" t="str">
        <f aca="false">IF($A3302="","",IF($Q3302=0,"",INDEX(COA_Mapping!$E$7:$E$256,$Q3302)))</f>
        <v/>
      </c>
      <c r="O3302" s="38" t="n">
        <f aca="false">IF($A3302="",1,IF($Q3302=0,1,INDEX(COA_Mapping!$F$7:$F$256,$Q3302)))</f>
        <v>1</v>
      </c>
      <c r="P3302" s="34" t="str">
        <f aca="false">IF($A3302="","",$I3302*$O3302)</f>
        <v/>
      </c>
      <c r="Q3302" s="39" t="n">
        <f aca="false">IF($B3302="",0,IFERROR(MATCH($B3302,COA_Mapping!$A$7:$A$256,0),0))</f>
        <v>0</v>
      </c>
      <c r="R3302" s="39" t="n">
        <f aca="false">IF($A3302="",-1,IF($J3302=Setup!$B$7,1,IF($J3302=Setup!$B$9,0,-1)))</f>
        <v>-1</v>
      </c>
      <c r="S3302" s="35" t="n">
        <f aca="false">IF(OR($A3302="",$Q3302=0,$R3302=-1),0,$Q3302*1000+$R3302*100+$K3302)</f>
        <v>0</v>
      </c>
      <c r="T3302" s="37" t="str">
        <f aca="false">IF($A3302="","",IF($B3302="","NO ACCOUNT",IF($Q3302=0,"UNMAPPED",IF($R3302=-1,"OUTSIDE FY RANGE","OK"))))</f>
        <v/>
      </c>
      <c r="U3302" s="40" t="str">
        <f aca="false">IF($A3302="","",$B3302&amp;"|"&amp;TEXT($A3302,"yyyymmdd")&amp;"|"&amp;TEXT($I3302,"0.00"))</f>
        <v/>
      </c>
      <c r="V3302" s="35" t="str">
        <f aca="false">IF($A3302="","",COUNTIF($U$8:$U$5007,$U3302))</f>
        <v/>
      </c>
    </row>
    <row r="3303" customFormat="false" ht="15" hidden="false" customHeight="false" outlineLevel="0" collapsed="false">
      <c r="A3303" s="31"/>
      <c r="B3303" s="32"/>
      <c r="C3303" s="32"/>
      <c r="D3303" s="32"/>
      <c r="E3303" s="32"/>
      <c r="F3303" s="32"/>
      <c r="G3303" s="33"/>
      <c r="H3303" s="33"/>
      <c r="I3303" s="34" t="str">
        <f aca="false">IF($A3303="","",$G3303-$H3303)</f>
        <v/>
      </c>
      <c r="J3303" s="35" t="str">
        <f aca="false">IF($A3303="","",IF(Setup!$B$6=1,YEAR($A3303),YEAR($A3303)+IF(MONTH($A3303)&gt;=Setup!$B$6,1,0)))</f>
        <v/>
      </c>
      <c r="K3303" s="35" t="str">
        <f aca="false">IF($A3303="","",MOD(MONTH($A3303)-Setup!$B$6+12,12)+1)</f>
        <v/>
      </c>
      <c r="L3303" s="36" t="str">
        <f aca="false">IF($A3303="","",TEXT($A3303,"MMM-YY"))</f>
        <v/>
      </c>
      <c r="M3303" s="37" t="str">
        <f aca="false">IF($A3303="","",IF($Q3303=0,"UNMAPPED",INDEX(COA_Mapping!$C$7:$C$256,$Q3303)))</f>
        <v/>
      </c>
      <c r="N3303" s="38" t="str">
        <f aca="false">IF($A3303="","",IF($Q3303=0,"",INDEX(COA_Mapping!$E$7:$E$256,$Q3303)))</f>
        <v/>
      </c>
      <c r="O3303" s="38" t="n">
        <f aca="false">IF($A3303="",1,IF($Q3303=0,1,INDEX(COA_Mapping!$F$7:$F$256,$Q3303)))</f>
        <v>1</v>
      </c>
      <c r="P3303" s="34" t="str">
        <f aca="false">IF($A3303="","",$I3303*$O3303)</f>
        <v/>
      </c>
      <c r="Q3303" s="39" t="n">
        <f aca="false">IF($B3303="",0,IFERROR(MATCH($B3303,COA_Mapping!$A$7:$A$256,0),0))</f>
        <v>0</v>
      </c>
      <c r="R3303" s="39" t="n">
        <f aca="false">IF($A3303="",-1,IF($J3303=Setup!$B$7,1,IF($J3303=Setup!$B$9,0,-1)))</f>
        <v>-1</v>
      </c>
      <c r="S3303" s="35" t="n">
        <f aca="false">IF(OR($A3303="",$Q3303=0,$R3303=-1),0,$Q3303*1000+$R3303*100+$K3303)</f>
        <v>0</v>
      </c>
      <c r="T3303" s="37" t="str">
        <f aca="false">IF($A3303="","",IF($B3303="","NO ACCOUNT",IF($Q3303=0,"UNMAPPED",IF($R3303=-1,"OUTSIDE FY RANGE","OK"))))</f>
        <v/>
      </c>
      <c r="U3303" s="40" t="str">
        <f aca="false">IF($A3303="","",$B3303&amp;"|"&amp;TEXT($A3303,"yyyymmdd")&amp;"|"&amp;TEXT($I3303,"0.00"))</f>
        <v/>
      </c>
      <c r="V3303" s="35" t="str">
        <f aca="false">IF($A3303="","",COUNTIF($U$8:$U$5007,$U3303))</f>
        <v/>
      </c>
    </row>
    <row r="3304" customFormat="false" ht="15" hidden="false" customHeight="false" outlineLevel="0" collapsed="false">
      <c r="A3304" s="31"/>
      <c r="B3304" s="32"/>
      <c r="C3304" s="32"/>
      <c r="D3304" s="32"/>
      <c r="E3304" s="32"/>
      <c r="F3304" s="32"/>
      <c r="G3304" s="33"/>
      <c r="H3304" s="33"/>
      <c r="I3304" s="34" t="str">
        <f aca="false">IF($A3304="","",$G3304-$H3304)</f>
        <v/>
      </c>
      <c r="J3304" s="35" t="str">
        <f aca="false">IF($A3304="","",IF(Setup!$B$6=1,YEAR($A3304),YEAR($A3304)+IF(MONTH($A3304)&gt;=Setup!$B$6,1,0)))</f>
        <v/>
      </c>
      <c r="K3304" s="35" t="str">
        <f aca="false">IF($A3304="","",MOD(MONTH($A3304)-Setup!$B$6+12,12)+1)</f>
        <v/>
      </c>
      <c r="L3304" s="36" t="str">
        <f aca="false">IF($A3304="","",TEXT($A3304,"MMM-YY"))</f>
        <v/>
      </c>
      <c r="M3304" s="37" t="str">
        <f aca="false">IF($A3304="","",IF($Q3304=0,"UNMAPPED",INDEX(COA_Mapping!$C$7:$C$256,$Q3304)))</f>
        <v/>
      </c>
      <c r="N3304" s="38" t="str">
        <f aca="false">IF($A3304="","",IF($Q3304=0,"",INDEX(COA_Mapping!$E$7:$E$256,$Q3304)))</f>
        <v/>
      </c>
      <c r="O3304" s="38" t="n">
        <f aca="false">IF($A3304="",1,IF($Q3304=0,1,INDEX(COA_Mapping!$F$7:$F$256,$Q3304)))</f>
        <v>1</v>
      </c>
      <c r="P3304" s="34" t="str">
        <f aca="false">IF($A3304="","",$I3304*$O3304)</f>
        <v/>
      </c>
      <c r="Q3304" s="39" t="n">
        <f aca="false">IF($B3304="",0,IFERROR(MATCH($B3304,COA_Mapping!$A$7:$A$256,0),0))</f>
        <v>0</v>
      </c>
      <c r="R3304" s="39" t="n">
        <f aca="false">IF($A3304="",-1,IF($J3304=Setup!$B$7,1,IF($J3304=Setup!$B$9,0,-1)))</f>
        <v>-1</v>
      </c>
      <c r="S3304" s="35" t="n">
        <f aca="false">IF(OR($A3304="",$Q3304=0,$R3304=-1),0,$Q3304*1000+$R3304*100+$K3304)</f>
        <v>0</v>
      </c>
      <c r="T3304" s="37" t="str">
        <f aca="false">IF($A3304="","",IF($B3304="","NO ACCOUNT",IF($Q3304=0,"UNMAPPED",IF($R3304=-1,"OUTSIDE FY RANGE","OK"))))</f>
        <v/>
      </c>
      <c r="U3304" s="40" t="str">
        <f aca="false">IF($A3304="","",$B3304&amp;"|"&amp;TEXT($A3304,"yyyymmdd")&amp;"|"&amp;TEXT($I3304,"0.00"))</f>
        <v/>
      </c>
      <c r="V3304" s="35" t="str">
        <f aca="false">IF($A3304="","",COUNTIF($U$8:$U$5007,$U3304))</f>
        <v/>
      </c>
    </row>
    <row r="3305" customFormat="false" ht="15" hidden="false" customHeight="false" outlineLevel="0" collapsed="false">
      <c r="A3305" s="31"/>
      <c r="B3305" s="32"/>
      <c r="C3305" s="32"/>
      <c r="D3305" s="32"/>
      <c r="E3305" s="32"/>
      <c r="F3305" s="32"/>
      <c r="G3305" s="33"/>
      <c r="H3305" s="33"/>
      <c r="I3305" s="34" t="str">
        <f aca="false">IF($A3305="","",$G3305-$H3305)</f>
        <v/>
      </c>
      <c r="J3305" s="35" t="str">
        <f aca="false">IF($A3305="","",IF(Setup!$B$6=1,YEAR($A3305),YEAR($A3305)+IF(MONTH($A3305)&gt;=Setup!$B$6,1,0)))</f>
        <v/>
      </c>
      <c r="K3305" s="35" t="str">
        <f aca="false">IF($A3305="","",MOD(MONTH($A3305)-Setup!$B$6+12,12)+1)</f>
        <v/>
      </c>
      <c r="L3305" s="36" t="str">
        <f aca="false">IF($A3305="","",TEXT($A3305,"MMM-YY"))</f>
        <v/>
      </c>
      <c r="M3305" s="37" t="str">
        <f aca="false">IF($A3305="","",IF($Q3305=0,"UNMAPPED",INDEX(COA_Mapping!$C$7:$C$256,$Q3305)))</f>
        <v/>
      </c>
      <c r="N3305" s="38" t="str">
        <f aca="false">IF($A3305="","",IF($Q3305=0,"",INDEX(COA_Mapping!$E$7:$E$256,$Q3305)))</f>
        <v/>
      </c>
      <c r="O3305" s="38" t="n">
        <f aca="false">IF($A3305="",1,IF($Q3305=0,1,INDEX(COA_Mapping!$F$7:$F$256,$Q3305)))</f>
        <v>1</v>
      </c>
      <c r="P3305" s="34" t="str">
        <f aca="false">IF($A3305="","",$I3305*$O3305)</f>
        <v/>
      </c>
      <c r="Q3305" s="39" t="n">
        <f aca="false">IF($B3305="",0,IFERROR(MATCH($B3305,COA_Mapping!$A$7:$A$256,0),0))</f>
        <v>0</v>
      </c>
      <c r="R3305" s="39" t="n">
        <f aca="false">IF($A3305="",-1,IF($J3305=Setup!$B$7,1,IF($J3305=Setup!$B$9,0,-1)))</f>
        <v>-1</v>
      </c>
      <c r="S3305" s="35" t="n">
        <f aca="false">IF(OR($A3305="",$Q3305=0,$R3305=-1),0,$Q3305*1000+$R3305*100+$K3305)</f>
        <v>0</v>
      </c>
      <c r="T3305" s="37" t="str">
        <f aca="false">IF($A3305="","",IF($B3305="","NO ACCOUNT",IF($Q3305=0,"UNMAPPED",IF($R3305=-1,"OUTSIDE FY RANGE","OK"))))</f>
        <v/>
      </c>
      <c r="U3305" s="40" t="str">
        <f aca="false">IF($A3305="","",$B3305&amp;"|"&amp;TEXT($A3305,"yyyymmdd")&amp;"|"&amp;TEXT($I3305,"0.00"))</f>
        <v/>
      </c>
      <c r="V3305" s="35" t="str">
        <f aca="false">IF($A3305="","",COUNTIF($U$8:$U$5007,$U3305))</f>
        <v/>
      </c>
    </row>
    <row r="3306" customFormat="false" ht="15" hidden="false" customHeight="false" outlineLevel="0" collapsed="false">
      <c r="A3306" s="31"/>
      <c r="B3306" s="32"/>
      <c r="C3306" s="32"/>
      <c r="D3306" s="32"/>
      <c r="E3306" s="32"/>
      <c r="F3306" s="32"/>
      <c r="G3306" s="33"/>
      <c r="H3306" s="33"/>
      <c r="I3306" s="34" t="str">
        <f aca="false">IF($A3306="","",$G3306-$H3306)</f>
        <v/>
      </c>
      <c r="J3306" s="35" t="str">
        <f aca="false">IF($A3306="","",IF(Setup!$B$6=1,YEAR($A3306),YEAR($A3306)+IF(MONTH($A3306)&gt;=Setup!$B$6,1,0)))</f>
        <v/>
      </c>
      <c r="K3306" s="35" t="str">
        <f aca="false">IF($A3306="","",MOD(MONTH($A3306)-Setup!$B$6+12,12)+1)</f>
        <v/>
      </c>
      <c r="L3306" s="36" t="str">
        <f aca="false">IF($A3306="","",TEXT($A3306,"MMM-YY"))</f>
        <v/>
      </c>
      <c r="M3306" s="37" t="str">
        <f aca="false">IF($A3306="","",IF($Q3306=0,"UNMAPPED",INDEX(COA_Mapping!$C$7:$C$256,$Q3306)))</f>
        <v/>
      </c>
      <c r="N3306" s="38" t="str">
        <f aca="false">IF($A3306="","",IF($Q3306=0,"",INDEX(COA_Mapping!$E$7:$E$256,$Q3306)))</f>
        <v/>
      </c>
      <c r="O3306" s="38" t="n">
        <f aca="false">IF($A3306="",1,IF($Q3306=0,1,INDEX(COA_Mapping!$F$7:$F$256,$Q3306)))</f>
        <v>1</v>
      </c>
      <c r="P3306" s="34" t="str">
        <f aca="false">IF($A3306="","",$I3306*$O3306)</f>
        <v/>
      </c>
      <c r="Q3306" s="39" t="n">
        <f aca="false">IF($B3306="",0,IFERROR(MATCH($B3306,COA_Mapping!$A$7:$A$256,0),0))</f>
        <v>0</v>
      </c>
      <c r="R3306" s="39" t="n">
        <f aca="false">IF($A3306="",-1,IF($J3306=Setup!$B$7,1,IF($J3306=Setup!$B$9,0,-1)))</f>
        <v>-1</v>
      </c>
      <c r="S3306" s="35" t="n">
        <f aca="false">IF(OR($A3306="",$Q3306=0,$R3306=-1),0,$Q3306*1000+$R3306*100+$K3306)</f>
        <v>0</v>
      </c>
      <c r="T3306" s="37" t="str">
        <f aca="false">IF($A3306="","",IF($B3306="","NO ACCOUNT",IF($Q3306=0,"UNMAPPED",IF($R3306=-1,"OUTSIDE FY RANGE","OK"))))</f>
        <v/>
      </c>
      <c r="U3306" s="40" t="str">
        <f aca="false">IF($A3306="","",$B3306&amp;"|"&amp;TEXT($A3306,"yyyymmdd")&amp;"|"&amp;TEXT($I3306,"0.00"))</f>
        <v/>
      </c>
      <c r="V3306" s="35" t="str">
        <f aca="false">IF($A3306="","",COUNTIF($U$8:$U$5007,$U3306))</f>
        <v/>
      </c>
    </row>
    <row r="3307" customFormat="false" ht="15" hidden="false" customHeight="false" outlineLevel="0" collapsed="false">
      <c r="A3307" s="31"/>
      <c r="B3307" s="32"/>
      <c r="C3307" s="32"/>
      <c r="D3307" s="32"/>
      <c r="E3307" s="32"/>
      <c r="F3307" s="32"/>
      <c r="G3307" s="33"/>
      <c r="H3307" s="33"/>
      <c r="I3307" s="34" t="str">
        <f aca="false">IF($A3307="","",$G3307-$H3307)</f>
        <v/>
      </c>
      <c r="J3307" s="35" t="str">
        <f aca="false">IF($A3307="","",IF(Setup!$B$6=1,YEAR($A3307),YEAR($A3307)+IF(MONTH($A3307)&gt;=Setup!$B$6,1,0)))</f>
        <v/>
      </c>
      <c r="K3307" s="35" t="str">
        <f aca="false">IF($A3307="","",MOD(MONTH($A3307)-Setup!$B$6+12,12)+1)</f>
        <v/>
      </c>
      <c r="L3307" s="36" t="str">
        <f aca="false">IF($A3307="","",TEXT($A3307,"MMM-YY"))</f>
        <v/>
      </c>
      <c r="M3307" s="37" t="str">
        <f aca="false">IF($A3307="","",IF($Q3307=0,"UNMAPPED",INDEX(COA_Mapping!$C$7:$C$256,$Q3307)))</f>
        <v/>
      </c>
      <c r="N3307" s="38" t="str">
        <f aca="false">IF($A3307="","",IF($Q3307=0,"",INDEX(COA_Mapping!$E$7:$E$256,$Q3307)))</f>
        <v/>
      </c>
      <c r="O3307" s="38" t="n">
        <f aca="false">IF($A3307="",1,IF($Q3307=0,1,INDEX(COA_Mapping!$F$7:$F$256,$Q3307)))</f>
        <v>1</v>
      </c>
      <c r="P3307" s="34" t="str">
        <f aca="false">IF($A3307="","",$I3307*$O3307)</f>
        <v/>
      </c>
      <c r="Q3307" s="39" t="n">
        <f aca="false">IF($B3307="",0,IFERROR(MATCH($B3307,COA_Mapping!$A$7:$A$256,0),0))</f>
        <v>0</v>
      </c>
      <c r="R3307" s="39" t="n">
        <f aca="false">IF($A3307="",-1,IF($J3307=Setup!$B$7,1,IF($J3307=Setup!$B$9,0,-1)))</f>
        <v>-1</v>
      </c>
      <c r="S3307" s="35" t="n">
        <f aca="false">IF(OR($A3307="",$Q3307=0,$R3307=-1),0,$Q3307*1000+$R3307*100+$K3307)</f>
        <v>0</v>
      </c>
      <c r="T3307" s="37" t="str">
        <f aca="false">IF($A3307="","",IF($B3307="","NO ACCOUNT",IF($Q3307=0,"UNMAPPED",IF($R3307=-1,"OUTSIDE FY RANGE","OK"))))</f>
        <v/>
      </c>
      <c r="U3307" s="40" t="str">
        <f aca="false">IF($A3307="","",$B3307&amp;"|"&amp;TEXT($A3307,"yyyymmdd")&amp;"|"&amp;TEXT($I3307,"0.00"))</f>
        <v/>
      </c>
      <c r="V3307" s="35" t="str">
        <f aca="false">IF($A3307="","",COUNTIF($U$8:$U$5007,$U3307))</f>
        <v/>
      </c>
    </row>
    <row r="3308" customFormat="false" ht="15" hidden="false" customHeight="false" outlineLevel="0" collapsed="false">
      <c r="A3308" s="31"/>
      <c r="B3308" s="32"/>
      <c r="C3308" s="32"/>
      <c r="D3308" s="32"/>
      <c r="E3308" s="32"/>
      <c r="F3308" s="32"/>
      <c r="G3308" s="33"/>
      <c r="H3308" s="33"/>
      <c r="I3308" s="34" t="str">
        <f aca="false">IF($A3308="","",$G3308-$H3308)</f>
        <v/>
      </c>
      <c r="J3308" s="35" t="str">
        <f aca="false">IF($A3308="","",IF(Setup!$B$6=1,YEAR($A3308),YEAR($A3308)+IF(MONTH($A3308)&gt;=Setup!$B$6,1,0)))</f>
        <v/>
      </c>
      <c r="K3308" s="35" t="str">
        <f aca="false">IF($A3308="","",MOD(MONTH($A3308)-Setup!$B$6+12,12)+1)</f>
        <v/>
      </c>
      <c r="L3308" s="36" t="str">
        <f aca="false">IF($A3308="","",TEXT($A3308,"MMM-YY"))</f>
        <v/>
      </c>
      <c r="M3308" s="37" t="str">
        <f aca="false">IF($A3308="","",IF($Q3308=0,"UNMAPPED",INDEX(COA_Mapping!$C$7:$C$256,$Q3308)))</f>
        <v/>
      </c>
      <c r="N3308" s="38" t="str">
        <f aca="false">IF($A3308="","",IF($Q3308=0,"",INDEX(COA_Mapping!$E$7:$E$256,$Q3308)))</f>
        <v/>
      </c>
      <c r="O3308" s="38" t="n">
        <f aca="false">IF($A3308="",1,IF($Q3308=0,1,INDEX(COA_Mapping!$F$7:$F$256,$Q3308)))</f>
        <v>1</v>
      </c>
      <c r="P3308" s="34" t="str">
        <f aca="false">IF($A3308="","",$I3308*$O3308)</f>
        <v/>
      </c>
      <c r="Q3308" s="39" t="n">
        <f aca="false">IF($B3308="",0,IFERROR(MATCH($B3308,COA_Mapping!$A$7:$A$256,0),0))</f>
        <v>0</v>
      </c>
      <c r="R3308" s="39" t="n">
        <f aca="false">IF($A3308="",-1,IF($J3308=Setup!$B$7,1,IF($J3308=Setup!$B$9,0,-1)))</f>
        <v>-1</v>
      </c>
      <c r="S3308" s="35" t="n">
        <f aca="false">IF(OR($A3308="",$Q3308=0,$R3308=-1),0,$Q3308*1000+$R3308*100+$K3308)</f>
        <v>0</v>
      </c>
      <c r="T3308" s="37" t="str">
        <f aca="false">IF($A3308="","",IF($B3308="","NO ACCOUNT",IF($Q3308=0,"UNMAPPED",IF($R3308=-1,"OUTSIDE FY RANGE","OK"))))</f>
        <v/>
      </c>
      <c r="U3308" s="40" t="str">
        <f aca="false">IF($A3308="","",$B3308&amp;"|"&amp;TEXT($A3308,"yyyymmdd")&amp;"|"&amp;TEXT($I3308,"0.00"))</f>
        <v/>
      </c>
      <c r="V3308" s="35" t="str">
        <f aca="false">IF($A3308="","",COUNTIF($U$8:$U$5007,$U3308))</f>
        <v/>
      </c>
    </row>
    <row r="3309" customFormat="false" ht="15" hidden="false" customHeight="false" outlineLevel="0" collapsed="false">
      <c r="A3309" s="31"/>
      <c r="B3309" s="32"/>
      <c r="C3309" s="32"/>
      <c r="D3309" s="32"/>
      <c r="E3309" s="32"/>
      <c r="F3309" s="32"/>
      <c r="G3309" s="33"/>
      <c r="H3309" s="33"/>
      <c r="I3309" s="34" t="str">
        <f aca="false">IF($A3309="","",$G3309-$H3309)</f>
        <v/>
      </c>
      <c r="J3309" s="35" t="str">
        <f aca="false">IF($A3309="","",IF(Setup!$B$6=1,YEAR($A3309),YEAR($A3309)+IF(MONTH($A3309)&gt;=Setup!$B$6,1,0)))</f>
        <v/>
      </c>
      <c r="K3309" s="35" t="str">
        <f aca="false">IF($A3309="","",MOD(MONTH($A3309)-Setup!$B$6+12,12)+1)</f>
        <v/>
      </c>
      <c r="L3309" s="36" t="str">
        <f aca="false">IF($A3309="","",TEXT($A3309,"MMM-YY"))</f>
        <v/>
      </c>
      <c r="M3309" s="37" t="str">
        <f aca="false">IF($A3309="","",IF($Q3309=0,"UNMAPPED",INDEX(COA_Mapping!$C$7:$C$256,$Q3309)))</f>
        <v/>
      </c>
      <c r="N3309" s="38" t="str">
        <f aca="false">IF($A3309="","",IF($Q3309=0,"",INDEX(COA_Mapping!$E$7:$E$256,$Q3309)))</f>
        <v/>
      </c>
      <c r="O3309" s="38" t="n">
        <f aca="false">IF($A3309="",1,IF($Q3309=0,1,INDEX(COA_Mapping!$F$7:$F$256,$Q3309)))</f>
        <v>1</v>
      </c>
      <c r="P3309" s="34" t="str">
        <f aca="false">IF($A3309="","",$I3309*$O3309)</f>
        <v/>
      </c>
      <c r="Q3309" s="39" t="n">
        <f aca="false">IF($B3309="",0,IFERROR(MATCH($B3309,COA_Mapping!$A$7:$A$256,0),0))</f>
        <v>0</v>
      </c>
      <c r="R3309" s="39" t="n">
        <f aca="false">IF($A3309="",-1,IF($J3309=Setup!$B$7,1,IF($J3309=Setup!$B$9,0,-1)))</f>
        <v>-1</v>
      </c>
      <c r="S3309" s="35" t="n">
        <f aca="false">IF(OR($A3309="",$Q3309=0,$R3309=-1),0,$Q3309*1000+$R3309*100+$K3309)</f>
        <v>0</v>
      </c>
      <c r="T3309" s="37" t="str">
        <f aca="false">IF($A3309="","",IF($B3309="","NO ACCOUNT",IF($Q3309=0,"UNMAPPED",IF($R3309=-1,"OUTSIDE FY RANGE","OK"))))</f>
        <v/>
      </c>
      <c r="U3309" s="40" t="str">
        <f aca="false">IF($A3309="","",$B3309&amp;"|"&amp;TEXT($A3309,"yyyymmdd")&amp;"|"&amp;TEXT($I3309,"0.00"))</f>
        <v/>
      </c>
      <c r="V3309" s="35" t="str">
        <f aca="false">IF($A3309="","",COUNTIF($U$8:$U$5007,$U3309))</f>
        <v/>
      </c>
    </row>
    <row r="3310" customFormat="false" ht="15" hidden="false" customHeight="false" outlineLevel="0" collapsed="false">
      <c r="A3310" s="31"/>
      <c r="B3310" s="32"/>
      <c r="C3310" s="32"/>
      <c r="D3310" s="32"/>
      <c r="E3310" s="32"/>
      <c r="F3310" s="32"/>
      <c r="G3310" s="33"/>
      <c r="H3310" s="33"/>
      <c r="I3310" s="34" t="str">
        <f aca="false">IF($A3310="","",$G3310-$H3310)</f>
        <v/>
      </c>
      <c r="J3310" s="35" t="str">
        <f aca="false">IF($A3310="","",IF(Setup!$B$6=1,YEAR($A3310),YEAR($A3310)+IF(MONTH($A3310)&gt;=Setup!$B$6,1,0)))</f>
        <v/>
      </c>
      <c r="K3310" s="35" t="str">
        <f aca="false">IF($A3310="","",MOD(MONTH($A3310)-Setup!$B$6+12,12)+1)</f>
        <v/>
      </c>
      <c r="L3310" s="36" t="str">
        <f aca="false">IF($A3310="","",TEXT($A3310,"MMM-YY"))</f>
        <v/>
      </c>
      <c r="M3310" s="37" t="str">
        <f aca="false">IF($A3310="","",IF($Q3310=0,"UNMAPPED",INDEX(COA_Mapping!$C$7:$C$256,$Q3310)))</f>
        <v/>
      </c>
      <c r="N3310" s="38" t="str">
        <f aca="false">IF($A3310="","",IF($Q3310=0,"",INDEX(COA_Mapping!$E$7:$E$256,$Q3310)))</f>
        <v/>
      </c>
      <c r="O3310" s="38" t="n">
        <f aca="false">IF($A3310="",1,IF($Q3310=0,1,INDEX(COA_Mapping!$F$7:$F$256,$Q3310)))</f>
        <v>1</v>
      </c>
      <c r="P3310" s="34" t="str">
        <f aca="false">IF($A3310="","",$I3310*$O3310)</f>
        <v/>
      </c>
      <c r="Q3310" s="39" t="n">
        <f aca="false">IF($B3310="",0,IFERROR(MATCH($B3310,COA_Mapping!$A$7:$A$256,0),0))</f>
        <v>0</v>
      </c>
      <c r="R3310" s="39" t="n">
        <f aca="false">IF($A3310="",-1,IF($J3310=Setup!$B$7,1,IF($J3310=Setup!$B$9,0,-1)))</f>
        <v>-1</v>
      </c>
      <c r="S3310" s="35" t="n">
        <f aca="false">IF(OR($A3310="",$Q3310=0,$R3310=-1),0,$Q3310*1000+$R3310*100+$K3310)</f>
        <v>0</v>
      </c>
      <c r="T3310" s="37" t="str">
        <f aca="false">IF($A3310="","",IF($B3310="","NO ACCOUNT",IF($Q3310=0,"UNMAPPED",IF($R3310=-1,"OUTSIDE FY RANGE","OK"))))</f>
        <v/>
      </c>
      <c r="U3310" s="40" t="str">
        <f aca="false">IF($A3310="","",$B3310&amp;"|"&amp;TEXT($A3310,"yyyymmdd")&amp;"|"&amp;TEXT($I3310,"0.00"))</f>
        <v/>
      </c>
      <c r="V3310" s="35" t="str">
        <f aca="false">IF($A3310="","",COUNTIF($U$8:$U$5007,$U3310))</f>
        <v/>
      </c>
    </row>
    <row r="3311" customFormat="false" ht="15" hidden="false" customHeight="false" outlineLevel="0" collapsed="false">
      <c r="A3311" s="31"/>
      <c r="B3311" s="32"/>
      <c r="C3311" s="32"/>
      <c r="D3311" s="32"/>
      <c r="E3311" s="32"/>
      <c r="F3311" s="32"/>
      <c r="G3311" s="33"/>
      <c r="H3311" s="33"/>
      <c r="I3311" s="34" t="str">
        <f aca="false">IF($A3311="","",$G3311-$H3311)</f>
        <v/>
      </c>
      <c r="J3311" s="35" t="str">
        <f aca="false">IF($A3311="","",IF(Setup!$B$6=1,YEAR($A3311),YEAR($A3311)+IF(MONTH($A3311)&gt;=Setup!$B$6,1,0)))</f>
        <v/>
      </c>
      <c r="K3311" s="35" t="str">
        <f aca="false">IF($A3311="","",MOD(MONTH($A3311)-Setup!$B$6+12,12)+1)</f>
        <v/>
      </c>
      <c r="L3311" s="36" t="str">
        <f aca="false">IF($A3311="","",TEXT($A3311,"MMM-YY"))</f>
        <v/>
      </c>
      <c r="M3311" s="37" t="str">
        <f aca="false">IF($A3311="","",IF($Q3311=0,"UNMAPPED",INDEX(COA_Mapping!$C$7:$C$256,$Q3311)))</f>
        <v/>
      </c>
      <c r="N3311" s="38" t="str">
        <f aca="false">IF($A3311="","",IF($Q3311=0,"",INDEX(COA_Mapping!$E$7:$E$256,$Q3311)))</f>
        <v/>
      </c>
      <c r="O3311" s="38" t="n">
        <f aca="false">IF($A3311="",1,IF($Q3311=0,1,INDEX(COA_Mapping!$F$7:$F$256,$Q3311)))</f>
        <v>1</v>
      </c>
      <c r="P3311" s="34" t="str">
        <f aca="false">IF($A3311="","",$I3311*$O3311)</f>
        <v/>
      </c>
      <c r="Q3311" s="39" t="n">
        <f aca="false">IF($B3311="",0,IFERROR(MATCH($B3311,COA_Mapping!$A$7:$A$256,0),0))</f>
        <v>0</v>
      </c>
      <c r="R3311" s="39" t="n">
        <f aca="false">IF($A3311="",-1,IF($J3311=Setup!$B$7,1,IF($J3311=Setup!$B$9,0,-1)))</f>
        <v>-1</v>
      </c>
      <c r="S3311" s="35" t="n">
        <f aca="false">IF(OR($A3311="",$Q3311=0,$R3311=-1),0,$Q3311*1000+$R3311*100+$K3311)</f>
        <v>0</v>
      </c>
      <c r="T3311" s="37" t="str">
        <f aca="false">IF($A3311="","",IF($B3311="","NO ACCOUNT",IF($Q3311=0,"UNMAPPED",IF($R3311=-1,"OUTSIDE FY RANGE","OK"))))</f>
        <v/>
      </c>
      <c r="U3311" s="40" t="str">
        <f aca="false">IF($A3311="","",$B3311&amp;"|"&amp;TEXT($A3311,"yyyymmdd")&amp;"|"&amp;TEXT($I3311,"0.00"))</f>
        <v/>
      </c>
      <c r="V3311" s="35" t="str">
        <f aca="false">IF($A3311="","",COUNTIF($U$8:$U$5007,$U3311))</f>
        <v/>
      </c>
    </row>
    <row r="3312" customFormat="false" ht="15" hidden="false" customHeight="false" outlineLevel="0" collapsed="false">
      <c r="A3312" s="31"/>
      <c r="B3312" s="32"/>
      <c r="C3312" s="32"/>
      <c r="D3312" s="32"/>
      <c r="E3312" s="32"/>
      <c r="F3312" s="32"/>
      <c r="G3312" s="33"/>
      <c r="H3312" s="33"/>
      <c r="I3312" s="34" t="str">
        <f aca="false">IF($A3312="","",$G3312-$H3312)</f>
        <v/>
      </c>
      <c r="J3312" s="35" t="str">
        <f aca="false">IF($A3312="","",IF(Setup!$B$6=1,YEAR($A3312),YEAR($A3312)+IF(MONTH($A3312)&gt;=Setup!$B$6,1,0)))</f>
        <v/>
      </c>
      <c r="K3312" s="35" t="str">
        <f aca="false">IF($A3312="","",MOD(MONTH($A3312)-Setup!$B$6+12,12)+1)</f>
        <v/>
      </c>
      <c r="L3312" s="36" t="str">
        <f aca="false">IF($A3312="","",TEXT($A3312,"MMM-YY"))</f>
        <v/>
      </c>
      <c r="M3312" s="37" t="str">
        <f aca="false">IF($A3312="","",IF($Q3312=0,"UNMAPPED",INDEX(COA_Mapping!$C$7:$C$256,$Q3312)))</f>
        <v/>
      </c>
      <c r="N3312" s="38" t="str">
        <f aca="false">IF($A3312="","",IF($Q3312=0,"",INDEX(COA_Mapping!$E$7:$E$256,$Q3312)))</f>
        <v/>
      </c>
      <c r="O3312" s="38" t="n">
        <f aca="false">IF($A3312="",1,IF($Q3312=0,1,INDEX(COA_Mapping!$F$7:$F$256,$Q3312)))</f>
        <v>1</v>
      </c>
      <c r="P3312" s="34" t="str">
        <f aca="false">IF($A3312="","",$I3312*$O3312)</f>
        <v/>
      </c>
      <c r="Q3312" s="39" t="n">
        <f aca="false">IF($B3312="",0,IFERROR(MATCH($B3312,COA_Mapping!$A$7:$A$256,0),0))</f>
        <v>0</v>
      </c>
      <c r="R3312" s="39" t="n">
        <f aca="false">IF($A3312="",-1,IF($J3312=Setup!$B$7,1,IF($J3312=Setup!$B$9,0,-1)))</f>
        <v>-1</v>
      </c>
      <c r="S3312" s="35" t="n">
        <f aca="false">IF(OR($A3312="",$Q3312=0,$R3312=-1),0,$Q3312*1000+$R3312*100+$K3312)</f>
        <v>0</v>
      </c>
      <c r="T3312" s="37" t="str">
        <f aca="false">IF($A3312="","",IF($B3312="","NO ACCOUNT",IF($Q3312=0,"UNMAPPED",IF($R3312=-1,"OUTSIDE FY RANGE","OK"))))</f>
        <v/>
      </c>
      <c r="U3312" s="40" t="str">
        <f aca="false">IF($A3312="","",$B3312&amp;"|"&amp;TEXT($A3312,"yyyymmdd")&amp;"|"&amp;TEXT($I3312,"0.00"))</f>
        <v/>
      </c>
      <c r="V3312" s="35" t="str">
        <f aca="false">IF($A3312="","",COUNTIF($U$8:$U$5007,$U3312))</f>
        <v/>
      </c>
    </row>
    <row r="3313" customFormat="false" ht="15" hidden="false" customHeight="false" outlineLevel="0" collapsed="false">
      <c r="A3313" s="31"/>
      <c r="B3313" s="32"/>
      <c r="C3313" s="32"/>
      <c r="D3313" s="32"/>
      <c r="E3313" s="32"/>
      <c r="F3313" s="32"/>
      <c r="G3313" s="33"/>
      <c r="H3313" s="33"/>
      <c r="I3313" s="34" t="str">
        <f aca="false">IF($A3313="","",$G3313-$H3313)</f>
        <v/>
      </c>
      <c r="J3313" s="35" t="str">
        <f aca="false">IF($A3313="","",IF(Setup!$B$6=1,YEAR($A3313),YEAR($A3313)+IF(MONTH($A3313)&gt;=Setup!$B$6,1,0)))</f>
        <v/>
      </c>
      <c r="K3313" s="35" t="str">
        <f aca="false">IF($A3313="","",MOD(MONTH($A3313)-Setup!$B$6+12,12)+1)</f>
        <v/>
      </c>
      <c r="L3313" s="36" t="str">
        <f aca="false">IF($A3313="","",TEXT($A3313,"MMM-YY"))</f>
        <v/>
      </c>
      <c r="M3313" s="37" t="str">
        <f aca="false">IF($A3313="","",IF($Q3313=0,"UNMAPPED",INDEX(COA_Mapping!$C$7:$C$256,$Q3313)))</f>
        <v/>
      </c>
      <c r="N3313" s="38" t="str">
        <f aca="false">IF($A3313="","",IF($Q3313=0,"",INDEX(COA_Mapping!$E$7:$E$256,$Q3313)))</f>
        <v/>
      </c>
      <c r="O3313" s="38" t="n">
        <f aca="false">IF($A3313="",1,IF($Q3313=0,1,INDEX(COA_Mapping!$F$7:$F$256,$Q3313)))</f>
        <v>1</v>
      </c>
      <c r="P3313" s="34" t="str">
        <f aca="false">IF($A3313="","",$I3313*$O3313)</f>
        <v/>
      </c>
      <c r="Q3313" s="39" t="n">
        <f aca="false">IF($B3313="",0,IFERROR(MATCH($B3313,COA_Mapping!$A$7:$A$256,0),0))</f>
        <v>0</v>
      </c>
      <c r="R3313" s="39" t="n">
        <f aca="false">IF($A3313="",-1,IF($J3313=Setup!$B$7,1,IF($J3313=Setup!$B$9,0,-1)))</f>
        <v>-1</v>
      </c>
      <c r="S3313" s="35" t="n">
        <f aca="false">IF(OR($A3313="",$Q3313=0,$R3313=-1),0,$Q3313*1000+$R3313*100+$K3313)</f>
        <v>0</v>
      </c>
      <c r="T3313" s="37" t="str">
        <f aca="false">IF($A3313="","",IF($B3313="","NO ACCOUNT",IF($Q3313=0,"UNMAPPED",IF($R3313=-1,"OUTSIDE FY RANGE","OK"))))</f>
        <v/>
      </c>
      <c r="U3313" s="40" t="str">
        <f aca="false">IF($A3313="","",$B3313&amp;"|"&amp;TEXT($A3313,"yyyymmdd")&amp;"|"&amp;TEXT($I3313,"0.00"))</f>
        <v/>
      </c>
      <c r="V3313" s="35" t="str">
        <f aca="false">IF($A3313="","",COUNTIF($U$8:$U$5007,$U3313))</f>
        <v/>
      </c>
    </row>
    <row r="3314" customFormat="false" ht="15" hidden="false" customHeight="false" outlineLevel="0" collapsed="false">
      <c r="A3314" s="31"/>
      <c r="B3314" s="32"/>
      <c r="C3314" s="32"/>
      <c r="D3314" s="32"/>
      <c r="E3314" s="32"/>
      <c r="F3314" s="32"/>
      <c r="G3314" s="33"/>
      <c r="H3314" s="33"/>
      <c r="I3314" s="34" t="str">
        <f aca="false">IF($A3314="","",$G3314-$H3314)</f>
        <v/>
      </c>
      <c r="J3314" s="35" t="str">
        <f aca="false">IF($A3314="","",IF(Setup!$B$6=1,YEAR($A3314),YEAR($A3314)+IF(MONTH($A3314)&gt;=Setup!$B$6,1,0)))</f>
        <v/>
      </c>
      <c r="K3314" s="35" t="str">
        <f aca="false">IF($A3314="","",MOD(MONTH($A3314)-Setup!$B$6+12,12)+1)</f>
        <v/>
      </c>
      <c r="L3314" s="36" t="str">
        <f aca="false">IF($A3314="","",TEXT($A3314,"MMM-YY"))</f>
        <v/>
      </c>
      <c r="M3314" s="37" t="str">
        <f aca="false">IF($A3314="","",IF($Q3314=0,"UNMAPPED",INDEX(COA_Mapping!$C$7:$C$256,$Q3314)))</f>
        <v/>
      </c>
      <c r="N3314" s="38" t="str">
        <f aca="false">IF($A3314="","",IF($Q3314=0,"",INDEX(COA_Mapping!$E$7:$E$256,$Q3314)))</f>
        <v/>
      </c>
      <c r="O3314" s="38" t="n">
        <f aca="false">IF($A3314="",1,IF($Q3314=0,1,INDEX(COA_Mapping!$F$7:$F$256,$Q3314)))</f>
        <v>1</v>
      </c>
      <c r="P3314" s="34" t="str">
        <f aca="false">IF($A3314="","",$I3314*$O3314)</f>
        <v/>
      </c>
      <c r="Q3314" s="39" t="n">
        <f aca="false">IF($B3314="",0,IFERROR(MATCH($B3314,COA_Mapping!$A$7:$A$256,0),0))</f>
        <v>0</v>
      </c>
      <c r="R3314" s="39" t="n">
        <f aca="false">IF($A3314="",-1,IF($J3314=Setup!$B$7,1,IF($J3314=Setup!$B$9,0,-1)))</f>
        <v>-1</v>
      </c>
      <c r="S3314" s="35" t="n">
        <f aca="false">IF(OR($A3314="",$Q3314=0,$R3314=-1),0,$Q3314*1000+$R3314*100+$K3314)</f>
        <v>0</v>
      </c>
      <c r="T3314" s="37" t="str">
        <f aca="false">IF($A3314="","",IF($B3314="","NO ACCOUNT",IF($Q3314=0,"UNMAPPED",IF($R3314=-1,"OUTSIDE FY RANGE","OK"))))</f>
        <v/>
      </c>
      <c r="U3314" s="40" t="str">
        <f aca="false">IF($A3314="","",$B3314&amp;"|"&amp;TEXT($A3314,"yyyymmdd")&amp;"|"&amp;TEXT($I3314,"0.00"))</f>
        <v/>
      </c>
      <c r="V3314" s="35" t="str">
        <f aca="false">IF($A3314="","",COUNTIF($U$8:$U$5007,$U3314))</f>
        <v/>
      </c>
    </row>
    <row r="3315" customFormat="false" ht="15" hidden="false" customHeight="false" outlineLevel="0" collapsed="false">
      <c r="A3315" s="31"/>
      <c r="B3315" s="32"/>
      <c r="C3315" s="32"/>
      <c r="D3315" s="32"/>
      <c r="E3315" s="32"/>
      <c r="F3315" s="32"/>
      <c r="G3315" s="33"/>
      <c r="H3315" s="33"/>
      <c r="I3315" s="34" t="str">
        <f aca="false">IF($A3315="","",$G3315-$H3315)</f>
        <v/>
      </c>
      <c r="J3315" s="35" t="str">
        <f aca="false">IF($A3315="","",IF(Setup!$B$6=1,YEAR($A3315),YEAR($A3315)+IF(MONTH($A3315)&gt;=Setup!$B$6,1,0)))</f>
        <v/>
      </c>
      <c r="K3315" s="35" t="str">
        <f aca="false">IF($A3315="","",MOD(MONTH($A3315)-Setup!$B$6+12,12)+1)</f>
        <v/>
      </c>
      <c r="L3315" s="36" t="str">
        <f aca="false">IF($A3315="","",TEXT($A3315,"MMM-YY"))</f>
        <v/>
      </c>
      <c r="M3315" s="37" t="str">
        <f aca="false">IF($A3315="","",IF($Q3315=0,"UNMAPPED",INDEX(COA_Mapping!$C$7:$C$256,$Q3315)))</f>
        <v/>
      </c>
      <c r="N3315" s="38" t="str">
        <f aca="false">IF($A3315="","",IF($Q3315=0,"",INDEX(COA_Mapping!$E$7:$E$256,$Q3315)))</f>
        <v/>
      </c>
      <c r="O3315" s="38" t="n">
        <f aca="false">IF($A3315="",1,IF($Q3315=0,1,INDEX(COA_Mapping!$F$7:$F$256,$Q3315)))</f>
        <v>1</v>
      </c>
      <c r="P3315" s="34" t="str">
        <f aca="false">IF($A3315="","",$I3315*$O3315)</f>
        <v/>
      </c>
      <c r="Q3315" s="39" t="n">
        <f aca="false">IF($B3315="",0,IFERROR(MATCH($B3315,COA_Mapping!$A$7:$A$256,0),0))</f>
        <v>0</v>
      </c>
      <c r="R3315" s="39" t="n">
        <f aca="false">IF($A3315="",-1,IF($J3315=Setup!$B$7,1,IF($J3315=Setup!$B$9,0,-1)))</f>
        <v>-1</v>
      </c>
      <c r="S3315" s="35" t="n">
        <f aca="false">IF(OR($A3315="",$Q3315=0,$R3315=-1),0,$Q3315*1000+$R3315*100+$K3315)</f>
        <v>0</v>
      </c>
      <c r="T3315" s="37" t="str">
        <f aca="false">IF($A3315="","",IF($B3315="","NO ACCOUNT",IF($Q3315=0,"UNMAPPED",IF($R3315=-1,"OUTSIDE FY RANGE","OK"))))</f>
        <v/>
      </c>
      <c r="U3315" s="40" t="str">
        <f aca="false">IF($A3315="","",$B3315&amp;"|"&amp;TEXT($A3315,"yyyymmdd")&amp;"|"&amp;TEXT($I3315,"0.00"))</f>
        <v/>
      </c>
      <c r="V3315" s="35" t="str">
        <f aca="false">IF($A3315="","",COUNTIF($U$8:$U$5007,$U3315))</f>
        <v/>
      </c>
    </row>
    <row r="3316" customFormat="false" ht="15" hidden="false" customHeight="false" outlineLevel="0" collapsed="false">
      <c r="A3316" s="31"/>
      <c r="B3316" s="32"/>
      <c r="C3316" s="32"/>
      <c r="D3316" s="32"/>
      <c r="E3316" s="32"/>
      <c r="F3316" s="32"/>
      <c r="G3316" s="33"/>
      <c r="H3316" s="33"/>
      <c r="I3316" s="34" t="str">
        <f aca="false">IF($A3316="","",$G3316-$H3316)</f>
        <v/>
      </c>
      <c r="J3316" s="35" t="str">
        <f aca="false">IF($A3316="","",IF(Setup!$B$6=1,YEAR($A3316),YEAR($A3316)+IF(MONTH($A3316)&gt;=Setup!$B$6,1,0)))</f>
        <v/>
      </c>
      <c r="K3316" s="35" t="str">
        <f aca="false">IF($A3316="","",MOD(MONTH($A3316)-Setup!$B$6+12,12)+1)</f>
        <v/>
      </c>
      <c r="L3316" s="36" t="str">
        <f aca="false">IF($A3316="","",TEXT($A3316,"MMM-YY"))</f>
        <v/>
      </c>
      <c r="M3316" s="37" t="str">
        <f aca="false">IF($A3316="","",IF($Q3316=0,"UNMAPPED",INDEX(COA_Mapping!$C$7:$C$256,$Q3316)))</f>
        <v/>
      </c>
      <c r="N3316" s="38" t="str">
        <f aca="false">IF($A3316="","",IF($Q3316=0,"",INDEX(COA_Mapping!$E$7:$E$256,$Q3316)))</f>
        <v/>
      </c>
      <c r="O3316" s="38" t="n">
        <f aca="false">IF($A3316="",1,IF($Q3316=0,1,INDEX(COA_Mapping!$F$7:$F$256,$Q3316)))</f>
        <v>1</v>
      </c>
      <c r="P3316" s="34" t="str">
        <f aca="false">IF($A3316="","",$I3316*$O3316)</f>
        <v/>
      </c>
      <c r="Q3316" s="39" t="n">
        <f aca="false">IF($B3316="",0,IFERROR(MATCH($B3316,COA_Mapping!$A$7:$A$256,0),0))</f>
        <v>0</v>
      </c>
      <c r="R3316" s="39" t="n">
        <f aca="false">IF($A3316="",-1,IF($J3316=Setup!$B$7,1,IF($J3316=Setup!$B$9,0,-1)))</f>
        <v>-1</v>
      </c>
      <c r="S3316" s="35" t="n">
        <f aca="false">IF(OR($A3316="",$Q3316=0,$R3316=-1),0,$Q3316*1000+$R3316*100+$K3316)</f>
        <v>0</v>
      </c>
      <c r="T3316" s="37" t="str">
        <f aca="false">IF($A3316="","",IF($B3316="","NO ACCOUNT",IF($Q3316=0,"UNMAPPED",IF($R3316=-1,"OUTSIDE FY RANGE","OK"))))</f>
        <v/>
      </c>
      <c r="U3316" s="40" t="str">
        <f aca="false">IF($A3316="","",$B3316&amp;"|"&amp;TEXT($A3316,"yyyymmdd")&amp;"|"&amp;TEXT($I3316,"0.00"))</f>
        <v/>
      </c>
      <c r="V3316" s="35" t="str">
        <f aca="false">IF($A3316="","",COUNTIF($U$8:$U$5007,$U3316))</f>
        <v/>
      </c>
    </row>
    <row r="3317" customFormat="false" ht="15" hidden="false" customHeight="false" outlineLevel="0" collapsed="false">
      <c r="A3317" s="31"/>
      <c r="B3317" s="32"/>
      <c r="C3317" s="32"/>
      <c r="D3317" s="32"/>
      <c r="E3317" s="32"/>
      <c r="F3317" s="32"/>
      <c r="G3317" s="33"/>
      <c r="H3317" s="33"/>
      <c r="I3317" s="34" t="str">
        <f aca="false">IF($A3317="","",$G3317-$H3317)</f>
        <v/>
      </c>
      <c r="J3317" s="35" t="str">
        <f aca="false">IF($A3317="","",IF(Setup!$B$6=1,YEAR($A3317),YEAR($A3317)+IF(MONTH($A3317)&gt;=Setup!$B$6,1,0)))</f>
        <v/>
      </c>
      <c r="K3317" s="35" t="str">
        <f aca="false">IF($A3317="","",MOD(MONTH($A3317)-Setup!$B$6+12,12)+1)</f>
        <v/>
      </c>
      <c r="L3317" s="36" t="str">
        <f aca="false">IF($A3317="","",TEXT($A3317,"MMM-YY"))</f>
        <v/>
      </c>
      <c r="M3317" s="37" t="str">
        <f aca="false">IF($A3317="","",IF($Q3317=0,"UNMAPPED",INDEX(COA_Mapping!$C$7:$C$256,$Q3317)))</f>
        <v/>
      </c>
      <c r="N3317" s="38" t="str">
        <f aca="false">IF($A3317="","",IF($Q3317=0,"",INDEX(COA_Mapping!$E$7:$E$256,$Q3317)))</f>
        <v/>
      </c>
      <c r="O3317" s="38" t="n">
        <f aca="false">IF($A3317="",1,IF($Q3317=0,1,INDEX(COA_Mapping!$F$7:$F$256,$Q3317)))</f>
        <v>1</v>
      </c>
      <c r="P3317" s="34" t="str">
        <f aca="false">IF($A3317="","",$I3317*$O3317)</f>
        <v/>
      </c>
      <c r="Q3317" s="39" t="n">
        <f aca="false">IF($B3317="",0,IFERROR(MATCH($B3317,COA_Mapping!$A$7:$A$256,0),0))</f>
        <v>0</v>
      </c>
      <c r="R3317" s="39" t="n">
        <f aca="false">IF($A3317="",-1,IF($J3317=Setup!$B$7,1,IF($J3317=Setup!$B$9,0,-1)))</f>
        <v>-1</v>
      </c>
      <c r="S3317" s="35" t="n">
        <f aca="false">IF(OR($A3317="",$Q3317=0,$R3317=-1),0,$Q3317*1000+$R3317*100+$K3317)</f>
        <v>0</v>
      </c>
      <c r="T3317" s="37" t="str">
        <f aca="false">IF($A3317="","",IF($B3317="","NO ACCOUNT",IF($Q3317=0,"UNMAPPED",IF($R3317=-1,"OUTSIDE FY RANGE","OK"))))</f>
        <v/>
      </c>
      <c r="U3317" s="40" t="str">
        <f aca="false">IF($A3317="","",$B3317&amp;"|"&amp;TEXT($A3317,"yyyymmdd")&amp;"|"&amp;TEXT($I3317,"0.00"))</f>
        <v/>
      </c>
      <c r="V3317" s="35" t="str">
        <f aca="false">IF($A3317="","",COUNTIF($U$8:$U$5007,$U3317))</f>
        <v/>
      </c>
    </row>
    <row r="3318" customFormat="false" ht="15" hidden="false" customHeight="false" outlineLevel="0" collapsed="false">
      <c r="A3318" s="31"/>
      <c r="B3318" s="32"/>
      <c r="C3318" s="32"/>
      <c r="D3318" s="32"/>
      <c r="E3318" s="32"/>
      <c r="F3318" s="32"/>
      <c r="G3318" s="33"/>
      <c r="H3318" s="33"/>
      <c r="I3318" s="34" t="str">
        <f aca="false">IF($A3318="","",$G3318-$H3318)</f>
        <v/>
      </c>
      <c r="J3318" s="35" t="str">
        <f aca="false">IF($A3318="","",IF(Setup!$B$6=1,YEAR($A3318),YEAR($A3318)+IF(MONTH($A3318)&gt;=Setup!$B$6,1,0)))</f>
        <v/>
      </c>
      <c r="K3318" s="35" t="str">
        <f aca="false">IF($A3318="","",MOD(MONTH($A3318)-Setup!$B$6+12,12)+1)</f>
        <v/>
      </c>
      <c r="L3318" s="36" t="str">
        <f aca="false">IF($A3318="","",TEXT($A3318,"MMM-YY"))</f>
        <v/>
      </c>
      <c r="M3318" s="37" t="str">
        <f aca="false">IF($A3318="","",IF($Q3318=0,"UNMAPPED",INDEX(COA_Mapping!$C$7:$C$256,$Q3318)))</f>
        <v/>
      </c>
      <c r="N3318" s="38" t="str">
        <f aca="false">IF($A3318="","",IF($Q3318=0,"",INDEX(COA_Mapping!$E$7:$E$256,$Q3318)))</f>
        <v/>
      </c>
      <c r="O3318" s="38" t="n">
        <f aca="false">IF($A3318="",1,IF($Q3318=0,1,INDEX(COA_Mapping!$F$7:$F$256,$Q3318)))</f>
        <v>1</v>
      </c>
      <c r="P3318" s="34" t="str">
        <f aca="false">IF($A3318="","",$I3318*$O3318)</f>
        <v/>
      </c>
      <c r="Q3318" s="39" t="n">
        <f aca="false">IF($B3318="",0,IFERROR(MATCH($B3318,COA_Mapping!$A$7:$A$256,0),0))</f>
        <v>0</v>
      </c>
      <c r="R3318" s="39" t="n">
        <f aca="false">IF($A3318="",-1,IF($J3318=Setup!$B$7,1,IF($J3318=Setup!$B$9,0,-1)))</f>
        <v>-1</v>
      </c>
      <c r="S3318" s="35" t="n">
        <f aca="false">IF(OR($A3318="",$Q3318=0,$R3318=-1),0,$Q3318*1000+$R3318*100+$K3318)</f>
        <v>0</v>
      </c>
      <c r="T3318" s="37" t="str">
        <f aca="false">IF($A3318="","",IF($B3318="","NO ACCOUNT",IF($Q3318=0,"UNMAPPED",IF($R3318=-1,"OUTSIDE FY RANGE","OK"))))</f>
        <v/>
      </c>
      <c r="U3318" s="40" t="str">
        <f aca="false">IF($A3318="","",$B3318&amp;"|"&amp;TEXT($A3318,"yyyymmdd")&amp;"|"&amp;TEXT($I3318,"0.00"))</f>
        <v/>
      </c>
      <c r="V3318" s="35" t="str">
        <f aca="false">IF($A3318="","",COUNTIF($U$8:$U$5007,$U3318))</f>
        <v/>
      </c>
    </row>
    <row r="3319" customFormat="false" ht="15" hidden="false" customHeight="false" outlineLevel="0" collapsed="false">
      <c r="A3319" s="31"/>
      <c r="B3319" s="32"/>
      <c r="C3319" s="32"/>
      <c r="D3319" s="32"/>
      <c r="E3319" s="32"/>
      <c r="F3319" s="32"/>
      <c r="G3319" s="33"/>
      <c r="H3319" s="33"/>
      <c r="I3319" s="34" t="str">
        <f aca="false">IF($A3319="","",$G3319-$H3319)</f>
        <v/>
      </c>
      <c r="J3319" s="35" t="str">
        <f aca="false">IF($A3319="","",IF(Setup!$B$6=1,YEAR($A3319),YEAR($A3319)+IF(MONTH($A3319)&gt;=Setup!$B$6,1,0)))</f>
        <v/>
      </c>
      <c r="K3319" s="35" t="str">
        <f aca="false">IF($A3319="","",MOD(MONTH($A3319)-Setup!$B$6+12,12)+1)</f>
        <v/>
      </c>
      <c r="L3319" s="36" t="str">
        <f aca="false">IF($A3319="","",TEXT($A3319,"MMM-YY"))</f>
        <v/>
      </c>
      <c r="M3319" s="37" t="str">
        <f aca="false">IF($A3319="","",IF($Q3319=0,"UNMAPPED",INDEX(COA_Mapping!$C$7:$C$256,$Q3319)))</f>
        <v/>
      </c>
      <c r="N3319" s="38" t="str">
        <f aca="false">IF($A3319="","",IF($Q3319=0,"",INDEX(COA_Mapping!$E$7:$E$256,$Q3319)))</f>
        <v/>
      </c>
      <c r="O3319" s="38" t="n">
        <f aca="false">IF($A3319="",1,IF($Q3319=0,1,INDEX(COA_Mapping!$F$7:$F$256,$Q3319)))</f>
        <v>1</v>
      </c>
      <c r="P3319" s="34" t="str">
        <f aca="false">IF($A3319="","",$I3319*$O3319)</f>
        <v/>
      </c>
      <c r="Q3319" s="39" t="n">
        <f aca="false">IF($B3319="",0,IFERROR(MATCH($B3319,COA_Mapping!$A$7:$A$256,0),0))</f>
        <v>0</v>
      </c>
      <c r="R3319" s="39" t="n">
        <f aca="false">IF($A3319="",-1,IF($J3319=Setup!$B$7,1,IF($J3319=Setup!$B$9,0,-1)))</f>
        <v>-1</v>
      </c>
      <c r="S3319" s="35" t="n">
        <f aca="false">IF(OR($A3319="",$Q3319=0,$R3319=-1),0,$Q3319*1000+$R3319*100+$K3319)</f>
        <v>0</v>
      </c>
      <c r="T3319" s="37" t="str">
        <f aca="false">IF($A3319="","",IF($B3319="","NO ACCOUNT",IF($Q3319=0,"UNMAPPED",IF($R3319=-1,"OUTSIDE FY RANGE","OK"))))</f>
        <v/>
      </c>
      <c r="U3319" s="40" t="str">
        <f aca="false">IF($A3319="","",$B3319&amp;"|"&amp;TEXT($A3319,"yyyymmdd")&amp;"|"&amp;TEXT($I3319,"0.00"))</f>
        <v/>
      </c>
      <c r="V3319" s="35" t="str">
        <f aca="false">IF($A3319="","",COUNTIF($U$8:$U$5007,$U3319))</f>
        <v/>
      </c>
    </row>
    <row r="3320" customFormat="false" ht="15" hidden="false" customHeight="false" outlineLevel="0" collapsed="false">
      <c r="A3320" s="31"/>
      <c r="B3320" s="32"/>
      <c r="C3320" s="32"/>
      <c r="D3320" s="32"/>
      <c r="E3320" s="32"/>
      <c r="F3320" s="32"/>
      <c r="G3320" s="33"/>
      <c r="H3320" s="33"/>
      <c r="I3320" s="34" t="str">
        <f aca="false">IF($A3320="","",$G3320-$H3320)</f>
        <v/>
      </c>
      <c r="J3320" s="35" t="str">
        <f aca="false">IF($A3320="","",IF(Setup!$B$6=1,YEAR($A3320),YEAR($A3320)+IF(MONTH($A3320)&gt;=Setup!$B$6,1,0)))</f>
        <v/>
      </c>
      <c r="K3320" s="35" t="str">
        <f aca="false">IF($A3320="","",MOD(MONTH($A3320)-Setup!$B$6+12,12)+1)</f>
        <v/>
      </c>
      <c r="L3320" s="36" t="str">
        <f aca="false">IF($A3320="","",TEXT($A3320,"MMM-YY"))</f>
        <v/>
      </c>
      <c r="M3320" s="37" t="str">
        <f aca="false">IF($A3320="","",IF($Q3320=0,"UNMAPPED",INDEX(COA_Mapping!$C$7:$C$256,$Q3320)))</f>
        <v/>
      </c>
      <c r="N3320" s="38" t="str">
        <f aca="false">IF($A3320="","",IF($Q3320=0,"",INDEX(COA_Mapping!$E$7:$E$256,$Q3320)))</f>
        <v/>
      </c>
      <c r="O3320" s="38" t="n">
        <f aca="false">IF($A3320="",1,IF($Q3320=0,1,INDEX(COA_Mapping!$F$7:$F$256,$Q3320)))</f>
        <v>1</v>
      </c>
      <c r="P3320" s="34" t="str">
        <f aca="false">IF($A3320="","",$I3320*$O3320)</f>
        <v/>
      </c>
      <c r="Q3320" s="39" t="n">
        <f aca="false">IF($B3320="",0,IFERROR(MATCH($B3320,COA_Mapping!$A$7:$A$256,0),0))</f>
        <v>0</v>
      </c>
      <c r="R3320" s="39" t="n">
        <f aca="false">IF($A3320="",-1,IF($J3320=Setup!$B$7,1,IF($J3320=Setup!$B$9,0,-1)))</f>
        <v>-1</v>
      </c>
      <c r="S3320" s="35" t="n">
        <f aca="false">IF(OR($A3320="",$Q3320=0,$R3320=-1),0,$Q3320*1000+$R3320*100+$K3320)</f>
        <v>0</v>
      </c>
      <c r="T3320" s="37" t="str">
        <f aca="false">IF($A3320="","",IF($B3320="","NO ACCOUNT",IF($Q3320=0,"UNMAPPED",IF($R3320=-1,"OUTSIDE FY RANGE","OK"))))</f>
        <v/>
      </c>
      <c r="U3320" s="40" t="str">
        <f aca="false">IF($A3320="","",$B3320&amp;"|"&amp;TEXT($A3320,"yyyymmdd")&amp;"|"&amp;TEXT($I3320,"0.00"))</f>
        <v/>
      </c>
      <c r="V3320" s="35" t="str">
        <f aca="false">IF($A3320="","",COUNTIF($U$8:$U$5007,$U3320))</f>
        <v/>
      </c>
    </row>
    <row r="3321" customFormat="false" ht="15" hidden="false" customHeight="false" outlineLevel="0" collapsed="false">
      <c r="A3321" s="31"/>
      <c r="B3321" s="32"/>
      <c r="C3321" s="32"/>
      <c r="D3321" s="32"/>
      <c r="E3321" s="32"/>
      <c r="F3321" s="32"/>
      <c r="G3321" s="33"/>
      <c r="H3321" s="33"/>
      <c r="I3321" s="34" t="str">
        <f aca="false">IF($A3321="","",$G3321-$H3321)</f>
        <v/>
      </c>
      <c r="J3321" s="35" t="str">
        <f aca="false">IF($A3321="","",IF(Setup!$B$6=1,YEAR($A3321),YEAR($A3321)+IF(MONTH($A3321)&gt;=Setup!$B$6,1,0)))</f>
        <v/>
      </c>
      <c r="K3321" s="35" t="str">
        <f aca="false">IF($A3321="","",MOD(MONTH($A3321)-Setup!$B$6+12,12)+1)</f>
        <v/>
      </c>
      <c r="L3321" s="36" t="str">
        <f aca="false">IF($A3321="","",TEXT($A3321,"MMM-YY"))</f>
        <v/>
      </c>
      <c r="M3321" s="37" t="str">
        <f aca="false">IF($A3321="","",IF($Q3321=0,"UNMAPPED",INDEX(COA_Mapping!$C$7:$C$256,$Q3321)))</f>
        <v/>
      </c>
      <c r="N3321" s="38" t="str">
        <f aca="false">IF($A3321="","",IF($Q3321=0,"",INDEX(COA_Mapping!$E$7:$E$256,$Q3321)))</f>
        <v/>
      </c>
      <c r="O3321" s="38" t="n">
        <f aca="false">IF($A3321="",1,IF($Q3321=0,1,INDEX(COA_Mapping!$F$7:$F$256,$Q3321)))</f>
        <v>1</v>
      </c>
      <c r="P3321" s="34" t="str">
        <f aca="false">IF($A3321="","",$I3321*$O3321)</f>
        <v/>
      </c>
      <c r="Q3321" s="39" t="n">
        <f aca="false">IF($B3321="",0,IFERROR(MATCH($B3321,COA_Mapping!$A$7:$A$256,0),0))</f>
        <v>0</v>
      </c>
      <c r="R3321" s="39" t="n">
        <f aca="false">IF($A3321="",-1,IF($J3321=Setup!$B$7,1,IF($J3321=Setup!$B$9,0,-1)))</f>
        <v>-1</v>
      </c>
      <c r="S3321" s="35" t="n">
        <f aca="false">IF(OR($A3321="",$Q3321=0,$R3321=-1),0,$Q3321*1000+$R3321*100+$K3321)</f>
        <v>0</v>
      </c>
      <c r="T3321" s="37" t="str">
        <f aca="false">IF($A3321="","",IF($B3321="","NO ACCOUNT",IF($Q3321=0,"UNMAPPED",IF($R3321=-1,"OUTSIDE FY RANGE","OK"))))</f>
        <v/>
      </c>
      <c r="U3321" s="40" t="str">
        <f aca="false">IF($A3321="","",$B3321&amp;"|"&amp;TEXT($A3321,"yyyymmdd")&amp;"|"&amp;TEXT($I3321,"0.00"))</f>
        <v/>
      </c>
      <c r="V3321" s="35" t="str">
        <f aca="false">IF($A3321="","",COUNTIF($U$8:$U$5007,$U3321))</f>
        <v/>
      </c>
    </row>
    <row r="3322" customFormat="false" ht="15" hidden="false" customHeight="false" outlineLevel="0" collapsed="false">
      <c r="A3322" s="31"/>
      <c r="B3322" s="32"/>
      <c r="C3322" s="32"/>
      <c r="D3322" s="32"/>
      <c r="E3322" s="32"/>
      <c r="F3322" s="32"/>
      <c r="G3322" s="33"/>
      <c r="H3322" s="33"/>
      <c r="I3322" s="34" t="str">
        <f aca="false">IF($A3322="","",$G3322-$H3322)</f>
        <v/>
      </c>
      <c r="J3322" s="35" t="str">
        <f aca="false">IF($A3322="","",IF(Setup!$B$6=1,YEAR($A3322),YEAR($A3322)+IF(MONTH($A3322)&gt;=Setup!$B$6,1,0)))</f>
        <v/>
      </c>
      <c r="K3322" s="35" t="str">
        <f aca="false">IF($A3322="","",MOD(MONTH($A3322)-Setup!$B$6+12,12)+1)</f>
        <v/>
      </c>
      <c r="L3322" s="36" t="str">
        <f aca="false">IF($A3322="","",TEXT($A3322,"MMM-YY"))</f>
        <v/>
      </c>
      <c r="M3322" s="37" t="str">
        <f aca="false">IF($A3322="","",IF($Q3322=0,"UNMAPPED",INDEX(COA_Mapping!$C$7:$C$256,$Q3322)))</f>
        <v/>
      </c>
      <c r="N3322" s="38" t="str">
        <f aca="false">IF($A3322="","",IF($Q3322=0,"",INDEX(COA_Mapping!$E$7:$E$256,$Q3322)))</f>
        <v/>
      </c>
      <c r="O3322" s="38" t="n">
        <f aca="false">IF($A3322="",1,IF($Q3322=0,1,INDEX(COA_Mapping!$F$7:$F$256,$Q3322)))</f>
        <v>1</v>
      </c>
      <c r="P3322" s="34" t="str">
        <f aca="false">IF($A3322="","",$I3322*$O3322)</f>
        <v/>
      </c>
      <c r="Q3322" s="39" t="n">
        <f aca="false">IF($B3322="",0,IFERROR(MATCH($B3322,COA_Mapping!$A$7:$A$256,0),0))</f>
        <v>0</v>
      </c>
      <c r="R3322" s="39" t="n">
        <f aca="false">IF($A3322="",-1,IF($J3322=Setup!$B$7,1,IF($J3322=Setup!$B$9,0,-1)))</f>
        <v>-1</v>
      </c>
      <c r="S3322" s="35" t="n">
        <f aca="false">IF(OR($A3322="",$Q3322=0,$R3322=-1),0,$Q3322*1000+$R3322*100+$K3322)</f>
        <v>0</v>
      </c>
      <c r="T3322" s="37" t="str">
        <f aca="false">IF($A3322="","",IF($B3322="","NO ACCOUNT",IF($Q3322=0,"UNMAPPED",IF($R3322=-1,"OUTSIDE FY RANGE","OK"))))</f>
        <v/>
      </c>
      <c r="U3322" s="40" t="str">
        <f aca="false">IF($A3322="","",$B3322&amp;"|"&amp;TEXT($A3322,"yyyymmdd")&amp;"|"&amp;TEXT($I3322,"0.00"))</f>
        <v/>
      </c>
      <c r="V3322" s="35" t="str">
        <f aca="false">IF($A3322="","",COUNTIF($U$8:$U$5007,$U3322))</f>
        <v/>
      </c>
    </row>
    <row r="3323" customFormat="false" ht="15" hidden="false" customHeight="false" outlineLevel="0" collapsed="false">
      <c r="A3323" s="31"/>
      <c r="B3323" s="32"/>
      <c r="C3323" s="32"/>
      <c r="D3323" s="32"/>
      <c r="E3323" s="32"/>
      <c r="F3323" s="32"/>
      <c r="G3323" s="33"/>
      <c r="H3323" s="33"/>
      <c r="I3323" s="34" t="str">
        <f aca="false">IF($A3323="","",$G3323-$H3323)</f>
        <v/>
      </c>
      <c r="J3323" s="35" t="str">
        <f aca="false">IF($A3323="","",IF(Setup!$B$6=1,YEAR($A3323),YEAR($A3323)+IF(MONTH($A3323)&gt;=Setup!$B$6,1,0)))</f>
        <v/>
      </c>
      <c r="K3323" s="35" t="str">
        <f aca="false">IF($A3323="","",MOD(MONTH($A3323)-Setup!$B$6+12,12)+1)</f>
        <v/>
      </c>
      <c r="L3323" s="36" t="str">
        <f aca="false">IF($A3323="","",TEXT($A3323,"MMM-YY"))</f>
        <v/>
      </c>
      <c r="M3323" s="37" t="str">
        <f aca="false">IF($A3323="","",IF($Q3323=0,"UNMAPPED",INDEX(COA_Mapping!$C$7:$C$256,$Q3323)))</f>
        <v/>
      </c>
      <c r="N3323" s="38" t="str">
        <f aca="false">IF($A3323="","",IF($Q3323=0,"",INDEX(COA_Mapping!$E$7:$E$256,$Q3323)))</f>
        <v/>
      </c>
      <c r="O3323" s="38" t="n">
        <f aca="false">IF($A3323="",1,IF($Q3323=0,1,INDEX(COA_Mapping!$F$7:$F$256,$Q3323)))</f>
        <v>1</v>
      </c>
      <c r="P3323" s="34" t="str">
        <f aca="false">IF($A3323="","",$I3323*$O3323)</f>
        <v/>
      </c>
      <c r="Q3323" s="39" t="n">
        <f aca="false">IF($B3323="",0,IFERROR(MATCH($B3323,COA_Mapping!$A$7:$A$256,0),0))</f>
        <v>0</v>
      </c>
      <c r="R3323" s="39" t="n">
        <f aca="false">IF($A3323="",-1,IF($J3323=Setup!$B$7,1,IF($J3323=Setup!$B$9,0,-1)))</f>
        <v>-1</v>
      </c>
      <c r="S3323" s="35" t="n">
        <f aca="false">IF(OR($A3323="",$Q3323=0,$R3323=-1),0,$Q3323*1000+$R3323*100+$K3323)</f>
        <v>0</v>
      </c>
      <c r="T3323" s="37" t="str">
        <f aca="false">IF($A3323="","",IF($B3323="","NO ACCOUNT",IF($Q3323=0,"UNMAPPED",IF($R3323=-1,"OUTSIDE FY RANGE","OK"))))</f>
        <v/>
      </c>
      <c r="U3323" s="40" t="str">
        <f aca="false">IF($A3323="","",$B3323&amp;"|"&amp;TEXT($A3323,"yyyymmdd")&amp;"|"&amp;TEXT($I3323,"0.00"))</f>
        <v/>
      </c>
      <c r="V3323" s="35" t="str">
        <f aca="false">IF($A3323="","",COUNTIF($U$8:$U$5007,$U3323))</f>
        <v/>
      </c>
    </row>
    <row r="3324" customFormat="false" ht="15" hidden="false" customHeight="false" outlineLevel="0" collapsed="false">
      <c r="A3324" s="31"/>
      <c r="B3324" s="32"/>
      <c r="C3324" s="32"/>
      <c r="D3324" s="32"/>
      <c r="E3324" s="32"/>
      <c r="F3324" s="32"/>
      <c r="G3324" s="33"/>
      <c r="H3324" s="33"/>
      <c r="I3324" s="34" t="str">
        <f aca="false">IF($A3324="","",$G3324-$H3324)</f>
        <v/>
      </c>
      <c r="J3324" s="35" t="str">
        <f aca="false">IF($A3324="","",IF(Setup!$B$6=1,YEAR($A3324),YEAR($A3324)+IF(MONTH($A3324)&gt;=Setup!$B$6,1,0)))</f>
        <v/>
      </c>
      <c r="K3324" s="35" t="str">
        <f aca="false">IF($A3324="","",MOD(MONTH($A3324)-Setup!$B$6+12,12)+1)</f>
        <v/>
      </c>
      <c r="L3324" s="36" t="str">
        <f aca="false">IF($A3324="","",TEXT($A3324,"MMM-YY"))</f>
        <v/>
      </c>
      <c r="M3324" s="37" t="str">
        <f aca="false">IF($A3324="","",IF($Q3324=0,"UNMAPPED",INDEX(COA_Mapping!$C$7:$C$256,$Q3324)))</f>
        <v/>
      </c>
      <c r="N3324" s="38" t="str">
        <f aca="false">IF($A3324="","",IF($Q3324=0,"",INDEX(COA_Mapping!$E$7:$E$256,$Q3324)))</f>
        <v/>
      </c>
      <c r="O3324" s="38" t="n">
        <f aca="false">IF($A3324="",1,IF($Q3324=0,1,INDEX(COA_Mapping!$F$7:$F$256,$Q3324)))</f>
        <v>1</v>
      </c>
      <c r="P3324" s="34" t="str">
        <f aca="false">IF($A3324="","",$I3324*$O3324)</f>
        <v/>
      </c>
      <c r="Q3324" s="39" t="n">
        <f aca="false">IF($B3324="",0,IFERROR(MATCH($B3324,COA_Mapping!$A$7:$A$256,0),0))</f>
        <v>0</v>
      </c>
      <c r="R3324" s="39" t="n">
        <f aca="false">IF($A3324="",-1,IF($J3324=Setup!$B$7,1,IF($J3324=Setup!$B$9,0,-1)))</f>
        <v>-1</v>
      </c>
      <c r="S3324" s="35" t="n">
        <f aca="false">IF(OR($A3324="",$Q3324=0,$R3324=-1),0,$Q3324*1000+$R3324*100+$K3324)</f>
        <v>0</v>
      </c>
      <c r="T3324" s="37" t="str">
        <f aca="false">IF($A3324="","",IF($B3324="","NO ACCOUNT",IF($Q3324=0,"UNMAPPED",IF($R3324=-1,"OUTSIDE FY RANGE","OK"))))</f>
        <v/>
      </c>
      <c r="U3324" s="40" t="str">
        <f aca="false">IF($A3324="","",$B3324&amp;"|"&amp;TEXT($A3324,"yyyymmdd")&amp;"|"&amp;TEXT($I3324,"0.00"))</f>
        <v/>
      </c>
      <c r="V3324" s="35" t="str">
        <f aca="false">IF($A3324="","",COUNTIF($U$8:$U$5007,$U3324))</f>
        <v/>
      </c>
    </row>
    <row r="3325" customFormat="false" ht="15" hidden="false" customHeight="false" outlineLevel="0" collapsed="false">
      <c r="A3325" s="31"/>
      <c r="B3325" s="32"/>
      <c r="C3325" s="32"/>
      <c r="D3325" s="32"/>
      <c r="E3325" s="32"/>
      <c r="F3325" s="32"/>
      <c r="G3325" s="33"/>
      <c r="H3325" s="33"/>
      <c r="I3325" s="34" t="str">
        <f aca="false">IF($A3325="","",$G3325-$H3325)</f>
        <v/>
      </c>
      <c r="J3325" s="35" t="str">
        <f aca="false">IF($A3325="","",IF(Setup!$B$6=1,YEAR($A3325),YEAR($A3325)+IF(MONTH($A3325)&gt;=Setup!$B$6,1,0)))</f>
        <v/>
      </c>
      <c r="K3325" s="35" t="str">
        <f aca="false">IF($A3325="","",MOD(MONTH($A3325)-Setup!$B$6+12,12)+1)</f>
        <v/>
      </c>
      <c r="L3325" s="36" t="str">
        <f aca="false">IF($A3325="","",TEXT($A3325,"MMM-YY"))</f>
        <v/>
      </c>
      <c r="M3325" s="37" t="str">
        <f aca="false">IF($A3325="","",IF($Q3325=0,"UNMAPPED",INDEX(COA_Mapping!$C$7:$C$256,$Q3325)))</f>
        <v/>
      </c>
      <c r="N3325" s="38" t="str">
        <f aca="false">IF($A3325="","",IF($Q3325=0,"",INDEX(COA_Mapping!$E$7:$E$256,$Q3325)))</f>
        <v/>
      </c>
      <c r="O3325" s="38" t="n">
        <f aca="false">IF($A3325="",1,IF($Q3325=0,1,INDEX(COA_Mapping!$F$7:$F$256,$Q3325)))</f>
        <v>1</v>
      </c>
      <c r="P3325" s="34" t="str">
        <f aca="false">IF($A3325="","",$I3325*$O3325)</f>
        <v/>
      </c>
      <c r="Q3325" s="39" t="n">
        <f aca="false">IF($B3325="",0,IFERROR(MATCH($B3325,COA_Mapping!$A$7:$A$256,0),0))</f>
        <v>0</v>
      </c>
      <c r="R3325" s="39" t="n">
        <f aca="false">IF($A3325="",-1,IF($J3325=Setup!$B$7,1,IF($J3325=Setup!$B$9,0,-1)))</f>
        <v>-1</v>
      </c>
      <c r="S3325" s="35" t="n">
        <f aca="false">IF(OR($A3325="",$Q3325=0,$R3325=-1),0,$Q3325*1000+$R3325*100+$K3325)</f>
        <v>0</v>
      </c>
      <c r="T3325" s="37" t="str">
        <f aca="false">IF($A3325="","",IF($B3325="","NO ACCOUNT",IF($Q3325=0,"UNMAPPED",IF($R3325=-1,"OUTSIDE FY RANGE","OK"))))</f>
        <v/>
      </c>
      <c r="U3325" s="40" t="str">
        <f aca="false">IF($A3325="","",$B3325&amp;"|"&amp;TEXT($A3325,"yyyymmdd")&amp;"|"&amp;TEXT($I3325,"0.00"))</f>
        <v/>
      </c>
      <c r="V3325" s="35" t="str">
        <f aca="false">IF($A3325="","",COUNTIF($U$8:$U$5007,$U3325))</f>
        <v/>
      </c>
    </row>
    <row r="3326" customFormat="false" ht="15" hidden="false" customHeight="false" outlineLevel="0" collapsed="false">
      <c r="A3326" s="31"/>
      <c r="B3326" s="32"/>
      <c r="C3326" s="32"/>
      <c r="D3326" s="32"/>
      <c r="E3326" s="32"/>
      <c r="F3326" s="32"/>
      <c r="G3326" s="33"/>
      <c r="H3326" s="33"/>
      <c r="I3326" s="34" t="str">
        <f aca="false">IF($A3326="","",$G3326-$H3326)</f>
        <v/>
      </c>
      <c r="J3326" s="35" t="str">
        <f aca="false">IF($A3326="","",IF(Setup!$B$6=1,YEAR($A3326),YEAR($A3326)+IF(MONTH($A3326)&gt;=Setup!$B$6,1,0)))</f>
        <v/>
      </c>
      <c r="K3326" s="35" t="str">
        <f aca="false">IF($A3326="","",MOD(MONTH($A3326)-Setup!$B$6+12,12)+1)</f>
        <v/>
      </c>
      <c r="L3326" s="36" t="str">
        <f aca="false">IF($A3326="","",TEXT($A3326,"MMM-YY"))</f>
        <v/>
      </c>
      <c r="M3326" s="37" t="str">
        <f aca="false">IF($A3326="","",IF($Q3326=0,"UNMAPPED",INDEX(COA_Mapping!$C$7:$C$256,$Q3326)))</f>
        <v/>
      </c>
      <c r="N3326" s="38" t="str">
        <f aca="false">IF($A3326="","",IF($Q3326=0,"",INDEX(COA_Mapping!$E$7:$E$256,$Q3326)))</f>
        <v/>
      </c>
      <c r="O3326" s="38" t="n">
        <f aca="false">IF($A3326="",1,IF($Q3326=0,1,INDEX(COA_Mapping!$F$7:$F$256,$Q3326)))</f>
        <v>1</v>
      </c>
      <c r="P3326" s="34" t="str">
        <f aca="false">IF($A3326="","",$I3326*$O3326)</f>
        <v/>
      </c>
      <c r="Q3326" s="39" t="n">
        <f aca="false">IF($B3326="",0,IFERROR(MATCH($B3326,COA_Mapping!$A$7:$A$256,0),0))</f>
        <v>0</v>
      </c>
      <c r="R3326" s="39" t="n">
        <f aca="false">IF($A3326="",-1,IF($J3326=Setup!$B$7,1,IF($J3326=Setup!$B$9,0,-1)))</f>
        <v>-1</v>
      </c>
      <c r="S3326" s="35" t="n">
        <f aca="false">IF(OR($A3326="",$Q3326=0,$R3326=-1),0,$Q3326*1000+$R3326*100+$K3326)</f>
        <v>0</v>
      </c>
      <c r="T3326" s="37" t="str">
        <f aca="false">IF($A3326="","",IF($B3326="","NO ACCOUNT",IF($Q3326=0,"UNMAPPED",IF($R3326=-1,"OUTSIDE FY RANGE","OK"))))</f>
        <v/>
      </c>
      <c r="U3326" s="40" t="str">
        <f aca="false">IF($A3326="","",$B3326&amp;"|"&amp;TEXT($A3326,"yyyymmdd")&amp;"|"&amp;TEXT($I3326,"0.00"))</f>
        <v/>
      </c>
      <c r="V3326" s="35" t="str">
        <f aca="false">IF($A3326="","",COUNTIF($U$8:$U$5007,$U3326))</f>
        <v/>
      </c>
    </row>
    <row r="3327" customFormat="false" ht="15" hidden="false" customHeight="false" outlineLevel="0" collapsed="false">
      <c r="A3327" s="31"/>
      <c r="B3327" s="32"/>
      <c r="C3327" s="32"/>
      <c r="D3327" s="32"/>
      <c r="E3327" s="32"/>
      <c r="F3327" s="32"/>
      <c r="G3327" s="33"/>
      <c r="H3327" s="33"/>
      <c r="I3327" s="34" t="str">
        <f aca="false">IF($A3327="","",$G3327-$H3327)</f>
        <v/>
      </c>
      <c r="J3327" s="35" t="str">
        <f aca="false">IF($A3327="","",IF(Setup!$B$6=1,YEAR($A3327),YEAR($A3327)+IF(MONTH($A3327)&gt;=Setup!$B$6,1,0)))</f>
        <v/>
      </c>
      <c r="K3327" s="35" t="str">
        <f aca="false">IF($A3327="","",MOD(MONTH($A3327)-Setup!$B$6+12,12)+1)</f>
        <v/>
      </c>
      <c r="L3327" s="36" t="str">
        <f aca="false">IF($A3327="","",TEXT($A3327,"MMM-YY"))</f>
        <v/>
      </c>
      <c r="M3327" s="37" t="str">
        <f aca="false">IF($A3327="","",IF($Q3327=0,"UNMAPPED",INDEX(COA_Mapping!$C$7:$C$256,$Q3327)))</f>
        <v/>
      </c>
      <c r="N3327" s="38" t="str">
        <f aca="false">IF($A3327="","",IF($Q3327=0,"",INDEX(COA_Mapping!$E$7:$E$256,$Q3327)))</f>
        <v/>
      </c>
      <c r="O3327" s="38" t="n">
        <f aca="false">IF($A3327="",1,IF($Q3327=0,1,INDEX(COA_Mapping!$F$7:$F$256,$Q3327)))</f>
        <v>1</v>
      </c>
      <c r="P3327" s="34" t="str">
        <f aca="false">IF($A3327="","",$I3327*$O3327)</f>
        <v/>
      </c>
      <c r="Q3327" s="39" t="n">
        <f aca="false">IF($B3327="",0,IFERROR(MATCH($B3327,COA_Mapping!$A$7:$A$256,0),0))</f>
        <v>0</v>
      </c>
      <c r="R3327" s="39" t="n">
        <f aca="false">IF($A3327="",-1,IF($J3327=Setup!$B$7,1,IF($J3327=Setup!$B$9,0,-1)))</f>
        <v>-1</v>
      </c>
      <c r="S3327" s="35" t="n">
        <f aca="false">IF(OR($A3327="",$Q3327=0,$R3327=-1),0,$Q3327*1000+$R3327*100+$K3327)</f>
        <v>0</v>
      </c>
      <c r="T3327" s="37" t="str">
        <f aca="false">IF($A3327="","",IF($B3327="","NO ACCOUNT",IF($Q3327=0,"UNMAPPED",IF($R3327=-1,"OUTSIDE FY RANGE","OK"))))</f>
        <v/>
      </c>
      <c r="U3327" s="40" t="str">
        <f aca="false">IF($A3327="","",$B3327&amp;"|"&amp;TEXT($A3327,"yyyymmdd")&amp;"|"&amp;TEXT($I3327,"0.00"))</f>
        <v/>
      </c>
      <c r="V3327" s="35" t="str">
        <f aca="false">IF($A3327="","",COUNTIF($U$8:$U$5007,$U3327))</f>
        <v/>
      </c>
    </row>
    <row r="3328" customFormat="false" ht="15" hidden="false" customHeight="false" outlineLevel="0" collapsed="false">
      <c r="A3328" s="31"/>
      <c r="B3328" s="32"/>
      <c r="C3328" s="32"/>
      <c r="D3328" s="32"/>
      <c r="E3328" s="32"/>
      <c r="F3328" s="32"/>
      <c r="G3328" s="33"/>
      <c r="H3328" s="33"/>
      <c r="I3328" s="34" t="str">
        <f aca="false">IF($A3328="","",$G3328-$H3328)</f>
        <v/>
      </c>
      <c r="J3328" s="35" t="str">
        <f aca="false">IF($A3328="","",IF(Setup!$B$6=1,YEAR($A3328),YEAR($A3328)+IF(MONTH($A3328)&gt;=Setup!$B$6,1,0)))</f>
        <v/>
      </c>
      <c r="K3328" s="35" t="str">
        <f aca="false">IF($A3328="","",MOD(MONTH($A3328)-Setup!$B$6+12,12)+1)</f>
        <v/>
      </c>
      <c r="L3328" s="36" t="str">
        <f aca="false">IF($A3328="","",TEXT($A3328,"MMM-YY"))</f>
        <v/>
      </c>
      <c r="M3328" s="37" t="str">
        <f aca="false">IF($A3328="","",IF($Q3328=0,"UNMAPPED",INDEX(COA_Mapping!$C$7:$C$256,$Q3328)))</f>
        <v/>
      </c>
      <c r="N3328" s="38" t="str">
        <f aca="false">IF($A3328="","",IF($Q3328=0,"",INDEX(COA_Mapping!$E$7:$E$256,$Q3328)))</f>
        <v/>
      </c>
      <c r="O3328" s="38" t="n">
        <f aca="false">IF($A3328="",1,IF($Q3328=0,1,INDEX(COA_Mapping!$F$7:$F$256,$Q3328)))</f>
        <v>1</v>
      </c>
      <c r="P3328" s="34" t="str">
        <f aca="false">IF($A3328="","",$I3328*$O3328)</f>
        <v/>
      </c>
      <c r="Q3328" s="39" t="n">
        <f aca="false">IF($B3328="",0,IFERROR(MATCH($B3328,COA_Mapping!$A$7:$A$256,0),0))</f>
        <v>0</v>
      </c>
      <c r="R3328" s="39" t="n">
        <f aca="false">IF($A3328="",-1,IF($J3328=Setup!$B$7,1,IF($J3328=Setup!$B$9,0,-1)))</f>
        <v>-1</v>
      </c>
      <c r="S3328" s="35" t="n">
        <f aca="false">IF(OR($A3328="",$Q3328=0,$R3328=-1),0,$Q3328*1000+$R3328*100+$K3328)</f>
        <v>0</v>
      </c>
      <c r="T3328" s="37" t="str">
        <f aca="false">IF($A3328="","",IF($B3328="","NO ACCOUNT",IF($Q3328=0,"UNMAPPED",IF($R3328=-1,"OUTSIDE FY RANGE","OK"))))</f>
        <v/>
      </c>
      <c r="U3328" s="40" t="str">
        <f aca="false">IF($A3328="","",$B3328&amp;"|"&amp;TEXT($A3328,"yyyymmdd")&amp;"|"&amp;TEXT($I3328,"0.00"))</f>
        <v/>
      </c>
      <c r="V3328" s="35" t="str">
        <f aca="false">IF($A3328="","",COUNTIF($U$8:$U$5007,$U3328))</f>
        <v/>
      </c>
    </row>
    <row r="3329" customFormat="false" ht="15" hidden="false" customHeight="false" outlineLevel="0" collapsed="false">
      <c r="A3329" s="31"/>
      <c r="B3329" s="32"/>
      <c r="C3329" s="32"/>
      <c r="D3329" s="32"/>
      <c r="E3329" s="32"/>
      <c r="F3329" s="32"/>
      <c r="G3329" s="33"/>
      <c r="H3329" s="33"/>
      <c r="I3329" s="34" t="str">
        <f aca="false">IF($A3329="","",$G3329-$H3329)</f>
        <v/>
      </c>
      <c r="J3329" s="35" t="str">
        <f aca="false">IF($A3329="","",IF(Setup!$B$6=1,YEAR($A3329),YEAR($A3329)+IF(MONTH($A3329)&gt;=Setup!$B$6,1,0)))</f>
        <v/>
      </c>
      <c r="K3329" s="35" t="str">
        <f aca="false">IF($A3329="","",MOD(MONTH($A3329)-Setup!$B$6+12,12)+1)</f>
        <v/>
      </c>
      <c r="L3329" s="36" t="str">
        <f aca="false">IF($A3329="","",TEXT($A3329,"MMM-YY"))</f>
        <v/>
      </c>
      <c r="M3329" s="37" t="str">
        <f aca="false">IF($A3329="","",IF($Q3329=0,"UNMAPPED",INDEX(COA_Mapping!$C$7:$C$256,$Q3329)))</f>
        <v/>
      </c>
      <c r="N3329" s="38" t="str">
        <f aca="false">IF($A3329="","",IF($Q3329=0,"",INDEX(COA_Mapping!$E$7:$E$256,$Q3329)))</f>
        <v/>
      </c>
      <c r="O3329" s="38" t="n">
        <f aca="false">IF($A3329="",1,IF($Q3329=0,1,INDEX(COA_Mapping!$F$7:$F$256,$Q3329)))</f>
        <v>1</v>
      </c>
      <c r="P3329" s="34" t="str">
        <f aca="false">IF($A3329="","",$I3329*$O3329)</f>
        <v/>
      </c>
      <c r="Q3329" s="39" t="n">
        <f aca="false">IF($B3329="",0,IFERROR(MATCH($B3329,COA_Mapping!$A$7:$A$256,0),0))</f>
        <v>0</v>
      </c>
      <c r="R3329" s="39" t="n">
        <f aca="false">IF($A3329="",-1,IF($J3329=Setup!$B$7,1,IF($J3329=Setup!$B$9,0,-1)))</f>
        <v>-1</v>
      </c>
      <c r="S3329" s="35" t="n">
        <f aca="false">IF(OR($A3329="",$Q3329=0,$R3329=-1),0,$Q3329*1000+$R3329*100+$K3329)</f>
        <v>0</v>
      </c>
      <c r="T3329" s="37" t="str">
        <f aca="false">IF($A3329="","",IF($B3329="","NO ACCOUNT",IF($Q3329=0,"UNMAPPED",IF($R3329=-1,"OUTSIDE FY RANGE","OK"))))</f>
        <v/>
      </c>
      <c r="U3329" s="40" t="str">
        <f aca="false">IF($A3329="","",$B3329&amp;"|"&amp;TEXT($A3329,"yyyymmdd")&amp;"|"&amp;TEXT($I3329,"0.00"))</f>
        <v/>
      </c>
      <c r="V3329" s="35" t="str">
        <f aca="false">IF($A3329="","",COUNTIF($U$8:$U$5007,$U3329))</f>
        <v/>
      </c>
    </row>
    <row r="3330" customFormat="false" ht="15" hidden="false" customHeight="false" outlineLevel="0" collapsed="false">
      <c r="A3330" s="31"/>
      <c r="B3330" s="32"/>
      <c r="C3330" s="32"/>
      <c r="D3330" s="32"/>
      <c r="E3330" s="32"/>
      <c r="F3330" s="32"/>
      <c r="G3330" s="33"/>
      <c r="H3330" s="33"/>
      <c r="I3330" s="34" t="str">
        <f aca="false">IF($A3330="","",$G3330-$H3330)</f>
        <v/>
      </c>
      <c r="J3330" s="35" t="str">
        <f aca="false">IF($A3330="","",IF(Setup!$B$6=1,YEAR($A3330),YEAR($A3330)+IF(MONTH($A3330)&gt;=Setup!$B$6,1,0)))</f>
        <v/>
      </c>
      <c r="K3330" s="35" t="str">
        <f aca="false">IF($A3330="","",MOD(MONTH($A3330)-Setup!$B$6+12,12)+1)</f>
        <v/>
      </c>
      <c r="L3330" s="36" t="str">
        <f aca="false">IF($A3330="","",TEXT($A3330,"MMM-YY"))</f>
        <v/>
      </c>
      <c r="M3330" s="37" t="str">
        <f aca="false">IF($A3330="","",IF($Q3330=0,"UNMAPPED",INDEX(COA_Mapping!$C$7:$C$256,$Q3330)))</f>
        <v/>
      </c>
      <c r="N3330" s="38" t="str">
        <f aca="false">IF($A3330="","",IF($Q3330=0,"",INDEX(COA_Mapping!$E$7:$E$256,$Q3330)))</f>
        <v/>
      </c>
      <c r="O3330" s="38" t="n">
        <f aca="false">IF($A3330="",1,IF($Q3330=0,1,INDEX(COA_Mapping!$F$7:$F$256,$Q3330)))</f>
        <v>1</v>
      </c>
      <c r="P3330" s="34" t="str">
        <f aca="false">IF($A3330="","",$I3330*$O3330)</f>
        <v/>
      </c>
      <c r="Q3330" s="39" t="n">
        <f aca="false">IF($B3330="",0,IFERROR(MATCH($B3330,COA_Mapping!$A$7:$A$256,0),0))</f>
        <v>0</v>
      </c>
      <c r="R3330" s="39" t="n">
        <f aca="false">IF($A3330="",-1,IF($J3330=Setup!$B$7,1,IF($J3330=Setup!$B$9,0,-1)))</f>
        <v>-1</v>
      </c>
      <c r="S3330" s="35" t="n">
        <f aca="false">IF(OR($A3330="",$Q3330=0,$R3330=-1),0,$Q3330*1000+$R3330*100+$K3330)</f>
        <v>0</v>
      </c>
      <c r="T3330" s="37" t="str">
        <f aca="false">IF($A3330="","",IF($B3330="","NO ACCOUNT",IF($Q3330=0,"UNMAPPED",IF($R3330=-1,"OUTSIDE FY RANGE","OK"))))</f>
        <v/>
      </c>
      <c r="U3330" s="40" t="str">
        <f aca="false">IF($A3330="","",$B3330&amp;"|"&amp;TEXT($A3330,"yyyymmdd")&amp;"|"&amp;TEXT($I3330,"0.00"))</f>
        <v/>
      </c>
      <c r="V3330" s="35" t="str">
        <f aca="false">IF($A3330="","",COUNTIF($U$8:$U$5007,$U3330))</f>
        <v/>
      </c>
    </row>
    <row r="3331" customFormat="false" ht="15" hidden="false" customHeight="false" outlineLevel="0" collapsed="false">
      <c r="A3331" s="31"/>
      <c r="B3331" s="32"/>
      <c r="C3331" s="32"/>
      <c r="D3331" s="32"/>
      <c r="E3331" s="32"/>
      <c r="F3331" s="32"/>
      <c r="G3331" s="33"/>
      <c r="H3331" s="33"/>
      <c r="I3331" s="34" t="str">
        <f aca="false">IF($A3331="","",$G3331-$H3331)</f>
        <v/>
      </c>
      <c r="J3331" s="35" t="str">
        <f aca="false">IF($A3331="","",IF(Setup!$B$6=1,YEAR($A3331),YEAR($A3331)+IF(MONTH($A3331)&gt;=Setup!$B$6,1,0)))</f>
        <v/>
      </c>
      <c r="K3331" s="35" t="str">
        <f aca="false">IF($A3331="","",MOD(MONTH($A3331)-Setup!$B$6+12,12)+1)</f>
        <v/>
      </c>
      <c r="L3331" s="36" t="str">
        <f aca="false">IF($A3331="","",TEXT($A3331,"MMM-YY"))</f>
        <v/>
      </c>
      <c r="M3331" s="37" t="str">
        <f aca="false">IF($A3331="","",IF($Q3331=0,"UNMAPPED",INDEX(COA_Mapping!$C$7:$C$256,$Q3331)))</f>
        <v/>
      </c>
      <c r="N3331" s="38" t="str">
        <f aca="false">IF($A3331="","",IF($Q3331=0,"",INDEX(COA_Mapping!$E$7:$E$256,$Q3331)))</f>
        <v/>
      </c>
      <c r="O3331" s="38" t="n">
        <f aca="false">IF($A3331="",1,IF($Q3331=0,1,INDEX(COA_Mapping!$F$7:$F$256,$Q3331)))</f>
        <v>1</v>
      </c>
      <c r="P3331" s="34" t="str">
        <f aca="false">IF($A3331="","",$I3331*$O3331)</f>
        <v/>
      </c>
      <c r="Q3331" s="39" t="n">
        <f aca="false">IF($B3331="",0,IFERROR(MATCH($B3331,COA_Mapping!$A$7:$A$256,0),0))</f>
        <v>0</v>
      </c>
      <c r="R3331" s="39" t="n">
        <f aca="false">IF($A3331="",-1,IF($J3331=Setup!$B$7,1,IF($J3331=Setup!$B$9,0,-1)))</f>
        <v>-1</v>
      </c>
      <c r="S3331" s="35" t="n">
        <f aca="false">IF(OR($A3331="",$Q3331=0,$R3331=-1),0,$Q3331*1000+$R3331*100+$K3331)</f>
        <v>0</v>
      </c>
      <c r="T3331" s="37" t="str">
        <f aca="false">IF($A3331="","",IF($B3331="","NO ACCOUNT",IF($Q3331=0,"UNMAPPED",IF($R3331=-1,"OUTSIDE FY RANGE","OK"))))</f>
        <v/>
      </c>
      <c r="U3331" s="40" t="str">
        <f aca="false">IF($A3331="","",$B3331&amp;"|"&amp;TEXT($A3331,"yyyymmdd")&amp;"|"&amp;TEXT($I3331,"0.00"))</f>
        <v/>
      </c>
      <c r="V3331" s="35" t="str">
        <f aca="false">IF($A3331="","",COUNTIF($U$8:$U$5007,$U3331))</f>
        <v/>
      </c>
    </row>
    <row r="3332" customFormat="false" ht="15" hidden="false" customHeight="false" outlineLevel="0" collapsed="false">
      <c r="A3332" s="31"/>
      <c r="B3332" s="32"/>
      <c r="C3332" s="32"/>
      <c r="D3332" s="32"/>
      <c r="E3332" s="32"/>
      <c r="F3332" s="32"/>
      <c r="G3332" s="33"/>
      <c r="H3332" s="33"/>
      <c r="I3332" s="34" t="str">
        <f aca="false">IF($A3332="","",$G3332-$H3332)</f>
        <v/>
      </c>
      <c r="J3332" s="35" t="str">
        <f aca="false">IF($A3332="","",IF(Setup!$B$6=1,YEAR($A3332),YEAR($A3332)+IF(MONTH($A3332)&gt;=Setup!$B$6,1,0)))</f>
        <v/>
      </c>
      <c r="K3332" s="35" t="str">
        <f aca="false">IF($A3332="","",MOD(MONTH($A3332)-Setup!$B$6+12,12)+1)</f>
        <v/>
      </c>
      <c r="L3332" s="36" t="str">
        <f aca="false">IF($A3332="","",TEXT($A3332,"MMM-YY"))</f>
        <v/>
      </c>
      <c r="M3332" s="37" t="str">
        <f aca="false">IF($A3332="","",IF($Q3332=0,"UNMAPPED",INDEX(COA_Mapping!$C$7:$C$256,$Q3332)))</f>
        <v/>
      </c>
      <c r="N3332" s="38" t="str">
        <f aca="false">IF($A3332="","",IF($Q3332=0,"",INDEX(COA_Mapping!$E$7:$E$256,$Q3332)))</f>
        <v/>
      </c>
      <c r="O3332" s="38" t="n">
        <f aca="false">IF($A3332="",1,IF($Q3332=0,1,INDEX(COA_Mapping!$F$7:$F$256,$Q3332)))</f>
        <v>1</v>
      </c>
      <c r="P3332" s="34" t="str">
        <f aca="false">IF($A3332="","",$I3332*$O3332)</f>
        <v/>
      </c>
      <c r="Q3332" s="39" t="n">
        <f aca="false">IF($B3332="",0,IFERROR(MATCH($B3332,COA_Mapping!$A$7:$A$256,0),0))</f>
        <v>0</v>
      </c>
      <c r="R3332" s="39" t="n">
        <f aca="false">IF($A3332="",-1,IF($J3332=Setup!$B$7,1,IF($J3332=Setup!$B$9,0,-1)))</f>
        <v>-1</v>
      </c>
      <c r="S3332" s="35" t="n">
        <f aca="false">IF(OR($A3332="",$Q3332=0,$R3332=-1),0,$Q3332*1000+$R3332*100+$K3332)</f>
        <v>0</v>
      </c>
      <c r="T3332" s="37" t="str">
        <f aca="false">IF($A3332="","",IF($B3332="","NO ACCOUNT",IF($Q3332=0,"UNMAPPED",IF($R3332=-1,"OUTSIDE FY RANGE","OK"))))</f>
        <v/>
      </c>
      <c r="U3332" s="40" t="str">
        <f aca="false">IF($A3332="","",$B3332&amp;"|"&amp;TEXT($A3332,"yyyymmdd")&amp;"|"&amp;TEXT($I3332,"0.00"))</f>
        <v/>
      </c>
      <c r="V3332" s="35" t="str">
        <f aca="false">IF($A3332="","",COUNTIF($U$8:$U$5007,$U3332))</f>
        <v/>
      </c>
    </row>
    <row r="3333" customFormat="false" ht="15" hidden="false" customHeight="false" outlineLevel="0" collapsed="false">
      <c r="A3333" s="31"/>
      <c r="B3333" s="32"/>
      <c r="C3333" s="32"/>
      <c r="D3333" s="32"/>
      <c r="E3333" s="32"/>
      <c r="F3333" s="32"/>
      <c r="G3333" s="33"/>
      <c r="H3333" s="33"/>
      <c r="I3333" s="34" t="str">
        <f aca="false">IF($A3333="","",$G3333-$H3333)</f>
        <v/>
      </c>
      <c r="J3333" s="35" t="str">
        <f aca="false">IF($A3333="","",IF(Setup!$B$6=1,YEAR($A3333),YEAR($A3333)+IF(MONTH($A3333)&gt;=Setup!$B$6,1,0)))</f>
        <v/>
      </c>
      <c r="K3333" s="35" t="str">
        <f aca="false">IF($A3333="","",MOD(MONTH($A3333)-Setup!$B$6+12,12)+1)</f>
        <v/>
      </c>
      <c r="L3333" s="36" t="str">
        <f aca="false">IF($A3333="","",TEXT($A3333,"MMM-YY"))</f>
        <v/>
      </c>
      <c r="M3333" s="37" t="str">
        <f aca="false">IF($A3333="","",IF($Q3333=0,"UNMAPPED",INDEX(COA_Mapping!$C$7:$C$256,$Q3333)))</f>
        <v/>
      </c>
      <c r="N3333" s="38" t="str">
        <f aca="false">IF($A3333="","",IF($Q3333=0,"",INDEX(COA_Mapping!$E$7:$E$256,$Q3333)))</f>
        <v/>
      </c>
      <c r="O3333" s="38" t="n">
        <f aca="false">IF($A3333="",1,IF($Q3333=0,1,INDEX(COA_Mapping!$F$7:$F$256,$Q3333)))</f>
        <v>1</v>
      </c>
      <c r="P3333" s="34" t="str">
        <f aca="false">IF($A3333="","",$I3333*$O3333)</f>
        <v/>
      </c>
      <c r="Q3333" s="39" t="n">
        <f aca="false">IF($B3333="",0,IFERROR(MATCH($B3333,COA_Mapping!$A$7:$A$256,0),0))</f>
        <v>0</v>
      </c>
      <c r="R3333" s="39" t="n">
        <f aca="false">IF($A3333="",-1,IF($J3333=Setup!$B$7,1,IF($J3333=Setup!$B$9,0,-1)))</f>
        <v>-1</v>
      </c>
      <c r="S3333" s="35" t="n">
        <f aca="false">IF(OR($A3333="",$Q3333=0,$R3333=-1),0,$Q3333*1000+$R3333*100+$K3333)</f>
        <v>0</v>
      </c>
      <c r="T3333" s="37" t="str">
        <f aca="false">IF($A3333="","",IF($B3333="","NO ACCOUNT",IF($Q3333=0,"UNMAPPED",IF($R3333=-1,"OUTSIDE FY RANGE","OK"))))</f>
        <v/>
      </c>
      <c r="U3333" s="40" t="str">
        <f aca="false">IF($A3333="","",$B3333&amp;"|"&amp;TEXT($A3333,"yyyymmdd")&amp;"|"&amp;TEXT($I3333,"0.00"))</f>
        <v/>
      </c>
      <c r="V3333" s="35" t="str">
        <f aca="false">IF($A3333="","",COUNTIF($U$8:$U$5007,$U3333))</f>
        <v/>
      </c>
    </row>
    <row r="3334" customFormat="false" ht="15" hidden="false" customHeight="false" outlineLevel="0" collapsed="false">
      <c r="A3334" s="31"/>
      <c r="B3334" s="32"/>
      <c r="C3334" s="32"/>
      <c r="D3334" s="32"/>
      <c r="E3334" s="32"/>
      <c r="F3334" s="32"/>
      <c r="G3334" s="33"/>
      <c r="H3334" s="33"/>
      <c r="I3334" s="34" t="str">
        <f aca="false">IF($A3334="","",$G3334-$H3334)</f>
        <v/>
      </c>
      <c r="J3334" s="35" t="str">
        <f aca="false">IF($A3334="","",IF(Setup!$B$6=1,YEAR($A3334),YEAR($A3334)+IF(MONTH($A3334)&gt;=Setup!$B$6,1,0)))</f>
        <v/>
      </c>
      <c r="K3334" s="35" t="str">
        <f aca="false">IF($A3334="","",MOD(MONTH($A3334)-Setup!$B$6+12,12)+1)</f>
        <v/>
      </c>
      <c r="L3334" s="36" t="str">
        <f aca="false">IF($A3334="","",TEXT($A3334,"MMM-YY"))</f>
        <v/>
      </c>
      <c r="M3334" s="37" t="str">
        <f aca="false">IF($A3334="","",IF($Q3334=0,"UNMAPPED",INDEX(COA_Mapping!$C$7:$C$256,$Q3334)))</f>
        <v/>
      </c>
      <c r="N3334" s="38" t="str">
        <f aca="false">IF($A3334="","",IF($Q3334=0,"",INDEX(COA_Mapping!$E$7:$E$256,$Q3334)))</f>
        <v/>
      </c>
      <c r="O3334" s="38" t="n">
        <f aca="false">IF($A3334="",1,IF($Q3334=0,1,INDEX(COA_Mapping!$F$7:$F$256,$Q3334)))</f>
        <v>1</v>
      </c>
      <c r="P3334" s="34" t="str">
        <f aca="false">IF($A3334="","",$I3334*$O3334)</f>
        <v/>
      </c>
      <c r="Q3334" s="39" t="n">
        <f aca="false">IF($B3334="",0,IFERROR(MATCH($B3334,COA_Mapping!$A$7:$A$256,0),0))</f>
        <v>0</v>
      </c>
      <c r="R3334" s="39" t="n">
        <f aca="false">IF($A3334="",-1,IF($J3334=Setup!$B$7,1,IF($J3334=Setup!$B$9,0,-1)))</f>
        <v>-1</v>
      </c>
      <c r="S3334" s="35" t="n">
        <f aca="false">IF(OR($A3334="",$Q3334=0,$R3334=-1),0,$Q3334*1000+$R3334*100+$K3334)</f>
        <v>0</v>
      </c>
      <c r="T3334" s="37" t="str">
        <f aca="false">IF($A3334="","",IF($B3334="","NO ACCOUNT",IF($Q3334=0,"UNMAPPED",IF($R3334=-1,"OUTSIDE FY RANGE","OK"))))</f>
        <v/>
      </c>
      <c r="U3334" s="40" t="str">
        <f aca="false">IF($A3334="","",$B3334&amp;"|"&amp;TEXT($A3334,"yyyymmdd")&amp;"|"&amp;TEXT($I3334,"0.00"))</f>
        <v/>
      </c>
      <c r="V3334" s="35" t="str">
        <f aca="false">IF($A3334="","",COUNTIF($U$8:$U$5007,$U3334))</f>
        <v/>
      </c>
    </row>
    <row r="3335" customFormat="false" ht="15" hidden="false" customHeight="false" outlineLevel="0" collapsed="false">
      <c r="A3335" s="31"/>
      <c r="B3335" s="32"/>
      <c r="C3335" s="32"/>
      <c r="D3335" s="32"/>
      <c r="E3335" s="32"/>
      <c r="F3335" s="32"/>
      <c r="G3335" s="33"/>
      <c r="H3335" s="33"/>
      <c r="I3335" s="34" t="str">
        <f aca="false">IF($A3335="","",$G3335-$H3335)</f>
        <v/>
      </c>
      <c r="J3335" s="35" t="str">
        <f aca="false">IF($A3335="","",IF(Setup!$B$6=1,YEAR($A3335),YEAR($A3335)+IF(MONTH($A3335)&gt;=Setup!$B$6,1,0)))</f>
        <v/>
      </c>
      <c r="K3335" s="35" t="str">
        <f aca="false">IF($A3335="","",MOD(MONTH($A3335)-Setup!$B$6+12,12)+1)</f>
        <v/>
      </c>
      <c r="L3335" s="36" t="str">
        <f aca="false">IF($A3335="","",TEXT($A3335,"MMM-YY"))</f>
        <v/>
      </c>
      <c r="M3335" s="37" t="str">
        <f aca="false">IF($A3335="","",IF($Q3335=0,"UNMAPPED",INDEX(COA_Mapping!$C$7:$C$256,$Q3335)))</f>
        <v/>
      </c>
      <c r="N3335" s="38" t="str">
        <f aca="false">IF($A3335="","",IF($Q3335=0,"",INDEX(COA_Mapping!$E$7:$E$256,$Q3335)))</f>
        <v/>
      </c>
      <c r="O3335" s="38" t="n">
        <f aca="false">IF($A3335="",1,IF($Q3335=0,1,INDEX(COA_Mapping!$F$7:$F$256,$Q3335)))</f>
        <v>1</v>
      </c>
      <c r="P3335" s="34" t="str">
        <f aca="false">IF($A3335="","",$I3335*$O3335)</f>
        <v/>
      </c>
      <c r="Q3335" s="39" t="n">
        <f aca="false">IF($B3335="",0,IFERROR(MATCH($B3335,COA_Mapping!$A$7:$A$256,0),0))</f>
        <v>0</v>
      </c>
      <c r="R3335" s="39" t="n">
        <f aca="false">IF($A3335="",-1,IF($J3335=Setup!$B$7,1,IF($J3335=Setup!$B$9,0,-1)))</f>
        <v>-1</v>
      </c>
      <c r="S3335" s="35" t="n">
        <f aca="false">IF(OR($A3335="",$Q3335=0,$R3335=-1),0,$Q3335*1000+$R3335*100+$K3335)</f>
        <v>0</v>
      </c>
      <c r="T3335" s="37" t="str">
        <f aca="false">IF($A3335="","",IF($B3335="","NO ACCOUNT",IF($Q3335=0,"UNMAPPED",IF($R3335=-1,"OUTSIDE FY RANGE","OK"))))</f>
        <v/>
      </c>
      <c r="U3335" s="40" t="str">
        <f aca="false">IF($A3335="","",$B3335&amp;"|"&amp;TEXT($A3335,"yyyymmdd")&amp;"|"&amp;TEXT($I3335,"0.00"))</f>
        <v/>
      </c>
      <c r="V3335" s="35" t="str">
        <f aca="false">IF($A3335="","",COUNTIF($U$8:$U$5007,$U3335))</f>
        <v/>
      </c>
    </row>
    <row r="3336" customFormat="false" ht="15" hidden="false" customHeight="false" outlineLevel="0" collapsed="false">
      <c r="A3336" s="31"/>
      <c r="B3336" s="32"/>
      <c r="C3336" s="32"/>
      <c r="D3336" s="32"/>
      <c r="E3336" s="32"/>
      <c r="F3336" s="32"/>
      <c r="G3336" s="33"/>
      <c r="H3336" s="33"/>
      <c r="I3336" s="34" t="str">
        <f aca="false">IF($A3336="","",$G3336-$H3336)</f>
        <v/>
      </c>
      <c r="J3336" s="35" t="str">
        <f aca="false">IF($A3336="","",IF(Setup!$B$6=1,YEAR($A3336),YEAR($A3336)+IF(MONTH($A3336)&gt;=Setup!$B$6,1,0)))</f>
        <v/>
      </c>
      <c r="K3336" s="35" t="str">
        <f aca="false">IF($A3336="","",MOD(MONTH($A3336)-Setup!$B$6+12,12)+1)</f>
        <v/>
      </c>
      <c r="L3336" s="36" t="str">
        <f aca="false">IF($A3336="","",TEXT($A3336,"MMM-YY"))</f>
        <v/>
      </c>
      <c r="M3336" s="37" t="str">
        <f aca="false">IF($A3336="","",IF($Q3336=0,"UNMAPPED",INDEX(COA_Mapping!$C$7:$C$256,$Q3336)))</f>
        <v/>
      </c>
      <c r="N3336" s="38" t="str">
        <f aca="false">IF($A3336="","",IF($Q3336=0,"",INDEX(COA_Mapping!$E$7:$E$256,$Q3336)))</f>
        <v/>
      </c>
      <c r="O3336" s="38" t="n">
        <f aca="false">IF($A3336="",1,IF($Q3336=0,1,INDEX(COA_Mapping!$F$7:$F$256,$Q3336)))</f>
        <v>1</v>
      </c>
      <c r="P3336" s="34" t="str">
        <f aca="false">IF($A3336="","",$I3336*$O3336)</f>
        <v/>
      </c>
      <c r="Q3336" s="39" t="n">
        <f aca="false">IF($B3336="",0,IFERROR(MATCH($B3336,COA_Mapping!$A$7:$A$256,0),0))</f>
        <v>0</v>
      </c>
      <c r="R3336" s="39" t="n">
        <f aca="false">IF($A3336="",-1,IF($J3336=Setup!$B$7,1,IF($J3336=Setup!$B$9,0,-1)))</f>
        <v>-1</v>
      </c>
      <c r="S3336" s="35" t="n">
        <f aca="false">IF(OR($A3336="",$Q3336=0,$R3336=-1),0,$Q3336*1000+$R3336*100+$K3336)</f>
        <v>0</v>
      </c>
      <c r="T3336" s="37" t="str">
        <f aca="false">IF($A3336="","",IF($B3336="","NO ACCOUNT",IF($Q3336=0,"UNMAPPED",IF($R3336=-1,"OUTSIDE FY RANGE","OK"))))</f>
        <v/>
      </c>
      <c r="U3336" s="40" t="str">
        <f aca="false">IF($A3336="","",$B3336&amp;"|"&amp;TEXT($A3336,"yyyymmdd")&amp;"|"&amp;TEXT($I3336,"0.00"))</f>
        <v/>
      </c>
      <c r="V3336" s="35" t="str">
        <f aca="false">IF($A3336="","",COUNTIF($U$8:$U$5007,$U3336))</f>
        <v/>
      </c>
    </row>
    <row r="3337" customFormat="false" ht="15" hidden="false" customHeight="false" outlineLevel="0" collapsed="false">
      <c r="A3337" s="31"/>
      <c r="B3337" s="32"/>
      <c r="C3337" s="32"/>
      <c r="D3337" s="32"/>
      <c r="E3337" s="32"/>
      <c r="F3337" s="32"/>
      <c r="G3337" s="33"/>
      <c r="H3337" s="33"/>
      <c r="I3337" s="34" t="str">
        <f aca="false">IF($A3337="","",$G3337-$H3337)</f>
        <v/>
      </c>
      <c r="J3337" s="35" t="str">
        <f aca="false">IF($A3337="","",IF(Setup!$B$6=1,YEAR($A3337),YEAR($A3337)+IF(MONTH($A3337)&gt;=Setup!$B$6,1,0)))</f>
        <v/>
      </c>
      <c r="K3337" s="35" t="str">
        <f aca="false">IF($A3337="","",MOD(MONTH($A3337)-Setup!$B$6+12,12)+1)</f>
        <v/>
      </c>
      <c r="L3337" s="36" t="str">
        <f aca="false">IF($A3337="","",TEXT($A3337,"MMM-YY"))</f>
        <v/>
      </c>
      <c r="M3337" s="37" t="str">
        <f aca="false">IF($A3337="","",IF($Q3337=0,"UNMAPPED",INDEX(COA_Mapping!$C$7:$C$256,$Q3337)))</f>
        <v/>
      </c>
      <c r="N3337" s="38" t="str">
        <f aca="false">IF($A3337="","",IF($Q3337=0,"",INDEX(COA_Mapping!$E$7:$E$256,$Q3337)))</f>
        <v/>
      </c>
      <c r="O3337" s="38" t="n">
        <f aca="false">IF($A3337="",1,IF($Q3337=0,1,INDEX(COA_Mapping!$F$7:$F$256,$Q3337)))</f>
        <v>1</v>
      </c>
      <c r="P3337" s="34" t="str">
        <f aca="false">IF($A3337="","",$I3337*$O3337)</f>
        <v/>
      </c>
      <c r="Q3337" s="39" t="n">
        <f aca="false">IF($B3337="",0,IFERROR(MATCH($B3337,COA_Mapping!$A$7:$A$256,0),0))</f>
        <v>0</v>
      </c>
      <c r="R3337" s="39" t="n">
        <f aca="false">IF($A3337="",-1,IF($J3337=Setup!$B$7,1,IF($J3337=Setup!$B$9,0,-1)))</f>
        <v>-1</v>
      </c>
      <c r="S3337" s="35" t="n">
        <f aca="false">IF(OR($A3337="",$Q3337=0,$R3337=-1),0,$Q3337*1000+$R3337*100+$K3337)</f>
        <v>0</v>
      </c>
      <c r="T3337" s="37" t="str">
        <f aca="false">IF($A3337="","",IF($B3337="","NO ACCOUNT",IF($Q3337=0,"UNMAPPED",IF($R3337=-1,"OUTSIDE FY RANGE","OK"))))</f>
        <v/>
      </c>
      <c r="U3337" s="40" t="str">
        <f aca="false">IF($A3337="","",$B3337&amp;"|"&amp;TEXT($A3337,"yyyymmdd")&amp;"|"&amp;TEXT($I3337,"0.00"))</f>
        <v/>
      </c>
      <c r="V3337" s="35" t="str">
        <f aca="false">IF($A3337="","",COUNTIF($U$8:$U$5007,$U3337))</f>
        <v/>
      </c>
    </row>
    <row r="3338" customFormat="false" ht="15" hidden="false" customHeight="false" outlineLevel="0" collapsed="false">
      <c r="A3338" s="31"/>
      <c r="B3338" s="32"/>
      <c r="C3338" s="32"/>
      <c r="D3338" s="32"/>
      <c r="E3338" s="32"/>
      <c r="F3338" s="32"/>
      <c r="G3338" s="33"/>
      <c r="H3338" s="33"/>
      <c r="I3338" s="34" t="str">
        <f aca="false">IF($A3338="","",$G3338-$H3338)</f>
        <v/>
      </c>
      <c r="J3338" s="35" t="str">
        <f aca="false">IF($A3338="","",IF(Setup!$B$6=1,YEAR($A3338),YEAR($A3338)+IF(MONTH($A3338)&gt;=Setup!$B$6,1,0)))</f>
        <v/>
      </c>
      <c r="K3338" s="35" t="str">
        <f aca="false">IF($A3338="","",MOD(MONTH($A3338)-Setup!$B$6+12,12)+1)</f>
        <v/>
      </c>
      <c r="L3338" s="36" t="str">
        <f aca="false">IF($A3338="","",TEXT($A3338,"MMM-YY"))</f>
        <v/>
      </c>
      <c r="M3338" s="37" t="str">
        <f aca="false">IF($A3338="","",IF($Q3338=0,"UNMAPPED",INDEX(COA_Mapping!$C$7:$C$256,$Q3338)))</f>
        <v/>
      </c>
      <c r="N3338" s="38" t="str">
        <f aca="false">IF($A3338="","",IF($Q3338=0,"",INDEX(COA_Mapping!$E$7:$E$256,$Q3338)))</f>
        <v/>
      </c>
      <c r="O3338" s="38" t="n">
        <f aca="false">IF($A3338="",1,IF($Q3338=0,1,INDEX(COA_Mapping!$F$7:$F$256,$Q3338)))</f>
        <v>1</v>
      </c>
      <c r="P3338" s="34" t="str">
        <f aca="false">IF($A3338="","",$I3338*$O3338)</f>
        <v/>
      </c>
      <c r="Q3338" s="39" t="n">
        <f aca="false">IF($B3338="",0,IFERROR(MATCH($B3338,COA_Mapping!$A$7:$A$256,0),0))</f>
        <v>0</v>
      </c>
      <c r="R3338" s="39" t="n">
        <f aca="false">IF($A3338="",-1,IF($J3338=Setup!$B$7,1,IF($J3338=Setup!$B$9,0,-1)))</f>
        <v>-1</v>
      </c>
      <c r="S3338" s="35" t="n">
        <f aca="false">IF(OR($A3338="",$Q3338=0,$R3338=-1),0,$Q3338*1000+$R3338*100+$K3338)</f>
        <v>0</v>
      </c>
      <c r="T3338" s="37" t="str">
        <f aca="false">IF($A3338="","",IF($B3338="","NO ACCOUNT",IF($Q3338=0,"UNMAPPED",IF($R3338=-1,"OUTSIDE FY RANGE","OK"))))</f>
        <v/>
      </c>
      <c r="U3338" s="40" t="str">
        <f aca="false">IF($A3338="","",$B3338&amp;"|"&amp;TEXT($A3338,"yyyymmdd")&amp;"|"&amp;TEXT($I3338,"0.00"))</f>
        <v/>
      </c>
      <c r="V3338" s="35" t="str">
        <f aca="false">IF($A3338="","",COUNTIF($U$8:$U$5007,$U3338))</f>
        <v/>
      </c>
    </row>
    <row r="3339" customFormat="false" ht="15" hidden="false" customHeight="false" outlineLevel="0" collapsed="false">
      <c r="A3339" s="31"/>
      <c r="B3339" s="32"/>
      <c r="C3339" s="32"/>
      <c r="D3339" s="32"/>
      <c r="E3339" s="32"/>
      <c r="F3339" s="32"/>
      <c r="G3339" s="33"/>
      <c r="H3339" s="33"/>
      <c r="I3339" s="34" t="str">
        <f aca="false">IF($A3339="","",$G3339-$H3339)</f>
        <v/>
      </c>
      <c r="J3339" s="35" t="str">
        <f aca="false">IF($A3339="","",IF(Setup!$B$6=1,YEAR($A3339),YEAR($A3339)+IF(MONTH($A3339)&gt;=Setup!$B$6,1,0)))</f>
        <v/>
      </c>
      <c r="K3339" s="35" t="str">
        <f aca="false">IF($A3339="","",MOD(MONTH($A3339)-Setup!$B$6+12,12)+1)</f>
        <v/>
      </c>
      <c r="L3339" s="36" t="str">
        <f aca="false">IF($A3339="","",TEXT($A3339,"MMM-YY"))</f>
        <v/>
      </c>
      <c r="M3339" s="37" t="str">
        <f aca="false">IF($A3339="","",IF($Q3339=0,"UNMAPPED",INDEX(COA_Mapping!$C$7:$C$256,$Q3339)))</f>
        <v/>
      </c>
      <c r="N3339" s="38" t="str">
        <f aca="false">IF($A3339="","",IF($Q3339=0,"",INDEX(COA_Mapping!$E$7:$E$256,$Q3339)))</f>
        <v/>
      </c>
      <c r="O3339" s="38" t="n">
        <f aca="false">IF($A3339="",1,IF($Q3339=0,1,INDEX(COA_Mapping!$F$7:$F$256,$Q3339)))</f>
        <v>1</v>
      </c>
      <c r="P3339" s="34" t="str">
        <f aca="false">IF($A3339="","",$I3339*$O3339)</f>
        <v/>
      </c>
      <c r="Q3339" s="39" t="n">
        <f aca="false">IF($B3339="",0,IFERROR(MATCH($B3339,COA_Mapping!$A$7:$A$256,0),0))</f>
        <v>0</v>
      </c>
      <c r="R3339" s="39" t="n">
        <f aca="false">IF($A3339="",-1,IF($J3339=Setup!$B$7,1,IF($J3339=Setup!$B$9,0,-1)))</f>
        <v>-1</v>
      </c>
      <c r="S3339" s="35" t="n">
        <f aca="false">IF(OR($A3339="",$Q3339=0,$R3339=-1),0,$Q3339*1000+$R3339*100+$K3339)</f>
        <v>0</v>
      </c>
      <c r="T3339" s="37" t="str">
        <f aca="false">IF($A3339="","",IF($B3339="","NO ACCOUNT",IF($Q3339=0,"UNMAPPED",IF($R3339=-1,"OUTSIDE FY RANGE","OK"))))</f>
        <v/>
      </c>
      <c r="U3339" s="40" t="str">
        <f aca="false">IF($A3339="","",$B3339&amp;"|"&amp;TEXT($A3339,"yyyymmdd")&amp;"|"&amp;TEXT($I3339,"0.00"))</f>
        <v/>
      </c>
      <c r="V3339" s="35" t="str">
        <f aca="false">IF($A3339="","",COUNTIF($U$8:$U$5007,$U3339))</f>
        <v/>
      </c>
    </row>
    <row r="3340" customFormat="false" ht="15" hidden="false" customHeight="false" outlineLevel="0" collapsed="false">
      <c r="A3340" s="31"/>
      <c r="B3340" s="32"/>
      <c r="C3340" s="32"/>
      <c r="D3340" s="32"/>
      <c r="E3340" s="32"/>
      <c r="F3340" s="32"/>
      <c r="G3340" s="33"/>
      <c r="H3340" s="33"/>
      <c r="I3340" s="34" t="str">
        <f aca="false">IF($A3340="","",$G3340-$H3340)</f>
        <v/>
      </c>
      <c r="J3340" s="35" t="str">
        <f aca="false">IF($A3340="","",IF(Setup!$B$6=1,YEAR($A3340),YEAR($A3340)+IF(MONTH($A3340)&gt;=Setup!$B$6,1,0)))</f>
        <v/>
      </c>
      <c r="K3340" s="35" t="str">
        <f aca="false">IF($A3340="","",MOD(MONTH($A3340)-Setup!$B$6+12,12)+1)</f>
        <v/>
      </c>
      <c r="L3340" s="36" t="str">
        <f aca="false">IF($A3340="","",TEXT($A3340,"MMM-YY"))</f>
        <v/>
      </c>
      <c r="M3340" s="37" t="str">
        <f aca="false">IF($A3340="","",IF($Q3340=0,"UNMAPPED",INDEX(COA_Mapping!$C$7:$C$256,$Q3340)))</f>
        <v/>
      </c>
      <c r="N3340" s="38" t="str">
        <f aca="false">IF($A3340="","",IF($Q3340=0,"",INDEX(COA_Mapping!$E$7:$E$256,$Q3340)))</f>
        <v/>
      </c>
      <c r="O3340" s="38" t="n">
        <f aca="false">IF($A3340="",1,IF($Q3340=0,1,INDEX(COA_Mapping!$F$7:$F$256,$Q3340)))</f>
        <v>1</v>
      </c>
      <c r="P3340" s="34" t="str">
        <f aca="false">IF($A3340="","",$I3340*$O3340)</f>
        <v/>
      </c>
      <c r="Q3340" s="39" t="n">
        <f aca="false">IF($B3340="",0,IFERROR(MATCH($B3340,COA_Mapping!$A$7:$A$256,0),0))</f>
        <v>0</v>
      </c>
      <c r="R3340" s="39" t="n">
        <f aca="false">IF($A3340="",-1,IF($J3340=Setup!$B$7,1,IF($J3340=Setup!$B$9,0,-1)))</f>
        <v>-1</v>
      </c>
      <c r="S3340" s="35" t="n">
        <f aca="false">IF(OR($A3340="",$Q3340=0,$R3340=-1),0,$Q3340*1000+$R3340*100+$K3340)</f>
        <v>0</v>
      </c>
      <c r="T3340" s="37" t="str">
        <f aca="false">IF($A3340="","",IF($B3340="","NO ACCOUNT",IF($Q3340=0,"UNMAPPED",IF($R3340=-1,"OUTSIDE FY RANGE","OK"))))</f>
        <v/>
      </c>
      <c r="U3340" s="40" t="str">
        <f aca="false">IF($A3340="","",$B3340&amp;"|"&amp;TEXT($A3340,"yyyymmdd")&amp;"|"&amp;TEXT($I3340,"0.00"))</f>
        <v/>
      </c>
      <c r="V3340" s="35" t="str">
        <f aca="false">IF($A3340="","",COUNTIF($U$8:$U$5007,$U3340))</f>
        <v/>
      </c>
    </row>
    <row r="3341" customFormat="false" ht="15" hidden="false" customHeight="false" outlineLevel="0" collapsed="false">
      <c r="A3341" s="31"/>
      <c r="B3341" s="32"/>
      <c r="C3341" s="32"/>
      <c r="D3341" s="32"/>
      <c r="E3341" s="32"/>
      <c r="F3341" s="32"/>
      <c r="G3341" s="33"/>
      <c r="H3341" s="33"/>
      <c r="I3341" s="34" t="str">
        <f aca="false">IF($A3341="","",$G3341-$H3341)</f>
        <v/>
      </c>
      <c r="J3341" s="35" t="str">
        <f aca="false">IF($A3341="","",IF(Setup!$B$6=1,YEAR($A3341),YEAR($A3341)+IF(MONTH($A3341)&gt;=Setup!$B$6,1,0)))</f>
        <v/>
      </c>
      <c r="K3341" s="35" t="str">
        <f aca="false">IF($A3341="","",MOD(MONTH($A3341)-Setup!$B$6+12,12)+1)</f>
        <v/>
      </c>
      <c r="L3341" s="36" t="str">
        <f aca="false">IF($A3341="","",TEXT($A3341,"MMM-YY"))</f>
        <v/>
      </c>
      <c r="M3341" s="37" t="str">
        <f aca="false">IF($A3341="","",IF($Q3341=0,"UNMAPPED",INDEX(COA_Mapping!$C$7:$C$256,$Q3341)))</f>
        <v/>
      </c>
      <c r="N3341" s="38" t="str">
        <f aca="false">IF($A3341="","",IF($Q3341=0,"",INDEX(COA_Mapping!$E$7:$E$256,$Q3341)))</f>
        <v/>
      </c>
      <c r="O3341" s="38" t="n">
        <f aca="false">IF($A3341="",1,IF($Q3341=0,1,INDEX(COA_Mapping!$F$7:$F$256,$Q3341)))</f>
        <v>1</v>
      </c>
      <c r="P3341" s="34" t="str">
        <f aca="false">IF($A3341="","",$I3341*$O3341)</f>
        <v/>
      </c>
      <c r="Q3341" s="39" t="n">
        <f aca="false">IF($B3341="",0,IFERROR(MATCH($B3341,COA_Mapping!$A$7:$A$256,0),0))</f>
        <v>0</v>
      </c>
      <c r="R3341" s="39" t="n">
        <f aca="false">IF($A3341="",-1,IF($J3341=Setup!$B$7,1,IF($J3341=Setup!$B$9,0,-1)))</f>
        <v>-1</v>
      </c>
      <c r="S3341" s="35" t="n">
        <f aca="false">IF(OR($A3341="",$Q3341=0,$R3341=-1),0,$Q3341*1000+$R3341*100+$K3341)</f>
        <v>0</v>
      </c>
      <c r="T3341" s="37" t="str">
        <f aca="false">IF($A3341="","",IF($B3341="","NO ACCOUNT",IF($Q3341=0,"UNMAPPED",IF($R3341=-1,"OUTSIDE FY RANGE","OK"))))</f>
        <v/>
      </c>
      <c r="U3341" s="40" t="str">
        <f aca="false">IF($A3341="","",$B3341&amp;"|"&amp;TEXT($A3341,"yyyymmdd")&amp;"|"&amp;TEXT($I3341,"0.00"))</f>
        <v/>
      </c>
      <c r="V3341" s="35" t="str">
        <f aca="false">IF($A3341="","",COUNTIF($U$8:$U$5007,$U3341))</f>
        <v/>
      </c>
    </row>
    <row r="3342" customFormat="false" ht="15" hidden="false" customHeight="false" outlineLevel="0" collapsed="false">
      <c r="A3342" s="31"/>
      <c r="B3342" s="32"/>
      <c r="C3342" s="32"/>
      <c r="D3342" s="32"/>
      <c r="E3342" s="32"/>
      <c r="F3342" s="32"/>
      <c r="G3342" s="33"/>
      <c r="H3342" s="33"/>
      <c r="I3342" s="34" t="str">
        <f aca="false">IF($A3342="","",$G3342-$H3342)</f>
        <v/>
      </c>
      <c r="J3342" s="35" t="str">
        <f aca="false">IF($A3342="","",IF(Setup!$B$6=1,YEAR($A3342),YEAR($A3342)+IF(MONTH($A3342)&gt;=Setup!$B$6,1,0)))</f>
        <v/>
      </c>
      <c r="K3342" s="35" t="str">
        <f aca="false">IF($A3342="","",MOD(MONTH($A3342)-Setup!$B$6+12,12)+1)</f>
        <v/>
      </c>
      <c r="L3342" s="36" t="str">
        <f aca="false">IF($A3342="","",TEXT($A3342,"MMM-YY"))</f>
        <v/>
      </c>
      <c r="M3342" s="37" t="str">
        <f aca="false">IF($A3342="","",IF($Q3342=0,"UNMAPPED",INDEX(COA_Mapping!$C$7:$C$256,$Q3342)))</f>
        <v/>
      </c>
      <c r="N3342" s="38" t="str">
        <f aca="false">IF($A3342="","",IF($Q3342=0,"",INDEX(COA_Mapping!$E$7:$E$256,$Q3342)))</f>
        <v/>
      </c>
      <c r="O3342" s="38" t="n">
        <f aca="false">IF($A3342="",1,IF($Q3342=0,1,INDEX(COA_Mapping!$F$7:$F$256,$Q3342)))</f>
        <v>1</v>
      </c>
      <c r="P3342" s="34" t="str">
        <f aca="false">IF($A3342="","",$I3342*$O3342)</f>
        <v/>
      </c>
      <c r="Q3342" s="39" t="n">
        <f aca="false">IF($B3342="",0,IFERROR(MATCH($B3342,COA_Mapping!$A$7:$A$256,0),0))</f>
        <v>0</v>
      </c>
      <c r="R3342" s="39" t="n">
        <f aca="false">IF($A3342="",-1,IF($J3342=Setup!$B$7,1,IF($J3342=Setup!$B$9,0,-1)))</f>
        <v>-1</v>
      </c>
      <c r="S3342" s="35" t="n">
        <f aca="false">IF(OR($A3342="",$Q3342=0,$R3342=-1),0,$Q3342*1000+$R3342*100+$K3342)</f>
        <v>0</v>
      </c>
      <c r="T3342" s="37" t="str">
        <f aca="false">IF($A3342="","",IF($B3342="","NO ACCOUNT",IF($Q3342=0,"UNMAPPED",IF($R3342=-1,"OUTSIDE FY RANGE","OK"))))</f>
        <v/>
      </c>
      <c r="U3342" s="40" t="str">
        <f aca="false">IF($A3342="","",$B3342&amp;"|"&amp;TEXT($A3342,"yyyymmdd")&amp;"|"&amp;TEXT($I3342,"0.00"))</f>
        <v/>
      </c>
      <c r="V3342" s="35" t="str">
        <f aca="false">IF($A3342="","",COUNTIF($U$8:$U$5007,$U3342))</f>
        <v/>
      </c>
    </row>
    <row r="3343" customFormat="false" ht="15" hidden="false" customHeight="false" outlineLevel="0" collapsed="false">
      <c r="A3343" s="31"/>
      <c r="B3343" s="32"/>
      <c r="C3343" s="32"/>
      <c r="D3343" s="32"/>
      <c r="E3343" s="32"/>
      <c r="F3343" s="32"/>
      <c r="G3343" s="33"/>
      <c r="H3343" s="33"/>
      <c r="I3343" s="34" t="str">
        <f aca="false">IF($A3343="","",$G3343-$H3343)</f>
        <v/>
      </c>
      <c r="J3343" s="35" t="str">
        <f aca="false">IF($A3343="","",IF(Setup!$B$6=1,YEAR($A3343),YEAR($A3343)+IF(MONTH($A3343)&gt;=Setup!$B$6,1,0)))</f>
        <v/>
      </c>
      <c r="K3343" s="35" t="str">
        <f aca="false">IF($A3343="","",MOD(MONTH($A3343)-Setup!$B$6+12,12)+1)</f>
        <v/>
      </c>
      <c r="L3343" s="36" t="str">
        <f aca="false">IF($A3343="","",TEXT($A3343,"MMM-YY"))</f>
        <v/>
      </c>
      <c r="M3343" s="37" t="str">
        <f aca="false">IF($A3343="","",IF($Q3343=0,"UNMAPPED",INDEX(COA_Mapping!$C$7:$C$256,$Q3343)))</f>
        <v/>
      </c>
      <c r="N3343" s="38" t="str">
        <f aca="false">IF($A3343="","",IF($Q3343=0,"",INDEX(COA_Mapping!$E$7:$E$256,$Q3343)))</f>
        <v/>
      </c>
      <c r="O3343" s="38" t="n">
        <f aca="false">IF($A3343="",1,IF($Q3343=0,1,INDEX(COA_Mapping!$F$7:$F$256,$Q3343)))</f>
        <v>1</v>
      </c>
      <c r="P3343" s="34" t="str">
        <f aca="false">IF($A3343="","",$I3343*$O3343)</f>
        <v/>
      </c>
      <c r="Q3343" s="39" t="n">
        <f aca="false">IF($B3343="",0,IFERROR(MATCH($B3343,COA_Mapping!$A$7:$A$256,0),0))</f>
        <v>0</v>
      </c>
      <c r="R3343" s="39" t="n">
        <f aca="false">IF($A3343="",-1,IF($J3343=Setup!$B$7,1,IF($J3343=Setup!$B$9,0,-1)))</f>
        <v>-1</v>
      </c>
      <c r="S3343" s="35" t="n">
        <f aca="false">IF(OR($A3343="",$Q3343=0,$R3343=-1),0,$Q3343*1000+$R3343*100+$K3343)</f>
        <v>0</v>
      </c>
      <c r="T3343" s="37" t="str">
        <f aca="false">IF($A3343="","",IF($B3343="","NO ACCOUNT",IF($Q3343=0,"UNMAPPED",IF($R3343=-1,"OUTSIDE FY RANGE","OK"))))</f>
        <v/>
      </c>
      <c r="U3343" s="40" t="str">
        <f aca="false">IF($A3343="","",$B3343&amp;"|"&amp;TEXT($A3343,"yyyymmdd")&amp;"|"&amp;TEXT($I3343,"0.00"))</f>
        <v/>
      </c>
      <c r="V3343" s="35" t="str">
        <f aca="false">IF($A3343="","",COUNTIF($U$8:$U$5007,$U3343))</f>
        <v/>
      </c>
    </row>
    <row r="3344" customFormat="false" ht="15" hidden="false" customHeight="false" outlineLevel="0" collapsed="false">
      <c r="A3344" s="31"/>
      <c r="B3344" s="32"/>
      <c r="C3344" s="32"/>
      <c r="D3344" s="32"/>
      <c r="E3344" s="32"/>
      <c r="F3344" s="32"/>
      <c r="G3344" s="33"/>
      <c r="H3344" s="33"/>
      <c r="I3344" s="34" t="str">
        <f aca="false">IF($A3344="","",$G3344-$H3344)</f>
        <v/>
      </c>
      <c r="J3344" s="35" t="str">
        <f aca="false">IF($A3344="","",IF(Setup!$B$6=1,YEAR($A3344),YEAR($A3344)+IF(MONTH($A3344)&gt;=Setup!$B$6,1,0)))</f>
        <v/>
      </c>
      <c r="K3344" s="35" t="str">
        <f aca="false">IF($A3344="","",MOD(MONTH($A3344)-Setup!$B$6+12,12)+1)</f>
        <v/>
      </c>
      <c r="L3344" s="36" t="str">
        <f aca="false">IF($A3344="","",TEXT($A3344,"MMM-YY"))</f>
        <v/>
      </c>
      <c r="M3344" s="37" t="str">
        <f aca="false">IF($A3344="","",IF($Q3344=0,"UNMAPPED",INDEX(COA_Mapping!$C$7:$C$256,$Q3344)))</f>
        <v/>
      </c>
      <c r="N3344" s="38" t="str">
        <f aca="false">IF($A3344="","",IF($Q3344=0,"",INDEX(COA_Mapping!$E$7:$E$256,$Q3344)))</f>
        <v/>
      </c>
      <c r="O3344" s="38" t="n">
        <f aca="false">IF($A3344="",1,IF($Q3344=0,1,INDEX(COA_Mapping!$F$7:$F$256,$Q3344)))</f>
        <v>1</v>
      </c>
      <c r="P3344" s="34" t="str">
        <f aca="false">IF($A3344="","",$I3344*$O3344)</f>
        <v/>
      </c>
      <c r="Q3344" s="39" t="n">
        <f aca="false">IF($B3344="",0,IFERROR(MATCH($B3344,COA_Mapping!$A$7:$A$256,0),0))</f>
        <v>0</v>
      </c>
      <c r="R3344" s="39" t="n">
        <f aca="false">IF($A3344="",-1,IF($J3344=Setup!$B$7,1,IF($J3344=Setup!$B$9,0,-1)))</f>
        <v>-1</v>
      </c>
      <c r="S3344" s="35" t="n">
        <f aca="false">IF(OR($A3344="",$Q3344=0,$R3344=-1),0,$Q3344*1000+$R3344*100+$K3344)</f>
        <v>0</v>
      </c>
      <c r="T3344" s="37" t="str">
        <f aca="false">IF($A3344="","",IF($B3344="","NO ACCOUNT",IF($Q3344=0,"UNMAPPED",IF($R3344=-1,"OUTSIDE FY RANGE","OK"))))</f>
        <v/>
      </c>
      <c r="U3344" s="40" t="str">
        <f aca="false">IF($A3344="","",$B3344&amp;"|"&amp;TEXT($A3344,"yyyymmdd")&amp;"|"&amp;TEXT($I3344,"0.00"))</f>
        <v/>
      </c>
      <c r="V3344" s="35" t="str">
        <f aca="false">IF($A3344="","",COUNTIF($U$8:$U$5007,$U3344))</f>
        <v/>
      </c>
    </row>
    <row r="3345" customFormat="false" ht="15" hidden="false" customHeight="false" outlineLevel="0" collapsed="false">
      <c r="A3345" s="31"/>
      <c r="B3345" s="32"/>
      <c r="C3345" s="32"/>
      <c r="D3345" s="32"/>
      <c r="E3345" s="32"/>
      <c r="F3345" s="32"/>
      <c r="G3345" s="33"/>
      <c r="H3345" s="33"/>
      <c r="I3345" s="34" t="str">
        <f aca="false">IF($A3345="","",$G3345-$H3345)</f>
        <v/>
      </c>
      <c r="J3345" s="35" t="str">
        <f aca="false">IF($A3345="","",IF(Setup!$B$6=1,YEAR($A3345),YEAR($A3345)+IF(MONTH($A3345)&gt;=Setup!$B$6,1,0)))</f>
        <v/>
      </c>
      <c r="K3345" s="35" t="str">
        <f aca="false">IF($A3345="","",MOD(MONTH($A3345)-Setup!$B$6+12,12)+1)</f>
        <v/>
      </c>
      <c r="L3345" s="36" t="str">
        <f aca="false">IF($A3345="","",TEXT($A3345,"MMM-YY"))</f>
        <v/>
      </c>
      <c r="M3345" s="37" t="str">
        <f aca="false">IF($A3345="","",IF($Q3345=0,"UNMAPPED",INDEX(COA_Mapping!$C$7:$C$256,$Q3345)))</f>
        <v/>
      </c>
      <c r="N3345" s="38" t="str">
        <f aca="false">IF($A3345="","",IF($Q3345=0,"",INDEX(COA_Mapping!$E$7:$E$256,$Q3345)))</f>
        <v/>
      </c>
      <c r="O3345" s="38" t="n">
        <f aca="false">IF($A3345="",1,IF($Q3345=0,1,INDEX(COA_Mapping!$F$7:$F$256,$Q3345)))</f>
        <v>1</v>
      </c>
      <c r="P3345" s="34" t="str">
        <f aca="false">IF($A3345="","",$I3345*$O3345)</f>
        <v/>
      </c>
      <c r="Q3345" s="39" t="n">
        <f aca="false">IF($B3345="",0,IFERROR(MATCH($B3345,COA_Mapping!$A$7:$A$256,0),0))</f>
        <v>0</v>
      </c>
      <c r="R3345" s="39" t="n">
        <f aca="false">IF($A3345="",-1,IF($J3345=Setup!$B$7,1,IF($J3345=Setup!$B$9,0,-1)))</f>
        <v>-1</v>
      </c>
      <c r="S3345" s="35" t="n">
        <f aca="false">IF(OR($A3345="",$Q3345=0,$R3345=-1),0,$Q3345*1000+$R3345*100+$K3345)</f>
        <v>0</v>
      </c>
      <c r="T3345" s="37" t="str">
        <f aca="false">IF($A3345="","",IF($B3345="","NO ACCOUNT",IF($Q3345=0,"UNMAPPED",IF($R3345=-1,"OUTSIDE FY RANGE","OK"))))</f>
        <v/>
      </c>
      <c r="U3345" s="40" t="str">
        <f aca="false">IF($A3345="","",$B3345&amp;"|"&amp;TEXT($A3345,"yyyymmdd")&amp;"|"&amp;TEXT($I3345,"0.00"))</f>
        <v/>
      </c>
      <c r="V3345" s="35" t="str">
        <f aca="false">IF($A3345="","",COUNTIF($U$8:$U$5007,$U3345))</f>
        <v/>
      </c>
    </row>
    <row r="3346" customFormat="false" ht="15" hidden="false" customHeight="false" outlineLevel="0" collapsed="false">
      <c r="A3346" s="31"/>
      <c r="B3346" s="32"/>
      <c r="C3346" s="32"/>
      <c r="D3346" s="32"/>
      <c r="E3346" s="32"/>
      <c r="F3346" s="32"/>
      <c r="G3346" s="33"/>
      <c r="H3346" s="33"/>
      <c r="I3346" s="34" t="str">
        <f aca="false">IF($A3346="","",$G3346-$H3346)</f>
        <v/>
      </c>
      <c r="J3346" s="35" t="str">
        <f aca="false">IF($A3346="","",IF(Setup!$B$6=1,YEAR($A3346),YEAR($A3346)+IF(MONTH($A3346)&gt;=Setup!$B$6,1,0)))</f>
        <v/>
      </c>
      <c r="K3346" s="35" t="str">
        <f aca="false">IF($A3346="","",MOD(MONTH($A3346)-Setup!$B$6+12,12)+1)</f>
        <v/>
      </c>
      <c r="L3346" s="36" t="str">
        <f aca="false">IF($A3346="","",TEXT($A3346,"MMM-YY"))</f>
        <v/>
      </c>
      <c r="M3346" s="37" t="str">
        <f aca="false">IF($A3346="","",IF($Q3346=0,"UNMAPPED",INDEX(COA_Mapping!$C$7:$C$256,$Q3346)))</f>
        <v/>
      </c>
      <c r="N3346" s="38" t="str">
        <f aca="false">IF($A3346="","",IF($Q3346=0,"",INDEX(COA_Mapping!$E$7:$E$256,$Q3346)))</f>
        <v/>
      </c>
      <c r="O3346" s="38" t="n">
        <f aca="false">IF($A3346="",1,IF($Q3346=0,1,INDEX(COA_Mapping!$F$7:$F$256,$Q3346)))</f>
        <v>1</v>
      </c>
      <c r="P3346" s="34" t="str">
        <f aca="false">IF($A3346="","",$I3346*$O3346)</f>
        <v/>
      </c>
      <c r="Q3346" s="39" t="n">
        <f aca="false">IF($B3346="",0,IFERROR(MATCH($B3346,COA_Mapping!$A$7:$A$256,0),0))</f>
        <v>0</v>
      </c>
      <c r="R3346" s="39" t="n">
        <f aca="false">IF($A3346="",-1,IF($J3346=Setup!$B$7,1,IF($J3346=Setup!$B$9,0,-1)))</f>
        <v>-1</v>
      </c>
      <c r="S3346" s="35" t="n">
        <f aca="false">IF(OR($A3346="",$Q3346=0,$R3346=-1),0,$Q3346*1000+$R3346*100+$K3346)</f>
        <v>0</v>
      </c>
      <c r="T3346" s="37" t="str">
        <f aca="false">IF($A3346="","",IF($B3346="","NO ACCOUNT",IF($Q3346=0,"UNMAPPED",IF($R3346=-1,"OUTSIDE FY RANGE","OK"))))</f>
        <v/>
      </c>
      <c r="U3346" s="40" t="str">
        <f aca="false">IF($A3346="","",$B3346&amp;"|"&amp;TEXT($A3346,"yyyymmdd")&amp;"|"&amp;TEXT($I3346,"0.00"))</f>
        <v/>
      </c>
      <c r="V3346" s="35" t="str">
        <f aca="false">IF($A3346="","",COUNTIF($U$8:$U$5007,$U3346))</f>
        <v/>
      </c>
    </row>
    <row r="3347" customFormat="false" ht="15" hidden="false" customHeight="false" outlineLevel="0" collapsed="false">
      <c r="A3347" s="31"/>
      <c r="B3347" s="32"/>
      <c r="C3347" s="32"/>
      <c r="D3347" s="32"/>
      <c r="E3347" s="32"/>
      <c r="F3347" s="32"/>
      <c r="G3347" s="33"/>
      <c r="H3347" s="33"/>
      <c r="I3347" s="34" t="str">
        <f aca="false">IF($A3347="","",$G3347-$H3347)</f>
        <v/>
      </c>
      <c r="J3347" s="35" t="str">
        <f aca="false">IF($A3347="","",IF(Setup!$B$6=1,YEAR($A3347),YEAR($A3347)+IF(MONTH($A3347)&gt;=Setup!$B$6,1,0)))</f>
        <v/>
      </c>
      <c r="K3347" s="35" t="str">
        <f aca="false">IF($A3347="","",MOD(MONTH($A3347)-Setup!$B$6+12,12)+1)</f>
        <v/>
      </c>
      <c r="L3347" s="36" t="str">
        <f aca="false">IF($A3347="","",TEXT($A3347,"MMM-YY"))</f>
        <v/>
      </c>
      <c r="M3347" s="37" t="str">
        <f aca="false">IF($A3347="","",IF($Q3347=0,"UNMAPPED",INDEX(COA_Mapping!$C$7:$C$256,$Q3347)))</f>
        <v/>
      </c>
      <c r="N3347" s="38" t="str">
        <f aca="false">IF($A3347="","",IF($Q3347=0,"",INDEX(COA_Mapping!$E$7:$E$256,$Q3347)))</f>
        <v/>
      </c>
      <c r="O3347" s="38" t="n">
        <f aca="false">IF($A3347="",1,IF($Q3347=0,1,INDEX(COA_Mapping!$F$7:$F$256,$Q3347)))</f>
        <v>1</v>
      </c>
      <c r="P3347" s="34" t="str">
        <f aca="false">IF($A3347="","",$I3347*$O3347)</f>
        <v/>
      </c>
      <c r="Q3347" s="39" t="n">
        <f aca="false">IF($B3347="",0,IFERROR(MATCH($B3347,COA_Mapping!$A$7:$A$256,0),0))</f>
        <v>0</v>
      </c>
      <c r="R3347" s="39" t="n">
        <f aca="false">IF($A3347="",-1,IF($J3347=Setup!$B$7,1,IF($J3347=Setup!$B$9,0,-1)))</f>
        <v>-1</v>
      </c>
      <c r="S3347" s="35" t="n">
        <f aca="false">IF(OR($A3347="",$Q3347=0,$R3347=-1),0,$Q3347*1000+$R3347*100+$K3347)</f>
        <v>0</v>
      </c>
      <c r="T3347" s="37" t="str">
        <f aca="false">IF($A3347="","",IF($B3347="","NO ACCOUNT",IF($Q3347=0,"UNMAPPED",IF($R3347=-1,"OUTSIDE FY RANGE","OK"))))</f>
        <v/>
      </c>
      <c r="U3347" s="40" t="str">
        <f aca="false">IF($A3347="","",$B3347&amp;"|"&amp;TEXT($A3347,"yyyymmdd")&amp;"|"&amp;TEXT($I3347,"0.00"))</f>
        <v/>
      </c>
      <c r="V3347" s="35" t="str">
        <f aca="false">IF($A3347="","",COUNTIF($U$8:$U$5007,$U3347))</f>
        <v/>
      </c>
    </row>
    <row r="3348" customFormat="false" ht="15" hidden="false" customHeight="false" outlineLevel="0" collapsed="false">
      <c r="A3348" s="31"/>
      <c r="B3348" s="32"/>
      <c r="C3348" s="32"/>
      <c r="D3348" s="32"/>
      <c r="E3348" s="32"/>
      <c r="F3348" s="32"/>
      <c r="G3348" s="33"/>
      <c r="H3348" s="33"/>
      <c r="I3348" s="34" t="str">
        <f aca="false">IF($A3348="","",$G3348-$H3348)</f>
        <v/>
      </c>
      <c r="J3348" s="35" t="str">
        <f aca="false">IF($A3348="","",IF(Setup!$B$6=1,YEAR($A3348),YEAR($A3348)+IF(MONTH($A3348)&gt;=Setup!$B$6,1,0)))</f>
        <v/>
      </c>
      <c r="K3348" s="35" t="str">
        <f aca="false">IF($A3348="","",MOD(MONTH($A3348)-Setup!$B$6+12,12)+1)</f>
        <v/>
      </c>
      <c r="L3348" s="36" t="str">
        <f aca="false">IF($A3348="","",TEXT($A3348,"MMM-YY"))</f>
        <v/>
      </c>
      <c r="M3348" s="37" t="str">
        <f aca="false">IF($A3348="","",IF($Q3348=0,"UNMAPPED",INDEX(COA_Mapping!$C$7:$C$256,$Q3348)))</f>
        <v/>
      </c>
      <c r="N3348" s="38" t="str">
        <f aca="false">IF($A3348="","",IF($Q3348=0,"",INDEX(COA_Mapping!$E$7:$E$256,$Q3348)))</f>
        <v/>
      </c>
      <c r="O3348" s="38" t="n">
        <f aca="false">IF($A3348="",1,IF($Q3348=0,1,INDEX(COA_Mapping!$F$7:$F$256,$Q3348)))</f>
        <v>1</v>
      </c>
      <c r="P3348" s="34" t="str">
        <f aca="false">IF($A3348="","",$I3348*$O3348)</f>
        <v/>
      </c>
      <c r="Q3348" s="39" t="n">
        <f aca="false">IF($B3348="",0,IFERROR(MATCH($B3348,COA_Mapping!$A$7:$A$256,0),0))</f>
        <v>0</v>
      </c>
      <c r="R3348" s="39" t="n">
        <f aca="false">IF($A3348="",-1,IF($J3348=Setup!$B$7,1,IF($J3348=Setup!$B$9,0,-1)))</f>
        <v>-1</v>
      </c>
      <c r="S3348" s="35" t="n">
        <f aca="false">IF(OR($A3348="",$Q3348=0,$R3348=-1),0,$Q3348*1000+$R3348*100+$K3348)</f>
        <v>0</v>
      </c>
      <c r="T3348" s="37" t="str">
        <f aca="false">IF($A3348="","",IF($B3348="","NO ACCOUNT",IF($Q3348=0,"UNMAPPED",IF($R3348=-1,"OUTSIDE FY RANGE","OK"))))</f>
        <v/>
      </c>
      <c r="U3348" s="40" t="str">
        <f aca="false">IF($A3348="","",$B3348&amp;"|"&amp;TEXT($A3348,"yyyymmdd")&amp;"|"&amp;TEXT($I3348,"0.00"))</f>
        <v/>
      </c>
      <c r="V3348" s="35" t="str">
        <f aca="false">IF($A3348="","",COUNTIF($U$8:$U$5007,$U3348))</f>
        <v/>
      </c>
    </row>
    <row r="3349" customFormat="false" ht="15" hidden="false" customHeight="false" outlineLevel="0" collapsed="false">
      <c r="A3349" s="31"/>
      <c r="B3349" s="32"/>
      <c r="C3349" s="32"/>
      <c r="D3349" s="32"/>
      <c r="E3349" s="32"/>
      <c r="F3349" s="32"/>
      <c r="G3349" s="33"/>
      <c r="H3349" s="33"/>
      <c r="I3349" s="34" t="str">
        <f aca="false">IF($A3349="","",$G3349-$H3349)</f>
        <v/>
      </c>
      <c r="J3349" s="35" t="str">
        <f aca="false">IF($A3349="","",IF(Setup!$B$6=1,YEAR($A3349),YEAR($A3349)+IF(MONTH($A3349)&gt;=Setup!$B$6,1,0)))</f>
        <v/>
      </c>
      <c r="K3349" s="35" t="str">
        <f aca="false">IF($A3349="","",MOD(MONTH($A3349)-Setup!$B$6+12,12)+1)</f>
        <v/>
      </c>
      <c r="L3349" s="36" t="str">
        <f aca="false">IF($A3349="","",TEXT($A3349,"MMM-YY"))</f>
        <v/>
      </c>
      <c r="M3349" s="37" t="str">
        <f aca="false">IF($A3349="","",IF($Q3349=0,"UNMAPPED",INDEX(COA_Mapping!$C$7:$C$256,$Q3349)))</f>
        <v/>
      </c>
      <c r="N3349" s="38" t="str">
        <f aca="false">IF($A3349="","",IF($Q3349=0,"",INDEX(COA_Mapping!$E$7:$E$256,$Q3349)))</f>
        <v/>
      </c>
      <c r="O3349" s="38" t="n">
        <f aca="false">IF($A3349="",1,IF($Q3349=0,1,INDEX(COA_Mapping!$F$7:$F$256,$Q3349)))</f>
        <v>1</v>
      </c>
      <c r="P3349" s="34" t="str">
        <f aca="false">IF($A3349="","",$I3349*$O3349)</f>
        <v/>
      </c>
      <c r="Q3349" s="39" t="n">
        <f aca="false">IF($B3349="",0,IFERROR(MATCH($B3349,COA_Mapping!$A$7:$A$256,0),0))</f>
        <v>0</v>
      </c>
      <c r="R3349" s="39" t="n">
        <f aca="false">IF($A3349="",-1,IF($J3349=Setup!$B$7,1,IF($J3349=Setup!$B$9,0,-1)))</f>
        <v>-1</v>
      </c>
      <c r="S3349" s="35" t="n">
        <f aca="false">IF(OR($A3349="",$Q3349=0,$R3349=-1),0,$Q3349*1000+$R3349*100+$K3349)</f>
        <v>0</v>
      </c>
      <c r="T3349" s="37" t="str">
        <f aca="false">IF($A3349="","",IF($B3349="","NO ACCOUNT",IF($Q3349=0,"UNMAPPED",IF($R3349=-1,"OUTSIDE FY RANGE","OK"))))</f>
        <v/>
      </c>
      <c r="U3349" s="40" t="str">
        <f aca="false">IF($A3349="","",$B3349&amp;"|"&amp;TEXT($A3349,"yyyymmdd")&amp;"|"&amp;TEXT($I3349,"0.00"))</f>
        <v/>
      </c>
      <c r="V3349" s="35" t="str">
        <f aca="false">IF($A3349="","",COUNTIF($U$8:$U$5007,$U3349))</f>
        <v/>
      </c>
    </row>
    <row r="3350" customFormat="false" ht="15" hidden="false" customHeight="false" outlineLevel="0" collapsed="false">
      <c r="A3350" s="31"/>
      <c r="B3350" s="32"/>
      <c r="C3350" s="32"/>
      <c r="D3350" s="32"/>
      <c r="E3350" s="32"/>
      <c r="F3350" s="32"/>
      <c r="G3350" s="33"/>
      <c r="H3350" s="33"/>
      <c r="I3350" s="34" t="str">
        <f aca="false">IF($A3350="","",$G3350-$H3350)</f>
        <v/>
      </c>
      <c r="J3350" s="35" t="str">
        <f aca="false">IF($A3350="","",IF(Setup!$B$6=1,YEAR($A3350),YEAR($A3350)+IF(MONTH($A3350)&gt;=Setup!$B$6,1,0)))</f>
        <v/>
      </c>
      <c r="K3350" s="35" t="str">
        <f aca="false">IF($A3350="","",MOD(MONTH($A3350)-Setup!$B$6+12,12)+1)</f>
        <v/>
      </c>
      <c r="L3350" s="36" t="str">
        <f aca="false">IF($A3350="","",TEXT($A3350,"MMM-YY"))</f>
        <v/>
      </c>
      <c r="M3350" s="37" t="str">
        <f aca="false">IF($A3350="","",IF($Q3350=0,"UNMAPPED",INDEX(COA_Mapping!$C$7:$C$256,$Q3350)))</f>
        <v/>
      </c>
      <c r="N3350" s="38" t="str">
        <f aca="false">IF($A3350="","",IF($Q3350=0,"",INDEX(COA_Mapping!$E$7:$E$256,$Q3350)))</f>
        <v/>
      </c>
      <c r="O3350" s="38" t="n">
        <f aca="false">IF($A3350="",1,IF($Q3350=0,1,INDEX(COA_Mapping!$F$7:$F$256,$Q3350)))</f>
        <v>1</v>
      </c>
      <c r="P3350" s="34" t="str">
        <f aca="false">IF($A3350="","",$I3350*$O3350)</f>
        <v/>
      </c>
      <c r="Q3350" s="39" t="n">
        <f aca="false">IF($B3350="",0,IFERROR(MATCH($B3350,COA_Mapping!$A$7:$A$256,0),0))</f>
        <v>0</v>
      </c>
      <c r="R3350" s="39" t="n">
        <f aca="false">IF($A3350="",-1,IF($J3350=Setup!$B$7,1,IF($J3350=Setup!$B$9,0,-1)))</f>
        <v>-1</v>
      </c>
      <c r="S3350" s="35" t="n">
        <f aca="false">IF(OR($A3350="",$Q3350=0,$R3350=-1),0,$Q3350*1000+$R3350*100+$K3350)</f>
        <v>0</v>
      </c>
      <c r="T3350" s="37" t="str">
        <f aca="false">IF($A3350="","",IF($B3350="","NO ACCOUNT",IF($Q3350=0,"UNMAPPED",IF($R3350=-1,"OUTSIDE FY RANGE","OK"))))</f>
        <v/>
      </c>
      <c r="U3350" s="40" t="str">
        <f aca="false">IF($A3350="","",$B3350&amp;"|"&amp;TEXT($A3350,"yyyymmdd")&amp;"|"&amp;TEXT($I3350,"0.00"))</f>
        <v/>
      </c>
      <c r="V3350" s="35" t="str">
        <f aca="false">IF($A3350="","",COUNTIF($U$8:$U$5007,$U3350))</f>
        <v/>
      </c>
    </row>
    <row r="3351" customFormat="false" ht="15" hidden="false" customHeight="false" outlineLevel="0" collapsed="false">
      <c r="A3351" s="31"/>
      <c r="B3351" s="32"/>
      <c r="C3351" s="32"/>
      <c r="D3351" s="32"/>
      <c r="E3351" s="32"/>
      <c r="F3351" s="32"/>
      <c r="G3351" s="33"/>
      <c r="H3351" s="33"/>
      <c r="I3351" s="34" t="str">
        <f aca="false">IF($A3351="","",$G3351-$H3351)</f>
        <v/>
      </c>
      <c r="J3351" s="35" t="str">
        <f aca="false">IF($A3351="","",IF(Setup!$B$6=1,YEAR($A3351),YEAR($A3351)+IF(MONTH($A3351)&gt;=Setup!$B$6,1,0)))</f>
        <v/>
      </c>
      <c r="K3351" s="35" t="str">
        <f aca="false">IF($A3351="","",MOD(MONTH($A3351)-Setup!$B$6+12,12)+1)</f>
        <v/>
      </c>
      <c r="L3351" s="36" t="str">
        <f aca="false">IF($A3351="","",TEXT($A3351,"MMM-YY"))</f>
        <v/>
      </c>
      <c r="M3351" s="37" t="str">
        <f aca="false">IF($A3351="","",IF($Q3351=0,"UNMAPPED",INDEX(COA_Mapping!$C$7:$C$256,$Q3351)))</f>
        <v/>
      </c>
      <c r="N3351" s="38" t="str">
        <f aca="false">IF($A3351="","",IF($Q3351=0,"",INDEX(COA_Mapping!$E$7:$E$256,$Q3351)))</f>
        <v/>
      </c>
      <c r="O3351" s="38" t="n">
        <f aca="false">IF($A3351="",1,IF($Q3351=0,1,INDEX(COA_Mapping!$F$7:$F$256,$Q3351)))</f>
        <v>1</v>
      </c>
      <c r="P3351" s="34" t="str">
        <f aca="false">IF($A3351="","",$I3351*$O3351)</f>
        <v/>
      </c>
      <c r="Q3351" s="39" t="n">
        <f aca="false">IF($B3351="",0,IFERROR(MATCH($B3351,COA_Mapping!$A$7:$A$256,0),0))</f>
        <v>0</v>
      </c>
      <c r="R3351" s="39" t="n">
        <f aca="false">IF($A3351="",-1,IF($J3351=Setup!$B$7,1,IF($J3351=Setup!$B$9,0,-1)))</f>
        <v>-1</v>
      </c>
      <c r="S3351" s="35" t="n">
        <f aca="false">IF(OR($A3351="",$Q3351=0,$R3351=-1),0,$Q3351*1000+$R3351*100+$K3351)</f>
        <v>0</v>
      </c>
      <c r="T3351" s="37" t="str">
        <f aca="false">IF($A3351="","",IF($B3351="","NO ACCOUNT",IF($Q3351=0,"UNMAPPED",IF($R3351=-1,"OUTSIDE FY RANGE","OK"))))</f>
        <v/>
      </c>
      <c r="U3351" s="40" t="str">
        <f aca="false">IF($A3351="","",$B3351&amp;"|"&amp;TEXT($A3351,"yyyymmdd")&amp;"|"&amp;TEXT($I3351,"0.00"))</f>
        <v/>
      </c>
      <c r="V3351" s="35" t="str">
        <f aca="false">IF($A3351="","",COUNTIF($U$8:$U$5007,$U3351))</f>
        <v/>
      </c>
    </row>
    <row r="3352" customFormat="false" ht="15" hidden="false" customHeight="false" outlineLevel="0" collapsed="false">
      <c r="A3352" s="31"/>
      <c r="B3352" s="32"/>
      <c r="C3352" s="32"/>
      <c r="D3352" s="32"/>
      <c r="E3352" s="32"/>
      <c r="F3352" s="32"/>
      <c r="G3352" s="33"/>
      <c r="H3352" s="33"/>
      <c r="I3352" s="34" t="str">
        <f aca="false">IF($A3352="","",$G3352-$H3352)</f>
        <v/>
      </c>
      <c r="J3352" s="35" t="str">
        <f aca="false">IF($A3352="","",IF(Setup!$B$6=1,YEAR($A3352),YEAR($A3352)+IF(MONTH($A3352)&gt;=Setup!$B$6,1,0)))</f>
        <v/>
      </c>
      <c r="K3352" s="35" t="str">
        <f aca="false">IF($A3352="","",MOD(MONTH($A3352)-Setup!$B$6+12,12)+1)</f>
        <v/>
      </c>
      <c r="L3352" s="36" t="str">
        <f aca="false">IF($A3352="","",TEXT($A3352,"MMM-YY"))</f>
        <v/>
      </c>
      <c r="M3352" s="37" t="str">
        <f aca="false">IF($A3352="","",IF($Q3352=0,"UNMAPPED",INDEX(COA_Mapping!$C$7:$C$256,$Q3352)))</f>
        <v/>
      </c>
      <c r="N3352" s="38" t="str">
        <f aca="false">IF($A3352="","",IF($Q3352=0,"",INDEX(COA_Mapping!$E$7:$E$256,$Q3352)))</f>
        <v/>
      </c>
      <c r="O3352" s="38" t="n">
        <f aca="false">IF($A3352="",1,IF($Q3352=0,1,INDEX(COA_Mapping!$F$7:$F$256,$Q3352)))</f>
        <v>1</v>
      </c>
      <c r="P3352" s="34" t="str">
        <f aca="false">IF($A3352="","",$I3352*$O3352)</f>
        <v/>
      </c>
      <c r="Q3352" s="39" t="n">
        <f aca="false">IF($B3352="",0,IFERROR(MATCH($B3352,COA_Mapping!$A$7:$A$256,0),0))</f>
        <v>0</v>
      </c>
      <c r="R3352" s="39" t="n">
        <f aca="false">IF($A3352="",-1,IF($J3352=Setup!$B$7,1,IF($J3352=Setup!$B$9,0,-1)))</f>
        <v>-1</v>
      </c>
      <c r="S3352" s="35" t="n">
        <f aca="false">IF(OR($A3352="",$Q3352=0,$R3352=-1),0,$Q3352*1000+$R3352*100+$K3352)</f>
        <v>0</v>
      </c>
      <c r="T3352" s="37" t="str">
        <f aca="false">IF($A3352="","",IF($B3352="","NO ACCOUNT",IF($Q3352=0,"UNMAPPED",IF($R3352=-1,"OUTSIDE FY RANGE","OK"))))</f>
        <v/>
      </c>
      <c r="U3352" s="40" t="str">
        <f aca="false">IF($A3352="","",$B3352&amp;"|"&amp;TEXT($A3352,"yyyymmdd")&amp;"|"&amp;TEXT($I3352,"0.00"))</f>
        <v/>
      </c>
      <c r="V3352" s="35" t="str">
        <f aca="false">IF($A3352="","",COUNTIF($U$8:$U$5007,$U3352))</f>
        <v/>
      </c>
    </row>
    <row r="3353" customFormat="false" ht="15" hidden="false" customHeight="false" outlineLevel="0" collapsed="false">
      <c r="A3353" s="31"/>
      <c r="B3353" s="32"/>
      <c r="C3353" s="32"/>
      <c r="D3353" s="32"/>
      <c r="E3353" s="32"/>
      <c r="F3353" s="32"/>
      <c r="G3353" s="33"/>
      <c r="H3353" s="33"/>
      <c r="I3353" s="34" t="str">
        <f aca="false">IF($A3353="","",$G3353-$H3353)</f>
        <v/>
      </c>
      <c r="J3353" s="35" t="str">
        <f aca="false">IF($A3353="","",IF(Setup!$B$6=1,YEAR($A3353),YEAR($A3353)+IF(MONTH($A3353)&gt;=Setup!$B$6,1,0)))</f>
        <v/>
      </c>
      <c r="K3353" s="35" t="str">
        <f aca="false">IF($A3353="","",MOD(MONTH($A3353)-Setup!$B$6+12,12)+1)</f>
        <v/>
      </c>
      <c r="L3353" s="36" t="str">
        <f aca="false">IF($A3353="","",TEXT($A3353,"MMM-YY"))</f>
        <v/>
      </c>
      <c r="M3353" s="37" t="str">
        <f aca="false">IF($A3353="","",IF($Q3353=0,"UNMAPPED",INDEX(COA_Mapping!$C$7:$C$256,$Q3353)))</f>
        <v/>
      </c>
      <c r="N3353" s="38" t="str">
        <f aca="false">IF($A3353="","",IF($Q3353=0,"",INDEX(COA_Mapping!$E$7:$E$256,$Q3353)))</f>
        <v/>
      </c>
      <c r="O3353" s="38" t="n">
        <f aca="false">IF($A3353="",1,IF($Q3353=0,1,INDEX(COA_Mapping!$F$7:$F$256,$Q3353)))</f>
        <v>1</v>
      </c>
      <c r="P3353" s="34" t="str">
        <f aca="false">IF($A3353="","",$I3353*$O3353)</f>
        <v/>
      </c>
      <c r="Q3353" s="39" t="n">
        <f aca="false">IF($B3353="",0,IFERROR(MATCH($B3353,COA_Mapping!$A$7:$A$256,0),0))</f>
        <v>0</v>
      </c>
      <c r="R3353" s="39" t="n">
        <f aca="false">IF($A3353="",-1,IF($J3353=Setup!$B$7,1,IF($J3353=Setup!$B$9,0,-1)))</f>
        <v>-1</v>
      </c>
      <c r="S3353" s="35" t="n">
        <f aca="false">IF(OR($A3353="",$Q3353=0,$R3353=-1),0,$Q3353*1000+$R3353*100+$K3353)</f>
        <v>0</v>
      </c>
      <c r="T3353" s="37" t="str">
        <f aca="false">IF($A3353="","",IF($B3353="","NO ACCOUNT",IF($Q3353=0,"UNMAPPED",IF($R3353=-1,"OUTSIDE FY RANGE","OK"))))</f>
        <v/>
      </c>
      <c r="U3353" s="40" t="str">
        <f aca="false">IF($A3353="","",$B3353&amp;"|"&amp;TEXT($A3353,"yyyymmdd")&amp;"|"&amp;TEXT($I3353,"0.00"))</f>
        <v/>
      </c>
      <c r="V3353" s="35" t="str">
        <f aca="false">IF($A3353="","",COUNTIF($U$8:$U$5007,$U3353))</f>
        <v/>
      </c>
    </row>
    <row r="3354" customFormat="false" ht="15" hidden="false" customHeight="false" outlineLevel="0" collapsed="false">
      <c r="A3354" s="31"/>
      <c r="B3354" s="32"/>
      <c r="C3354" s="32"/>
      <c r="D3354" s="32"/>
      <c r="E3354" s="32"/>
      <c r="F3354" s="32"/>
      <c r="G3354" s="33"/>
      <c r="H3354" s="33"/>
      <c r="I3354" s="34" t="str">
        <f aca="false">IF($A3354="","",$G3354-$H3354)</f>
        <v/>
      </c>
      <c r="J3354" s="35" t="str">
        <f aca="false">IF($A3354="","",IF(Setup!$B$6=1,YEAR($A3354),YEAR($A3354)+IF(MONTH($A3354)&gt;=Setup!$B$6,1,0)))</f>
        <v/>
      </c>
      <c r="K3354" s="35" t="str">
        <f aca="false">IF($A3354="","",MOD(MONTH($A3354)-Setup!$B$6+12,12)+1)</f>
        <v/>
      </c>
      <c r="L3354" s="36" t="str">
        <f aca="false">IF($A3354="","",TEXT($A3354,"MMM-YY"))</f>
        <v/>
      </c>
      <c r="M3354" s="37" t="str">
        <f aca="false">IF($A3354="","",IF($Q3354=0,"UNMAPPED",INDEX(COA_Mapping!$C$7:$C$256,$Q3354)))</f>
        <v/>
      </c>
      <c r="N3354" s="38" t="str">
        <f aca="false">IF($A3354="","",IF($Q3354=0,"",INDEX(COA_Mapping!$E$7:$E$256,$Q3354)))</f>
        <v/>
      </c>
      <c r="O3354" s="38" t="n">
        <f aca="false">IF($A3354="",1,IF($Q3354=0,1,INDEX(COA_Mapping!$F$7:$F$256,$Q3354)))</f>
        <v>1</v>
      </c>
      <c r="P3354" s="34" t="str">
        <f aca="false">IF($A3354="","",$I3354*$O3354)</f>
        <v/>
      </c>
      <c r="Q3354" s="39" t="n">
        <f aca="false">IF($B3354="",0,IFERROR(MATCH($B3354,COA_Mapping!$A$7:$A$256,0),0))</f>
        <v>0</v>
      </c>
      <c r="R3354" s="39" t="n">
        <f aca="false">IF($A3354="",-1,IF($J3354=Setup!$B$7,1,IF($J3354=Setup!$B$9,0,-1)))</f>
        <v>-1</v>
      </c>
      <c r="S3354" s="35" t="n">
        <f aca="false">IF(OR($A3354="",$Q3354=0,$R3354=-1),0,$Q3354*1000+$R3354*100+$K3354)</f>
        <v>0</v>
      </c>
      <c r="T3354" s="37" t="str">
        <f aca="false">IF($A3354="","",IF($B3354="","NO ACCOUNT",IF($Q3354=0,"UNMAPPED",IF($R3354=-1,"OUTSIDE FY RANGE","OK"))))</f>
        <v/>
      </c>
      <c r="U3354" s="40" t="str">
        <f aca="false">IF($A3354="","",$B3354&amp;"|"&amp;TEXT($A3354,"yyyymmdd")&amp;"|"&amp;TEXT($I3354,"0.00"))</f>
        <v/>
      </c>
      <c r="V3354" s="35" t="str">
        <f aca="false">IF($A3354="","",COUNTIF($U$8:$U$5007,$U3354))</f>
        <v/>
      </c>
    </row>
    <row r="3355" customFormat="false" ht="15" hidden="false" customHeight="false" outlineLevel="0" collapsed="false">
      <c r="A3355" s="31"/>
      <c r="B3355" s="32"/>
      <c r="C3355" s="32"/>
      <c r="D3355" s="32"/>
      <c r="E3355" s="32"/>
      <c r="F3355" s="32"/>
      <c r="G3355" s="33"/>
      <c r="H3355" s="33"/>
      <c r="I3355" s="34" t="str">
        <f aca="false">IF($A3355="","",$G3355-$H3355)</f>
        <v/>
      </c>
      <c r="J3355" s="35" t="str">
        <f aca="false">IF($A3355="","",IF(Setup!$B$6=1,YEAR($A3355),YEAR($A3355)+IF(MONTH($A3355)&gt;=Setup!$B$6,1,0)))</f>
        <v/>
      </c>
      <c r="K3355" s="35" t="str">
        <f aca="false">IF($A3355="","",MOD(MONTH($A3355)-Setup!$B$6+12,12)+1)</f>
        <v/>
      </c>
      <c r="L3355" s="36" t="str">
        <f aca="false">IF($A3355="","",TEXT($A3355,"MMM-YY"))</f>
        <v/>
      </c>
      <c r="M3355" s="37" t="str">
        <f aca="false">IF($A3355="","",IF($Q3355=0,"UNMAPPED",INDEX(COA_Mapping!$C$7:$C$256,$Q3355)))</f>
        <v/>
      </c>
      <c r="N3355" s="38" t="str">
        <f aca="false">IF($A3355="","",IF($Q3355=0,"",INDEX(COA_Mapping!$E$7:$E$256,$Q3355)))</f>
        <v/>
      </c>
      <c r="O3355" s="38" t="n">
        <f aca="false">IF($A3355="",1,IF($Q3355=0,1,INDEX(COA_Mapping!$F$7:$F$256,$Q3355)))</f>
        <v>1</v>
      </c>
      <c r="P3355" s="34" t="str">
        <f aca="false">IF($A3355="","",$I3355*$O3355)</f>
        <v/>
      </c>
      <c r="Q3355" s="39" t="n">
        <f aca="false">IF($B3355="",0,IFERROR(MATCH($B3355,COA_Mapping!$A$7:$A$256,0),0))</f>
        <v>0</v>
      </c>
      <c r="R3355" s="39" t="n">
        <f aca="false">IF($A3355="",-1,IF($J3355=Setup!$B$7,1,IF($J3355=Setup!$B$9,0,-1)))</f>
        <v>-1</v>
      </c>
      <c r="S3355" s="35" t="n">
        <f aca="false">IF(OR($A3355="",$Q3355=0,$R3355=-1),0,$Q3355*1000+$R3355*100+$K3355)</f>
        <v>0</v>
      </c>
      <c r="T3355" s="37" t="str">
        <f aca="false">IF($A3355="","",IF($B3355="","NO ACCOUNT",IF($Q3355=0,"UNMAPPED",IF($R3355=-1,"OUTSIDE FY RANGE","OK"))))</f>
        <v/>
      </c>
      <c r="U3355" s="40" t="str">
        <f aca="false">IF($A3355="","",$B3355&amp;"|"&amp;TEXT($A3355,"yyyymmdd")&amp;"|"&amp;TEXT($I3355,"0.00"))</f>
        <v/>
      </c>
      <c r="V3355" s="35" t="str">
        <f aca="false">IF($A3355="","",COUNTIF($U$8:$U$5007,$U3355))</f>
        <v/>
      </c>
    </row>
    <row r="3356" customFormat="false" ht="15" hidden="false" customHeight="false" outlineLevel="0" collapsed="false">
      <c r="A3356" s="31"/>
      <c r="B3356" s="32"/>
      <c r="C3356" s="32"/>
      <c r="D3356" s="32"/>
      <c r="E3356" s="32"/>
      <c r="F3356" s="32"/>
      <c r="G3356" s="33"/>
      <c r="H3356" s="33"/>
      <c r="I3356" s="34" t="str">
        <f aca="false">IF($A3356="","",$G3356-$H3356)</f>
        <v/>
      </c>
      <c r="J3356" s="35" t="str">
        <f aca="false">IF($A3356="","",IF(Setup!$B$6=1,YEAR($A3356),YEAR($A3356)+IF(MONTH($A3356)&gt;=Setup!$B$6,1,0)))</f>
        <v/>
      </c>
      <c r="K3356" s="35" t="str">
        <f aca="false">IF($A3356="","",MOD(MONTH($A3356)-Setup!$B$6+12,12)+1)</f>
        <v/>
      </c>
      <c r="L3356" s="36" t="str">
        <f aca="false">IF($A3356="","",TEXT($A3356,"MMM-YY"))</f>
        <v/>
      </c>
      <c r="M3356" s="37" t="str">
        <f aca="false">IF($A3356="","",IF($Q3356=0,"UNMAPPED",INDEX(COA_Mapping!$C$7:$C$256,$Q3356)))</f>
        <v/>
      </c>
      <c r="N3356" s="38" t="str">
        <f aca="false">IF($A3356="","",IF($Q3356=0,"",INDEX(COA_Mapping!$E$7:$E$256,$Q3356)))</f>
        <v/>
      </c>
      <c r="O3356" s="38" t="n">
        <f aca="false">IF($A3356="",1,IF($Q3356=0,1,INDEX(COA_Mapping!$F$7:$F$256,$Q3356)))</f>
        <v>1</v>
      </c>
      <c r="P3356" s="34" t="str">
        <f aca="false">IF($A3356="","",$I3356*$O3356)</f>
        <v/>
      </c>
      <c r="Q3356" s="39" t="n">
        <f aca="false">IF($B3356="",0,IFERROR(MATCH($B3356,COA_Mapping!$A$7:$A$256,0),0))</f>
        <v>0</v>
      </c>
      <c r="R3356" s="39" t="n">
        <f aca="false">IF($A3356="",-1,IF($J3356=Setup!$B$7,1,IF($J3356=Setup!$B$9,0,-1)))</f>
        <v>-1</v>
      </c>
      <c r="S3356" s="35" t="n">
        <f aca="false">IF(OR($A3356="",$Q3356=0,$R3356=-1),0,$Q3356*1000+$R3356*100+$K3356)</f>
        <v>0</v>
      </c>
      <c r="T3356" s="37" t="str">
        <f aca="false">IF($A3356="","",IF($B3356="","NO ACCOUNT",IF($Q3356=0,"UNMAPPED",IF($R3356=-1,"OUTSIDE FY RANGE","OK"))))</f>
        <v/>
      </c>
      <c r="U3356" s="40" t="str">
        <f aca="false">IF($A3356="","",$B3356&amp;"|"&amp;TEXT($A3356,"yyyymmdd")&amp;"|"&amp;TEXT($I3356,"0.00"))</f>
        <v/>
      </c>
      <c r="V3356" s="35" t="str">
        <f aca="false">IF($A3356="","",COUNTIF($U$8:$U$5007,$U3356))</f>
        <v/>
      </c>
    </row>
    <row r="3357" customFormat="false" ht="15" hidden="false" customHeight="false" outlineLevel="0" collapsed="false">
      <c r="A3357" s="31"/>
      <c r="B3357" s="32"/>
      <c r="C3357" s="32"/>
      <c r="D3357" s="32"/>
      <c r="E3357" s="32"/>
      <c r="F3357" s="32"/>
      <c r="G3357" s="33"/>
      <c r="H3357" s="33"/>
      <c r="I3357" s="34" t="str">
        <f aca="false">IF($A3357="","",$G3357-$H3357)</f>
        <v/>
      </c>
      <c r="J3357" s="35" t="str">
        <f aca="false">IF($A3357="","",IF(Setup!$B$6=1,YEAR($A3357),YEAR($A3357)+IF(MONTH($A3357)&gt;=Setup!$B$6,1,0)))</f>
        <v/>
      </c>
      <c r="K3357" s="35" t="str">
        <f aca="false">IF($A3357="","",MOD(MONTH($A3357)-Setup!$B$6+12,12)+1)</f>
        <v/>
      </c>
      <c r="L3357" s="36" t="str">
        <f aca="false">IF($A3357="","",TEXT($A3357,"MMM-YY"))</f>
        <v/>
      </c>
      <c r="M3357" s="37" t="str">
        <f aca="false">IF($A3357="","",IF($Q3357=0,"UNMAPPED",INDEX(COA_Mapping!$C$7:$C$256,$Q3357)))</f>
        <v/>
      </c>
      <c r="N3357" s="38" t="str">
        <f aca="false">IF($A3357="","",IF($Q3357=0,"",INDEX(COA_Mapping!$E$7:$E$256,$Q3357)))</f>
        <v/>
      </c>
      <c r="O3357" s="38" t="n">
        <f aca="false">IF($A3357="",1,IF($Q3357=0,1,INDEX(COA_Mapping!$F$7:$F$256,$Q3357)))</f>
        <v>1</v>
      </c>
      <c r="P3357" s="34" t="str">
        <f aca="false">IF($A3357="","",$I3357*$O3357)</f>
        <v/>
      </c>
      <c r="Q3357" s="39" t="n">
        <f aca="false">IF($B3357="",0,IFERROR(MATCH($B3357,COA_Mapping!$A$7:$A$256,0),0))</f>
        <v>0</v>
      </c>
      <c r="R3357" s="39" t="n">
        <f aca="false">IF($A3357="",-1,IF($J3357=Setup!$B$7,1,IF($J3357=Setup!$B$9,0,-1)))</f>
        <v>-1</v>
      </c>
      <c r="S3357" s="35" t="n">
        <f aca="false">IF(OR($A3357="",$Q3357=0,$R3357=-1),0,$Q3357*1000+$R3357*100+$K3357)</f>
        <v>0</v>
      </c>
      <c r="T3357" s="37" t="str">
        <f aca="false">IF($A3357="","",IF($B3357="","NO ACCOUNT",IF($Q3357=0,"UNMAPPED",IF($R3357=-1,"OUTSIDE FY RANGE","OK"))))</f>
        <v/>
      </c>
      <c r="U3357" s="40" t="str">
        <f aca="false">IF($A3357="","",$B3357&amp;"|"&amp;TEXT($A3357,"yyyymmdd")&amp;"|"&amp;TEXT($I3357,"0.00"))</f>
        <v/>
      </c>
      <c r="V3357" s="35" t="str">
        <f aca="false">IF($A3357="","",COUNTIF($U$8:$U$5007,$U3357))</f>
        <v/>
      </c>
    </row>
    <row r="3358" customFormat="false" ht="15" hidden="false" customHeight="false" outlineLevel="0" collapsed="false">
      <c r="A3358" s="31"/>
      <c r="B3358" s="32"/>
      <c r="C3358" s="32"/>
      <c r="D3358" s="32"/>
      <c r="E3358" s="32"/>
      <c r="F3358" s="32"/>
      <c r="G3358" s="33"/>
      <c r="H3358" s="33"/>
      <c r="I3358" s="34" t="str">
        <f aca="false">IF($A3358="","",$G3358-$H3358)</f>
        <v/>
      </c>
      <c r="J3358" s="35" t="str">
        <f aca="false">IF($A3358="","",IF(Setup!$B$6=1,YEAR($A3358),YEAR($A3358)+IF(MONTH($A3358)&gt;=Setup!$B$6,1,0)))</f>
        <v/>
      </c>
      <c r="K3358" s="35" t="str">
        <f aca="false">IF($A3358="","",MOD(MONTH($A3358)-Setup!$B$6+12,12)+1)</f>
        <v/>
      </c>
      <c r="L3358" s="36" t="str">
        <f aca="false">IF($A3358="","",TEXT($A3358,"MMM-YY"))</f>
        <v/>
      </c>
      <c r="M3358" s="37" t="str">
        <f aca="false">IF($A3358="","",IF($Q3358=0,"UNMAPPED",INDEX(COA_Mapping!$C$7:$C$256,$Q3358)))</f>
        <v/>
      </c>
      <c r="N3358" s="38" t="str">
        <f aca="false">IF($A3358="","",IF($Q3358=0,"",INDEX(COA_Mapping!$E$7:$E$256,$Q3358)))</f>
        <v/>
      </c>
      <c r="O3358" s="38" t="n">
        <f aca="false">IF($A3358="",1,IF($Q3358=0,1,INDEX(COA_Mapping!$F$7:$F$256,$Q3358)))</f>
        <v>1</v>
      </c>
      <c r="P3358" s="34" t="str">
        <f aca="false">IF($A3358="","",$I3358*$O3358)</f>
        <v/>
      </c>
      <c r="Q3358" s="39" t="n">
        <f aca="false">IF($B3358="",0,IFERROR(MATCH($B3358,COA_Mapping!$A$7:$A$256,0),0))</f>
        <v>0</v>
      </c>
      <c r="R3358" s="39" t="n">
        <f aca="false">IF($A3358="",-1,IF($J3358=Setup!$B$7,1,IF($J3358=Setup!$B$9,0,-1)))</f>
        <v>-1</v>
      </c>
      <c r="S3358" s="35" t="n">
        <f aca="false">IF(OR($A3358="",$Q3358=0,$R3358=-1),0,$Q3358*1000+$R3358*100+$K3358)</f>
        <v>0</v>
      </c>
      <c r="T3358" s="37" t="str">
        <f aca="false">IF($A3358="","",IF($B3358="","NO ACCOUNT",IF($Q3358=0,"UNMAPPED",IF($R3358=-1,"OUTSIDE FY RANGE","OK"))))</f>
        <v/>
      </c>
      <c r="U3358" s="40" t="str">
        <f aca="false">IF($A3358="","",$B3358&amp;"|"&amp;TEXT($A3358,"yyyymmdd")&amp;"|"&amp;TEXT($I3358,"0.00"))</f>
        <v/>
      </c>
      <c r="V3358" s="35" t="str">
        <f aca="false">IF($A3358="","",COUNTIF($U$8:$U$5007,$U3358))</f>
        <v/>
      </c>
    </row>
    <row r="3359" customFormat="false" ht="15" hidden="false" customHeight="false" outlineLevel="0" collapsed="false">
      <c r="A3359" s="31"/>
      <c r="B3359" s="32"/>
      <c r="C3359" s="32"/>
      <c r="D3359" s="32"/>
      <c r="E3359" s="32"/>
      <c r="F3359" s="32"/>
      <c r="G3359" s="33"/>
      <c r="H3359" s="33"/>
      <c r="I3359" s="34" t="str">
        <f aca="false">IF($A3359="","",$G3359-$H3359)</f>
        <v/>
      </c>
      <c r="J3359" s="35" t="str">
        <f aca="false">IF($A3359="","",IF(Setup!$B$6=1,YEAR($A3359),YEAR($A3359)+IF(MONTH($A3359)&gt;=Setup!$B$6,1,0)))</f>
        <v/>
      </c>
      <c r="K3359" s="35" t="str">
        <f aca="false">IF($A3359="","",MOD(MONTH($A3359)-Setup!$B$6+12,12)+1)</f>
        <v/>
      </c>
      <c r="L3359" s="36" t="str">
        <f aca="false">IF($A3359="","",TEXT($A3359,"MMM-YY"))</f>
        <v/>
      </c>
      <c r="M3359" s="37" t="str">
        <f aca="false">IF($A3359="","",IF($Q3359=0,"UNMAPPED",INDEX(COA_Mapping!$C$7:$C$256,$Q3359)))</f>
        <v/>
      </c>
      <c r="N3359" s="38" t="str">
        <f aca="false">IF($A3359="","",IF($Q3359=0,"",INDEX(COA_Mapping!$E$7:$E$256,$Q3359)))</f>
        <v/>
      </c>
      <c r="O3359" s="38" t="n">
        <f aca="false">IF($A3359="",1,IF($Q3359=0,1,INDEX(COA_Mapping!$F$7:$F$256,$Q3359)))</f>
        <v>1</v>
      </c>
      <c r="P3359" s="34" t="str">
        <f aca="false">IF($A3359="","",$I3359*$O3359)</f>
        <v/>
      </c>
      <c r="Q3359" s="39" t="n">
        <f aca="false">IF($B3359="",0,IFERROR(MATCH($B3359,COA_Mapping!$A$7:$A$256,0),0))</f>
        <v>0</v>
      </c>
      <c r="R3359" s="39" t="n">
        <f aca="false">IF($A3359="",-1,IF($J3359=Setup!$B$7,1,IF($J3359=Setup!$B$9,0,-1)))</f>
        <v>-1</v>
      </c>
      <c r="S3359" s="35" t="n">
        <f aca="false">IF(OR($A3359="",$Q3359=0,$R3359=-1),0,$Q3359*1000+$R3359*100+$K3359)</f>
        <v>0</v>
      </c>
      <c r="T3359" s="37" t="str">
        <f aca="false">IF($A3359="","",IF($B3359="","NO ACCOUNT",IF($Q3359=0,"UNMAPPED",IF($R3359=-1,"OUTSIDE FY RANGE","OK"))))</f>
        <v/>
      </c>
      <c r="U3359" s="40" t="str">
        <f aca="false">IF($A3359="","",$B3359&amp;"|"&amp;TEXT($A3359,"yyyymmdd")&amp;"|"&amp;TEXT($I3359,"0.00"))</f>
        <v/>
      </c>
      <c r="V3359" s="35" t="str">
        <f aca="false">IF($A3359="","",COUNTIF($U$8:$U$5007,$U3359))</f>
        <v/>
      </c>
    </row>
    <row r="3360" customFormat="false" ht="15" hidden="false" customHeight="false" outlineLevel="0" collapsed="false">
      <c r="A3360" s="31"/>
      <c r="B3360" s="32"/>
      <c r="C3360" s="32"/>
      <c r="D3360" s="32"/>
      <c r="E3360" s="32"/>
      <c r="F3360" s="32"/>
      <c r="G3360" s="33"/>
      <c r="H3360" s="33"/>
      <c r="I3360" s="34" t="str">
        <f aca="false">IF($A3360="","",$G3360-$H3360)</f>
        <v/>
      </c>
      <c r="J3360" s="35" t="str">
        <f aca="false">IF($A3360="","",IF(Setup!$B$6=1,YEAR($A3360),YEAR($A3360)+IF(MONTH($A3360)&gt;=Setup!$B$6,1,0)))</f>
        <v/>
      </c>
      <c r="K3360" s="35" t="str">
        <f aca="false">IF($A3360="","",MOD(MONTH($A3360)-Setup!$B$6+12,12)+1)</f>
        <v/>
      </c>
      <c r="L3360" s="36" t="str">
        <f aca="false">IF($A3360="","",TEXT($A3360,"MMM-YY"))</f>
        <v/>
      </c>
      <c r="M3360" s="37" t="str">
        <f aca="false">IF($A3360="","",IF($Q3360=0,"UNMAPPED",INDEX(COA_Mapping!$C$7:$C$256,$Q3360)))</f>
        <v/>
      </c>
      <c r="N3360" s="38" t="str">
        <f aca="false">IF($A3360="","",IF($Q3360=0,"",INDEX(COA_Mapping!$E$7:$E$256,$Q3360)))</f>
        <v/>
      </c>
      <c r="O3360" s="38" t="n">
        <f aca="false">IF($A3360="",1,IF($Q3360=0,1,INDEX(COA_Mapping!$F$7:$F$256,$Q3360)))</f>
        <v>1</v>
      </c>
      <c r="P3360" s="34" t="str">
        <f aca="false">IF($A3360="","",$I3360*$O3360)</f>
        <v/>
      </c>
      <c r="Q3360" s="39" t="n">
        <f aca="false">IF($B3360="",0,IFERROR(MATCH($B3360,COA_Mapping!$A$7:$A$256,0),0))</f>
        <v>0</v>
      </c>
      <c r="R3360" s="39" t="n">
        <f aca="false">IF($A3360="",-1,IF($J3360=Setup!$B$7,1,IF($J3360=Setup!$B$9,0,-1)))</f>
        <v>-1</v>
      </c>
      <c r="S3360" s="35" t="n">
        <f aca="false">IF(OR($A3360="",$Q3360=0,$R3360=-1),0,$Q3360*1000+$R3360*100+$K3360)</f>
        <v>0</v>
      </c>
      <c r="T3360" s="37" t="str">
        <f aca="false">IF($A3360="","",IF($B3360="","NO ACCOUNT",IF($Q3360=0,"UNMAPPED",IF($R3360=-1,"OUTSIDE FY RANGE","OK"))))</f>
        <v/>
      </c>
      <c r="U3360" s="40" t="str">
        <f aca="false">IF($A3360="","",$B3360&amp;"|"&amp;TEXT($A3360,"yyyymmdd")&amp;"|"&amp;TEXT($I3360,"0.00"))</f>
        <v/>
      </c>
      <c r="V3360" s="35" t="str">
        <f aca="false">IF($A3360="","",COUNTIF($U$8:$U$5007,$U3360))</f>
        <v/>
      </c>
    </row>
    <row r="3361" customFormat="false" ht="15" hidden="false" customHeight="false" outlineLevel="0" collapsed="false">
      <c r="A3361" s="31"/>
      <c r="B3361" s="32"/>
      <c r="C3361" s="32"/>
      <c r="D3361" s="32"/>
      <c r="E3361" s="32"/>
      <c r="F3361" s="32"/>
      <c r="G3361" s="33"/>
      <c r="H3361" s="33"/>
      <c r="I3361" s="34" t="str">
        <f aca="false">IF($A3361="","",$G3361-$H3361)</f>
        <v/>
      </c>
      <c r="J3361" s="35" t="str">
        <f aca="false">IF($A3361="","",IF(Setup!$B$6=1,YEAR($A3361),YEAR($A3361)+IF(MONTH($A3361)&gt;=Setup!$B$6,1,0)))</f>
        <v/>
      </c>
      <c r="K3361" s="35" t="str">
        <f aca="false">IF($A3361="","",MOD(MONTH($A3361)-Setup!$B$6+12,12)+1)</f>
        <v/>
      </c>
      <c r="L3361" s="36" t="str">
        <f aca="false">IF($A3361="","",TEXT($A3361,"MMM-YY"))</f>
        <v/>
      </c>
      <c r="M3361" s="37" t="str">
        <f aca="false">IF($A3361="","",IF($Q3361=0,"UNMAPPED",INDEX(COA_Mapping!$C$7:$C$256,$Q3361)))</f>
        <v/>
      </c>
      <c r="N3361" s="38" t="str">
        <f aca="false">IF($A3361="","",IF($Q3361=0,"",INDEX(COA_Mapping!$E$7:$E$256,$Q3361)))</f>
        <v/>
      </c>
      <c r="O3361" s="38" t="n">
        <f aca="false">IF($A3361="",1,IF($Q3361=0,1,INDEX(COA_Mapping!$F$7:$F$256,$Q3361)))</f>
        <v>1</v>
      </c>
      <c r="P3361" s="34" t="str">
        <f aca="false">IF($A3361="","",$I3361*$O3361)</f>
        <v/>
      </c>
      <c r="Q3361" s="39" t="n">
        <f aca="false">IF($B3361="",0,IFERROR(MATCH($B3361,COA_Mapping!$A$7:$A$256,0),0))</f>
        <v>0</v>
      </c>
      <c r="R3361" s="39" t="n">
        <f aca="false">IF($A3361="",-1,IF($J3361=Setup!$B$7,1,IF($J3361=Setup!$B$9,0,-1)))</f>
        <v>-1</v>
      </c>
      <c r="S3361" s="35" t="n">
        <f aca="false">IF(OR($A3361="",$Q3361=0,$R3361=-1),0,$Q3361*1000+$R3361*100+$K3361)</f>
        <v>0</v>
      </c>
      <c r="T3361" s="37" t="str">
        <f aca="false">IF($A3361="","",IF($B3361="","NO ACCOUNT",IF($Q3361=0,"UNMAPPED",IF($R3361=-1,"OUTSIDE FY RANGE","OK"))))</f>
        <v/>
      </c>
      <c r="U3361" s="40" t="str">
        <f aca="false">IF($A3361="","",$B3361&amp;"|"&amp;TEXT($A3361,"yyyymmdd")&amp;"|"&amp;TEXT($I3361,"0.00"))</f>
        <v/>
      </c>
      <c r="V3361" s="35" t="str">
        <f aca="false">IF($A3361="","",COUNTIF($U$8:$U$5007,$U3361))</f>
        <v/>
      </c>
    </row>
    <row r="3362" customFormat="false" ht="15" hidden="false" customHeight="false" outlineLevel="0" collapsed="false">
      <c r="A3362" s="31"/>
      <c r="B3362" s="32"/>
      <c r="C3362" s="32"/>
      <c r="D3362" s="32"/>
      <c r="E3362" s="32"/>
      <c r="F3362" s="32"/>
      <c r="G3362" s="33"/>
      <c r="H3362" s="33"/>
      <c r="I3362" s="34" t="str">
        <f aca="false">IF($A3362="","",$G3362-$H3362)</f>
        <v/>
      </c>
      <c r="J3362" s="35" t="str">
        <f aca="false">IF($A3362="","",IF(Setup!$B$6=1,YEAR($A3362),YEAR($A3362)+IF(MONTH($A3362)&gt;=Setup!$B$6,1,0)))</f>
        <v/>
      </c>
      <c r="K3362" s="35" t="str">
        <f aca="false">IF($A3362="","",MOD(MONTH($A3362)-Setup!$B$6+12,12)+1)</f>
        <v/>
      </c>
      <c r="L3362" s="36" t="str">
        <f aca="false">IF($A3362="","",TEXT($A3362,"MMM-YY"))</f>
        <v/>
      </c>
      <c r="M3362" s="37" t="str">
        <f aca="false">IF($A3362="","",IF($Q3362=0,"UNMAPPED",INDEX(COA_Mapping!$C$7:$C$256,$Q3362)))</f>
        <v/>
      </c>
      <c r="N3362" s="38" t="str">
        <f aca="false">IF($A3362="","",IF($Q3362=0,"",INDEX(COA_Mapping!$E$7:$E$256,$Q3362)))</f>
        <v/>
      </c>
      <c r="O3362" s="38" t="n">
        <f aca="false">IF($A3362="",1,IF($Q3362=0,1,INDEX(COA_Mapping!$F$7:$F$256,$Q3362)))</f>
        <v>1</v>
      </c>
      <c r="P3362" s="34" t="str">
        <f aca="false">IF($A3362="","",$I3362*$O3362)</f>
        <v/>
      </c>
      <c r="Q3362" s="39" t="n">
        <f aca="false">IF($B3362="",0,IFERROR(MATCH($B3362,COA_Mapping!$A$7:$A$256,0),0))</f>
        <v>0</v>
      </c>
      <c r="R3362" s="39" t="n">
        <f aca="false">IF($A3362="",-1,IF($J3362=Setup!$B$7,1,IF($J3362=Setup!$B$9,0,-1)))</f>
        <v>-1</v>
      </c>
      <c r="S3362" s="35" t="n">
        <f aca="false">IF(OR($A3362="",$Q3362=0,$R3362=-1),0,$Q3362*1000+$R3362*100+$K3362)</f>
        <v>0</v>
      </c>
      <c r="T3362" s="37" t="str">
        <f aca="false">IF($A3362="","",IF($B3362="","NO ACCOUNT",IF($Q3362=0,"UNMAPPED",IF($R3362=-1,"OUTSIDE FY RANGE","OK"))))</f>
        <v/>
      </c>
      <c r="U3362" s="40" t="str">
        <f aca="false">IF($A3362="","",$B3362&amp;"|"&amp;TEXT($A3362,"yyyymmdd")&amp;"|"&amp;TEXT($I3362,"0.00"))</f>
        <v/>
      </c>
      <c r="V3362" s="35" t="str">
        <f aca="false">IF($A3362="","",COUNTIF($U$8:$U$5007,$U3362))</f>
        <v/>
      </c>
    </row>
    <row r="3363" customFormat="false" ht="15" hidden="false" customHeight="false" outlineLevel="0" collapsed="false">
      <c r="A3363" s="31"/>
      <c r="B3363" s="32"/>
      <c r="C3363" s="32"/>
      <c r="D3363" s="32"/>
      <c r="E3363" s="32"/>
      <c r="F3363" s="32"/>
      <c r="G3363" s="33"/>
      <c r="H3363" s="33"/>
      <c r="I3363" s="34" t="str">
        <f aca="false">IF($A3363="","",$G3363-$H3363)</f>
        <v/>
      </c>
      <c r="J3363" s="35" t="str">
        <f aca="false">IF($A3363="","",IF(Setup!$B$6=1,YEAR($A3363),YEAR($A3363)+IF(MONTH($A3363)&gt;=Setup!$B$6,1,0)))</f>
        <v/>
      </c>
      <c r="K3363" s="35" t="str">
        <f aca="false">IF($A3363="","",MOD(MONTH($A3363)-Setup!$B$6+12,12)+1)</f>
        <v/>
      </c>
      <c r="L3363" s="36" t="str">
        <f aca="false">IF($A3363="","",TEXT($A3363,"MMM-YY"))</f>
        <v/>
      </c>
      <c r="M3363" s="37" t="str">
        <f aca="false">IF($A3363="","",IF($Q3363=0,"UNMAPPED",INDEX(COA_Mapping!$C$7:$C$256,$Q3363)))</f>
        <v/>
      </c>
      <c r="N3363" s="38" t="str">
        <f aca="false">IF($A3363="","",IF($Q3363=0,"",INDEX(COA_Mapping!$E$7:$E$256,$Q3363)))</f>
        <v/>
      </c>
      <c r="O3363" s="38" t="n">
        <f aca="false">IF($A3363="",1,IF($Q3363=0,1,INDEX(COA_Mapping!$F$7:$F$256,$Q3363)))</f>
        <v>1</v>
      </c>
      <c r="P3363" s="34" t="str">
        <f aca="false">IF($A3363="","",$I3363*$O3363)</f>
        <v/>
      </c>
      <c r="Q3363" s="39" t="n">
        <f aca="false">IF($B3363="",0,IFERROR(MATCH($B3363,COA_Mapping!$A$7:$A$256,0),0))</f>
        <v>0</v>
      </c>
      <c r="R3363" s="39" t="n">
        <f aca="false">IF($A3363="",-1,IF($J3363=Setup!$B$7,1,IF($J3363=Setup!$B$9,0,-1)))</f>
        <v>-1</v>
      </c>
      <c r="S3363" s="35" t="n">
        <f aca="false">IF(OR($A3363="",$Q3363=0,$R3363=-1),0,$Q3363*1000+$R3363*100+$K3363)</f>
        <v>0</v>
      </c>
      <c r="T3363" s="37" t="str">
        <f aca="false">IF($A3363="","",IF($B3363="","NO ACCOUNT",IF($Q3363=0,"UNMAPPED",IF($R3363=-1,"OUTSIDE FY RANGE","OK"))))</f>
        <v/>
      </c>
      <c r="U3363" s="40" t="str">
        <f aca="false">IF($A3363="","",$B3363&amp;"|"&amp;TEXT($A3363,"yyyymmdd")&amp;"|"&amp;TEXT($I3363,"0.00"))</f>
        <v/>
      </c>
      <c r="V3363" s="35" t="str">
        <f aca="false">IF($A3363="","",COUNTIF($U$8:$U$5007,$U3363))</f>
        <v/>
      </c>
    </row>
    <row r="3364" customFormat="false" ht="15" hidden="false" customHeight="false" outlineLevel="0" collapsed="false">
      <c r="A3364" s="31"/>
      <c r="B3364" s="32"/>
      <c r="C3364" s="32"/>
      <c r="D3364" s="32"/>
      <c r="E3364" s="32"/>
      <c r="F3364" s="32"/>
      <c r="G3364" s="33"/>
      <c r="H3364" s="33"/>
      <c r="I3364" s="34" t="str">
        <f aca="false">IF($A3364="","",$G3364-$H3364)</f>
        <v/>
      </c>
      <c r="J3364" s="35" t="str">
        <f aca="false">IF($A3364="","",IF(Setup!$B$6=1,YEAR($A3364),YEAR($A3364)+IF(MONTH($A3364)&gt;=Setup!$B$6,1,0)))</f>
        <v/>
      </c>
      <c r="K3364" s="35" t="str">
        <f aca="false">IF($A3364="","",MOD(MONTH($A3364)-Setup!$B$6+12,12)+1)</f>
        <v/>
      </c>
      <c r="L3364" s="36" t="str">
        <f aca="false">IF($A3364="","",TEXT($A3364,"MMM-YY"))</f>
        <v/>
      </c>
      <c r="M3364" s="37" t="str">
        <f aca="false">IF($A3364="","",IF($Q3364=0,"UNMAPPED",INDEX(COA_Mapping!$C$7:$C$256,$Q3364)))</f>
        <v/>
      </c>
      <c r="N3364" s="38" t="str">
        <f aca="false">IF($A3364="","",IF($Q3364=0,"",INDEX(COA_Mapping!$E$7:$E$256,$Q3364)))</f>
        <v/>
      </c>
      <c r="O3364" s="38" t="n">
        <f aca="false">IF($A3364="",1,IF($Q3364=0,1,INDEX(COA_Mapping!$F$7:$F$256,$Q3364)))</f>
        <v>1</v>
      </c>
      <c r="P3364" s="34" t="str">
        <f aca="false">IF($A3364="","",$I3364*$O3364)</f>
        <v/>
      </c>
      <c r="Q3364" s="39" t="n">
        <f aca="false">IF($B3364="",0,IFERROR(MATCH($B3364,COA_Mapping!$A$7:$A$256,0),0))</f>
        <v>0</v>
      </c>
      <c r="R3364" s="39" t="n">
        <f aca="false">IF($A3364="",-1,IF($J3364=Setup!$B$7,1,IF($J3364=Setup!$B$9,0,-1)))</f>
        <v>-1</v>
      </c>
      <c r="S3364" s="35" t="n">
        <f aca="false">IF(OR($A3364="",$Q3364=0,$R3364=-1),0,$Q3364*1000+$R3364*100+$K3364)</f>
        <v>0</v>
      </c>
      <c r="T3364" s="37" t="str">
        <f aca="false">IF($A3364="","",IF($B3364="","NO ACCOUNT",IF($Q3364=0,"UNMAPPED",IF($R3364=-1,"OUTSIDE FY RANGE","OK"))))</f>
        <v/>
      </c>
      <c r="U3364" s="40" t="str">
        <f aca="false">IF($A3364="","",$B3364&amp;"|"&amp;TEXT($A3364,"yyyymmdd")&amp;"|"&amp;TEXT($I3364,"0.00"))</f>
        <v/>
      </c>
      <c r="V3364" s="35" t="str">
        <f aca="false">IF($A3364="","",COUNTIF($U$8:$U$5007,$U3364))</f>
        <v/>
      </c>
    </row>
    <row r="3365" customFormat="false" ht="15" hidden="false" customHeight="false" outlineLevel="0" collapsed="false">
      <c r="A3365" s="31"/>
      <c r="B3365" s="32"/>
      <c r="C3365" s="32"/>
      <c r="D3365" s="32"/>
      <c r="E3365" s="32"/>
      <c r="F3365" s="32"/>
      <c r="G3365" s="33"/>
      <c r="H3365" s="33"/>
      <c r="I3365" s="34" t="str">
        <f aca="false">IF($A3365="","",$G3365-$H3365)</f>
        <v/>
      </c>
      <c r="J3365" s="35" t="str">
        <f aca="false">IF($A3365="","",IF(Setup!$B$6=1,YEAR($A3365),YEAR($A3365)+IF(MONTH($A3365)&gt;=Setup!$B$6,1,0)))</f>
        <v/>
      </c>
      <c r="K3365" s="35" t="str">
        <f aca="false">IF($A3365="","",MOD(MONTH($A3365)-Setup!$B$6+12,12)+1)</f>
        <v/>
      </c>
      <c r="L3365" s="36" t="str">
        <f aca="false">IF($A3365="","",TEXT($A3365,"MMM-YY"))</f>
        <v/>
      </c>
      <c r="M3365" s="37" t="str">
        <f aca="false">IF($A3365="","",IF($Q3365=0,"UNMAPPED",INDEX(COA_Mapping!$C$7:$C$256,$Q3365)))</f>
        <v/>
      </c>
      <c r="N3365" s="38" t="str">
        <f aca="false">IF($A3365="","",IF($Q3365=0,"",INDEX(COA_Mapping!$E$7:$E$256,$Q3365)))</f>
        <v/>
      </c>
      <c r="O3365" s="38" t="n">
        <f aca="false">IF($A3365="",1,IF($Q3365=0,1,INDEX(COA_Mapping!$F$7:$F$256,$Q3365)))</f>
        <v>1</v>
      </c>
      <c r="P3365" s="34" t="str">
        <f aca="false">IF($A3365="","",$I3365*$O3365)</f>
        <v/>
      </c>
      <c r="Q3365" s="39" t="n">
        <f aca="false">IF($B3365="",0,IFERROR(MATCH($B3365,COA_Mapping!$A$7:$A$256,0),0))</f>
        <v>0</v>
      </c>
      <c r="R3365" s="39" t="n">
        <f aca="false">IF($A3365="",-1,IF($J3365=Setup!$B$7,1,IF($J3365=Setup!$B$9,0,-1)))</f>
        <v>-1</v>
      </c>
      <c r="S3365" s="35" t="n">
        <f aca="false">IF(OR($A3365="",$Q3365=0,$R3365=-1),0,$Q3365*1000+$R3365*100+$K3365)</f>
        <v>0</v>
      </c>
      <c r="T3365" s="37" t="str">
        <f aca="false">IF($A3365="","",IF($B3365="","NO ACCOUNT",IF($Q3365=0,"UNMAPPED",IF($R3365=-1,"OUTSIDE FY RANGE","OK"))))</f>
        <v/>
      </c>
      <c r="U3365" s="40" t="str">
        <f aca="false">IF($A3365="","",$B3365&amp;"|"&amp;TEXT($A3365,"yyyymmdd")&amp;"|"&amp;TEXT($I3365,"0.00"))</f>
        <v/>
      </c>
      <c r="V3365" s="35" t="str">
        <f aca="false">IF($A3365="","",COUNTIF($U$8:$U$5007,$U3365))</f>
        <v/>
      </c>
    </row>
    <row r="3366" customFormat="false" ht="15" hidden="false" customHeight="false" outlineLevel="0" collapsed="false">
      <c r="A3366" s="31"/>
      <c r="B3366" s="32"/>
      <c r="C3366" s="32"/>
      <c r="D3366" s="32"/>
      <c r="E3366" s="32"/>
      <c r="F3366" s="32"/>
      <c r="G3366" s="33"/>
      <c r="H3366" s="33"/>
      <c r="I3366" s="34" t="str">
        <f aca="false">IF($A3366="","",$G3366-$H3366)</f>
        <v/>
      </c>
      <c r="J3366" s="35" t="str">
        <f aca="false">IF($A3366="","",IF(Setup!$B$6=1,YEAR($A3366),YEAR($A3366)+IF(MONTH($A3366)&gt;=Setup!$B$6,1,0)))</f>
        <v/>
      </c>
      <c r="K3366" s="35" t="str">
        <f aca="false">IF($A3366="","",MOD(MONTH($A3366)-Setup!$B$6+12,12)+1)</f>
        <v/>
      </c>
      <c r="L3366" s="36" t="str">
        <f aca="false">IF($A3366="","",TEXT($A3366,"MMM-YY"))</f>
        <v/>
      </c>
      <c r="M3366" s="37" t="str">
        <f aca="false">IF($A3366="","",IF($Q3366=0,"UNMAPPED",INDEX(COA_Mapping!$C$7:$C$256,$Q3366)))</f>
        <v/>
      </c>
      <c r="N3366" s="38" t="str">
        <f aca="false">IF($A3366="","",IF($Q3366=0,"",INDEX(COA_Mapping!$E$7:$E$256,$Q3366)))</f>
        <v/>
      </c>
      <c r="O3366" s="38" t="n">
        <f aca="false">IF($A3366="",1,IF($Q3366=0,1,INDEX(COA_Mapping!$F$7:$F$256,$Q3366)))</f>
        <v>1</v>
      </c>
      <c r="P3366" s="34" t="str">
        <f aca="false">IF($A3366="","",$I3366*$O3366)</f>
        <v/>
      </c>
      <c r="Q3366" s="39" t="n">
        <f aca="false">IF($B3366="",0,IFERROR(MATCH($B3366,COA_Mapping!$A$7:$A$256,0),0))</f>
        <v>0</v>
      </c>
      <c r="R3366" s="39" t="n">
        <f aca="false">IF($A3366="",-1,IF($J3366=Setup!$B$7,1,IF($J3366=Setup!$B$9,0,-1)))</f>
        <v>-1</v>
      </c>
      <c r="S3366" s="35" t="n">
        <f aca="false">IF(OR($A3366="",$Q3366=0,$R3366=-1),0,$Q3366*1000+$R3366*100+$K3366)</f>
        <v>0</v>
      </c>
      <c r="T3366" s="37" t="str">
        <f aca="false">IF($A3366="","",IF($B3366="","NO ACCOUNT",IF($Q3366=0,"UNMAPPED",IF($R3366=-1,"OUTSIDE FY RANGE","OK"))))</f>
        <v/>
      </c>
      <c r="U3366" s="40" t="str">
        <f aca="false">IF($A3366="","",$B3366&amp;"|"&amp;TEXT($A3366,"yyyymmdd")&amp;"|"&amp;TEXT($I3366,"0.00"))</f>
        <v/>
      </c>
      <c r="V3366" s="35" t="str">
        <f aca="false">IF($A3366="","",COUNTIF($U$8:$U$5007,$U3366))</f>
        <v/>
      </c>
    </row>
    <row r="3367" customFormat="false" ht="15" hidden="false" customHeight="false" outlineLevel="0" collapsed="false">
      <c r="A3367" s="31"/>
      <c r="B3367" s="32"/>
      <c r="C3367" s="32"/>
      <c r="D3367" s="32"/>
      <c r="E3367" s="32"/>
      <c r="F3367" s="32"/>
      <c r="G3367" s="33"/>
      <c r="H3367" s="33"/>
      <c r="I3367" s="34" t="str">
        <f aca="false">IF($A3367="","",$G3367-$H3367)</f>
        <v/>
      </c>
      <c r="J3367" s="35" t="str">
        <f aca="false">IF($A3367="","",IF(Setup!$B$6=1,YEAR($A3367),YEAR($A3367)+IF(MONTH($A3367)&gt;=Setup!$B$6,1,0)))</f>
        <v/>
      </c>
      <c r="K3367" s="35" t="str">
        <f aca="false">IF($A3367="","",MOD(MONTH($A3367)-Setup!$B$6+12,12)+1)</f>
        <v/>
      </c>
      <c r="L3367" s="36" t="str">
        <f aca="false">IF($A3367="","",TEXT($A3367,"MMM-YY"))</f>
        <v/>
      </c>
      <c r="M3367" s="37" t="str">
        <f aca="false">IF($A3367="","",IF($Q3367=0,"UNMAPPED",INDEX(COA_Mapping!$C$7:$C$256,$Q3367)))</f>
        <v/>
      </c>
      <c r="N3367" s="38" t="str">
        <f aca="false">IF($A3367="","",IF($Q3367=0,"",INDEX(COA_Mapping!$E$7:$E$256,$Q3367)))</f>
        <v/>
      </c>
      <c r="O3367" s="38" t="n">
        <f aca="false">IF($A3367="",1,IF($Q3367=0,1,INDEX(COA_Mapping!$F$7:$F$256,$Q3367)))</f>
        <v>1</v>
      </c>
      <c r="P3367" s="34" t="str">
        <f aca="false">IF($A3367="","",$I3367*$O3367)</f>
        <v/>
      </c>
      <c r="Q3367" s="39" t="n">
        <f aca="false">IF($B3367="",0,IFERROR(MATCH($B3367,COA_Mapping!$A$7:$A$256,0),0))</f>
        <v>0</v>
      </c>
      <c r="R3367" s="39" t="n">
        <f aca="false">IF($A3367="",-1,IF($J3367=Setup!$B$7,1,IF($J3367=Setup!$B$9,0,-1)))</f>
        <v>-1</v>
      </c>
      <c r="S3367" s="35" t="n">
        <f aca="false">IF(OR($A3367="",$Q3367=0,$R3367=-1),0,$Q3367*1000+$R3367*100+$K3367)</f>
        <v>0</v>
      </c>
      <c r="T3367" s="37" t="str">
        <f aca="false">IF($A3367="","",IF($B3367="","NO ACCOUNT",IF($Q3367=0,"UNMAPPED",IF($R3367=-1,"OUTSIDE FY RANGE","OK"))))</f>
        <v/>
      </c>
      <c r="U3367" s="40" t="str">
        <f aca="false">IF($A3367="","",$B3367&amp;"|"&amp;TEXT($A3367,"yyyymmdd")&amp;"|"&amp;TEXT($I3367,"0.00"))</f>
        <v/>
      </c>
      <c r="V3367" s="35" t="str">
        <f aca="false">IF($A3367="","",COUNTIF($U$8:$U$5007,$U3367))</f>
        <v/>
      </c>
    </row>
    <row r="3368" customFormat="false" ht="15" hidden="false" customHeight="false" outlineLevel="0" collapsed="false">
      <c r="A3368" s="31"/>
      <c r="B3368" s="32"/>
      <c r="C3368" s="32"/>
      <c r="D3368" s="32"/>
      <c r="E3368" s="32"/>
      <c r="F3368" s="32"/>
      <c r="G3368" s="33"/>
      <c r="H3368" s="33"/>
      <c r="I3368" s="34" t="str">
        <f aca="false">IF($A3368="","",$G3368-$H3368)</f>
        <v/>
      </c>
      <c r="J3368" s="35" t="str">
        <f aca="false">IF($A3368="","",IF(Setup!$B$6=1,YEAR($A3368),YEAR($A3368)+IF(MONTH($A3368)&gt;=Setup!$B$6,1,0)))</f>
        <v/>
      </c>
      <c r="K3368" s="35" t="str">
        <f aca="false">IF($A3368="","",MOD(MONTH($A3368)-Setup!$B$6+12,12)+1)</f>
        <v/>
      </c>
      <c r="L3368" s="36" t="str">
        <f aca="false">IF($A3368="","",TEXT($A3368,"MMM-YY"))</f>
        <v/>
      </c>
      <c r="M3368" s="37" t="str">
        <f aca="false">IF($A3368="","",IF($Q3368=0,"UNMAPPED",INDEX(COA_Mapping!$C$7:$C$256,$Q3368)))</f>
        <v/>
      </c>
      <c r="N3368" s="38" t="str">
        <f aca="false">IF($A3368="","",IF($Q3368=0,"",INDEX(COA_Mapping!$E$7:$E$256,$Q3368)))</f>
        <v/>
      </c>
      <c r="O3368" s="38" t="n">
        <f aca="false">IF($A3368="",1,IF($Q3368=0,1,INDEX(COA_Mapping!$F$7:$F$256,$Q3368)))</f>
        <v>1</v>
      </c>
      <c r="P3368" s="34" t="str">
        <f aca="false">IF($A3368="","",$I3368*$O3368)</f>
        <v/>
      </c>
      <c r="Q3368" s="39" t="n">
        <f aca="false">IF($B3368="",0,IFERROR(MATCH($B3368,COA_Mapping!$A$7:$A$256,0),0))</f>
        <v>0</v>
      </c>
      <c r="R3368" s="39" t="n">
        <f aca="false">IF($A3368="",-1,IF($J3368=Setup!$B$7,1,IF($J3368=Setup!$B$9,0,-1)))</f>
        <v>-1</v>
      </c>
      <c r="S3368" s="35" t="n">
        <f aca="false">IF(OR($A3368="",$Q3368=0,$R3368=-1),0,$Q3368*1000+$R3368*100+$K3368)</f>
        <v>0</v>
      </c>
      <c r="T3368" s="37" t="str">
        <f aca="false">IF($A3368="","",IF($B3368="","NO ACCOUNT",IF($Q3368=0,"UNMAPPED",IF($R3368=-1,"OUTSIDE FY RANGE","OK"))))</f>
        <v/>
      </c>
      <c r="U3368" s="40" t="str">
        <f aca="false">IF($A3368="","",$B3368&amp;"|"&amp;TEXT($A3368,"yyyymmdd")&amp;"|"&amp;TEXT($I3368,"0.00"))</f>
        <v/>
      </c>
      <c r="V3368" s="35" t="str">
        <f aca="false">IF($A3368="","",COUNTIF($U$8:$U$5007,$U3368))</f>
        <v/>
      </c>
    </row>
    <row r="3369" customFormat="false" ht="15" hidden="false" customHeight="false" outlineLevel="0" collapsed="false">
      <c r="A3369" s="31"/>
      <c r="B3369" s="32"/>
      <c r="C3369" s="32"/>
      <c r="D3369" s="32"/>
      <c r="E3369" s="32"/>
      <c r="F3369" s="32"/>
      <c r="G3369" s="33"/>
      <c r="H3369" s="33"/>
      <c r="I3369" s="34" t="str">
        <f aca="false">IF($A3369="","",$G3369-$H3369)</f>
        <v/>
      </c>
      <c r="J3369" s="35" t="str">
        <f aca="false">IF($A3369="","",IF(Setup!$B$6=1,YEAR($A3369),YEAR($A3369)+IF(MONTH($A3369)&gt;=Setup!$B$6,1,0)))</f>
        <v/>
      </c>
      <c r="K3369" s="35" t="str">
        <f aca="false">IF($A3369="","",MOD(MONTH($A3369)-Setup!$B$6+12,12)+1)</f>
        <v/>
      </c>
      <c r="L3369" s="36" t="str">
        <f aca="false">IF($A3369="","",TEXT($A3369,"MMM-YY"))</f>
        <v/>
      </c>
      <c r="M3369" s="37" t="str">
        <f aca="false">IF($A3369="","",IF($Q3369=0,"UNMAPPED",INDEX(COA_Mapping!$C$7:$C$256,$Q3369)))</f>
        <v/>
      </c>
      <c r="N3369" s="38" t="str">
        <f aca="false">IF($A3369="","",IF($Q3369=0,"",INDEX(COA_Mapping!$E$7:$E$256,$Q3369)))</f>
        <v/>
      </c>
      <c r="O3369" s="38" t="n">
        <f aca="false">IF($A3369="",1,IF($Q3369=0,1,INDEX(COA_Mapping!$F$7:$F$256,$Q3369)))</f>
        <v>1</v>
      </c>
      <c r="P3369" s="34" t="str">
        <f aca="false">IF($A3369="","",$I3369*$O3369)</f>
        <v/>
      </c>
      <c r="Q3369" s="39" t="n">
        <f aca="false">IF($B3369="",0,IFERROR(MATCH($B3369,COA_Mapping!$A$7:$A$256,0),0))</f>
        <v>0</v>
      </c>
      <c r="R3369" s="39" t="n">
        <f aca="false">IF($A3369="",-1,IF($J3369=Setup!$B$7,1,IF($J3369=Setup!$B$9,0,-1)))</f>
        <v>-1</v>
      </c>
      <c r="S3369" s="35" t="n">
        <f aca="false">IF(OR($A3369="",$Q3369=0,$R3369=-1),0,$Q3369*1000+$R3369*100+$K3369)</f>
        <v>0</v>
      </c>
      <c r="T3369" s="37" t="str">
        <f aca="false">IF($A3369="","",IF($B3369="","NO ACCOUNT",IF($Q3369=0,"UNMAPPED",IF($R3369=-1,"OUTSIDE FY RANGE","OK"))))</f>
        <v/>
      </c>
      <c r="U3369" s="40" t="str">
        <f aca="false">IF($A3369="","",$B3369&amp;"|"&amp;TEXT($A3369,"yyyymmdd")&amp;"|"&amp;TEXT($I3369,"0.00"))</f>
        <v/>
      </c>
      <c r="V3369" s="35" t="str">
        <f aca="false">IF($A3369="","",COUNTIF($U$8:$U$5007,$U3369))</f>
        <v/>
      </c>
    </row>
    <row r="3370" customFormat="false" ht="15" hidden="false" customHeight="false" outlineLevel="0" collapsed="false">
      <c r="A3370" s="31"/>
      <c r="B3370" s="32"/>
      <c r="C3370" s="32"/>
      <c r="D3370" s="32"/>
      <c r="E3370" s="32"/>
      <c r="F3370" s="32"/>
      <c r="G3370" s="33"/>
      <c r="H3370" s="33"/>
      <c r="I3370" s="34" t="str">
        <f aca="false">IF($A3370="","",$G3370-$H3370)</f>
        <v/>
      </c>
      <c r="J3370" s="35" t="str">
        <f aca="false">IF($A3370="","",IF(Setup!$B$6=1,YEAR($A3370),YEAR($A3370)+IF(MONTH($A3370)&gt;=Setup!$B$6,1,0)))</f>
        <v/>
      </c>
      <c r="K3370" s="35" t="str">
        <f aca="false">IF($A3370="","",MOD(MONTH($A3370)-Setup!$B$6+12,12)+1)</f>
        <v/>
      </c>
      <c r="L3370" s="36" t="str">
        <f aca="false">IF($A3370="","",TEXT($A3370,"MMM-YY"))</f>
        <v/>
      </c>
      <c r="M3370" s="37" t="str">
        <f aca="false">IF($A3370="","",IF($Q3370=0,"UNMAPPED",INDEX(COA_Mapping!$C$7:$C$256,$Q3370)))</f>
        <v/>
      </c>
      <c r="N3370" s="38" t="str">
        <f aca="false">IF($A3370="","",IF($Q3370=0,"",INDEX(COA_Mapping!$E$7:$E$256,$Q3370)))</f>
        <v/>
      </c>
      <c r="O3370" s="38" t="n">
        <f aca="false">IF($A3370="",1,IF($Q3370=0,1,INDEX(COA_Mapping!$F$7:$F$256,$Q3370)))</f>
        <v>1</v>
      </c>
      <c r="P3370" s="34" t="str">
        <f aca="false">IF($A3370="","",$I3370*$O3370)</f>
        <v/>
      </c>
      <c r="Q3370" s="39" t="n">
        <f aca="false">IF($B3370="",0,IFERROR(MATCH($B3370,COA_Mapping!$A$7:$A$256,0),0))</f>
        <v>0</v>
      </c>
      <c r="R3370" s="39" t="n">
        <f aca="false">IF($A3370="",-1,IF($J3370=Setup!$B$7,1,IF($J3370=Setup!$B$9,0,-1)))</f>
        <v>-1</v>
      </c>
      <c r="S3370" s="35" t="n">
        <f aca="false">IF(OR($A3370="",$Q3370=0,$R3370=-1),0,$Q3370*1000+$R3370*100+$K3370)</f>
        <v>0</v>
      </c>
      <c r="T3370" s="37" t="str">
        <f aca="false">IF($A3370="","",IF($B3370="","NO ACCOUNT",IF($Q3370=0,"UNMAPPED",IF($R3370=-1,"OUTSIDE FY RANGE","OK"))))</f>
        <v/>
      </c>
      <c r="U3370" s="40" t="str">
        <f aca="false">IF($A3370="","",$B3370&amp;"|"&amp;TEXT($A3370,"yyyymmdd")&amp;"|"&amp;TEXT($I3370,"0.00"))</f>
        <v/>
      </c>
      <c r="V3370" s="35" t="str">
        <f aca="false">IF($A3370="","",COUNTIF($U$8:$U$5007,$U3370))</f>
        <v/>
      </c>
    </row>
    <row r="3371" customFormat="false" ht="15" hidden="false" customHeight="false" outlineLevel="0" collapsed="false">
      <c r="A3371" s="31"/>
      <c r="B3371" s="32"/>
      <c r="C3371" s="32"/>
      <c r="D3371" s="32"/>
      <c r="E3371" s="32"/>
      <c r="F3371" s="32"/>
      <c r="G3371" s="33"/>
      <c r="H3371" s="33"/>
      <c r="I3371" s="34" t="str">
        <f aca="false">IF($A3371="","",$G3371-$H3371)</f>
        <v/>
      </c>
      <c r="J3371" s="35" t="str">
        <f aca="false">IF($A3371="","",IF(Setup!$B$6=1,YEAR($A3371),YEAR($A3371)+IF(MONTH($A3371)&gt;=Setup!$B$6,1,0)))</f>
        <v/>
      </c>
      <c r="K3371" s="35" t="str">
        <f aca="false">IF($A3371="","",MOD(MONTH($A3371)-Setup!$B$6+12,12)+1)</f>
        <v/>
      </c>
      <c r="L3371" s="36" t="str">
        <f aca="false">IF($A3371="","",TEXT($A3371,"MMM-YY"))</f>
        <v/>
      </c>
      <c r="M3371" s="37" t="str">
        <f aca="false">IF($A3371="","",IF($Q3371=0,"UNMAPPED",INDEX(COA_Mapping!$C$7:$C$256,$Q3371)))</f>
        <v/>
      </c>
      <c r="N3371" s="38" t="str">
        <f aca="false">IF($A3371="","",IF($Q3371=0,"",INDEX(COA_Mapping!$E$7:$E$256,$Q3371)))</f>
        <v/>
      </c>
      <c r="O3371" s="38" t="n">
        <f aca="false">IF($A3371="",1,IF($Q3371=0,1,INDEX(COA_Mapping!$F$7:$F$256,$Q3371)))</f>
        <v>1</v>
      </c>
      <c r="P3371" s="34" t="str">
        <f aca="false">IF($A3371="","",$I3371*$O3371)</f>
        <v/>
      </c>
      <c r="Q3371" s="39" t="n">
        <f aca="false">IF($B3371="",0,IFERROR(MATCH($B3371,COA_Mapping!$A$7:$A$256,0),0))</f>
        <v>0</v>
      </c>
      <c r="R3371" s="39" t="n">
        <f aca="false">IF($A3371="",-1,IF($J3371=Setup!$B$7,1,IF($J3371=Setup!$B$9,0,-1)))</f>
        <v>-1</v>
      </c>
      <c r="S3371" s="35" t="n">
        <f aca="false">IF(OR($A3371="",$Q3371=0,$R3371=-1),0,$Q3371*1000+$R3371*100+$K3371)</f>
        <v>0</v>
      </c>
      <c r="T3371" s="37" t="str">
        <f aca="false">IF($A3371="","",IF($B3371="","NO ACCOUNT",IF($Q3371=0,"UNMAPPED",IF($R3371=-1,"OUTSIDE FY RANGE","OK"))))</f>
        <v/>
      </c>
      <c r="U3371" s="40" t="str">
        <f aca="false">IF($A3371="","",$B3371&amp;"|"&amp;TEXT($A3371,"yyyymmdd")&amp;"|"&amp;TEXT($I3371,"0.00"))</f>
        <v/>
      </c>
      <c r="V3371" s="35" t="str">
        <f aca="false">IF($A3371="","",COUNTIF($U$8:$U$5007,$U3371))</f>
        <v/>
      </c>
    </row>
    <row r="3372" customFormat="false" ht="15" hidden="false" customHeight="false" outlineLevel="0" collapsed="false">
      <c r="A3372" s="31"/>
      <c r="B3372" s="32"/>
      <c r="C3372" s="32"/>
      <c r="D3372" s="32"/>
      <c r="E3372" s="32"/>
      <c r="F3372" s="32"/>
      <c r="G3372" s="33"/>
      <c r="H3372" s="33"/>
      <c r="I3372" s="34" t="str">
        <f aca="false">IF($A3372="","",$G3372-$H3372)</f>
        <v/>
      </c>
      <c r="J3372" s="35" t="str">
        <f aca="false">IF($A3372="","",IF(Setup!$B$6=1,YEAR($A3372),YEAR($A3372)+IF(MONTH($A3372)&gt;=Setup!$B$6,1,0)))</f>
        <v/>
      </c>
      <c r="K3372" s="35" t="str">
        <f aca="false">IF($A3372="","",MOD(MONTH($A3372)-Setup!$B$6+12,12)+1)</f>
        <v/>
      </c>
      <c r="L3372" s="36" t="str">
        <f aca="false">IF($A3372="","",TEXT($A3372,"MMM-YY"))</f>
        <v/>
      </c>
      <c r="M3372" s="37" t="str">
        <f aca="false">IF($A3372="","",IF($Q3372=0,"UNMAPPED",INDEX(COA_Mapping!$C$7:$C$256,$Q3372)))</f>
        <v/>
      </c>
      <c r="N3372" s="38" t="str">
        <f aca="false">IF($A3372="","",IF($Q3372=0,"",INDEX(COA_Mapping!$E$7:$E$256,$Q3372)))</f>
        <v/>
      </c>
      <c r="O3372" s="38" t="n">
        <f aca="false">IF($A3372="",1,IF($Q3372=0,1,INDEX(COA_Mapping!$F$7:$F$256,$Q3372)))</f>
        <v>1</v>
      </c>
      <c r="P3372" s="34" t="str">
        <f aca="false">IF($A3372="","",$I3372*$O3372)</f>
        <v/>
      </c>
      <c r="Q3372" s="39" t="n">
        <f aca="false">IF($B3372="",0,IFERROR(MATCH($B3372,COA_Mapping!$A$7:$A$256,0),0))</f>
        <v>0</v>
      </c>
      <c r="R3372" s="39" t="n">
        <f aca="false">IF($A3372="",-1,IF($J3372=Setup!$B$7,1,IF($J3372=Setup!$B$9,0,-1)))</f>
        <v>-1</v>
      </c>
      <c r="S3372" s="35" t="n">
        <f aca="false">IF(OR($A3372="",$Q3372=0,$R3372=-1),0,$Q3372*1000+$R3372*100+$K3372)</f>
        <v>0</v>
      </c>
      <c r="T3372" s="37" t="str">
        <f aca="false">IF($A3372="","",IF($B3372="","NO ACCOUNT",IF($Q3372=0,"UNMAPPED",IF($R3372=-1,"OUTSIDE FY RANGE","OK"))))</f>
        <v/>
      </c>
      <c r="U3372" s="40" t="str">
        <f aca="false">IF($A3372="","",$B3372&amp;"|"&amp;TEXT($A3372,"yyyymmdd")&amp;"|"&amp;TEXT($I3372,"0.00"))</f>
        <v/>
      </c>
      <c r="V3372" s="35" t="str">
        <f aca="false">IF($A3372="","",COUNTIF($U$8:$U$5007,$U3372))</f>
        <v/>
      </c>
    </row>
    <row r="3373" customFormat="false" ht="15" hidden="false" customHeight="false" outlineLevel="0" collapsed="false">
      <c r="A3373" s="31"/>
      <c r="B3373" s="32"/>
      <c r="C3373" s="32"/>
      <c r="D3373" s="32"/>
      <c r="E3373" s="32"/>
      <c r="F3373" s="32"/>
      <c r="G3373" s="33"/>
      <c r="H3373" s="33"/>
      <c r="I3373" s="34" t="str">
        <f aca="false">IF($A3373="","",$G3373-$H3373)</f>
        <v/>
      </c>
      <c r="J3373" s="35" t="str">
        <f aca="false">IF($A3373="","",IF(Setup!$B$6=1,YEAR($A3373),YEAR($A3373)+IF(MONTH($A3373)&gt;=Setup!$B$6,1,0)))</f>
        <v/>
      </c>
      <c r="K3373" s="35" t="str">
        <f aca="false">IF($A3373="","",MOD(MONTH($A3373)-Setup!$B$6+12,12)+1)</f>
        <v/>
      </c>
      <c r="L3373" s="36" t="str">
        <f aca="false">IF($A3373="","",TEXT($A3373,"MMM-YY"))</f>
        <v/>
      </c>
      <c r="M3373" s="37" t="str">
        <f aca="false">IF($A3373="","",IF($Q3373=0,"UNMAPPED",INDEX(COA_Mapping!$C$7:$C$256,$Q3373)))</f>
        <v/>
      </c>
      <c r="N3373" s="38" t="str">
        <f aca="false">IF($A3373="","",IF($Q3373=0,"",INDEX(COA_Mapping!$E$7:$E$256,$Q3373)))</f>
        <v/>
      </c>
      <c r="O3373" s="38" t="n">
        <f aca="false">IF($A3373="",1,IF($Q3373=0,1,INDEX(COA_Mapping!$F$7:$F$256,$Q3373)))</f>
        <v>1</v>
      </c>
      <c r="P3373" s="34" t="str">
        <f aca="false">IF($A3373="","",$I3373*$O3373)</f>
        <v/>
      </c>
      <c r="Q3373" s="39" t="n">
        <f aca="false">IF($B3373="",0,IFERROR(MATCH($B3373,COA_Mapping!$A$7:$A$256,0),0))</f>
        <v>0</v>
      </c>
      <c r="R3373" s="39" t="n">
        <f aca="false">IF($A3373="",-1,IF($J3373=Setup!$B$7,1,IF($J3373=Setup!$B$9,0,-1)))</f>
        <v>-1</v>
      </c>
      <c r="S3373" s="35" t="n">
        <f aca="false">IF(OR($A3373="",$Q3373=0,$R3373=-1),0,$Q3373*1000+$R3373*100+$K3373)</f>
        <v>0</v>
      </c>
      <c r="T3373" s="37" t="str">
        <f aca="false">IF($A3373="","",IF($B3373="","NO ACCOUNT",IF($Q3373=0,"UNMAPPED",IF($R3373=-1,"OUTSIDE FY RANGE","OK"))))</f>
        <v/>
      </c>
      <c r="U3373" s="40" t="str">
        <f aca="false">IF($A3373="","",$B3373&amp;"|"&amp;TEXT($A3373,"yyyymmdd")&amp;"|"&amp;TEXT($I3373,"0.00"))</f>
        <v/>
      </c>
      <c r="V3373" s="35" t="str">
        <f aca="false">IF($A3373="","",COUNTIF($U$8:$U$5007,$U3373))</f>
        <v/>
      </c>
    </row>
    <row r="3374" customFormat="false" ht="15" hidden="false" customHeight="false" outlineLevel="0" collapsed="false">
      <c r="A3374" s="31"/>
      <c r="B3374" s="32"/>
      <c r="C3374" s="32"/>
      <c r="D3374" s="32"/>
      <c r="E3374" s="32"/>
      <c r="F3374" s="32"/>
      <c r="G3374" s="33"/>
      <c r="H3374" s="33"/>
      <c r="I3374" s="34" t="str">
        <f aca="false">IF($A3374="","",$G3374-$H3374)</f>
        <v/>
      </c>
      <c r="J3374" s="35" t="str">
        <f aca="false">IF($A3374="","",IF(Setup!$B$6=1,YEAR($A3374),YEAR($A3374)+IF(MONTH($A3374)&gt;=Setup!$B$6,1,0)))</f>
        <v/>
      </c>
      <c r="K3374" s="35" t="str">
        <f aca="false">IF($A3374="","",MOD(MONTH($A3374)-Setup!$B$6+12,12)+1)</f>
        <v/>
      </c>
      <c r="L3374" s="36" t="str">
        <f aca="false">IF($A3374="","",TEXT($A3374,"MMM-YY"))</f>
        <v/>
      </c>
      <c r="M3374" s="37" t="str">
        <f aca="false">IF($A3374="","",IF($Q3374=0,"UNMAPPED",INDEX(COA_Mapping!$C$7:$C$256,$Q3374)))</f>
        <v/>
      </c>
      <c r="N3374" s="38" t="str">
        <f aca="false">IF($A3374="","",IF($Q3374=0,"",INDEX(COA_Mapping!$E$7:$E$256,$Q3374)))</f>
        <v/>
      </c>
      <c r="O3374" s="38" t="n">
        <f aca="false">IF($A3374="",1,IF($Q3374=0,1,INDEX(COA_Mapping!$F$7:$F$256,$Q3374)))</f>
        <v>1</v>
      </c>
      <c r="P3374" s="34" t="str">
        <f aca="false">IF($A3374="","",$I3374*$O3374)</f>
        <v/>
      </c>
      <c r="Q3374" s="39" t="n">
        <f aca="false">IF($B3374="",0,IFERROR(MATCH($B3374,COA_Mapping!$A$7:$A$256,0),0))</f>
        <v>0</v>
      </c>
      <c r="R3374" s="39" t="n">
        <f aca="false">IF($A3374="",-1,IF($J3374=Setup!$B$7,1,IF($J3374=Setup!$B$9,0,-1)))</f>
        <v>-1</v>
      </c>
      <c r="S3374" s="35" t="n">
        <f aca="false">IF(OR($A3374="",$Q3374=0,$R3374=-1),0,$Q3374*1000+$R3374*100+$K3374)</f>
        <v>0</v>
      </c>
      <c r="T3374" s="37" t="str">
        <f aca="false">IF($A3374="","",IF($B3374="","NO ACCOUNT",IF($Q3374=0,"UNMAPPED",IF($R3374=-1,"OUTSIDE FY RANGE","OK"))))</f>
        <v/>
      </c>
      <c r="U3374" s="40" t="str">
        <f aca="false">IF($A3374="","",$B3374&amp;"|"&amp;TEXT($A3374,"yyyymmdd")&amp;"|"&amp;TEXT($I3374,"0.00"))</f>
        <v/>
      </c>
      <c r="V3374" s="35" t="str">
        <f aca="false">IF($A3374="","",COUNTIF($U$8:$U$5007,$U3374))</f>
        <v/>
      </c>
    </row>
    <row r="3375" customFormat="false" ht="15" hidden="false" customHeight="false" outlineLevel="0" collapsed="false">
      <c r="A3375" s="31"/>
      <c r="B3375" s="32"/>
      <c r="C3375" s="32"/>
      <c r="D3375" s="32"/>
      <c r="E3375" s="32"/>
      <c r="F3375" s="32"/>
      <c r="G3375" s="33"/>
      <c r="H3375" s="33"/>
      <c r="I3375" s="34" t="str">
        <f aca="false">IF($A3375="","",$G3375-$H3375)</f>
        <v/>
      </c>
      <c r="J3375" s="35" t="str">
        <f aca="false">IF($A3375="","",IF(Setup!$B$6=1,YEAR($A3375),YEAR($A3375)+IF(MONTH($A3375)&gt;=Setup!$B$6,1,0)))</f>
        <v/>
      </c>
      <c r="K3375" s="35" t="str">
        <f aca="false">IF($A3375="","",MOD(MONTH($A3375)-Setup!$B$6+12,12)+1)</f>
        <v/>
      </c>
      <c r="L3375" s="36" t="str">
        <f aca="false">IF($A3375="","",TEXT($A3375,"MMM-YY"))</f>
        <v/>
      </c>
      <c r="M3375" s="37" t="str">
        <f aca="false">IF($A3375="","",IF($Q3375=0,"UNMAPPED",INDEX(COA_Mapping!$C$7:$C$256,$Q3375)))</f>
        <v/>
      </c>
      <c r="N3375" s="38" t="str">
        <f aca="false">IF($A3375="","",IF($Q3375=0,"",INDEX(COA_Mapping!$E$7:$E$256,$Q3375)))</f>
        <v/>
      </c>
      <c r="O3375" s="38" t="n">
        <f aca="false">IF($A3375="",1,IF($Q3375=0,1,INDEX(COA_Mapping!$F$7:$F$256,$Q3375)))</f>
        <v>1</v>
      </c>
      <c r="P3375" s="34" t="str">
        <f aca="false">IF($A3375="","",$I3375*$O3375)</f>
        <v/>
      </c>
      <c r="Q3375" s="39" t="n">
        <f aca="false">IF($B3375="",0,IFERROR(MATCH($B3375,COA_Mapping!$A$7:$A$256,0),0))</f>
        <v>0</v>
      </c>
      <c r="R3375" s="39" t="n">
        <f aca="false">IF($A3375="",-1,IF($J3375=Setup!$B$7,1,IF($J3375=Setup!$B$9,0,-1)))</f>
        <v>-1</v>
      </c>
      <c r="S3375" s="35" t="n">
        <f aca="false">IF(OR($A3375="",$Q3375=0,$R3375=-1),0,$Q3375*1000+$R3375*100+$K3375)</f>
        <v>0</v>
      </c>
      <c r="T3375" s="37" t="str">
        <f aca="false">IF($A3375="","",IF($B3375="","NO ACCOUNT",IF($Q3375=0,"UNMAPPED",IF($R3375=-1,"OUTSIDE FY RANGE","OK"))))</f>
        <v/>
      </c>
      <c r="U3375" s="40" t="str">
        <f aca="false">IF($A3375="","",$B3375&amp;"|"&amp;TEXT($A3375,"yyyymmdd")&amp;"|"&amp;TEXT($I3375,"0.00"))</f>
        <v/>
      </c>
      <c r="V3375" s="35" t="str">
        <f aca="false">IF($A3375="","",COUNTIF($U$8:$U$5007,$U3375))</f>
        <v/>
      </c>
    </row>
    <row r="3376" customFormat="false" ht="15" hidden="false" customHeight="false" outlineLevel="0" collapsed="false">
      <c r="A3376" s="31"/>
      <c r="B3376" s="32"/>
      <c r="C3376" s="32"/>
      <c r="D3376" s="32"/>
      <c r="E3376" s="32"/>
      <c r="F3376" s="32"/>
      <c r="G3376" s="33"/>
      <c r="H3376" s="33"/>
      <c r="I3376" s="34" t="str">
        <f aca="false">IF($A3376="","",$G3376-$H3376)</f>
        <v/>
      </c>
      <c r="J3376" s="35" t="str">
        <f aca="false">IF($A3376="","",IF(Setup!$B$6=1,YEAR($A3376),YEAR($A3376)+IF(MONTH($A3376)&gt;=Setup!$B$6,1,0)))</f>
        <v/>
      </c>
      <c r="K3376" s="35" t="str">
        <f aca="false">IF($A3376="","",MOD(MONTH($A3376)-Setup!$B$6+12,12)+1)</f>
        <v/>
      </c>
      <c r="L3376" s="36" t="str">
        <f aca="false">IF($A3376="","",TEXT($A3376,"MMM-YY"))</f>
        <v/>
      </c>
      <c r="M3376" s="37" t="str">
        <f aca="false">IF($A3376="","",IF($Q3376=0,"UNMAPPED",INDEX(COA_Mapping!$C$7:$C$256,$Q3376)))</f>
        <v/>
      </c>
      <c r="N3376" s="38" t="str">
        <f aca="false">IF($A3376="","",IF($Q3376=0,"",INDEX(COA_Mapping!$E$7:$E$256,$Q3376)))</f>
        <v/>
      </c>
      <c r="O3376" s="38" t="n">
        <f aca="false">IF($A3376="",1,IF($Q3376=0,1,INDEX(COA_Mapping!$F$7:$F$256,$Q3376)))</f>
        <v>1</v>
      </c>
      <c r="P3376" s="34" t="str">
        <f aca="false">IF($A3376="","",$I3376*$O3376)</f>
        <v/>
      </c>
      <c r="Q3376" s="39" t="n">
        <f aca="false">IF($B3376="",0,IFERROR(MATCH($B3376,COA_Mapping!$A$7:$A$256,0),0))</f>
        <v>0</v>
      </c>
      <c r="R3376" s="39" t="n">
        <f aca="false">IF($A3376="",-1,IF($J3376=Setup!$B$7,1,IF($J3376=Setup!$B$9,0,-1)))</f>
        <v>-1</v>
      </c>
      <c r="S3376" s="35" t="n">
        <f aca="false">IF(OR($A3376="",$Q3376=0,$R3376=-1),0,$Q3376*1000+$R3376*100+$K3376)</f>
        <v>0</v>
      </c>
      <c r="T3376" s="37" t="str">
        <f aca="false">IF($A3376="","",IF($B3376="","NO ACCOUNT",IF($Q3376=0,"UNMAPPED",IF($R3376=-1,"OUTSIDE FY RANGE","OK"))))</f>
        <v/>
      </c>
      <c r="U3376" s="40" t="str">
        <f aca="false">IF($A3376="","",$B3376&amp;"|"&amp;TEXT($A3376,"yyyymmdd")&amp;"|"&amp;TEXT($I3376,"0.00"))</f>
        <v/>
      </c>
      <c r="V3376" s="35" t="str">
        <f aca="false">IF($A3376="","",COUNTIF($U$8:$U$5007,$U3376))</f>
        <v/>
      </c>
    </row>
    <row r="3377" customFormat="false" ht="15" hidden="false" customHeight="false" outlineLevel="0" collapsed="false">
      <c r="A3377" s="31"/>
      <c r="B3377" s="32"/>
      <c r="C3377" s="32"/>
      <c r="D3377" s="32"/>
      <c r="E3377" s="32"/>
      <c r="F3377" s="32"/>
      <c r="G3377" s="33"/>
      <c r="H3377" s="33"/>
      <c r="I3377" s="34" t="str">
        <f aca="false">IF($A3377="","",$G3377-$H3377)</f>
        <v/>
      </c>
      <c r="J3377" s="35" t="str">
        <f aca="false">IF($A3377="","",IF(Setup!$B$6=1,YEAR($A3377),YEAR($A3377)+IF(MONTH($A3377)&gt;=Setup!$B$6,1,0)))</f>
        <v/>
      </c>
      <c r="K3377" s="35" t="str">
        <f aca="false">IF($A3377="","",MOD(MONTH($A3377)-Setup!$B$6+12,12)+1)</f>
        <v/>
      </c>
      <c r="L3377" s="36" t="str">
        <f aca="false">IF($A3377="","",TEXT($A3377,"MMM-YY"))</f>
        <v/>
      </c>
      <c r="M3377" s="37" t="str">
        <f aca="false">IF($A3377="","",IF($Q3377=0,"UNMAPPED",INDEX(COA_Mapping!$C$7:$C$256,$Q3377)))</f>
        <v/>
      </c>
      <c r="N3377" s="38" t="str">
        <f aca="false">IF($A3377="","",IF($Q3377=0,"",INDEX(COA_Mapping!$E$7:$E$256,$Q3377)))</f>
        <v/>
      </c>
      <c r="O3377" s="38" t="n">
        <f aca="false">IF($A3377="",1,IF($Q3377=0,1,INDEX(COA_Mapping!$F$7:$F$256,$Q3377)))</f>
        <v>1</v>
      </c>
      <c r="P3377" s="34" t="str">
        <f aca="false">IF($A3377="","",$I3377*$O3377)</f>
        <v/>
      </c>
      <c r="Q3377" s="39" t="n">
        <f aca="false">IF($B3377="",0,IFERROR(MATCH($B3377,COA_Mapping!$A$7:$A$256,0),0))</f>
        <v>0</v>
      </c>
      <c r="R3377" s="39" t="n">
        <f aca="false">IF($A3377="",-1,IF($J3377=Setup!$B$7,1,IF($J3377=Setup!$B$9,0,-1)))</f>
        <v>-1</v>
      </c>
      <c r="S3377" s="35" t="n">
        <f aca="false">IF(OR($A3377="",$Q3377=0,$R3377=-1),0,$Q3377*1000+$R3377*100+$K3377)</f>
        <v>0</v>
      </c>
      <c r="T3377" s="37" t="str">
        <f aca="false">IF($A3377="","",IF($B3377="","NO ACCOUNT",IF($Q3377=0,"UNMAPPED",IF($R3377=-1,"OUTSIDE FY RANGE","OK"))))</f>
        <v/>
      </c>
      <c r="U3377" s="40" t="str">
        <f aca="false">IF($A3377="","",$B3377&amp;"|"&amp;TEXT($A3377,"yyyymmdd")&amp;"|"&amp;TEXT($I3377,"0.00"))</f>
        <v/>
      </c>
      <c r="V3377" s="35" t="str">
        <f aca="false">IF($A3377="","",COUNTIF($U$8:$U$5007,$U3377))</f>
        <v/>
      </c>
    </row>
    <row r="3378" customFormat="false" ht="15" hidden="false" customHeight="false" outlineLevel="0" collapsed="false">
      <c r="A3378" s="31"/>
      <c r="B3378" s="32"/>
      <c r="C3378" s="32"/>
      <c r="D3378" s="32"/>
      <c r="E3378" s="32"/>
      <c r="F3378" s="32"/>
      <c r="G3378" s="33"/>
      <c r="H3378" s="33"/>
      <c r="I3378" s="34" t="str">
        <f aca="false">IF($A3378="","",$G3378-$H3378)</f>
        <v/>
      </c>
      <c r="J3378" s="35" t="str">
        <f aca="false">IF($A3378="","",IF(Setup!$B$6=1,YEAR($A3378),YEAR($A3378)+IF(MONTH($A3378)&gt;=Setup!$B$6,1,0)))</f>
        <v/>
      </c>
      <c r="K3378" s="35" t="str">
        <f aca="false">IF($A3378="","",MOD(MONTH($A3378)-Setup!$B$6+12,12)+1)</f>
        <v/>
      </c>
      <c r="L3378" s="36" t="str">
        <f aca="false">IF($A3378="","",TEXT($A3378,"MMM-YY"))</f>
        <v/>
      </c>
      <c r="M3378" s="37" t="str">
        <f aca="false">IF($A3378="","",IF($Q3378=0,"UNMAPPED",INDEX(COA_Mapping!$C$7:$C$256,$Q3378)))</f>
        <v/>
      </c>
      <c r="N3378" s="38" t="str">
        <f aca="false">IF($A3378="","",IF($Q3378=0,"",INDEX(COA_Mapping!$E$7:$E$256,$Q3378)))</f>
        <v/>
      </c>
      <c r="O3378" s="38" t="n">
        <f aca="false">IF($A3378="",1,IF($Q3378=0,1,INDEX(COA_Mapping!$F$7:$F$256,$Q3378)))</f>
        <v>1</v>
      </c>
      <c r="P3378" s="34" t="str">
        <f aca="false">IF($A3378="","",$I3378*$O3378)</f>
        <v/>
      </c>
      <c r="Q3378" s="39" t="n">
        <f aca="false">IF($B3378="",0,IFERROR(MATCH($B3378,COA_Mapping!$A$7:$A$256,0),0))</f>
        <v>0</v>
      </c>
      <c r="R3378" s="39" t="n">
        <f aca="false">IF($A3378="",-1,IF($J3378=Setup!$B$7,1,IF($J3378=Setup!$B$9,0,-1)))</f>
        <v>-1</v>
      </c>
      <c r="S3378" s="35" t="n">
        <f aca="false">IF(OR($A3378="",$Q3378=0,$R3378=-1),0,$Q3378*1000+$R3378*100+$K3378)</f>
        <v>0</v>
      </c>
      <c r="T3378" s="37" t="str">
        <f aca="false">IF($A3378="","",IF($B3378="","NO ACCOUNT",IF($Q3378=0,"UNMAPPED",IF($R3378=-1,"OUTSIDE FY RANGE","OK"))))</f>
        <v/>
      </c>
      <c r="U3378" s="40" t="str">
        <f aca="false">IF($A3378="","",$B3378&amp;"|"&amp;TEXT($A3378,"yyyymmdd")&amp;"|"&amp;TEXT($I3378,"0.00"))</f>
        <v/>
      </c>
      <c r="V3378" s="35" t="str">
        <f aca="false">IF($A3378="","",COUNTIF($U$8:$U$5007,$U3378))</f>
        <v/>
      </c>
    </row>
    <row r="3379" customFormat="false" ht="15" hidden="false" customHeight="false" outlineLevel="0" collapsed="false">
      <c r="A3379" s="31"/>
      <c r="B3379" s="32"/>
      <c r="C3379" s="32"/>
      <c r="D3379" s="32"/>
      <c r="E3379" s="32"/>
      <c r="F3379" s="32"/>
      <c r="G3379" s="33"/>
      <c r="H3379" s="33"/>
      <c r="I3379" s="34" t="str">
        <f aca="false">IF($A3379="","",$G3379-$H3379)</f>
        <v/>
      </c>
      <c r="J3379" s="35" t="str">
        <f aca="false">IF($A3379="","",IF(Setup!$B$6=1,YEAR($A3379),YEAR($A3379)+IF(MONTH($A3379)&gt;=Setup!$B$6,1,0)))</f>
        <v/>
      </c>
      <c r="K3379" s="35" t="str">
        <f aca="false">IF($A3379="","",MOD(MONTH($A3379)-Setup!$B$6+12,12)+1)</f>
        <v/>
      </c>
      <c r="L3379" s="36" t="str">
        <f aca="false">IF($A3379="","",TEXT($A3379,"MMM-YY"))</f>
        <v/>
      </c>
      <c r="M3379" s="37" t="str">
        <f aca="false">IF($A3379="","",IF($Q3379=0,"UNMAPPED",INDEX(COA_Mapping!$C$7:$C$256,$Q3379)))</f>
        <v/>
      </c>
      <c r="N3379" s="38" t="str">
        <f aca="false">IF($A3379="","",IF($Q3379=0,"",INDEX(COA_Mapping!$E$7:$E$256,$Q3379)))</f>
        <v/>
      </c>
      <c r="O3379" s="38" t="n">
        <f aca="false">IF($A3379="",1,IF($Q3379=0,1,INDEX(COA_Mapping!$F$7:$F$256,$Q3379)))</f>
        <v>1</v>
      </c>
      <c r="P3379" s="34" t="str">
        <f aca="false">IF($A3379="","",$I3379*$O3379)</f>
        <v/>
      </c>
      <c r="Q3379" s="39" t="n">
        <f aca="false">IF($B3379="",0,IFERROR(MATCH($B3379,COA_Mapping!$A$7:$A$256,0),0))</f>
        <v>0</v>
      </c>
      <c r="R3379" s="39" t="n">
        <f aca="false">IF($A3379="",-1,IF($J3379=Setup!$B$7,1,IF($J3379=Setup!$B$9,0,-1)))</f>
        <v>-1</v>
      </c>
      <c r="S3379" s="35" t="n">
        <f aca="false">IF(OR($A3379="",$Q3379=0,$R3379=-1),0,$Q3379*1000+$R3379*100+$K3379)</f>
        <v>0</v>
      </c>
      <c r="T3379" s="37" t="str">
        <f aca="false">IF($A3379="","",IF($B3379="","NO ACCOUNT",IF($Q3379=0,"UNMAPPED",IF($R3379=-1,"OUTSIDE FY RANGE","OK"))))</f>
        <v/>
      </c>
      <c r="U3379" s="40" t="str">
        <f aca="false">IF($A3379="","",$B3379&amp;"|"&amp;TEXT($A3379,"yyyymmdd")&amp;"|"&amp;TEXT($I3379,"0.00"))</f>
        <v/>
      </c>
      <c r="V3379" s="35" t="str">
        <f aca="false">IF($A3379="","",COUNTIF($U$8:$U$5007,$U3379))</f>
        <v/>
      </c>
    </row>
    <row r="3380" customFormat="false" ht="15" hidden="false" customHeight="false" outlineLevel="0" collapsed="false">
      <c r="A3380" s="31"/>
      <c r="B3380" s="32"/>
      <c r="C3380" s="32"/>
      <c r="D3380" s="32"/>
      <c r="E3380" s="32"/>
      <c r="F3380" s="32"/>
      <c r="G3380" s="33"/>
      <c r="H3380" s="33"/>
      <c r="I3380" s="34" t="str">
        <f aca="false">IF($A3380="","",$G3380-$H3380)</f>
        <v/>
      </c>
      <c r="J3380" s="35" t="str">
        <f aca="false">IF($A3380="","",IF(Setup!$B$6=1,YEAR($A3380),YEAR($A3380)+IF(MONTH($A3380)&gt;=Setup!$B$6,1,0)))</f>
        <v/>
      </c>
      <c r="K3380" s="35" t="str">
        <f aca="false">IF($A3380="","",MOD(MONTH($A3380)-Setup!$B$6+12,12)+1)</f>
        <v/>
      </c>
      <c r="L3380" s="36" t="str">
        <f aca="false">IF($A3380="","",TEXT($A3380,"MMM-YY"))</f>
        <v/>
      </c>
      <c r="M3380" s="37" t="str">
        <f aca="false">IF($A3380="","",IF($Q3380=0,"UNMAPPED",INDEX(COA_Mapping!$C$7:$C$256,$Q3380)))</f>
        <v/>
      </c>
      <c r="N3380" s="38" t="str">
        <f aca="false">IF($A3380="","",IF($Q3380=0,"",INDEX(COA_Mapping!$E$7:$E$256,$Q3380)))</f>
        <v/>
      </c>
      <c r="O3380" s="38" t="n">
        <f aca="false">IF($A3380="",1,IF($Q3380=0,1,INDEX(COA_Mapping!$F$7:$F$256,$Q3380)))</f>
        <v>1</v>
      </c>
      <c r="P3380" s="34" t="str">
        <f aca="false">IF($A3380="","",$I3380*$O3380)</f>
        <v/>
      </c>
      <c r="Q3380" s="39" t="n">
        <f aca="false">IF($B3380="",0,IFERROR(MATCH($B3380,COA_Mapping!$A$7:$A$256,0),0))</f>
        <v>0</v>
      </c>
      <c r="R3380" s="39" t="n">
        <f aca="false">IF($A3380="",-1,IF($J3380=Setup!$B$7,1,IF($J3380=Setup!$B$9,0,-1)))</f>
        <v>-1</v>
      </c>
      <c r="S3380" s="35" t="n">
        <f aca="false">IF(OR($A3380="",$Q3380=0,$R3380=-1),0,$Q3380*1000+$R3380*100+$K3380)</f>
        <v>0</v>
      </c>
      <c r="T3380" s="37" t="str">
        <f aca="false">IF($A3380="","",IF($B3380="","NO ACCOUNT",IF($Q3380=0,"UNMAPPED",IF($R3380=-1,"OUTSIDE FY RANGE","OK"))))</f>
        <v/>
      </c>
      <c r="U3380" s="40" t="str">
        <f aca="false">IF($A3380="","",$B3380&amp;"|"&amp;TEXT($A3380,"yyyymmdd")&amp;"|"&amp;TEXT($I3380,"0.00"))</f>
        <v/>
      </c>
      <c r="V3380" s="35" t="str">
        <f aca="false">IF($A3380="","",COUNTIF($U$8:$U$5007,$U3380))</f>
        <v/>
      </c>
    </row>
    <row r="3381" customFormat="false" ht="15" hidden="false" customHeight="false" outlineLevel="0" collapsed="false">
      <c r="A3381" s="31"/>
      <c r="B3381" s="32"/>
      <c r="C3381" s="32"/>
      <c r="D3381" s="32"/>
      <c r="E3381" s="32"/>
      <c r="F3381" s="32"/>
      <c r="G3381" s="33"/>
      <c r="H3381" s="33"/>
      <c r="I3381" s="34" t="str">
        <f aca="false">IF($A3381="","",$G3381-$H3381)</f>
        <v/>
      </c>
      <c r="J3381" s="35" t="str">
        <f aca="false">IF($A3381="","",IF(Setup!$B$6=1,YEAR($A3381),YEAR($A3381)+IF(MONTH($A3381)&gt;=Setup!$B$6,1,0)))</f>
        <v/>
      </c>
      <c r="K3381" s="35" t="str">
        <f aca="false">IF($A3381="","",MOD(MONTH($A3381)-Setup!$B$6+12,12)+1)</f>
        <v/>
      </c>
      <c r="L3381" s="36" t="str">
        <f aca="false">IF($A3381="","",TEXT($A3381,"MMM-YY"))</f>
        <v/>
      </c>
      <c r="M3381" s="37" t="str">
        <f aca="false">IF($A3381="","",IF($Q3381=0,"UNMAPPED",INDEX(COA_Mapping!$C$7:$C$256,$Q3381)))</f>
        <v/>
      </c>
      <c r="N3381" s="38" t="str">
        <f aca="false">IF($A3381="","",IF($Q3381=0,"",INDEX(COA_Mapping!$E$7:$E$256,$Q3381)))</f>
        <v/>
      </c>
      <c r="O3381" s="38" t="n">
        <f aca="false">IF($A3381="",1,IF($Q3381=0,1,INDEX(COA_Mapping!$F$7:$F$256,$Q3381)))</f>
        <v>1</v>
      </c>
      <c r="P3381" s="34" t="str">
        <f aca="false">IF($A3381="","",$I3381*$O3381)</f>
        <v/>
      </c>
      <c r="Q3381" s="39" t="n">
        <f aca="false">IF($B3381="",0,IFERROR(MATCH($B3381,COA_Mapping!$A$7:$A$256,0),0))</f>
        <v>0</v>
      </c>
      <c r="R3381" s="39" t="n">
        <f aca="false">IF($A3381="",-1,IF($J3381=Setup!$B$7,1,IF($J3381=Setup!$B$9,0,-1)))</f>
        <v>-1</v>
      </c>
      <c r="S3381" s="35" t="n">
        <f aca="false">IF(OR($A3381="",$Q3381=0,$R3381=-1),0,$Q3381*1000+$R3381*100+$K3381)</f>
        <v>0</v>
      </c>
      <c r="T3381" s="37" t="str">
        <f aca="false">IF($A3381="","",IF($B3381="","NO ACCOUNT",IF($Q3381=0,"UNMAPPED",IF($R3381=-1,"OUTSIDE FY RANGE","OK"))))</f>
        <v/>
      </c>
      <c r="U3381" s="40" t="str">
        <f aca="false">IF($A3381="","",$B3381&amp;"|"&amp;TEXT($A3381,"yyyymmdd")&amp;"|"&amp;TEXT($I3381,"0.00"))</f>
        <v/>
      </c>
      <c r="V3381" s="35" t="str">
        <f aca="false">IF($A3381="","",COUNTIF($U$8:$U$5007,$U3381))</f>
        <v/>
      </c>
    </row>
    <row r="3382" customFormat="false" ht="15" hidden="false" customHeight="false" outlineLevel="0" collapsed="false">
      <c r="A3382" s="31"/>
      <c r="B3382" s="32"/>
      <c r="C3382" s="32"/>
      <c r="D3382" s="32"/>
      <c r="E3382" s="32"/>
      <c r="F3382" s="32"/>
      <c r="G3382" s="33"/>
      <c r="H3382" s="33"/>
      <c r="I3382" s="34" t="str">
        <f aca="false">IF($A3382="","",$G3382-$H3382)</f>
        <v/>
      </c>
      <c r="J3382" s="35" t="str">
        <f aca="false">IF($A3382="","",IF(Setup!$B$6=1,YEAR($A3382),YEAR($A3382)+IF(MONTH($A3382)&gt;=Setup!$B$6,1,0)))</f>
        <v/>
      </c>
      <c r="K3382" s="35" t="str">
        <f aca="false">IF($A3382="","",MOD(MONTH($A3382)-Setup!$B$6+12,12)+1)</f>
        <v/>
      </c>
      <c r="L3382" s="36" t="str">
        <f aca="false">IF($A3382="","",TEXT($A3382,"MMM-YY"))</f>
        <v/>
      </c>
      <c r="M3382" s="37" t="str">
        <f aca="false">IF($A3382="","",IF($Q3382=0,"UNMAPPED",INDEX(COA_Mapping!$C$7:$C$256,$Q3382)))</f>
        <v/>
      </c>
      <c r="N3382" s="38" t="str">
        <f aca="false">IF($A3382="","",IF($Q3382=0,"",INDEX(COA_Mapping!$E$7:$E$256,$Q3382)))</f>
        <v/>
      </c>
      <c r="O3382" s="38" t="n">
        <f aca="false">IF($A3382="",1,IF($Q3382=0,1,INDEX(COA_Mapping!$F$7:$F$256,$Q3382)))</f>
        <v>1</v>
      </c>
      <c r="P3382" s="34" t="str">
        <f aca="false">IF($A3382="","",$I3382*$O3382)</f>
        <v/>
      </c>
      <c r="Q3382" s="39" t="n">
        <f aca="false">IF($B3382="",0,IFERROR(MATCH($B3382,COA_Mapping!$A$7:$A$256,0),0))</f>
        <v>0</v>
      </c>
      <c r="R3382" s="39" t="n">
        <f aca="false">IF($A3382="",-1,IF($J3382=Setup!$B$7,1,IF($J3382=Setup!$B$9,0,-1)))</f>
        <v>-1</v>
      </c>
      <c r="S3382" s="35" t="n">
        <f aca="false">IF(OR($A3382="",$Q3382=0,$R3382=-1),0,$Q3382*1000+$R3382*100+$K3382)</f>
        <v>0</v>
      </c>
      <c r="T3382" s="37" t="str">
        <f aca="false">IF($A3382="","",IF($B3382="","NO ACCOUNT",IF($Q3382=0,"UNMAPPED",IF($R3382=-1,"OUTSIDE FY RANGE","OK"))))</f>
        <v/>
      </c>
      <c r="U3382" s="40" t="str">
        <f aca="false">IF($A3382="","",$B3382&amp;"|"&amp;TEXT($A3382,"yyyymmdd")&amp;"|"&amp;TEXT($I3382,"0.00"))</f>
        <v/>
      </c>
      <c r="V3382" s="35" t="str">
        <f aca="false">IF($A3382="","",COUNTIF($U$8:$U$5007,$U3382))</f>
        <v/>
      </c>
    </row>
    <row r="3383" customFormat="false" ht="15" hidden="false" customHeight="false" outlineLevel="0" collapsed="false">
      <c r="A3383" s="31"/>
      <c r="B3383" s="32"/>
      <c r="C3383" s="32"/>
      <c r="D3383" s="32"/>
      <c r="E3383" s="32"/>
      <c r="F3383" s="32"/>
      <c r="G3383" s="33"/>
      <c r="H3383" s="33"/>
      <c r="I3383" s="34" t="str">
        <f aca="false">IF($A3383="","",$G3383-$H3383)</f>
        <v/>
      </c>
      <c r="J3383" s="35" t="str">
        <f aca="false">IF($A3383="","",IF(Setup!$B$6=1,YEAR($A3383),YEAR($A3383)+IF(MONTH($A3383)&gt;=Setup!$B$6,1,0)))</f>
        <v/>
      </c>
      <c r="K3383" s="35" t="str">
        <f aca="false">IF($A3383="","",MOD(MONTH($A3383)-Setup!$B$6+12,12)+1)</f>
        <v/>
      </c>
      <c r="L3383" s="36" t="str">
        <f aca="false">IF($A3383="","",TEXT($A3383,"MMM-YY"))</f>
        <v/>
      </c>
      <c r="M3383" s="37" t="str">
        <f aca="false">IF($A3383="","",IF($Q3383=0,"UNMAPPED",INDEX(COA_Mapping!$C$7:$C$256,$Q3383)))</f>
        <v/>
      </c>
      <c r="N3383" s="38" t="str">
        <f aca="false">IF($A3383="","",IF($Q3383=0,"",INDEX(COA_Mapping!$E$7:$E$256,$Q3383)))</f>
        <v/>
      </c>
      <c r="O3383" s="38" t="n">
        <f aca="false">IF($A3383="",1,IF($Q3383=0,1,INDEX(COA_Mapping!$F$7:$F$256,$Q3383)))</f>
        <v>1</v>
      </c>
      <c r="P3383" s="34" t="str">
        <f aca="false">IF($A3383="","",$I3383*$O3383)</f>
        <v/>
      </c>
      <c r="Q3383" s="39" t="n">
        <f aca="false">IF($B3383="",0,IFERROR(MATCH($B3383,COA_Mapping!$A$7:$A$256,0),0))</f>
        <v>0</v>
      </c>
      <c r="R3383" s="39" t="n">
        <f aca="false">IF($A3383="",-1,IF($J3383=Setup!$B$7,1,IF($J3383=Setup!$B$9,0,-1)))</f>
        <v>-1</v>
      </c>
      <c r="S3383" s="35" t="n">
        <f aca="false">IF(OR($A3383="",$Q3383=0,$R3383=-1),0,$Q3383*1000+$R3383*100+$K3383)</f>
        <v>0</v>
      </c>
      <c r="T3383" s="37" t="str">
        <f aca="false">IF($A3383="","",IF($B3383="","NO ACCOUNT",IF($Q3383=0,"UNMAPPED",IF($R3383=-1,"OUTSIDE FY RANGE","OK"))))</f>
        <v/>
      </c>
      <c r="U3383" s="40" t="str">
        <f aca="false">IF($A3383="","",$B3383&amp;"|"&amp;TEXT($A3383,"yyyymmdd")&amp;"|"&amp;TEXT($I3383,"0.00"))</f>
        <v/>
      </c>
      <c r="V3383" s="35" t="str">
        <f aca="false">IF($A3383="","",COUNTIF($U$8:$U$5007,$U3383))</f>
        <v/>
      </c>
    </row>
    <row r="3384" customFormat="false" ht="15" hidden="false" customHeight="false" outlineLevel="0" collapsed="false">
      <c r="A3384" s="31"/>
      <c r="B3384" s="32"/>
      <c r="C3384" s="32"/>
      <c r="D3384" s="32"/>
      <c r="E3384" s="32"/>
      <c r="F3384" s="32"/>
      <c r="G3384" s="33"/>
      <c r="H3384" s="33"/>
      <c r="I3384" s="34" t="str">
        <f aca="false">IF($A3384="","",$G3384-$H3384)</f>
        <v/>
      </c>
      <c r="J3384" s="35" t="str">
        <f aca="false">IF($A3384="","",IF(Setup!$B$6=1,YEAR($A3384),YEAR($A3384)+IF(MONTH($A3384)&gt;=Setup!$B$6,1,0)))</f>
        <v/>
      </c>
      <c r="K3384" s="35" t="str">
        <f aca="false">IF($A3384="","",MOD(MONTH($A3384)-Setup!$B$6+12,12)+1)</f>
        <v/>
      </c>
      <c r="L3384" s="36" t="str">
        <f aca="false">IF($A3384="","",TEXT($A3384,"MMM-YY"))</f>
        <v/>
      </c>
      <c r="M3384" s="37" t="str">
        <f aca="false">IF($A3384="","",IF($Q3384=0,"UNMAPPED",INDEX(COA_Mapping!$C$7:$C$256,$Q3384)))</f>
        <v/>
      </c>
      <c r="N3384" s="38" t="str">
        <f aca="false">IF($A3384="","",IF($Q3384=0,"",INDEX(COA_Mapping!$E$7:$E$256,$Q3384)))</f>
        <v/>
      </c>
      <c r="O3384" s="38" t="n">
        <f aca="false">IF($A3384="",1,IF($Q3384=0,1,INDEX(COA_Mapping!$F$7:$F$256,$Q3384)))</f>
        <v>1</v>
      </c>
      <c r="P3384" s="34" t="str">
        <f aca="false">IF($A3384="","",$I3384*$O3384)</f>
        <v/>
      </c>
      <c r="Q3384" s="39" t="n">
        <f aca="false">IF($B3384="",0,IFERROR(MATCH($B3384,COA_Mapping!$A$7:$A$256,0),0))</f>
        <v>0</v>
      </c>
      <c r="R3384" s="39" t="n">
        <f aca="false">IF($A3384="",-1,IF($J3384=Setup!$B$7,1,IF($J3384=Setup!$B$9,0,-1)))</f>
        <v>-1</v>
      </c>
      <c r="S3384" s="35" t="n">
        <f aca="false">IF(OR($A3384="",$Q3384=0,$R3384=-1),0,$Q3384*1000+$R3384*100+$K3384)</f>
        <v>0</v>
      </c>
      <c r="T3384" s="37" t="str">
        <f aca="false">IF($A3384="","",IF($B3384="","NO ACCOUNT",IF($Q3384=0,"UNMAPPED",IF($R3384=-1,"OUTSIDE FY RANGE","OK"))))</f>
        <v/>
      </c>
      <c r="U3384" s="40" t="str">
        <f aca="false">IF($A3384="","",$B3384&amp;"|"&amp;TEXT($A3384,"yyyymmdd")&amp;"|"&amp;TEXT($I3384,"0.00"))</f>
        <v/>
      </c>
      <c r="V3384" s="35" t="str">
        <f aca="false">IF($A3384="","",COUNTIF($U$8:$U$5007,$U3384))</f>
        <v/>
      </c>
    </row>
    <row r="3385" customFormat="false" ht="15" hidden="false" customHeight="false" outlineLevel="0" collapsed="false">
      <c r="A3385" s="31"/>
      <c r="B3385" s="32"/>
      <c r="C3385" s="32"/>
      <c r="D3385" s="32"/>
      <c r="E3385" s="32"/>
      <c r="F3385" s="32"/>
      <c r="G3385" s="33"/>
      <c r="H3385" s="33"/>
      <c r="I3385" s="34" t="str">
        <f aca="false">IF($A3385="","",$G3385-$H3385)</f>
        <v/>
      </c>
      <c r="J3385" s="35" t="str">
        <f aca="false">IF($A3385="","",IF(Setup!$B$6=1,YEAR($A3385),YEAR($A3385)+IF(MONTH($A3385)&gt;=Setup!$B$6,1,0)))</f>
        <v/>
      </c>
      <c r="K3385" s="35" t="str">
        <f aca="false">IF($A3385="","",MOD(MONTH($A3385)-Setup!$B$6+12,12)+1)</f>
        <v/>
      </c>
      <c r="L3385" s="36" t="str">
        <f aca="false">IF($A3385="","",TEXT($A3385,"MMM-YY"))</f>
        <v/>
      </c>
      <c r="M3385" s="37" t="str">
        <f aca="false">IF($A3385="","",IF($Q3385=0,"UNMAPPED",INDEX(COA_Mapping!$C$7:$C$256,$Q3385)))</f>
        <v/>
      </c>
      <c r="N3385" s="38" t="str">
        <f aca="false">IF($A3385="","",IF($Q3385=0,"",INDEX(COA_Mapping!$E$7:$E$256,$Q3385)))</f>
        <v/>
      </c>
      <c r="O3385" s="38" t="n">
        <f aca="false">IF($A3385="",1,IF($Q3385=0,1,INDEX(COA_Mapping!$F$7:$F$256,$Q3385)))</f>
        <v>1</v>
      </c>
      <c r="P3385" s="34" t="str">
        <f aca="false">IF($A3385="","",$I3385*$O3385)</f>
        <v/>
      </c>
      <c r="Q3385" s="39" t="n">
        <f aca="false">IF($B3385="",0,IFERROR(MATCH($B3385,COA_Mapping!$A$7:$A$256,0),0))</f>
        <v>0</v>
      </c>
      <c r="R3385" s="39" t="n">
        <f aca="false">IF($A3385="",-1,IF($J3385=Setup!$B$7,1,IF($J3385=Setup!$B$9,0,-1)))</f>
        <v>-1</v>
      </c>
      <c r="S3385" s="35" t="n">
        <f aca="false">IF(OR($A3385="",$Q3385=0,$R3385=-1),0,$Q3385*1000+$R3385*100+$K3385)</f>
        <v>0</v>
      </c>
      <c r="T3385" s="37" t="str">
        <f aca="false">IF($A3385="","",IF($B3385="","NO ACCOUNT",IF($Q3385=0,"UNMAPPED",IF($R3385=-1,"OUTSIDE FY RANGE","OK"))))</f>
        <v/>
      </c>
      <c r="U3385" s="40" t="str">
        <f aca="false">IF($A3385="","",$B3385&amp;"|"&amp;TEXT($A3385,"yyyymmdd")&amp;"|"&amp;TEXT($I3385,"0.00"))</f>
        <v/>
      </c>
      <c r="V3385" s="35" t="str">
        <f aca="false">IF($A3385="","",COUNTIF($U$8:$U$5007,$U3385))</f>
        <v/>
      </c>
    </row>
    <row r="3386" customFormat="false" ht="15" hidden="false" customHeight="false" outlineLevel="0" collapsed="false">
      <c r="A3386" s="31"/>
      <c r="B3386" s="32"/>
      <c r="C3386" s="32"/>
      <c r="D3386" s="32"/>
      <c r="E3386" s="32"/>
      <c r="F3386" s="32"/>
      <c r="G3386" s="33"/>
      <c r="H3386" s="33"/>
      <c r="I3386" s="34" t="str">
        <f aca="false">IF($A3386="","",$G3386-$H3386)</f>
        <v/>
      </c>
      <c r="J3386" s="35" t="str">
        <f aca="false">IF($A3386="","",IF(Setup!$B$6=1,YEAR($A3386),YEAR($A3386)+IF(MONTH($A3386)&gt;=Setup!$B$6,1,0)))</f>
        <v/>
      </c>
      <c r="K3386" s="35" t="str">
        <f aca="false">IF($A3386="","",MOD(MONTH($A3386)-Setup!$B$6+12,12)+1)</f>
        <v/>
      </c>
      <c r="L3386" s="36" t="str">
        <f aca="false">IF($A3386="","",TEXT($A3386,"MMM-YY"))</f>
        <v/>
      </c>
      <c r="M3386" s="37" t="str">
        <f aca="false">IF($A3386="","",IF($Q3386=0,"UNMAPPED",INDEX(COA_Mapping!$C$7:$C$256,$Q3386)))</f>
        <v/>
      </c>
      <c r="N3386" s="38" t="str">
        <f aca="false">IF($A3386="","",IF($Q3386=0,"",INDEX(COA_Mapping!$E$7:$E$256,$Q3386)))</f>
        <v/>
      </c>
      <c r="O3386" s="38" t="n">
        <f aca="false">IF($A3386="",1,IF($Q3386=0,1,INDEX(COA_Mapping!$F$7:$F$256,$Q3386)))</f>
        <v>1</v>
      </c>
      <c r="P3386" s="34" t="str">
        <f aca="false">IF($A3386="","",$I3386*$O3386)</f>
        <v/>
      </c>
      <c r="Q3386" s="39" t="n">
        <f aca="false">IF($B3386="",0,IFERROR(MATCH($B3386,COA_Mapping!$A$7:$A$256,0),0))</f>
        <v>0</v>
      </c>
      <c r="R3386" s="39" t="n">
        <f aca="false">IF($A3386="",-1,IF($J3386=Setup!$B$7,1,IF($J3386=Setup!$B$9,0,-1)))</f>
        <v>-1</v>
      </c>
      <c r="S3386" s="35" t="n">
        <f aca="false">IF(OR($A3386="",$Q3386=0,$R3386=-1),0,$Q3386*1000+$R3386*100+$K3386)</f>
        <v>0</v>
      </c>
      <c r="T3386" s="37" t="str">
        <f aca="false">IF($A3386="","",IF($B3386="","NO ACCOUNT",IF($Q3386=0,"UNMAPPED",IF($R3386=-1,"OUTSIDE FY RANGE","OK"))))</f>
        <v/>
      </c>
      <c r="U3386" s="40" t="str">
        <f aca="false">IF($A3386="","",$B3386&amp;"|"&amp;TEXT($A3386,"yyyymmdd")&amp;"|"&amp;TEXT($I3386,"0.00"))</f>
        <v/>
      </c>
      <c r="V3386" s="35" t="str">
        <f aca="false">IF($A3386="","",COUNTIF($U$8:$U$5007,$U3386))</f>
        <v/>
      </c>
    </row>
    <row r="3387" customFormat="false" ht="15" hidden="false" customHeight="false" outlineLevel="0" collapsed="false">
      <c r="A3387" s="31"/>
      <c r="B3387" s="32"/>
      <c r="C3387" s="32"/>
      <c r="D3387" s="32"/>
      <c r="E3387" s="32"/>
      <c r="F3387" s="32"/>
      <c r="G3387" s="33"/>
      <c r="H3387" s="33"/>
      <c r="I3387" s="34" t="str">
        <f aca="false">IF($A3387="","",$G3387-$H3387)</f>
        <v/>
      </c>
      <c r="J3387" s="35" t="str">
        <f aca="false">IF($A3387="","",IF(Setup!$B$6=1,YEAR($A3387),YEAR($A3387)+IF(MONTH($A3387)&gt;=Setup!$B$6,1,0)))</f>
        <v/>
      </c>
      <c r="K3387" s="35" t="str">
        <f aca="false">IF($A3387="","",MOD(MONTH($A3387)-Setup!$B$6+12,12)+1)</f>
        <v/>
      </c>
      <c r="L3387" s="36" t="str">
        <f aca="false">IF($A3387="","",TEXT($A3387,"MMM-YY"))</f>
        <v/>
      </c>
      <c r="M3387" s="37" t="str">
        <f aca="false">IF($A3387="","",IF($Q3387=0,"UNMAPPED",INDEX(COA_Mapping!$C$7:$C$256,$Q3387)))</f>
        <v/>
      </c>
      <c r="N3387" s="38" t="str">
        <f aca="false">IF($A3387="","",IF($Q3387=0,"",INDEX(COA_Mapping!$E$7:$E$256,$Q3387)))</f>
        <v/>
      </c>
      <c r="O3387" s="38" t="n">
        <f aca="false">IF($A3387="",1,IF($Q3387=0,1,INDEX(COA_Mapping!$F$7:$F$256,$Q3387)))</f>
        <v>1</v>
      </c>
      <c r="P3387" s="34" t="str">
        <f aca="false">IF($A3387="","",$I3387*$O3387)</f>
        <v/>
      </c>
      <c r="Q3387" s="39" t="n">
        <f aca="false">IF($B3387="",0,IFERROR(MATCH($B3387,COA_Mapping!$A$7:$A$256,0),0))</f>
        <v>0</v>
      </c>
      <c r="R3387" s="39" t="n">
        <f aca="false">IF($A3387="",-1,IF($J3387=Setup!$B$7,1,IF($J3387=Setup!$B$9,0,-1)))</f>
        <v>-1</v>
      </c>
      <c r="S3387" s="35" t="n">
        <f aca="false">IF(OR($A3387="",$Q3387=0,$R3387=-1),0,$Q3387*1000+$R3387*100+$K3387)</f>
        <v>0</v>
      </c>
      <c r="T3387" s="37" t="str">
        <f aca="false">IF($A3387="","",IF($B3387="","NO ACCOUNT",IF($Q3387=0,"UNMAPPED",IF($R3387=-1,"OUTSIDE FY RANGE","OK"))))</f>
        <v/>
      </c>
      <c r="U3387" s="40" t="str">
        <f aca="false">IF($A3387="","",$B3387&amp;"|"&amp;TEXT($A3387,"yyyymmdd")&amp;"|"&amp;TEXT($I3387,"0.00"))</f>
        <v/>
      </c>
      <c r="V3387" s="35" t="str">
        <f aca="false">IF($A3387="","",COUNTIF($U$8:$U$5007,$U3387))</f>
        <v/>
      </c>
    </row>
    <row r="3388" customFormat="false" ht="15" hidden="false" customHeight="false" outlineLevel="0" collapsed="false">
      <c r="A3388" s="31"/>
      <c r="B3388" s="32"/>
      <c r="C3388" s="32"/>
      <c r="D3388" s="32"/>
      <c r="E3388" s="32"/>
      <c r="F3388" s="32"/>
      <c r="G3388" s="33"/>
      <c r="H3388" s="33"/>
      <c r="I3388" s="34" t="str">
        <f aca="false">IF($A3388="","",$G3388-$H3388)</f>
        <v/>
      </c>
      <c r="J3388" s="35" t="str">
        <f aca="false">IF($A3388="","",IF(Setup!$B$6=1,YEAR($A3388),YEAR($A3388)+IF(MONTH($A3388)&gt;=Setup!$B$6,1,0)))</f>
        <v/>
      </c>
      <c r="K3388" s="35" t="str">
        <f aca="false">IF($A3388="","",MOD(MONTH($A3388)-Setup!$B$6+12,12)+1)</f>
        <v/>
      </c>
      <c r="L3388" s="36" t="str">
        <f aca="false">IF($A3388="","",TEXT($A3388,"MMM-YY"))</f>
        <v/>
      </c>
      <c r="M3388" s="37" t="str">
        <f aca="false">IF($A3388="","",IF($Q3388=0,"UNMAPPED",INDEX(COA_Mapping!$C$7:$C$256,$Q3388)))</f>
        <v/>
      </c>
      <c r="N3388" s="38" t="str">
        <f aca="false">IF($A3388="","",IF($Q3388=0,"",INDEX(COA_Mapping!$E$7:$E$256,$Q3388)))</f>
        <v/>
      </c>
      <c r="O3388" s="38" t="n">
        <f aca="false">IF($A3388="",1,IF($Q3388=0,1,INDEX(COA_Mapping!$F$7:$F$256,$Q3388)))</f>
        <v>1</v>
      </c>
      <c r="P3388" s="34" t="str">
        <f aca="false">IF($A3388="","",$I3388*$O3388)</f>
        <v/>
      </c>
      <c r="Q3388" s="39" t="n">
        <f aca="false">IF($B3388="",0,IFERROR(MATCH($B3388,COA_Mapping!$A$7:$A$256,0),0))</f>
        <v>0</v>
      </c>
      <c r="R3388" s="39" t="n">
        <f aca="false">IF($A3388="",-1,IF($J3388=Setup!$B$7,1,IF($J3388=Setup!$B$9,0,-1)))</f>
        <v>-1</v>
      </c>
      <c r="S3388" s="35" t="n">
        <f aca="false">IF(OR($A3388="",$Q3388=0,$R3388=-1),0,$Q3388*1000+$R3388*100+$K3388)</f>
        <v>0</v>
      </c>
      <c r="T3388" s="37" t="str">
        <f aca="false">IF($A3388="","",IF($B3388="","NO ACCOUNT",IF($Q3388=0,"UNMAPPED",IF($R3388=-1,"OUTSIDE FY RANGE","OK"))))</f>
        <v/>
      </c>
      <c r="U3388" s="40" t="str">
        <f aca="false">IF($A3388="","",$B3388&amp;"|"&amp;TEXT($A3388,"yyyymmdd")&amp;"|"&amp;TEXT($I3388,"0.00"))</f>
        <v/>
      </c>
      <c r="V3388" s="35" t="str">
        <f aca="false">IF($A3388="","",COUNTIF($U$8:$U$5007,$U3388))</f>
        <v/>
      </c>
    </row>
    <row r="3389" customFormat="false" ht="15" hidden="false" customHeight="false" outlineLevel="0" collapsed="false">
      <c r="A3389" s="31"/>
      <c r="B3389" s="32"/>
      <c r="C3389" s="32"/>
      <c r="D3389" s="32"/>
      <c r="E3389" s="32"/>
      <c r="F3389" s="32"/>
      <c r="G3389" s="33"/>
      <c r="H3389" s="33"/>
      <c r="I3389" s="34" t="str">
        <f aca="false">IF($A3389="","",$G3389-$H3389)</f>
        <v/>
      </c>
      <c r="J3389" s="35" t="str">
        <f aca="false">IF($A3389="","",IF(Setup!$B$6=1,YEAR($A3389),YEAR($A3389)+IF(MONTH($A3389)&gt;=Setup!$B$6,1,0)))</f>
        <v/>
      </c>
      <c r="K3389" s="35" t="str">
        <f aca="false">IF($A3389="","",MOD(MONTH($A3389)-Setup!$B$6+12,12)+1)</f>
        <v/>
      </c>
      <c r="L3389" s="36" t="str">
        <f aca="false">IF($A3389="","",TEXT($A3389,"MMM-YY"))</f>
        <v/>
      </c>
      <c r="M3389" s="37" t="str">
        <f aca="false">IF($A3389="","",IF($Q3389=0,"UNMAPPED",INDEX(COA_Mapping!$C$7:$C$256,$Q3389)))</f>
        <v/>
      </c>
      <c r="N3389" s="38" t="str">
        <f aca="false">IF($A3389="","",IF($Q3389=0,"",INDEX(COA_Mapping!$E$7:$E$256,$Q3389)))</f>
        <v/>
      </c>
      <c r="O3389" s="38" t="n">
        <f aca="false">IF($A3389="",1,IF($Q3389=0,1,INDEX(COA_Mapping!$F$7:$F$256,$Q3389)))</f>
        <v>1</v>
      </c>
      <c r="P3389" s="34" t="str">
        <f aca="false">IF($A3389="","",$I3389*$O3389)</f>
        <v/>
      </c>
      <c r="Q3389" s="39" t="n">
        <f aca="false">IF($B3389="",0,IFERROR(MATCH($B3389,COA_Mapping!$A$7:$A$256,0),0))</f>
        <v>0</v>
      </c>
      <c r="R3389" s="39" t="n">
        <f aca="false">IF($A3389="",-1,IF($J3389=Setup!$B$7,1,IF($J3389=Setup!$B$9,0,-1)))</f>
        <v>-1</v>
      </c>
      <c r="S3389" s="35" t="n">
        <f aca="false">IF(OR($A3389="",$Q3389=0,$R3389=-1),0,$Q3389*1000+$R3389*100+$K3389)</f>
        <v>0</v>
      </c>
      <c r="T3389" s="37" t="str">
        <f aca="false">IF($A3389="","",IF($B3389="","NO ACCOUNT",IF($Q3389=0,"UNMAPPED",IF($R3389=-1,"OUTSIDE FY RANGE","OK"))))</f>
        <v/>
      </c>
      <c r="U3389" s="40" t="str">
        <f aca="false">IF($A3389="","",$B3389&amp;"|"&amp;TEXT($A3389,"yyyymmdd")&amp;"|"&amp;TEXT($I3389,"0.00"))</f>
        <v/>
      </c>
      <c r="V3389" s="35" t="str">
        <f aca="false">IF($A3389="","",COUNTIF($U$8:$U$5007,$U3389))</f>
        <v/>
      </c>
    </row>
    <row r="3390" customFormat="false" ht="15" hidden="false" customHeight="false" outlineLevel="0" collapsed="false">
      <c r="A3390" s="31"/>
      <c r="B3390" s="32"/>
      <c r="C3390" s="32"/>
      <c r="D3390" s="32"/>
      <c r="E3390" s="32"/>
      <c r="F3390" s="32"/>
      <c r="G3390" s="33"/>
      <c r="H3390" s="33"/>
      <c r="I3390" s="34" t="str">
        <f aca="false">IF($A3390="","",$G3390-$H3390)</f>
        <v/>
      </c>
      <c r="J3390" s="35" t="str">
        <f aca="false">IF($A3390="","",IF(Setup!$B$6=1,YEAR($A3390),YEAR($A3390)+IF(MONTH($A3390)&gt;=Setup!$B$6,1,0)))</f>
        <v/>
      </c>
      <c r="K3390" s="35" t="str">
        <f aca="false">IF($A3390="","",MOD(MONTH($A3390)-Setup!$B$6+12,12)+1)</f>
        <v/>
      </c>
      <c r="L3390" s="36" t="str">
        <f aca="false">IF($A3390="","",TEXT($A3390,"MMM-YY"))</f>
        <v/>
      </c>
      <c r="M3390" s="37" t="str">
        <f aca="false">IF($A3390="","",IF($Q3390=0,"UNMAPPED",INDEX(COA_Mapping!$C$7:$C$256,$Q3390)))</f>
        <v/>
      </c>
      <c r="N3390" s="38" t="str">
        <f aca="false">IF($A3390="","",IF($Q3390=0,"",INDEX(COA_Mapping!$E$7:$E$256,$Q3390)))</f>
        <v/>
      </c>
      <c r="O3390" s="38" t="n">
        <f aca="false">IF($A3390="",1,IF($Q3390=0,1,INDEX(COA_Mapping!$F$7:$F$256,$Q3390)))</f>
        <v>1</v>
      </c>
      <c r="P3390" s="34" t="str">
        <f aca="false">IF($A3390="","",$I3390*$O3390)</f>
        <v/>
      </c>
      <c r="Q3390" s="39" t="n">
        <f aca="false">IF($B3390="",0,IFERROR(MATCH($B3390,COA_Mapping!$A$7:$A$256,0),0))</f>
        <v>0</v>
      </c>
      <c r="R3390" s="39" t="n">
        <f aca="false">IF($A3390="",-1,IF($J3390=Setup!$B$7,1,IF($J3390=Setup!$B$9,0,-1)))</f>
        <v>-1</v>
      </c>
      <c r="S3390" s="35" t="n">
        <f aca="false">IF(OR($A3390="",$Q3390=0,$R3390=-1),0,$Q3390*1000+$R3390*100+$K3390)</f>
        <v>0</v>
      </c>
      <c r="T3390" s="37" t="str">
        <f aca="false">IF($A3390="","",IF($B3390="","NO ACCOUNT",IF($Q3390=0,"UNMAPPED",IF($R3390=-1,"OUTSIDE FY RANGE","OK"))))</f>
        <v/>
      </c>
      <c r="U3390" s="40" t="str">
        <f aca="false">IF($A3390="","",$B3390&amp;"|"&amp;TEXT($A3390,"yyyymmdd")&amp;"|"&amp;TEXT($I3390,"0.00"))</f>
        <v/>
      </c>
      <c r="V3390" s="35" t="str">
        <f aca="false">IF($A3390="","",COUNTIF($U$8:$U$5007,$U3390))</f>
        <v/>
      </c>
    </row>
    <row r="3391" customFormat="false" ht="15" hidden="false" customHeight="false" outlineLevel="0" collapsed="false">
      <c r="A3391" s="31"/>
      <c r="B3391" s="32"/>
      <c r="C3391" s="32"/>
      <c r="D3391" s="32"/>
      <c r="E3391" s="32"/>
      <c r="F3391" s="32"/>
      <c r="G3391" s="33"/>
      <c r="H3391" s="33"/>
      <c r="I3391" s="34" t="str">
        <f aca="false">IF($A3391="","",$G3391-$H3391)</f>
        <v/>
      </c>
      <c r="J3391" s="35" t="str">
        <f aca="false">IF($A3391="","",IF(Setup!$B$6=1,YEAR($A3391),YEAR($A3391)+IF(MONTH($A3391)&gt;=Setup!$B$6,1,0)))</f>
        <v/>
      </c>
      <c r="K3391" s="35" t="str">
        <f aca="false">IF($A3391="","",MOD(MONTH($A3391)-Setup!$B$6+12,12)+1)</f>
        <v/>
      </c>
      <c r="L3391" s="36" t="str">
        <f aca="false">IF($A3391="","",TEXT($A3391,"MMM-YY"))</f>
        <v/>
      </c>
      <c r="M3391" s="37" t="str">
        <f aca="false">IF($A3391="","",IF($Q3391=0,"UNMAPPED",INDEX(COA_Mapping!$C$7:$C$256,$Q3391)))</f>
        <v/>
      </c>
      <c r="N3391" s="38" t="str">
        <f aca="false">IF($A3391="","",IF($Q3391=0,"",INDEX(COA_Mapping!$E$7:$E$256,$Q3391)))</f>
        <v/>
      </c>
      <c r="O3391" s="38" t="n">
        <f aca="false">IF($A3391="",1,IF($Q3391=0,1,INDEX(COA_Mapping!$F$7:$F$256,$Q3391)))</f>
        <v>1</v>
      </c>
      <c r="P3391" s="34" t="str">
        <f aca="false">IF($A3391="","",$I3391*$O3391)</f>
        <v/>
      </c>
      <c r="Q3391" s="39" t="n">
        <f aca="false">IF($B3391="",0,IFERROR(MATCH($B3391,COA_Mapping!$A$7:$A$256,0),0))</f>
        <v>0</v>
      </c>
      <c r="R3391" s="39" t="n">
        <f aca="false">IF($A3391="",-1,IF($J3391=Setup!$B$7,1,IF($J3391=Setup!$B$9,0,-1)))</f>
        <v>-1</v>
      </c>
      <c r="S3391" s="35" t="n">
        <f aca="false">IF(OR($A3391="",$Q3391=0,$R3391=-1),0,$Q3391*1000+$R3391*100+$K3391)</f>
        <v>0</v>
      </c>
      <c r="T3391" s="37" t="str">
        <f aca="false">IF($A3391="","",IF($B3391="","NO ACCOUNT",IF($Q3391=0,"UNMAPPED",IF($R3391=-1,"OUTSIDE FY RANGE","OK"))))</f>
        <v/>
      </c>
      <c r="U3391" s="40" t="str">
        <f aca="false">IF($A3391="","",$B3391&amp;"|"&amp;TEXT($A3391,"yyyymmdd")&amp;"|"&amp;TEXT($I3391,"0.00"))</f>
        <v/>
      </c>
      <c r="V3391" s="35" t="str">
        <f aca="false">IF($A3391="","",COUNTIF($U$8:$U$5007,$U3391))</f>
        <v/>
      </c>
    </row>
    <row r="3392" customFormat="false" ht="15" hidden="false" customHeight="false" outlineLevel="0" collapsed="false">
      <c r="A3392" s="31"/>
      <c r="B3392" s="32"/>
      <c r="C3392" s="32"/>
      <c r="D3392" s="32"/>
      <c r="E3392" s="32"/>
      <c r="F3392" s="32"/>
      <c r="G3392" s="33"/>
      <c r="H3392" s="33"/>
      <c r="I3392" s="34" t="str">
        <f aca="false">IF($A3392="","",$G3392-$H3392)</f>
        <v/>
      </c>
      <c r="J3392" s="35" t="str">
        <f aca="false">IF($A3392="","",IF(Setup!$B$6=1,YEAR($A3392),YEAR($A3392)+IF(MONTH($A3392)&gt;=Setup!$B$6,1,0)))</f>
        <v/>
      </c>
      <c r="K3392" s="35" t="str">
        <f aca="false">IF($A3392="","",MOD(MONTH($A3392)-Setup!$B$6+12,12)+1)</f>
        <v/>
      </c>
      <c r="L3392" s="36" t="str">
        <f aca="false">IF($A3392="","",TEXT($A3392,"MMM-YY"))</f>
        <v/>
      </c>
      <c r="M3392" s="37" t="str">
        <f aca="false">IF($A3392="","",IF($Q3392=0,"UNMAPPED",INDEX(COA_Mapping!$C$7:$C$256,$Q3392)))</f>
        <v/>
      </c>
      <c r="N3392" s="38" t="str">
        <f aca="false">IF($A3392="","",IF($Q3392=0,"",INDEX(COA_Mapping!$E$7:$E$256,$Q3392)))</f>
        <v/>
      </c>
      <c r="O3392" s="38" t="n">
        <f aca="false">IF($A3392="",1,IF($Q3392=0,1,INDEX(COA_Mapping!$F$7:$F$256,$Q3392)))</f>
        <v>1</v>
      </c>
      <c r="P3392" s="34" t="str">
        <f aca="false">IF($A3392="","",$I3392*$O3392)</f>
        <v/>
      </c>
      <c r="Q3392" s="39" t="n">
        <f aca="false">IF($B3392="",0,IFERROR(MATCH($B3392,COA_Mapping!$A$7:$A$256,0),0))</f>
        <v>0</v>
      </c>
      <c r="R3392" s="39" t="n">
        <f aca="false">IF($A3392="",-1,IF($J3392=Setup!$B$7,1,IF($J3392=Setup!$B$9,0,-1)))</f>
        <v>-1</v>
      </c>
      <c r="S3392" s="35" t="n">
        <f aca="false">IF(OR($A3392="",$Q3392=0,$R3392=-1),0,$Q3392*1000+$R3392*100+$K3392)</f>
        <v>0</v>
      </c>
      <c r="T3392" s="37" t="str">
        <f aca="false">IF($A3392="","",IF($B3392="","NO ACCOUNT",IF($Q3392=0,"UNMAPPED",IF($R3392=-1,"OUTSIDE FY RANGE","OK"))))</f>
        <v/>
      </c>
      <c r="U3392" s="40" t="str">
        <f aca="false">IF($A3392="","",$B3392&amp;"|"&amp;TEXT($A3392,"yyyymmdd")&amp;"|"&amp;TEXT($I3392,"0.00"))</f>
        <v/>
      </c>
      <c r="V3392" s="35" t="str">
        <f aca="false">IF($A3392="","",COUNTIF($U$8:$U$5007,$U3392))</f>
        <v/>
      </c>
    </row>
    <row r="3393" customFormat="false" ht="15" hidden="false" customHeight="false" outlineLevel="0" collapsed="false">
      <c r="A3393" s="31"/>
      <c r="B3393" s="32"/>
      <c r="C3393" s="32"/>
      <c r="D3393" s="32"/>
      <c r="E3393" s="32"/>
      <c r="F3393" s="32"/>
      <c r="G3393" s="33"/>
      <c r="H3393" s="33"/>
      <c r="I3393" s="34" t="str">
        <f aca="false">IF($A3393="","",$G3393-$H3393)</f>
        <v/>
      </c>
      <c r="J3393" s="35" t="str">
        <f aca="false">IF($A3393="","",IF(Setup!$B$6=1,YEAR($A3393),YEAR($A3393)+IF(MONTH($A3393)&gt;=Setup!$B$6,1,0)))</f>
        <v/>
      </c>
      <c r="K3393" s="35" t="str">
        <f aca="false">IF($A3393="","",MOD(MONTH($A3393)-Setup!$B$6+12,12)+1)</f>
        <v/>
      </c>
      <c r="L3393" s="36" t="str">
        <f aca="false">IF($A3393="","",TEXT($A3393,"MMM-YY"))</f>
        <v/>
      </c>
      <c r="M3393" s="37" t="str">
        <f aca="false">IF($A3393="","",IF($Q3393=0,"UNMAPPED",INDEX(COA_Mapping!$C$7:$C$256,$Q3393)))</f>
        <v/>
      </c>
      <c r="N3393" s="38" t="str">
        <f aca="false">IF($A3393="","",IF($Q3393=0,"",INDEX(COA_Mapping!$E$7:$E$256,$Q3393)))</f>
        <v/>
      </c>
      <c r="O3393" s="38" t="n">
        <f aca="false">IF($A3393="",1,IF($Q3393=0,1,INDEX(COA_Mapping!$F$7:$F$256,$Q3393)))</f>
        <v>1</v>
      </c>
      <c r="P3393" s="34" t="str">
        <f aca="false">IF($A3393="","",$I3393*$O3393)</f>
        <v/>
      </c>
      <c r="Q3393" s="39" t="n">
        <f aca="false">IF($B3393="",0,IFERROR(MATCH($B3393,COA_Mapping!$A$7:$A$256,0),0))</f>
        <v>0</v>
      </c>
      <c r="R3393" s="39" t="n">
        <f aca="false">IF($A3393="",-1,IF($J3393=Setup!$B$7,1,IF($J3393=Setup!$B$9,0,-1)))</f>
        <v>-1</v>
      </c>
      <c r="S3393" s="35" t="n">
        <f aca="false">IF(OR($A3393="",$Q3393=0,$R3393=-1),0,$Q3393*1000+$R3393*100+$K3393)</f>
        <v>0</v>
      </c>
      <c r="T3393" s="37" t="str">
        <f aca="false">IF($A3393="","",IF($B3393="","NO ACCOUNT",IF($Q3393=0,"UNMAPPED",IF($R3393=-1,"OUTSIDE FY RANGE","OK"))))</f>
        <v/>
      </c>
      <c r="U3393" s="40" t="str">
        <f aca="false">IF($A3393="","",$B3393&amp;"|"&amp;TEXT($A3393,"yyyymmdd")&amp;"|"&amp;TEXT($I3393,"0.00"))</f>
        <v/>
      </c>
      <c r="V3393" s="35" t="str">
        <f aca="false">IF($A3393="","",COUNTIF($U$8:$U$5007,$U3393))</f>
        <v/>
      </c>
    </row>
    <row r="3394" customFormat="false" ht="15" hidden="false" customHeight="false" outlineLevel="0" collapsed="false">
      <c r="A3394" s="31"/>
      <c r="B3394" s="32"/>
      <c r="C3394" s="32"/>
      <c r="D3394" s="32"/>
      <c r="E3394" s="32"/>
      <c r="F3394" s="32"/>
      <c r="G3394" s="33"/>
      <c r="H3394" s="33"/>
      <c r="I3394" s="34" t="str">
        <f aca="false">IF($A3394="","",$G3394-$H3394)</f>
        <v/>
      </c>
      <c r="J3394" s="35" t="str">
        <f aca="false">IF($A3394="","",IF(Setup!$B$6=1,YEAR($A3394),YEAR($A3394)+IF(MONTH($A3394)&gt;=Setup!$B$6,1,0)))</f>
        <v/>
      </c>
      <c r="K3394" s="35" t="str">
        <f aca="false">IF($A3394="","",MOD(MONTH($A3394)-Setup!$B$6+12,12)+1)</f>
        <v/>
      </c>
      <c r="L3394" s="36" t="str">
        <f aca="false">IF($A3394="","",TEXT($A3394,"MMM-YY"))</f>
        <v/>
      </c>
      <c r="M3394" s="37" t="str">
        <f aca="false">IF($A3394="","",IF($Q3394=0,"UNMAPPED",INDEX(COA_Mapping!$C$7:$C$256,$Q3394)))</f>
        <v/>
      </c>
      <c r="N3394" s="38" t="str">
        <f aca="false">IF($A3394="","",IF($Q3394=0,"",INDEX(COA_Mapping!$E$7:$E$256,$Q3394)))</f>
        <v/>
      </c>
      <c r="O3394" s="38" t="n">
        <f aca="false">IF($A3394="",1,IF($Q3394=0,1,INDEX(COA_Mapping!$F$7:$F$256,$Q3394)))</f>
        <v>1</v>
      </c>
      <c r="P3394" s="34" t="str">
        <f aca="false">IF($A3394="","",$I3394*$O3394)</f>
        <v/>
      </c>
      <c r="Q3394" s="39" t="n">
        <f aca="false">IF($B3394="",0,IFERROR(MATCH($B3394,COA_Mapping!$A$7:$A$256,0),0))</f>
        <v>0</v>
      </c>
      <c r="R3394" s="39" t="n">
        <f aca="false">IF($A3394="",-1,IF($J3394=Setup!$B$7,1,IF($J3394=Setup!$B$9,0,-1)))</f>
        <v>-1</v>
      </c>
      <c r="S3394" s="35" t="n">
        <f aca="false">IF(OR($A3394="",$Q3394=0,$R3394=-1),0,$Q3394*1000+$R3394*100+$K3394)</f>
        <v>0</v>
      </c>
      <c r="T3394" s="37" t="str">
        <f aca="false">IF($A3394="","",IF($B3394="","NO ACCOUNT",IF($Q3394=0,"UNMAPPED",IF($R3394=-1,"OUTSIDE FY RANGE","OK"))))</f>
        <v/>
      </c>
      <c r="U3394" s="40" t="str">
        <f aca="false">IF($A3394="","",$B3394&amp;"|"&amp;TEXT($A3394,"yyyymmdd")&amp;"|"&amp;TEXT($I3394,"0.00"))</f>
        <v/>
      </c>
      <c r="V3394" s="35" t="str">
        <f aca="false">IF($A3394="","",COUNTIF($U$8:$U$5007,$U3394))</f>
        <v/>
      </c>
    </row>
    <row r="3395" customFormat="false" ht="15" hidden="false" customHeight="false" outlineLevel="0" collapsed="false">
      <c r="A3395" s="31"/>
      <c r="B3395" s="32"/>
      <c r="C3395" s="32"/>
      <c r="D3395" s="32"/>
      <c r="E3395" s="32"/>
      <c r="F3395" s="32"/>
      <c r="G3395" s="33"/>
      <c r="H3395" s="33"/>
      <c r="I3395" s="34" t="str">
        <f aca="false">IF($A3395="","",$G3395-$H3395)</f>
        <v/>
      </c>
      <c r="J3395" s="35" t="str">
        <f aca="false">IF($A3395="","",IF(Setup!$B$6=1,YEAR($A3395),YEAR($A3395)+IF(MONTH($A3395)&gt;=Setup!$B$6,1,0)))</f>
        <v/>
      </c>
      <c r="K3395" s="35" t="str">
        <f aca="false">IF($A3395="","",MOD(MONTH($A3395)-Setup!$B$6+12,12)+1)</f>
        <v/>
      </c>
      <c r="L3395" s="36" t="str">
        <f aca="false">IF($A3395="","",TEXT($A3395,"MMM-YY"))</f>
        <v/>
      </c>
      <c r="M3395" s="37" t="str">
        <f aca="false">IF($A3395="","",IF($Q3395=0,"UNMAPPED",INDEX(COA_Mapping!$C$7:$C$256,$Q3395)))</f>
        <v/>
      </c>
      <c r="N3395" s="38" t="str">
        <f aca="false">IF($A3395="","",IF($Q3395=0,"",INDEX(COA_Mapping!$E$7:$E$256,$Q3395)))</f>
        <v/>
      </c>
      <c r="O3395" s="38" t="n">
        <f aca="false">IF($A3395="",1,IF($Q3395=0,1,INDEX(COA_Mapping!$F$7:$F$256,$Q3395)))</f>
        <v>1</v>
      </c>
      <c r="P3395" s="34" t="str">
        <f aca="false">IF($A3395="","",$I3395*$O3395)</f>
        <v/>
      </c>
      <c r="Q3395" s="39" t="n">
        <f aca="false">IF($B3395="",0,IFERROR(MATCH($B3395,COA_Mapping!$A$7:$A$256,0),0))</f>
        <v>0</v>
      </c>
      <c r="R3395" s="39" t="n">
        <f aca="false">IF($A3395="",-1,IF($J3395=Setup!$B$7,1,IF($J3395=Setup!$B$9,0,-1)))</f>
        <v>-1</v>
      </c>
      <c r="S3395" s="35" t="n">
        <f aca="false">IF(OR($A3395="",$Q3395=0,$R3395=-1),0,$Q3395*1000+$R3395*100+$K3395)</f>
        <v>0</v>
      </c>
      <c r="T3395" s="37" t="str">
        <f aca="false">IF($A3395="","",IF($B3395="","NO ACCOUNT",IF($Q3395=0,"UNMAPPED",IF($R3395=-1,"OUTSIDE FY RANGE","OK"))))</f>
        <v/>
      </c>
      <c r="U3395" s="40" t="str">
        <f aca="false">IF($A3395="","",$B3395&amp;"|"&amp;TEXT($A3395,"yyyymmdd")&amp;"|"&amp;TEXT($I3395,"0.00"))</f>
        <v/>
      </c>
      <c r="V3395" s="35" t="str">
        <f aca="false">IF($A3395="","",COUNTIF($U$8:$U$5007,$U3395))</f>
        <v/>
      </c>
    </row>
    <row r="3396" customFormat="false" ht="15" hidden="false" customHeight="false" outlineLevel="0" collapsed="false">
      <c r="A3396" s="31"/>
      <c r="B3396" s="32"/>
      <c r="C3396" s="32"/>
      <c r="D3396" s="32"/>
      <c r="E3396" s="32"/>
      <c r="F3396" s="32"/>
      <c r="G3396" s="33"/>
      <c r="H3396" s="33"/>
      <c r="I3396" s="34" t="str">
        <f aca="false">IF($A3396="","",$G3396-$H3396)</f>
        <v/>
      </c>
      <c r="J3396" s="35" t="str">
        <f aca="false">IF($A3396="","",IF(Setup!$B$6=1,YEAR($A3396),YEAR($A3396)+IF(MONTH($A3396)&gt;=Setup!$B$6,1,0)))</f>
        <v/>
      </c>
      <c r="K3396" s="35" t="str">
        <f aca="false">IF($A3396="","",MOD(MONTH($A3396)-Setup!$B$6+12,12)+1)</f>
        <v/>
      </c>
      <c r="L3396" s="36" t="str">
        <f aca="false">IF($A3396="","",TEXT($A3396,"MMM-YY"))</f>
        <v/>
      </c>
      <c r="M3396" s="37" t="str">
        <f aca="false">IF($A3396="","",IF($Q3396=0,"UNMAPPED",INDEX(COA_Mapping!$C$7:$C$256,$Q3396)))</f>
        <v/>
      </c>
      <c r="N3396" s="38" t="str">
        <f aca="false">IF($A3396="","",IF($Q3396=0,"",INDEX(COA_Mapping!$E$7:$E$256,$Q3396)))</f>
        <v/>
      </c>
      <c r="O3396" s="38" t="n">
        <f aca="false">IF($A3396="",1,IF($Q3396=0,1,INDEX(COA_Mapping!$F$7:$F$256,$Q3396)))</f>
        <v>1</v>
      </c>
      <c r="P3396" s="34" t="str">
        <f aca="false">IF($A3396="","",$I3396*$O3396)</f>
        <v/>
      </c>
      <c r="Q3396" s="39" t="n">
        <f aca="false">IF($B3396="",0,IFERROR(MATCH($B3396,COA_Mapping!$A$7:$A$256,0),0))</f>
        <v>0</v>
      </c>
      <c r="R3396" s="39" t="n">
        <f aca="false">IF($A3396="",-1,IF($J3396=Setup!$B$7,1,IF($J3396=Setup!$B$9,0,-1)))</f>
        <v>-1</v>
      </c>
      <c r="S3396" s="35" t="n">
        <f aca="false">IF(OR($A3396="",$Q3396=0,$R3396=-1),0,$Q3396*1000+$R3396*100+$K3396)</f>
        <v>0</v>
      </c>
      <c r="T3396" s="37" t="str">
        <f aca="false">IF($A3396="","",IF($B3396="","NO ACCOUNT",IF($Q3396=0,"UNMAPPED",IF($R3396=-1,"OUTSIDE FY RANGE","OK"))))</f>
        <v/>
      </c>
      <c r="U3396" s="40" t="str">
        <f aca="false">IF($A3396="","",$B3396&amp;"|"&amp;TEXT($A3396,"yyyymmdd")&amp;"|"&amp;TEXT($I3396,"0.00"))</f>
        <v/>
      </c>
      <c r="V3396" s="35" t="str">
        <f aca="false">IF($A3396="","",COUNTIF($U$8:$U$5007,$U3396))</f>
        <v/>
      </c>
    </row>
    <row r="3397" customFormat="false" ht="15" hidden="false" customHeight="false" outlineLevel="0" collapsed="false">
      <c r="A3397" s="31"/>
      <c r="B3397" s="32"/>
      <c r="C3397" s="32"/>
      <c r="D3397" s="32"/>
      <c r="E3397" s="32"/>
      <c r="F3397" s="32"/>
      <c r="G3397" s="33"/>
      <c r="H3397" s="33"/>
      <c r="I3397" s="34" t="str">
        <f aca="false">IF($A3397="","",$G3397-$H3397)</f>
        <v/>
      </c>
      <c r="J3397" s="35" t="str">
        <f aca="false">IF($A3397="","",IF(Setup!$B$6=1,YEAR($A3397),YEAR($A3397)+IF(MONTH($A3397)&gt;=Setup!$B$6,1,0)))</f>
        <v/>
      </c>
      <c r="K3397" s="35" t="str">
        <f aca="false">IF($A3397="","",MOD(MONTH($A3397)-Setup!$B$6+12,12)+1)</f>
        <v/>
      </c>
      <c r="L3397" s="36" t="str">
        <f aca="false">IF($A3397="","",TEXT($A3397,"MMM-YY"))</f>
        <v/>
      </c>
      <c r="M3397" s="37" t="str">
        <f aca="false">IF($A3397="","",IF($Q3397=0,"UNMAPPED",INDEX(COA_Mapping!$C$7:$C$256,$Q3397)))</f>
        <v/>
      </c>
      <c r="N3397" s="38" t="str">
        <f aca="false">IF($A3397="","",IF($Q3397=0,"",INDEX(COA_Mapping!$E$7:$E$256,$Q3397)))</f>
        <v/>
      </c>
      <c r="O3397" s="38" t="n">
        <f aca="false">IF($A3397="",1,IF($Q3397=0,1,INDEX(COA_Mapping!$F$7:$F$256,$Q3397)))</f>
        <v>1</v>
      </c>
      <c r="P3397" s="34" t="str">
        <f aca="false">IF($A3397="","",$I3397*$O3397)</f>
        <v/>
      </c>
      <c r="Q3397" s="39" t="n">
        <f aca="false">IF($B3397="",0,IFERROR(MATCH($B3397,COA_Mapping!$A$7:$A$256,0),0))</f>
        <v>0</v>
      </c>
      <c r="R3397" s="39" t="n">
        <f aca="false">IF($A3397="",-1,IF($J3397=Setup!$B$7,1,IF($J3397=Setup!$B$9,0,-1)))</f>
        <v>-1</v>
      </c>
      <c r="S3397" s="35" t="n">
        <f aca="false">IF(OR($A3397="",$Q3397=0,$R3397=-1),0,$Q3397*1000+$R3397*100+$K3397)</f>
        <v>0</v>
      </c>
      <c r="T3397" s="37" t="str">
        <f aca="false">IF($A3397="","",IF($B3397="","NO ACCOUNT",IF($Q3397=0,"UNMAPPED",IF($R3397=-1,"OUTSIDE FY RANGE","OK"))))</f>
        <v/>
      </c>
      <c r="U3397" s="40" t="str">
        <f aca="false">IF($A3397="","",$B3397&amp;"|"&amp;TEXT($A3397,"yyyymmdd")&amp;"|"&amp;TEXT($I3397,"0.00"))</f>
        <v/>
      </c>
      <c r="V3397" s="35" t="str">
        <f aca="false">IF($A3397="","",COUNTIF($U$8:$U$5007,$U3397))</f>
        <v/>
      </c>
    </row>
    <row r="3398" customFormat="false" ht="15" hidden="false" customHeight="false" outlineLevel="0" collapsed="false">
      <c r="A3398" s="31"/>
      <c r="B3398" s="32"/>
      <c r="C3398" s="32"/>
      <c r="D3398" s="32"/>
      <c r="E3398" s="32"/>
      <c r="F3398" s="32"/>
      <c r="G3398" s="33"/>
      <c r="H3398" s="33"/>
      <c r="I3398" s="34" t="str">
        <f aca="false">IF($A3398="","",$G3398-$H3398)</f>
        <v/>
      </c>
      <c r="J3398" s="35" t="str">
        <f aca="false">IF($A3398="","",IF(Setup!$B$6=1,YEAR($A3398),YEAR($A3398)+IF(MONTH($A3398)&gt;=Setup!$B$6,1,0)))</f>
        <v/>
      </c>
      <c r="K3398" s="35" t="str">
        <f aca="false">IF($A3398="","",MOD(MONTH($A3398)-Setup!$B$6+12,12)+1)</f>
        <v/>
      </c>
      <c r="L3398" s="36" t="str">
        <f aca="false">IF($A3398="","",TEXT($A3398,"MMM-YY"))</f>
        <v/>
      </c>
      <c r="M3398" s="37" t="str">
        <f aca="false">IF($A3398="","",IF($Q3398=0,"UNMAPPED",INDEX(COA_Mapping!$C$7:$C$256,$Q3398)))</f>
        <v/>
      </c>
      <c r="N3398" s="38" t="str">
        <f aca="false">IF($A3398="","",IF($Q3398=0,"",INDEX(COA_Mapping!$E$7:$E$256,$Q3398)))</f>
        <v/>
      </c>
      <c r="O3398" s="38" t="n">
        <f aca="false">IF($A3398="",1,IF($Q3398=0,1,INDEX(COA_Mapping!$F$7:$F$256,$Q3398)))</f>
        <v>1</v>
      </c>
      <c r="P3398" s="34" t="str">
        <f aca="false">IF($A3398="","",$I3398*$O3398)</f>
        <v/>
      </c>
      <c r="Q3398" s="39" t="n">
        <f aca="false">IF($B3398="",0,IFERROR(MATCH($B3398,COA_Mapping!$A$7:$A$256,0),0))</f>
        <v>0</v>
      </c>
      <c r="R3398" s="39" t="n">
        <f aca="false">IF($A3398="",-1,IF($J3398=Setup!$B$7,1,IF($J3398=Setup!$B$9,0,-1)))</f>
        <v>-1</v>
      </c>
      <c r="S3398" s="35" t="n">
        <f aca="false">IF(OR($A3398="",$Q3398=0,$R3398=-1),0,$Q3398*1000+$R3398*100+$K3398)</f>
        <v>0</v>
      </c>
      <c r="T3398" s="37" t="str">
        <f aca="false">IF($A3398="","",IF($B3398="","NO ACCOUNT",IF($Q3398=0,"UNMAPPED",IF($R3398=-1,"OUTSIDE FY RANGE","OK"))))</f>
        <v/>
      </c>
      <c r="U3398" s="40" t="str">
        <f aca="false">IF($A3398="","",$B3398&amp;"|"&amp;TEXT($A3398,"yyyymmdd")&amp;"|"&amp;TEXT($I3398,"0.00"))</f>
        <v/>
      </c>
      <c r="V3398" s="35" t="str">
        <f aca="false">IF($A3398="","",COUNTIF($U$8:$U$5007,$U3398))</f>
        <v/>
      </c>
    </row>
    <row r="3399" customFormat="false" ht="15" hidden="false" customHeight="false" outlineLevel="0" collapsed="false">
      <c r="A3399" s="31"/>
      <c r="B3399" s="32"/>
      <c r="C3399" s="32"/>
      <c r="D3399" s="32"/>
      <c r="E3399" s="32"/>
      <c r="F3399" s="32"/>
      <c r="G3399" s="33"/>
      <c r="H3399" s="33"/>
      <c r="I3399" s="34" t="str">
        <f aca="false">IF($A3399="","",$G3399-$H3399)</f>
        <v/>
      </c>
      <c r="J3399" s="35" t="str">
        <f aca="false">IF($A3399="","",IF(Setup!$B$6=1,YEAR($A3399),YEAR($A3399)+IF(MONTH($A3399)&gt;=Setup!$B$6,1,0)))</f>
        <v/>
      </c>
      <c r="K3399" s="35" t="str">
        <f aca="false">IF($A3399="","",MOD(MONTH($A3399)-Setup!$B$6+12,12)+1)</f>
        <v/>
      </c>
      <c r="L3399" s="36" t="str">
        <f aca="false">IF($A3399="","",TEXT($A3399,"MMM-YY"))</f>
        <v/>
      </c>
      <c r="M3399" s="37" t="str">
        <f aca="false">IF($A3399="","",IF($Q3399=0,"UNMAPPED",INDEX(COA_Mapping!$C$7:$C$256,$Q3399)))</f>
        <v/>
      </c>
      <c r="N3399" s="38" t="str">
        <f aca="false">IF($A3399="","",IF($Q3399=0,"",INDEX(COA_Mapping!$E$7:$E$256,$Q3399)))</f>
        <v/>
      </c>
      <c r="O3399" s="38" t="n">
        <f aca="false">IF($A3399="",1,IF($Q3399=0,1,INDEX(COA_Mapping!$F$7:$F$256,$Q3399)))</f>
        <v>1</v>
      </c>
      <c r="P3399" s="34" t="str">
        <f aca="false">IF($A3399="","",$I3399*$O3399)</f>
        <v/>
      </c>
      <c r="Q3399" s="39" t="n">
        <f aca="false">IF($B3399="",0,IFERROR(MATCH($B3399,COA_Mapping!$A$7:$A$256,0),0))</f>
        <v>0</v>
      </c>
      <c r="R3399" s="39" t="n">
        <f aca="false">IF($A3399="",-1,IF($J3399=Setup!$B$7,1,IF($J3399=Setup!$B$9,0,-1)))</f>
        <v>-1</v>
      </c>
      <c r="S3399" s="35" t="n">
        <f aca="false">IF(OR($A3399="",$Q3399=0,$R3399=-1),0,$Q3399*1000+$R3399*100+$K3399)</f>
        <v>0</v>
      </c>
      <c r="T3399" s="37" t="str">
        <f aca="false">IF($A3399="","",IF($B3399="","NO ACCOUNT",IF($Q3399=0,"UNMAPPED",IF($R3399=-1,"OUTSIDE FY RANGE","OK"))))</f>
        <v/>
      </c>
      <c r="U3399" s="40" t="str">
        <f aca="false">IF($A3399="","",$B3399&amp;"|"&amp;TEXT($A3399,"yyyymmdd")&amp;"|"&amp;TEXT($I3399,"0.00"))</f>
        <v/>
      </c>
      <c r="V3399" s="35" t="str">
        <f aca="false">IF($A3399="","",COUNTIF($U$8:$U$5007,$U3399))</f>
        <v/>
      </c>
    </row>
    <row r="3400" customFormat="false" ht="15" hidden="false" customHeight="false" outlineLevel="0" collapsed="false">
      <c r="A3400" s="31"/>
      <c r="B3400" s="32"/>
      <c r="C3400" s="32"/>
      <c r="D3400" s="32"/>
      <c r="E3400" s="32"/>
      <c r="F3400" s="32"/>
      <c r="G3400" s="33"/>
      <c r="H3400" s="33"/>
      <c r="I3400" s="34" t="str">
        <f aca="false">IF($A3400="","",$G3400-$H3400)</f>
        <v/>
      </c>
      <c r="J3400" s="35" t="str">
        <f aca="false">IF($A3400="","",IF(Setup!$B$6=1,YEAR($A3400),YEAR($A3400)+IF(MONTH($A3400)&gt;=Setup!$B$6,1,0)))</f>
        <v/>
      </c>
      <c r="K3400" s="35" t="str">
        <f aca="false">IF($A3400="","",MOD(MONTH($A3400)-Setup!$B$6+12,12)+1)</f>
        <v/>
      </c>
      <c r="L3400" s="36" t="str">
        <f aca="false">IF($A3400="","",TEXT($A3400,"MMM-YY"))</f>
        <v/>
      </c>
      <c r="M3400" s="37" t="str">
        <f aca="false">IF($A3400="","",IF($Q3400=0,"UNMAPPED",INDEX(COA_Mapping!$C$7:$C$256,$Q3400)))</f>
        <v/>
      </c>
      <c r="N3400" s="38" t="str">
        <f aca="false">IF($A3400="","",IF($Q3400=0,"",INDEX(COA_Mapping!$E$7:$E$256,$Q3400)))</f>
        <v/>
      </c>
      <c r="O3400" s="38" t="n">
        <f aca="false">IF($A3400="",1,IF($Q3400=0,1,INDEX(COA_Mapping!$F$7:$F$256,$Q3400)))</f>
        <v>1</v>
      </c>
      <c r="P3400" s="34" t="str">
        <f aca="false">IF($A3400="","",$I3400*$O3400)</f>
        <v/>
      </c>
      <c r="Q3400" s="39" t="n">
        <f aca="false">IF($B3400="",0,IFERROR(MATCH($B3400,COA_Mapping!$A$7:$A$256,0),0))</f>
        <v>0</v>
      </c>
      <c r="R3400" s="39" t="n">
        <f aca="false">IF($A3400="",-1,IF($J3400=Setup!$B$7,1,IF($J3400=Setup!$B$9,0,-1)))</f>
        <v>-1</v>
      </c>
      <c r="S3400" s="35" t="n">
        <f aca="false">IF(OR($A3400="",$Q3400=0,$R3400=-1),0,$Q3400*1000+$R3400*100+$K3400)</f>
        <v>0</v>
      </c>
      <c r="T3400" s="37" t="str">
        <f aca="false">IF($A3400="","",IF($B3400="","NO ACCOUNT",IF($Q3400=0,"UNMAPPED",IF($R3400=-1,"OUTSIDE FY RANGE","OK"))))</f>
        <v/>
      </c>
      <c r="U3400" s="40" t="str">
        <f aca="false">IF($A3400="","",$B3400&amp;"|"&amp;TEXT($A3400,"yyyymmdd")&amp;"|"&amp;TEXT($I3400,"0.00"))</f>
        <v/>
      </c>
      <c r="V3400" s="35" t="str">
        <f aca="false">IF($A3400="","",COUNTIF($U$8:$U$5007,$U3400))</f>
        <v/>
      </c>
    </row>
    <row r="3401" customFormat="false" ht="15" hidden="false" customHeight="false" outlineLevel="0" collapsed="false">
      <c r="A3401" s="31"/>
      <c r="B3401" s="32"/>
      <c r="C3401" s="32"/>
      <c r="D3401" s="32"/>
      <c r="E3401" s="32"/>
      <c r="F3401" s="32"/>
      <c r="G3401" s="33"/>
      <c r="H3401" s="33"/>
      <c r="I3401" s="34" t="str">
        <f aca="false">IF($A3401="","",$G3401-$H3401)</f>
        <v/>
      </c>
      <c r="J3401" s="35" t="str">
        <f aca="false">IF($A3401="","",IF(Setup!$B$6=1,YEAR($A3401),YEAR($A3401)+IF(MONTH($A3401)&gt;=Setup!$B$6,1,0)))</f>
        <v/>
      </c>
      <c r="K3401" s="35" t="str">
        <f aca="false">IF($A3401="","",MOD(MONTH($A3401)-Setup!$B$6+12,12)+1)</f>
        <v/>
      </c>
      <c r="L3401" s="36" t="str">
        <f aca="false">IF($A3401="","",TEXT($A3401,"MMM-YY"))</f>
        <v/>
      </c>
      <c r="M3401" s="37" t="str">
        <f aca="false">IF($A3401="","",IF($Q3401=0,"UNMAPPED",INDEX(COA_Mapping!$C$7:$C$256,$Q3401)))</f>
        <v/>
      </c>
      <c r="N3401" s="38" t="str">
        <f aca="false">IF($A3401="","",IF($Q3401=0,"",INDEX(COA_Mapping!$E$7:$E$256,$Q3401)))</f>
        <v/>
      </c>
      <c r="O3401" s="38" t="n">
        <f aca="false">IF($A3401="",1,IF($Q3401=0,1,INDEX(COA_Mapping!$F$7:$F$256,$Q3401)))</f>
        <v>1</v>
      </c>
      <c r="P3401" s="34" t="str">
        <f aca="false">IF($A3401="","",$I3401*$O3401)</f>
        <v/>
      </c>
      <c r="Q3401" s="39" t="n">
        <f aca="false">IF($B3401="",0,IFERROR(MATCH($B3401,COA_Mapping!$A$7:$A$256,0),0))</f>
        <v>0</v>
      </c>
      <c r="R3401" s="39" t="n">
        <f aca="false">IF($A3401="",-1,IF($J3401=Setup!$B$7,1,IF($J3401=Setup!$B$9,0,-1)))</f>
        <v>-1</v>
      </c>
      <c r="S3401" s="35" t="n">
        <f aca="false">IF(OR($A3401="",$Q3401=0,$R3401=-1),0,$Q3401*1000+$R3401*100+$K3401)</f>
        <v>0</v>
      </c>
      <c r="T3401" s="37" t="str">
        <f aca="false">IF($A3401="","",IF($B3401="","NO ACCOUNT",IF($Q3401=0,"UNMAPPED",IF($R3401=-1,"OUTSIDE FY RANGE","OK"))))</f>
        <v/>
      </c>
      <c r="U3401" s="40" t="str">
        <f aca="false">IF($A3401="","",$B3401&amp;"|"&amp;TEXT($A3401,"yyyymmdd")&amp;"|"&amp;TEXT($I3401,"0.00"))</f>
        <v/>
      </c>
      <c r="V3401" s="35" t="str">
        <f aca="false">IF($A3401="","",COUNTIF($U$8:$U$5007,$U3401))</f>
        <v/>
      </c>
    </row>
    <row r="3402" customFormat="false" ht="15" hidden="false" customHeight="false" outlineLevel="0" collapsed="false">
      <c r="A3402" s="31"/>
      <c r="B3402" s="32"/>
      <c r="C3402" s="32"/>
      <c r="D3402" s="32"/>
      <c r="E3402" s="32"/>
      <c r="F3402" s="32"/>
      <c r="G3402" s="33"/>
      <c r="H3402" s="33"/>
      <c r="I3402" s="34" t="str">
        <f aca="false">IF($A3402="","",$G3402-$H3402)</f>
        <v/>
      </c>
      <c r="J3402" s="35" t="str">
        <f aca="false">IF($A3402="","",IF(Setup!$B$6=1,YEAR($A3402),YEAR($A3402)+IF(MONTH($A3402)&gt;=Setup!$B$6,1,0)))</f>
        <v/>
      </c>
      <c r="K3402" s="35" t="str">
        <f aca="false">IF($A3402="","",MOD(MONTH($A3402)-Setup!$B$6+12,12)+1)</f>
        <v/>
      </c>
      <c r="L3402" s="36" t="str">
        <f aca="false">IF($A3402="","",TEXT($A3402,"MMM-YY"))</f>
        <v/>
      </c>
      <c r="M3402" s="37" t="str">
        <f aca="false">IF($A3402="","",IF($Q3402=0,"UNMAPPED",INDEX(COA_Mapping!$C$7:$C$256,$Q3402)))</f>
        <v/>
      </c>
      <c r="N3402" s="38" t="str">
        <f aca="false">IF($A3402="","",IF($Q3402=0,"",INDEX(COA_Mapping!$E$7:$E$256,$Q3402)))</f>
        <v/>
      </c>
      <c r="O3402" s="38" t="n">
        <f aca="false">IF($A3402="",1,IF($Q3402=0,1,INDEX(COA_Mapping!$F$7:$F$256,$Q3402)))</f>
        <v>1</v>
      </c>
      <c r="P3402" s="34" t="str">
        <f aca="false">IF($A3402="","",$I3402*$O3402)</f>
        <v/>
      </c>
      <c r="Q3402" s="39" t="n">
        <f aca="false">IF($B3402="",0,IFERROR(MATCH($B3402,COA_Mapping!$A$7:$A$256,0),0))</f>
        <v>0</v>
      </c>
      <c r="R3402" s="39" t="n">
        <f aca="false">IF($A3402="",-1,IF($J3402=Setup!$B$7,1,IF($J3402=Setup!$B$9,0,-1)))</f>
        <v>-1</v>
      </c>
      <c r="S3402" s="35" t="n">
        <f aca="false">IF(OR($A3402="",$Q3402=0,$R3402=-1),0,$Q3402*1000+$R3402*100+$K3402)</f>
        <v>0</v>
      </c>
      <c r="T3402" s="37" t="str">
        <f aca="false">IF($A3402="","",IF($B3402="","NO ACCOUNT",IF($Q3402=0,"UNMAPPED",IF($R3402=-1,"OUTSIDE FY RANGE","OK"))))</f>
        <v/>
      </c>
      <c r="U3402" s="40" t="str">
        <f aca="false">IF($A3402="","",$B3402&amp;"|"&amp;TEXT($A3402,"yyyymmdd")&amp;"|"&amp;TEXT($I3402,"0.00"))</f>
        <v/>
      </c>
      <c r="V3402" s="35" t="str">
        <f aca="false">IF($A3402="","",COUNTIF($U$8:$U$5007,$U3402))</f>
        <v/>
      </c>
    </row>
    <row r="3403" customFormat="false" ht="15" hidden="false" customHeight="false" outlineLevel="0" collapsed="false">
      <c r="A3403" s="31"/>
      <c r="B3403" s="32"/>
      <c r="C3403" s="32"/>
      <c r="D3403" s="32"/>
      <c r="E3403" s="32"/>
      <c r="F3403" s="32"/>
      <c r="G3403" s="33"/>
      <c r="H3403" s="33"/>
      <c r="I3403" s="34" t="str">
        <f aca="false">IF($A3403="","",$G3403-$H3403)</f>
        <v/>
      </c>
      <c r="J3403" s="35" t="str">
        <f aca="false">IF($A3403="","",IF(Setup!$B$6=1,YEAR($A3403),YEAR($A3403)+IF(MONTH($A3403)&gt;=Setup!$B$6,1,0)))</f>
        <v/>
      </c>
      <c r="K3403" s="35" t="str">
        <f aca="false">IF($A3403="","",MOD(MONTH($A3403)-Setup!$B$6+12,12)+1)</f>
        <v/>
      </c>
      <c r="L3403" s="36" t="str">
        <f aca="false">IF($A3403="","",TEXT($A3403,"MMM-YY"))</f>
        <v/>
      </c>
      <c r="M3403" s="37" t="str">
        <f aca="false">IF($A3403="","",IF($Q3403=0,"UNMAPPED",INDEX(COA_Mapping!$C$7:$C$256,$Q3403)))</f>
        <v/>
      </c>
      <c r="N3403" s="38" t="str">
        <f aca="false">IF($A3403="","",IF($Q3403=0,"",INDEX(COA_Mapping!$E$7:$E$256,$Q3403)))</f>
        <v/>
      </c>
      <c r="O3403" s="38" t="n">
        <f aca="false">IF($A3403="",1,IF($Q3403=0,1,INDEX(COA_Mapping!$F$7:$F$256,$Q3403)))</f>
        <v>1</v>
      </c>
      <c r="P3403" s="34" t="str">
        <f aca="false">IF($A3403="","",$I3403*$O3403)</f>
        <v/>
      </c>
      <c r="Q3403" s="39" t="n">
        <f aca="false">IF($B3403="",0,IFERROR(MATCH($B3403,COA_Mapping!$A$7:$A$256,0),0))</f>
        <v>0</v>
      </c>
      <c r="R3403" s="39" t="n">
        <f aca="false">IF($A3403="",-1,IF($J3403=Setup!$B$7,1,IF($J3403=Setup!$B$9,0,-1)))</f>
        <v>-1</v>
      </c>
      <c r="S3403" s="35" t="n">
        <f aca="false">IF(OR($A3403="",$Q3403=0,$R3403=-1),0,$Q3403*1000+$R3403*100+$K3403)</f>
        <v>0</v>
      </c>
      <c r="T3403" s="37" t="str">
        <f aca="false">IF($A3403="","",IF($B3403="","NO ACCOUNT",IF($Q3403=0,"UNMAPPED",IF($R3403=-1,"OUTSIDE FY RANGE","OK"))))</f>
        <v/>
      </c>
      <c r="U3403" s="40" t="str">
        <f aca="false">IF($A3403="","",$B3403&amp;"|"&amp;TEXT($A3403,"yyyymmdd")&amp;"|"&amp;TEXT($I3403,"0.00"))</f>
        <v/>
      </c>
      <c r="V3403" s="35" t="str">
        <f aca="false">IF($A3403="","",COUNTIF($U$8:$U$5007,$U3403))</f>
        <v/>
      </c>
    </row>
    <row r="3404" customFormat="false" ht="15" hidden="false" customHeight="false" outlineLevel="0" collapsed="false">
      <c r="A3404" s="31"/>
      <c r="B3404" s="32"/>
      <c r="C3404" s="32"/>
      <c r="D3404" s="32"/>
      <c r="E3404" s="32"/>
      <c r="F3404" s="32"/>
      <c r="G3404" s="33"/>
      <c r="H3404" s="33"/>
      <c r="I3404" s="34" t="str">
        <f aca="false">IF($A3404="","",$G3404-$H3404)</f>
        <v/>
      </c>
      <c r="J3404" s="35" t="str">
        <f aca="false">IF($A3404="","",IF(Setup!$B$6=1,YEAR($A3404),YEAR($A3404)+IF(MONTH($A3404)&gt;=Setup!$B$6,1,0)))</f>
        <v/>
      </c>
      <c r="K3404" s="35" t="str">
        <f aca="false">IF($A3404="","",MOD(MONTH($A3404)-Setup!$B$6+12,12)+1)</f>
        <v/>
      </c>
      <c r="L3404" s="36" t="str">
        <f aca="false">IF($A3404="","",TEXT($A3404,"MMM-YY"))</f>
        <v/>
      </c>
      <c r="M3404" s="37" t="str">
        <f aca="false">IF($A3404="","",IF($Q3404=0,"UNMAPPED",INDEX(COA_Mapping!$C$7:$C$256,$Q3404)))</f>
        <v/>
      </c>
      <c r="N3404" s="38" t="str">
        <f aca="false">IF($A3404="","",IF($Q3404=0,"",INDEX(COA_Mapping!$E$7:$E$256,$Q3404)))</f>
        <v/>
      </c>
      <c r="O3404" s="38" t="n">
        <f aca="false">IF($A3404="",1,IF($Q3404=0,1,INDEX(COA_Mapping!$F$7:$F$256,$Q3404)))</f>
        <v>1</v>
      </c>
      <c r="P3404" s="34" t="str">
        <f aca="false">IF($A3404="","",$I3404*$O3404)</f>
        <v/>
      </c>
      <c r="Q3404" s="39" t="n">
        <f aca="false">IF($B3404="",0,IFERROR(MATCH($B3404,COA_Mapping!$A$7:$A$256,0),0))</f>
        <v>0</v>
      </c>
      <c r="R3404" s="39" t="n">
        <f aca="false">IF($A3404="",-1,IF($J3404=Setup!$B$7,1,IF($J3404=Setup!$B$9,0,-1)))</f>
        <v>-1</v>
      </c>
      <c r="S3404" s="35" t="n">
        <f aca="false">IF(OR($A3404="",$Q3404=0,$R3404=-1),0,$Q3404*1000+$R3404*100+$K3404)</f>
        <v>0</v>
      </c>
      <c r="T3404" s="37" t="str">
        <f aca="false">IF($A3404="","",IF($B3404="","NO ACCOUNT",IF($Q3404=0,"UNMAPPED",IF($R3404=-1,"OUTSIDE FY RANGE","OK"))))</f>
        <v/>
      </c>
      <c r="U3404" s="40" t="str">
        <f aca="false">IF($A3404="","",$B3404&amp;"|"&amp;TEXT($A3404,"yyyymmdd")&amp;"|"&amp;TEXT($I3404,"0.00"))</f>
        <v/>
      </c>
      <c r="V3404" s="35" t="str">
        <f aca="false">IF($A3404="","",COUNTIF($U$8:$U$5007,$U3404))</f>
        <v/>
      </c>
    </row>
    <row r="3405" customFormat="false" ht="15" hidden="false" customHeight="false" outlineLevel="0" collapsed="false">
      <c r="A3405" s="31"/>
      <c r="B3405" s="32"/>
      <c r="C3405" s="32"/>
      <c r="D3405" s="32"/>
      <c r="E3405" s="32"/>
      <c r="F3405" s="32"/>
      <c r="G3405" s="33"/>
      <c r="H3405" s="33"/>
      <c r="I3405" s="34" t="str">
        <f aca="false">IF($A3405="","",$G3405-$H3405)</f>
        <v/>
      </c>
      <c r="J3405" s="35" t="str">
        <f aca="false">IF($A3405="","",IF(Setup!$B$6=1,YEAR($A3405),YEAR($A3405)+IF(MONTH($A3405)&gt;=Setup!$B$6,1,0)))</f>
        <v/>
      </c>
      <c r="K3405" s="35" t="str">
        <f aca="false">IF($A3405="","",MOD(MONTH($A3405)-Setup!$B$6+12,12)+1)</f>
        <v/>
      </c>
      <c r="L3405" s="36" t="str">
        <f aca="false">IF($A3405="","",TEXT($A3405,"MMM-YY"))</f>
        <v/>
      </c>
      <c r="M3405" s="37" t="str">
        <f aca="false">IF($A3405="","",IF($Q3405=0,"UNMAPPED",INDEX(COA_Mapping!$C$7:$C$256,$Q3405)))</f>
        <v/>
      </c>
      <c r="N3405" s="38" t="str">
        <f aca="false">IF($A3405="","",IF($Q3405=0,"",INDEX(COA_Mapping!$E$7:$E$256,$Q3405)))</f>
        <v/>
      </c>
      <c r="O3405" s="38" t="n">
        <f aca="false">IF($A3405="",1,IF($Q3405=0,1,INDEX(COA_Mapping!$F$7:$F$256,$Q3405)))</f>
        <v>1</v>
      </c>
      <c r="P3405" s="34" t="str">
        <f aca="false">IF($A3405="","",$I3405*$O3405)</f>
        <v/>
      </c>
      <c r="Q3405" s="39" t="n">
        <f aca="false">IF($B3405="",0,IFERROR(MATCH($B3405,COA_Mapping!$A$7:$A$256,0),0))</f>
        <v>0</v>
      </c>
      <c r="R3405" s="39" t="n">
        <f aca="false">IF($A3405="",-1,IF($J3405=Setup!$B$7,1,IF($J3405=Setup!$B$9,0,-1)))</f>
        <v>-1</v>
      </c>
      <c r="S3405" s="35" t="n">
        <f aca="false">IF(OR($A3405="",$Q3405=0,$R3405=-1),0,$Q3405*1000+$R3405*100+$K3405)</f>
        <v>0</v>
      </c>
      <c r="T3405" s="37" t="str">
        <f aca="false">IF($A3405="","",IF($B3405="","NO ACCOUNT",IF($Q3405=0,"UNMAPPED",IF($R3405=-1,"OUTSIDE FY RANGE","OK"))))</f>
        <v/>
      </c>
      <c r="U3405" s="40" t="str">
        <f aca="false">IF($A3405="","",$B3405&amp;"|"&amp;TEXT($A3405,"yyyymmdd")&amp;"|"&amp;TEXT($I3405,"0.00"))</f>
        <v/>
      </c>
      <c r="V3405" s="35" t="str">
        <f aca="false">IF($A3405="","",COUNTIF($U$8:$U$5007,$U3405))</f>
        <v/>
      </c>
    </row>
    <row r="3406" customFormat="false" ht="15" hidden="false" customHeight="false" outlineLevel="0" collapsed="false">
      <c r="A3406" s="31"/>
      <c r="B3406" s="32"/>
      <c r="C3406" s="32"/>
      <c r="D3406" s="32"/>
      <c r="E3406" s="32"/>
      <c r="F3406" s="32"/>
      <c r="G3406" s="33"/>
      <c r="H3406" s="33"/>
      <c r="I3406" s="34" t="str">
        <f aca="false">IF($A3406="","",$G3406-$H3406)</f>
        <v/>
      </c>
      <c r="J3406" s="35" t="str">
        <f aca="false">IF($A3406="","",IF(Setup!$B$6=1,YEAR($A3406),YEAR($A3406)+IF(MONTH($A3406)&gt;=Setup!$B$6,1,0)))</f>
        <v/>
      </c>
      <c r="K3406" s="35" t="str">
        <f aca="false">IF($A3406="","",MOD(MONTH($A3406)-Setup!$B$6+12,12)+1)</f>
        <v/>
      </c>
      <c r="L3406" s="36" t="str">
        <f aca="false">IF($A3406="","",TEXT($A3406,"MMM-YY"))</f>
        <v/>
      </c>
      <c r="M3406" s="37" t="str">
        <f aca="false">IF($A3406="","",IF($Q3406=0,"UNMAPPED",INDEX(COA_Mapping!$C$7:$C$256,$Q3406)))</f>
        <v/>
      </c>
      <c r="N3406" s="38" t="str">
        <f aca="false">IF($A3406="","",IF($Q3406=0,"",INDEX(COA_Mapping!$E$7:$E$256,$Q3406)))</f>
        <v/>
      </c>
      <c r="O3406" s="38" t="n">
        <f aca="false">IF($A3406="",1,IF($Q3406=0,1,INDEX(COA_Mapping!$F$7:$F$256,$Q3406)))</f>
        <v>1</v>
      </c>
      <c r="P3406" s="34" t="str">
        <f aca="false">IF($A3406="","",$I3406*$O3406)</f>
        <v/>
      </c>
      <c r="Q3406" s="39" t="n">
        <f aca="false">IF($B3406="",0,IFERROR(MATCH($B3406,COA_Mapping!$A$7:$A$256,0),0))</f>
        <v>0</v>
      </c>
      <c r="R3406" s="39" t="n">
        <f aca="false">IF($A3406="",-1,IF($J3406=Setup!$B$7,1,IF($J3406=Setup!$B$9,0,-1)))</f>
        <v>-1</v>
      </c>
      <c r="S3406" s="35" t="n">
        <f aca="false">IF(OR($A3406="",$Q3406=0,$R3406=-1),0,$Q3406*1000+$R3406*100+$K3406)</f>
        <v>0</v>
      </c>
      <c r="T3406" s="37" t="str">
        <f aca="false">IF($A3406="","",IF($B3406="","NO ACCOUNT",IF($Q3406=0,"UNMAPPED",IF($R3406=-1,"OUTSIDE FY RANGE","OK"))))</f>
        <v/>
      </c>
      <c r="U3406" s="40" t="str">
        <f aca="false">IF($A3406="","",$B3406&amp;"|"&amp;TEXT($A3406,"yyyymmdd")&amp;"|"&amp;TEXT($I3406,"0.00"))</f>
        <v/>
      </c>
      <c r="V3406" s="35" t="str">
        <f aca="false">IF($A3406="","",COUNTIF($U$8:$U$5007,$U3406))</f>
        <v/>
      </c>
    </row>
    <row r="3407" customFormat="false" ht="15" hidden="false" customHeight="false" outlineLevel="0" collapsed="false">
      <c r="A3407" s="31"/>
      <c r="B3407" s="32"/>
      <c r="C3407" s="32"/>
      <c r="D3407" s="32"/>
      <c r="E3407" s="32"/>
      <c r="F3407" s="32"/>
      <c r="G3407" s="33"/>
      <c r="H3407" s="33"/>
      <c r="I3407" s="34" t="str">
        <f aca="false">IF($A3407="","",$G3407-$H3407)</f>
        <v/>
      </c>
      <c r="J3407" s="35" t="str">
        <f aca="false">IF($A3407="","",IF(Setup!$B$6=1,YEAR($A3407),YEAR($A3407)+IF(MONTH($A3407)&gt;=Setup!$B$6,1,0)))</f>
        <v/>
      </c>
      <c r="K3407" s="35" t="str">
        <f aca="false">IF($A3407="","",MOD(MONTH($A3407)-Setup!$B$6+12,12)+1)</f>
        <v/>
      </c>
      <c r="L3407" s="36" t="str">
        <f aca="false">IF($A3407="","",TEXT($A3407,"MMM-YY"))</f>
        <v/>
      </c>
      <c r="M3407" s="37" t="str">
        <f aca="false">IF($A3407="","",IF($Q3407=0,"UNMAPPED",INDEX(COA_Mapping!$C$7:$C$256,$Q3407)))</f>
        <v/>
      </c>
      <c r="N3407" s="38" t="str">
        <f aca="false">IF($A3407="","",IF($Q3407=0,"",INDEX(COA_Mapping!$E$7:$E$256,$Q3407)))</f>
        <v/>
      </c>
      <c r="O3407" s="38" t="n">
        <f aca="false">IF($A3407="",1,IF($Q3407=0,1,INDEX(COA_Mapping!$F$7:$F$256,$Q3407)))</f>
        <v>1</v>
      </c>
      <c r="P3407" s="34" t="str">
        <f aca="false">IF($A3407="","",$I3407*$O3407)</f>
        <v/>
      </c>
      <c r="Q3407" s="39" t="n">
        <f aca="false">IF($B3407="",0,IFERROR(MATCH($B3407,COA_Mapping!$A$7:$A$256,0),0))</f>
        <v>0</v>
      </c>
      <c r="R3407" s="39" t="n">
        <f aca="false">IF($A3407="",-1,IF($J3407=Setup!$B$7,1,IF($J3407=Setup!$B$9,0,-1)))</f>
        <v>-1</v>
      </c>
      <c r="S3407" s="35" t="n">
        <f aca="false">IF(OR($A3407="",$Q3407=0,$R3407=-1),0,$Q3407*1000+$R3407*100+$K3407)</f>
        <v>0</v>
      </c>
      <c r="T3407" s="37" t="str">
        <f aca="false">IF($A3407="","",IF($B3407="","NO ACCOUNT",IF($Q3407=0,"UNMAPPED",IF($R3407=-1,"OUTSIDE FY RANGE","OK"))))</f>
        <v/>
      </c>
      <c r="U3407" s="40" t="str">
        <f aca="false">IF($A3407="","",$B3407&amp;"|"&amp;TEXT($A3407,"yyyymmdd")&amp;"|"&amp;TEXT($I3407,"0.00"))</f>
        <v/>
      </c>
      <c r="V3407" s="35" t="str">
        <f aca="false">IF($A3407="","",COUNTIF($U$8:$U$5007,$U3407))</f>
        <v/>
      </c>
    </row>
    <row r="3408" customFormat="false" ht="15" hidden="false" customHeight="false" outlineLevel="0" collapsed="false">
      <c r="A3408" s="31"/>
      <c r="B3408" s="32"/>
      <c r="C3408" s="32"/>
      <c r="D3408" s="32"/>
      <c r="E3408" s="32"/>
      <c r="F3408" s="32"/>
      <c r="G3408" s="33"/>
      <c r="H3408" s="33"/>
      <c r="I3408" s="34" t="str">
        <f aca="false">IF($A3408="","",$G3408-$H3408)</f>
        <v/>
      </c>
      <c r="J3408" s="35" t="str">
        <f aca="false">IF($A3408="","",IF(Setup!$B$6=1,YEAR($A3408),YEAR($A3408)+IF(MONTH($A3408)&gt;=Setup!$B$6,1,0)))</f>
        <v/>
      </c>
      <c r="K3408" s="35" t="str">
        <f aca="false">IF($A3408="","",MOD(MONTH($A3408)-Setup!$B$6+12,12)+1)</f>
        <v/>
      </c>
      <c r="L3408" s="36" t="str">
        <f aca="false">IF($A3408="","",TEXT($A3408,"MMM-YY"))</f>
        <v/>
      </c>
      <c r="M3408" s="37" t="str">
        <f aca="false">IF($A3408="","",IF($Q3408=0,"UNMAPPED",INDEX(COA_Mapping!$C$7:$C$256,$Q3408)))</f>
        <v/>
      </c>
      <c r="N3408" s="38" t="str">
        <f aca="false">IF($A3408="","",IF($Q3408=0,"",INDEX(COA_Mapping!$E$7:$E$256,$Q3408)))</f>
        <v/>
      </c>
      <c r="O3408" s="38" t="n">
        <f aca="false">IF($A3408="",1,IF($Q3408=0,1,INDEX(COA_Mapping!$F$7:$F$256,$Q3408)))</f>
        <v>1</v>
      </c>
      <c r="P3408" s="34" t="str">
        <f aca="false">IF($A3408="","",$I3408*$O3408)</f>
        <v/>
      </c>
      <c r="Q3408" s="39" t="n">
        <f aca="false">IF($B3408="",0,IFERROR(MATCH($B3408,COA_Mapping!$A$7:$A$256,0),0))</f>
        <v>0</v>
      </c>
      <c r="R3408" s="39" t="n">
        <f aca="false">IF($A3408="",-1,IF($J3408=Setup!$B$7,1,IF($J3408=Setup!$B$9,0,-1)))</f>
        <v>-1</v>
      </c>
      <c r="S3408" s="35" t="n">
        <f aca="false">IF(OR($A3408="",$Q3408=0,$R3408=-1),0,$Q3408*1000+$R3408*100+$K3408)</f>
        <v>0</v>
      </c>
      <c r="T3408" s="37" t="str">
        <f aca="false">IF($A3408="","",IF($B3408="","NO ACCOUNT",IF($Q3408=0,"UNMAPPED",IF($R3408=-1,"OUTSIDE FY RANGE","OK"))))</f>
        <v/>
      </c>
      <c r="U3408" s="40" t="str">
        <f aca="false">IF($A3408="","",$B3408&amp;"|"&amp;TEXT($A3408,"yyyymmdd")&amp;"|"&amp;TEXT($I3408,"0.00"))</f>
        <v/>
      </c>
      <c r="V3408" s="35" t="str">
        <f aca="false">IF($A3408="","",COUNTIF($U$8:$U$5007,$U3408))</f>
        <v/>
      </c>
    </row>
    <row r="3409" customFormat="false" ht="15" hidden="false" customHeight="false" outlineLevel="0" collapsed="false">
      <c r="A3409" s="31"/>
      <c r="B3409" s="32"/>
      <c r="C3409" s="32"/>
      <c r="D3409" s="32"/>
      <c r="E3409" s="32"/>
      <c r="F3409" s="32"/>
      <c r="G3409" s="33"/>
      <c r="H3409" s="33"/>
      <c r="I3409" s="34" t="str">
        <f aca="false">IF($A3409="","",$G3409-$H3409)</f>
        <v/>
      </c>
      <c r="J3409" s="35" t="str">
        <f aca="false">IF($A3409="","",IF(Setup!$B$6=1,YEAR($A3409),YEAR($A3409)+IF(MONTH($A3409)&gt;=Setup!$B$6,1,0)))</f>
        <v/>
      </c>
      <c r="K3409" s="35" t="str">
        <f aca="false">IF($A3409="","",MOD(MONTH($A3409)-Setup!$B$6+12,12)+1)</f>
        <v/>
      </c>
      <c r="L3409" s="36" t="str">
        <f aca="false">IF($A3409="","",TEXT($A3409,"MMM-YY"))</f>
        <v/>
      </c>
      <c r="M3409" s="37" t="str">
        <f aca="false">IF($A3409="","",IF($Q3409=0,"UNMAPPED",INDEX(COA_Mapping!$C$7:$C$256,$Q3409)))</f>
        <v/>
      </c>
      <c r="N3409" s="38" t="str">
        <f aca="false">IF($A3409="","",IF($Q3409=0,"",INDEX(COA_Mapping!$E$7:$E$256,$Q3409)))</f>
        <v/>
      </c>
      <c r="O3409" s="38" t="n">
        <f aca="false">IF($A3409="",1,IF($Q3409=0,1,INDEX(COA_Mapping!$F$7:$F$256,$Q3409)))</f>
        <v>1</v>
      </c>
      <c r="P3409" s="34" t="str">
        <f aca="false">IF($A3409="","",$I3409*$O3409)</f>
        <v/>
      </c>
      <c r="Q3409" s="39" t="n">
        <f aca="false">IF($B3409="",0,IFERROR(MATCH($B3409,COA_Mapping!$A$7:$A$256,0),0))</f>
        <v>0</v>
      </c>
      <c r="R3409" s="39" t="n">
        <f aca="false">IF($A3409="",-1,IF($J3409=Setup!$B$7,1,IF($J3409=Setup!$B$9,0,-1)))</f>
        <v>-1</v>
      </c>
      <c r="S3409" s="35" t="n">
        <f aca="false">IF(OR($A3409="",$Q3409=0,$R3409=-1),0,$Q3409*1000+$R3409*100+$K3409)</f>
        <v>0</v>
      </c>
      <c r="T3409" s="37" t="str">
        <f aca="false">IF($A3409="","",IF($B3409="","NO ACCOUNT",IF($Q3409=0,"UNMAPPED",IF($R3409=-1,"OUTSIDE FY RANGE","OK"))))</f>
        <v/>
      </c>
      <c r="U3409" s="40" t="str">
        <f aca="false">IF($A3409="","",$B3409&amp;"|"&amp;TEXT($A3409,"yyyymmdd")&amp;"|"&amp;TEXT($I3409,"0.00"))</f>
        <v/>
      </c>
      <c r="V3409" s="35" t="str">
        <f aca="false">IF($A3409="","",COUNTIF($U$8:$U$5007,$U3409))</f>
        <v/>
      </c>
    </row>
    <row r="3410" customFormat="false" ht="15" hidden="false" customHeight="false" outlineLevel="0" collapsed="false">
      <c r="A3410" s="31"/>
      <c r="B3410" s="32"/>
      <c r="C3410" s="32"/>
      <c r="D3410" s="32"/>
      <c r="E3410" s="32"/>
      <c r="F3410" s="32"/>
      <c r="G3410" s="33"/>
      <c r="H3410" s="33"/>
      <c r="I3410" s="34" t="str">
        <f aca="false">IF($A3410="","",$G3410-$H3410)</f>
        <v/>
      </c>
      <c r="J3410" s="35" t="str">
        <f aca="false">IF($A3410="","",IF(Setup!$B$6=1,YEAR($A3410),YEAR($A3410)+IF(MONTH($A3410)&gt;=Setup!$B$6,1,0)))</f>
        <v/>
      </c>
      <c r="K3410" s="35" t="str">
        <f aca="false">IF($A3410="","",MOD(MONTH($A3410)-Setup!$B$6+12,12)+1)</f>
        <v/>
      </c>
      <c r="L3410" s="36" t="str">
        <f aca="false">IF($A3410="","",TEXT($A3410,"MMM-YY"))</f>
        <v/>
      </c>
      <c r="M3410" s="37" t="str">
        <f aca="false">IF($A3410="","",IF($Q3410=0,"UNMAPPED",INDEX(COA_Mapping!$C$7:$C$256,$Q3410)))</f>
        <v/>
      </c>
      <c r="N3410" s="38" t="str">
        <f aca="false">IF($A3410="","",IF($Q3410=0,"",INDEX(COA_Mapping!$E$7:$E$256,$Q3410)))</f>
        <v/>
      </c>
      <c r="O3410" s="38" t="n">
        <f aca="false">IF($A3410="",1,IF($Q3410=0,1,INDEX(COA_Mapping!$F$7:$F$256,$Q3410)))</f>
        <v>1</v>
      </c>
      <c r="P3410" s="34" t="str">
        <f aca="false">IF($A3410="","",$I3410*$O3410)</f>
        <v/>
      </c>
      <c r="Q3410" s="39" t="n">
        <f aca="false">IF($B3410="",0,IFERROR(MATCH($B3410,COA_Mapping!$A$7:$A$256,0),0))</f>
        <v>0</v>
      </c>
      <c r="R3410" s="39" t="n">
        <f aca="false">IF($A3410="",-1,IF($J3410=Setup!$B$7,1,IF($J3410=Setup!$B$9,0,-1)))</f>
        <v>-1</v>
      </c>
      <c r="S3410" s="35" t="n">
        <f aca="false">IF(OR($A3410="",$Q3410=0,$R3410=-1),0,$Q3410*1000+$R3410*100+$K3410)</f>
        <v>0</v>
      </c>
      <c r="T3410" s="37" t="str">
        <f aca="false">IF($A3410="","",IF($B3410="","NO ACCOUNT",IF($Q3410=0,"UNMAPPED",IF($R3410=-1,"OUTSIDE FY RANGE","OK"))))</f>
        <v/>
      </c>
      <c r="U3410" s="40" t="str">
        <f aca="false">IF($A3410="","",$B3410&amp;"|"&amp;TEXT($A3410,"yyyymmdd")&amp;"|"&amp;TEXT($I3410,"0.00"))</f>
        <v/>
      </c>
      <c r="V3410" s="35" t="str">
        <f aca="false">IF($A3410="","",COUNTIF($U$8:$U$5007,$U3410))</f>
        <v/>
      </c>
    </row>
    <row r="3411" customFormat="false" ht="15" hidden="false" customHeight="false" outlineLevel="0" collapsed="false">
      <c r="A3411" s="31"/>
      <c r="B3411" s="32"/>
      <c r="C3411" s="32"/>
      <c r="D3411" s="32"/>
      <c r="E3411" s="32"/>
      <c r="F3411" s="32"/>
      <c r="G3411" s="33"/>
      <c r="H3411" s="33"/>
      <c r="I3411" s="34" t="str">
        <f aca="false">IF($A3411="","",$G3411-$H3411)</f>
        <v/>
      </c>
      <c r="J3411" s="35" t="str">
        <f aca="false">IF($A3411="","",IF(Setup!$B$6=1,YEAR($A3411),YEAR($A3411)+IF(MONTH($A3411)&gt;=Setup!$B$6,1,0)))</f>
        <v/>
      </c>
      <c r="K3411" s="35" t="str">
        <f aca="false">IF($A3411="","",MOD(MONTH($A3411)-Setup!$B$6+12,12)+1)</f>
        <v/>
      </c>
      <c r="L3411" s="36" t="str">
        <f aca="false">IF($A3411="","",TEXT($A3411,"MMM-YY"))</f>
        <v/>
      </c>
      <c r="M3411" s="37" t="str">
        <f aca="false">IF($A3411="","",IF($Q3411=0,"UNMAPPED",INDEX(COA_Mapping!$C$7:$C$256,$Q3411)))</f>
        <v/>
      </c>
      <c r="N3411" s="38" t="str">
        <f aca="false">IF($A3411="","",IF($Q3411=0,"",INDEX(COA_Mapping!$E$7:$E$256,$Q3411)))</f>
        <v/>
      </c>
      <c r="O3411" s="38" t="n">
        <f aca="false">IF($A3411="",1,IF($Q3411=0,1,INDEX(COA_Mapping!$F$7:$F$256,$Q3411)))</f>
        <v>1</v>
      </c>
      <c r="P3411" s="34" t="str">
        <f aca="false">IF($A3411="","",$I3411*$O3411)</f>
        <v/>
      </c>
      <c r="Q3411" s="39" t="n">
        <f aca="false">IF($B3411="",0,IFERROR(MATCH($B3411,COA_Mapping!$A$7:$A$256,0),0))</f>
        <v>0</v>
      </c>
      <c r="R3411" s="39" t="n">
        <f aca="false">IF($A3411="",-1,IF($J3411=Setup!$B$7,1,IF($J3411=Setup!$B$9,0,-1)))</f>
        <v>-1</v>
      </c>
      <c r="S3411" s="35" t="n">
        <f aca="false">IF(OR($A3411="",$Q3411=0,$R3411=-1),0,$Q3411*1000+$R3411*100+$K3411)</f>
        <v>0</v>
      </c>
      <c r="T3411" s="37" t="str">
        <f aca="false">IF($A3411="","",IF($B3411="","NO ACCOUNT",IF($Q3411=0,"UNMAPPED",IF($R3411=-1,"OUTSIDE FY RANGE","OK"))))</f>
        <v/>
      </c>
      <c r="U3411" s="40" t="str">
        <f aca="false">IF($A3411="","",$B3411&amp;"|"&amp;TEXT($A3411,"yyyymmdd")&amp;"|"&amp;TEXT($I3411,"0.00"))</f>
        <v/>
      </c>
      <c r="V3411" s="35" t="str">
        <f aca="false">IF($A3411="","",COUNTIF($U$8:$U$5007,$U3411))</f>
        <v/>
      </c>
    </row>
    <row r="3412" customFormat="false" ht="15" hidden="false" customHeight="false" outlineLevel="0" collapsed="false">
      <c r="A3412" s="31"/>
      <c r="B3412" s="32"/>
      <c r="C3412" s="32"/>
      <c r="D3412" s="32"/>
      <c r="E3412" s="32"/>
      <c r="F3412" s="32"/>
      <c r="G3412" s="33"/>
      <c r="H3412" s="33"/>
      <c r="I3412" s="34" t="str">
        <f aca="false">IF($A3412="","",$G3412-$H3412)</f>
        <v/>
      </c>
      <c r="J3412" s="35" t="str">
        <f aca="false">IF($A3412="","",IF(Setup!$B$6=1,YEAR($A3412),YEAR($A3412)+IF(MONTH($A3412)&gt;=Setup!$B$6,1,0)))</f>
        <v/>
      </c>
      <c r="K3412" s="35" t="str">
        <f aca="false">IF($A3412="","",MOD(MONTH($A3412)-Setup!$B$6+12,12)+1)</f>
        <v/>
      </c>
      <c r="L3412" s="36" t="str">
        <f aca="false">IF($A3412="","",TEXT($A3412,"MMM-YY"))</f>
        <v/>
      </c>
      <c r="M3412" s="37" t="str">
        <f aca="false">IF($A3412="","",IF($Q3412=0,"UNMAPPED",INDEX(COA_Mapping!$C$7:$C$256,$Q3412)))</f>
        <v/>
      </c>
      <c r="N3412" s="38" t="str">
        <f aca="false">IF($A3412="","",IF($Q3412=0,"",INDEX(COA_Mapping!$E$7:$E$256,$Q3412)))</f>
        <v/>
      </c>
      <c r="O3412" s="38" t="n">
        <f aca="false">IF($A3412="",1,IF($Q3412=0,1,INDEX(COA_Mapping!$F$7:$F$256,$Q3412)))</f>
        <v>1</v>
      </c>
      <c r="P3412" s="34" t="str">
        <f aca="false">IF($A3412="","",$I3412*$O3412)</f>
        <v/>
      </c>
      <c r="Q3412" s="39" t="n">
        <f aca="false">IF($B3412="",0,IFERROR(MATCH($B3412,COA_Mapping!$A$7:$A$256,0),0))</f>
        <v>0</v>
      </c>
      <c r="R3412" s="39" t="n">
        <f aca="false">IF($A3412="",-1,IF($J3412=Setup!$B$7,1,IF($J3412=Setup!$B$9,0,-1)))</f>
        <v>-1</v>
      </c>
      <c r="S3412" s="35" t="n">
        <f aca="false">IF(OR($A3412="",$Q3412=0,$R3412=-1),0,$Q3412*1000+$R3412*100+$K3412)</f>
        <v>0</v>
      </c>
      <c r="T3412" s="37" t="str">
        <f aca="false">IF($A3412="","",IF($B3412="","NO ACCOUNT",IF($Q3412=0,"UNMAPPED",IF($R3412=-1,"OUTSIDE FY RANGE","OK"))))</f>
        <v/>
      </c>
      <c r="U3412" s="40" t="str">
        <f aca="false">IF($A3412="","",$B3412&amp;"|"&amp;TEXT($A3412,"yyyymmdd")&amp;"|"&amp;TEXT($I3412,"0.00"))</f>
        <v/>
      </c>
      <c r="V3412" s="35" t="str">
        <f aca="false">IF($A3412="","",COUNTIF($U$8:$U$5007,$U3412))</f>
        <v/>
      </c>
    </row>
    <row r="3413" customFormat="false" ht="15" hidden="false" customHeight="false" outlineLevel="0" collapsed="false">
      <c r="A3413" s="31"/>
      <c r="B3413" s="32"/>
      <c r="C3413" s="32"/>
      <c r="D3413" s="32"/>
      <c r="E3413" s="32"/>
      <c r="F3413" s="32"/>
      <c r="G3413" s="33"/>
      <c r="H3413" s="33"/>
      <c r="I3413" s="34" t="str">
        <f aca="false">IF($A3413="","",$G3413-$H3413)</f>
        <v/>
      </c>
      <c r="J3413" s="35" t="str">
        <f aca="false">IF($A3413="","",IF(Setup!$B$6=1,YEAR($A3413),YEAR($A3413)+IF(MONTH($A3413)&gt;=Setup!$B$6,1,0)))</f>
        <v/>
      </c>
      <c r="K3413" s="35" t="str">
        <f aca="false">IF($A3413="","",MOD(MONTH($A3413)-Setup!$B$6+12,12)+1)</f>
        <v/>
      </c>
      <c r="L3413" s="36" t="str">
        <f aca="false">IF($A3413="","",TEXT($A3413,"MMM-YY"))</f>
        <v/>
      </c>
      <c r="M3413" s="37" t="str">
        <f aca="false">IF($A3413="","",IF($Q3413=0,"UNMAPPED",INDEX(COA_Mapping!$C$7:$C$256,$Q3413)))</f>
        <v/>
      </c>
      <c r="N3413" s="38" t="str">
        <f aca="false">IF($A3413="","",IF($Q3413=0,"",INDEX(COA_Mapping!$E$7:$E$256,$Q3413)))</f>
        <v/>
      </c>
      <c r="O3413" s="38" t="n">
        <f aca="false">IF($A3413="",1,IF($Q3413=0,1,INDEX(COA_Mapping!$F$7:$F$256,$Q3413)))</f>
        <v>1</v>
      </c>
      <c r="P3413" s="34" t="str">
        <f aca="false">IF($A3413="","",$I3413*$O3413)</f>
        <v/>
      </c>
      <c r="Q3413" s="39" t="n">
        <f aca="false">IF($B3413="",0,IFERROR(MATCH($B3413,COA_Mapping!$A$7:$A$256,0),0))</f>
        <v>0</v>
      </c>
      <c r="R3413" s="39" t="n">
        <f aca="false">IF($A3413="",-1,IF($J3413=Setup!$B$7,1,IF($J3413=Setup!$B$9,0,-1)))</f>
        <v>-1</v>
      </c>
      <c r="S3413" s="35" t="n">
        <f aca="false">IF(OR($A3413="",$Q3413=0,$R3413=-1),0,$Q3413*1000+$R3413*100+$K3413)</f>
        <v>0</v>
      </c>
      <c r="T3413" s="37" t="str">
        <f aca="false">IF($A3413="","",IF($B3413="","NO ACCOUNT",IF($Q3413=0,"UNMAPPED",IF($R3413=-1,"OUTSIDE FY RANGE","OK"))))</f>
        <v/>
      </c>
      <c r="U3413" s="40" t="str">
        <f aca="false">IF($A3413="","",$B3413&amp;"|"&amp;TEXT($A3413,"yyyymmdd")&amp;"|"&amp;TEXT($I3413,"0.00"))</f>
        <v/>
      </c>
      <c r="V3413" s="35" t="str">
        <f aca="false">IF($A3413="","",COUNTIF($U$8:$U$5007,$U3413))</f>
        <v/>
      </c>
    </row>
    <row r="3414" customFormat="false" ht="15" hidden="false" customHeight="false" outlineLevel="0" collapsed="false">
      <c r="A3414" s="31"/>
      <c r="B3414" s="32"/>
      <c r="C3414" s="32"/>
      <c r="D3414" s="32"/>
      <c r="E3414" s="32"/>
      <c r="F3414" s="32"/>
      <c r="G3414" s="33"/>
      <c r="H3414" s="33"/>
      <c r="I3414" s="34" t="str">
        <f aca="false">IF($A3414="","",$G3414-$H3414)</f>
        <v/>
      </c>
      <c r="J3414" s="35" t="str">
        <f aca="false">IF($A3414="","",IF(Setup!$B$6=1,YEAR($A3414),YEAR($A3414)+IF(MONTH($A3414)&gt;=Setup!$B$6,1,0)))</f>
        <v/>
      </c>
      <c r="K3414" s="35" t="str">
        <f aca="false">IF($A3414="","",MOD(MONTH($A3414)-Setup!$B$6+12,12)+1)</f>
        <v/>
      </c>
      <c r="L3414" s="36" t="str">
        <f aca="false">IF($A3414="","",TEXT($A3414,"MMM-YY"))</f>
        <v/>
      </c>
      <c r="M3414" s="37" t="str">
        <f aca="false">IF($A3414="","",IF($Q3414=0,"UNMAPPED",INDEX(COA_Mapping!$C$7:$C$256,$Q3414)))</f>
        <v/>
      </c>
      <c r="N3414" s="38" t="str">
        <f aca="false">IF($A3414="","",IF($Q3414=0,"",INDEX(COA_Mapping!$E$7:$E$256,$Q3414)))</f>
        <v/>
      </c>
      <c r="O3414" s="38" t="n">
        <f aca="false">IF($A3414="",1,IF($Q3414=0,1,INDEX(COA_Mapping!$F$7:$F$256,$Q3414)))</f>
        <v>1</v>
      </c>
      <c r="P3414" s="34" t="str">
        <f aca="false">IF($A3414="","",$I3414*$O3414)</f>
        <v/>
      </c>
      <c r="Q3414" s="39" t="n">
        <f aca="false">IF($B3414="",0,IFERROR(MATCH($B3414,COA_Mapping!$A$7:$A$256,0),0))</f>
        <v>0</v>
      </c>
      <c r="R3414" s="39" t="n">
        <f aca="false">IF($A3414="",-1,IF($J3414=Setup!$B$7,1,IF($J3414=Setup!$B$9,0,-1)))</f>
        <v>-1</v>
      </c>
      <c r="S3414" s="35" t="n">
        <f aca="false">IF(OR($A3414="",$Q3414=0,$R3414=-1),0,$Q3414*1000+$R3414*100+$K3414)</f>
        <v>0</v>
      </c>
      <c r="T3414" s="37" t="str">
        <f aca="false">IF($A3414="","",IF($B3414="","NO ACCOUNT",IF($Q3414=0,"UNMAPPED",IF($R3414=-1,"OUTSIDE FY RANGE","OK"))))</f>
        <v/>
      </c>
      <c r="U3414" s="40" t="str">
        <f aca="false">IF($A3414="","",$B3414&amp;"|"&amp;TEXT($A3414,"yyyymmdd")&amp;"|"&amp;TEXT($I3414,"0.00"))</f>
        <v/>
      </c>
      <c r="V3414" s="35" t="str">
        <f aca="false">IF($A3414="","",COUNTIF($U$8:$U$5007,$U3414))</f>
        <v/>
      </c>
    </row>
    <row r="3415" customFormat="false" ht="15" hidden="false" customHeight="false" outlineLevel="0" collapsed="false">
      <c r="A3415" s="31"/>
      <c r="B3415" s="32"/>
      <c r="C3415" s="32"/>
      <c r="D3415" s="32"/>
      <c r="E3415" s="32"/>
      <c r="F3415" s="32"/>
      <c r="G3415" s="33"/>
      <c r="H3415" s="33"/>
      <c r="I3415" s="34" t="str">
        <f aca="false">IF($A3415="","",$G3415-$H3415)</f>
        <v/>
      </c>
      <c r="J3415" s="35" t="str">
        <f aca="false">IF($A3415="","",IF(Setup!$B$6=1,YEAR($A3415),YEAR($A3415)+IF(MONTH($A3415)&gt;=Setup!$B$6,1,0)))</f>
        <v/>
      </c>
      <c r="K3415" s="35" t="str">
        <f aca="false">IF($A3415="","",MOD(MONTH($A3415)-Setup!$B$6+12,12)+1)</f>
        <v/>
      </c>
      <c r="L3415" s="36" t="str">
        <f aca="false">IF($A3415="","",TEXT($A3415,"MMM-YY"))</f>
        <v/>
      </c>
      <c r="M3415" s="37" t="str">
        <f aca="false">IF($A3415="","",IF($Q3415=0,"UNMAPPED",INDEX(COA_Mapping!$C$7:$C$256,$Q3415)))</f>
        <v/>
      </c>
      <c r="N3415" s="38" t="str">
        <f aca="false">IF($A3415="","",IF($Q3415=0,"",INDEX(COA_Mapping!$E$7:$E$256,$Q3415)))</f>
        <v/>
      </c>
      <c r="O3415" s="38" t="n">
        <f aca="false">IF($A3415="",1,IF($Q3415=0,1,INDEX(COA_Mapping!$F$7:$F$256,$Q3415)))</f>
        <v>1</v>
      </c>
      <c r="P3415" s="34" t="str">
        <f aca="false">IF($A3415="","",$I3415*$O3415)</f>
        <v/>
      </c>
      <c r="Q3415" s="39" t="n">
        <f aca="false">IF($B3415="",0,IFERROR(MATCH($B3415,COA_Mapping!$A$7:$A$256,0),0))</f>
        <v>0</v>
      </c>
      <c r="R3415" s="39" t="n">
        <f aca="false">IF($A3415="",-1,IF($J3415=Setup!$B$7,1,IF($J3415=Setup!$B$9,0,-1)))</f>
        <v>-1</v>
      </c>
      <c r="S3415" s="35" t="n">
        <f aca="false">IF(OR($A3415="",$Q3415=0,$R3415=-1),0,$Q3415*1000+$R3415*100+$K3415)</f>
        <v>0</v>
      </c>
      <c r="T3415" s="37" t="str">
        <f aca="false">IF($A3415="","",IF($B3415="","NO ACCOUNT",IF($Q3415=0,"UNMAPPED",IF($R3415=-1,"OUTSIDE FY RANGE","OK"))))</f>
        <v/>
      </c>
      <c r="U3415" s="40" t="str">
        <f aca="false">IF($A3415="","",$B3415&amp;"|"&amp;TEXT($A3415,"yyyymmdd")&amp;"|"&amp;TEXT($I3415,"0.00"))</f>
        <v/>
      </c>
      <c r="V3415" s="35" t="str">
        <f aca="false">IF($A3415="","",COUNTIF($U$8:$U$5007,$U3415))</f>
        <v/>
      </c>
    </row>
    <row r="3416" customFormat="false" ht="15" hidden="false" customHeight="false" outlineLevel="0" collapsed="false">
      <c r="A3416" s="31"/>
      <c r="B3416" s="32"/>
      <c r="C3416" s="32"/>
      <c r="D3416" s="32"/>
      <c r="E3416" s="32"/>
      <c r="F3416" s="32"/>
      <c r="G3416" s="33"/>
      <c r="H3416" s="33"/>
      <c r="I3416" s="34" t="str">
        <f aca="false">IF($A3416="","",$G3416-$H3416)</f>
        <v/>
      </c>
      <c r="J3416" s="35" t="str">
        <f aca="false">IF($A3416="","",IF(Setup!$B$6=1,YEAR($A3416),YEAR($A3416)+IF(MONTH($A3416)&gt;=Setup!$B$6,1,0)))</f>
        <v/>
      </c>
      <c r="K3416" s="35" t="str">
        <f aca="false">IF($A3416="","",MOD(MONTH($A3416)-Setup!$B$6+12,12)+1)</f>
        <v/>
      </c>
      <c r="L3416" s="36" t="str">
        <f aca="false">IF($A3416="","",TEXT($A3416,"MMM-YY"))</f>
        <v/>
      </c>
      <c r="M3416" s="37" t="str">
        <f aca="false">IF($A3416="","",IF($Q3416=0,"UNMAPPED",INDEX(COA_Mapping!$C$7:$C$256,$Q3416)))</f>
        <v/>
      </c>
      <c r="N3416" s="38" t="str">
        <f aca="false">IF($A3416="","",IF($Q3416=0,"",INDEX(COA_Mapping!$E$7:$E$256,$Q3416)))</f>
        <v/>
      </c>
      <c r="O3416" s="38" t="n">
        <f aca="false">IF($A3416="",1,IF($Q3416=0,1,INDEX(COA_Mapping!$F$7:$F$256,$Q3416)))</f>
        <v>1</v>
      </c>
      <c r="P3416" s="34" t="str">
        <f aca="false">IF($A3416="","",$I3416*$O3416)</f>
        <v/>
      </c>
      <c r="Q3416" s="39" t="n">
        <f aca="false">IF($B3416="",0,IFERROR(MATCH($B3416,COA_Mapping!$A$7:$A$256,0),0))</f>
        <v>0</v>
      </c>
      <c r="R3416" s="39" t="n">
        <f aca="false">IF($A3416="",-1,IF($J3416=Setup!$B$7,1,IF($J3416=Setup!$B$9,0,-1)))</f>
        <v>-1</v>
      </c>
      <c r="S3416" s="35" t="n">
        <f aca="false">IF(OR($A3416="",$Q3416=0,$R3416=-1),0,$Q3416*1000+$R3416*100+$K3416)</f>
        <v>0</v>
      </c>
      <c r="T3416" s="37" t="str">
        <f aca="false">IF($A3416="","",IF($B3416="","NO ACCOUNT",IF($Q3416=0,"UNMAPPED",IF($R3416=-1,"OUTSIDE FY RANGE","OK"))))</f>
        <v/>
      </c>
      <c r="U3416" s="40" t="str">
        <f aca="false">IF($A3416="","",$B3416&amp;"|"&amp;TEXT($A3416,"yyyymmdd")&amp;"|"&amp;TEXT($I3416,"0.00"))</f>
        <v/>
      </c>
      <c r="V3416" s="35" t="str">
        <f aca="false">IF($A3416="","",COUNTIF($U$8:$U$5007,$U3416))</f>
        <v/>
      </c>
    </row>
    <row r="3417" customFormat="false" ht="15" hidden="false" customHeight="false" outlineLevel="0" collapsed="false">
      <c r="A3417" s="31"/>
      <c r="B3417" s="32"/>
      <c r="C3417" s="32"/>
      <c r="D3417" s="32"/>
      <c r="E3417" s="32"/>
      <c r="F3417" s="32"/>
      <c r="G3417" s="33"/>
      <c r="H3417" s="33"/>
      <c r="I3417" s="34" t="str">
        <f aca="false">IF($A3417="","",$G3417-$H3417)</f>
        <v/>
      </c>
      <c r="J3417" s="35" t="str">
        <f aca="false">IF($A3417="","",IF(Setup!$B$6=1,YEAR($A3417),YEAR($A3417)+IF(MONTH($A3417)&gt;=Setup!$B$6,1,0)))</f>
        <v/>
      </c>
      <c r="K3417" s="35" t="str">
        <f aca="false">IF($A3417="","",MOD(MONTH($A3417)-Setup!$B$6+12,12)+1)</f>
        <v/>
      </c>
      <c r="L3417" s="36" t="str">
        <f aca="false">IF($A3417="","",TEXT($A3417,"MMM-YY"))</f>
        <v/>
      </c>
      <c r="M3417" s="37" t="str">
        <f aca="false">IF($A3417="","",IF($Q3417=0,"UNMAPPED",INDEX(COA_Mapping!$C$7:$C$256,$Q3417)))</f>
        <v/>
      </c>
      <c r="N3417" s="38" t="str">
        <f aca="false">IF($A3417="","",IF($Q3417=0,"",INDEX(COA_Mapping!$E$7:$E$256,$Q3417)))</f>
        <v/>
      </c>
      <c r="O3417" s="38" t="n">
        <f aca="false">IF($A3417="",1,IF($Q3417=0,1,INDEX(COA_Mapping!$F$7:$F$256,$Q3417)))</f>
        <v>1</v>
      </c>
      <c r="P3417" s="34" t="str">
        <f aca="false">IF($A3417="","",$I3417*$O3417)</f>
        <v/>
      </c>
      <c r="Q3417" s="39" t="n">
        <f aca="false">IF($B3417="",0,IFERROR(MATCH($B3417,COA_Mapping!$A$7:$A$256,0),0))</f>
        <v>0</v>
      </c>
      <c r="R3417" s="39" t="n">
        <f aca="false">IF($A3417="",-1,IF($J3417=Setup!$B$7,1,IF($J3417=Setup!$B$9,0,-1)))</f>
        <v>-1</v>
      </c>
      <c r="S3417" s="35" t="n">
        <f aca="false">IF(OR($A3417="",$Q3417=0,$R3417=-1),0,$Q3417*1000+$R3417*100+$K3417)</f>
        <v>0</v>
      </c>
      <c r="T3417" s="37" t="str">
        <f aca="false">IF($A3417="","",IF($B3417="","NO ACCOUNT",IF($Q3417=0,"UNMAPPED",IF($R3417=-1,"OUTSIDE FY RANGE","OK"))))</f>
        <v/>
      </c>
      <c r="U3417" s="40" t="str">
        <f aca="false">IF($A3417="","",$B3417&amp;"|"&amp;TEXT($A3417,"yyyymmdd")&amp;"|"&amp;TEXT($I3417,"0.00"))</f>
        <v/>
      </c>
      <c r="V3417" s="35" t="str">
        <f aca="false">IF($A3417="","",COUNTIF($U$8:$U$5007,$U3417))</f>
        <v/>
      </c>
    </row>
    <row r="3418" customFormat="false" ht="15" hidden="false" customHeight="false" outlineLevel="0" collapsed="false">
      <c r="A3418" s="31"/>
      <c r="B3418" s="32"/>
      <c r="C3418" s="32"/>
      <c r="D3418" s="32"/>
      <c r="E3418" s="32"/>
      <c r="F3418" s="32"/>
      <c r="G3418" s="33"/>
      <c r="H3418" s="33"/>
      <c r="I3418" s="34" t="str">
        <f aca="false">IF($A3418="","",$G3418-$H3418)</f>
        <v/>
      </c>
      <c r="J3418" s="35" t="str">
        <f aca="false">IF($A3418="","",IF(Setup!$B$6=1,YEAR($A3418),YEAR($A3418)+IF(MONTH($A3418)&gt;=Setup!$B$6,1,0)))</f>
        <v/>
      </c>
      <c r="K3418" s="35" t="str">
        <f aca="false">IF($A3418="","",MOD(MONTH($A3418)-Setup!$B$6+12,12)+1)</f>
        <v/>
      </c>
      <c r="L3418" s="36" t="str">
        <f aca="false">IF($A3418="","",TEXT($A3418,"MMM-YY"))</f>
        <v/>
      </c>
      <c r="M3418" s="37" t="str">
        <f aca="false">IF($A3418="","",IF($Q3418=0,"UNMAPPED",INDEX(COA_Mapping!$C$7:$C$256,$Q3418)))</f>
        <v/>
      </c>
      <c r="N3418" s="38" t="str">
        <f aca="false">IF($A3418="","",IF($Q3418=0,"",INDEX(COA_Mapping!$E$7:$E$256,$Q3418)))</f>
        <v/>
      </c>
      <c r="O3418" s="38" t="n">
        <f aca="false">IF($A3418="",1,IF($Q3418=0,1,INDEX(COA_Mapping!$F$7:$F$256,$Q3418)))</f>
        <v>1</v>
      </c>
      <c r="P3418" s="34" t="str">
        <f aca="false">IF($A3418="","",$I3418*$O3418)</f>
        <v/>
      </c>
      <c r="Q3418" s="39" t="n">
        <f aca="false">IF($B3418="",0,IFERROR(MATCH($B3418,COA_Mapping!$A$7:$A$256,0),0))</f>
        <v>0</v>
      </c>
      <c r="R3418" s="39" t="n">
        <f aca="false">IF($A3418="",-1,IF($J3418=Setup!$B$7,1,IF($J3418=Setup!$B$9,0,-1)))</f>
        <v>-1</v>
      </c>
      <c r="S3418" s="35" t="n">
        <f aca="false">IF(OR($A3418="",$Q3418=0,$R3418=-1),0,$Q3418*1000+$R3418*100+$K3418)</f>
        <v>0</v>
      </c>
      <c r="T3418" s="37" t="str">
        <f aca="false">IF($A3418="","",IF($B3418="","NO ACCOUNT",IF($Q3418=0,"UNMAPPED",IF($R3418=-1,"OUTSIDE FY RANGE","OK"))))</f>
        <v/>
      </c>
      <c r="U3418" s="40" t="str">
        <f aca="false">IF($A3418="","",$B3418&amp;"|"&amp;TEXT($A3418,"yyyymmdd")&amp;"|"&amp;TEXT($I3418,"0.00"))</f>
        <v/>
      </c>
      <c r="V3418" s="35" t="str">
        <f aca="false">IF($A3418="","",COUNTIF($U$8:$U$5007,$U3418))</f>
        <v/>
      </c>
    </row>
    <row r="3419" customFormat="false" ht="15" hidden="false" customHeight="false" outlineLevel="0" collapsed="false">
      <c r="A3419" s="31"/>
      <c r="B3419" s="32"/>
      <c r="C3419" s="32"/>
      <c r="D3419" s="32"/>
      <c r="E3419" s="32"/>
      <c r="F3419" s="32"/>
      <c r="G3419" s="33"/>
      <c r="H3419" s="33"/>
      <c r="I3419" s="34" t="str">
        <f aca="false">IF($A3419="","",$G3419-$H3419)</f>
        <v/>
      </c>
      <c r="J3419" s="35" t="str">
        <f aca="false">IF($A3419="","",IF(Setup!$B$6=1,YEAR($A3419),YEAR($A3419)+IF(MONTH($A3419)&gt;=Setup!$B$6,1,0)))</f>
        <v/>
      </c>
      <c r="K3419" s="35" t="str">
        <f aca="false">IF($A3419="","",MOD(MONTH($A3419)-Setup!$B$6+12,12)+1)</f>
        <v/>
      </c>
      <c r="L3419" s="36" t="str">
        <f aca="false">IF($A3419="","",TEXT($A3419,"MMM-YY"))</f>
        <v/>
      </c>
      <c r="M3419" s="37" t="str">
        <f aca="false">IF($A3419="","",IF($Q3419=0,"UNMAPPED",INDEX(COA_Mapping!$C$7:$C$256,$Q3419)))</f>
        <v/>
      </c>
      <c r="N3419" s="38" t="str">
        <f aca="false">IF($A3419="","",IF($Q3419=0,"",INDEX(COA_Mapping!$E$7:$E$256,$Q3419)))</f>
        <v/>
      </c>
      <c r="O3419" s="38" t="n">
        <f aca="false">IF($A3419="",1,IF($Q3419=0,1,INDEX(COA_Mapping!$F$7:$F$256,$Q3419)))</f>
        <v>1</v>
      </c>
      <c r="P3419" s="34" t="str">
        <f aca="false">IF($A3419="","",$I3419*$O3419)</f>
        <v/>
      </c>
      <c r="Q3419" s="39" t="n">
        <f aca="false">IF($B3419="",0,IFERROR(MATCH($B3419,COA_Mapping!$A$7:$A$256,0),0))</f>
        <v>0</v>
      </c>
      <c r="R3419" s="39" t="n">
        <f aca="false">IF($A3419="",-1,IF($J3419=Setup!$B$7,1,IF($J3419=Setup!$B$9,0,-1)))</f>
        <v>-1</v>
      </c>
      <c r="S3419" s="35" t="n">
        <f aca="false">IF(OR($A3419="",$Q3419=0,$R3419=-1),0,$Q3419*1000+$R3419*100+$K3419)</f>
        <v>0</v>
      </c>
      <c r="T3419" s="37" t="str">
        <f aca="false">IF($A3419="","",IF($B3419="","NO ACCOUNT",IF($Q3419=0,"UNMAPPED",IF($R3419=-1,"OUTSIDE FY RANGE","OK"))))</f>
        <v/>
      </c>
      <c r="U3419" s="40" t="str">
        <f aca="false">IF($A3419="","",$B3419&amp;"|"&amp;TEXT($A3419,"yyyymmdd")&amp;"|"&amp;TEXT($I3419,"0.00"))</f>
        <v/>
      </c>
      <c r="V3419" s="35" t="str">
        <f aca="false">IF($A3419="","",COUNTIF($U$8:$U$5007,$U3419))</f>
        <v/>
      </c>
    </row>
    <row r="3420" customFormat="false" ht="15" hidden="false" customHeight="false" outlineLevel="0" collapsed="false">
      <c r="A3420" s="31"/>
      <c r="B3420" s="32"/>
      <c r="C3420" s="32"/>
      <c r="D3420" s="32"/>
      <c r="E3420" s="32"/>
      <c r="F3420" s="32"/>
      <c r="G3420" s="33"/>
      <c r="H3420" s="33"/>
      <c r="I3420" s="34" t="str">
        <f aca="false">IF($A3420="","",$G3420-$H3420)</f>
        <v/>
      </c>
      <c r="J3420" s="35" t="str">
        <f aca="false">IF($A3420="","",IF(Setup!$B$6=1,YEAR($A3420),YEAR($A3420)+IF(MONTH($A3420)&gt;=Setup!$B$6,1,0)))</f>
        <v/>
      </c>
      <c r="K3420" s="35" t="str">
        <f aca="false">IF($A3420="","",MOD(MONTH($A3420)-Setup!$B$6+12,12)+1)</f>
        <v/>
      </c>
      <c r="L3420" s="36" t="str">
        <f aca="false">IF($A3420="","",TEXT($A3420,"MMM-YY"))</f>
        <v/>
      </c>
      <c r="M3420" s="37" t="str">
        <f aca="false">IF($A3420="","",IF($Q3420=0,"UNMAPPED",INDEX(COA_Mapping!$C$7:$C$256,$Q3420)))</f>
        <v/>
      </c>
      <c r="N3420" s="38" t="str">
        <f aca="false">IF($A3420="","",IF($Q3420=0,"",INDEX(COA_Mapping!$E$7:$E$256,$Q3420)))</f>
        <v/>
      </c>
      <c r="O3420" s="38" t="n">
        <f aca="false">IF($A3420="",1,IF($Q3420=0,1,INDEX(COA_Mapping!$F$7:$F$256,$Q3420)))</f>
        <v>1</v>
      </c>
      <c r="P3420" s="34" t="str">
        <f aca="false">IF($A3420="","",$I3420*$O3420)</f>
        <v/>
      </c>
      <c r="Q3420" s="39" t="n">
        <f aca="false">IF($B3420="",0,IFERROR(MATCH($B3420,COA_Mapping!$A$7:$A$256,0),0))</f>
        <v>0</v>
      </c>
      <c r="R3420" s="39" t="n">
        <f aca="false">IF($A3420="",-1,IF($J3420=Setup!$B$7,1,IF($J3420=Setup!$B$9,0,-1)))</f>
        <v>-1</v>
      </c>
      <c r="S3420" s="35" t="n">
        <f aca="false">IF(OR($A3420="",$Q3420=0,$R3420=-1),0,$Q3420*1000+$R3420*100+$K3420)</f>
        <v>0</v>
      </c>
      <c r="T3420" s="37" t="str">
        <f aca="false">IF($A3420="","",IF($B3420="","NO ACCOUNT",IF($Q3420=0,"UNMAPPED",IF($R3420=-1,"OUTSIDE FY RANGE","OK"))))</f>
        <v/>
      </c>
      <c r="U3420" s="40" t="str">
        <f aca="false">IF($A3420="","",$B3420&amp;"|"&amp;TEXT($A3420,"yyyymmdd")&amp;"|"&amp;TEXT($I3420,"0.00"))</f>
        <v/>
      </c>
      <c r="V3420" s="35" t="str">
        <f aca="false">IF($A3420="","",COUNTIF($U$8:$U$5007,$U3420))</f>
        <v/>
      </c>
    </row>
    <row r="3421" customFormat="false" ht="15" hidden="false" customHeight="false" outlineLevel="0" collapsed="false">
      <c r="A3421" s="31"/>
      <c r="B3421" s="32"/>
      <c r="C3421" s="32"/>
      <c r="D3421" s="32"/>
      <c r="E3421" s="32"/>
      <c r="F3421" s="32"/>
      <c r="G3421" s="33"/>
      <c r="H3421" s="33"/>
      <c r="I3421" s="34" t="str">
        <f aca="false">IF($A3421="","",$G3421-$H3421)</f>
        <v/>
      </c>
      <c r="J3421" s="35" t="str">
        <f aca="false">IF($A3421="","",IF(Setup!$B$6=1,YEAR($A3421),YEAR($A3421)+IF(MONTH($A3421)&gt;=Setup!$B$6,1,0)))</f>
        <v/>
      </c>
      <c r="K3421" s="35" t="str">
        <f aca="false">IF($A3421="","",MOD(MONTH($A3421)-Setup!$B$6+12,12)+1)</f>
        <v/>
      </c>
      <c r="L3421" s="36" t="str">
        <f aca="false">IF($A3421="","",TEXT($A3421,"MMM-YY"))</f>
        <v/>
      </c>
      <c r="M3421" s="37" t="str">
        <f aca="false">IF($A3421="","",IF($Q3421=0,"UNMAPPED",INDEX(COA_Mapping!$C$7:$C$256,$Q3421)))</f>
        <v/>
      </c>
      <c r="N3421" s="38" t="str">
        <f aca="false">IF($A3421="","",IF($Q3421=0,"",INDEX(COA_Mapping!$E$7:$E$256,$Q3421)))</f>
        <v/>
      </c>
      <c r="O3421" s="38" t="n">
        <f aca="false">IF($A3421="",1,IF($Q3421=0,1,INDEX(COA_Mapping!$F$7:$F$256,$Q3421)))</f>
        <v>1</v>
      </c>
      <c r="P3421" s="34" t="str">
        <f aca="false">IF($A3421="","",$I3421*$O3421)</f>
        <v/>
      </c>
      <c r="Q3421" s="39" t="n">
        <f aca="false">IF($B3421="",0,IFERROR(MATCH($B3421,COA_Mapping!$A$7:$A$256,0),0))</f>
        <v>0</v>
      </c>
      <c r="R3421" s="39" t="n">
        <f aca="false">IF($A3421="",-1,IF($J3421=Setup!$B$7,1,IF($J3421=Setup!$B$9,0,-1)))</f>
        <v>-1</v>
      </c>
      <c r="S3421" s="35" t="n">
        <f aca="false">IF(OR($A3421="",$Q3421=0,$R3421=-1),0,$Q3421*1000+$R3421*100+$K3421)</f>
        <v>0</v>
      </c>
      <c r="T3421" s="37" t="str">
        <f aca="false">IF($A3421="","",IF($B3421="","NO ACCOUNT",IF($Q3421=0,"UNMAPPED",IF($R3421=-1,"OUTSIDE FY RANGE","OK"))))</f>
        <v/>
      </c>
      <c r="U3421" s="40" t="str">
        <f aca="false">IF($A3421="","",$B3421&amp;"|"&amp;TEXT($A3421,"yyyymmdd")&amp;"|"&amp;TEXT($I3421,"0.00"))</f>
        <v/>
      </c>
      <c r="V3421" s="35" t="str">
        <f aca="false">IF($A3421="","",COUNTIF($U$8:$U$5007,$U3421))</f>
        <v/>
      </c>
    </row>
    <row r="3422" customFormat="false" ht="15" hidden="false" customHeight="false" outlineLevel="0" collapsed="false">
      <c r="A3422" s="31"/>
      <c r="B3422" s="32"/>
      <c r="C3422" s="32"/>
      <c r="D3422" s="32"/>
      <c r="E3422" s="32"/>
      <c r="F3422" s="32"/>
      <c r="G3422" s="33"/>
      <c r="H3422" s="33"/>
      <c r="I3422" s="34" t="str">
        <f aca="false">IF($A3422="","",$G3422-$H3422)</f>
        <v/>
      </c>
      <c r="J3422" s="35" t="str">
        <f aca="false">IF($A3422="","",IF(Setup!$B$6=1,YEAR($A3422),YEAR($A3422)+IF(MONTH($A3422)&gt;=Setup!$B$6,1,0)))</f>
        <v/>
      </c>
      <c r="K3422" s="35" t="str">
        <f aca="false">IF($A3422="","",MOD(MONTH($A3422)-Setup!$B$6+12,12)+1)</f>
        <v/>
      </c>
      <c r="L3422" s="36" t="str">
        <f aca="false">IF($A3422="","",TEXT($A3422,"MMM-YY"))</f>
        <v/>
      </c>
      <c r="M3422" s="37" t="str">
        <f aca="false">IF($A3422="","",IF($Q3422=0,"UNMAPPED",INDEX(COA_Mapping!$C$7:$C$256,$Q3422)))</f>
        <v/>
      </c>
      <c r="N3422" s="38" t="str">
        <f aca="false">IF($A3422="","",IF($Q3422=0,"",INDEX(COA_Mapping!$E$7:$E$256,$Q3422)))</f>
        <v/>
      </c>
      <c r="O3422" s="38" t="n">
        <f aca="false">IF($A3422="",1,IF($Q3422=0,1,INDEX(COA_Mapping!$F$7:$F$256,$Q3422)))</f>
        <v>1</v>
      </c>
      <c r="P3422" s="34" t="str">
        <f aca="false">IF($A3422="","",$I3422*$O3422)</f>
        <v/>
      </c>
      <c r="Q3422" s="39" t="n">
        <f aca="false">IF($B3422="",0,IFERROR(MATCH($B3422,COA_Mapping!$A$7:$A$256,0),0))</f>
        <v>0</v>
      </c>
      <c r="R3422" s="39" t="n">
        <f aca="false">IF($A3422="",-1,IF($J3422=Setup!$B$7,1,IF($J3422=Setup!$B$9,0,-1)))</f>
        <v>-1</v>
      </c>
      <c r="S3422" s="35" t="n">
        <f aca="false">IF(OR($A3422="",$Q3422=0,$R3422=-1),0,$Q3422*1000+$R3422*100+$K3422)</f>
        <v>0</v>
      </c>
      <c r="T3422" s="37" t="str">
        <f aca="false">IF($A3422="","",IF($B3422="","NO ACCOUNT",IF($Q3422=0,"UNMAPPED",IF($R3422=-1,"OUTSIDE FY RANGE","OK"))))</f>
        <v/>
      </c>
      <c r="U3422" s="40" t="str">
        <f aca="false">IF($A3422="","",$B3422&amp;"|"&amp;TEXT($A3422,"yyyymmdd")&amp;"|"&amp;TEXT($I3422,"0.00"))</f>
        <v/>
      </c>
      <c r="V3422" s="35" t="str">
        <f aca="false">IF($A3422="","",COUNTIF($U$8:$U$5007,$U3422))</f>
        <v/>
      </c>
    </row>
    <row r="3423" customFormat="false" ht="15" hidden="false" customHeight="false" outlineLevel="0" collapsed="false">
      <c r="A3423" s="31"/>
      <c r="B3423" s="32"/>
      <c r="C3423" s="32"/>
      <c r="D3423" s="32"/>
      <c r="E3423" s="32"/>
      <c r="F3423" s="32"/>
      <c r="G3423" s="33"/>
      <c r="H3423" s="33"/>
      <c r="I3423" s="34" t="str">
        <f aca="false">IF($A3423="","",$G3423-$H3423)</f>
        <v/>
      </c>
      <c r="J3423" s="35" t="str">
        <f aca="false">IF($A3423="","",IF(Setup!$B$6=1,YEAR($A3423),YEAR($A3423)+IF(MONTH($A3423)&gt;=Setup!$B$6,1,0)))</f>
        <v/>
      </c>
      <c r="K3423" s="35" t="str">
        <f aca="false">IF($A3423="","",MOD(MONTH($A3423)-Setup!$B$6+12,12)+1)</f>
        <v/>
      </c>
      <c r="L3423" s="36" t="str">
        <f aca="false">IF($A3423="","",TEXT($A3423,"MMM-YY"))</f>
        <v/>
      </c>
      <c r="M3423" s="37" t="str">
        <f aca="false">IF($A3423="","",IF($Q3423=0,"UNMAPPED",INDEX(COA_Mapping!$C$7:$C$256,$Q3423)))</f>
        <v/>
      </c>
      <c r="N3423" s="38" t="str">
        <f aca="false">IF($A3423="","",IF($Q3423=0,"",INDEX(COA_Mapping!$E$7:$E$256,$Q3423)))</f>
        <v/>
      </c>
      <c r="O3423" s="38" t="n">
        <f aca="false">IF($A3423="",1,IF($Q3423=0,1,INDEX(COA_Mapping!$F$7:$F$256,$Q3423)))</f>
        <v>1</v>
      </c>
      <c r="P3423" s="34" t="str">
        <f aca="false">IF($A3423="","",$I3423*$O3423)</f>
        <v/>
      </c>
      <c r="Q3423" s="39" t="n">
        <f aca="false">IF($B3423="",0,IFERROR(MATCH($B3423,COA_Mapping!$A$7:$A$256,0),0))</f>
        <v>0</v>
      </c>
      <c r="R3423" s="39" t="n">
        <f aca="false">IF($A3423="",-1,IF($J3423=Setup!$B$7,1,IF($J3423=Setup!$B$9,0,-1)))</f>
        <v>-1</v>
      </c>
      <c r="S3423" s="35" t="n">
        <f aca="false">IF(OR($A3423="",$Q3423=0,$R3423=-1),0,$Q3423*1000+$R3423*100+$K3423)</f>
        <v>0</v>
      </c>
      <c r="T3423" s="37" t="str">
        <f aca="false">IF($A3423="","",IF($B3423="","NO ACCOUNT",IF($Q3423=0,"UNMAPPED",IF($R3423=-1,"OUTSIDE FY RANGE","OK"))))</f>
        <v/>
      </c>
      <c r="U3423" s="40" t="str">
        <f aca="false">IF($A3423="","",$B3423&amp;"|"&amp;TEXT($A3423,"yyyymmdd")&amp;"|"&amp;TEXT($I3423,"0.00"))</f>
        <v/>
      </c>
      <c r="V3423" s="35" t="str">
        <f aca="false">IF($A3423="","",COUNTIF($U$8:$U$5007,$U3423))</f>
        <v/>
      </c>
    </row>
    <row r="3424" customFormat="false" ht="15" hidden="false" customHeight="false" outlineLevel="0" collapsed="false">
      <c r="A3424" s="31"/>
      <c r="B3424" s="32"/>
      <c r="C3424" s="32"/>
      <c r="D3424" s="32"/>
      <c r="E3424" s="32"/>
      <c r="F3424" s="32"/>
      <c r="G3424" s="33"/>
      <c r="H3424" s="33"/>
      <c r="I3424" s="34" t="str">
        <f aca="false">IF($A3424="","",$G3424-$H3424)</f>
        <v/>
      </c>
      <c r="J3424" s="35" t="str">
        <f aca="false">IF($A3424="","",IF(Setup!$B$6=1,YEAR($A3424),YEAR($A3424)+IF(MONTH($A3424)&gt;=Setup!$B$6,1,0)))</f>
        <v/>
      </c>
      <c r="K3424" s="35" t="str">
        <f aca="false">IF($A3424="","",MOD(MONTH($A3424)-Setup!$B$6+12,12)+1)</f>
        <v/>
      </c>
      <c r="L3424" s="36" t="str">
        <f aca="false">IF($A3424="","",TEXT($A3424,"MMM-YY"))</f>
        <v/>
      </c>
      <c r="M3424" s="37" t="str">
        <f aca="false">IF($A3424="","",IF($Q3424=0,"UNMAPPED",INDEX(COA_Mapping!$C$7:$C$256,$Q3424)))</f>
        <v/>
      </c>
      <c r="N3424" s="38" t="str">
        <f aca="false">IF($A3424="","",IF($Q3424=0,"",INDEX(COA_Mapping!$E$7:$E$256,$Q3424)))</f>
        <v/>
      </c>
      <c r="O3424" s="38" t="n">
        <f aca="false">IF($A3424="",1,IF($Q3424=0,1,INDEX(COA_Mapping!$F$7:$F$256,$Q3424)))</f>
        <v>1</v>
      </c>
      <c r="P3424" s="34" t="str">
        <f aca="false">IF($A3424="","",$I3424*$O3424)</f>
        <v/>
      </c>
      <c r="Q3424" s="39" t="n">
        <f aca="false">IF($B3424="",0,IFERROR(MATCH($B3424,COA_Mapping!$A$7:$A$256,0),0))</f>
        <v>0</v>
      </c>
      <c r="R3424" s="39" t="n">
        <f aca="false">IF($A3424="",-1,IF($J3424=Setup!$B$7,1,IF($J3424=Setup!$B$9,0,-1)))</f>
        <v>-1</v>
      </c>
      <c r="S3424" s="35" t="n">
        <f aca="false">IF(OR($A3424="",$Q3424=0,$R3424=-1),0,$Q3424*1000+$R3424*100+$K3424)</f>
        <v>0</v>
      </c>
      <c r="T3424" s="37" t="str">
        <f aca="false">IF($A3424="","",IF($B3424="","NO ACCOUNT",IF($Q3424=0,"UNMAPPED",IF($R3424=-1,"OUTSIDE FY RANGE","OK"))))</f>
        <v/>
      </c>
      <c r="U3424" s="40" t="str">
        <f aca="false">IF($A3424="","",$B3424&amp;"|"&amp;TEXT($A3424,"yyyymmdd")&amp;"|"&amp;TEXT($I3424,"0.00"))</f>
        <v/>
      </c>
      <c r="V3424" s="35" t="str">
        <f aca="false">IF($A3424="","",COUNTIF($U$8:$U$5007,$U3424))</f>
        <v/>
      </c>
    </row>
    <row r="3425" customFormat="false" ht="15" hidden="false" customHeight="false" outlineLevel="0" collapsed="false">
      <c r="A3425" s="31"/>
      <c r="B3425" s="32"/>
      <c r="C3425" s="32"/>
      <c r="D3425" s="32"/>
      <c r="E3425" s="32"/>
      <c r="F3425" s="32"/>
      <c r="G3425" s="33"/>
      <c r="H3425" s="33"/>
      <c r="I3425" s="34" t="str">
        <f aca="false">IF($A3425="","",$G3425-$H3425)</f>
        <v/>
      </c>
      <c r="J3425" s="35" t="str">
        <f aca="false">IF($A3425="","",IF(Setup!$B$6=1,YEAR($A3425),YEAR($A3425)+IF(MONTH($A3425)&gt;=Setup!$B$6,1,0)))</f>
        <v/>
      </c>
      <c r="K3425" s="35" t="str">
        <f aca="false">IF($A3425="","",MOD(MONTH($A3425)-Setup!$B$6+12,12)+1)</f>
        <v/>
      </c>
      <c r="L3425" s="36" t="str">
        <f aca="false">IF($A3425="","",TEXT($A3425,"MMM-YY"))</f>
        <v/>
      </c>
      <c r="M3425" s="37" t="str">
        <f aca="false">IF($A3425="","",IF($Q3425=0,"UNMAPPED",INDEX(COA_Mapping!$C$7:$C$256,$Q3425)))</f>
        <v/>
      </c>
      <c r="N3425" s="38" t="str">
        <f aca="false">IF($A3425="","",IF($Q3425=0,"",INDEX(COA_Mapping!$E$7:$E$256,$Q3425)))</f>
        <v/>
      </c>
      <c r="O3425" s="38" t="n">
        <f aca="false">IF($A3425="",1,IF($Q3425=0,1,INDEX(COA_Mapping!$F$7:$F$256,$Q3425)))</f>
        <v>1</v>
      </c>
      <c r="P3425" s="34" t="str">
        <f aca="false">IF($A3425="","",$I3425*$O3425)</f>
        <v/>
      </c>
      <c r="Q3425" s="39" t="n">
        <f aca="false">IF($B3425="",0,IFERROR(MATCH($B3425,COA_Mapping!$A$7:$A$256,0),0))</f>
        <v>0</v>
      </c>
      <c r="R3425" s="39" t="n">
        <f aca="false">IF($A3425="",-1,IF($J3425=Setup!$B$7,1,IF($J3425=Setup!$B$9,0,-1)))</f>
        <v>-1</v>
      </c>
      <c r="S3425" s="35" t="n">
        <f aca="false">IF(OR($A3425="",$Q3425=0,$R3425=-1),0,$Q3425*1000+$R3425*100+$K3425)</f>
        <v>0</v>
      </c>
      <c r="T3425" s="37" t="str">
        <f aca="false">IF($A3425="","",IF($B3425="","NO ACCOUNT",IF($Q3425=0,"UNMAPPED",IF($R3425=-1,"OUTSIDE FY RANGE","OK"))))</f>
        <v/>
      </c>
      <c r="U3425" s="40" t="str">
        <f aca="false">IF($A3425="","",$B3425&amp;"|"&amp;TEXT($A3425,"yyyymmdd")&amp;"|"&amp;TEXT($I3425,"0.00"))</f>
        <v/>
      </c>
      <c r="V3425" s="35" t="str">
        <f aca="false">IF($A3425="","",COUNTIF($U$8:$U$5007,$U3425))</f>
        <v/>
      </c>
    </row>
    <row r="3426" customFormat="false" ht="15" hidden="false" customHeight="false" outlineLevel="0" collapsed="false">
      <c r="A3426" s="31"/>
      <c r="B3426" s="32"/>
      <c r="C3426" s="32"/>
      <c r="D3426" s="32"/>
      <c r="E3426" s="32"/>
      <c r="F3426" s="32"/>
      <c r="G3426" s="33"/>
      <c r="H3426" s="33"/>
      <c r="I3426" s="34" t="str">
        <f aca="false">IF($A3426="","",$G3426-$H3426)</f>
        <v/>
      </c>
      <c r="J3426" s="35" t="str">
        <f aca="false">IF($A3426="","",IF(Setup!$B$6=1,YEAR($A3426),YEAR($A3426)+IF(MONTH($A3426)&gt;=Setup!$B$6,1,0)))</f>
        <v/>
      </c>
      <c r="K3426" s="35" t="str">
        <f aca="false">IF($A3426="","",MOD(MONTH($A3426)-Setup!$B$6+12,12)+1)</f>
        <v/>
      </c>
      <c r="L3426" s="36" t="str">
        <f aca="false">IF($A3426="","",TEXT($A3426,"MMM-YY"))</f>
        <v/>
      </c>
      <c r="M3426" s="37" t="str">
        <f aca="false">IF($A3426="","",IF($Q3426=0,"UNMAPPED",INDEX(COA_Mapping!$C$7:$C$256,$Q3426)))</f>
        <v/>
      </c>
      <c r="N3426" s="38" t="str">
        <f aca="false">IF($A3426="","",IF($Q3426=0,"",INDEX(COA_Mapping!$E$7:$E$256,$Q3426)))</f>
        <v/>
      </c>
      <c r="O3426" s="38" t="n">
        <f aca="false">IF($A3426="",1,IF($Q3426=0,1,INDEX(COA_Mapping!$F$7:$F$256,$Q3426)))</f>
        <v>1</v>
      </c>
      <c r="P3426" s="34" t="str">
        <f aca="false">IF($A3426="","",$I3426*$O3426)</f>
        <v/>
      </c>
      <c r="Q3426" s="39" t="n">
        <f aca="false">IF($B3426="",0,IFERROR(MATCH($B3426,COA_Mapping!$A$7:$A$256,0),0))</f>
        <v>0</v>
      </c>
      <c r="R3426" s="39" t="n">
        <f aca="false">IF($A3426="",-1,IF($J3426=Setup!$B$7,1,IF($J3426=Setup!$B$9,0,-1)))</f>
        <v>-1</v>
      </c>
      <c r="S3426" s="35" t="n">
        <f aca="false">IF(OR($A3426="",$Q3426=0,$R3426=-1),0,$Q3426*1000+$R3426*100+$K3426)</f>
        <v>0</v>
      </c>
      <c r="T3426" s="37" t="str">
        <f aca="false">IF($A3426="","",IF($B3426="","NO ACCOUNT",IF($Q3426=0,"UNMAPPED",IF($R3426=-1,"OUTSIDE FY RANGE","OK"))))</f>
        <v/>
      </c>
      <c r="U3426" s="40" t="str">
        <f aca="false">IF($A3426="","",$B3426&amp;"|"&amp;TEXT($A3426,"yyyymmdd")&amp;"|"&amp;TEXT($I3426,"0.00"))</f>
        <v/>
      </c>
      <c r="V3426" s="35" t="str">
        <f aca="false">IF($A3426="","",COUNTIF($U$8:$U$5007,$U3426))</f>
        <v/>
      </c>
    </row>
    <row r="3427" customFormat="false" ht="15" hidden="false" customHeight="false" outlineLevel="0" collapsed="false">
      <c r="A3427" s="31"/>
      <c r="B3427" s="32"/>
      <c r="C3427" s="32"/>
      <c r="D3427" s="32"/>
      <c r="E3427" s="32"/>
      <c r="F3427" s="32"/>
      <c r="G3427" s="33"/>
      <c r="H3427" s="33"/>
      <c r="I3427" s="34" t="str">
        <f aca="false">IF($A3427="","",$G3427-$H3427)</f>
        <v/>
      </c>
      <c r="J3427" s="35" t="str">
        <f aca="false">IF($A3427="","",IF(Setup!$B$6=1,YEAR($A3427),YEAR($A3427)+IF(MONTH($A3427)&gt;=Setup!$B$6,1,0)))</f>
        <v/>
      </c>
      <c r="K3427" s="35" t="str">
        <f aca="false">IF($A3427="","",MOD(MONTH($A3427)-Setup!$B$6+12,12)+1)</f>
        <v/>
      </c>
      <c r="L3427" s="36" t="str">
        <f aca="false">IF($A3427="","",TEXT($A3427,"MMM-YY"))</f>
        <v/>
      </c>
      <c r="M3427" s="37" t="str">
        <f aca="false">IF($A3427="","",IF($Q3427=0,"UNMAPPED",INDEX(COA_Mapping!$C$7:$C$256,$Q3427)))</f>
        <v/>
      </c>
      <c r="N3427" s="38" t="str">
        <f aca="false">IF($A3427="","",IF($Q3427=0,"",INDEX(COA_Mapping!$E$7:$E$256,$Q3427)))</f>
        <v/>
      </c>
      <c r="O3427" s="38" t="n">
        <f aca="false">IF($A3427="",1,IF($Q3427=0,1,INDEX(COA_Mapping!$F$7:$F$256,$Q3427)))</f>
        <v>1</v>
      </c>
      <c r="P3427" s="34" t="str">
        <f aca="false">IF($A3427="","",$I3427*$O3427)</f>
        <v/>
      </c>
      <c r="Q3427" s="39" t="n">
        <f aca="false">IF($B3427="",0,IFERROR(MATCH($B3427,COA_Mapping!$A$7:$A$256,0),0))</f>
        <v>0</v>
      </c>
      <c r="R3427" s="39" t="n">
        <f aca="false">IF($A3427="",-1,IF($J3427=Setup!$B$7,1,IF($J3427=Setup!$B$9,0,-1)))</f>
        <v>-1</v>
      </c>
      <c r="S3427" s="35" t="n">
        <f aca="false">IF(OR($A3427="",$Q3427=0,$R3427=-1),0,$Q3427*1000+$R3427*100+$K3427)</f>
        <v>0</v>
      </c>
      <c r="T3427" s="37" t="str">
        <f aca="false">IF($A3427="","",IF($B3427="","NO ACCOUNT",IF($Q3427=0,"UNMAPPED",IF($R3427=-1,"OUTSIDE FY RANGE","OK"))))</f>
        <v/>
      </c>
      <c r="U3427" s="40" t="str">
        <f aca="false">IF($A3427="","",$B3427&amp;"|"&amp;TEXT($A3427,"yyyymmdd")&amp;"|"&amp;TEXT($I3427,"0.00"))</f>
        <v/>
      </c>
      <c r="V3427" s="35" t="str">
        <f aca="false">IF($A3427="","",COUNTIF($U$8:$U$5007,$U3427))</f>
        <v/>
      </c>
    </row>
    <row r="3428" customFormat="false" ht="15" hidden="false" customHeight="false" outlineLevel="0" collapsed="false">
      <c r="A3428" s="31"/>
      <c r="B3428" s="32"/>
      <c r="C3428" s="32"/>
      <c r="D3428" s="32"/>
      <c r="E3428" s="32"/>
      <c r="F3428" s="32"/>
      <c r="G3428" s="33"/>
      <c r="H3428" s="33"/>
      <c r="I3428" s="34" t="str">
        <f aca="false">IF($A3428="","",$G3428-$H3428)</f>
        <v/>
      </c>
      <c r="J3428" s="35" t="str">
        <f aca="false">IF($A3428="","",IF(Setup!$B$6=1,YEAR($A3428),YEAR($A3428)+IF(MONTH($A3428)&gt;=Setup!$B$6,1,0)))</f>
        <v/>
      </c>
      <c r="K3428" s="35" t="str">
        <f aca="false">IF($A3428="","",MOD(MONTH($A3428)-Setup!$B$6+12,12)+1)</f>
        <v/>
      </c>
      <c r="L3428" s="36" t="str">
        <f aca="false">IF($A3428="","",TEXT($A3428,"MMM-YY"))</f>
        <v/>
      </c>
      <c r="M3428" s="37" t="str">
        <f aca="false">IF($A3428="","",IF($Q3428=0,"UNMAPPED",INDEX(COA_Mapping!$C$7:$C$256,$Q3428)))</f>
        <v/>
      </c>
      <c r="N3428" s="38" t="str">
        <f aca="false">IF($A3428="","",IF($Q3428=0,"",INDEX(COA_Mapping!$E$7:$E$256,$Q3428)))</f>
        <v/>
      </c>
      <c r="O3428" s="38" t="n">
        <f aca="false">IF($A3428="",1,IF($Q3428=0,1,INDEX(COA_Mapping!$F$7:$F$256,$Q3428)))</f>
        <v>1</v>
      </c>
      <c r="P3428" s="34" t="str">
        <f aca="false">IF($A3428="","",$I3428*$O3428)</f>
        <v/>
      </c>
      <c r="Q3428" s="39" t="n">
        <f aca="false">IF($B3428="",0,IFERROR(MATCH($B3428,COA_Mapping!$A$7:$A$256,0),0))</f>
        <v>0</v>
      </c>
      <c r="R3428" s="39" t="n">
        <f aca="false">IF($A3428="",-1,IF($J3428=Setup!$B$7,1,IF($J3428=Setup!$B$9,0,-1)))</f>
        <v>-1</v>
      </c>
      <c r="S3428" s="35" t="n">
        <f aca="false">IF(OR($A3428="",$Q3428=0,$R3428=-1),0,$Q3428*1000+$R3428*100+$K3428)</f>
        <v>0</v>
      </c>
      <c r="T3428" s="37" t="str">
        <f aca="false">IF($A3428="","",IF($B3428="","NO ACCOUNT",IF($Q3428=0,"UNMAPPED",IF($R3428=-1,"OUTSIDE FY RANGE","OK"))))</f>
        <v/>
      </c>
      <c r="U3428" s="40" t="str">
        <f aca="false">IF($A3428="","",$B3428&amp;"|"&amp;TEXT($A3428,"yyyymmdd")&amp;"|"&amp;TEXT($I3428,"0.00"))</f>
        <v/>
      </c>
      <c r="V3428" s="35" t="str">
        <f aca="false">IF($A3428="","",COUNTIF($U$8:$U$5007,$U3428))</f>
        <v/>
      </c>
    </row>
    <row r="3429" customFormat="false" ht="15" hidden="false" customHeight="false" outlineLevel="0" collapsed="false">
      <c r="A3429" s="31"/>
      <c r="B3429" s="32"/>
      <c r="C3429" s="32"/>
      <c r="D3429" s="32"/>
      <c r="E3429" s="32"/>
      <c r="F3429" s="32"/>
      <c r="G3429" s="33"/>
      <c r="H3429" s="33"/>
      <c r="I3429" s="34" t="str">
        <f aca="false">IF($A3429="","",$G3429-$H3429)</f>
        <v/>
      </c>
      <c r="J3429" s="35" t="str">
        <f aca="false">IF($A3429="","",IF(Setup!$B$6=1,YEAR($A3429),YEAR($A3429)+IF(MONTH($A3429)&gt;=Setup!$B$6,1,0)))</f>
        <v/>
      </c>
      <c r="K3429" s="35" t="str">
        <f aca="false">IF($A3429="","",MOD(MONTH($A3429)-Setup!$B$6+12,12)+1)</f>
        <v/>
      </c>
      <c r="L3429" s="36" t="str">
        <f aca="false">IF($A3429="","",TEXT($A3429,"MMM-YY"))</f>
        <v/>
      </c>
      <c r="M3429" s="37" t="str">
        <f aca="false">IF($A3429="","",IF($Q3429=0,"UNMAPPED",INDEX(COA_Mapping!$C$7:$C$256,$Q3429)))</f>
        <v/>
      </c>
      <c r="N3429" s="38" t="str">
        <f aca="false">IF($A3429="","",IF($Q3429=0,"",INDEX(COA_Mapping!$E$7:$E$256,$Q3429)))</f>
        <v/>
      </c>
      <c r="O3429" s="38" t="n">
        <f aca="false">IF($A3429="",1,IF($Q3429=0,1,INDEX(COA_Mapping!$F$7:$F$256,$Q3429)))</f>
        <v>1</v>
      </c>
      <c r="P3429" s="34" t="str">
        <f aca="false">IF($A3429="","",$I3429*$O3429)</f>
        <v/>
      </c>
      <c r="Q3429" s="39" t="n">
        <f aca="false">IF($B3429="",0,IFERROR(MATCH($B3429,COA_Mapping!$A$7:$A$256,0),0))</f>
        <v>0</v>
      </c>
      <c r="R3429" s="39" t="n">
        <f aca="false">IF($A3429="",-1,IF($J3429=Setup!$B$7,1,IF($J3429=Setup!$B$9,0,-1)))</f>
        <v>-1</v>
      </c>
      <c r="S3429" s="35" t="n">
        <f aca="false">IF(OR($A3429="",$Q3429=0,$R3429=-1),0,$Q3429*1000+$R3429*100+$K3429)</f>
        <v>0</v>
      </c>
      <c r="T3429" s="37" t="str">
        <f aca="false">IF($A3429="","",IF($B3429="","NO ACCOUNT",IF($Q3429=0,"UNMAPPED",IF($R3429=-1,"OUTSIDE FY RANGE","OK"))))</f>
        <v/>
      </c>
      <c r="U3429" s="40" t="str">
        <f aca="false">IF($A3429="","",$B3429&amp;"|"&amp;TEXT($A3429,"yyyymmdd")&amp;"|"&amp;TEXT($I3429,"0.00"))</f>
        <v/>
      </c>
      <c r="V3429" s="35" t="str">
        <f aca="false">IF($A3429="","",COUNTIF($U$8:$U$5007,$U3429))</f>
        <v/>
      </c>
    </row>
    <row r="3430" customFormat="false" ht="15" hidden="false" customHeight="false" outlineLevel="0" collapsed="false">
      <c r="A3430" s="31"/>
      <c r="B3430" s="32"/>
      <c r="C3430" s="32"/>
      <c r="D3430" s="32"/>
      <c r="E3430" s="32"/>
      <c r="F3430" s="32"/>
      <c r="G3430" s="33"/>
      <c r="H3430" s="33"/>
      <c r="I3430" s="34" t="str">
        <f aca="false">IF($A3430="","",$G3430-$H3430)</f>
        <v/>
      </c>
      <c r="J3430" s="35" t="str">
        <f aca="false">IF($A3430="","",IF(Setup!$B$6=1,YEAR($A3430),YEAR($A3430)+IF(MONTH($A3430)&gt;=Setup!$B$6,1,0)))</f>
        <v/>
      </c>
      <c r="K3430" s="35" t="str">
        <f aca="false">IF($A3430="","",MOD(MONTH($A3430)-Setup!$B$6+12,12)+1)</f>
        <v/>
      </c>
      <c r="L3430" s="36" t="str">
        <f aca="false">IF($A3430="","",TEXT($A3430,"MMM-YY"))</f>
        <v/>
      </c>
      <c r="M3430" s="37" t="str">
        <f aca="false">IF($A3430="","",IF($Q3430=0,"UNMAPPED",INDEX(COA_Mapping!$C$7:$C$256,$Q3430)))</f>
        <v/>
      </c>
      <c r="N3430" s="38" t="str">
        <f aca="false">IF($A3430="","",IF($Q3430=0,"",INDEX(COA_Mapping!$E$7:$E$256,$Q3430)))</f>
        <v/>
      </c>
      <c r="O3430" s="38" t="n">
        <f aca="false">IF($A3430="",1,IF($Q3430=0,1,INDEX(COA_Mapping!$F$7:$F$256,$Q3430)))</f>
        <v>1</v>
      </c>
      <c r="P3430" s="34" t="str">
        <f aca="false">IF($A3430="","",$I3430*$O3430)</f>
        <v/>
      </c>
      <c r="Q3430" s="39" t="n">
        <f aca="false">IF($B3430="",0,IFERROR(MATCH($B3430,COA_Mapping!$A$7:$A$256,0),0))</f>
        <v>0</v>
      </c>
      <c r="R3430" s="39" t="n">
        <f aca="false">IF($A3430="",-1,IF($J3430=Setup!$B$7,1,IF($J3430=Setup!$B$9,0,-1)))</f>
        <v>-1</v>
      </c>
      <c r="S3430" s="35" t="n">
        <f aca="false">IF(OR($A3430="",$Q3430=0,$R3430=-1),0,$Q3430*1000+$R3430*100+$K3430)</f>
        <v>0</v>
      </c>
      <c r="T3430" s="37" t="str">
        <f aca="false">IF($A3430="","",IF($B3430="","NO ACCOUNT",IF($Q3430=0,"UNMAPPED",IF($R3430=-1,"OUTSIDE FY RANGE","OK"))))</f>
        <v/>
      </c>
      <c r="U3430" s="40" t="str">
        <f aca="false">IF($A3430="","",$B3430&amp;"|"&amp;TEXT($A3430,"yyyymmdd")&amp;"|"&amp;TEXT($I3430,"0.00"))</f>
        <v/>
      </c>
      <c r="V3430" s="35" t="str">
        <f aca="false">IF($A3430="","",COUNTIF($U$8:$U$5007,$U3430))</f>
        <v/>
      </c>
    </row>
    <row r="3431" customFormat="false" ht="15" hidden="false" customHeight="false" outlineLevel="0" collapsed="false">
      <c r="A3431" s="31"/>
      <c r="B3431" s="32"/>
      <c r="C3431" s="32"/>
      <c r="D3431" s="32"/>
      <c r="E3431" s="32"/>
      <c r="F3431" s="32"/>
      <c r="G3431" s="33"/>
      <c r="H3431" s="33"/>
      <c r="I3431" s="34" t="str">
        <f aca="false">IF($A3431="","",$G3431-$H3431)</f>
        <v/>
      </c>
      <c r="J3431" s="35" t="str">
        <f aca="false">IF($A3431="","",IF(Setup!$B$6=1,YEAR($A3431),YEAR($A3431)+IF(MONTH($A3431)&gt;=Setup!$B$6,1,0)))</f>
        <v/>
      </c>
      <c r="K3431" s="35" t="str">
        <f aca="false">IF($A3431="","",MOD(MONTH($A3431)-Setup!$B$6+12,12)+1)</f>
        <v/>
      </c>
      <c r="L3431" s="36" t="str">
        <f aca="false">IF($A3431="","",TEXT($A3431,"MMM-YY"))</f>
        <v/>
      </c>
      <c r="M3431" s="37" t="str">
        <f aca="false">IF($A3431="","",IF($Q3431=0,"UNMAPPED",INDEX(COA_Mapping!$C$7:$C$256,$Q3431)))</f>
        <v/>
      </c>
      <c r="N3431" s="38" t="str">
        <f aca="false">IF($A3431="","",IF($Q3431=0,"",INDEX(COA_Mapping!$E$7:$E$256,$Q3431)))</f>
        <v/>
      </c>
      <c r="O3431" s="38" t="n">
        <f aca="false">IF($A3431="",1,IF($Q3431=0,1,INDEX(COA_Mapping!$F$7:$F$256,$Q3431)))</f>
        <v>1</v>
      </c>
      <c r="P3431" s="34" t="str">
        <f aca="false">IF($A3431="","",$I3431*$O3431)</f>
        <v/>
      </c>
      <c r="Q3431" s="39" t="n">
        <f aca="false">IF($B3431="",0,IFERROR(MATCH($B3431,COA_Mapping!$A$7:$A$256,0),0))</f>
        <v>0</v>
      </c>
      <c r="R3431" s="39" t="n">
        <f aca="false">IF($A3431="",-1,IF($J3431=Setup!$B$7,1,IF($J3431=Setup!$B$9,0,-1)))</f>
        <v>-1</v>
      </c>
      <c r="S3431" s="35" t="n">
        <f aca="false">IF(OR($A3431="",$Q3431=0,$R3431=-1),0,$Q3431*1000+$R3431*100+$K3431)</f>
        <v>0</v>
      </c>
      <c r="T3431" s="37" t="str">
        <f aca="false">IF($A3431="","",IF($B3431="","NO ACCOUNT",IF($Q3431=0,"UNMAPPED",IF($R3431=-1,"OUTSIDE FY RANGE","OK"))))</f>
        <v/>
      </c>
      <c r="U3431" s="40" t="str">
        <f aca="false">IF($A3431="","",$B3431&amp;"|"&amp;TEXT($A3431,"yyyymmdd")&amp;"|"&amp;TEXT($I3431,"0.00"))</f>
        <v/>
      </c>
      <c r="V3431" s="35" t="str">
        <f aca="false">IF($A3431="","",COUNTIF($U$8:$U$5007,$U3431))</f>
        <v/>
      </c>
    </row>
    <row r="3432" customFormat="false" ht="15" hidden="false" customHeight="false" outlineLevel="0" collapsed="false">
      <c r="A3432" s="31"/>
      <c r="B3432" s="32"/>
      <c r="C3432" s="32"/>
      <c r="D3432" s="32"/>
      <c r="E3432" s="32"/>
      <c r="F3432" s="32"/>
      <c r="G3432" s="33"/>
      <c r="H3432" s="33"/>
      <c r="I3432" s="34" t="str">
        <f aca="false">IF($A3432="","",$G3432-$H3432)</f>
        <v/>
      </c>
      <c r="J3432" s="35" t="str">
        <f aca="false">IF($A3432="","",IF(Setup!$B$6=1,YEAR($A3432),YEAR($A3432)+IF(MONTH($A3432)&gt;=Setup!$B$6,1,0)))</f>
        <v/>
      </c>
      <c r="K3432" s="35" t="str">
        <f aca="false">IF($A3432="","",MOD(MONTH($A3432)-Setup!$B$6+12,12)+1)</f>
        <v/>
      </c>
      <c r="L3432" s="36" t="str">
        <f aca="false">IF($A3432="","",TEXT($A3432,"MMM-YY"))</f>
        <v/>
      </c>
      <c r="M3432" s="37" t="str">
        <f aca="false">IF($A3432="","",IF($Q3432=0,"UNMAPPED",INDEX(COA_Mapping!$C$7:$C$256,$Q3432)))</f>
        <v/>
      </c>
      <c r="N3432" s="38" t="str">
        <f aca="false">IF($A3432="","",IF($Q3432=0,"",INDEX(COA_Mapping!$E$7:$E$256,$Q3432)))</f>
        <v/>
      </c>
      <c r="O3432" s="38" t="n">
        <f aca="false">IF($A3432="",1,IF($Q3432=0,1,INDEX(COA_Mapping!$F$7:$F$256,$Q3432)))</f>
        <v>1</v>
      </c>
      <c r="P3432" s="34" t="str">
        <f aca="false">IF($A3432="","",$I3432*$O3432)</f>
        <v/>
      </c>
      <c r="Q3432" s="39" t="n">
        <f aca="false">IF($B3432="",0,IFERROR(MATCH($B3432,COA_Mapping!$A$7:$A$256,0),0))</f>
        <v>0</v>
      </c>
      <c r="R3432" s="39" t="n">
        <f aca="false">IF($A3432="",-1,IF($J3432=Setup!$B$7,1,IF($J3432=Setup!$B$9,0,-1)))</f>
        <v>-1</v>
      </c>
      <c r="S3432" s="35" t="n">
        <f aca="false">IF(OR($A3432="",$Q3432=0,$R3432=-1),0,$Q3432*1000+$R3432*100+$K3432)</f>
        <v>0</v>
      </c>
      <c r="T3432" s="37" t="str">
        <f aca="false">IF($A3432="","",IF($B3432="","NO ACCOUNT",IF($Q3432=0,"UNMAPPED",IF($R3432=-1,"OUTSIDE FY RANGE","OK"))))</f>
        <v/>
      </c>
      <c r="U3432" s="40" t="str">
        <f aca="false">IF($A3432="","",$B3432&amp;"|"&amp;TEXT($A3432,"yyyymmdd")&amp;"|"&amp;TEXT($I3432,"0.00"))</f>
        <v/>
      </c>
      <c r="V3432" s="35" t="str">
        <f aca="false">IF($A3432="","",COUNTIF($U$8:$U$5007,$U3432))</f>
        <v/>
      </c>
    </row>
    <row r="3433" customFormat="false" ht="15" hidden="false" customHeight="false" outlineLevel="0" collapsed="false">
      <c r="A3433" s="31"/>
      <c r="B3433" s="32"/>
      <c r="C3433" s="32"/>
      <c r="D3433" s="32"/>
      <c r="E3433" s="32"/>
      <c r="F3433" s="32"/>
      <c r="G3433" s="33"/>
      <c r="H3433" s="33"/>
      <c r="I3433" s="34" t="str">
        <f aca="false">IF($A3433="","",$G3433-$H3433)</f>
        <v/>
      </c>
      <c r="J3433" s="35" t="str">
        <f aca="false">IF($A3433="","",IF(Setup!$B$6=1,YEAR($A3433),YEAR($A3433)+IF(MONTH($A3433)&gt;=Setup!$B$6,1,0)))</f>
        <v/>
      </c>
      <c r="K3433" s="35" t="str">
        <f aca="false">IF($A3433="","",MOD(MONTH($A3433)-Setup!$B$6+12,12)+1)</f>
        <v/>
      </c>
      <c r="L3433" s="36" t="str">
        <f aca="false">IF($A3433="","",TEXT($A3433,"MMM-YY"))</f>
        <v/>
      </c>
      <c r="M3433" s="37" t="str">
        <f aca="false">IF($A3433="","",IF($Q3433=0,"UNMAPPED",INDEX(COA_Mapping!$C$7:$C$256,$Q3433)))</f>
        <v/>
      </c>
      <c r="N3433" s="38" t="str">
        <f aca="false">IF($A3433="","",IF($Q3433=0,"",INDEX(COA_Mapping!$E$7:$E$256,$Q3433)))</f>
        <v/>
      </c>
      <c r="O3433" s="38" t="n">
        <f aca="false">IF($A3433="",1,IF($Q3433=0,1,INDEX(COA_Mapping!$F$7:$F$256,$Q3433)))</f>
        <v>1</v>
      </c>
      <c r="P3433" s="34" t="str">
        <f aca="false">IF($A3433="","",$I3433*$O3433)</f>
        <v/>
      </c>
      <c r="Q3433" s="39" t="n">
        <f aca="false">IF($B3433="",0,IFERROR(MATCH($B3433,COA_Mapping!$A$7:$A$256,0),0))</f>
        <v>0</v>
      </c>
      <c r="R3433" s="39" t="n">
        <f aca="false">IF($A3433="",-1,IF($J3433=Setup!$B$7,1,IF($J3433=Setup!$B$9,0,-1)))</f>
        <v>-1</v>
      </c>
      <c r="S3433" s="35" t="n">
        <f aca="false">IF(OR($A3433="",$Q3433=0,$R3433=-1),0,$Q3433*1000+$R3433*100+$K3433)</f>
        <v>0</v>
      </c>
      <c r="T3433" s="37" t="str">
        <f aca="false">IF($A3433="","",IF($B3433="","NO ACCOUNT",IF($Q3433=0,"UNMAPPED",IF($R3433=-1,"OUTSIDE FY RANGE","OK"))))</f>
        <v/>
      </c>
      <c r="U3433" s="40" t="str">
        <f aca="false">IF($A3433="","",$B3433&amp;"|"&amp;TEXT($A3433,"yyyymmdd")&amp;"|"&amp;TEXT($I3433,"0.00"))</f>
        <v/>
      </c>
      <c r="V3433" s="35" t="str">
        <f aca="false">IF($A3433="","",COUNTIF($U$8:$U$5007,$U3433))</f>
        <v/>
      </c>
    </row>
    <row r="3434" customFormat="false" ht="15" hidden="false" customHeight="false" outlineLevel="0" collapsed="false">
      <c r="A3434" s="31"/>
      <c r="B3434" s="32"/>
      <c r="C3434" s="32"/>
      <c r="D3434" s="32"/>
      <c r="E3434" s="32"/>
      <c r="F3434" s="32"/>
      <c r="G3434" s="33"/>
      <c r="H3434" s="33"/>
      <c r="I3434" s="34" t="str">
        <f aca="false">IF($A3434="","",$G3434-$H3434)</f>
        <v/>
      </c>
      <c r="J3434" s="35" t="str">
        <f aca="false">IF($A3434="","",IF(Setup!$B$6=1,YEAR($A3434),YEAR($A3434)+IF(MONTH($A3434)&gt;=Setup!$B$6,1,0)))</f>
        <v/>
      </c>
      <c r="K3434" s="35" t="str">
        <f aca="false">IF($A3434="","",MOD(MONTH($A3434)-Setup!$B$6+12,12)+1)</f>
        <v/>
      </c>
      <c r="L3434" s="36" t="str">
        <f aca="false">IF($A3434="","",TEXT($A3434,"MMM-YY"))</f>
        <v/>
      </c>
      <c r="M3434" s="37" t="str">
        <f aca="false">IF($A3434="","",IF($Q3434=0,"UNMAPPED",INDEX(COA_Mapping!$C$7:$C$256,$Q3434)))</f>
        <v/>
      </c>
      <c r="N3434" s="38" t="str">
        <f aca="false">IF($A3434="","",IF($Q3434=0,"",INDEX(COA_Mapping!$E$7:$E$256,$Q3434)))</f>
        <v/>
      </c>
      <c r="O3434" s="38" t="n">
        <f aca="false">IF($A3434="",1,IF($Q3434=0,1,INDEX(COA_Mapping!$F$7:$F$256,$Q3434)))</f>
        <v>1</v>
      </c>
      <c r="P3434" s="34" t="str">
        <f aca="false">IF($A3434="","",$I3434*$O3434)</f>
        <v/>
      </c>
      <c r="Q3434" s="39" t="n">
        <f aca="false">IF($B3434="",0,IFERROR(MATCH($B3434,COA_Mapping!$A$7:$A$256,0),0))</f>
        <v>0</v>
      </c>
      <c r="R3434" s="39" t="n">
        <f aca="false">IF($A3434="",-1,IF($J3434=Setup!$B$7,1,IF($J3434=Setup!$B$9,0,-1)))</f>
        <v>-1</v>
      </c>
      <c r="S3434" s="35" t="n">
        <f aca="false">IF(OR($A3434="",$Q3434=0,$R3434=-1),0,$Q3434*1000+$R3434*100+$K3434)</f>
        <v>0</v>
      </c>
      <c r="T3434" s="37" t="str">
        <f aca="false">IF($A3434="","",IF($B3434="","NO ACCOUNT",IF($Q3434=0,"UNMAPPED",IF($R3434=-1,"OUTSIDE FY RANGE","OK"))))</f>
        <v/>
      </c>
      <c r="U3434" s="40" t="str">
        <f aca="false">IF($A3434="","",$B3434&amp;"|"&amp;TEXT($A3434,"yyyymmdd")&amp;"|"&amp;TEXT($I3434,"0.00"))</f>
        <v/>
      </c>
      <c r="V3434" s="35" t="str">
        <f aca="false">IF($A3434="","",COUNTIF($U$8:$U$5007,$U3434))</f>
        <v/>
      </c>
    </row>
    <row r="3435" customFormat="false" ht="15" hidden="false" customHeight="false" outlineLevel="0" collapsed="false">
      <c r="A3435" s="31"/>
      <c r="B3435" s="32"/>
      <c r="C3435" s="32"/>
      <c r="D3435" s="32"/>
      <c r="E3435" s="32"/>
      <c r="F3435" s="32"/>
      <c r="G3435" s="33"/>
      <c r="H3435" s="33"/>
      <c r="I3435" s="34" t="str">
        <f aca="false">IF($A3435="","",$G3435-$H3435)</f>
        <v/>
      </c>
      <c r="J3435" s="35" t="str">
        <f aca="false">IF($A3435="","",IF(Setup!$B$6=1,YEAR($A3435),YEAR($A3435)+IF(MONTH($A3435)&gt;=Setup!$B$6,1,0)))</f>
        <v/>
      </c>
      <c r="K3435" s="35" t="str">
        <f aca="false">IF($A3435="","",MOD(MONTH($A3435)-Setup!$B$6+12,12)+1)</f>
        <v/>
      </c>
      <c r="L3435" s="36" t="str">
        <f aca="false">IF($A3435="","",TEXT($A3435,"MMM-YY"))</f>
        <v/>
      </c>
      <c r="M3435" s="37" t="str">
        <f aca="false">IF($A3435="","",IF($Q3435=0,"UNMAPPED",INDEX(COA_Mapping!$C$7:$C$256,$Q3435)))</f>
        <v/>
      </c>
      <c r="N3435" s="38" t="str">
        <f aca="false">IF($A3435="","",IF($Q3435=0,"",INDEX(COA_Mapping!$E$7:$E$256,$Q3435)))</f>
        <v/>
      </c>
      <c r="O3435" s="38" t="n">
        <f aca="false">IF($A3435="",1,IF($Q3435=0,1,INDEX(COA_Mapping!$F$7:$F$256,$Q3435)))</f>
        <v>1</v>
      </c>
      <c r="P3435" s="34" t="str">
        <f aca="false">IF($A3435="","",$I3435*$O3435)</f>
        <v/>
      </c>
      <c r="Q3435" s="39" t="n">
        <f aca="false">IF($B3435="",0,IFERROR(MATCH($B3435,COA_Mapping!$A$7:$A$256,0),0))</f>
        <v>0</v>
      </c>
      <c r="R3435" s="39" t="n">
        <f aca="false">IF($A3435="",-1,IF($J3435=Setup!$B$7,1,IF($J3435=Setup!$B$9,0,-1)))</f>
        <v>-1</v>
      </c>
      <c r="S3435" s="35" t="n">
        <f aca="false">IF(OR($A3435="",$Q3435=0,$R3435=-1),0,$Q3435*1000+$R3435*100+$K3435)</f>
        <v>0</v>
      </c>
      <c r="T3435" s="37" t="str">
        <f aca="false">IF($A3435="","",IF($B3435="","NO ACCOUNT",IF($Q3435=0,"UNMAPPED",IF($R3435=-1,"OUTSIDE FY RANGE","OK"))))</f>
        <v/>
      </c>
      <c r="U3435" s="40" t="str">
        <f aca="false">IF($A3435="","",$B3435&amp;"|"&amp;TEXT($A3435,"yyyymmdd")&amp;"|"&amp;TEXT($I3435,"0.00"))</f>
        <v/>
      </c>
      <c r="V3435" s="35" t="str">
        <f aca="false">IF($A3435="","",COUNTIF($U$8:$U$5007,$U3435))</f>
        <v/>
      </c>
    </row>
    <row r="3436" customFormat="false" ht="15" hidden="false" customHeight="false" outlineLevel="0" collapsed="false">
      <c r="A3436" s="31"/>
      <c r="B3436" s="32"/>
      <c r="C3436" s="32"/>
      <c r="D3436" s="32"/>
      <c r="E3436" s="32"/>
      <c r="F3436" s="32"/>
      <c r="G3436" s="33"/>
      <c r="H3436" s="33"/>
      <c r="I3436" s="34" t="str">
        <f aca="false">IF($A3436="","",$G3436-$H3436)</f>
        <v/>
      </c>
      <c r="J3436" s="35" t="str">
        <f aca="false">IF($A3436="","",IF(Setup!$B$6=1,YEAR($A3436),YEAR($A3436)+IF(MONTH($A3436)&gt;=Setup!$B$6,1,0)))</f>
        <v/>
      </c>
      <c r="K3436" s="35" t="str">
        <f aca="false">IF($A3436="","",MOD(MONTH($A3436)-Setup!$B$6+12,12)+1)</f>
        <v/>
      </c>
      <c r="L3436" s="36" t="str">
        <f aca="false">IF($A3436="","",TEXT($A3436,"MMM-YY"))</f>
        <v/>
      </c>
      <c r="M3436" s="37" t="str">
        <f aca="false">IF($A3436="","",IF($Q3436=0,"UNMAPPED",INDEX(COA_Mapping!$C$7:$C$256,$Q3436)))</f>
        <v/>
      </c>
      <c r="N3436" s="38" t="str">
        <f aca="false">IF($A3436="","",IF($Q3436=0,"",INDEX(COA_Mapping!$E$7:$E$256,$Q3436)))</f>
        <v/>
      </c>
      <c r="O3436" s="38" t="n">
        <f aca="false">IF($A3436="",1,IF($Q3436=0,1,INDEX(COA_Mapping!$F$7:$F$256,$Q3436)))</f>
        <v>1</v>
      </c>
      <c r="P3436" s="34" t="str">
        <f aca="false">IF($A3436="","",$I3436*$O3436)</f>
        <v/>
      </c>
      <c r="Q3436" s="39" t="n">
        <f aca="false">IF($B3436="",0,IFERROR(MATCH($B3436,COA_Mapping!$A$7:$A$256,0),0))</f>
        <v>0</v>
      </c>
      <c r="R3436" s="39" t="n">
        <f aca="false">IF($A3436="",-1,IF($J3436=Setup!$B$7,1,IF($J3436=Setup!$B$9,0,-1)))</f>
        <v>-1</v>
      </c>
      <c r="S3436" s="35" t="n">
        <f aca="false">IF(OR($A3436="",$Q3436=0,$R3436=-1),0,$Q3436*1000+$R3436*100+$K3436)</f>
        <v>0</v>
      </c>
      <c r="T3436" s="37" t="str">
        <f aca="false">IF($A3436="","",IF($B3436="","NO ACCOUNT",IF($Q3436=0,"UNMAPPED",IF($R3436=-1,"OUTSIDE FY RANGE","OK"))))</f>
        <v/>
      </c>
      <c r="U3436" s="40" t="str">
        <f aca="false">IF($A3436="","",$B3436&amp;"|"&amp;TEXT($A3436,"yyyymmdd")&amp;"|"&amp;TEXT($I3436,"0.00"))</f>
        <v/>
      </c>
      <c r="V3436" s="35" t="str">
        <f aca="false">IF($A3436="","",COUNTIF($U$8:$U$5007,$U3436))</f>
        <v/>
      </c>
    </row>
    <row r="3437" customFormat="false" ht="15" hidden="false" customHeight="false" outlineLevel="0" collapsed="false">
      <c r="A3437" s="31"/>
      <c r="B3437" s="32"/>
      <c r="C3437" s="32"/>
      <c r="D3437" s="32"/>
      <c r="E3437" s="32"/>
      <c r="F3437" s="32"/>
      <c r="G3437" s="33"/>
      <c r="H3437" s="33"/>
      <c r="I3437" s="34" t="str">
        <f aca="false">IF($A3437="","",$G3437-$H3437)</f>
        <v/>
      </c>
      <c r="J3437" s="35" t="str">
        <f aca="false">IF($A3437="","",IF(Setup!$B$6=1,YEAR($A3437),YEAR($A3437)+IF(MONTH($A3437)&gt;=Setup!$B$6,1,0)))</f>
        <v/>
      </c>
      <c r="K3437" s="35" t="str">
        <f aca="false">IF($A3437="","",MOD(MONTH($A3437)-Setup!$B$6+12,12)+1)</f>
        <v/>
      </c>
      <c r="L3437" s="36" t="str">
        <f aca="false">IF($A3437="","",TEXT($A3437,"MMM-YY"))</f>
        <v/>
      </c>
      <c r="M3437" s="37" t="str">
        <f aca="false">IF($A3437="","",IF($Q3437=0,"UNMAPPED",INDEX(COA_Mapping!$C$7:$C$256,$Q3437)))</f>
        <v/>
      </c>
      <c r="N3437" s="38" t="str">
        <f aca="false">IF($A3437="","",IF($Q3437=0,"",INDEX(COA_Mapping!$E$7:$E$256,$Q3437)))</f>
        <v/>
      </c>
      <c r="O3437" s="38" t="n">
        <f aca="false">IF($A3437="",1,IF($Q3437=0,1,INDEX(COA_Mapping!$F$7:$F$256,$Q3437)))</f>
        <v>1</v>
      </c>
      <c r="P3437" s="34" t="str">
        <f aca="false">IF($A3437="","",$I3437*$O3437)</f>
        <v/>
      </c>
      <c r="Q3437" s="39" t="n">
        <f aca="false">IF($B3437="",0,IFERROR(MATCH($B3437,COA_Mapping!$A$7:$A$256,0),0))</f>
        <v>0</v>
      </c>
      <c r="R3437" s="39" t="n">
        <f aca="false">IF($A3437="",-1,IF($J3437=Setup!$B$7,1,IF($J3437=Setup!$B$9,0,-1)))</f>
        <v>-1</v>
      </c>
      <c r="S3437" s="35" t="n">
        <f aca="false">IF(OR($A3437="",$Q3437=0,$R3437=-1),0,$Q3437*1000+$R3437*100+$K3437)</f>
        <v>0</v>
      </c>
      <c r="T3437" s="37" t="str">
        <f aca="false">IF($A3437="","",IF($B3437="","NO ACCOUNT",IF($Q3437=0,"UNMAPPED",IF($R3437=-1,"OUTSIDE FY RANGE","OK"))))</f>
        <v/>
      </c>
      <c r="U3437" s="40" t="str">
        <f aca="false">IF($A3437="","",$B3437&amp;"|"&amp;TEXT($A3437,"yyyymmdd")&amp;"|"&amp;TEXT($I3437,"0.00"))</f>
        <v/>
      </c>
      <c r="V3437" s="35" t="str">
        <f aca="false">IF($A3437="","",COUNTIF($U$8:$U$5007,$U3437))</f>
        <v/>
      </c>
    </row>
    <row r="3438" customFormat="false" ht="15" hidden="false" customHeight="false" outlineLevel="0" collapsed="false">
      <c r="A3438" s="31"/>
      <c r="B3438" s="32"/>
      <c r="C3438" s="32"/>
      <c r="D3438" s="32"/>
      <c r="E3438" s="32"/>
      <c r="F3438" s="32"/>
      <c r="G3438" s="33"/>
      <c r="H3438" s="33"/>
      <c r="I3438" s="34" t="str">
        <f aca="false">IF($A3438="","",$G3438-$H3438)</f>
        <v/>
      </c>
      <c r="J3438" s="35" t="str">
        <f aca="false">IF($A3438="","",IF(Setup!$B$6=1,YEAR($A3438),YEAR($A3438)+IF(MONTH($A3438)&gt;=Setup!$B$6,1,0)))</f>
        <v/>
      </c>
      <c r="K3438" s="35" t="str">
        <f aca="false">IF($A3438="","",MOD(MONTH($A3438)-Setup!$B$6+12,12)+1)</f>
        <v/>
      </c>
      <c r="L3438" s="36" t="str">
        <f aca="false">IF($A3438="","",TEXT($A3438,"MMM-YY"))</f>
        <v/>
      </c>
      <c r="M3438" s="37" t="str">
        <f aca="false">IF($A3438="","",IF($Q3438=0,"UNMAPPED",INDEX(COA_Mapping!$C$7:$C$256,$Q3438)))</f>
        <v/>
      </c>
      <c r="N3438" s="38" t="str">
        <f aca="false">IF($A3438="","",IF($Q3438=0,"",INDEX(COA_Mapping!$E$7:$E$256,$Q3438)))</f>
        <v/>
      </c>
      <c r="O3438" s="38" t="n">
        <f aca="false">IF($A3438="",1,IF($Q3438=0,1,INDEX(COA_Mapping!$F$7:$F$256,$Q3438)))</f>
        <v>1</v>
      </c>
      <c r="P3438" s="34" t="str">
        <f aca="false">IF($A3438="","",$I3438*$O3438)</f>
        <v/>
      </c>
      <c r="Q3438" s="39" t="n">
        <f aca="false">IF($B3438="",0,IFERROR(MATCH($B3438,COA_Mapping!$A$7:$A$256,0),0))</f>
        <v>0</v>
      </c>
      <c r="R3438" s="39" t="n">
        <f aca="false">IF($A3438="",-1,IF($J3438=Setup!$B$7,1,IF($J3438=Setup!$B$9,0,-1)))</f>
        <v>-1</v>
      </c>
      <c r="S3438" s="35" t="n">
        <f aca="false">IF(OR($A3438="",$Q3438=0,$R3438=-1),0,$Q3438*1000+$R3438*100+$K3438)</f>
        <v>0</v>
      </c>
      <c r="T3438" s="37" t="str">
        <f aca="false">IF($A3438="","",IF($B3438="","NO ACCOUNT",IF($Q3438=0,"UNMAPPED",IF($R3438=-1,"OUTSIDE FY RANGE","OK"))))</f>
        <v/>
      </c>
      <c r="U3438" s="40" t="str">
        <f aca="false">IF($A3438="","",$B3438&amp;"|"&amp;TEXT($A3438,"yyyymmdd")&amp;"|"&amp;TEXT($I3438,"0.00"))</f>
        <v/>
      </c>
      <c r="V3438" s="35" t="str">
        <f aca="false">IF($A3438="","",COUNTIF($U$8:$U$5007,$U3438))</f>
        <v/>
      </c>
    </row>
    <row r="3439" customFormat="false" ht="15" hidden="false" customHeight="false" outlineLevel="0" collapsed="false">
      <c r="A3439" s="31"/>
      <c r="B3439" s="32"/>
      <c r="C3439" s="32"/>
      <c r="D3439" s="32"/>
      <c r="E3439" s="32"/>
      <c r="F3439" s="32"/>
      <c r="G3439" s="33"/>
      <c r="H3439" s="33"/>
      <c r="I3439" s="34" t="str">
        <f aca="false">IF($A3439="","",$G3439-$H3439)</f>
        <v/>
      </c>
      <c r="J3439" s="35" t="str">
        <f aca="false">IF($A3439="","",IF(Setup!$B$6=1,YEAR($A3439),YEAR($A3439)+IF(MONTH($A3439)&gt;=Setup!$B$6,1,0)))</f>
        <v/>
      </c>
      <c r="K3439" s="35" t="str">
        <f aca="false">IF($A3439="","",MOD(MONTH($A3439)-Setup!$B$6+12,12)+1)</f>
        <v/>
      </c>
      <c r="L3439" s="36" t="str">
        <f aca="false">IF($A3439="","",TEXT($A3439,"MMM-YY"))</f>
        <v/>
      </c>
      <c r="M3439" s="37" t="str">
        <f aca="false">IF($A3439="","",IF($Q3439=0,"UNMAPPED",INDEX(COA_Mapping!$C$7:$C$256,$Q3439)))</f>
        <v/>
      </c>
      <c r="N3439" s="38" t="str">
        <f aca="false">IF($A3439="","",IF($Q3439=0,"",INDEX(COA_Mapping!$E$7:$E$256,$Q3439)))</f>
        <v/>
      </c>
      <c r="O3439" s="38" t="n">
        <f aca="false">IF($A3439="",1,IF($Q3439=0,1,INDEX(COA_Mapping!$F$7:$F$256,$Q3439)))</f>
        <v>1</v>
      </c>
      <c r="P3439" s="34" t="str">
        <f aca="false">IF($A3439="","",$I3439*$O3439)</f>
        <v/>
      </c>
      <c r="Q3439" s="39" t="n">
        <f aca="false">IF($B3439="",0,IFERROR(MATCH($B3439,COA_Mapping!$A$7:$A$256,0),0))</f>
        <v>0</v>
      </c>
      <c r="R3439" s="39" t="n">
        <f aca="false">IF($A3439="",-1,IF($J3439=Setup!$B$7,1,IF($J3439=Setup!$B$9,0,-1)))</f>
        <v>-1</v>
      </c>
      <c r="S3439" s="35" t="n">
        <f aca="false">IF(OR($A3439="",$Q3439=0,$R3439=-1),0,$Q3439*1000+$R3439*100+$K3439)</f>
        <v>0</v>
      </c>
      <c r="T3439" s="37" t="str">
        <f aca="false">IF($A3439="","",IF($B3439="","NO ACCOUNT",IF($Q3439=0,"UNMAPPED",IF($R3439=-1,"OUTSIDE FY RANGE","OK"))))</f>
        <v/>
      </c>
      <c r="U3439" s="40" t="str">
        <f aca="false">IF($A3439="","",$B3439&amp;"|"&amp;TEXT($A3439,"yyyymmdd")&amp;"|"&amp;TEXT($I3439,"0.00"))</f>
        <v/>
      </c>
      <c r="V3439" s="35" t="str">
        <f aca="false">IF($A3439="","",COUNTIF($U$8:$U$5007,$U3439))</f>
        <v/>
      </c>
    </row>
    <row r="3440" customFormat="false" ht="15" hidden="false" customHeight="false" outlineLevel="0" collapsed="false">
      <c r="A3440" s="31"/>
      <c r="B3440" s="32"/>
      <c r="C3440" s="32"/>
      <c r="D3440" s="32"/>
      <c r="E3440" s="32"/>
      <c r="F3440" s="32"/>
      <c r="G3440" s="33"/>
      <c r="H3440" s="33"/>
      <c r="I3440" s="34" t="str">
        <f aca="false">IF($A3440="","",$G3440-$H3440)</f>
        <v/>
      </c>
      <c r="J3440" s="35" t="str">
        <f aca="false">IF($A3440="","",IF(Setup!$B$6=1,YEAR($A3440),YEAR($A3440)+IF(MONTH($A3440)&gt;=Setup!$B$6,1,0)))</f>
        <v/>
      </c>
      <c r="K3440" s="35" t="str">
        <f aca="false">IF($A3440="","",MOD(MONTH($A3440)-Setup!$B$6+12,12)+1)</f>
        <v/>
      </c>
      <c r="L3440" s="36" t="str">
        <f aca="false">IF($A3440="","",TEXT($A3440,"MMM-YY"))</f>
        <v/>
      </c>
      <c r="M3440" s="37" t="str">
        <f aca="false">IF($A3440="","",IF($Q3440=0,"UNMAPPED",INDEX(COA_Mapping!$C$7:$C$256,$Q3440)))</f>
        <v/>
      </c>
      <c r="N3440" s="38" t="str">
        <f aca="false">IF($A3440="","",IF($Q3440=0,"",INDEX(COA_Mapping!$E$7:$E$256,$Q3440)))</f>
        <v/>
      </c>
      <c r="O3440" s="38" t="n">
        <f aca="false">IF($A3440="",1,IF($Q3440=0,1,INDEX(COA_Mapping!$F$7:$F$256,$Q3440)))</f>
        <v>1</v>
      </c>
      <c r="P3440" s="34" t="str">
        <f aca="false">IF($A3440="","",$I3440*$O3440)</f>
        <v/>
      </c>
      <c r="Q3440" s="39" t="n">
        <f aca="false">IF($B3440="",0,IFERROR(MATCH($B3440,COA_Mapping!$A$7:$A$256,0),0))</f>
        <v>0</v>
      </c>
      <c r="R3440" s="39" t="n">
        <f aca="false">IF($A3440="",-1,IF($J3440=Setup!$B$7,1,IF($J3440=Setup!$B$9,0,-1)))</f>
        <v>-1</v>
      </c>
      <c r="S3440" s="35" t="n">
        <f aca="false">IF(OR($A3440="",$Q3440=0,$R3440=-1),0,$Q3440*1000+$R3440*100+$K3440)</f>
        <v>0</v>
      </c>
      <c r="T3440" s="37" t="str">
        <f aca="false">IF($A3440="","",IF($B3440="","NO ACCOUNT",IF($Q3440=0,"UNMAPPED",IF($R3440=-1,"OUTSIDE FY RANGE","OK"))))</f>
        <v/>
      </c>
      <c r="U3440" s="40" t="str">
        <f aca="false">IF($A3440="","",$B3440&amp;"|"&amp;TEXT($A3440,"yyyymmdd")&amp;"|"&amp;TEXT($I3440,"0.00"))</f>
        <v/>
      </c>
      <c r="V3440" s="35" t="str">
        <f aca="false">IF($A3440="","",COUNTIF($U$8:$U$5007,$U3440))</f>
        <v/>
      </c>
    </row>
    <row r="3441" customFormat="false" ht="15" hidden="false" customHeight="false" outlineLevel="0" collapsed="false">
      <c r="A3441" s="31"/>
      <c r="B3441" s="32"/>
      <c r="C3441" s="32"/>
      <c r="D3441" s="32"/>
      <c r="E3441" s="32"/>
      <c r="F3441" s="32"/>
      <c r="G3441" s="33"/>
      <c r="H3441" s="33"/>
      <c r="I3441" s="34" t="str">
        <f aca="false">IF($A3441="","",$G3441-$H3441)</f>
        <v/>
      </c>
      <c r="J3441" s="35" t="str">
        <f aca="false">IF($A3441="","",IF(Setup!$B$6=1,YEAR($A3441),YEAR($A3441)+IF(MONTH($A3441)&gt;=Setup!$B$6,1,0)))</f>
        <v/>
      </c>
      <c r="K3441" s="35" t="str">
        <f aca="false">IF($A3441="","",MOD(MONTH($A3441)-Setup!$B$6+12,12)+1)</f>
        <v/>
      </c>
      <c r="L3441" s="36" t="str">
        <f aca="false">IF($A3441="","",TEXT($A3441,"MMM-YY"))</f>
        <v/>
      </c>
      <c r="M3441" s="37" t="str">
        <f aca="false">IF($A3441="","",IF($Q3441=0,"UNMAPPED",INDEX(COA_Mapping!$C$7:$C$256,$Q3441)))</f>
        <v/>
      </c>
      <c r="N3441" s="38" t="str">
        <f aca="false">IF($A3441="","",IF($Q3441=0,"",INDEX(COA_Mapping!$E$7:$E$256,$Q3441)))</f>
        <v/>
      </c>
      <c r="O3441" s="38" t="n">
        <f aca="false">IF($A3441="",1,IF($Q3441=0,1,INDEX(COA_Mapping!$F$7:$F$256,$Q3441)))</f>
        <v>1</v>
      </c>
      <c r="P3441" s="34" t="str">
        <f aca="false">IF($A3441="","",$I3441*$O3441)</f>
        <v/>
      </c>
      <c r="Q3441" s="39" t="n">
        <f aca="false">IF($B3441="",0,IFERROR(MATCH($B3441,COA_Mapping!$A$7:$A$256,0),0))</f>
        <v>0</v>
      </c>
      <c r="R3441" s="39" t="n">
        <f aca="false">IF($A3441="",-1,IF($J3441=Setup!$B$7,1,IF($J3441=Setup!$B$9,0,-1)))</f>
        <v>-1</v>
      </c>
      <c r="S3441" s="35" t="n">
        <f aca="false">IF(OR($A3441="",$Q3441=0,$R3441=-1),0,$Q3441*1000+$R3441*100+$K3441)</f>
        <v>0</v>
      </c>
      <c r="T3441" s="37" t="str">
        <f aca="false">IF($A3441="","",IF($B3441="","NO ACCOUNT",IF($Q3441=0,"UNMAPPED",IF($R3441=-1,"OUTSIDE FY RANGE","OK"))))</f>
        <v/>
      </c>
      <c r="U3441" s="40" t="str">
        <f aca="false">IF($A3441="","",$B3441&amp;"|"&amp;TEXT($A3441,"yyyymmdd")&amp;"|"&amp;TEXT($I3441,"0.00"))</f>
        <v/>
      </c>
      <c r="V3441" s="35" t="str">
        <f aca="false">IF($A3441="","",COUNTIF($U$8:$U$5007,$U3441))</f>
        <v/>
      </c>
    </row>
    <row r="3442" customFormat="false" ht="15" hidden="false" customHeight="false" outlineLevel="0" collapsed="false">
      <c r="A3442" s="31"/>
      <c r="B3442" s="32"/>
      <c r="C3442" s="32"/>
      <c r="D3442" s="32"/>
      <c r="E3442" s="32"/>
      <c r="F3442" s="32"/>
      <c r="G3442" s="33"/>
      <c r="H3442" s="33"/>
      <c r="I3442" s="34" t="str">
        <f aca="false">IF($A3442="","",$G3442-$H3442)</f>
        <v/>
      </c>
      <c r="J3442" s="35" t="str">
        <f aca="false">IF($A3442="","",IF(Setup!$B$6=1,YEAR($A3442),YEAR($A3442)+IF(MONTH($A3442)&gt;=Setup!$B$6,1,0)))</f>
        <v/>
      </c>
      <c r="K3442" s="35" t="str">
        <f aca="false">IF($A3442="","",MOD(MONTH($A3442)-Setup!$B$6+12,12)+1)</f>
        <v/>
      </c>
      <c r="L3442" s="36" t="str">
        <f aca="false">IF($A3442="","",TEXT($A3442,"MMM-YY"))</f>
        <v/>
      </c>
      <c r="M3442" s="37" t="str">
        <f aca="false">IF($A3442="","",IF($Q3442=0,"UNMAPPED",INDEX(COA_Mapping!$C$7:$C$256,$Q3442)))</f>
        <v/>
      </c>
      <c r="N3442" s="38" t="str">
        <f aca="false">IF($A3442="","",IF($Q3442=0,"",INDEX(COA_Mapping!$E$7:$E$256,$Q3442)))</f>
        <v/>
      </c>
      <c r="O3442" s="38" t="n">
        <f aca="false">IF($A3442="",1,IF($Q3442=0,1,INDEX(COA_Mapping!$F$7:$F$256,$Q3442)))</f>
        <v>1</v>
      </c>
      <c r="P3442" s="34" t="str">
        <f aca="false">IF($A3442="","",$I3442*$O3442)</f>
        <v/>
      </c>
      <c r="Q3442" s="39" t="n">
        <f aca="false">IF($B3442="",0,IFERROR(MATCH($B3442,COA_Mapping!$A$7:$A$256,0),0))</f>
        <v>0</v>
      </c>
      <c r="R3442" s="39" t="n">
        <f aca="false">IF($A3442="",-1,IF($J3442=Setup!$B$7,1,IF($J3442=Setup!$B$9,0,-1)))</f>
        <v>-1</v>
      </c>
      <c r="S3442" s="35" t="n">
        <f aca="false">IF(OR($A3442="",$Q3442=0,$R3442=-1),0,$Q3442*1000+$R3442*100+$K3442)</f>
        <v>0</v>
      </c>
      <c r="T3442" s="37" t="str">
        <f aca="false">IF($A3442="","",IF($B3442="","NO ACCOUNT",IF($Q3442=0,"UNMAPPED",IF($R3442=-1,"OUTSIDE FY RANGE","OK"))))</f>
        <v/>
      </c>
      <c r="U3442" s="40" t="str">
        <f aca="false">IF($A3442="","",$B3442&amp;"|"&amp;TEXT($A3442,"yyyymmdd")&amp;"|"&amp;TEXT($I3442,"0.00"))</f>
        <v/>
      </c>
      <c r="V3442" s="35" t="str">
        <f aca="false">IF($A3442="","",COUNTIF($U$8:$U$5007,$U3442))</f>
        <v/>
      </c>
    </row>
    <row r="3443" customFormat="false" ht="15" hidden="false" customHeight="false" outlineLevel="0" collapsed="false">
      <c r="A3443" s="31"/>
      <c r="B3443" s="32"/>
      <c r="C3443" s="32"/>
      <c r="D3443" s="32"/>
      <c r="E3443" s="32"/>
      <c r="F3443" s="32"/>
      <c r="G3443" s="33"/>
      <c r="H3443" s="33"/>
      <c r="I3443" s="34" t="str">
        <f aca="false">IF($A3443="","",$G3443-$H3443)</f>
        <v/>
      </c>
      <c r="J3443" s="35" t="str">
        <f aca="false">IF($A3443="","",IF(Setup!$B$6=1,YEAR($A3443),YEAR($A3443)+IF(MONTH($A3443)&gt;=Setup!$B$6,1,0)))</f>
        <v/>
      </c>
      <c r="K3443" s="35" t="str">
        <f aca="false">IF($A3443="","",MOD(MONTH($A3443)-Setup!$B$6+12,12)+1)</f>
        <v/>
      </c>
      <c r="L3443" s="36" t="str">
        <f aca="false">IF($A3443="","",TEXT($A3443,"MMM-YY"))</f>
        <v/>
      </c>
      <c r="M3443" s="37" t="str">
        <f aca="false">IF($A3443="","",IF($Q3443=0,"UNMAPPED",INDEX(COA_Mapping!$C$7:$C$256,$Q3443)))</f>
        <v/>
      </c>
      <c r="N3443" s="38" t="str">
        <f aca="false">IF($A3443="","",IF($Q3443=0,"",INDEX(COA_Mapping!$E$7:$E$256,$Q3443)))</f>
        <v/>
      </c>
      <c r="O3443" s="38" t="n">
        <f aca="false">IF($A3443="",1,IF($Q3443=0,1,INDEX(COA_Mapping!$F$7:$F$256,$Q3443)))</f>
        <v>1</v>
      </c>
      <c r="P3443" s="34" t="str">
        <f aca="false">IF($A3443="","",$I3443*$O3443)</f>
        <v/>
      </c>
      <c r="Q3443" s="39" t="n">
        <f aca="false">IF($B3443="",0,IFERROR(MATCH($B3443,COA_Mapping!$A$7:$A$256,0),0))</f>
        <v>0</v>
      </c>
      <c r="R3443" s="39" t="n">
        <f aca="false">IF($A3443="",-1,IF($J3443=Setup!$B$7,1,IF($J3443=Setup!$B$9,0,-1)))</f>
        <v>-1</v>
      </c>
      <c r="S3443" s="35" t="n">
        <f aca="false">IF(OR($A3443="",$Q3443=0,$R3443=-1),0,$Q3443*1000+$R3443*100+$K3443)</f>
        <v>0</v>
      </c>
      <c r="T3443" s="37" t="str">
        <f aca="false">IF($A3443="","",IF($B3443="","NO ACCOUNT",IF($Q3443=0,"UNMAPPED",IF($R3443=-1,"OUTSIDE FY RANGE","OK"))))</f>
        <v/>
      </c>
      <c r="U3443" s="40" t="str">
        <f aca="false">IF($A3443="","",$B3443&amp;"|"&amp;TEXT($A3443,"yyyymmdd")&amp;"|"&amp;TEXT($I3443,"0.00"))</f>
        <v/>
      </c>
      <c r="V3443" s="35" t="str">
        <f aca="false">IF($A3443="","",COUNTIF($U$8:$U$5007,$U3443))</f>
        <v/>
      </c>
    </row>
    <row r="3444" customFormat="false" ht="15" hidden="false" customHeight="false" outlineLevel="0" collapsed="false">
      <c r="A3444" s="31"/>
      <c r="B3444" s="32"/>
      <c r="C3444" s="32"/>
      <c r="D3444" s="32"/>
      <c r="E3444" s="32"/>
      <c r="F3444" s="32"/>
      <c r="G3444" s="33"/>
      <c r="H3444" s="33"/>
      <c r="I3444" s="34" t="str">
        <f aca="false">IF($A3444="","",$G3444-$H3444)</f>
        <v/>
      </c>
      <c r="J3444" s="35" t="str">
        <f aca="false">IF($A3444="","",IF(Setup!$B$6=1,YEAR($A3444),YEAR($A3444)+IF(MONTH($A3444)&gt;=Setup!$B$6,1,0)))</f>
        <v/>
      </c>
      <c r="K3444" s="35" t="str">
        <f aca="false">IF($A3444="","",MOD(MONTH($A3444)-Setup!$B$6+12,12)+1)</f>
        <v/>
      </c>
      <c r="L3444" s="36" t="str">
        <f aca="false">IF($A3444="","",TEXT($A3444,"MMM-YY"))</f>
        <v/>
      </c>
      <c r="M3444" s="37" t="str">
        <f aca="false">IF($A3444="","",IF($Q3444=0,"UNMAPPED",INDEX(COA_Mapping!$C$7:$C$256,$Q3444)))</f>
        <v/>
      </c>
      <c r="N3444" s="38" t="str">
        <f aca="false">IF($A3444="","",IF($Q3444=0,"",INDEX(COA_Mapping!$E$7:$E$256,$Q3444)))</f>
        <v/>
      </c>
      <c r="O3444" s="38" t="n">
        <f aca="false">IF($A3444="",1,IF($Q3444=0,1,INDEX(COA_Mapping!$F$7:$F$256,$Q3444)))</f>
        <v>1</v>
      </c>
      <c r="P3444" s="34" t="str">
        <f aca="false">IF($A3444="","",$I3444*$O3444)</f>
        <v/>
      </c>
      <c r="Q3444" s="39" t="n">
        <f aca="false">IF($B3444="",0,IFERROR(MATCH($B3444,COA_Mapping!$A$7:$A$256,0),0))</f>
        <v>0</v>
      </c>
      <c r="R3444" s="39" t="n">
        <f aca="false">IF($A3444="",-1,IF($J3444=Setup!$B$7,1,IF($J3444=Setup!$B$9,0,-1)))</f>
        <v>-1</v>
      </c>
      <c r="S3444" s="35" t="n">
        <f aca="false">IF(OR($A3444="",$Q3444=0,$R3444=-1),0,$Q3444*1000+$R3444*100+$K3444)</f>
        <v>0</v>
      </c>
      <c r="T3444" s="37" t="str">
        <f aca="false">IF($A3444="","",IF($B3444="","NO ACCOUNT",IF($Q3444=0,"UNMAPPED",IF($R3444=-1,"OUTSIDE FY RANGE","OK"))))</f>
        <v/>
      </c>
      <c r="U3444" s="40" t="str">
        <f aca="false">IF($A3444="","",$B3444&amp;"|"&amp;TEXT($A3444,"yyyymmdd")&amp;"|"&amp;TEXT($I3444,"0.00"))</f>
        <v/>
      </c>
      <c r="V3444" s="35" t="str">
        <f aca="false">IF($A3444="","",COUNTIF($U$8:$U$5007,$U3444))</f>
        <v/>
      </c>
    </row>
    <row r="3445" customFormat="false" ht="15" hidden="false" customHeight="false" outlineLevel="0" collapsed="false">
      <c r="A3445" s="31"/>
      <c r="B3445" s="32"/>
      <c r="C3445" s="32"/>
      <c r="D3445" s="32"/>
      <c r="E3445" s="32"/>
      <c r="F3445" s="32"/>
      <c r="G3445" s="33"/>
      <c r="H3445" s="33"/>
      <c r="I3445" s="34" t="str">
        <f aca="false">IF($A3445="","",$G3445-$H3445)</f>
        <v/>
      </c>
      <c r="J3445" s="35" t="str">
        <f aca="false">IF($A3445="","",IF(Setup!$B$6=1,YEAR($A3445),YEAR($A3445)+IF(MONTH($A3445)&gt;=Setup!$B$6,1,0)))</f>
        <v/>
      </c>
      <c r="K3445" s="35" t="str">
        <f aca="false">IF($A3445="","",MOD(MONTH($A3445)-Setup!$B$6+12,12)+1)</f>
        <v/>
      </c>
      <c r="L3445" s="36" t="str">
        <f aca="false">IF($A3445="","",TEXT($A3445,"MMM-YY"))</f>
        <v/>
      </c>
      <c r="M3445" s="37" t="str">
        <f aca="false">IF($A3445="","",IF($Q3445=0,"UNMAPPED",INDEX(COA_Mapping!$C$7:$C$256,$Q3445)))</f>
        <v/>
      </c>
      <c r="N3445" s="38" t="str">
        <f aca="false">IF($A3445="","",IF($Q3445=0,"",INDEX(COA_Mapping!$E$7:$E$256,$Q3445)))</f>
        <v/>
      </c>
      <c r="O3445" s="38" t="n">
        <f aca="false">IF($A3445="",1,IF($Q3445=0,1,INDEX(COA_Mapping!$F$7:$F$256,$Q3445)))</f>
        <v>1</v>
      </c>
      <c r="P3445" s="34" t="str">
        <f aca="false">IF($A3445="","",$I3445*$O3445)</f>
        <v/>
      </c>
      <c r="Q3445" s="39" t="n">
        <f aca="false">IF($B3445="",0,IFERROR(MATCH($B3445,COA_Mapping!$A$7:$A$256,0),0))</f>
        <v>0</v>
      </c>
      <c r="R3445" s="39" t="n">
        <f aca="false">IF($A3445="",-1,IF($J3445=Setup!$B$7,1,IF($J3445=Setup!$B$9,0,-1)))</f>
        <v>-1</v>
      </c>
      <c r="S3445" s="35" t="n">
        <f aca="false">IF(OR($A3445="",$Q3445=0,$R3445=-1),0,$Q3445*1000+$R3445*100+$K3445)</f>
        <v>0</v>
      </c>
      <c r="T3445" s="37" t="str">
        <f aca="false">IF($A3445="","",IF($B3445="","NO ACCOUNT",IF($Q3445=0,"UNMAPPED",IF($R3445=-1,"OUTSIDE FY RANGE","OK"))))</f>
        <v/>
      </c>
      <c r="U3445" s="40" t="str">
        <f aca="false">IF($A3445="","",$B3445&amp;"|"&amp;TEXT($A3445,"yyyymmdd")&amp;"|"&amp;TEXT($I3445,"0.00"))</f>
        <v/>
      </c>
      <c r="V3445" s="35" t="str">
        <f aca="false">IF($A3445="","",COUNTIF($U$8:$U$5007,$U3445))</f>
        <v/>
      </c>
    </row>
    <row r="3446" customFormat="false" ht="15" hidden="false" customHeight="false" outlineLevel="0" collapsed="false">
      <c r="A3446" s="31"/>
      <c r="B3446" s="32"/>
      <c r="C3446" s="32"/>
      <c r="D3446" s="32"/>
      <c r="E3446" s="32"/>
      <c r="F3446" s="32"/>
      <c r="G3446" s="33"/>
      <c r="H3446" s="33"/>
      <c r="I3446" s="34" t="str">
        <f aca="false">IF($A3446="","",$G3446-$H3446)</f>
        <v/>
      </c>
      <c r="J3446" s="35" t="str">
        <f aca="false">IF($A3446="","",IF(Setup!$B$6=1,YEAR($A3446),YEAR($A3446)+IF(MONTH($A3446)&gt;=Setup!$B$6,1,0)))</f>
        <v/>
      </c>
      <c r="K3446" s="35" t="str">
        <f aca="false">IF($A3446="","",MOD(MONTH($A3446)-Setup!$B$6+12,12)+1)</f>
        <v/>
      </c>
      <c r="L3446" s="36" t="str">
        <f aca="false">IF($A3446="","",TEXT($A3446,"MMM-YY"))</f>
        <v/>
      </c>
      <c r="M3446" s="37" t="str">
        <f aca="false">IF($A3446="","",IF($Q3446=0,"UNMAPPED",INDEX(COA_Mapping!$C$7:$C$256,$Q3446)))</f>
        <v/>
      </c>
      <c r="N3446" s="38" t="str">
        <f aca="false">IF($A3446="","",IF($Q3446=0,"",INDEX(COA_Mapping!$E$7:$E$256,$Q3446)))</f>
        <v/>
      </c>
      <c r="O3446" s="38" t="n">
        <f aca="false">IF($A3446="",1,IF($Q3446=0,1,INDEX(COA_Mapping!$F$7:$F$256,$Q3446)))</f>
        <v>1</v>
      </c>
      <c r="P3446" s="34" t="str">
        <f aca="false">IF($A3446="","",$I3446*$O3446)</f>
        <v/>
      </c>
      <c r="Q3446" s="39" t="n">
        <f aca="false">IF($B3446="",0,IFERROR(MATCH($B3446,COA_Mapping!$A$7:$A$256,0),0))</f>
        <v>0</v>
      </c>
      <c r="R3446" s="39" t="n">
        <f aca="false">IF($A3446="",-1,IF($J3446=Setup!$B$7,1,IF($J3446=Setup!$B$9,0,-1)))</f>
        <v>-1</v>
      </c>
      <c r="S3446" s="35" t="n">
        <f aca="false">IF(OR($A3446="",$Q3446=0,$R3446=-1),0,$Q3446*1000+$R3446*100+$K3446)</f>
        <v>0</v>
      </c>
      <c r="T3446" s="37" t="str">
        <f aca="false">IF($A3446="","",IF($B3446="","NO ACCOUNT",IF($Q3446=0,"UNMAPPED",IF($R3446=-1,"OUTSIDE FY RANGE","OK"))))</f>
        <v/>
      </c>
      <c r="U3446" s="40" t="str">
        <f aca="false">IF($A3446="","",$B3446&amp;"|"&amp;TEXT($A3446,"yyyymmdd")&amp;"|"&amp;TEXT($I3446,"0.00"))</f>
        <v/>
      </c>
      <c r="V3446" s="35" t="str">
        <f aca="false">IF($A3446="","",COUNTIF($U$8:$U$5007,$U3446))</f>
        <v/>
      </c>
    </row>
    <row r="3447" customFormat="false" ht="15" hidden="false" customHeight="false" outlineLevel="0" collapsed="false">
      <c r="A3447" s="31"/>
      <c r="B3447" s="32"/>
      <c r="C3447" s="32"/>
      <c r="D3447" s="32"/>
      <c r="E3447" s="32"/>
      <c r="F3447" s="32"/>
      <c r="G3447" s="33"/>
      <c r="H3447" s="33"/>
      <c r="I3447" s="34" t="str">
        <f aca="false">IF($A3447="","",$G3447-$H3447)</f>
        <v/>
      </c>
      <c r="J3447" s="35" t="str">
        <f aca="false">IF($A3447="","",IF(Setup!$B$6=1,YEAR($A3447),YEAR($A3447)+IF(MONTH($A3447)&gt;=Setup!$B$6,1,0)))</f>
        <v/>
      </c>
      <c r="K3447" s="35" t="str">
        <f aca="false">IF($A3447="","",MOD(MONTH($A3447)-Setup!$B$6+12,12)+1)</f>
        <v/>
      </c>
      <c r="L3447" s="36" t="str">
        <f aca="false">IF($A3447="","",TEXT($A3447,"MMM-YY"))</f>
        <v/>
      </c>
      <c r="M3447" s="37" t="str">
        <f aca="false">IF($A3447="","",IF($Q3447=0,"UNMAPPED",INDEX(COA_Mapping!$C$7:$C$256,$Q3447)))</f>
        <v/>
      </c>
      <c r="N3447" s="38" t="str">
        <f aca="false">IF($A3447="","",IF($Q3447=0,"",INDEX(COA_Mapping!$E$7:$E$256,$Q3447)))</f>
        <v/>
      </c>
      <c r="O3447" s="38" t="n">
        <f aca="false">IF($A3447="",1,IF($Q3447=0,1,INDEX(COA_Mapping!$F$7:$F$256,$Q3447)))</f>
        <v>1</v>
      </c>
      <c r="P3447" s="34" t="str">
        <f aca="false">IF($A3447="","",$I3447*$O3447)</f>
        <v/>
      </c>
      <c r="Q3447" s="39" t="n">
        <f aca="false">IF($B3447="",0,IFERROR(MATCH($B3447,COA_Mapping!$A$7:$A$256,0),0))</f>
        <v>0</v>
      </c>
      <c r="R3447" s="39" t="n">
        <f aca="false">IF($A3447="",-1,IF($J3447=Setup!$B$7,1,IF($J3447=Setup!$B$9,0,-1)))</f>
        <v>-1</v>
      </c>
      <c r="S3447" s="35" t="n">
        <f aca="false">IF(OR($A3447="",$Q3447=0,$R3447=-1),0,$Q3447*1000+$R3447*100+$K3447)</f>
        <v>0</v>
      </c>
      <c r="T3447" s="37" t="str">
        <f aca="false">IF($A3447="","",IF($B3447="","NO ACCOUNT",IF($Q3447=0,"UNMAPPED",IF($R3447=-1,"OUTSIDE FY RANGE","OK"))))</f>
        <v/>
      </c>
      <c r="U3447" s="40" t="str">
        <f aca="false">IF($A3447="","",$B3447&amp;"|"&amp;TEXT($A3447,"yyyymmdd")&amp;"|"&amp;TEXT($I3447,"0.00"))</f>
        <v/>
      </c>
      <c r="V3447" s="35" t="str">
        <f aca="false">IF($A3447="","",COUNTIF($U$8:$U$5007,$U3447))</f>
        <v/>
      </c>
    </row>
    <row r="3448" customFormat="false" ht="15" hidden="false" customHeight="false" outlineLevel="0" collapsed="false">
      <c r="A3448" s="31"/>
      <c r="B3448" s="32"/>
      <c r="C3448" s="32"/>
      <c r="D3448" s="32"/>
      <c r="E3448" s="32"/>
      <c r="F3448" s="32"/>
      <c r="G3448" s="33"/>
      <c r="H3448" s="33"/>
      <c r="I3448" s="34" t="str">
        <f aca="false">IF($A3448="","",$G3448-$H3448)</f>
        <v/>
      </c>
      <c r="J3448" s="35" t="str">
        <f aca="false">IF($A3448="","",IF(Setup!$B$6=1,YEAR($A3448),YEAR($A3448)+IF(MONTH($A3448)&gt;=Setup!$B$6,1,0)))</f>
        <v/>
      </c>
      <c r="K3448" s="35" t="str">
        <f aca="false">IF($A3448="","",MOD(MONTH($A3448)-Setup!$B$6+12,12)+1)</f>
        <v/>
      </c>
      <c r="L3448" s="36" t="str">
        <f aca="false">IF($A3448="","",TEXT($A3448,"MMM-YY"))</f>
        <v/>
      </c>
      <c r="M3448" s="37" t="str">
        <f aca="false">IF($A3448="","",IF($Q3448=0,"UNMAPPED",INDEX(COA_Mapping!$C$7:$C$256,$Q3448)))</f>
        <v/>
      </c>
      <c r="N3448" s="38" t="str">
        <f aca="false">IF($A3448="","",IF($Q3448=0,"",INDEX(COA_Mapping!$E$7:$E$256,$Q3448)))</f>
        <v/>
      </c>
      <c r="O3448" s="38" t="n">
        <f aca="false">IF($A3448="",1,IF($Q3448=0,1,INDEX(COA_Mapping!$F$7:$F$256,$Q3448)))</f>
        <v>1</v>
      </c>
      <c r="P3448" s="34" t="str">
        <f aca="false">IF($A3448="","",$I3448*$O3448)</f>
        <v/>
      </c>
      <c r="Q3448" s="39" t="n">
        <f aca="false">IF($B3448="",0,IFERROR(MATCH($B3448,COA_Mapping!$A$7:$A$256,0),0))</f>
        <v>0</v>
      </c>
      <c r="R3448" s="39" t="n">
        <f aca="false">IF($A3448="",-1,IF($J3448=Setup!$B$7,1,IF($J3448=Setup!$B$9,0,-1)))</f>
        <v>-1</v>
      </c>
      <c r="S3448" s="35" t="n">
        <f aca="false">IF(OR($A3448="",$Q3448=0,$R3448=-1),0,$Q3448*1000+$R3448*100+$K3448)</f>
        <v>0</v>
      </c>
      <c r="T3448" s="37" t="str">
        <f aca="false">IF($A3448="","",IF($B3448="","NO ACCOUNT",IF($Q3448=0,"UNMAPPED",IF($R3448=-1,"OUTSIDE FY RANGE","OK"))))</f>
        <v/>
      </c>
      <c r="U3448" s="40" t="str">
        <f aca="false">IF($A3448="","",$B3448&amp;"|"&amp;TEXT($A3448,"yyyymmdd")&amp;"|"&amp;TEXT($I3448,"0.00"))</f>
        <v/>
      </c>
      <c r="V3448" s="35" t="str">
        <f aca="false">IF($A3448="","",COUNTIF($U$8:$U$5007,$U3448))</f>
        <v/>
      </c>
    </row>
    <row r="3449" customFormat="false" ht="15" hidden="false" customHeight="false" outlineLevel="0" collapsed="false">
      <c r="A3449" s="31"/>
      <c r="B3449" s="32"/>
      <c r="C3449" s="32"/>
      <c r="D3449" s="32"/>
      <c r="E3449" s="32"/>
      <c r="F3449" s="32"/>
      <c r="G3449" s="33"/>
      <c r="H3449" s="33"/>
      <c r="I3449" s="34" t="str">
        <f aca="false">IF($A3449="","",$G3449-$H3449)</f>
        <v/>
      </c>
      <c r="J3449" s="35" t="str">
        <f aca="false">IF($A3449="","",IF(Setup!$B$6=1,YEAR($A3449),YEAR($A3449)+IF(MONTH($A3449)&gt;=Setup!$B$6,1,0)))</f>
        <v/>
      </c>
      <c r="K3449" s="35" t="str">
        <f aca="false">IF($A3449="","",MOD(MONTH($A3449)-Setup!$B$6+12,12)+1)</f>
        <v/>
      </c>
      <c r="L3449" s="36" t="str">
        <f aca="false">IF($A3449="","",TEXT($A3449,"MMM-YY"))</f>
        <v/>
      </c>
      <c r="M3449" s="37" t="str">
        <f aca="false">IF($A3449="","",IF($Q3449=0,"UNMAPPED",INDEX(COA_Mapping!$C$7:$C$256,$Q3449)))</f>
        <v/>
      </c>
      <c r="N3449" s="38" t="str">
        <f aca="false">IF($A3449="","",IF($Q3449=0,"",INDEX(COA_Mapping!$E$7:$E$256,$Q3449)))</f>
        <v/>
      </c>
      <c r="O3449" s="38" t="n">
        <f aca="false">IF($A3449="",1,IF($Q3449=0,1,INDEX(COA_Mapping!$F$7:$F$256,$Q3449)))</f>
        <v>1</v>
      </c>
      <c r="P3449" s="34" t="str">
        <f aca="false">IF($A3449="","",$I3449*$O3449)</f>
        <v/>
      </c>
      <c r="Q3449" s="39" t="n">
        <f aca="false">IF($B3449="",0,IFERROR(MATCH($B3449,COA_Mapping!$A$7:$A$256,0),0))</f>
        <v>0</v>
      </c>
      <c r="R3449" s="39" t="n">
        <f aca="false">IF($A3449="",-1,IF($J3449=Setup!$B$7,1,IF($J3449=Setup!$B$9,0,-1)))</f>
        <v>-1</v>
      </c>
      <c r="S3449" s="35" t="n">
        <f aca="false">IF(OR($A3449="",$Q3449=0,$R3449=-1),0,$Q3449*1000+$R3449*100+$K3449)</f>
        <v>0</v>
      </c>
      <c r="T3449" s="37" t="str">
        <f aca="false">IF($A3449="","",IF($B3449="","NO ACCOUNT",IF($Q3449=0,"UNMAPPED",IF($R3449=-1,"OUTSIDE FY RANGE","OK"))))</f>
        <v/>
      </c>
      <c r="U3449" s="40" t="str">
        <f aca="false">IF($A3449="","",$B3449&amp;"|"&amp;TEXT($A3449,"yyyymmdd")&amp;"|"&amp;TEXT($I3449,"0.00"))</f>
        <v/>
      </c>
      <c r="V3449" s="35" t="str">
        <f aca="false">IF($A3449="","",COUNTIF($U$8:$U$5007,$U3449))</f>
        <v/>
      </c>
    </row>
    <row r="3450" customFormat="false" ht="15" hidden="false" customHeight="false" outlineLevel="0" collapsed="false">
      <c r="A3450" s="31"/>
      <c r="B3450" s="32"/>
      <c r="C3450" s="32"/>
      <c r="D3450" s="32"/>
      <c r="E3450" s="32"/>
      <c r="F3450" s="32"/>
      <c r="G3450" s="33"/>
      <c r="H3450" s="33"/>
      <c r="I3450" s="34" t="str">
        <f aca="false">IF($A3450="","",$G3450-$H3450)</f>
        <v/>
      </c>
      <c r="J3450" s="35" t="str">
        <f aca="false">IF($A3450="","",IF(Setup!$B$6=1,YEAR($A3450),YEAR($A3450)+IF(MONTH($A3450)&gt;=Setup!$B$6,1,0)))</f>
        <v/>
      </c>
      <c r="K3450" s="35" t="str">
        <f aca="false">IF($A3450="","",MOD(MONTH($A3450)-Setup!$B$6+12,12)+1)</f>
        <v/>
      </c>
      <c r="L3450" s="36" t="str">
        <f aca="false">IF($A3450="","",TEXT($A3450,"MMM-YY"))</f>
        <v/>
      </c>
      <c r="M3450" s="37" t="str">
        <f aca="false">IF($A3450="","",IF($Q3450=0,"UNMAPPED",INDEX(COA_Mapping!$C$7:$C$256,$Q3450)))</f>
        <v/>
      </c>
      <c r="N3450" s="38" t="str">
        <f aca="false">IF($A3450="","",IF($Q3450=0,"",INDEX(COA_Mapping!$E$7:$E$256,$Q3450)))</f>
        <v/>
      </c>
      <c r="O3450" s="38" t="n">
        <f aca="false">IF($A3450="",1,IF($Q3450=0,1,INDEX(COA_Mapping!$F$7:$F$256,$Q3450)))</f>
        <v>1</v>
      </c>
      <c r="P3450" s="34" t="str">
        <f aca="false">IF($A3450="","",$I3450*$O3450)</f>
        <v/>
      </c>
      <c r="Q3450" s="39" t="n">
        <f aca="false">IF($B3450="",0,IFERROR(MATCH($B3450,COA_Mapping!$A$7:$A$256,0),0))</f>
        <v>0</v>
      </c>
      <c r="R3450" s="39" t="n">
        <f aca="false">IF($A3450="",-1,IF($J3450=Setup!$B$7,1,IF($J3450=Setup!$B$9,0,-1)))</f>
        <v>-1</v>
      </c>
      <c r="S3450" s="35" t="n">
        <f aca="false">IF(OR($A3450="",$Q3450=0,$R3450=-1),0,$Q3450*1000+$R3450*100+$K3450)</f>
        <v>0</v>
      </c>
      <c r="T3450" s="37" t="str">
        <f aca="false">IF($A3450="","",IF($B3450="","NO ACCOUNT",IF($Q3450=0,"UNMAPPED",IF($R3450=-1,"OUTSIDE FY RANGE","OK"))))</f>
        <v/>
      </c>
      <c r="U3450" s="40" t="str">
        <f aca="false">IF($A3450="","",$B3450&amp;"|"&amp;TEXT($A3450,"yyyymmdd")&amp;"|"&amp;TEXT($I3450,"0.00"))</f>
        <v/>
      </c>
      <c r="V3450" s="35" t="str">
        <f aca="false">IF($A3450="","",COUNTIF($U$8:$U$5007,$U3450))</f>
        <v/>
      </c>
    </row>
    <row r="3451" customFormat="false" ht="15" hidden="false" customHeight="false" outlineLevel="0" collapsed="false">
      <c r="A3451" s="31"/>
      <c r="B3451" s="32"/>
      <c r="C3451" s="32"/>
      <c r="D3451" s="32"/>
      <c r="E3451" s="32"/>
      <c r="F3451" s="32"/>
      <c r="G3451" s="33"/>
      <c r="H3451" s="33"/>
      <c r="I3451" s="34" t="str">
        <f aca="false">IF($A3451="","",$G3451-$H3451)</f>
        <v/>
      </c>
      <c r="J3451" s="35" t="str">
        <f aca="false">IF($A3451="","",IF(Setup!$B$6=1,YEAR($A3451),YEAR($A3451)+IF(MONTH($A3451)&gt;=Setup!$B$6,1,0)))</f>
        <v/>
      </c>
      <c r="K3451" s="35" t="str">
        <f aca="false">IF($A3451="","",MOD(MONTH($A3451)-Setup!$B$6+12,12)+1)</f>
        <v/>
      </c>
      <c r="L3451" s="36" t="str">
        <f aca="false">IF($A3451="","",TEXT($A3451,"MMM-YY"))</f>
        <v/>
      </c>
      <c r="M3451" s="37" t="str">
        <f aca="false">IF($A3451="","",IF($Q3451=0,"UNMAPPED",INDEX(COA_Mapping!$C$7:$C$256,$Q3451)))</f>
        <v/>
      </c>
      <c r="N3451" s="38" t="str">
        <f aca="false">IF($A3451="","",IF($Q3451=0,"",INDEX(COA_Mapping!$E$7:$E$256,$Q3451)))</f>
        <v/>
      </c>
      <c r="O3451" s="38" t="n">
        <f aca="false">IF($A3451="",1,IF($Q3451=0,1,INDEX(COA_Mapping!$F$7:$F$256,$Q3451)))</f>
        <v>1</v>
      </c>
      <c r="P3451" s="34" t="str">
        <f aca="false">IF($A3451="","",$I3451*$O3451)</f>
        <v/>
      </c>
      <c r="Q3451" s="39" t="n">
        <f aca="false">IF($B3451="",0,IFERROR(MATCH($B3451,COA_Mapping!$A$7:$A$256,0),0))</f>
        <v>0</v>
      </c>
      <c r="R3451" s="39" t="n">
        <f aca="false">IF($A3451="",-1,IF($J3451=Setup!$B$7,1,IF($J3451=Setup!$B$9,0,-1)))</f>
        <v>-1</v>
      </c>
      <c r="S3451" s="35" t="n">
        <f aca="false">IF(OR($A3451="",$Q3451=0,$R3451=-1),0,$Q3451*1000+$R3451*100+$K3451)</f>
        <v>0</v>
      </c>
      <c r="T3451" s="37" t="str">
        <f aca="false">IF($A3451="","",IF($B3451="","NO ACCOUNT",IF($Q3451=0,"UNMAPPED",IF($R3451=-1,"OUTSIDE FY RANGE","OK"))))</f>
        <v/>
      </c>
      <c r="U3451" s="40" t="str">
        <f aca="false">IF($A3451="","",$B3451&amp;"|"&amp;TEXT($A3451,"yyyymmdd")&amp;"|"&amp;TEXT($I3451,"0.00"))</f>
        <v/>
      </c>
      <c r="V3451" s="35" t="str">
        <f aca="false">IF($A3451="","",COUNTIF($U$8:$U$5007,$U3451))</f>
        <v/>
      </c>
    </row>
    <row r="3452" customFormat="false" ht="15" hidden="false" customHeight="false" outlineLevel="0" collapsed="false">
      <c r="A3452" s="31"/>
      <c r="B3452" s="32"/>
      <c r="C3452" s="32"/>
      <c r="D3452" s="32"/>
      <c r="E3452" s="32"/>
      <c r="F3452" s="32"/>
      <c r="G3452" s="33"/>
      <c r="H3452" s="33"/>
      <c r="I3452" s="34" t="str">
        <f aca="false">IF($A3452="","",$G3452-$H3452)</f>
        <v/>
      </c>
      <c r="J3452" s="35" t="str">
        <f aca="false">IF($A3452="","",IF(Setup!$B$6=1,YEAR($A3452),YEAR($A3452)+IF(MONTH($A3452)&gt;=Setup!$B$6,1,0)))</f>
        <v/>
      </c>
      <c r="K3452" s="35" t="str">
        <f aca="false">IF($A3452="","",MOD(MONTH($A3452)-Setup!$B$6+12,12)+1)</f>
        <v/>
      </c>
      <c r="L3452" s="36" t="str">
        <f aca="false">IF($A3452="","",TEXT($A3452,"MMM-YY"))</f>
        <v/>
      </c>
      <c r="M3452" s="37" t="str">
        <f aca="false">IF($A3452="","",IF($Q3452=0,"UNMAPPED",INDEX(COA_Mapping!$C$7:$C$256,$Q3452)))</f>
        <v/>
      </c>
      <c r="N3452" s="38" t="str">
        <f aca="false">IF($A3452="","",IF($Q3452=0,"",INDEX(COA_Mapping!$E$7:$E$256,$Q3452)))</f>
        <v/>
      </c>
      <c r="O3452" s="38" t="n">
        <f aca="false">IF($A3452="",1,IF($Q3452=0,1,INDEX(COA_Mapping!$F$7:$F$256,$Q3452)))</f>
        <v>1</v>
      </c>
      <c r="P3452" s="34" t="str">
        <f aca="false">IF($A3452="","",$I3452*$O3452)</f>
        <v/>
      </c>
      <c r="Q3452" s="39" t="n">
        <f aca="false">IF($B3452="",0,IFERROR(MATCH($B3452,COA_Mapping!$A$7:$A$256,0),0))</f>
        <v>0</v>
      </c>
      <c r="R3452" s="39" t="n">
        <f aca="false">IF($A3452="",-1,IF($J3452=Setup!$B$7,1,IF($J3452=Setup!$B$9,0,-1)))</f>
        <v>-1</v>
      </c>
      <c r="S3452" s="35" t="n">
        <f aca="false">IF(OR($A3452="",$Q3452=0,$R3452=-1),0,$Q3452*1000+$R3452*100+$K3452)</f>
        <v>0</v>
      </c>
      <c r="T3452" s="37" t="str">
        <f aca="false">IF($A3452="","",IF($B3452="","NO ACCOUNT",IF($Q3452=0,"UNMAPPED",IF($R3452=-1,"OUTSIDE FY RANGE","OK"))))</f>
        <v/>
      </c>
      <c r="U3452" s="40" t="str">
        <f aca="false">IF($A3452="","",$B3452&amp;"|"&amp;TEXT($A3452,"yyyymmdd")&amp;"|"&amp;TEXT($I3452,"0.00"))</f>
        <v/>
      </c>
      <c r="V3452" s="35" t="str">
        <f aca="false">IF($A3452="","",COUNTIF($U$8:$U$5007,$U3452))</f>
        <v/>
      </c>
    </row>
    <row r="3453" customFormat="false" ht="15" hidden="false" customHeight="false" outlineLevel="0" collapsed="false">
      <c r="A3453" s="31"/>
      <c r="B3453" s="32"/>
      <c r="C3453" s="32"/>
      <c r="D3453" s="32"/>
      <c r="E3453" s="32"/>
      <c r="F3453" s="32"/>
      <c r="G3453" s="33"/>
      <c r="H3453" s="33"/>
      <c r="I3453" s="34" t="str">
        <f aca="false">IF($A3453="","",$G3453-$H3453)</f>
        <v/>
      </c>
      <c r="J3453" s="35" t="str">
        <f aca="false">IF($A3453="","",IF(Setup!$B$6=1,YEAR($A3453),YEAR($A3453)+IF(MONTH($A3453)&gt;=Setup!$B$6,1,0)))</f>
        <v/>
      </c>
      <c r="K3453" s="35" t="str">
        <f aca="false">IF($A3453="","",MOD(MONTH($A3453)-Setup!$B$6+12,12)+1)</f>
        <v/>
      </c>
      <c r="L3453" s="36" t="str">
        <f aca="false">IF($A3453="","",TEXT($A3453,"MMM-YY"))</f>
        <v/>
      </c>
      <c r="M3453" s="37" t="str">
        <f aca="false">IF($A3453="","",IF($Q3453=0,"UNMAPPED",INDEX(COA_Mapping!$C$7:$C$256,$Q3453)))</f>
        <v/>
      </c>
      <c r="N3453" s="38" t="str">
        <f aca="false">IF($A3453="","",IF($Q3453=0,"",INDEX(COA_Mapping!$E$7:$E$256,$Q3453)))</f>
        <v/>
      </c>
      <c r="O3453" s="38" t="n">
        <f aca="false">IF($A3453="",1,IF($Q3453=0,1,INDEX(COA_Mapping!$F$7:$F$256,$Q3453)))</f>
        <v>1</v>
      </c>
      <c r="P3453" s="34" t="str">
        <f aca="false">IF($A3453="","",$I3453*$O3453)</f>
        <v/>
      </c>
      <c r="Q3453" s="39" t="n">
        <f aca="false">IF($B3453="",0,IFERROR(MATCH($B3453,COA_Mapping!$A$7:$A$256,0),0))</f>
        <v>0</v>
      </c>
      <c r="R3453" s="39" t="n">
        <f aca="false">IF($A3453="",-1,IF($J3453=Setup!$B$7,1,IF($J3453=Setup!$B$9,0,-1)))</f>
        <v>-1</v>
      </c>
      <c r="S3453" s="35" t="n">
        <f aca="false">IF(OR($A3453="",$Q3453=0,$R3453=-1),0,$Q3453*1000+$R3453*100+$K3453)</f>
        <v>0</v>
      </c>
      <c r="T3453" s="37" t="str">
        <f aca="false">IF($A3453="","",IF($B3453="","NO ACCOUNT",IF($Q3453=0,"UNMAPPED",IF($R3453=-1,"OUTSIDE FY RANGE","OK"))))</f>
        <v/>
      </c>
      <c r="U3453" s="40" t="str">
        <f aca="false">IF($A3453="","",$B3453&amp;"|"&amp;TEXT($A3453,"yyyymmdd")&amp;"|"&amp;TEXT($I3453,"0.00"))</f>
        <v/>
      </c>
      <c r="V3453" s="35" t="str">
        <f aca="false">IF($A3453="","",COUNTIF($U$8:$U$5007,$U3453))</f>
        <v/>
      </c>
    </row>
    <row r="3454" customFormat="false" ht="15" hidden="false" customHeight="false" outlineLevel="0" collapsed="false">
      <c r="A3454" s="31"/>
      <c r="B3454" s="32"/>
      <c r="C3454" s="32"/>
      <c r="D3454" s="32"/>
      <c r="E3454" s="32"/>
      <c r="F3454" s="32"/>
      <c r="G3454" s="33"/>
      <c r="H3454" s="33"/>
      <c r="I3454" s="34" t="str">
        <f aca="false">IF($A3454="","",$G3454-$H3454)</f>
        <v/>
      </c>
      <c r="J3454" s="35" t="str">
        <f aca="false">IF($A3454="","",IF(Setup!$B$6=1,YEAR($A3454),YEAR($A3454)+IF(MONTH($A3454)&gt;=Setup!$B$6,1,0)))</f>
        <v/>
      </c>
      <c r="K3454" s="35" t="str">
        <f aca="false">IF($A3454="","",MOD(MONTH($A3454)-Setup!$B$6+12,12)+1)</f>
        <v/>
      </c>
      <c r="L3454" s="36" t="str">
        <f aca="false">IF($A3454="","",TEXT($A3454,"MMM-YY"))</f>
        <v/>
      </c>
      <c r="M3454" s="37" t="str">
        <f aca="false">IF($A3454="","",IF($Q3454=0,"UNMAPPED",INDEX(COA_Mapping!$C$7:$C$256,$Q3454)))</f>
        <v/>
      </c>
      <c r="N3454" s="38" t="str">
        <f aca="false">IF($A3454="","",IF($Q3454=0,"",INDEX(COA_Mapping!$E$7:$E$256,$Q3454)))</f>
        <v/>
      </c>
      <c r="O3454" s="38" t="n">
        <f aca="false">IF($A3454="",1,IF($Q3454=0,1,INDEX(COA_Mapping!$F$7:$F$256,$Q3454)))</f>
        <v>1</v>
      </c>
      <c r="P3454" s="34" t="str">
        <f aca="false">IF($A3454="","",$I3454*$O3454)</f>
        <v/>
      </c>
      <c r="Q3454" s="39" t="n">
        <f aca="false">IF($B3454="",0,IFERROR(MATCH($B3454,COA_Mapping!$A$7:$A$256,0),0))</f>
        <v>0</v>
      </c>
      <c r="R3454" s="39" t="n">
        <f aca="false">IF($A3454="",-1,IF($J3454=Setup!$B$7,1,IF($J3454=Setup!$B$9,0,-1)))</f>
        <v>-1</v>
      </c>
      <c r="S3454" s="35" t="n">
        <f aca="false">IF(OR($A3454="",$Q3454=0,$R3454=-1),0,$Q3454*1000+$R3454*100+$K3454)</f>
        <v>0</v>
      </c>
      <c r="T3454" s="37" t="str">
        <f aca="false">IF($A3454="","",IF($B3454="","NO ACCOUNT",IF($Q3454=0,"UNMAPPED",IF($R3454=-1,"OUTSIDE FY RANGE","OK"))))</f>
        <v/>
      </c>
      <c r="U3454" s="40" t="str">
        <f aca="false">IF($A3454="","",$B3454&amp;"|"&amp;TEXT($A3454,"yyyymmdd")&amp;"|"&amp;TEXT($I3454,"0.00"))</f>
        <v/>
      </c>
      <c r="V3454" s="35" t="str">
        <f aca="false">IF($A3454="","",COUNTIF($U$8:$U$5007,$U3454))</f>
        <v/>
      </c>
    </row>
    <row r="3455" customFormat="false" ht="15" hidden="false" customHeight="false" outlineLevel="0" collapsed="false">
      <c r="A3455" s="31"/>
      <c r="B3455" s="32"/>
      <c r="C3455" s="32"/>
      <c r="D3455" s="32"/>
      <c r="E3455" s="32"/>
      <c r="F3455" s="32"/>
      <c r="G3455" s="33"/>
      <c r="H3455" s="33"/>
      <c r="I3455" s="34" t="str">
        <f aca="false">IF($A3455="","",$G3455-$H3455)</f>
        <v/>
      </c>
      <c r="J3455" s="35" t="str">
        <f aca="false">IF($A3455="","",IF(Setup!$B$6=1,YEAR($A3455),YEAR($A3455)+IF(MONTH($A3455)&gt;=Setup!$B$6,1,0)))</f>
        <v/>
      </c>
      <c r="K3455" s="35" t="str">
        <f aca="false">IF($A3455="","",MOD(MONTH($A3455)-Setup!$B$6+12,12)+1)</f>
        <v/>
      </c>
      <c r="L3455" s="36" t="str">
        <f aca="false">IF($A3455="","",TEXT($A3455,"MMM-YY"))</f>
        <v/>
      </c>
      <c r="M3455" s="37" t="str">
        <f aca="false">IF($A3455="","",IF($Q3455=0,"UNMAPPED",INDEX(COA_Mapping!$C$7:$C$256,$Q3455)))</f>
        <v/>
      </c>
      <c r="N3455" s="38" t="str">
        <f aca="false">IF($A3455="","",IF($Q3455=0,"",INDEX(COA_Mapping!$E$7:$E$256,$Q3455)))</f>
        <v/>
      </c>
      <c r="O3455" s="38" t="n">
        <f aca="false">IF($A3455="",1,IF($Q3455=0,1,INDEX(COA_Mapping!$F$7:$F$256,$Q3455)))</f>
        <v>1</v>
      </c>
      <c r="P3455" s="34" t="str">
        <f aca="false">IF($A3455="","",$I3455*$O3455)</f>
        <v/>
      </c>
      <c r="Q3455" s="39" t="n">
        <f aca="false">IF($B3455="",0,IFERROR(MATCH($B3455,COA_Mapping!$A$7:$A$256,0),0))</f>
        <v>0</v>
      </c>
      <c r="R3455" s="39" t="n">
        <f aca="false">IF($A3455="",-1,IF($J3455=Setup!$B$7,1,IF($J3455=Setup!$B$9,0,-1)))</f>
        <v>-1</v>
      </c>
      <c r="S3455" s="35" t="n">
        <f aca="false">IF(OR($A3455="",$Q3455=0,$R3455=-1),0,$Q3455*1000+$R3455*100+$K3455)</f>
        <v>0</v>
      </c>
      <c r="T3455" s="37" t="str">
        <f aca="false">IF($A3455="","",IF($B3455="","NO ACCOUNT",IF($Q3455=0,"UNMAPPED",IF($R3455=-1,"OUTSIDE FY RANGE","OK"))))</f>
        <v/>
      </c>
      <c r="U3455" s="40" t="str">
        <f aca="false">IF($A3455="","",$B3455&amp;"|"&amp;TEXT($A3455,"yyyymmdd")&amp;"|"&amp;TEXT($I3455,"0.00"))</f>
        <v/>
      </c>
      <c r="V3455" s="35" t="str">
        <f aca="false">IF($A3455="","",COUNTIF($U$8:$U$5007,$U3455))</f>
        <v/>
      </c>
    </row>
    <row r="3456" customFormat="false" ht="15" hidden="false" customHeight="false" outlineLevel="0" collapsed="false">
      <c r="A3456" s="31"/>
      <c r="B3456" s="32"/>
      <c r="C3456" s="32"/>
      <c r="D3456" s="32"/>
      <c r="E3456" s="32"/>
      <c r="F3456" s="32"/>
      <c r="G3456" s="33"/>
      <c r="H3456" s="33"/>
      <c r="I3456" s="34" t="str">
        <f aca="false">IF($A3456="","",$G3456-$H3456)</f>
        <v/>
      </c>
      <c r="J3456" s="35" t="str">
        <f aca="false">IF($A3456="","",IF(Setup!$B$6=1,YEAR($A3456),YEAR($A3456)+IF(MONTH($A3456)&gt;=Setup!$B$6,1,0)))</f>
        <v/>
      </c>
      <c r="K3456" s="35" t="str">
        <f aca="false">IF($A3456="","",MOD(MONTH($A3456)-Setup!$B$6+12,12)+1)</f>
        <v/>
      </c>
      <c r="L3456" s="36" t="str">
        <f aca="false">IF($A3456="","",TEXT($A3456,"MMM-YY"))</f>
        <v/>
      </c>
      <c r="M3456" s="37" t="str">
        <f aca="false">IF($A3456="","",IF($Q3456=0,"UNMAPPED",INDEX(COA_Mapping!$C$7:$C$256,$Q3456)))</f>
        <v/>
      </c>
      <c r="N3456" s="38" t="str">
        <f aca="false">IF($A3456="","",IF($Q3456=0,"",INDEX(COA_Mapping!$E$7:$E$256,$Q3456)))</f>
        <v/>
      </c>
      <c r="O3456" s="38" t="n">
        <f aca="false">IF($A3456="",1,IF($Q3456=0,1,INDEX(COA_Mapping!$F$7:$F$256,$Q3456)))</f>
        <v>1</v>
      </c>
      <c r="P3456" s="34" t="str">
        <f aca="false">IF($A3456="","",$I3456*$O3456)</f>
        <v/>
      </c>
      <c r="Q3456" s="39" t="n">
        <f aca="false">IF($B3456="",0,IFERROR(MATCH($B3456,COA_Mapping!$A$7:$A$256,0),0))</f>
        <v>0</v>
      </c>
      <c r="R3456" s="39" t="n">
        <f aca="false">IF($A3456="",-1,IF($J3456=Setup!$B$7,1,IF($J3456=Setup!$B$9,0,-1)))</f>
        <v>-1</v>
      </c>
      <c r="S3456" s="35" t="n">
        <f aca="false">IF(OR($A3456="",$Q3456=0,$R3456=-1),0,$Q3456*1000+$R3456*100+$K3456)</f>
        <v>0</v>
      </c>
      <c r="T3456" s="37" t="str">
        <f aca="false">IF($A3456="","",IF($B3456="","NO ACCOUNT",IF($Q3456=0,"UNMAPPED",IF($R3456=-1,"OUTSIDE FY RANGE","OK"))))</f>
        <v/>
      </c>
      <c r="U3456" s="40" t="str">
        <f aca="false">IF($A3456="","",$B3456&amp;"|"&amp;TEXT($A3456,"yyyymmdd")&amp;"|"&amp;TEXT($I3456,"0.00"))</f>
        <v/>
      </c>
      <c r="V3456" s="35" t="str">
        <f aca="false">IF($A3456="","",COUNTIF($U$8:$U$5007,$U3456))</f>
        <v/>
      </c>
    </row>
    <row r="3457" customFormat="false" ht="15" hidden="false" customHeight="false" outlineLevel="0" collapsed="false">
      <c r="A3457" s="31"/>
      <c r="B3457" s="32"/>
      <c r="C3457" s="32"/>
      <c r="D3457" s="32"/>
      <c r="E3457" s="32"/>
      <c r="F3457" s="32"/>
      <c r="G3457" s="33"/>
      <c r="H3457" s="33"/>
      <c r="I3457" s="34" t="str">
        <f aca="false">IF($A3457="","",$G3457-$H3457)</f>
        <v/>
      </c>
      <c r="J3457" s="35" t="str">
        <f aca="false">IF($A3457="","",IF(Setup!$B$6=1,YEAR($A3457),YEAR($A3457)+IF(MONTH($A3457)&gt;=Setup!$B$6,1,0)))</f>
        <v/>
      </c>
      <c r="K3457" s="35" t="str">
        <f aca="false">IF($A3457="","",MOD(MONTH($A3457)-Setup!$B$6+12,12)+1)</f>
        <v/>
      </c>
      <c r="L3457" s="36" t="str">
        <f aca="false">IF($A3457="","",TEXT($A3457,"MMM-YY"))</f>
        <v/>
      </c>
      <c r="M3457" s="37" t="str">
        <f aca="false">IF($A3457="","",IF($Q3457=0,"UNMAPPED",INDEX(COA_Mapping!$C$7:$C$256,$Q3457)))</f>
        <v/>
      </c>
      <c r="N3457" s="38" t="str">
        <f aca="false">IF($A3457="","",IF($Q3457=0,"",INDEX(COA_Mapping!$E$7:$E$256,$Q3457)))</f>
        <v/>
      </c>
      <c r="O3457" s="38" t="n">
        <f aca="false">IF($A3457="",1,IF($Q3457=0,1,INDEX(COA_Mapping!$F$7:$F$256,$Q3457)))</f>
        <v>1</v>
      </c>
      <c r="P3457" s="34" t="str">
        <f aca="false">IF($A3457="","",$I3457*$O3457)</f>
        <v/>
      </c>
      <c r="Q3457" s="39" t="n">
        <f aca="false">IF($B3457="",0,IFERROR(MATCH($B3457,COA_Mapping!$A$7:$A$256,0),0))</f>
        <v>0</v>
      </c>
      <c r="R3457" s="39" t="n">
        <f aca="false">IF($A3457="",-1,IF($J3457=Setup!$B$7,1,IF($J3457=Setup!$B$9,0,-1)))</f>
        <v>-1</v>
      </c>
      <c r="S3457" s="35" t="n">
        <f aca="false">IF(OR($A3457="",$Q3457=0,$R3457=-1),0,$Q3457*1000+$R3457*100+$K3457)</f>
        <v>0</v>
      </c>
      <c r="T3457" s="37" t="str">
        <f aca="false">IF($A3457="","",IF($B3457="","NO ACCOUNT",IF($Q3457=0,"UNMAPPED",IF($R3457=-1,"OUTSIDE FY RANGE","OK"))))</f>
        <v/>
      </c>
      <c r="U3457" s="40" t="str">
        <f aca="false">IF($A3457="","",$B3457&amp;"|"&amp;TEXT($A3457,"yyyymmdd")&amp;"|"&amp;TEXT($I3457,"0.00"))</f>
        <v/>
      </c>
      <c r="V3457" s="35" t="str">
        <f aca="false">IF($A3457="","",COUNTIF($U$8:$U$5007,$U3457))</f>
        <v/>
      </c>
    </row>
    <row r="3458" customFormat="false" ht="15" hidden="false" customHeight="false" outlineLevel="0" collapsed="false">
      <c r="A3458" s="31"/>
      <c r="B3458" s="32"/>
      <c r="C3458" s="32"/>
      <c r="D3458" s="32"/>
      <c r="E3458" s="32"/>
      <c r="F3458" s="32"/>
      <c r="G3458" s="33"/>
      <c r="H3458" s="33"/>
      <c r="I3458" s="34" t="str">
        <f aca="false">IF($A3458="","",$G3458-$H3458)</f>
        <v/>
      </c>
      <c r="J3458" s="35" t="str">
        <f aca="false">IF($A3458="","",IF(Setup!$B$6=1,YEAR($A3458),YEAR($A3458)+IF(MONTH($A3458)&gt;=Setup!$B$6,1,0)))</f>
        <v/>
      </c>
      <c r="K3458" s="35" t="str">
        <f aca="false">IF($A3458="","",MOD(MONTH($A3458)-Setup!$B$6+12,12)+1)</f>
        <v/>
      </c>
      <c r="L3458" s="36" t="str">
        <f aca="false">IF($A3458="","",TEXT($A3458,"MMM-YY"))</f>
        <v/>
      </c>
      <c r="M3458" s="37" t="str">
        <f aca="false">IF($A3458="","",IF($Q3458=0,"UNMAPPED",INDEX(COA_Mapping!$C$7:$C$256,$Q3458)))</f>
        <v/>
      </c>
      <c r="N3458" s="38" t="str">
        <f aca="false">IF($A3458="","",IF($Q3458=0,"",INDEX(COA_Mapping!$E$7:$E$256,$Q3458)))</f>
        <v/>
      </c>
      <c r="O3458" s="38" t="n">
        <f aca="false">IF($A3458="",1,IF($Q3458=0,1,INDEX(COA_Mapping!$F$7:$F$256,$Q3458)))</f>
        <v>1</v>
      </c>
      <c r="P3458" s="34" t="str">
        <f aca="false">IF($A3458="","",$I3458*$O3458)</f>
        <v/>
      </c>
      <c r="Q3458" s="39" t="n">
        <f aca="false">IF($B3458="",0,IFERROR(MATCH($B3458,COA_Mapping!$A$7:$A$256,0),0))</f>
        <v>0</v>
      </c>
      <c r="R3458" s="39" t="n">
        <f aca="false">IF($A3458="",-1,IF($J3458=Setup!$B$7,1,IF($J3458=Setup!$B$9,0,-1)))</f>
        <v>-1</v>
      </c>
      <c r="S3458" s="35" t="n">
        <f aca="false">IF(OR($A3458="",$Q3458=0,$R3458=-1),0,$Q3458*1000+$R3458*100+$K3458)</f>
        <v>0</v>
      </c>
      <c r="T3458" s="37" t="str">
        <f aca="false">IF($A3458="","",IF($B3458="","NO ACCOUNT",IF($Q3458=0,"UNMAPPED",IF($R3458=-1,"OUTSIDE FY RANGE","OK"))))</f>
        <v/>
      </c>
      <c r="U3458" s="40" t="str">
        <f aca="false">IF($A3458="","",$B3458&amp;"|"&amp;TEXT($A3458,"yyyymmdd")&amp;"|"&amp;TEXT($I3458,"0.00"))</f>
        <v/>
      </c>
      <c r="V3458" s="35" t="str">
        <f aca="false">IF($A3458="","",COUNTIF($U$8:$U$5007,$U3458))</f>
        <v/>
      </c>
    </row>
    <row r="3459" customFormat="false" ht="15" hidden="false" customHeight="false" outlineLevel="0" collapsed="false">
      <c r="A3459" s="31"/>
      <c r="B3459" s="32"/>
      <c r="C3459" s="32"/>
      <c r="D3459" s="32"/>
      <c r="E3459" s="32"/>
      <c r="F3459" s="32"/>
      <c r="G3459" s="33"/>
      <c r="H3459" s="33"/>
      <c r="I3459" s="34" t="str">
        <f aca="false">IF($A3459="","",$G3459-$H3459)</f>
        <v/>
      </c>
      <c r="J3459" s="35" t="str">
        <f aca="false">IF($A3459="","",IF(Setup!$B$6=1,YEAR($A3459),YEAR($A3459)+IF(MONTH($A3459)&gt;=Setup!$B$6,1,0)))</f>
        <v/>
      </c>
      <c r="K3459" s="35" t="str">
        <f aca="false">IF($A3459="","",MOD(MONTH($A3459)-Setup!$B$6+12,12)+1)</f>
        <v/>
      </c>
      <c r="L3459" s="36" t="str">
        <f aca="false">IF($A3459="","",TEXT($A3459,"MMM-YY"))</f>
        <v/>
      </c>
      <c r="M3459" s="37" t="str">
        <f aca="false">IF($A3459="","",IF($Q3459=0,"UNMAPPED",INDEX(COA_Mapping!$C$7:$C$256,$Q3459)))</f>
        <v/>
      </c>
      <c r="N3459" s="38" t="str">
        <f aca="false">IF($A3459="","",IF($Q3459=0,"",INDEX(COA_Mapping!$E$7:$E$256,$Q3459)))</f>
        <v/>
      </c>
      <c r="O3459" s="38" t="n">
        <f aca="false">IF($A3459="",1,IF($Q3459=0,1,INDEX(COA_Mapping!$F$7:$F$256,$Q3459)))</f>
        <v>1</v>
      </c>
      <c r="P3459" s="34" t="str">
        <f aca="false">IF($A3459="","",$I3459*$O3459)</f>
        <v/>
      </c>
      <c r="Q3459" s="39" t="n">
        <f aca="false">IF($B3459="",0,IFERROR(MATCH($B3459,COA_Mapping!$A$7:$A$256,0),0))</f>
        <v>0</v>
      </c>
      <c r="R3459" s="39" t="n">
        <f aca="false">IF($A3459="",-1,IF($J3459=Setup!$B$7,1,IF($J3459=Setup!$B$9,0,-1)))</f>
        <v>-1</v>
      </c>
      <c r="S3459" s="35" t="n">
        <f aca="false">IF(OR($A3459="",$Q3459=0,$R3459=-1),0,$Q3459*1000+$R3459*100+$K3459)</f>
        <v>0</v>
      </c>
      <c r="T3459" s="37" t="str">
        <f aca="false">IF($A3459="","",IF($B3459="","NO ACCOUNT",IF($Q3459=0,"UNMAPPED",IF($R3459=-1,"OUTSIDE FY RANGE","OK"))))</f>
        <v/>
      </c>
      <c r="U3459" s="40" t="str">
        <f aca="false">IF($A3459="","",$B3459&amp;"|"&amp;TEXT($A3459,"yyyymmdd")&amp;"|"&amp;TEXT($I3459,"0.00"))</f>
        <v/>
      </c>
      <c r="V3459" s="35" t="str">
        <f aca="false">IF($A3459="","",COUNTIF($U$8:$U$5007,$U3459))</f>
        <v/>
      </c>
    </row>
    <row r="3460" customFormat="false" ht="15" hidden="false" customHeight="false" outlineLevel="0" collapsed="false">
      <c r="A3460" s="31"/>
      <c r="B3460" s="32"/>
      <c r="C3460" s="32"/>
      <c r="D3460" s="32"/>
      <c r="E3460" s="32"/>
      <c r="F3460" s="32"/>
      <c r="G3460" s="33"/>
      <c r="H3460" s="33"/>
      <c r="I3460" s="34" t="str">
        <f aca="false">IF($A3460="","",$G3460-$H3460)</f>
        <v/>
      </c>
      <c r="J3460" s="35" t="str">
        <f aca="false">IF($A3460="","",IF(Setup!$B$6=1,YEAR($A3460),YEAR($A3460)+IF(MONTH($A3460)&gt;=Setup!$B$6,1,0)))</f>
        <v/>
      </c>
      <c r="K3460" s="35" t="str">
        <f aca="false">IF($A3460="","",MOD(MONTH($A3460)-Setup!$B$6+12,12)+1)</f>
        <v/>
      </c>
      <c r="L3460" s="36" t="str">
        <f aca="false">IF($A3460="","",TEXT($A3460,"MMM-YY"))</f>
        <v/>
      </c>
      <c r="M3460" s="37" t="str">
        <f aca="false">IF($A3460="","",IF($Q3460=0,"UNMAPPED",INDEX(COA_Mapping!$C$7:$C$256,$Q3460)))</f>
        <v/>
      </c>
      <c r="N3460" s="38" t="str">
        <f aca="false">IF($A3460="","",IF($Q3460=0,"",INDEX(COA_Mapping!$E$7:$E$256,$Q3460)))</f>
        <v/>
      </c>
      <c r="O3460" s="38" t="n">
        <f aca="false">IF($A3460="",1,IF($Q3460=0,1,INDEX(COA_Mapping!$F$7:$F$256,$Q3460)))</f>
        <v>1</v>
      </c>
      <c r="P3460" s="34" t="str">
        <f aca="false">IF($A3460="","",$I3460*$O3460)</f>
        <v/>
      </c>
      <c r="Q3460" s="39" t="n">
        <f aca="false">IF($B3460="",0,IFERROR(MATCH($B3460,COA_Mapping!$A$7:$A$256,0),0))</f>
        <v>0</v>
      </c>
      <c r="R3460" s="39" t="n">
        <f aca="false">IF($A3460="",-1,IF($J3460=Setup!$B$7,1,IF($J3460=Setup!$B$9,0,-1)))</f>
        <v>-1</v>
      </c>
      <c r="S3460" s="35" t="n">
        <f aca="false">IF(OR($A3460="",$Q3460=0,$R3460=-1),0,$Q3460*1000+$R3460*100+$K3460)</f>
        <v>0</v>
      </c>
      <c r="T3460" s="37" t="str">
        <f aca="false">IF($A3460="","",IF($B3460="","NO ACCOUNT",IF($Q3460=0,"UNMAPPED",IF($R3460=-1,"OUTSIDE FY RANGE","OK"))))</f>
        <v/>
      </c>
      <c r="U3460" s="40" t="str">
        <f aca="false">IF($A3460="","",$B3460&amp;"|"&amp;TEXT($A3460,"yyyymmdd")&amp;"|"&amp;TEXT($I3460,"0.00"))</f>
        <v/>
      </c>
      <c r="V3460" s="35" t="str">
        <f aca="false">IF($A3460="","",COUNTIF($U$8:$U$5007,$U3460))</f>
        <v/>
      </c>
    </row>
    <row r="3461" customFormat="false" ht="15" hidden="false" customHeight="false" outlineLevel="0" collapsed="false">
      <c r="A3461" s="31"/>
      <c r="B3461" s="32"/>
      <c r="C3461" s="32"/>
      <c r="D3461" s="32"/>
      <c r="E3461" s="32"/>
      <c r="F3461" s="32"/>
      <c r="G3461" s="33"/>
      <c r="H3461" s="33"/>
      <c r="I3461" s="34" t="str">
        <f aca="false">IF($A3461="","",$G3461-$H3461)</f>
        <v/>
      </c>
      <c r="J3461" s="35" t="str">
        <f aca="false">IF($A3461="","",IF(Setup!$B$6=1,YEAR($A3461),YEAR($A3461)+IF(MONTH($A3461)&gt;=Setup!$B$6,1,0)))</f>
        <v/>
      </c>
      <c r="K3461" s="35" t="str">
        <f aca="false">IF($A3461="","",MOD(MONTH($A3461)-Setup!$B$6+12,12)+1)</f>
        <v/>
      </c>
      <c r="L3461" s="36" t="str">
        <f aca="false">IF($A3461="","",TEXT($A3461,"MMM-YY"))</f>
        <v/>
      </c>
      <c r="M3461" s="37" t="str">
        <f aca="false">IF($A3461="","",IF($Q3461=0,"UNMAPPED",INDEX(COA_Mapping!$C$7:$C$256,$Q3461)))</f>
        <v/>
      </c>
      <c r="N3461" s="38" t="str">
        <f aca="false">IF($A3461="","",IF($Q3461=0,"",INDEX(COA_Mapping!$E$7:$E$256,$Q3461)))</f>
        <v/>
      </c>
      <c r="O3461" s="38" t="n">
        <f aca="false">IF($A3461="",1,IF($Q3461=0,1,INDEX(COA_Mapping!$F$7:$F$256,$Q3461)))</f>
        <v>1</v>
      </c>
      <c r="P3461" s="34" t="str">
        <f aca="false">IF($A3461="","",$I3461*$O3461)</f>
        <v/>
      </c>
      <c r="Q3461" s="39" t="n">
        <f aca="false">IF($B3461="",0,IFERROR(MATCH($B3461,COA_Mapping!$A$7:$A$256,0),0))</f>
        <v>0</v>
      </c>
      <c r="R3461" s="39" t="n">
        <f aca="false">IF($A3461="",-1,IF($J3461=Setup!$B$7,1,IF($J3461=Setup!$B$9,0,-1)))</f>
        <v>-1</v>
      </c>
      <c r="S3461" s="35" t="n">
        <f aca="false">IF(OR($A3461="",$Q3461=0,$R3461=-1),0,$Q3461*1000+$R3461*100+$K3461)</f>
        <v>0</v>
      </c>
      <c r="T3461" s="37" t="str">
        <f aca="false">IF($A3461="","",IF($B3461="","NO ACCOUNT",IF($Q3461=0,"UNMAPPED",IF($R3461=-1,"OUTSIDE FY RANGE","OK"))))</f>
        <v/>
      </c>
      <c r="U3461" s="40" t="str">
        <f aca="false">IF($A3461="","",$B3461&amp;"|"&amp;TEXT($A3461,"yyyymmdd")&amp;"|"&amp;TEXT($I3461,"0.00"))</f>
        <v/>
      </c>
      <c r="V3461" s="35" t="str">
        <f aca="false">IF($A3461="","",COUNTIF($U$8:$U$5007,$U3461))</f>
        <v/>
      </c>
    </row>
    <row r="3462" customFormat="false" ht="15" hidden="false" customHeight="false" outlineLevel="0" collapsed="false">
      <c r="A3462" s="31"/>
      <c r="B3462" s="32"/>
      <c r="C3462" s="32"/>
      <c r="D3462" s="32"/>
      <c r="E3462" s="32"/>
      <c r="F3462" s="32"/>
      <c r="G3462" s="33"/>
      <c r="H3462" s="33"/>
      <c r="I3462" s="34" t="str">
        <f aca="false">IF($A3462="","",$G3462-$H3462)</f>
        <v/>
      </c>
      <c r="J3462" s="35" t="str">
        <f aca="false">IF($A3462="","",IF(Setup!$B$6=1,YEAR($A3462),YEAR($A3462)+IF(MONTH($A3462)&gt;=Setup!$B$6,1,0)))</f>
        <v/>
      </c>
      <c r="K3462" s="35" t="str">
        <f aca="false">IF($A3462="","",MOD(MONTH($A3462)-Setup!$B$6+12,12)+1)</f>
        <v/>
      </c>
      <c r="L3462" s="36" t="str">
        <f aca="false">IF($A3462="","",TEXT($A3462,"MMM-YY"))</f>
        <v/>
      </c>
      <c r="M3462" s="37" t="str">
        <f aca="false">IF($A3462="","",IF($Q3462=0,"UNMAPPED",INDEX(COA_Mapping!$C$7:$C$256,$Q3462)))</f>
        <v/>
      </c>
      <c r="N3462" s="38" t="str">
        <f aca="false">IF($A3462="","",IF($Q3462=0,"",INDEX(COA_Mapping!$E$7:$E$256,$Q3462)))</f>
        <v/>
      </c>
      <c r="O3462" s="38" t="n">
        <f aca="false">IF($A3462="",1,IF($Q3462=0,1,INDEX(COA_Mapping!$F$7:$F$256,$Q3462)))</f>
        <v>1</v>
      </c>
      <c r="P3462" s="34" t="str">
        <f aca="false">IF($A3462="","",$I3462*$O3462)</f>
        <v/>
      </c>
      <c r="Q3462" s="39" t="n">
        <f aca="false">IF($B3462="",0,IFERROR(MATCH($B3462,COA_Mapping!$A$7:$A$256,0),0))</f>
        <v>0</v>
      </c>
      <c r="R3462" s="39" t="n">
        <f aca="false">IF($A3462="",-1,IF($J3462=Setup!$B$7,1,IF($J3462=Setup!$B$9,0,-1)))</f>
        <v>-1</v>
      </c>
      <c r="S3462" s="35" t="n">
        <f aca="false">IF(OR($A3462="",$Q3462=0,$R3462=-1),0,$Q3462*1000+$R3462*100+$K3462)</f>
        <v>0</v>
      </c>
      <c r="T3462" s="37" t="str">
        <f aca="false">IF($A3462="","",IF($B3462="","NO ACCOUNT",IF($Q3462=0,"UNMAPPED",IF($R3462=-1,"OUTSIDE FY RANGE","OK"))))</f>
        <v/>
      </c>
      <c r="U3462" s="40" t="str">
        <f aca="false">IF($A3462="","",$B3462&amp;"|"&amp;TEXT($A3462,"yyyymmdd")&amp;"|"&amp;TEXT($I3462,"0.00"))</f>
        <v/>
      </c>
      <c r="V3462" s="35" t="str">
        <f aca="false">IF($A3462="","",COUNTIF($U$8:$U$5007,$U3462))</f>
        <v/>
      </c>
    </row>
    <row r="3463" customFormat="false" ht="15" hidden="false" customHeight="false" outlineLevel="0" collapsed="false">
      <c r="A3463" s="31"/>
      <c r="B3463" s="32"/>
      <c r="C3463" s="32"/>
      <c r="D3463" s="32"/>
      <c r="E3463" s="32"/>
      <c r="F3463" s="32"/>
      <c r="G3463" s="33"/>
      <c r="H3463" s="33"/>
      <c r="I3463" s="34" t="str">
        <f aca="false">IF($A3463="","",$G3463-$H3463)</f>
        <v/>
      </c>
      <c r="J3463" s="35" t="str">
        <f aca="false">IF($A3463="","",IF(Setup!$B$6=1,YEAR($A3463),YEAR($A3463)+IF(MONTH($A3463)&gt;=Setup!$B$6,1,0)))</f>
        <v/>
      </c>
      <c r="K3463" s="35" t="str">
        <f aca="false">IF($A3463="","",MOD(MONTH($A3463)-Setup!$B$6+12,12)+1)</f>
        <v/>
      </c>
      <c r="L3463" s="36" t="str">
        <f aca="false">IF($A3463="","",TEXT($A3463,"MMM-YY"))</f>
        <v/>
      </c>
      <c r="M3463" s="37" t="str">
        <f aca="false">IF($A3463="","",IF($Q3463=0,"UNMAPPED",INDEX(COA_Mapping!$C$7:$C$256,$Q3463)))</f>
        <v/>
      </c>
      <c r="N3463" s="38" t="str">
        <f aca="false">IF($A3463="","",IF($Q3463=0,"",INDEX(COA_Mapping!$E$7:$E$256,$Q3463)))</f>
        <v/>
      </c>
      <c r="O3463" s="38" t="n">
        <f aca="false">IF($A3463="",1,IF($Q3463=0,1,INDEX(COA_Mapping!$F$7:$F$256,$Q3463)))</f>
        <v>1</v>
      </c>
      <c r="P3463" s="34" t="str">
        <f aca="false">IF($A3463="","",$I3463*$O3463)</f>
        <v/>
      </c>
      <c r="Q3463" s="39" t="n">
        <f aca="false">IF($B3463="",0,IFERROR(MATCH($B3463,COA_Mapping!$A$7:$A$256,0),0))</f>
        <v>0</v>
      </c>
      <c r="R3463" s="39" t="n">
        <f aca="false">IF($A3463="",-1,IF($J3463=Setup!$B$7,1,IF($J3463=Setup!$B$9,0,-1)))</f>
        <v>-1</v>
      </c>
      <c r="S3463" s="35" t="n">
        <f aca="false">IF(OR($A3463="",$Q3463=0,$R3463=-1),0,$Q3463*1000+$R3463*100+$K3463)</f>
        <v>0</v>
      </c>
      <c r="T3463" s="37" t="str">
        <f aca="false">IF($A3463="","",IF($B3463="","NO ACCOUNT",IF($Q3463=0,"UNMAPPED",IF($R3463=-1,"OUTSIDE FY RANGE","OK"))))</f>
        <v/>
      </c>
      <c r="U3463" s="40" t="str">
        <f aca="false">IF($A3463="","",$B3463&amp;"|"&amp;TEXT($A3463,"yyyymmdd")&amp;"|"&amp;TEXT($I3463,"0.00"))</f>
        <v/>
      </c>
      <c r="V3463" s="35" t="str">
        <f aca="false">IF($A3463="","",COUNTIF($U$8:$U$5007,$U3463))</f>
        <v/>
      </c>
    </row>
    <row r="3464" customFormat="false" ht="15" hidden="false" customHeight="false" outlineLevel="0" collapsed="false">
      <c r="A3464" s="31"/>
      <c r="B3464" s="32"/>
      <c r="C3464" s="32"/>
      <c r="D3464" s="32"/>
      <c r="E3464" s="32"/>
      <c r="F3464" s="32"/>
      <c r="G3464" s="33"/>
      <c r="H3464" s="33"/>
      <c r="I3464" s="34" t="str">
        <f aca="false">IF($A3464="","",$G3464-$H3464)</f>
        <v/>
      </c>
      <c r="J3464" s="35" t="str">
        <f aca="false">IF($A3464="","",IF(Setup!$B$6=1,YEAR($A3464),YEAR($A3464)+IF(MONTH($A3464)&gt;=Setup!$B$6,1,0)))</f>
        <v/>
      </c>
      <c r="K3464" s="35" t="str">
        <f aca="false">IF($A3464="","",MOD(MONTH($A3464)-Setup!$B$6+12,12)+1)</f>
        <v/>
      </c>
      <c r="L3464" s="36" t="str">
        <f aca="false">IF($A3464="","",TEXT($A3464,"MMM-YY"))</f>
        <v/>
      </c>
      <c r="M3464" s="37" t="str">
        <f aca="false">IF($A3464="","",IF($Q3464=0,"UNMAPPED",INDEX(COA_Mapping!$C$7:$C$256,$Q3464)))</f>
        <v/>
      </c>
      <c r="N3464" s="38" t="str">
        <f aca="false">IF($A3464="","",IF($Q3464=0,"",INDEX(COA_Mapping!$E$7:$E$256,$Q3464)))</f>
        <v/>
      </c>
      <c r="O3464" s="38" t="n">
        <f aca="false">IF($A3464="",1,IF($Q3464=0,1,INDEX(COA_Mapping!$F$7:$F$256,$Q3464)))</f>
        <v>1</v>
      </c>
      <c r="P3464" s="34" t="str">
        <f aca="false">IF($A3464="","",$I3464*$O3464)</f>
        <v/>
      </c>
      <c r="Q3464" s="39" t="n">
        <f aca="false">IF($B3464="",0,IFERROR(MATCH($B3464,COA_Mapping!$A$7:$A$256,0),0))</f>
        <v>0</v>
      </c>
      <c r="R3464" s="39" t="n">
        <f aca="false">IF($A3464="",-1,IF($J3464=Setup!$B$7,1,IF($J3464=Setup!$B$9,0,-1)))</f>
        <v>-1</v>
      </c>
      <c r="S3464" s="35" t="n">
        <f aca="false">IF(OR($A3464="",$Q3464=0,$R3464=-1),0,$Q3464*1000+$R3464*100+$K3464)</f>
        <v>0</v>
      </c>
      <c r="T3464" s="37" t="str">
        <f aca="false">IF($A3464="","",IF($B3464="","NO ACCOUNT",IF($Q3464=0,"UNMAPPED",IF($R3464=-1,"OUTSIDE FY RANGE","OK"))))</f>
        <v/>
      </c>
      <c r="U3464" s="40" t="str">
        <f aca="false">IF($A3464="","",$B3464&amp;"|"&amp;TEXT($A3464,"yyyymmdd")&amp;"|"&amp;TEXT($I3464,"0.00"))</f>
        <v/>
      </c>
      <c r="V3464" s="35" t="str">
        <f aca="false">IF($A3464="","",COUNTIF($U$8:$U$5007,$U3464))</f>
        <v/>
      </c>
    </row>
    <row r="3465" customFormat="false" ht="15" hidden="false" customHeight="false" outlineLevel="0" collapsed="false">
      <c r="A3465" s="31"/>
      <c r="B3465" s="32"/>
      <c r="C3465" s="32"/>
      <c r="D3465" s="32"/>
      <c r="E3465" s="32"/>
      <c r="F3465" s="32"/>
      <c r="G3465" s="33"/>
      <c r="H3465" s="33"/>
      <c r="I3465" s="34" t="str">
        <f aca="false">IF($A3465="","",$G3465-$H3465)</f>
        <v/>
      </c>
      <c r="J3465" s="35" t="str">
        <f aca="false">IF($A3465="","",IF(Setup!$B$6=1,YEAR($A3465),YEAR($A3465)+IF(MONTH($A3465)&gt;=Setup!$B$6,1,0)))</f>
        <v/>
      </c>
      <c r="K3465" s="35" t="str">
        <f aca="false">IF($A3465="","",MOD(MONTH($A3465)-Setup!$B$6+12,12)+1)</f>
        <v/>
      </c>
      <c r="L3465" s="36" t="str">
        <f aca="false">IF($A3465="","",TEXT($A3465,"MMM-YY"))</f>
        <v/>
      </c>
      <c r="M3465" s="37" t="str">
        <f aca="false">IF($A3465="","",IF($Q3465=0,"UNMAPPED",INDEX(COA_Mapping!$C$7:$C$256,$Q3465)))</f>
        <v/>
      </c>
      <c r="N3465" s="38" t="str">
        <f aca="false">IF($A3465="","",IF($Q3465=0,"",INDEX(COA_Mapping!$E$7:$E$256,$Q3465)))</f>
        <v/>
      </c>
      <c r="O3465" s="38" t="n">
        <f aca="false">IF($A3465="",1,IF($Q3465=0,1,INDEX(COA_Mapping!$F$7:$F$256,$Q3465)))</f>
        <v>1</v>
      </c>
      <c r="P3465" s="34" t="str">
        <f aca="false">IF($A3465="","",$I3465*$O3465)</f>
        <v/>
      </c>
      <c r="Q3465" s="39" t="n">
        <f aca="false">IF($B3465="",0,IFERROR(MATCH($B3465,COA_Mapping!$A$7:$A$256,0),0))</f>
        <v>0</v>
      </c>
      <c r="R3465" s="39" t="n">
        <f aca="false">IF($A3465="",-1,IF($J3465=Setup!$B$7,1,IF($J3465=Setup!$B$9,0,-1)))</f>
        <v>-1</v>
      </c>
      <c r="S3465" s="35" t="n">
        <f aca="false">IF(OR($A3465="",$Q3465=0,$R3465=-1),0,$Q3465*1000+$R3465*100+$K3465)</f>
        <v>0</v>
      </c>
      <c r="T3465" s="37" t="str">
        <f aca="false">IF($A3465="","",IF($B3465="","NO ACCOUNT",IF($Q3465=0,"UNMAPPED",IF($R3465=-1,"OUTSIDE FY RANGE","OK"))))</f>
        <v/>
      </c>
      <c r="U3465" s="40" t="str">
        <f aca="false">IF($A3465="","",$B3465&amp;"|"&amp;TEXT($A3465,"yyyymmdd")&amp;"|"&amp;TEXT($I3465,"0.00"))</f>
        <v/>
      </c>
      <c r="V3465" s="35" t="str">
        <f aca="false">IF($A3465="","",COUNTIF($U$8:$U$5007,$U3465))</f>
        <v/>
      </c>
    </row>
    <row r="3466" customFormat="false" ht="15" hidden="false" customHeight="false" outlineLevel="0" collapsed="false">
      <c r="A3466" s="31"/>
      <c r="B3466" s="32"/>
      <c r="C3466" s="32"/>
      <c r="D3466" s="32"/>
      <c r="E3466" s="32"/>
      <c r="F3466" s="32"/>
      <c r="G3466" s="33"/>
      <c r="H3466" s="33"/>
      <c r="I3466" s="34" t="str">
        <f aca="false">IF($A3466="","",$G3466-$H3466)</f>
        <v/>
      </c>
      <c r="J3466" s="35" t="str">
        <f aca="false">IF($A3466="","",IF(Setup!$B$6=1,YEAR($A3466),YEAR($A3466)+IF(MONTH($A3466)&gt;=Setup!$B$6,1,0)))</f>
        <v/>
      </c>
      <c r="K3466" s="35" t="str">
        <f aca="false">IF($A3466="","",MOD(MONTH($A3466)-Setup!$B$6+12,12)+1)</f>
        <v/>
      </c>
      <c r="L3466" s="36" t="str">
        <f aca="false">IF($A3466="","",TEXT($A3466,"MMM-YY"))</f>
        <v/>
      </c>
      <c r="M3466" s="37" t="str">
        <f aca="false">IF($A3466="","",IF($Q3466=0,"UNMAPPED",INDEX(COA_Mapping!$C$7:$C$256,$Q3466)))</f>
        <v/>
      </c>
      <c r="N3466" s="38" t="str">
        <f aca="false">IF($A3466="","",IF($Q3466=0,"",INDEX(COA_Mapping!$E$7:$E$256,$Q3466)))</f>
        <v/>
      </c>
      <c r="O3466" s="38" t="n">
        <f aca="false">IF($A3466="",1,IF($Q3466=0,1,INDEX(COA_Mapping!$F$7:$F$256,$Q3466)))</f>
        <v>1</v>
      </c>
      <c r="P3466" s="34" t="str">
        <f aca="false">IF($A3466="","",$I3466*$O3466)</f>
        <v/>
      </c>
      <c r="Q3466" s="39" t="n">
        <f aca="false">IF($B3466="",0,IFERROR(MATCH($B3466,COA_Mapping!$A$7:$A$256,0),0))</f>
        <v>0</v>
      </c>
      <c r="R3466" s="39" t="n">
        <f aca="false">IF($A3466="",-1,IF($J3466=Setup!$B$7,1,IF($J3466=Setup!$B$9,0,-1)))</f>
        <v>-1</v>
      </c>
      <c r="S3466" s="35" t="n">
        <f aca="false">IF(OR($A3466="",$Q3466=0,$R3466=-1),0,$Q3466*1000+$R3466*100+$K3466)</f>
        <v>0</v>
      </c>
      <c r="T3466" s="37" t="str">
        <f aca="false">IF($A3466="","",IF($B3466="","NO ACCOUNT",IF($Q3466=0,"UNMAPPED",IF($R3466=-1,"OUTSIDE FY RANGE","OK"))))</f>
        <v/>
      </c>
      <c r="U3466" s="40" t="str">
        <f aca="false">IF($A3466="","",$B3466&amp;"|"&amp;TEXT($A3466,"yyyymmdd")&amp;"|"&amp;TEXT($I3466,"0.00"))</f>
        <v/>
      </c>
      <c r="V3466" s="35" t="str">
        <f aca="false">IF($A3466="","",COUNTIF($U$8:$U$5007,$U3466))</f>
        <v/>
      </c>
    </row>
    <row r="3467" customFormat="false" ht="15" hidden="false" customHeight="false" outlineLevel="0" collapsed="false">
      <c r="A3467" s="31"/>
      <c r="B3467" s="32"/>
      <c r="C3467" s="32"/>
      <c r="D3467" s="32"/>
      <c r="E3467" s="32"/>
      <c r="F3467" s="32"/>
      <c r="G3467" s="33"/>
      <c r="H3467" s="33"/>
      <c r="I3467" s="34" t="str">
        <f aca="false">IF($A3467="","",$G3467-$H3467)</f>
        <v/>
      </c>
      <c r="J3467" s="35" t="str">
        <f aca="false">IF($A3467="","",IF(Setup!$B$6=1,YEAR($A3467),YEAR($A3467)+IF(MONTH($A3467)&gt;=Setup!$B$6,1,0)))</f>
        <v/>
      </c>
      <c r="K3467" s="35" t="str">
        <f aca="false">IF($A3467="","",MOD(MONTH($A3467)-Setup!$B$6+12,12)+1)</f>
        <v/>
      </c>
      <c r="L3467" s="36" t="str">
        <f aca="false">IF($A3467="","",TEXT($A3467,"MMM-YY"))</f>
        <v/>
      </c>
      <c r="M3467" s="37" t="str">
        <f aca="false">IF($A3467="","",IF($Q3467=0,"UNMAPPED",INDEX(COA_Mapping!$C$7:$C$256,$Q3467)))</f>
        <v/>
      </c>
      <c r="N3467" s="38" t="str">
        <f aca="false">IF($A3467="","",IF($Q3467=0,"",INDEX(COA_Mapping!$E$7:$E$256,$Q3467)))</f>
        <v/>
      </c>
      <c r="O3467" s="38" t="n">
        <f aca="false">IF($A3467="",1,IF($Q3467=0,1,INDEX(COA_Mapping!$F$7:$F$256,$Q3467)))</f>
        <v>1</v>
      </c>
      <c r="P3467" s="34" t="str">
        <f aca="false">IF($A3467="","",$I3467*$O3467)</f>
        <v/>
      </c>
      <c r="Q3467" s="39" t="n">
        <f aca="false">IF($B3467="",0,IFERROR(MATCH($B3467,COA_Mapping!$A$7:$A$256,0),0))</f>
        <v>0</v>
      </c>
      <c r="R3467" s="39" t="n">
        <f aca="false">IF($A3467="",-1,IF($J3467=Setup!$B$7,1,IF($J3467=Setup!$B$9,0,-1)))</f>
        <v>-1</v>
      </c>
      <c r="S3467" s="35" t="n">
        <f aca="false">IF(OR($A3467="",$Q3467=0,$R3467=-1),0,$Q3467*1000+$R3467*100+$K3467)</f>
        <v>0</v>
      </c>
      <c r="T3467" s="37" t="str">
        <f aca="false">IF($A3467="","",IF($B3467="","NO ACCOUNT",IF($Q3467=0,"UNMAPPED",IF($R3467=-1,"OUTSIDE FY RANGE","OK"))))</f>
        <v/>
      </c>
      <c r="U3467" s="40" t="str">
        <f aca="false">IF($A3467="","",$B3467&amp;"|"&amp;TEXT($A3467,"yyyymmdd")&amp;"|"&amp;TEXT($I3467,"0.00"))</f>
        <v/>
      </c>
      <c r="V3467" s="35" t="str">
        <f aca="false">IF($A3467="","",COUNTIF($U$8:$U$5007,$U3467))</f>
        <v/>
      </c>
    </row>
    <row r="3468" customFormat="false" ht="15" hidden="false" customHeight="false" outlineLevel="0" collapsed="false">
      <c r="A3468" s="31"/>
      <c r="B3468" s="32"/>
      <c r="C3468" s="32"/>
      <c r="D3468" s="32"/>
      <c r="E3468" s="32"/>
      <c r="F3468" s="32"/>
      <c r="G3468" s="33"/>
      <c r="H3468" s="33"/>
      <c r="I3468" s="34" t="str">
        <f aca="false">IF($A3468="","",$G3468-$H3468)</f>
        <v/>
      </c>
      <c r="J3468" s="35" t="str">
        <f aca="false">IF($A3468="","",IF(Setup!$B$6=1,YEAR($A3468),YEAR($A3468)+IF(MONTH($A3468)&gt;=Setup!$B$6,1,0)))</f>
        <v/>
      </c>
      <c r="K3468" s="35" t="str">
        <f aca="false">IF($A3468="","",MOD(MONTH($A3468)-Setup!$B$6+12,12)+1)</f>
        <v/>
      </c>
      <c r="L3468" s="36" t="str">
        <f aca="false">IF($A3468="","",TEXT($A3468,"MMM-YY"))</f>
        <v/>
      </c>
      <c r="M3468" s="37" t="str">
        <f aca="false">IF($A3468="","",IF($Q3468=0,"UNMAPPED",INDEX(COA_Mapping!$C$7:$C$256,$Q3468)))</f>
        <v/>
      </c>
      <c r="N3468" s="38" t="str">
        <f aca="false">IF($A3468="","",IF($Q3468=0,"",INDEX(COA_Mapping!$E$7:$E$256,$Q3468)))</f>
        <v/>
      </c>
      <c r="O3468" s="38" t="n">
        <f aca="false">IF($A3468="",1,IF($Q3468=0,1,INDEX(COA_Mapping!$F$7:$F$256,$Q3468)))</f>
        <v>1</v>
      </c>
      <c r="P3468" s="34" t="str">
        <f aca="false">IF($A3468="","",$I3468*$O3468)</f>
        <v/>
      </c>
      <c r="Q3468" s="39" t="n">
        <f aca="false">IF($B3468="",0,IFERROR(MATCH($B3468,COA_Mapping!$A$7:$A$256,0),0))</f>
        <v>0</v>
      </c>
      <c r="R3468" s="39" t="n">
        <f aca="false">IF($A3468="",-1,IF($J3468=Setup!$B$7,1,IF($J3468=Setup!$B$9,0,-1)))</f>
        <v>-1</v>
      </c>
      <c r="S3468" s="35" t="n">
        <f aca="false">IF(OR($A3468="",$Q3468=0,$R3468=-1),0,$Q3468*1000+$R3468*100+$K3468)</f>
        <v>0</v>
      </c>
      <c r="T3468" s="37" t="str">
        <f aca="false">IF($A3468="","",IF($B3468="","NO ACCOUNT",IF($Q3468=0,"UNMAPPED",IF($R3468=-1,"OUTSIDE FY RANGE","OK"))))</f>
        <v/>
      </c>
      <c r="U3468" s="40" t="str">
        <f aca="false">IF($A3468="","",$B3468&amp;"|"&amp;TEXT($A3468,"yyyymmdd")&amp;"|"&amp;TEXT($I3468,"0.00"))</f>
        <v/>
      </c>
      <c r="V3468" s="35" t="str">
        <f aca="false">IF($A3468="","",COUNTIF($U$8:$U$5007,$U3468))</f>
        <v/>
      </c>
    </row>
    <row r="3469" customFormat="false" ht="15" hidden="false" customHeight="false" outlineLevel="0" collapsed="false">
      <c r="A3469" s="31"/>
      <c r="B3469" s="32"/>
      <c r="C3469" s="32"/>
      <c r="D3469" s="32"/>
      <c r="E3469" s="32"/>
      <c r="F3469" s="32"/>
      <c r="G3469" s="33"/>
      <c r="H3469" s="33"/>
      <c r="I3469" s="34" t="str">
        <f aca="false">IF($A3469="","",$G3469-$H3469)</f>
        <v/>
      </c>
      <c r="J3469" s="35" t="str">
        <f aca="false">IF($A3469="","",IF(Setup!$B$6=1,YEAR($A3469),YEAR($A3469)+IF(MONTH($A3469)&gt;=Setup!$B$6,1,0)))</f>
        <v/>
      </c>
      <c r="K3469" s="35" t="str">
        <f aca="false">IF($A3469="","",MOD(MONTH($A3469)-Setup!$B$6+12,12)+1)</f>
        <v/>
      </c>
      <c r="L3469" s="36" t="str">
        <f aca="false">IF($A3469="","",TEXT($A3469,"MMM-YY"))</f>
        <v/>
      </c>
      <c r="M3469" s="37" t="str">
        <f aca="false">IF($A3469="","",IF($Q3469=0,"UNMAPPED",INDEX(COA_Mapping!$C$7:$C$256,$Q3469)))</f>
        <v/>
      </c>
      <c r="N3469" s="38" t="str">
        <f aca="false">IF($A3469="","",IF($Q3469=0,"",INDEX(COA_Mapping!$E$7:$E$256,$Q3469)))</f>
        <v/>
      </c>
      <c r="O3469" s="38" t="n">
        <f aca="false">IF($A3469="",1,IF($Q3469=0,1,INDEX(COA_Mapping!$F$7:$F$256,$Q3469)))</f>
        <v>1</v>
      </c>
      <c r="P3469" s="34" t="str">
        <f aca="false">IF($A3469="","",$I3469*$O3469)</f>
        <v/>
      </c>
      <c r="Q3469" s="39" t="n">
        <f aca="false">IF($B3469="",0,IFERROR(MATCH($B3469,COA_Mapping!$A$7:$A$256,0),0))</f>
        <v>0</v>
      </c>
      <c r="R3469" s="39" t="n">
        <f aca="false">IF($A3469="",-1,IF($J3469=Setup!$B$7,1,IF($J3469=Setup!$B$9,0,-1)))</f>
        <v>-1</v>
      </c>
      <c r="S3469" s="35" t="n">
        <f aca="false">IF(OR($A3469="",$Q3469=0,$R3469=-1),0,$Q3469*1000+$R3469*100+$K3469)</f>
        <v>0</v>
      </c>
      <c r="T3469" s="37" t="str">
        <f aca="false">IF($A3469="","",IF($B3469="","NO ACCOUNT",IF($Q3469=0,"UNMAPPED",IF($R3469=-1,"OUTSIDE FY RANGE","OK"))))</f>
        <v/>
      </c>
      <c r="U3469" s="40" t="str">
        <f aca="false">IF($A3469="","",$B3469&amp;"|"&amp;TEXT($A3469,"yyyymmdd")&amp;"|"&amp;TEXT($I3469,"0.00"))</f>
        <v/>
      </c>
      <c r="V3469" s="35" t="str">
        <f aca="false">IF($A3469="","",COUNTIF($U$8:$U$5007,$U3469))</f>
        <v/>
      </c>
    </row>
    <row r="3470" customFormat="false" ht="15" hidden="false" customHeight="false" outlineLevel="0" collapsed="false">
      <c r="A3470" s="31"/>
      <c r="B3470" s="32"/>
      <c r="C3470" s="32"/>
      <c r="D3470" s="32"/>
      <c r="E3470" s="32"/>
      <c r="F3470" s="32"/>
      <c r="G3470" s="33"/>
      <c r="H3470" s="33"/>
      <c r="I3470" s="34" t="str">
        <f aca="false">IF($A3470="","",$G3470-$H3470)</f>
        <v/>
      </c>
      <c r="J3470" s="35" t="str">
        <f aca="false">IF($A3470="","",IF(Setup!$B$6=1,YEAR($A3470),YEAR($A3470)+IF(MONTH($A3470)&gt;=Setup!$B$6,1,0)))</f>
        <v/>
      </c>
      <c r="K3470" s="35" t="str">
        <f aca="false">IF($A3470="","",MOD(MONTH($A3470)-Setup!$B$6+12,12)+1)</f>
        <v/>
      </c>
      <c r="L3470" s="36" t="str">
        <f aca="false">IF($A3470="","",TEXT($A3470,"MMM-YY"))</f>
        <v/>
      </c>
      <c r="M3470" s="37" t="str">
        <f aca="false">IF($A3470="","",IF($Q3470=0,"UNMAPPED",INDEX(COA_Mapping!$C$7:$C$256,$Q3470)))</f>
        <v/>
      </c>
      <c r="N3470" s="38" t="str">
        <f aca="false">IF($A3470="","",IF($Q3470=0,"",INDEX(COA_Mapping!$E$7:$E$256,$Q3470)))</f>
        <v/>
      </c>
      <c r="O3470" s="38" t="n">
        <f aca="false">IF($A3470="",1,IF($Q3470=0,1,INDEX(COA_Mapping!$F$7:$F$256,$Q3470)))</f>
        <v>1</v>
      </c>
      <c r="P3470" s="34" t="str">
        <f aca="false">IF($A3470="","",$I3470*$O3470)</f>
        <v/>
      </c>
      <c r="Q3470" s="39" t="n">
        <f aca="false">IF($B3470="",0,IFERROR(MATCH($B3470,COA_Mapping!$A$7:$A$256,0),0))</f>
        <v>0</v>
      </c>
      <c r="R3470" s="39" t="n">
        <f aca="false">IF($A3470="",-1,IF($J3470=Setup!$B$7,1,IF($J3470=Setup!$B$9,0,-1)))</f>
        <v>-1</v>
      </c>
      <c r="S3470" s="35" t="n">
        <f aca="false">IF(OR($A3470="",$Q3470=0,$R3470=-1),0,$Q3470*1000+$R3470*100+$K3470)</f>
        <v>0</v>
      </c>
      <c r="T3470" s="37" t="str">
        <f aca="false">IF($A3470="","",IF($B3470="","NO ACCOUNT",IF($Q3470=0,"UNMAPPED",IF($R3470=-1,"OUTSIDE FY RANGE","OK"))))</f>
        <v/>
      </c>
      <c r="U3470" s="40" t="str">
        <f aca="false">IF($A3470="","",$B3470&amp;"|"&amp;TEXT($A3470,"yyyymmdd")&amp;"|"&amp;TEXT($I3470,"0.00"))</f>
        <v/>
      </c>
      <c r="V3470" s="35" t="str">
        <f aca="false">IF($A3470="","",COUNTIF($U$8:$U$5007,$U3470))</f>
        <v/>
      </c>
    </row>
    <row r="3471" customFormat="false" ht="15" hidden="false" customHeight="false" outlineLevel="0" collapsed="false">
      <c r="A3471" s="31"/>
      <c r="B3471" s="32"/>
      <c r="C3471" s="32"/>
      <c r="D3471" s="32"/>
      <c r="E3471" s="32"/>
      <c r="F3471" s="32"/>
      <c r="G3471" s="33"/>
      <c r="H3471" s="33"/>
      <c r="I3471" s="34" t="str">
        <f aca="false">IF($A3471="","",$G3471-$H3471)</f>
        <v/>
      </c>
      <c r="J3471" s="35" t="str">
        <f aca="false">IF($A3471="","",IF(Setup!$B$6=1,YEAR($A3471),YEAR($A3471)+IF(MONTH($A3471)&gt;=Setup!$B$6,1,0)))</f>
        <v/>
      </c>
      <c r="K3471" s="35" t="str">
        <f aca="false">IF($A3471="","",MOD(MONTH($A3471)-Setup!$B$6+12,12)+1)</f>
        <v/>
      </c>
      <c r="L3471" s="36" t="str">
        <f aca="false">IF($A3471="","",TEXT($A3471,"MMM-YY"))</f>
        <v/>
      </c>
      <c r="M3471" s="37" t="str">
        <f aca="false">IF($A3471="","",IF($Q3471=0,"UNMAPPED",INDEX(COA_Mapping!$C$7:$C$256,$Q3471)))</f>
        <v/>
      </c>
      <c r="N3471" s="38" t="str">
        <f aca="false">IF($A3471="","",IF($Q3471=0,"",INDEX(COA_Mapping!$E$7:$E$256,$Q3471)))</f>
        <v/>
      </c>
      <c r="O3471" s="38" t="n">
        <f aca="false">IF($A3471="",1,IF($Q3471=0,1,INDEX(COA_Mapping!$F$7:$F$256,$Q3471)))</f>
        <v>1</v>
      </c>
      <c r="P3471" s="34" t="str">
        <f aca="false">IF($A3471="","",$I3471*$O3471)</f>
        <v/>
      </c>
      <c r="Q3471" s="39" t="n">
        <f aca="false">IF($B3471="",0,IFERROR(MATCH($B3471,COA_Mapping!$A$7:$A$256,0),0))</f>
        <v>0</v>
      </c>
      <c r="R3471" s="39" t="n">
        <f aca="false">IF($A3471="",-1,IF($J3471=Setup!$B$7,1,IF($J3471=Setup!$B$9,0,-1)))</f>
        <v>-1</v>
      </c>
      <c r="S3471" s="35" t="n">
        <f aca="false">IF(OR($A3471="",$Q3471=0,$R3471=-1),0,$Q3471*1000+$R3471*100+$K3471)</f>
        <v>0</v>
      </c>
      <c r="T3471" s="37" t="str">
        <f aca="false">IF($A3471="","",IF($B3471="","NO ACCOUNT",IF($Q3471=0,"UNMAPPED",IF($R3471=-1,"OUTSIDE FY RANGE","OK"))))</f>
        <v/>
      </c>
      <c r="U3471" s="40" t="str">
        <f aca="false">IF($A3471="","",$B3471&amp;"|"&amp;TEXT($A3471,"yyyymmdd")&amp;"|"&amp;TEXT($I3471,"0.00"))</f>
        <v/>
      </c>
      <c r="V3471" s="35" t="str">
        <f aca="false">IF($A3471="","",COUNTIF($U$8:$U$5007,$U3471))</f>
        <v/>
      </c>
    </row>
    <row r="3472" customFormat="false" ht="15" hidden="false" customHeight="false" outlineLevel="0" collapsed="false">
      <c r="A3472" s="31"/>
      <c r="B3472" s="32"/>
      <c r="C3472" s="32"/>
      <c r="D3472" s="32"/>
      <c r="E3472" s="32"/>
      <c r="F3472" s="32"/>
      <c r="G3472" s="33"/>
      <c r="H3472" s="33"/>
      <c r="I3472" s="34" t="str">
        <f aca="false">IF($A3472="","",$G3472-$H3472)</f>
        <v/>
      </c>
      <c r="J3472" s="35" t="str">
        <f aca="false">IF($A3472="","",IF(Setup!$B$6=1,YEAR($A3472),YEAR($A3472)+IF(MONTH($A3472)&gt;=Setup!$B$6,1,0)))</f>
        <v/>
      </c>
      <c r="K3472" s="35" t="str">
        <f aca="false">IF($A3472="","",MOD(MONTH($A3472)-Setup!$B$6+12,12)+1)</f>
        <v/>
      </c>
      <c r="L3472" s="36" t="str">
        <f aca="false">IF($A3472="","",TEXT($A3472,"MMM-YY"))</f>
        <v/>
      </c>
      <c r="M3472" s="37" t="str">
        <f aca="false">IF($A3472="","",IF($Q3472=0,"UNMAPPED",INDEX(COA_Mapping!$C$7:$C$256,$Q3472)))</f>
        <v/>
      </c>
      <c r="N3472" s="38" t="str">
        <f aca="false">IF($A3472="","",IF($Q3472=0,"",INDEX(COA_Mapping!$E$7:$E$256,$Q3472)))</f>
        <v/>
      </c>
      <c r="O3472" s="38" t="n">
        <f aca="false">IF($A3472="",1,IF($Q3472=0,1,INDEX(COA_Mapping!$F$7:$F$256,$Q3472)))</f>
        <v>1</v>
      </c>
      <c r="P3472" s="34" t="str">
        <f aca="false">IF($A3472="","",$I3472*$O3472)</f>
        <v/>
      </c>
      <c r="Q3472" s="39" t="n">
        <f aca="false">IF($B3472="",0,IFERROR(MATCH($B3472,COA_Mapping!$A$7:$A$256,0),0))</f>
        <v>0</v>
      </c>
      <c r="R3472" s="39" t="n">
        <f aca="false">IF($A3472="",-1,IF($J3472=Setup!$B$7,1,IF($J3472=Setup!$B$9,0,-1)))</f>
        <v>-1</v>
      </c>
      <c r="S3472" s="35" t="n">
        <f aca="false">IF(OR($A3472="",$Q3472=0,$R3472=-1),0,$Q3472*1000+$R3472*100+$K3472)</f>
        <v>0</v>
      </c>
      <c r="T3472" s="37" t="str">
        <f aca="false">IF($A3472="","",IF($B3472="","NO ACCOUNT",IF($Q3472=0,"UNMAPPED",IF($R3472=-1,"OUTSIDE FY RANGE","OK"))))</f>
        <v/>
      </c>
      <c r="U3472" s="40" t="str">
        <f aca="false">IF($A3472="","",$B3472&amp;"|"&amp;TEXT($A3472,"yyyymmdd")&amp;"|"&amp;TEXT($I3472,"0.00"))</f>
        <v/>
      </c>
      <c r="V3472" s="35" t="str">
        <f aca="false">IF($A3472="","",COUNTIF($U$8:$U$5007,$U3472))</f>
        <v/>
      </c>
    </row>
    <row r="3473" customFormat="false" ht="15" hidden="false" customHeight="false" outlineLevel="0" collapsed="false">
      <c r="A3473" s="31"/>
      <c r="B3473" s="32"/>
      <c r="C3473" s="32"/>
      <c r="D3473" s="32"/>
      <c r="E3473" s="32"/>
      <c r="F3473" s="32"/>
      <c r="G3473" s="33"/>
      <c r="H3473" s="33"/>
      <c r="I3473" s="34" t="str">
        <f aca="false">IF($A3473="","",$G3473-$H3473)</f>
        <v/>
      </c>
      <c r="J3473" s="35" t="str">
        <f aca="false">IF($A3473="","",IF(Setup!$B$6=1,YEAR($A3473),YEAR($A3473)+IF(MONTH($A3473)&gt;=Setup!$B$6,1,0)))</f>
        <v/>
      </c>
      <c r="K3473" s="35" t="str">
        <f aca="false">IF($A3473="","",MOD(MONTH($A3473)-Setup!$B$6+12,12)+1)</f>
        <v/>
      </c>
      <c r="L3473" s="36" t="str">
        <f aca="false">IF($A3473="","",TEXT($A3473,"MMM-YY"))</f>
        <v/>
      </c>
      <c r="M3473" s="37" t="str">
        <f aca="false">IF($A3473="","",IF($Q3473=0,"UNMAPPED",INDEX(COA_Mapping!$C$7:$C$256,$Q3473)))</f>
        <v/>
      </c>
      <c r="N3473" s="38" t="str">
        <f aca="false">IF($A3473="","",IF($Q3473=0,"",INDEX(COA_Mapping!$E$7:$E$256,$Q3473)))</f>
        <v/>
      </c>
      <c r="O3473" s="38" t="n">
        <f aca="false">IF($A3473="",1,IF($Q3473=0,1,INDEX(COA_Mapping!$F$7:$F$256,$Q3473)))</f>
        <v>1</v>
      </c>
      <c r="P3473" s="34" t="str">
        <f aca="false">IF($A3473="","",$I3473*$O3473)</f>
        <v/>
      </c>
      <c r="Q3473" s="39" t="n">
        <f aca="false">IF($B3473="",0,IFERROR(MATCH($B3473,COA_Mapping!$A$7:$A$256,0),0))</f>
        <v>0</v>
      </c>
      <c r="R3473" s="39" t="n">
        <f aca="false">IF($A3473="",-1,IF($J3473=Setup!$B$7,1,IF($J3473=Setup!$B$9,0,-1)))</f>
        <v>-1</v>
      </c>
      <c r="S3473" s="35" t="n">
        <f aca="false">IF(OR($A3473="",$Q3473=0,$R3473=-1),0,$Q3473*1000+$R3473*100+$K3473)</f>
        <v>0</v>
      </c>
      <c r="T3473" s="37" t="str">
        <f aca="false">IF($A3473="","",IF($B3473="","NO ACCOUNT",IF($Q3473=0,"UNMAPPED",IF($R3473=-1,"OUTSIDE FY RANGE","OK"))))</f>
        <v/>
      </c>
      <c r="U3473" s="40" t="str">
        <f aca="false">IF($A3473="","",$B3473&amp;"|"&amp;TEXT($A3473,"yyyymmdd")&amp;"|"&amp;TEXT($I3473,"0.00"))</f>
        <v/>
      </c>
      <c r="V3473" s="35" t="str">
        <f aca="false">IF($A3473="","",COUNTIF($U$8:$U$5007,$U3473))</f>
        <v/>
      </c>
    </row>
    <row r="3474" customFormat="false" ht="15" hidden="false" customHeight="false" outlineLevel="0" collapsed="false">
      <c r="A3474" s="31"/>
      <c r="B3474" s="32"/>
      <c r="C3474" s="32"/>
      <c r="D3474" s="32"/>
      <c r="E3474" s="32"/>
      <c r="F3474" s="32"/>
      <c r="G3474" s="33"/>
      <c r="H3474" s="33"/>
      <c r="I3474" s="34" t="str">
        <f aca="false">IF($A3474="","",$G3474-$H3474)</f>
        <v/>
      </c>
      <c r="J3474" s="35" t="str">
        <f aca="false">IF($A3474="","",IF(Setup!$B$6=1,YEAR($A3474),YEAR($A3474)+IF(MONTH($A3474)&gt;=Setup!$B$6,1,0)))</f>
        <v/>
      </c>
      <c r="K3474" s="35" t="str">
        <f aca="false">IF($A3474="","",MOD(MONTH($A3474)-Setup!$B$6+12,12)+1)</f>
        <v/>
      </c>
      <c r="L3474" s="36" t="str">
        <f aca="false">IF($A3474="","",TEXT($A3474,"MMM-YY"))</f>
        <v/>
      </c>
      <c r="M3474" s="37" t="str">
        <f aca="false">IF($A3474="","",IF($Q3474=0,"UNMAPPED",INDEX(COA_Mapping!$C$7:$C$256,$Q3474)))</f>
        <v/>
      </c>
      <c r="N3474" s="38" t="str">
        <f aca="false">IF($A3474="","",IF($Q3474=0,"",INDEX(COA_Mapping!$E$7:$E$256,$Q3474)))</f>
        <v/>
      </c>
      <c r="O3474" s="38" t="n">
        <f aca="false">IF($A3474="",1,IF($Q3474=0,1,INDEX(COA_Mapping!$F$7:$F$256,$Q3474)))</f>
        <v>1</v>
      </c>
      <c r="P3474" s="34" t="str">
        <f aca="false">IF($A3474="","",$I3474*$O3474)</f>
        <v/>
      </c>
      <c r="Q3474" s="39" t="n">
        <f aca="false">IF($B3474="",0,IFERROR(MATCH($B3474,COA_Mapping!$A$7:$A$256,0),0))</f>
        <v>0</v>
      </c>
      <c r="R3474" s="39" t="n">
        <f aca="false">IF($A3474="",-1,IF($J3474=Setup!$B$7,1,IF($J3474=Setup!$B$9,0,-1)))</f>
        <v>-1</v>
      </c>
      <c r="S3474" s="35" t="n">
        <f aca="false">IF(OR($A3474="",$Q3474=0,$R3474=-1),0,$Q3474*1000+$R3474*100+$K3474)</f>
        <v>0</v>
      </c>
      <c r="T3474" s="37" t="str">
        <f aca="false">IF($A3474="","",IF($B3474="","NO ACCOUNT",IF($Q3474=0,"UNMAPPED",IF($R3474=-1,"OUTSIDE FY RANGE","OK"))))</f>
        <v/>
      </c>
      <c r="U3474" s="40" t="str">
        <f aca="false">IF($A3474="","",$B3474&amp;"|"&amp;TEXT($A3474,"yyyymmdd")&amp;"|"&amp;TEXT($I3474,"0.00"))</f>
        <v/>
      </c>
      <c r="V3474" s="35" t="str">
        <f aca="false">IF($A3474="","",COUNTIF($U$8:$U$5007,$U3474))</f>
        <v/>
      </c>
    </row>
    <row r="3475" customFormat="false" ht="15" hidden="false" customHeight="false" outlineLevel="0" collapsed="false">
      <c r="A3475" s="31"/>
      <c r="B3475" s="32"/>
      <c r="C3475" s="32"/>
      <c r="D3475" s="32"/>
      <c r="E3475" s="32"/>
      <c r="F3475" s="32"/>
      <c r="G3475" s="33"/>
      <c r="H3475" s="33"/>
      <c r="I3475" s="34" t="str">
        <f aca="false">IF($A3475="","",$G3475-$H3475)</f>
        <v/>
      </c>
      <c r="J3475" s="35" t="str">
        <f aca="false">IF($A3475="","",IF(Setup!$B$6=1,YEAR($A3475),YEAR($A3475)+IF(MONTH($A3475)&gt;=Setup!$B$6,1,0)))</f>
        <v/>
      </c>
      <c r="K3475" s="35" t="str">
        <f aca="false">IF($A3475="","",MOD(MONTH($A3475)-Setup!$B$6+12,12)+1)</f>
        <v/>
      </c>
      <c r="L3475" s="36" t="str">
        <f aca="false">IF($A3475="","",TEXT($A3475,"MMM-YY"))</f>
        <v/>
      </c>
      <c r="M3475" s="37" t="str">
        <f aca="false">IF($A3475="","",IF($Q3475=0,"UNMAPPED",INDEX(COA_Mapping!$C$7:$C$256,$Q3475)))</f>
        <v/>
      </c>
      <c r="N3475" s="38" t="str">
        <f aca="false">IF($A3475="","",IF($Q3475=0,"",INDEX(COA_Mapping!$E$7:$E$256,$Q3475)))</f>
        <v/>
      </c>
      <c r="O3475" s="38" t="n">
        <f aca="false">IF($A3475="",1,IF($Q3475=0,1,INDEX(COA_Mapping!$F$7:$F$256,$Q3475)))</f>
        <v>1</v>
      </c>
      <c r="P3475" s="34" t="str">
        <f aca="false">IF($A3475="","",$I3475*$O3475)</f>
        <v/>
      </c>
      <c r="Q3475" s="39" t="n">
        <f aca="false">IF($B3475="",0,IFERROR(MATCH($B3475,COA_Mapping!$A$7:$A$256,0),0))</f>
        <v>0</v>
      </c>
      <c r="R3475" s="39" t="n">
        <f aca="false">IF($A3475="",-1,IF($J3475=Setup!$B$7,1,IF($J3475=Setup!$B$9,0,-1)))</f>
        <v>-1</v>
      </c>
      <c r="S3475" s="35" t="n">
        <f aca="false">IF(OR($A3475="",$Q3475=0,$R3475=-1),0,$Q3475*1000+$R3475*100+$K3475)</f>
        <v>0</v>
      </c>
      <c r="T3475" s="37" t="str">
        <f aca="false">IF($A3475="","",IF($B3475="","NO ACCOUNT",IF($Q3475=0,"UNMAPPED",IF($R3475=-1,"OUTSIDE FY RANGE","OK"))))</f>
        <v/>
      </c>
      <c r="U3475" s="40" t="str">
        <f aca="false">IF($A3475="","",$B3475&amp;"|"&amp;TEXT($A3475,"yyyymmdd")&amp;"|"&amp;TEXT($I3475,"0.00"))</f>
        <v/>
      </c>
      <c r="V3475" s="35" t="str">
        <f aca="false">IF($A3475="","",COUNTIF($U$8:$U$5007,$U3475))</f>
        <v/>
      </c>
    </row>
    <row r="3476" customFormat="false" ht="15" hidden="false" customHeight="false" outlineLevel="0" collapsed="false">
      <c r="A3476" s="31"/>
      <c r="B3476" s="32"/>
      <c r="C3476" s="32"/>
      <c r="D3476" s="32"/>
      <c r="E3476" s="32"/>
      <c r="F3476" s="32"/>
      <c r="G3476" s="33"/>
      <c r="H3476" s="33"/>
      <c r="I3476" s="34" t="str">
        <f aca="false">IF($A3476="","",$G3476-$H3476)</f>
        <v/>
      </c>
      <c r="J3476" s="35" t="str">
        <f aca="false">IF($A3476="","",IF(Setup!$B$6=1,YEAR($A3476),YEAR($A3476)+IF(MONTH($A3476)&gt;=Setup!$B$6,1,0)))</f>
        <v/>
      </c>
      <c r="K3476" s="35" t="str">
        <f aca="false">IF($A3476="","",MOD(MONTH($A3476)-Setup!$B$6+12,12)+1)</f>
        <v/>
      </c>
      <c r="L3476" s="36" t="str">
        <f aca="false">IF($A3476="","",TEXT($A3476,"MMM-YY"))</f>
        <v/>
      </c>
      <c r="M3476" s="37" t="str">
        <f aca="false">IF($A3476="","",IF($Q3476=0,"UNMAPPED",INDEX(COA_Mapping!$C$7:$C$256,$Q3476)))</f>
        <v/>
      </c>
      <c r="N3476" s="38" t="str">
        <f aca="false">IF($A3476="","",IF($Q3476=0,"",INDEX(COA_Mapping!$E$7:$E$256,$Q3476)))</f>
        <v/>
      </c>
      <c r="O3476" s="38" t="n">
        <f aca="false">IF($A3476="",1,IF($Q3476=0,1,INDEX(COA_Mapping!$F$7:$F$256,$Q3476)))</f>
        <v>1</v>
      </c>
      <c r="P3476" s="34" t="str">
        <f aca="false">IF($A3476="","",$I3476*$O3476)</f>
        <v/>
      </c>
      <c r="Q3476" s="39" t="n">
        <f aca="false">IF($B3476="",0,IFERROR(MATCH($B3476,COA_Mapping!$A$7:$A$256,0),0))</f>
        <v>0</v>
      </c>
      <c r="R3476" s="39" t="n">
        <f aca="false">IF($A3476="",-1,IF($J3476=Setup!$B$7,1,IF($J3476=Setup!$B$9,0,-1)))</f>
        <v>-1</v>
      </c>
      <c r="S3476" s="35" t="n">
        <f aca="false">IF(OR($A3476="",$Q3476=0,$R3476=-1),0,$Q3476*1000+$R3476*100+$K3476)</f>
        <v>0</v>
      </c>
      <c r="T3476" s="37" t="str">
        <f aca="false">IF($A3476="","",IF($B3476="","NO ACCOUNT",IF($Q3476=0,"UNMAPPED",IF($R3476=-1,"OUTSIDE FY RANGE","OK"))))</f>
        <v/>
      </c>
      <c r="U3476" s="40" t="str">
        <f aca="false">IF($A3476="","",$B3476&amp;"|"&amp;TEXT($A3476,"yyyymmdd")&amp;"|"&amp;TEXT($I3476,"0.00"))</f>
        <v/>
      </c>
      <c r="V3476" s="35" t="str">
        <f aca="false">IF($A3476="","",COUNTIF($U$8:$U$5007,$U3476))</f>
        <v/>
      </c>
    </row>
    <row r="3477" customFormat="false" ht="15" hidden="false" customHeight="false" outlineLevel="0" collapsed="false">
      <c r="A3477" s="31"/>
      <c r="B3477" s="32"/>
      <c r="C3477" s="32"/>
      <c r="D3477" s="32"/>
      <c r="E3477" s="32"/>
      <c r="F3477" s="32"/>
      <c r="G3477" s="33"/>
      <c r="H3477" s="33"/>
      <c r="I3477" s="34" t="str">
        <f aca="false">IF($A3477="","",$G3477-$H3477)</f>
        <v/>
      </c>
      <c r="J3477" s="35" t="str">
        <f aca="false">IF($A3477="","",IF(Setup!$B$6=1,YEAR($A3477),YEAR($A3477)+IF(MONTH($A3477)&gt;=Setup!$B$6,1,0)))</f>
        <v/>
      </c>
      <c r="K3477" s="35" t="str">
        <f aca="false">IF($A3477="","",MOD(MONTH($A3477)-Setup!$B$6+12,12)+1)</f>
        <v/>
      </c>
      <c r="L3477" s="36" t="str">
        <f aca="false">IF($A3477="","",TEXT($A3477,"MMM-YY"))</f>
        <v/>
      </c>
      <c r="M3477" s="37" t="str">
        <f aca="false">IF($A3477="","",IF($Q3477=0,"UNMAPPED",INDEX(COA_Mapping!$C$7:$C$256,$Q3477)))</f>
        <v/>
      </c>
      <c r="N3477" s="38" t="str">
        <f aca="false">IF($A3477="","",IF($Q3477=0,"",INDEX(COA_Mapping!$E$7:$E$256,$Q3477)))</f>
        <v/>
      </c>
      <c r="O3477" s="38" t="n">
        <f aca="false">IF($A3477="",1,IF($Q3477=0,1,INDEX(COA_Mapping!$F$7:$F$256,$Q3477)))</f>
        <v>1</v>
      </c>
      <c r="P3477" s="34" t="str">
        <f aca="false">IF($A3477="","",$I3477*$O3477)</f>
        <v/>
      </c>
      <c r="Q3477" s="39" t="n">
        <f aca="false">IF($B3477="",0,IFERROR(MATCH($B3477,COA_Mapping!$A$7:$A$256,0),0))</f>
        <v>0</v>
      </c>
      <c r="R3477" s="39" t="n">
        <f aca="false">IF($A3477="",-1,IF($J3477=Setup!$B$7,1,IF($J3477=Setup!$B$9,0,-1)))</f>
        <v>-1</v>
      </c>
      <c r="S3477" s="35" t="n">
        <f aca="false">IF(OR($A3477="",$Q3477=0,$R3477=-1),0,$Q3477*1000+$R3477*100+$K3477)</f>
        <v>0</v>
      </c>
      <c r="T3477" s="37" t="str">
        <f aca="false">IF($A3477="","",IF($B3477="","NO ACCOUNT",IF($Q3477=0,"UNMAPPED",IF($R3477=-1,"OUTSIDE FY RANGE","OK"))))</f>
        <v/>
      </c>
      <c r="U3477" s="40" t="str">
        <f aca="false">IF($A3477="","",$B3477&amp;"|"&amp;TEXT($A3477,"yyyymmdd")&amp;"|"&amp;TEXT($I3477,"0.00"))</f>
        <v/>
      </c>
      <c r="V3477" s="35" t="str">
        <f aca="false">IF($A3477="","",COUNTIF($U$8:$U$5007,$U3477))</f>
        <v/>
      </c>
    </row>
    <row r="3478" customFormat="false" ht="15" hidden="false" customHeight="false" outlineLevel="0" collapsed="false">
      <c r="A3478" s="31"/>
      <c r="B3478" s="32"/>
      <c r="C3478" s="32"/>
      <c r="D3478" s="32"/>
      <c r="E3478" s="32"/>
      <c r="F3478" s="32"/>
      <c r="G3478" s="33"/>
      <c r="H3478" s="33"/>
      <c r="I3478" s="34" t="str">
        <f aca="false">IF($A3478="","",$G3478-$H3478)</f>
        <v/>
      </c>
      <c r="J3478" s="35" t="str">
        <f aca="false">IF($A3478="","",IF(Setup!$B$6=1,YEAR($A3478),YEAR($A3478)+IF(MONTH($A3478)&gt;=Setup!$B$6,1,0)))</f>
        <v/>
      </c>
      <c r="K3478" s="35" t="str">
        <f aca="false">IF($A3478="","",MOD(MONTH($A3478)-Setup!$B$6+12,12)+1)</f>
        <v/>
      </c>
      <c r="L3478" s="36" t="str">
        <f aca="false">IF($A3478="","",TEXT($A3478,"MMM-YY"))</f>
        <v/>
      </c>
      <c r="M3478" s="37" t="str">
        <f aca="false">IF($A3478="","",IF($Q3478=0,"UNMAPPED",INDEX(COA_Mapping!$C$7:$C$256,$Q3478)))</f>
        <v/>
      </c>
      <c r="N3478" s="38" t="str">
        <f aca="false">IF($A3478="","",IF($Q3478=0,"",INDEX(COA_Mapping!$E$7:$E$256,$Q3478)))</f>
        <v/>
      </c>
      <c r="O3478" s="38" t="n">
        <f aca="false">IF($A3478="",1,IF($Q3478=0,1,INDEX(COA_Mapping!$F$7:$F$256,$Q3478)))</f>
        <v>1</v>
      </c>
      <c r="P3478" s="34" t="str">
        <f aca="false">IF($A3478="","",$I3478*$O3478)</f>
        <v/>
      </c>
      <c r="Q3478" s="39" t="n">
        <f aca="false">IF($B3478="",0,IFERROR(MATCH($B3478,COA_Mapping!$A$7:$A$256,0),0))</f>
        <v>0</v>
      </c>
      <c r="R3478" s="39" t="n">
        <f aca="false">IF($A3478="",-1,IF($J3478=Setup!$B$7,1,IF($J3478=Setup!$B$9,0,-1)))</f>
        <v>-1</v>
      </c>
      <c r="S3478" s="35" t="n">
        <f aca="false">IF(OR($A3478="",$Q3478=0,$R3478=-1),0,$Q3478*1000+$R3478*100+$K3478)</f>
        <v>0</v>
      </c>
      <c r="T3478" s="37" t="str">
        <f aca="false">IF($A3478="","",IF($B3478="","NO ACCOUNT",IF($Q3478=0,"UNMAPPED",IF($R3478=-1,"OUTSIDE FY RANGE","OK"))))</f>
        <v/>
      </c>
      <c r="U3478" s="40" t="str">
        <f aca="false">IF($A3478="","",$B3478&amp;"|"&amp;TEXT($A3478,"yyyymmdd")&amp;"|"&amp;TEXT($I3478,"0.00"))</f>
        <v/>
      </c>
      <c r="V3478" s="35" t="str">
        <f aca="false">IF($A3478="","",COUNTIF($U$8:$U$5007,$U3478))</f>
        <v/>
      </c>
    </row>
    <row r="3479" customFormat="false" ht="15" hidden="false" customHeight="false" outlineLevel="0" collapsed="false">
      <c r="A3479" s="31"/>
      <c r="B3479" s="32"/>
      <c r="C3479" s="32"/>
      <c r="D3479" s="32"/>
      <c r="E3479" s="32"/>
      <c r="F3479" s="32"/>
      <c r="G3479" s="33"/>
      <c r="H3479" s="33"/>
      <c r="I3479" s="34" t="str">
        <f aca="false">IF($A3479="","",$G3479-$H3479)</f>
        <v/>
      </c>
      <c r="J3479" s="35" t="str">
        <f aca="false">IF($A3479="","",IF(Setup!$B$6=1,YEAR($A3479),YEAR($A3479)+IF(MONTH($A3479)&gt;=Setup!$B$6,1,0)))</f>
        <v/>
      </c>
      <c r="K3479" s="35" t="str">
        <f aca="false">IF($A3479="","",MOD(MONTH($A3479)-Setup!$B$6+12,12)+1)</f>
        <v/>
      </c>
      <c r="L3479" s="36" t="str">
        <f aca="false">IF($A3479="","",TEXT($A3479,"MMM-YY"))</f>
        <v/>
      </c>
      <c r="M3479" s="37" t="str">
        <f aca="false">IF($A3479="","",IF($Q3479=0,"UNMAPPED",INDEX(COA_Mapping!$C$7:$C$256,$Q3479)))</f>
        <v/>
      </c>
      <c r="N3479" s="38" t="str">
        <f aca="false">IF($A3479="","",IF($Q3479=0,"",INDEX(COA_Mapping!$E$7:$E$256,$Q3479)))</f>
        <v/>
      </c>
      <c r="O3479" s="38" t="n">
        <f aca="false">IF($A3479="",1,IF($Q3479=0,1,INDEX(COA_Mapping!$F$7:$F$256,$Q3479)))</f>
        <v>1</v>
      </c>
      <c r="P3479" s="34" t="str">
        <f aca="false">IF($A3479="","",$I3479*$O3479)</f>
        <v/>
      </c>
      <c r="Q3479" s="39" t="n">
        <f aca="false">IF($B3479="",0,IFERROR(MATCH($B3479,COA_Mapping!$A$7:$A$256,0),0))</f>
        <v>0</v>
      </c>
      <c r="R3479" s="39" t="n">
        <f aca="false">IF($A3479="",-1,IF($J3479=Setup!$B$7,1,IF($J3479=Setup!$B$9,0,-1)))</f>
        <v>-1</v>
      </c>
      <c r="S3479" s="35" t="n">
        <f aca="false">IF(OR($A3479="",$Q3479=0,$R3479=-1),0,$Q3479*1000+$R3479*100+$K3479)</f>
        <v>0</v>
      </c>
      <c r="T3479" s="37" t="str">
        <f aca="false">IF($A3479="","",IF($B3479="","NO ACCOUNT",IF($Q3479=0,"UNMAPPED",IF($R3479=-1,"OUTSIDE FY RANGE","OK"))))</f>
        <v/>
      </c>
      <c r="U3479" s="40" t="str">
        <f aca="false">IF($A3479="","",$B3479&amp;"|"&amp;TEXT($A3479,"yyyymmdd")&amp;"|"&amp;TEXT($I3479,"0.00"))</f>
        <v/>
      </c>
      <c r="V3479" s="35" t="str">
        <f aca="false">IF($A3479="","",COUNTIF($U$8:$U$5007,$U3479))</f>
        <v/>
      </c>
    </row>
    <row r="3480" customFormat="false" ht="15" hidden="false" customHeight="false" outlineLevel="0" collapsed="false">
      <c r="A3480" s="31"/>
      <c r="B3480" s="32"/>
      <c r="C3480" s="32"/>
      <c r="D3480" s="32"/>
      <c r="E3480" s="32"/>
      <c r="F3480" s="32"/>
      <c r="G3480" s="33"/>
      <c r="H3480" s="33"/>
      <c r="I3480" s="34" t="str">
        <f aca="false">IF($A3480="","",$G3480-$H3480)</f>
        <v/>
      </c>
      <c r="J3480" s="35" t="str">
        <f aca="false">IF($A3480="","",IF(Setup!$B$6=1,YEAR($A3480),YEAR($A3480)+IF(MONTH($A3480)&gt;=Setup!$B$6,1,0)))</f>
        <v/>
      </c>
      <c r="K3480" s="35" t="str">
        <f aca="false">IF($A3480="","",MOD(MONTH($A3480)-Setup!$B$6+12,12)+1)</f>
        <v/>
      </c>
      <c r="L3480" s="36" t="str">
        <f aca="false">IF($A3480="","",TEXT($A3480,"MMM-YY"))</f>
        <v/>
      </c>
      <c r="M3480" s="37" t="str">
        <f aca="false">IF($A3480="","",IF($Q3480=0,"UNMAPPED",INDEX(COA_Mapping!$C$7:$C$256,$Q3480)))</f>
        <v/>
      </c>
      <c r="N3480" s="38" t="str">
        <f aca="false">IF($A3480="","",IF($Q3480=0,"",INDEX(COA_Mapping!$E$7:$E$256,$Q3480)))</f>
        <v/>
      </c>
      <c r="O3480" s="38" t="n">
        <f aca="false">IF($A3480="",1,IF($Q3480=0,1,INDEX(COA_Mapping!$F$7:$F$256,$Q3480)))</f>
        <v>1</v>
      </c>
      <c r="P3480" s="34" t="str">
        <f aca="false">IF($A3480="","",$I3480*$O3480)</f>
        <v/>
      </c>
      <c r="Q3480" s="39" t="n">
        <f aca="false">IF($B3480="",0,IFERROR(MATCH($B3480,COA_Mapping!$A$7:$A$256,0),0))</f>
        <v>0</v>
      </c>
      <c r="R3480" s="39" t="n">
        <f aca="false">IF($A3480="",-1,IF($J3480=Setup!$B$7,1,IF($J3480=Setup!$B$9,0,-1)))</f>
        <v>-1</v>
      </c>
      <c r="S3480" s="35" t="n">
        <f aca="false">IF(OR($A3480="",$Q3480=0,$R3480=-1),0,$Q3480*1000+$R3480*100+$K3480)</f>
        <v>0</v>
      </c>
      <c r="T3480" s="37" t="str">
        <f aca="false">IF($A3480="","",IF($B3480="","NO ACCOUNT",IF($Q3480=0,"UNMAPPED",IF($R3480=-1,"OUTSIDE FY RANGE","OK"))))</f>
        <v/>
      </c>
      <c r="U3480" s="40" t="str">
        <f aca="false">IF($A3480="","",$B3480&amp;"|"&amp;TEXT($A3480,"yyyymmdd")&amp;"|"&amp;TEXT($I3480,"0.00"))</f>
        <v/>
      </c>
      <c r="V3480" s="35" t="str">
        <f aca="false">IF($A3480="","",COUNTIF($U$8:$U$5007,$U3480))</f>
        <v/>
      </c>
    </row>
    <row r="3481" customFormat="false" ht="15" hidden="false" customHeight="false" outlineLevel="0" collapsed="false">
      <c r="A3481" s="31"/>
      <c r="B3481" s="32"/>
      <c r="C3481" s="32"/>
      <c r="D3481" s="32"/>
      <c r="E3481" s="32"/>
      <c r="F3481" s="32"/>
      <c r="G3481" s="33"/>
      <c r="H3481" s="33"/>
      <c r="I3481" s="34" t="str">
        <f aca="false">IF($A3481="","",$G3481-$H3481)</f>
        <v/>
      </c>
      <c r="J3481" s="35" t="str">
        <f aca="false">IF($A3481="","",IF(Setup!$B$6=1,YEAR($A3481),YEAR($A3481)+IF(MONTH($A3481)&gt;=Setup!$B$6,1,0)))</f>
        <v/>
      </c>
      <c r="K3481" s="35" t="str">
        <f aca="false">IF($A3481="","",MOD(MONTH($A3481)-Setup!$B$6+12,12)+1)</f>
        <v/>
      </c>
      <c r="L3481" s="36" t="str">
        <f aca="false">IF($A3481="","",TEXT($A3481,"MMM-YY"))</f>
        <v/>
      </c>
      <c r="M3481" s="37" t="str">
        <f aca="false">IF($A3481="","",IF($Q3481=0,"UNMAPPED",INDEX(COA_Mapping!$C$7:$C$256,$Q3481)))</f>
        <v/>
      </c>
      <c r="N3481" s="38" t="str">
        <f aca="false">IF($A3481="","",IF($Q3481=0,"",INDEX(COA_Mapping!$E$7:$E$256,$Q3481)))</f>
        <v/>
      </c>
      <c r="O3481" s="38" t="n">
        <f aca="false">IF($A3481="",1,IF($Q3481=0,1,INDEX(COA_Mapping!$F$7:$F$256,$Q3481)))</f>
        <v>1</v>
      </c>
      <c r="P3481" s="34" t="str">
        <f aca="false">IF($A3481="","",$I3481*$O3481)</f>
        <v/>
      </c>
      <c r="Q3481" s="39" t="n">
        <f aca="false">IF($B3481="",0,IFERROR(MATCH($B3481,COA_Mapping!$A$7:$A$256,0),0))</f>
        <v>0</v>
      </c>
      <c r="R3481" s="39" t="n">
        <f aca="false">IF($A3481="",-1,IF($J3481=Setup!$B$7,1,IF($J3481=Setup!$B$9,0,-1)))</f>
        <v>-1</v>
      </c>
      <c r="S3481" s="35" t="n">
        <f aca="false">IF(OR($A3481="",$Q3481=0,$R3481=-1),0,$Q3481*1000+$R3481*100+$K3481)</f>
        <v>0</v>
      </c>
      <c r="T3481" s="37" t="str">
        <f aca="false">IF($A3481="","",IF($B3481="","NO ACCOUNT",IF($Q3481=0,"UNMAPPED",IF($R3481=-1,"OUTSIDE FY RANGE","OK"))))</f>
        <v/>
      </c>
      <c r="U3481" s="40" t="str">
        <f aca="false">IF($A3481="","",$B3481&amp;"|"&amp;TEXT($A3481,"yyyymmdd")&amp;"|"&amp;TEXT($I3481,"0.00"))</f>
        <v/>
      </c>
      <c r="V3481" s="35" t="str">
        <f aca="false">IF($A3481="","",COUNTIF($U$8:$U$5007,$U3481))</f>
        <v/>
      </c>
    </row>
    <row r="3482" customFormat="false" ht="15" hidden="false" customHeight="false" outlineLevel="0" collapsed="false">
      <c r="A3482" s="31"/>
      <c r="B3482" s="32"/>
      <c r="C3482" s="32"/>
      <c r="D3482" s="32"/>
      <c r="E3482" s="32"/>
      <c r="F3482" s="32"/>
      <c r="G3482" s="33"/>
      <c r="H3482" s="33"/>
      <c r="I3482" s="34" t="str">
        <f aca="false">IF($A3482="","",$G3482-$H3482)</f>
        <v/>
      </c>
      <c r="J3482" s="35" t="str">
        <f aca="false">IF($A3482="","",IF(Setup!$B$6=1,YEAR($A3482),YEAR($A3482)+IF(MONTH($A3482)&gt;=Setup!$B$6,1,0)))</f>
        <v/>
      </c>
      <c r="K3482" s="35" t="str">
        <f aca="false">IF($A3482="","",MOD(MONTH($A3482)-Setup!$B$6+12,12)+1)</f>
        <v/>
      </c>
      <c r="L3482" s="36" t="str">
        <f aca="false">IF($A3482="","",TEXT($A3482,"MMM-YY"))</f>
        <v/>
      </c>
      <c r="M3482" s="37" t="str">
        <f aca="false">IF($A3482="","",IF($Q3482=0,"UNMAPPED",INDEX(COA_Mapping!$C$7:$C$256,$Q3482)))</f>
        <v/>
      </c>
      <c r="N3482" s="38" t="str">
        <f aca="false">IF($A3482="","",IF($Q3482=0,"",INDEX(COA_Mapping!$E$7:$E$256,$Q3482)))</f>
        <v/>
      </c>
      <c r="O3482" s="38" t="n">
        <f aca="false">IF($A3482="",1,IF($Q3482=0,1,INDEX(COA_Mapping!$F$7:$F$256,$Q3482)))</f>
        <v>1</v>
      </c>
      <c r="P3482" s="34" t="str">
        <f aca="false">IF($A3482="","",$I3482*$O3482)</f>
        <v/>
      </c>
      <c r="Q3482" s="39" t="n">
        <f aca="false">IF($B3482="",0,IFERROR(MATCH($B3482,COA_Mapping!$A$7:$A$256,0),0))</f>
        <v>0</v>
      </c>
      <c r="R3482" s="39" t="n">
        <f aca="false">IF($A3482="",-1,IF($J3482=Setup!$B$7,1,IF($J3482=Setup!$B$9,0,-1)))</f>
        <v>-1</v>
      </c>
      <c r="S3482" s="35" t="n">
        <f aca="false">IF(OR($A3482="",$Q3482=0,$R3482=-1),0,$Q3482*1000+$R3482*100+$K3482)</f>
        <v>0</v>
      </c>
      <c r="T3482" s="37" t="str">
        <f aca="false">IF($A3482="","",IF($B3482="","NO ACCOUNT",IF($Q3482=0,"UNMAPPED",IF($R3482=-1,"OUTSIDE FY RANGE","OK"))))</f>
        <v/>
      </c>
      <c r="U3482" s="40" t="str">
        <f aca="false">IF($A3482="","",$B3482&amp;"|"&amp;TEXT($A3482,"yyyymmdd")&amp;"|"&amp;TEXT($I3482,"0.00"))</f>
        <v/>
      </c>
      <c r="V3482" s="35" t="str">
        <f aca="false">IF($A3482="","",COUNTIF($U$8:$U$5007,$U3482))</f>
        <v/>
      </c>
    </row>
    <row r="3483" customFormat="false" ht="15" hidden="false" customHeight="false" outlineLevel="0" collapsed="false">
      <c r="A3483" s="31"/>
      <c r="B3483" s="32"/>
      <c r="C3483" s="32"/>
      <c r="D3483" s="32"/>
      <c r="E3483" s="32"/>
      <c r="F3483" s="32"/>
      <c r="G3483" s="33"/>
      <c r="H3483" s="33"/>
      <c r="I3483" s="34" t="str">
        <f aca="false">IF($A3483="","",$G3483-$H3483)</f>
        <v/>
      </c>
      <c r="J3483" s="35" t="str">
        <f aca="false">IF($A3483="","",IF(Setup!$B$6=1,YEAR($A3483),YEAR($A3483)+IF(MONTH($A3483)&gt;=Setup!$B$6,1,0)))</f>
        <v/>
      </c>
      <c r="K3483" s="35" t="str">
        <f aca="false">IF($A3483="","",MOD(MONTH($A3483)-Setup!$B$6+12,12)+1)</f>
        <v/>
      </c>
      <c r="L3483" s="36" t="str">
        <f aca="false">IF($A3483="","",TEXT($A3483,"MMM-YY"))</f>
        <v/>
      </c>
      <c r="M3483" s="37" t="str">
        <f aca="false">IF($A3483="","",IF($Q3483=0,"UNMAPPED",INDEX(COA_Mapping!$C$7:$C$256,$Q3483)))</f>
        <v/>
      </c>
      <c r="N3483" s="38" t="str">
        <f aca="false">IF($A3483="","",IF($Q3483=0,"",INDEX(COA_Mapping!$E$7:$E$256,$Q3483)))</f>
        <v/>
      </c>
      <c r="O3483" s="38" t="n">
        <f aca="false">IF($A3483="",1,IF($Q3483=0,1,INDEX(COA_Mapping!$F$7:$F$256,$Q3483)))</f>
        <v>1</v>
      </c>
      <c r="P3483" s="34" t="str">
        <f aca="false">IF($A3483="","",$I3483*$O3483)</f>
        <v/>
      </c>
      <c r="Q3483" s="39" t="n">
        <f aca="false">IF($B3483="",0,IFERROR(MATCH($B3483,COA_Mapping!$A$7:$A$256,0),0))</f>
        <v>0</v>
      </c>
      <c r="R3483" s="39" t="n">
        <f aca="false">IF($A3483="",-1,IF($J3483=Setup!$B$7,1,IF($J3483=Setup!$B$9,0,-1)))</f>
        <v>-1</v>
      </c>
      <c r="S3483" s="35" t="n">
        <f aca="false">IF(OR($A3483="",$Q3483=0,$R3483=-1),0,$Q3483*1000+$R3483*100+$K3483)</f>
        <v>0</v>
      </c>
      <c r="T3483" s="37" t="str">
        <f aca="false">IF($A3483="","",IF($B3483="","NO ACCOUNT",IF($Q3483=0,"UNMAPPED",IF($R3483=-1,"OUTSIDE FY RANGE","OK"))))</f>
        <v/>
      </c>
      <c r="U3483" s="40" t="str">
        <f aca="false">IF($A3483="","",$B3483&amp;"|"&amp;TEXT($A3483,"yyyymmdd")&amp;"|"&amp;TEXT($I3483,"0.00"))</f>
        <v/>
      </c>
      <c r="V3483" s="35" t="str">
        <f aca="false">IF($A3483="","",COUNTIF($U$8:$U$5007,$U3483))</f>
        <v/>
      </c>
    </row>
    <row r="3484" customFormat="false" ht="15" hidden="false" customHeight="false" outlineLevel="0" collapsed="false">
      <c r="A3484" s="31"/>
      <c r="B3484" s="32"/>
      <c r="C3484" s="32"/>
      <c r="D3484" s="32"/>
      <c r="E3484" s="32"/>
      <c r="F3484" s="32"/>
      <c r="G3484" s="33"/>
      <c r="H3484" s="33"/>
      <c r="I3484" s="34" t="str">
        <f aca="false">IF($A3484="","",$G3484-$H3484)</f>
        <v/>
      </c>
      <c r="J3484" s="35" t="str">
        <f aca="false">IF($A3484="","",IF(Setup!$B$6=1,YEAR($A3484),YEAR($A3484)+IF(MONTH($A3484)&gt;=Setup!$B$6,1,0)))</f>
        <v/>
      </c>
      <c r="K3484" s="35" t="str">
        <f aca="false">IF($A3484="","",MOD(MONTH($A3484)-Setup!$B$6+12,12)+1)</f>
        <v/>
      </c>
      <c r="L3484" s="36" t="str">
        <f aca="false">IF($A3484="","",TEXT($A3484,"MMM-YY"))</f>
        <v/>
      </c>
      <c r="M3484" s="37" t="str">
        <f aca="false">IF($A3484="","",IF($Q3484=0,"UNMAPPED",INDEX(COA_Mapping!$C$7:$C$256,$Q3484)))</f>
        <v/>
      </c>
      <c r="N3484" s="38" t="str">
        <f aca="false">IF($A3484="","",IF($Q3484=0,"",INDEX(COA_Mapping!$E$7:$E$256,$Q3484)))</f>
        <v/>
      </c>
      <c r="O3484" s="38" t="n">
        <f aca="false">IF($A3484="",1,IF($Q3484=0,1,INDEX(COA_Mapping!$F$7:$F$256,$Q3484)))</f>
        <v>1</v>
      </c>
      <c r="P3484" s="34" t="str">
        <f aca="false">IF($A3484="","",$I3484*$O3484)</f>
        <v/>
      </c>
      <c r="Q3484" s="39" t="n">
        <f aca="false">IF($B3484="",0,IFERROR(MATCH($B3484,COA_Mapping!$A$7:$A$256,0),0))</f>
        <v>0</v>
      </c>
      <c r="R3484" s="39" t="n">
        <f aca="false">IF($A3484="",-1,IF($J3484=Setup!$B$7,1,IF($J3484=Setup!$B$9,0,-1)))</f>
        <v>-1</v>
      </c>
      <c r="S3484" s="35" t="n">
        <f aca="false">IF(OR($A3484="",$Q3484=0,$R3484=-1),0,$Q3484*1000+$R3484*100+$K3484)</f>
        <v>0</v>
      </c>
      <c r="T3484" s="37" t="str">
        <f aca="false">IF($A3484="","",IF($B3484="","NO ACCOUNT",IF($Q3484=0,"UNMAPPED",IF($R3484=-1,"OUTSIDE FY RANGE","OK"))))</f>
        <v/>
      </c>
      <c r="U3484" s="40" t="str">
        <f aca="false">IF($A3484="","",$B3484&amp;"|"&amp;TEXT($A3484,"yyyymmdd")&amp;"|"&amp;TEXT($I3484,"0.00"))</f>
        <v/>
      </c>
      <c r="V3484" s="35" t="str">
        <f aca="false">IF($A3484="","",COUNTIF($U$8:$U$5007,$U3484))</f>
        <v/>
      </c>
    </row>
    <row r="3485" customFormat="false" ht="15" hidden="false" customHeight="false" outlineLevel="0" collapsed="false">
      <c r="A3485" s="31"/>
      <c r="B3485" s="32"/>
      <c r="C3485" s="32"/>
      <c r="D3485" s="32"/>
      <c r="E3485" s="32"/>
      <c r="F3485" s="32"/>
      <c r="G3485" s="33"/>
      <c r="H3485" s="33"/>
      <c r="I3485" s="34" t="str">
        <f aca="false">IF($A3485="","",$G3485-$H3485)</f>
        <v/>
      </c>
      <c r="J3485" s="35" t="str">
        <f aca="false">IF($A3485="","",IF(Setup!$B$6=1,YEAR($A3485),YEAR($A3485)+IF(MONTH($A3485)&gt;=Setup!$B$6,1,0)))</f>
        <v/>
      </c>
      <c r="K3485" s="35" t="str">
        <f aca="false">IF($A3485="","",MOD(MONTH($A3485)-Setup!$B$6+12,12)+1)</f>
        <v/>
      </c>
      <c r="L3485" s="36" t="str">
        <f aca="false">IF($A3485="","",TEXT($A3485,"MMM-YY"))</f>
        <v/>
      </c>
      <c r="M3485" s="37" t="str">
        <f aca="false">IF($A3485="","",IF($Q3485=0,"UNMAPPED",INDEX(COA_Mapping!$C$7:$C$256,$Q3485)))</f>
        <v/>
      </c>
      <c r="N3485" s="38" t="str">
        <f aca="false">IF($A3485="","",IF($Q3485=0,"",INDEX(COA_Mapping!$E$7:$E$256,$Q3485)))</f>
        <v/>
      </c>
      <c r="O3485" s="38" t="n">
        <f aca="false">IF($A3485="",1,IF($Q3485=0,1,INDEX(COA_Mapping!$F$7:$F$256,$Q3485)))</f>
        <v>1</v>
      </c>
      <c r="P3485" s="34" t="str">
        <f aca="false">IF($A3485="","",$I3485*$O3485)</f>
        <v/>
      </c>
      <c r="Q3485" s="39" t="n">
        <f aca="false">IF($B3485="",0,IFERROR(MATCH($B3485,COA_Mapping!$A$7:$A$256,0),0))</f>
        <v>0</v>
      </c>
      <c r="R3485" s="39" t="n">
        <f aca="false">IF($A3485="",-1,IF($J3485=Setup!$B$7,1,IF($J3485=Setup!$B$9,0,-1)))</f>
        <v>-1</v>
      </c>
      <c r="S3485" s="35" t="n">
        <f aca="false">IF(OR($A3485="",$Q3485=0,$R3485=-1),0,$Q3485*1000+$R3485*100+$K3485)</f>
        <v>0</v>
      </c>
      <c r="T3485" s="37" t="str">
        <f aca="false">IF($A3485="","",IF($B3485="","NO ACCOUNT",IF($Q3485=0,"UNMAPPED",IF($R3485=-1,"OUTSIDE FY RANGE","OK"))))</f>
        <v/>
      </c>
      <c r="U3485" s="40" t="str">
        <f aca="false">IF($A3485="","",$B3485&amp;"|"&amp;TEXT($A3485,"yyyymmdd")&amp;"|"&amp;TEXT($I3485,"0.00"))</f>
        <v/>
      </c>
      <c r="V3485" s="35" t="str">
        <f aca="false">IF($A3485="","",COUNTIF($U$8:$U$5007,$U3485))</f>
        <v/>
      </c>
    </row>
    <row r="3486" customFormat="false" ht="15" hidden="false" customHeight="false" outlineLevel="0" collapsed="false">
      <c r="A3486" s="31"/>
      <c r="B3486" s="32"/>
      <c r="C3486" s="32"/>
      <c r="D3486" s="32"/>
      <c r="E3486" s="32"/>
      <c r="F3486" s="32"/>
      <c r="G3486" s="33"/>
      <c r="H3486" s="33"/>
      <c r="I3486" s="34" t="str">
        <f aca="false">IF($A3486="","",$G3486-$H3486)</f>
        <v/>
      </c>
      <c r="J3486" s="35" t="str">
        <f aca="false">IF($A3486="","",IF(Setup!$B$6=1,YEAR($A3486),YEAR($A3486)+IF(MONTH($A3486)&gt;=Setup!$B$6,1,0)))</f>
        <v/>
      </c>
      <c r="K3486" s="35" t="str">
        <f aca="false">IF($A3486="","",MOD(MONTH($A3486)-Setup!$B$6+12,12)+1)</f>
        <v/>
      </c>
      <c r="L3486" s="36" t="str">
        <f aca="false">IF($A3486="","",TEXT($A3486,"MMM-YY"))</f>
        <v/>
      </c>
      <c r="M3486" s="37" t="str">
        <f aca="false">IF($A3486="","",IF($Q3486=0,"UNMAPPED",INDEX(COA_Mapping!$C$7:$C$256,$Q3486)))</f>
        <v/>
      </c>
      <c r="N3486" s="38" t="str">
        <f aca="false">IF($A3486="","",IF($Q3486=0,"",INDEX(COA_Mapping!$E$7:$E$256,$Q3486)))</f>
        <v/>
      </c>
      <c r="O3486" s="38" t="n">
        <f aca="false">IF($A3486="",1,IF($Q3486=0,1,INDEX(COA_Mapping!$F$7:$F$256,$Q3486)))</f>
        <v>1</v>
      </c>
      <c r="P3486" s="34" t="str">
        <f aca="false">IF($A3486="","",$I3486*$O3486)</f>
        <v/>
      </c>
      <c r="Q3486" s="39" t="n">
        <f aca="false">IF($B3486="",0,IFERROR(MATCH($B3486,COA_Mapping!$A$7:$A$256,0),0))</f>
        <v>0</v>
      </c>
      <c r="R3486" s="39" t="n">
        <f aca="false">IF($A3486="",-1,IF($J3486=Setup!$B$7,1,IF($J3486=Setup!$B$9,0,-1)))</f>
        <v>-1</v>
      </c>
      <c r="S3486" s="35" t="n">
        <f aca="false">IF(OR($A3486="",$Q3486=0,$R3486=-1),0,$Q3486*1000+$R3486*100+$K3486)</f>
        <v>0</v>
      </c>
      <c r="T3486" s="37" t="str">
        <f aca="false">IF($A3486="","",IF($B3486="","NO ACCOUNT",IF($Q3486=0,"UNMAPPED",IF($R3486=-1,"OUTSIDE FY RANGE","OK"))))</f>
        <v/>
      </c>
      <c r="U3486" s="40" t="str">
        <f aca="false">IF($A3486="","",$B3486&amp;"|"&amp;TEXT($A3486,"yyyymmdd")&amp;"|"&amp;TEXT($I3486,"0.00"))</f>
        <v/>
      </c>
      <c r="V3486" s="35" t="str">
        <f aca="false">IF($A3486="","",COUNTIF($U$8:$U$5007,$U3486))</f>
        <v/>
      </c>
    </row>
    <row r="3487" customFormat="false" ht="15" hidden="false" customHeight="false" outlineLevel="0" collapsed="false">
      <c r="A3487" s="31"/>
      <c r="B3487" s="32"/>
      <c r="C3487" s="32"/>
      <c r="D3487" s="32"/>
      <c r="E3487" s="32"/>
      <c r="F3487" s="32"/>
      <c r="G3487" s="33"/>
      <c r="H3487" s="33"/>
      <c r="I3487" s="34" t="str">
        <f aca="false">IF($A3487="","",$G3487-$H3487)</f>
        <v/>
      </c>
      <c r="J3487" s="35" t="str">
        <f aca="false">IF($A3487="","",IF(Setup!$B$6=1,YEAR($A3487),YEAR($A3487)+IF(MONTH($A3487)&gt;=Setup!$B$6,1,0)))</f>
        <v/>
      </c>
      <c r="K3487" s="35" t="str">
        <f aca="false">IF($A3487="","",MOD(MONTH($A3487)-Setup!$B$6+12,12)+1)</f>
        <v/>
      </c>
      <c r="L3487" s="36" t="str">
        <f aca="false">IF($A3487="","",TEXT($A3487,"MMM-YY"))</f>
        <v/>
      </c>
      <c r="M3487" s="37" t="str">
        <f aca="false">IF($A3487="","",IF($Q3487=0,"UNMAPPED",INDEX(COA_Mapping!$C$7:$C$256,$Q3487)))</f>
        <v/>
      </c>
      <c r="N3487" s="38" t="str">
        <f aca="false">IF($A3487="","",IF($Q3487=0,"",INDEX(COA_Mapping!$E$7:$E$256,$Q3487)))</f>
        <v/>
      </c>
      <c r="O3487" s="38" t="n">
        <f aca="false">IF($A3487="",1,IF($Q3487=0,1,INDEX(COA_Mapping!$F$7:$F$256,$Q3487)))</f>
        <v>1</v>
      </c>
      <c r="P3487" s="34" t="str">
        <f aca="false">IF($A3487="","",$I3487*$O3487)</f>
        <v/>
      </c>
      <c r="Q3487" s="39" t="n">
        <f aca="false">IF($B3487="",0,IFERROR(MATCH($B3487,COA_Mapping!$A$7:$A$256,0),0))</f>
        <v>0</v>
      </c>
      <c r="R3487" s="39" t="n">
        <f aca="false">IF($A3487="",-1,IF($J3487=Setup!$B$7,1,IF($J3487=Setup!$B$9,0,-1)))</f>
        <v>-1</v>
      </c>
      <c r="S3487" s="35" t="n">
        <f aca="false">IF(OR($A3487="",$Q3487=0,$R3487=-1),0,$Q3487*1000+$R3487*100+$K3487)</f>
        <v>0</v>
      </c>
      <c r="T3487" s="37" t="str">
        <f aca="false">IF($A3487="","",IF($B3487="","NO ACCOUNT",IF($Q3487=0,"UNMAPPED",IF($R3487=-1,"OUTSIDE FY RANGE","OK"))))</f>
        <v/>
      </c>
      <c r="U3487" s="40" t="str">
        <f aca="false">IF($A3487="","",$B3487&amp;"|"&amp;TEXT($A3487,"yyyymmdd")&amp;"|"&amp;TEXT($I3487,"0.00"))</f>
        <v/>
      </c>
      <c r="V3487" s="35" t="str">
        <f aca="false">IF($A3487="","",COUNTIF($U$8:$U$5007,$U3487))</f>
        <v/>
      </c>
    </row>
    <row r="3488" customFormat="false" ht="15" hidden="false" customHeight="false" outlineLevel="0" collapsed="false">
      <c r="A3488" s="31"/>
      <c r="B3488" s="32"/>
      <c r="C3488" s="32"/>
      <c r="D3488" s="32"/>
      <c r="E3488" s="32"/>
      <c r="F3488" s="32"/>
      <c r="G3488" s="33"/>
      <c r="H3488" s="33"/>
      <c r="I3488" s="34" t="str">
        <f aca="false">IF($A3488="","",$G3488-$H3488)</f>
        <v/>
      </c>
      <c r="J3488" s="35" t="str">
        <f aca="false">IF($A3488="","",IF(Setup!$B$6=1,YEAR($A3488),YEAR($A3488)+IF(MONTH($A3488)&gt;=Setup!$B$6,1,0)))</f>
        <v/>
      </c>
      <c r="K3488" s="35" t="str">
        <f aca="false">IF($A3488="","",MOD(MONTH($A3488)-Setup!$B$6+12,12)+1)</f>
        <v/>
      </c>
      <c r="L3488" s="36" t="str">
        <f aca="false">IF($A3488="","",TEXT($A3488,"MMM-YY"))</f>
        <v/>
      </c>
      <c r="M3488" s="37" t="str">
        <f aca="false">IF($A3488="","",IF($Q3488=0,"UNMAPPED",INDEX(COA_Mapping!$C$7:$C$256,$Q3488)))</f>
        <v/>
      </c>
      <c r="N3488" s="38" t="str">
        <f aca="false">IF($A3488="","",IF($Q3488=0,"",INDEX(COA_Mapping!$E$7:$E$256,$Q3488)))</f>
        <v/>
      </c>
      <c r="O3488" s="38" t="n">
        <f aca="false">IF($A3488="",1,IF($Q3488=0,1,INDEX(COA_Mapping!$F$7:$F$256,$Q3488)))</f>
        <v>1</v>
      </c>
      <c r="P3488" s="34" t="str">
        <f aca="false">IF($A3488="","",$I3488*$O3488)</f>
        <v/>
      </c>
      <c r="Q3488" s="39" t="n">
        <f aca="false">IF($B3488="",0,IFERROR(MATCH($B3488,COA_Mapping!$A$7:$A$256,0),0))</f>
        <v>0</v>
      </c>
      <c r="R3488" s="39" t="n">
        <f aca="false">IF($A3488="",-1,IF($J3488=Setup!$B$7,1,IF($J3488=Setup!$B$9,0,-1)))</f>
        <v>-1</v>
      </c>
      <c r="S3488" s="35" t="n">
        <f aca="false">IF(OR($A3488="",$Q3488=0,$R3488=-1),0,$Q3488*1000+$R3488*100+$K3488)</f>
        <v>0</v>
      </c>
      <c r="T3488" s="37" t="str">
        <f aca="false">IF($A3488="","",IF($B3488="","NO ACCOUNT",IF($Q3488=0,"UNMAPPED",IF($R3488=-1,"OUTSIDE FY RANGE","OK"))))</f>
        <v/>
      </c>
      <c r="U3488" s="40" t="str">
        <f aca="false">IF($A3488="","",$B3488&amp;"|"&amp;TEXT($A3488,"yyyymmdd")&amp;"|"&amp;TEXT($I3488,"0.00"))</f>
        <v/>
      </c>
      <c r="V3488" s="35" t="str">
        <f aca="false">IF($A3488="","",COUNTIF($U$8:$U$5007,$U3488))</f>
        <v/>
      </c>
    </row>
    <row r="3489" customFormat="false" ht="15" hidden="false" customHeight="false" outlineLevel="0" collapsed="false">
      <c r="A3489" s="31"/>
      <c r="B3489" s="32"/>
      <c r="C3489" s="32"/>
      <c r="D3489" s="32"/>
      <c r="E3489" s="32"/>
      <c r="F3489" s="32"/>
      <c r="G3489" s="33"/>
      <c r="H3489" s="33"/>
      <c r="I3489" s="34" t="str">
        <f aca="false">IF($A3489="","",$G3489-$H3489)</f>
        <v/>
      </c>
      <c r="J3489" s="35" t="str">
        <f aca="false">IF($A3489="","",IF(Setup!$B$6=1,YEAR($A3489),YEAR($A3489)+IF(MONTH($A3489)&gt;=Setup!$B$6,1,0)))</f>
        <v/>
      </c>
      <c r="K3489" s="35" t="str">
        <f aca="false">IF($A3489="","",MOD(MONTH($A3489)-Setup!$B$6+12,12)+1)</f>
        <v/>
      </c>
      <c r="L3489" s="36" t="str">
        <f aca="false">IF($A3489="","",TEXT($A3489,"MMM-YY"))</f>
        <v/>
      </c>
      <c r="M3489" s="37" t="str">
        <f aca="false">IF($A3489="","",IF($Q3489=0,"UNMAPPED",INDEX(COA_Mapping!$C$7:$C$256,$Q3489)))</f>
        <v/>
      </c>
      <c r="N3489" s="38" t="str">
        <f aca="false">IF($A3489="","",IF($Q3489=0,"",INDEX(COA_Mapping!$E$7:$E$256,$Q3489)))</f>
        <v/>
      </c>
      <c r="O3489" s="38" t="n">
        <f aca="false">IF($A3489="",1,IF($Q3489=0,1,INDEX(COA_Mapping!$F$7:$F$256,$Q3489)))</f>
        <v>1</v>
      </c>
      <c r="P3489" s="34" t="str">
        <f aca="false">IF($A3489="","",$I3489*$O3489)</f>
        <v/>
      </c>
      <c r="Q3489" s="39" t="n">
        <f aca="false">IF($B3489="",0,IFERROR(MATCH($B3489,COA_Mapping!$A$7:$A$256,0),0))</f>
        <v>0</v>
      </c>
      <c r="R3489" s="39" t="n">
        <f aca="false">IF($A3489="",-1,IF($J3489=Setup!$B$7,1,IF($J3489=Setup!$B$9,0,-1)))</f>
        <v>-1</v>
      </c>
      <c r="S3489" s="35" t="n">
        <f aca="false">IF(OR($A3489="",$Q3489=0,$R3489=-1),0,$Q3489*1000+$R3489*100+$K3489)</f>
        <v>0</v>
      </c>
      <c r="T3489" s="37" t="str">
        <f aca="false">IF($A3489="","",IF($B3489="","NO ACCOUNT",IF($Q3489=0,"UNMAPPED",IF($R3489=-1,"OUTSIDE FY RANGE","OK"))))</f>
        <v/>
      </c>
      <c r="U3489" s="40" t="str">
        <f aca="false">IF($A3489="","",$B3489&amp;"|"&amp;TEXT($A3489,"yyyymmdd")&amp;"|"&amp;TEXT($I3489,"0.00"))</f>
        <v/>
      </c>
      <c r="V3489" s="35" t="str">
        <f aca="false">IF($A3489="","",COUNTIF($U$8:$U$5007,$U3489))</f>
        <v/>
      </c>
    </row>
    <row r="3490" customFormat="false" ht="15" hidden="false" customHeight="false" outlineLevel="0" collapsed="false">
      <c r="A3490" s="31"/>
      <c r="B3490" s="32"/>
      <c r="C3490" s="32"/>
      <c r="D3490" s="32"/>
      <c r="E3490" s="32"/>
      <c r="F3490" s="32"/>
      <c r="G3490" s="33"/>
      <c r="H3490" s="33"/>
      <c r="I3490" s="34" t="str">
        <f aca="false">IF($A3490="","",$G3490-$H3490)</f>
        <v/>
      </c>
      <c r="J3490" s="35" t="str">
        <f aca="false">IF($A3490="","",IF(Setup!$B$6=1,YEAR($A3490),YEAR($A3490)+IF(MONTH($A3490)&gt;=Setup!$B$6,1,0)))</f>
        <v/>
      </c>
      <c r="K3490" s="35" t="str">
        <f aca="false">IF($A3490="","",MOD(MONTH($A3490)-Setup!$B$6+12,12)+1)</f>
        <v/>
      </c>
      <c r="L3490" s="36" t="str">
        <f aca="false">IF($A3490="","",TEXT($A3490,"MMM-YY"))</f>
        <v/>
      </c>
      <c r="M3490" s="37" t="str">
        <f aca="false">IF($A3490="","",IF($Q3490=0,"UNMAPPED",INDEX(COA_Mapping!$C$7:$C$256,$Q3490)))</f>
        <v/>
      </c>
      <c r="N3490" s="38" t="str">
        <f aca="false">IF($A3490="","",IF($Q3490=0,"",INDEX(COA_Mapping!$E$7:$E$256,$Q3490)))</f>
        <v/>
      </c>
      <c r="O3490" s="38" t="n">
        <f aca="false">IF($A3490="",1,IF($Q3490=0,1,INDEX(COA_Mapping!$F$7:$F$256,$Q3490)))</f>
        <v>1</v>
      </c>
      <c r="P3490" s="34" t="str">
        <f aca="false">IF($A3490="","",$I3490*$O3490)</f>
        <v/>
      </c>
      <c r="Q3490" s="39" t="n">
        <f aca="false">IF($B3490="",0,IFERROR(MATCH($B3490,COA_Mapping!$A$7:$A$256,0),0))</f>
        <v>0</v>
      </c>
      <c r="R3490" s="39" t="n">
        <f aca="false">IF($A3490="",-1,IF($J3490=Setup!$B$7,1,IF($J3490=Setup!$B$9,0,-1)))</f>
        <v>-1</v>
      </c>
      <c r="S3490" s="35" t="n">
        <f aca="false">IF(OR($A3490="",$Q3490=0,$R3490=-1),0,$Q3490*1000+$R3490*100+$K3490)</f>
        <v>0</v>
      </c>
      <c r="T3490" s="37" t="str">
        <f aca="false">IF($A3490="","",IF($B3490="","NO ACCOUNT",IF($Q3490=0,"UNMAPPED",IF($R3490=-1,"OUTSIDE FY RANGE","OK"))))</f>
        <v/>
      </c>
      <c r="U3490" s="40" t="str">
        <f aca="false">IF($A3490="","",$B3490&amp;"|"&amp;TEXT($A3490,"yyyymmdd")&amp;"|"&amp;TEXT($I3490,"0.00"))</f>
        <v/>
      </c>
      <c r="V3490" s="35" t="str">
        <f aca="false">IF($A3490="","",COUNTIF($U$8:$U$5007,$U3490))</f>
        <v/>
      </c>
    </row>
    <row r="3491" customFormat="false" ht="15" hidden="false" customHeight="false" outlineLevel="0" collapsed="false">
      <c r="A3491" s="31"/>
      <c r="B3491" s="32"/>
      <c r="C3491" s="32"/>
      <c r="D3491" s="32"/>
      <c r="E3491" s="32"/>
      <c r="F3491" s="32"/>
      <c r="G3491" s="33"/>
      <c r="H3491" s="33"/>
      <c r="I3491" s="34" t="str">
        <f aca="false">IF($A3491="","",$G3491-$H3491)</f>
        <v/>
      </c>
      <c r="J3491" s="35" t="str">
        <f aca="false">IF($A3491="","",IF(Setup!$B$6=1,YEAR($A3491),YEAR($A3491)+IF(MONTH($A3491)&gt;=Setup!$B$6,1,0)))</f>
        <v/>
      </c>
      <c r="K3491" s="35" t="str">
        <f aca="false">IF($A3491="","",MOD(MONTH($A3491)-Setup!$B$6+12,12)+1)</f>
        <v/>
      </c>
      <c r="L3491" s="36" t="str">
        <f aca="false">IF($A3491="","",TEXT($A3491,"MMM-YY"))</f>
        <v/>
      </c>
      <c r="M3491" s="37" t="str">
        <f aca="false">IF($A3491="","",IF($Q3491=0,"UNMAPPED",INDEX(COA_Mapping!$C$7:$C$256,$Q3491)))</f>
        <v/>
      </c>
      <c r="N3491" s="38" t="str">
        <f aca="false">IF($A3491="","",IF($Q3491=0,"",INDEX(COA_Mapping!$E$7:$E$256,$Q3491)))</f>
        <v/>
      </c>
      <c r="O3491" s="38" t="n">
        <f aca="false">IF($A3491="",1,IF($Q3491=0,1,INDEX(COA_Mapping!$F$7:$F$256,$Q3491)))</f>
        <v>1</v>
      </c>
      <c r="P3491" s="34" t="str">
        <f aca="false">IF($A3491="","",$I3491*$O3491)</f>
        <v/>
      </c>
      <c r="Q3491" s="39" t="n">
        <f aca="false">IF($B3491="",0,IFERROR(MATCH($B3491,COA_Mapping!$A$7:$A$256,0),0))</f>
        <v>0</v>
      </c>
      <c r="R3491" s="39" t="n">
        <f aca="false">IF($A3491="",-1,IF($J3491=Setup!$B$7,1,IF($J3491=Setup!$B$9,0,-1)))</f>
        <v>-1</v>
      </c>
      <c r="S3491" s="35" t="n">
        <f aca="false">IF(OR($A3491="",$Q3491=0,$R3491=-1),0,$Q3491*1000+$R3491*100+$K3491)</f>
        <v>0</v>
      </c>
      <c r="T3491" s="37" t="str">
        <f aca="false">IF($A3491="","",IF($B3491="","NO ACCOUNT",IF($Q3491=0,"UNMAPPED",IF($R3491=-1,"OUTSIDE FY RANGE","OK"))))</f>
        <v/>
      </c>
      <c r="U3491" s="40" t="str">
        <f aca="false">IF($A3491="","",$B3491&amp;"|"&amp;TEXT($A3491,"yyyymmdd")&amp;"|"&amp;TEXT($I3491,"0.00"))</f>
        <v/>
      </c>
      <c r="V3491" s="35" t="str">
        <f aca="false">IF($A3491="","",COUNTIF($U$8:$U$5007,$U3491))</f>
        <v/>
      </c>
    </row>
    <row r="3492" customFormat="false" ht="15" hidden="false" customHeight="false" outlineLevel="0" collapsed="false">
      <c r="A3492" s="31"/>
      <c r="B3492" s="32"/>
      <c r="C3492" s="32"/>
      <c r="D3492" s="32"/>
      <c r="E3492" s="32"/>
      <c r="F3492" s="32"/>
      <c r="G3492" s="33"/>
      <c r="H3492" s="33"/>
      <c r="I3492" s="34" t="str">
        <f aca="false">IF($A3492="","",$G3492-$H3492)</f>
        <v/>
      </c>
      <c r="J3492" s="35" t="str">
        <f aca="false">IF($A3492="","",IF(Setup!$B$6=1,YEAR($A3492),YEAR($A3492)+IF(MONTH($A3492)&gt;=Setup!$B$6,1,0)))</f>
        <v/>
      </c>
      <c r="K3492" s="35" t="str">
        <f aca="false">IF($A3492="","",MOD(MONTH($A3492)-Setup!$B$6+12,12)+1)</f>
        <v/>
      </c>
      <c r="L3492" s="36" t="str">
        <f aca="false">IF($A3492="","",TEXT($A3492,"MMM-YY"))</f>
        <v/>
      </c>
      <c r="M3492" s="37" t="str">
        <f aca="false">IF($A3492="","",IF($Q3492=0,"UNMAPPED",INDEX(COA_Mapping!$C$7:$C$256,$Q3492)))</f>
        <v/>
      </c>
      <c r="N3492" s="38" t="str">
        <f aca="false">IF($A3492="","",IF($Q3492=0,"",INDEX(COA_Mapping!$E$7:$E$256,$Q3492)))</f>
        <v/>
      </c>
      <c r="O3492" s="38" t="n">
        <f aca="false">IF($A3492="",1,IF($Q3492=0,1,INDEX(COA_Mapping!$F$7:$F$256,$Q3492)))</f>
        <v>1</v>
      </c>
      <c r="P3492" s="34" t="str">
        <f aca="false">IF($A3492="","",$I3492*$O3492)</f>
        <v/>
      </c>
      <c r="Q3492" s="39" t="n">
        <f aca="false">IF($B3492="",0,IFERROR(MATCH($B3492,COA_Mapping!$A$7:$A$256,0),0))</f>
        <v>0</v>
      </c>
      <c r="R3492" s="39" t="n">
        <f aca="false">IF($A3492="",-1,IF($J3492=Setup!$B$7,1,IF($J3492=Setup!$B$9,0,-1)))</f>
        <v>-1</v>
      </c>
      <c r="S3492" s="35" t="n">
        <f aca="false">IF(OR($A3492="",$Q3492=0,$R3492=-1),0,$Q3492*1000+$R3492*100+$K3492)</f>
        <v>0</v>
      </c>
      <c r="T3492" s="37" t="str">
        <f aca="false">IF($A3492="","",IF($B3492="","NO ACCOUNT",IF($Q3492=0,"UNMAPPED",IF($R3492=-1,"OUTSIDE FY RANGE","OK"))))</f>
        <v/>
      </c>
      <c r="U3492" s="40" t="str">
        <f aca="false">IF($A3492="","",$B3492&amp;"|"&amp;TEXT($A3492,"yyyymmdd")&amp;"|"&amp;TEXT($I3492,"0.00"))</f>
        <v/>
      </c>
      <c r="V3492" s="35" t="str">
        <f aca="false">IF($A3492="","",COUNTIF($U$8:$U$5007,$U3492))</f>
        <v/>
      </c>
    </row>
    <row r="3493" customFormat="false" ht="15" hidden="false" customHeight="false" outlineLevel="0" collapsed="false">
      <c r="A3493" s="31"/>
      <c r="B3493" s="32"/>
      <c r="C3493" s="32"/>
      <c r="D3493" s="32"/>
      <c r="E3493" s="32"/>
      <c r="F3493" s="32"/>
      <c r="G3493" s="33"/>
      <c r="H3493" s="33"/>
      <c r="I3493" s="34" t="str">
        <f aca="false">IF($A3493="","",$G3493-$H3493)</f>
        <v/>
      </c>
      <c r="J3493" s="35" t="str">
        <f aca="false">IF($A3493="","",IF(Setup!$B$6=1,YEAR($A3493),YEAR($A3493)+IF(MONTH($A3493)&gt;=Setup!$B$6,1,0)))</f>
        <v/>
      </c>
      <c r="K3493" s="35" t="str">
        <f aca="false">IF($A3493="","",MOD(MONTH($A3493)-Setup!$B$6+12,12)+1)</f>
        <v/>
      </c>
      <c r="L3493" s="36" t="str">
        <f aca="false">IF($A3493="","",TEXT($A3493,"MMM-YY"))</f>
        <v/>
      </c>
      <c r="M3493" s="37" t="str">
        <f aca="false">IF($A3493="","",IF($Q3493=0,"UNMAPPED",INDEX(COA_Mapping!$C$7:$C$256,$Q3493)))</f>
        <v/>
      </c>
      <c r="N3493" s="38" t="str">
        <f aca="false">IF($A3493="","",IF($Q3493=0,"",INDEX(COA_Mapping!$E$7:$E$256,$Q3493)))</f>
        <v/>
      </c>
      <c r="O3493" s="38" t="n">
        <f aca="false">IF($A3493="",1,IF($Q3493=0,1,INDEX(COA_Mapping!$F$7:$F$256,$Q3493)))</f>
        <v>1</v>
      </c>
      <c r="P3493" s="34" t="str">
        <f aca="false">IF($A3493="","",$I3493*$O3493)</f>
        <v/>
      </c>
      <c r="Q3493" s="39" t="n">
        <f aca="false">IF($B3493="",0,IFERROR(MATCH($B3493,COA_Mapping!$A$7:$A$256,0),0))</f>
        <v>0</v>
      </c>
      <c r="R3493" s="39" t="n">
        <f aca="false">IF($A3493="",-1,IF($J3493=Setup!$B$7,1,IF($J3493=Setup!$B$9,0,-1)))</f>
        <v>-1</v>
      </c>
      <c r="S3493" s="35" t="n">
        <f aca="false">IF(OR($A3493="",$Q3493=0,$R3493=-1),0,$Q3493*1000+$R3493*100+$K3493)</f>
        <v>0</v>
      </c>
      <c r="T3493" s="37" t="str">
        <f aca="false">IF($A3493="","",IF($B3493="","NO ACCOUNT",IF($Q3493=0,"UNMAPPED",IF($R3493=-1,"OUTSIDE FY RANGE","OK"))))</f>
        <v/>
      </c>
      <c r="U3493" s="40" t="str">
        <f aca="false">IF($A3493="","",$B3493&amp;"|"&amp;TEXT($A3493,"yyyymmdd")&amp;"|"&amp;TEXT($I3493,"0.00"))</f>
        <v/>
      </c>
      <c r="V3493" s="35" t="str">
        <f aca="false">IF($A3493="","",COUNTIF($U$8:$U$5007,$U3493))</f>
        <v/>
      </c>
    </row>
    <row r="3494" customFormat="false" ht="15" hidden="false" customHeight="false" outlineLevel="0" collapsed="false">
      <c r="A3494" s="31"/>
      <c r="B3494" s="32"/>
      <c r="C3494" s="32"/>
      <c r="D3494" s="32"/>
      <c r="E3494" s="32"/>
      <c r="F3494" s="32"/>
      <c r="G3494" s="33"/>
      <c r="H3494" s="33"/>
      <c r="I3494" s="34" t="str">
        <f aca="false">IF($A3494="","",$G3494-$H3494)</f>
        <v/>
      </c>
      <c r="J3494" s="35" t="str">
        <f aca="false">IF($A3494="","",IF(Setup!$B$6=1,YEAR($A3494),YEAR($A3494)+IF(MONTH($A3494)&gt;=Setup!$B$6,1,0)))</f>
        <v/>
      </c>
      <c r="K3494" s="35" t="str">
        <f aca="false">IF($A3494="","",MOD(MONTH($A3494)-Setup!$B$6+12,12)+1)</f>
        <v/>
      </c>
      <c r="L3494" s="36" t="str">
        <f aca="false">IF($A3494="","",TEXT($A3494,"MMM-YY"))</f>
        <v/>
      </c>
      <c r="M3494" s="37" t="str">
        <f aca="false">IF($A3494="","",IF($Q3494=0,"UNMAPPED",INDEX(COA_Mapping!$C$7:$C$256,$Q3494)))</f>
        <v/>
      </c>
      <c r="N3494" s="38" t="str">
        <f aca="false">IF($A3494="","",IF($Q3494=0,"",INDEX(COA_Mapping!$E$7:$E$256,$Q3494)))</f>
        <v/>
      </c>
      <c r="O3494" s="38" t="n">
        <f aca="false">IF($A3494="",1,IF($Q3494=0,1,INDEX(COA_Mapping!$F$7:$F$256,$Q3494)))</f>
        <v>1</v>
      </c>
      <c r="P3494" s="34" t="str">
        <f aca="false">IF($A3494="","",$I3494*$O3494)</f>
        <v/>
      </c>
      <c r="Q3494" s="39" t="n">
        <f aca="false">IF($B3494="",0,IFERROR(MATCH($B3494,COA_Mapping!$A$7:$A$256,0),0))</f>
        <v>0</v>
      </c>
      <c r="R3494" s="39" t="n">
        <f aca="false">IF($A3494="",-1,IF($J3494=Setup!$B$7,1,IF($J3494=Setup!$B$9,0,-1)))</f>
        <v>-1</v>
      </c>
      <c r="S3494" s="35" t="n">
        <f aca="false">IF(OR($A3494="",$Q3494=0,$R3494=-1),0,$Q3494*1000+$R3494*100+$K3494)</f>
        <v>0</v>
      </c>
      <c r="T3494" s="37" t="str">
        <f aca="false">IF($A3494="","",IF($B3494="","NO ACCOUNT",IF($Q3494=0,"UNMAPPED",IF($R3494=-1,"OUTSIDE FY RANGE","OK"))))</f>
        <v/>
      </c>
      <c r="U3494" s="40" t="str">
        <f aca="false">IF($A3494="","",$B3494&amp;"|"&amp;TEXT($A3494,"yyyymmdd")&amp;"|"&amp;TEXT($I3494,"0.00"))</f>
        <v/>
      </c>
      <c r="V3494" s="35" t="str">
        <f aca="false">IF($A3494="","",COUNTIF($U$8:$U$5007,$U3494))</f>
        <v/>
      </c>
    </row>
    <row r="3495" customFormat="false" ht="15" hidden="false" customHeight="false" outlineLevel="0" collapsed="false">
      <c r="A3495" s="31"/>
      <c r="B3495" s="32"/>
      <c r="C3495" s="32"/>
      <c r="D3495" s="32"/>
      <c r="E3495" s="32"/>
      <c r="F3495" s="32"/>
      <c r="G3495" s="33"/>
      <c r="H3495" s="33"/>
      <c r="I3495" s="34" t="str">
        <f aca="false">IF($A3495="","",$G3495-$H3495)</f>
        <v/>
      </c>
      <c r="J3495" s="35" t="str">
        <f aca="false">IF($A3495="","",IF(Setup!$B$6=1,YEAR($A3495),YEAR($A3495)+IF(MONTH($A3495)&gt;=Setup!$B$6,1,0)))</f>
        <v/>
      </c>
      <c r="K3495" s="35" t="str">
        <f aca="false">IF($A3495="","",MOD(MONTH($A3495)-Setup!$B$6+12,12)+1)</f>
        <v/>
      </c>
      <c r="L3495" s="36" t="str">
        <f aca="false">IF($A3495="","",TEXT($A3495,"MMM-YY"))</f>
        <v/>
      </c>
      <c r="M3495" s="37" t="str">
        <f aca="false">IF($A3495="","",IF($Q3495=0,"UNMAPPED",INDEX(COA_Mapping!$C$7:$C$256,$Q3495)))</f>
        <v/>
      </c>
      <c r="N3495" s="38" t="str">
        <f aca="false">IF($A3495="","",IF($Q3495=0,"",INDEX(COA_Mapping!$E$7:$E$256,$Q3495)))</f>
        <v/>
      </c>
      <c r="O3495" s="38" t="n">
        <f aca="false">IF($A3495="",1,IF($Q3495=0,1,INDEX(COA_Mapping!$F$7:$F$256,$Q3495)))</f>
        <v>1</v>
      </c>
      <c r="P3495" s="34" t="str">
        <f aca="false">IF($A3495="","",$I3495*$O3495)</f>
        <v/>
      </c>
      <c r="Q3495" s="39" t="n">
        <f aca="false">IF($B3495="",0,IFERROR(MATCH($B3495,COA_Mapping!$A$7:$A$256,0),0))</f>
        <v>0</v>
      </c>
      <c r="R3495" s="39" t="n">
        <f aca="false">IF($A3495="",-1,IF($J3495=Setup!$B$7,1,IF($J3495=Setup!$B$9,0,-1)))</f>
        <v>-1</v>
      </c>
      <c r="S3495" s="35" t="n">
        <f aca="false">IF(OR($A3495="",$Q3495=0,$R3495=-1),0,$Q3495*1000+$R3495*100+$K3495)</f>
        <v>0</v>
      </c>
      <c r="T3495" s="37" t="str">
        <f aca="false">IF($A3495="","",IF($B3495="","NO ACCOUNT",IF($Q3495=0,"UNMAPPED",IF($R3495=-1,"OUTSIDE FY RANGE","OK"))))</f>
        <v/>
      </c>
      <c r="U3495" s="40" t="str">
        <f aca="false">IF($A3495="","",$B3495&amp;"|"&amp;TEXT($A3495,"yyyymmdd")&amp;"|"&amp;TEXT($I3495,"0.00"))</f>
        <v/>
      </c>
      <c r="V3495" s="35" t="str">
        <f aca="false">IF($A3495="","",COUNTIF($U$8:$U$5007,$U3495))</f>
        <v/>
      </c>
    </row>
    <row r="3496" customFormat="false" ht="15" hidden="false" customHeight="false" outlineLevel="0" collapsed="false">
      <c r="A3496" s="31"/>
      <c r="B3496" s="32"/>
      <c r="C3496" s="32"/>
      <c r="D3496" s="32"/>
      <c r="E3496" s="32"/>
      <c r="F3496" s="32"/>
      <c r="G3496" s="33"/>
      <c r="H3496" s="33"/>
      <c r="I3496" s="34" t="str">
        <f aca="false">IF($A3496="","",$G3496-$H3496)</f>
        <v/>
      </c>
      <c r="J3496" s="35" t="str">
        <f aca="false">IF($A3496="","",IF(Setup!$B$6=1,YEAR($A3496),YEAR($A3496)+IF(MONTH($A3496)&gt;=Setup!$B$6,1,0)))</f>
        <v/>
      </c>
      <c r="K3496" s="35" t="str">
        <f aca="false">IF($A3496="","",MOD(MONTH($A3496)-Setup!$B$6+12,12)+1)</f>
        <v/>
      </c>
      <c r="L3496" s="36" t="str">
        <f aca="false">IF($A3496="","",TEXT($A3496,"MMM-YY"))</f>
        <v/>
      </c>
      <c r="M3496" s="37" t="str">
        <f aca="false">IF($A3496="","",IF($Q3496=0,"UNMAPPED",INDEX(COA_Mapping!$C$7:$C$256,$Q3496)))</f>
        <v/>
      </c>
      <c r="N3496" s="38" t="str">
        <f aca="false">IF($A3496="","",IF($Q3496=0,"",INDEX(COA_Mapping!$E$7:$E$256,$Q3496)))</f>
        <v/>
      </c>
      <c r="O3496" s="38" t="n">
        <f aca="false">IF($A3496="",1,IF($Q3496=0,1,INDEX(COA_Mapping!$F$7:$F$256,$Q3496)))</f>
        <v>1</v>
      </c>
      <c r="P3496" s="34" t="str">
        <f aca="false">IF($A3496="","",$I3496*$O3496)</f>
        <v/>
      </c>
      <c r="Q3496" s="39" t="n">
        <f aca="false">IF($B3496="",0,IFERROR(MATCH($B3496,COA_Mapping!$A$7:$A$256,0),0))</f>
        <v>0</v>
      </c>
      <c r="R3496" s="39" t="n">
        <f aca="false">IF($A3496="",-1,IF($J3496=Setup!$B$7,1,IF($J3496=Setup!$B$9,0,-1)))</f>
        <v>-1</v>
      </c>
      <c r="S3496" s="35" t="n">
        <f aca="false">IF(OR($A3496="",$Q3496=0,$R3496=-1),0,$Q3496*1000+$R3496*100+$K3496)</f>
        <v>0</v>
      </c>
      <c r="T3496" s="37" t="str">
        <f aca="false">IF($A3496="","",IF($B3496="","NO ACCOUNT",IF($Q3496=0,"UNMAPPED",IF($R3496=-1,"OUTSIDE FY RANGE","OK"))))</f>
        <v/>
      </c>
      <c r="U3496" s="40" t="str">
        <f aca="false">IF($A3496="","",$B3496&amp;"|"&amp;TEXT($A3496,"yyyymmdd")&amp;"|"&amp;TEXT($I3496,"0.00"))</f>
        <v/>
      </c>
      <c r="V3496" s="35" t="str">
        <f aca="false">IF($A3496="","",COUNTIF($U$8:$U$5007,$U3496))</f>
        <v/>
      </c>
    </row>
    <row r="3497" customFormat="false" ht="15" hidden="false" customHeight="false" outlineLevel="0" collapsed="false">
      <c r="A3497" s="31"/>
      <c r="B3497" s="32"/>
      <c r="C3497" s="32"/>
      <c r="D3497" s="32"/>
      <c r="E3497" s="32"/>
      <c r="F3497" s="32"/>
      <c r="G3497" s="33"/>
      <c r="H3497" s="33"/>
      <c r="I3497" s="34" t="str">
        <f aca="false">IF($A3497="","",$G3497-$H3497)</f>
        <v/>
      </c>
      <c r="J3497" s="35" t="str">
        <f aca="false">IF($A3497="","",IF(Setup!$B$6=1,YEAR($A3497),YEAR($A3497)+IF(MONTH($A3497)&gt;=Setup!$B$6,1,0)))</f>
        <v/>
      </c>
      <c r="K3497" s="35" t="str">
        <f aca="false">IF($A3497="","",MOD(MONTH($A3497)-Setup!$B$6+12,12)+1)</f>
        <v/>
      </c>
      <c r="L3497" s="36" t="str">
        <f aca="false">IF($A3497="","",TEXT($A3497,"MMM-YY"))</f>
        <v/>
      </c>
      <c r="M3497" s="37" t="str">
        <f aca="false">IF($A3497="","",IF($Q3497=0,"UNMAPPED",INDEX(COA_Mapping!$C$7:$C$256,$Q3497)))</f>
        <v/>
      </c>
      <c r="N3497" s="38" t="str">
        <f aca="false">IF($A3497="","",IF($Q3497=0,"",INDEX(COA_Mapping!$E$7:$E$256,$Q3497)))</f>
        <v/>
      </c>
      <c r="O3497" s="38" t="n">
        <f aca="false">IF($A3497="",1,IF($Q3497=0,1,INDEX(COA_Mapping!$F$7:$F$256,$Q3497)))</f>
        <v>1</v>
      </c>
      <c r="P3497" s="34" t="str">
        <f aca="false">IF($A3497="","",$I3497*$O3497)</f>
        <v/>
      </c>
      <c r="Q3497" s="39" t="n">
        <f aca="false">IF($B3497="",0,IFERROR(MATCH($B3497,COA_Mapping!$A$7:$A$256,0),0))</f>
        <v>0</v>
      </c>
      <c r="R3497" s="39" t="n">
        <f aca="false">IF($A3497="",-1,IF($J3497=Setup!$B$7,1,IF($J3497=Setup!$B$9,0,-1)))</f>
        <v>-1</v>
      </c>
      <c r="S3497" s="35" t="n">
        <f aca="false">IF(OR($A3497="",$Q3497=0,$R3497=-1),0,$Q3497*1000+$R3497*100+$K3497)</f>
        <v>0</v>
      </c>
      <c r="T3497" s="37" t="str">
        <f aca="false">IF($A3497="","",IF($B3497="","NO ACCOUNT",IF($Q3497=0,"UNMAPPED",IF($R3497=-1,"OUTSIDE FY RANGE","OK"))))</f>
        <v/>
      </c>
      <c r="U3497" s="40" t="str">
        <f aca="false">IF($A3497="","",$B3497&amp;"|"&amp;TEXT($A3497,"yyyymmdd")&amp;"|"&amp;TEXT($I3497,"0.00"))</f>
        <v/>
      </c>
      <c r="V3497" s="35" t="str">
        <f aca="false">IF($A3497="","",COUNTIF($U$8:$U$5007,$U3497))</f>
        <v/>
      </c>
    </row>
    <row r="3498" customFormat="false" ht="15" hidden="false" customHeight="false" outlineLevel="0" collapsed="false">
      <c r="A3498" s="31"/>
      <c r="B3498" s="32"/>
      <c r="C3498" s="32"/>
      <c r="D3498" s="32"/>
      <c r="E3498" s="32"/>
      <c r="F3498" s="32"/>
      <c r="G3498" s="33"/>
      <c r="H3498" s="33"/>
      <c r="I3498" s="34" t="str">
        <f aca="false">IF($A3498="","",$G3498-$H3498)</f>
        <v/>
      </c>
      <c r="J3498" s="35" t="str">
        <f aca="false">IF($A3498="","",IF(Setup!$B$6=1,YEAR($A3498),YEAR($A3498)+IF(MONTH($A3498)&gt;=Setup!$B$6,1,0)))</f>
        <v/>
      </c>
      <c r="K3498" s="35" t="str">
        <f aca="false">IF($A3498="","",MOD(MONTH($A3498)-Setup!$B$6+12,12)+1)</f>
        <v/>
      </c>
      <c r="L3498" s="36" t="str">
        <f aca="false">IF($A3498="","",TEXT($A3498,"MMM-YY"))</f>
        <v/>
      </c>
      <c r="M3498" s="37" t="str">
        <f aca="false">IF($A3498="","",IF($Q3498=0,"UNMAPPED",INDEX(COA_Mapping!$C$7:$C$256,$Q3498)))</f>
        <v/>
      </c>
      <c r="N3498" s="38" t="str">
        <f aca="false">IF($A3498="","",IF($Q3498=0,"",INDEX(COA_Mapping!$E$7:$E$256,$Q3498)))</f>
        <v/>
      </c>
      <c r="O3498" s="38" t="n">
        <f aca="false">IF($A3498="",1,IF($Q3498=0,1,INDEX(COA_Mapping!$F$7:$F$256,$Q3498)))</f>
        <v>1</v>
      </c>
      <c r="P3498" s="34" t="str">
        <f aca="false">IF($A3498="","",$I3498*$O3498)</f>
        <v/>
      </c>
      <c r="Q3498" s="39" t="n">
        <f aca="false">IF($B3498="",0,IFERROR(MATCH($B3498,COA_Mapping!$A$7:$A$256,0),0))</f>
        <v>0</v>
      </c>
      <c r="R3498" s="39" t="n">
        <f aca="false">IF($A3498="",-1,IF($J3498=Setup!$B$7,1,IF($J3498=Setup!$B$9,0,-1)))</f>
        <v>-1</v>
      </c>
      <c r="S3498" s="35" t="n">
        <f aca="false">IF(OR($A3498="",$Q3498=0,$R3498=-1),0,$Q3498*1000+$R3498*100+$K3498)</f>
        <v>0</v>
      </c>
      <c r="T3498" s="37" t="str">
        <f aca="false">IF($A3498="","",IF($B3498="","NO ACCOUNT",IF($Q3498=0,"UNMAPPED",IF($R3498=-1,"OUTSIDE FY RANGE","OK"))))</f>
        <v/>
      </c>
      <c r="U3498" s="40" t="str">
        <f aca="false">IF($A3498="","",$B3498&amp;"|"&amp;TEXT($A3498,"yyyymmdd")&amp;"|"&amp;TEXT($I3498,"0.00"))</f>
        <v/>
      </c>
      <c r="V3498" s="35" t="str">
        <f aca="false">IF($A3498="","",COUNTIF($U$8:$U$5007,$U3498))</f>
        <v/>
      </c>
    </row>
    <row r="3499" customFormat="false" ht="15" hidden="false" customHeight="false" outlineLevel="0" collapsed="false">
      <c r="A3499" s="31"/>
      <c r="B3499" s="32"/>
      <c r="C3499" s="32"/>
      <c r="D3499" s="32"/>
      <c r="E3499" s="32"/>
      <c r="F3499" s="32"/>
      <c r="G3499" s="33"/>
      <c r="H3499" s="33"/>
      <c r="I3499" s="34" t="str">
        <f aca="false">IF($A3499="","",$G3499-$H3499)</f>
        <v/>
      </c>
      <c r="J3499" s="35" t="str">
        <f aca="false">IF($A3499="","",IF(Setup!$B$6=1,YEAR($A3499),YEAR($A3499)+IF(MONTH($A3499)&gt;=Setup!$B$6,1,0)))</f>
        <v/>
      </c>
      <c r="K3499" s="35" t="str">
        <f aca="false">IF($A3499="","",MOD(MONTH($A3499)-Setup!$B$6+12,12)+1)</f>
        <v/>
      </c>
      <c r="L3499" s="36" t="str">
        <f aca="false">IF($A3499="","",TEXT($A3499,"MMM-YY"))</f>
        <v/>
      </c>
      <c r="M3499" s="37" t="str">
        <f aca="false">IF($A3499="","",IF($Q3499=0,"UNMAPPED",INDEX(COA_Mapping!$C$7:$C$256,$Q3499)))</f>
        <v/>
      </c>
      <c r="N3499" s="38" t="str">
        <f aca="false">IF($A3499="","",IF($Q3499=0,"",INDEX(COA_Mapping!$E$7:$E$256,$Q3499)))</f>
        <v/>
      </c>
      <c r="O3499" s="38" t="n">
        <f aca="false">IF($A3499="",1,IF($Q3499=0,1,INDEX(COA_Mapping!$F$7:$F$256,$Q3499)))</f>
        <v>1</v>
      </c>
      <c r="P3499" s="34" t="str">
        <f aca="false">IF($A3499="","",$I3499*$O3499)</f>
        <v/>
      </c>
      <c r="Q3499" s="39" t="n">
        <f aca="false">IF($B3499="",0,IFERROR(MATCH($B3499,COA_Mapping!$A$7:$A$256,0),0))</f>
        <v>0</v>
      </c>
      <c r="R3499" s="39" t="n">
        <f aca="false">IF($A3499="",-1,IF($J3499=Setup!$B$7,1,IF($J3499=Setup!$B$9,0,-1)))</f>
        <v>-1</v>
      </c>
      <c r="S3499" s="35" t="n">
        <f aca="false">IF(OR($A3499="",$Q3499=0,$R3499=-1),0,$Q3499*1000+$R3499*100+$K3499)</f>
        <v>0</v>
      </c>
      <c r="T3499" s="37" t="str">
        <f aca="false">IF($A3499="","",IF($B3499="","NO ACCOUNT",IF($Q3499=0,"UNMAPPED",IF($R3499=-1,"OUTSIDE FY RANGE","OK"))))</f>
        <v/>
      </c>
      <c r="U3499" s="40" t="str">
        <f aca="false">IF($A3499="","",$B3499&amp;"|"&amp;TEXT($A3499,"yyyymmdd")&amp;"|"&amp;TEXT($I3499,"0.00"))</f>
        <v/>
      </c>
      <c r="V3499" s="35" t="str">
        <f aca="false">IF($A3499="","",COUNTIF($U$8:$U$5007,$U3499))</f>
        <v/>
      </c>
    </row>
    <row r="3500" customFormat="false" ht="15" hidden="false" customHeight="false" outlineLevel="0" collapsed="false">
      <c r="A3500" s="31"/>
      <c r="B3500" s="32"/>
      <c r="C3500" s="32"/>
      <c r="D3500" s="32"/>
      <c r="E3500" s="32"/>
      <c r="F3500" s="32"/>
      <c r="G3500" s="33"/>
      <c r="H3500" s="33"/>
      <c r="I3500" s="34" t="str">
        <f aca="false">IF($A3500="","",$G3500-$H3500)</f>
        <v/>
      </c>
      <c r="J3500" s="35" t="str">
        <f aca="false">IF($A3500="","",IF(Setup!$B$6=1,YEAR($A3500),YEAR($A3500)+IF(MONTH($A3500)&gt;=Setup!$B$6,1,0)))</f>
        <v/>
      </c>
      <c r="K3500" s="35" t="str">
        <f aca="false">IF($A3500="","",MOD(MONTH($A3500)-Setup!$B$6+12,12)+1)</f>
        <v/>
      </c>
      <c r="L3500" s="36" t="str">
        <f aca="false">IF($A3500="","",TEXT($A3500,"MMM-YY"))</f>
        <v/>
      </c>
      <c r="M3500" s="37" t="str">
        <f aca="false">IF($A3500="","",IF($Q3500=0,"UNMAPPED",INDEX(COA_Mapping!$C$7:$C$256,$Q3500)))</f>
        <v/>
      </c>
      <c r="N3500" s="38" t="str">
        <f aca="false">IF($A3500="","",IF($Q3500=0,"",INDEX(COA_Mapping!$E$7:$E$256,$Q3500)))</f>
        <v/>
      </c>
      <c r="O3500" s="38" t="n">
        <f aca="false">IF($A3500="",1,IF($Q3500=0,1,INDEX(COA_Mapping!$F$7:$F$256,$Q3500)))</f>
        <v>1</v>
      </c>
      <c r="P3500" s="34" t="str">
        <f aca="false">IF($A3500="","",$I3500*$O3500)</f>
        <v/>
      </c>
      <c r="Q3500" s="39" t="n">
        <f aca="false">IF($B3500="",0,IFERROR(MATCH($B3500,COA_Mapping!$A$7:$A$256,0),0))</f>
        <v>0</v>
      </c>
      <c r="R3500" s="39" t="n">
        <f aca="false">IF($A3500="",-1,IF($J3500=Setup!$B$7,1,IF($J3500=Setup!$B$9,0,-1)))</f>
        <v>-1</v>
      </c>
      <c r="S3500" s="35" t="n">
        <f aca="false">IF(OR($A3500="",$Q3500=0,$R3500=-1),0,$Q3500*1000+$R3500*100+$K3500)</f>
        <v>0</v>
      </c>
      <c r="T3500" s="37" t="str">
        <f aca="false">IF($A3500="","",IF($B3500="","NO ACCOUNT",IF($Q3500=0,"UNMAPPED",IF($R3500=-1,"OUTSIDE FY RANGE","OK"))))</f>
        <v/>
      </c>
      <c r="U3500" s="40" t="str">
        <f aca="false">IF($A3500="","",$B3500&amp;"|"&amp;TEXT($A3500,"yyyymmdd")&amp;"|"&amp;TEXT($I3500,"0.00"))</f>
        <v/>
      </c>
      <c r="V3500" s="35" t="str">
        <f aca="false">IF($A3500="","",COUNTIF($U$8:$U$5007,$U3500))</f>
        <v/>
      </c>
    </row>
    <row r="3501" customFormat="false" ht="15" hidden="false" customHeight="false" outlineLevel="0" collapsed="false">
      <c r="A3501" s="31"/>
      <c r="B3501" s="32"/>
      <c r="C3501" s="32"/>
      <c r="D3501" s="32"/>
      <c r="E3501" s="32"/>
      <c r="F3501" s="32"/>
      <c r="G3501" s="33"/>
      <c r="H3501" s="33"/>
      <c r="I3501" s="34" t="str">
        <f aca="false">IF($A3501="","",$G3501-$H3501)</f>
        <v/>
      </c>
      <c r="J3501" s="35" t="str">
        <f aca="false">IF($A3501="","",IF(Setup!$B$6=1,YEAR($A3501),YEAR($A3501)+IF(MONTH($A3501)&gt;=Setup!$B$6,1,0)))</f>
        <v/>
      </c>
      <c r="K3501" s="35" t="str">
        <f aca="false">IF($A3501="","",MOD(MONTH($A3501)-Setup!$B$6+12,12)+1)</f>
        <v/>
      </c>
      <c r="L3501" s="36" t="str">
        <f aca="false">IF($A3501="","",TEXT($A3501,"MMM-YY"))</f>
        <v/>
      </c>
      <c r="M3501" s="37" t="str">
        <f aca="false">IF($A3501="","",IF($Q3501=0,"UNMAPPED",INDEX(COA_Mapping!$C$7:$C$256,$Q3501)))</f>
        <v/>
      </c>
      <c r="N3501" s="38" t="str">
        <f aca="false">IF($A3501="","",IF($Q3501=0,"",INDEX(COA_Mapping!$E$7:$E$256,$Q3501)))</f>
        <v/>
      </c>
      <c r="O3501" s="38" t="n">
        <f aca="false">IF($A3501="",1,IF($Q3501=0,1,INDEX(COA_Mapping!$F$7:$F$256,$Q3501)))</f>
        <v>1</v>
      </c>
      <c r="P3501" s="34" t="str">
        <f aca="false">IF($A3501="","",$I3501*$O3501)</f>
        <v/>
      </c>
      <c r="Q3501" s="39" t="n">
        <f aca="false">IF($B3501="",0,IFERROR(MATCH($B3501,COA_Mapping!$A$7:$A$256,0),0))</f>
        <v>0</v>
      </c>
      <c r="R3501" s="39" t="n">
        <f aca="false">IF($A3501="",-1,IF($J3501=Setup!$B$7,1,IF($J3501=Setup!$B$9,0,-1)))</f>
        <v>-1</v>
      </c>
      <c r="S3501" s="35" t="n">
        <f aca="false">IF(OR($A3501="",$Q3501=0,$R3501=-1),0,$Q3501*1000+$R3501*100+$K3501)</f>
        <v>0</v>
      </c>
      <c r="T3501" s="37" t="str">
        <f aca="false">IF($A3501="","",IF($B3501="","NO ACCOUNT",IF($Q3501=0,"UNMAPPED",IF($R3501=-1,"OUTSIDE FY RANGE","OK"))))</f>
        <v/>
      </c>
      <c r="U3501" s="40" t="str">
        <f aca="false">IF($A3501="","",$B3501&amp;"|"&amp;TEXT($A3501,"yyyymmdd")&amp;"|"&amp;TEXT($I3501,"0.00"))</f>
        <v/>
      </c>
      <c r="V3501" s="35" t="str">
        <f aca="false">IF($A3501="","",COUNTIF($U$8:$U$5007,$U3501))</f>
        <v/>
      </c>
    </row>
    <row r="3502" customFormat="false" ht="15" hidden="false" customHeight="false" outlineLevel="0" collapsed="false">
      <c r="A3502" s="31"/>
      <c r="B3502" s="32"/>
      <c r="C3502" s="32"/>
      <c r="D3502" s="32"/>
      <c r="E3502" s="32"/>
      <c r="F3502" s="32"/>
      <c r="G3502" s="33"/>
      <c r="H3502" s="33"/>
      <c r="I3502" s="34" t="str">
        <f aca="false">IF($A3502="","",$G3502-$H3502)</f>
        <v/>
      </c>
      <c r="J3502" s="35" t="str">
        <f aca="false">IF($A3502="","",IF(Setup!$B$6=1,YEAR($A3502),YEAR($A3502)+IF(MONTH($A3502)&gt;=Setup!$B$6,1,0)))</f>
        <v/>
      </c>
      <c r="K3502" s="35" t="str">
        <f aca="false">IF($A3502="","",MOD(MONTH($A3502)-Setup!$B$6+12,12)+1)</f>
        <v/>
      </c>
      <c r="L3502" s="36" t="str">
        <f aca="false">IF($A3502="","",TEXT($A3502,"MMM-YY"))</f>
        <v/>
      </c>
      <c r="M3502" s="37" t="str">
        <f aca="false">IF($A3502="","",IF($Q3502=0,"UNMAPPED",INDEX(COA_Mapping!$C$7:$C$256,$Q3502)))</f>
        <v/>
      </c>
      <c r="N3502" s="38" t="str">
        <f aca="false">IF($A3502="","",IF($Q3502=0,"",INDEX(COA_Mapping!$E$7:$E$256,$Q3502)))</f>
        <v/>
      </c>
      <c r="O3502" s="38" t="n">
        <f aca="false">IF($A3502="",1,IF($Q3502=0,1,INDEX(COA_Mapping!$F$7:$F$256,$Q3502)))</f>
        <v>1</v>
      </c>
      <c r="P3502" s="34" t="str">
        <f aca="false">IF($A3502="","",$I3502*$O3502)</f>
        <v/>
      </c>
      <c r="Q3502" s="39" t="n">
        <f aca="false">IF($B3502="",0,IFERROR(MATCH($B3502,COA_Mapping!$A$7:$A$256,0),0))</f>
        <v>0</v>
      </c>
      <c r="R3502" s="39" t="n">
        <f aca="false">IF($A3502="",-1,IF($J3502=Setup!$B$7,1,IF($J3502=Setup!$B$9,0,-1)))</f>
        <v>-1</v>
      </c>
      <c r="S3502" s="35" t="n">
        <f aca="false">IF(OR($A3502="",$Q3502=0,$R3502=-1),0,$Q3502*1000+$R3502*100+$K3502)</f>
        <v>0</v>
      </c>
      <c r="T3502" s="37" t="str">
        <f aca="false">IF($A3502="","",IF($B3502="","NO ACCOUNT",IF($Q3502=0,"UNMAPPED",IF($R3502=-1,"OUTSIDE FY RANGE","OK"))))</f>
        <v/>
      </c>
      <c r="U3502" s="40" t="str">
        <f aca="false">IF($A3502="","",$B3502&amp;"|"&amp;TEXT($A3502,"yyyymmdd")&amp;"|"&amp;TEXT($I3502,"0.00"))</f>
        <v/>
      </c>
      <c r="V3502" s="35" t="str">
        <f aca="false">IF($A3502="","",COUNTIF($U$8:$U$5007,$U3502))</f>
        <v/>
      </c>
    </row>
    <row r="3503" customFormat="false" ht="15" hidden="false" customHeight="false" outlineLevel="0" collapsed="false">
      <c r="A3503" s="31"/>
      <c r="B3503" s="32"/>
      <c r="C3503" s="32"/>
      <c r="D3503" s="32"/>
      <c r="E3503" s="32"/>
      <c r="F3503" s="32"/>
      <c r="G3503" s="33"/>
      <c r="H3503" s="33"/>
      <c r="I3503" s="34" t="str">
        <f aca="false">IF($A3503="","",$G3503-$H3503)</f>
        <v/>
      </c>
      <c r="J3503" s="35" t="str">
        <f aca="false">IF($A3503="","",IF(Setup!$B$6=1,YEAR($A3503),YEAR($A3503)+IF(MONTH($A3503)&gt;=Setup!$B$6,1,0)))</f>
        <v/>
      </c>
      <c r="K3503" s="35" t="str">
        <f aca="false">IF($A3503="","",MOD(MONTH($A3503)-Setup!$B$6+12,12)+1)</f>
        <v/>
      </c>
      <c r="L3503" s="36" t="str">
        <f aca="false">IF($A3503="","",TEXT($A3503,"MMM-YY"))</f>
        <v/>
      </c>
      <c r="M3503" s="37" t="str">
        <f aca="false">IF($A3503="","",IF($Q3503=0,"UNMAPPED",INDEX(COA_Mapping!$C$7:$C$256,$Q3503)))</f>
        <v/>
      </c>
      <c r="N3503" s="38" t="str">
        <f aca="false">IF($A3503="","",IF($Q3503=0,"",INDEX(COA_Mapping!$E$7:$E$256,$Q3503)))</f>
        <v/>
      </c>
      <c r="O3503" s="38" t="n">
        <f aca="false">IF($A3503="",1,IF($Q3503=0,1,INDEX(COA_Mapping!$F$7:$F$256,$Q3503)))</f>
        <v>1</v>
      </c>
      <c r="P3503" s="34" t="str">
        <f aca="false">IF($A3503="","",$I3503*$O3503)</f>
        <v/>
      </c>
      <c r="Q3503" s="39" t="n">
        <f aca="false">IF($B3503="",0,IFERROR(MATCH($B3503,COA_Mapping!$A$7:$A$256,0),0))</f>
        <v>0</v>
      </c>
      <c r="R3503" s="39" t="n">
        <f aca="false">IF($A3503="",-1,IF($J3503=Setup!$B$7,1,IF($J3503=Setup!$B$9,0,-1)))</f>
        <v>-1</v>
      </c>
      <c r="S3503" s="35" t="n">
        <f aca="false">IF(OR($A3503="",$Q3503=0,$R3503=-1),0,$Q3503*1000+$R3503*100+$K3503)</f>
        <v>0</v>
      </c>
      <c r="T3503" s="37" t="str">
        <f aca="false">IF($A3503="","",IF($B3503="","NO ACCOUNT",IF($Q3503=0,"UNMAPPED",IF($R3503=-1,"OUTSIDE FY RANGE","OK"))))</f>
        <v/>
      </c>
      <c r="U3503" s="40" t="str">
        <f aca="false">IF($A3503="","",$B3503&amp;"|"&amp;TEXT($A3503,"yyyymmdd")&amp;"|"&amp;TEXT($I3503,"0.00"))</f>
        <v/>
      </c>
      <c r="V3503" s="35" t="str">
        <f aca="false">IF($A3503="","",COUNTIF($U$8:$U$5007,$U3503))</f>
        <v/>
      </c>
    </row>
    <row r="3504" customFormat="false" ht="15" hidden="false" customHeight="false" outlineLevel="0" collapsed="false">
      <c r="A3504" s="31"/>
      <c r="B3504" s="32"/>
      <c r="C3504" s="32"/>
      <c r="D3504" s="32"/>
      <c r="E3504" s="32"/>
      <c r="F3504" s="32"/>
      <c r="G3504" s="33"/>
      <c r="H3504" s="33"/>
      <c r="I3504" s="34" t="str">
        <f aca="false">IF($A3504="","",$G3504-$H3504)</f>
        <v/>
      </c>
      <c r="J3504" s="35" t="str">
        <f aca="false">IF($A3504="","",IF(Setup!$B$6=1,YEAR($A3504),YEAR($A3504)+IF(MONTH($A3504)&gt;=Setup!$B$6,1,0)))</f>
        <v/>
      </c>
      <c r="K3504" s="35" t="str">
        <f aca="false">IF($A3504="","",MOD(MONTH($A3504)-Setup!$B$6+12,12)+1)</f>
        <v/>
      </c>
      <c r="L3504" s="36" t="str">
        <f aca="false">IF($A3504="","",TEXT($A3504,"MMM-YY"))</f>
        <v/>
      </c>
      <c r="M3504" s="37" t="str">
        <f aca="false">IF($A3504="","",IF($Q3504=0,"UNMAPPED",INDEX(COA_Mapping!$C$7:$C$256,$Q3504)))</f>
        <v/>
      </c>
      <c r="N3504" s="38" t="str">
        <f aca="false">IF($A3504="","",IF($Q3504=0,"",INDEX(COA_Mapping!$E$7:$E$256,$Q3504)))</f>
        <v/>
      </c>
      <c r="O3504" s="38" t="n">
        <f aca="false">IF($A3504="",1,IF($Q3504=0,1,INDEX(COA_Mapping!$F$7:$F$256,$Q3504)))</f>
        <v>1</v>
      </c>
      <c r="P3504" s="34" t="str">
        <f aca="false">IF($A3504="","",$I3504*$O3504)</f>
        <v/>
      </c>
      <c r="Q3504" s="39" t="n">
        <f aca="false">IF($B3504="",0,IFERROR(MATCH($B3504,COA_Mapping!$A$7:$A$256,0),0))</f>
        <v>0</v>
      </c>
      <c r="R3504" s="39" t="n">
        <f aca="false">IF($A3504="",-1,IF($J3504=Setup!$B$7,1,IF($J3504=Setup!$B$9,0,-1)))</f>
        <v>-1</v>
      </c>
      <c r="S3504" s="35" t="n">
        <f aca="false">IF(OR($A3504="",$Q3504=0,$R3504=-1),0,$Q3504*1000+$R3504*100+$K3504)</f>
        <v>0</v>
      </c>
      <c r="T3504" s="37" t="str">
        <f aca="false">IF($A3504="","",IF($B3504="","NO ACCOUNT",IF($Q3504=0,"UNMAPPED",IF($R3504=-1,"OUTSIDE FY RANGE","OK"))))</f>
        <v/>
      </c>
      <c r="U3504" s="40" t="str">
        <f aca="false">IF($A3504="","",$B3504&amp;"|"&amp;TEXT($A3504,"yyyymmdd")&amp;"|"&amp;TEXT($I3504,"0.00"))</f>
        <v/>
      </c>
      <c r="V3504" s="35" t="str">
        <f aca="false">IF($A3504="","",COUNTIF($U$8:$U$5007,$U3504))</f>
        <v/>
      </c>
    </row>
    <row r="3505" customFormat="false" ht="15" hidden="false" customHeight="false" outlineLevel="0" collapsed="false">
      <c r="A3505" s="31"/>
      <c r="B3505" s="32"/>
      <c r="C3505" s="32"/>
      <c r="D3505" s="32"/>
      <c r="E3505" s="32"/>
      <c r="F3505" s="32"/>
      <c r="G3505" s="33"/>
      <c r="H3505" s="33"/>
      <c r="I3505" s="34" t="str">
        <f aca="false">IF($A3505="","",$G3505-$H3505)</f>
        <v/>
      </c>
      <c r="J3505" s="35" t="str">
        <f aca="false">IF($A3505="","",IF(Setup!$B$6=1,YEAR($A3505),YEAR($A3505)+IF(MONTH($A3505)&gt;=Setup!$B$6,1,0)))</f>
        <v/>
      </c>
      <c r="K3505" s="35" t="str">
        <f aca="false">IF($A3505="","",MOD(MONTH($A3505)-Setup!$B$6+12,12)+1)</f>
        <v/>
      </c>
      <c r="L3505" s="36" t="str">
        <f aca="false">IF($A3505="","",TEXT($A3505,"MMM-YY"))</f>
        <v/>
      </c>
      <c r="M3505" s="37" t="str">
        <f aca="false">IF($A3505="","",IF($Q3505=0,"UNMAPPED",INDEX(COA_Mapping!$C$7:$C$256,$Q3505)))</f>
        <v/>
      </c>
      <c r="N3505" s="38" t="str">
        <f aca="false">IF($A3505="","",IF($Q3505=0,"",INDEX(COA_Mapping!$E$7:$E$256,$Q3505)))</f>
        <v/>
      </c>
      <c r="O3505" s="38" t="n">
        <f aca="false">IF($A3505="",1,IF($Q3505=0,1,INDEX(COA_Mapping!$F$7:$F$256,$Q3505)))</f>
        <v>1</v>
      </c>
      <c r="P3505" s="34" t="str">
        <f aca="false">IF($A3505="","",$I3505*$O3505)</f>
        <v/>
      </c>
      <c r="Q3505" s="39" t="n">
        <f aca="false">IF($B3505="",0,IFERROR(MATCH($B3505,COA_Mapping!$A$7:$A$256,0),0))</f>
        <v>0</v>
      </c>
      <c r="R3505" s="39" t="n">
        <f aca="false">IF($A3505="",-1,IF($J3505=Setup!$B$7,1,IF($J3505=Setup!$B$9,0,-1)))</f>
        <v>-1</v>
      </c>
      <c r="S3505" s="35" t="n">
        <f aca="false">IF(OR($A3505="",$Q3505=0,$R3505=-1),0,$Q3505*1000+$R3505*100+$K3505)</f>
        <v>0</v>
      </c>
      <c r="T3505" s="37" t="str">
        <f aca="false">IF($A3505="","",IF($B3505="","NO ACCOUNT",IF($Q3505=0,"UNMAPPED",IF($R3505=-1,"OUTSIDE FY RANGE","OK"))))</f>
        <v/>
      </c>
      <c r="U3505" s="40" t="str">
        <f aca="false">IF($A3505="","",$B3505&amp;"|"&amp;TEXT($A3505,"yyyymmdd")&amp;"|"&amp;TEXT($I3505,"0.00"))</f>
        <v/>
      </c>
      <c r="V3505" s="35" t="str">
        <f aca="false">IF($A3505="","",COUNTIF($U$8:$U$5007,$U3505))</f>
        <v/>
      </c>
    </row>
    <row r="3506" customFormat="false" ht="15" hidden="false" customHeight="false" outlineLevel="0" collapsed="false">
      <c r="A3506" s="31"/>
      <c r="B3506" s="32"/>
      <c r="C3506" s="32"/>
      <c r="D3506" s="32"/>
      <c r="E3506" s="32"/>
      <c r="F3506" s="32"/>
      <c r="G3506" s="33"/>
      <c r="H3506" s="33"/>
      <c r="I3506" s="34" t="str">
        <f aca="false">IF($A3506="","",$G3506-$H3506)</f>
        <v/>
      </c>
      <c r="J3506" s="35" t="str">
        <f aca="false">IF($A3506="","",IF(Setup!$B$6=1,YEAR($A3506),YEAR($A3506)+IF(MONTH($A3506)&gt;=Setup!$B$6,1,0)))</f>
        <v/>
      </c>
      <c r="K3506" s="35" t="str">
        <f aca="false">IF($A3506="","",MOD(MONTH($A3506)-Setup!$B$6+12,12)+1)</f>
        <v/>
      </c>
      <c r="L3506" s="36" t="str">
        <f aca="false">IF($A3506="","",TEXT($A3506,"MMM-YY"))</f>
        <v/>
      </c>
      <c r="M3506" s="37" t="str">
        <f aca="false">IF($A3506="","",IF($Q3506=0,"UNMAPPED",INDEX(COA_Mapping!$C$7:$C$256,$Q3506)))</f>
        <v/>
      </c>
      <c r="N3506" s="38" t="str">
        <f aca="false">IF($A3506="","",IF($Q3506=0,"",INDEX(COA_Mapping!$E$7:$E$256,$Q3506)))</f>
        <v/>
      </c>
      <c r="O3506" s="38" t="n">
        <f aca="false">IF($A3506="",1,IF($Q3506=0,1,INDEX(COA_Mapping!$F$7:$F$256,$Q3506)))</f>
        <v>1</v>
      </c>
      <c r="P3506" s="34" t="str">
        <f aca="false">IF($A3506="","",$I3506*$O3506)</f>
        <v/>
      </c>
      <c r="Q3506" s="39" t="n">
        <f aca="false">IF($B3506="",0,IFERROR(MATCH($B3506,COA_Mapping!$A$7:$A$256,0),0))</f>
        <v>0</v>
      </c>
      <c r="R3506" s="39" t="n">
        <f aca="false">IF($A3506="",-1,IF($J3506=Setup!$B$7,1,IF($J3506=Setup!$B$9,0,-1)))</f>
        <v>-1</v>
      </c>
      <c r="S3506" s="35" t="n">
        <f aca="false">IF(OR($A3506="",$Q3506=0,$R3506=-1),0,$Q3506*1000+$R3506*100+$K3506)</f>
        <v>0</v>
      </c>
      <c r="T3506" s="37" t="str">
        <f aca="false">IF($A3506="","",IF($B3506="","NO ACCOUNT",IF($Q3506=0,"UNMAPPED",IF($R3506=-1,"OUTSIDE FY RANGE","OK"))))</f>
        <v/>
      </c>
      <c r="U3506" s="40" t="str">
        <f aca="false">IF($A3506="","",$B3506&amp;"|"&amp;TEXT($A3506,"yyyymmdd")&amp;"|"&amp;TEXT($I3506,"0.00"))</f>
        <v/>
      </c>
      <c r="V3506" s="35" t="str">
        <f aca="false">IF($A3506="","",COUNTIF($U$8:$U$5007,$U3506))</f>
        <v/>
      </c>
    </row>
    <row r="3507" customFormat="false" ht="15" hidden="false" customHeight="false" outlineLevel="0" collapsed="false">
      <c r="A3507" s="31"/>
      <c r="B3507" s="32"/>
      <c r="C3507" s="32"/>
      <c r="D3507" s="32"/>
      <c r="E3507" s="32"/>
      <c r="F3507" s="32"/>
      <c r="G3507" s="33"/>
      <c r="H3507" s="33"/>
      <c r="I3507" s="34" t="str">
        <f aca="false">IF($A3507="","",$G3507-$H3507)</f>
        <v/>
      </c>
      <c r="J3507" s="35" t="str">
        <f aca="false">IF($A3507="","",IF(Setup!$B$6=1,YEAR($A3507),YEAR($A3507)+IF(MONTH($A3507)&gt;=Setup!$B$6,1,0)))</f>
        <v/>
      </c>
      <c r="K3507" s="35" t="str">
        <f aca="false">IF($A3507="","",MOD(MONTH($A3507)-Setup!$B$6+12,12)+1)</f>
        <v/>
      </c>
      <c r="L3507" s="36" t="str">
        <f aca="false">IF($A3507="","",TEXT($A3507,"MMM-YY"))</f>
        <v/>
      </c>
      <c r="M3507" s="37" t="str">
        <f aca="false">IF($A3507="","",IF($Q3507=0,"UNMAPPED",INDEX(COA_Mapping!$C$7:$C$256,$Q3507)))</f>
        <v/>
      </c>
      <c r="N3507" s="38" t="str">
        <f aca="false">IF($A3507="","",IF($Q3507=0,"",INDEX(COA_Mapping!$E$7:$E$256,$Q3507)))</f>
        <v/>
      </c>
      <c r="O3507" s="38" t="n">
        <f aca="false">IF($A3507="",1,IF($Q3507=0,1,INDEX(COA_Mapping!$F$7:$F$256,$Q3507)))</f>
        <v>1</v>
      </c>
      <c r="P3507" s="34" t="str">
        <f aca="false">IF($A3507="","",$I3507*$O3507)</f>
        <v/>
      </c>
      <c r="Q3507" s="39" t="n">
        <f aca="false">IF($B3507="",0,IFERROR(MATCH($B3507,COA_Mapping!$A$7:$A$256,0),0))</f>
        <v>0</v>
      </c>
      <c r="R3507" s="39" t="n">
        <f aca="false">IF($A3507="",-1,IF($J3507=Setup!$B$7,1,IF($J3507=Setup!$B$9,0,-1)))</f>
        <v>-1</v>
      </c>
      <c r="S3507" s="35" t="n">
        <f aca="false">IF(OR($A3507="",$Q3507=0,$R3507=-1),0,$Q3507*1000+$R3507*100+$K3507)</f>
        <v>0</v>
      </c>
      <c r="T3507" s="37" t="str">
        <f aca="false">IF($A3507="","",IF($B3507="","NO ACCOUNT",IF($Q3507=0,"UNMAPPED",IF($R3507=-1,"OUTSIDE FY RANGE","OK"))))</f>
        <v/>
      </c>
      <c r="U3507" s="40" t="str">
        <f aca="false">IF($A3507="","",$B3507&amp;"|"&amp;TEXT($A3507,"yyyymmdd")&amp;"|"&amp;TEXT($I3507,"0.00"))</f>
        <v/>
      </c>
      <c r="V3507" s="35" t="str">
        <f aca="false">IF($A3507="","",COUNTIF($U$8:$U$5007,$U3507))</f>
        <v/>
      </c>
    </row>
    <row r="3508" customFormat="false" ht="15" hidden="false" customHeight="false" outlineLevel="0" collapsed="false">
      <c r="A3508" s="31"/>
      <c r="B3508" s="32"/>
      <c r="C3508" s="32"/>
      <c r="D3508" s="32"/>
      <c r="E3508" s="32"/>
      <c r="F3508" s="32"/>
      <c r="G3508" s="33"/>
      <c r="H3508" s="33"/>
      <c r="I3508" s="34" t="str">
        <f aca="false">IF($A3508="","",$G3508-$H3508)</f>
        <v/>
      </c>
      <c r="J3508" s="35" t="str">
        <f aca="false">IF($A3508="","",IF(Setup!$B$6=1,YEAR($A3508),YEAR($A3508)+IF(MONTH($A3508)&gt;=Setup!$B$6,1,0)))</f>
        <v/>
      </c>
      <c r="K3508" s="35" t="str">
        <f aca="false">IF($A3508="","",MOD(MONTH($A3508)-Setup!$B$6+12,12)+1)</f>
        <v/>
      </c>
      <c r="L3508" s="36" t="str">
        <f aca="false">IF($A3508="","",TEXT($A3508,"MMM-YY"))</f>
        <v/>
      </c>
      <c r="M3508" s="37" t="str">
        <f aca="false">IF($A3508="","",IF($Q3508=0,"UNMAPPED",INDEX(COA_Mapping!$C$7:$C$256,$Q3508)))</f>
        <v/>
      </c>
      <c r="N3508" s="38" t="str">
        <f aca="false">IF($A3508="","",IF($Q3508=0,"",INDEX(COA_Mapping!$E$7:$E$256,$Q3508)))</f>
        <v/>
      </c>
      <c r="O3508" s="38" t="n">
        <f aca="false">IF($A3508="",1,IF($Q3508=0,1,INDEX(COA_Mapping!$F$7:$F$256,$Q3508)))</f>
        <v>1</v>
      </c>
      <c r="P3508" s="34" t="str">
        <f aca="false">IF($A3508="","",$I3508*$O3508)</f>
        <v/>
      </c>
      <c r="Q3508" s="39" t="n">
        <f aca="false">IF($B3508="",0,IFERROR(MATCH($B3508,COA_Mapping!$A$7:$A$256,0),0))</f>
        <v>0</v>
      </c>
      <c r="R3508" s="39" t="n">
        <f aca="false">IF($A3508="",-1,IF($J3508=Setup!$B$7,1,IF($J3508=Setup!$B$9,0,-1)))</f>
        <v>-1</v>
      </c>
      <c r="S3508" s="35" t="n">
        <f aca="false">IF(OR($A3508="",$Q3508=0,$R3508=-1),0,$Q3508*1000+$R3508*100+$K3508)</f>
        <v>0</v>
      </c>
      <c r="T3508" s="37" t="str">
        <f aca="false">IF($A3508="","",IF($B3508="","NO ACCOUNT",IF($Q3508=0,"UNMAPPED",IF($R3508=-1,"OUTSIDE FY RANGE","OK"))))</f>
        <v/>
      </c>
      <c r="U3508" s="40" t="str">
        <f aca="false">IF($A3508="","",$B3508&amp;"|"&amp;TEXT($A3508,"yyyymmdd")&amp;"|"&amp;TEXT($I3508,"0.00"))</f>
        <v/>
      </c>
      <c r="V3508" s="35" t="str">
        <f aca="false">IF($A3508="","",COUNTIF($U$8:$U$5007,$U3508))</f>
        <v/>
      </c>
    </row>
    <row r="3509" customFormat="false" ht="15" hidden="false" customHeight="false" outlineLevel="0" collapsed="false">
      <c r="A3509" s="31"/>
      <c r="B3509" s="32"/>
      <c r="C3509" s="32"/>
      <c r="D3509" s="32"/>
      <c r="E3509" s="32"/>
      <c r="F3509" s="32"/>
      <c r="G3509" s="33"/>
      <c r="H3509" s="33"/>
      <c r="I3509" s="34" t="str">
        <f aca="false">IF($A3509="","",$G3509-$H3509)</f>
        <v/>
      </c>
      <c r="J3509" s="35" t="str">
        <f aca="false">IF($A3509="","",IF(Setup!$B$6=1,YEAR($A3509),YEAR($A3509)+IF(MONTH($A3509)&gt;=Setup!$B$6,1,0)))</f>
        <v/>
      </c>
      <c r="K3509" s="35" t="str">
        <f aca="false">IF($A3509="","",MOD(MONTH($A3509)-Setup!$B$6+12,12)+1)</f>
        <v/>
      </c>
      <c r="L3509" s="36" t="str">
        <f aca="false">IF($A3509="","",TEXT($A3509,"MMM-YY"))</f>
        <v/>
      </c>
      <c r="M3509" s="37" t="str">
        <f aca="false">IF($A3509="","",IF($Q3509=0,"UNMAPPED",INDEX(COA_Mapping!$C$7:$C$256,$Q3509)))</f>
        <v/>
      </c>
      <c r="N3509" s="38" t="str">
        <f aca="false">IF($A3509="","",IF($Q3509=0,"",INDEX(COA_Mapping!$E$7:$E$256,$Q3509)))</f>
        <v/>
      </c>
      <c r="O3509" s="38" t="n">
        <f aca="false">IF($A3509="",1,IF($Q3509=0,1,INDEX(COA_Mapping!$F$7:$F$256,$Q3509)))</f>
        <v>1</v>
      </c>
      <c r="P3509" s="34" t="str">
        <f aca="false">IF($A3509="","",$I3509*$O3509)</f>
        <v/>
      </c>
      <c r="Q3509" s="39" t="n">
        <f aca="false">IF($B3509="",0,IFERROR(MATCH($B3509,COA_Mapping!$A$7:$A$256,0),0))</f>
        <v>0</v>
      </c>
      <c r="R3509" s="39" t="n">
        <f aca="false">IF($A3509="",-1,IF($J3509=Setup!$B$7,1,IF($J3509=Setup!$B$9,0,-1)))</f>
        <v>-1</v>
      </c>
      <c r="S3509" s="35" t="n">
        <f aca="false">IF(OR($A3509="",$Q3509=0,$R3509=-1),0,$Q3509*1000+$R3509*100+$K3509)</f>
        <v>0</v>
      </c>
      <c r="T3509" s="37" t="str">
        <f aca="false">IF($A3509="","",IF($B3509="","NO ACCOUNT",IF($Q3509=0,"UNMAPPED",IF($R3509=-1,"OUTSIDE FY RANGE","OK"))))</f>
        <v/>
      </c>
      <c r="U3509" s="40" t="str">
        <f aca="false">IF($A3509="","",$B3509&amp;"|"&amp;TEXT($A3509,"yyyymmdd")&amp;"|"&amp;TEXT($I3509,"0.00"))</f>
        <v/>
      </c>
      <c r="V3509" s="35" t="str">
        <f aca="false">IF($A3509="","",COUNTIF($U$8:$U$5007,$U3509))</f>
        <v/>
      </c>
    </row>
    <row r="3510" customFormat="false" ht="15" hidden="false" customHeight="false" outlineLevel="0" collapsed="false">
      <c r="A3510" s="31"/>
      <c r="B3510" s="32"/>
      <c r="C3510" s="32"/>
      <c r="D3510" s="32"/>
      <c r="E3510" s="32"/>
      <c r="F3510" s="32"/>
      <c r="G3510" s="33"/>
      <c r="H3510" s="33"/>
      <c r="I3510" s="34" t="str">
        <f aca="false">IF($A3510="","",$G3510-$H3510)</f>
        <v/>
      </c>
      <c r="J3510" s="35" t="str">
        <f aca="false">IF($A3510="","",IF(Setup!$B$6=1,YEAR($A3510),YEAR($A3510)+IF(MONTH($A3510)&gt;=Setup!$B$6,1,0)))</f>
        <v/>
      </c>
      <c r="K3510" s="35" t="str">
        <f aca="false">IF($A3510="","",MOD(MONTH($A3510)-Setup!$B$6+12,12)+1)</f>
        <v/>
      </c>
      <c r="L3510" s="36" t="str">
        <f aca="false">IF($A3510="","",TEXT($A3510,"MMM-YY"))</f>
        <v/>
      </c>
      <c r="M3510" s="37" t="str">
        <f aca="false">IF($A3510="","",IF($Q3510=0,"UNMAPPED",INDEX(COA_Mapping!$C$7:$C$256,$Q3510)))</f>
        <v/>
      </c>
      <c r="N3510" s="38" t="str">
        <f aca="false">IF($A3510="","",IF($Q3510=0,"",INDEX(COA_Mapping!$E$7:$E$256,$Q3510)))</f>
        <v/>
      </c>
      <c r="O3510" s="38" t="n">
        <f aca="false">IF($A3510="",1,IF($Q3510=0,1,INDEX(COA_Mapping!$F$7:$F$256,$Q3510)))</f>
        <v>1</v>
      </c>
      <c r="P3510" s="34" t="str">
        <f aca="false">IF($A3510="","",$I3510*$O3510)</f>
        <v/>
      </c>
      <c r="Q3510" s="39" t="n">
        <f aca="false">IF($B3510="",0,IFERROR(MATCH($B3510,COA_Mapping!$A$7:$A$256,0),0))</f>
        <v>0</v>
      </c>
      <c r="R3510" s="39" t="n">
        <f aca="false">IF($A3510="",-1,IF($J3510=Setup!$B$7,1,IF($J3510=Setup!$B$9,0,-1)))</f>
        <v>-1</v>
      </c>
      <c r="S3510" s="35" t="n">
        <f aca="false">IF(OR($A3510="",$Q3510=0,$R3510=-1),0,$Q3510*1000+$R3510*100+$K3510)</f>
        <v>0</v>
      </c>
      <c r="T3510" s="37" t="str">
        <f aca="false">IF($A3510="","",IF($B3510="","NO ACCOUNT",IF($Q3510=0,"UNMAPPED",IF($R3510=-1,"OUTSIDE FY RANGE","OK"))))</f>
        <v/>
      </c>
      <c r="U3510" s="40" t="str">
        <f aca="false">IF($A3510="","",$B3510&amp;"|"&amp;TEXT($A3510,"yyyymmdd")&amp;"|"&amp;TEXT($I3510,"0.00"))</f>
        <v/>
      </c>
      <c r="V3510" s="35" t="str">
        <f aca="false">IF($A3510="","",COUNTIF($U$8:$U$5007,$U3510))</f>
        <v/>
      </c>
    </row>
    <row r="3511" customFormat="false" ht="15" hidden="false" customHeight="false" outlineLevel="0" collapsed="false">
      <c r="A3511" s="31"/>
      <c r="B3511" s="32"/>
      <c r="C3511" s="32"/>
      <c r="D3511" s="32"/>
      <c r="E3511" s="32"/>
      <c r="F3511" s="32"/>
      <c r="G3511" s="33"/>
      <c r="H3511" s="33"/>
      <c r="I3511" s="34" t="str">
        <f aca="false">IF($A3511="","",$G3511-$H3511)</f>
        <v/>
      </c>
      <c r="J3511" s="35" t="str">
        <f aca="false">IF($A3511="","",IF(Setup!$B$6=1,YEAR($A3511),YEAR($A3511)+IF(MONTH($A3511)&gt;=Setup!$B$6,1,0)))</f>
        <v/>
      </c>
      <c r="K3511" s="35" t="str">
        <f aca="false">IF($A3511="","",MOD(MONTH($A3511)-Setup!$B$6+12,12)+1)</f>
        <v/>
      </c>
      <c r="L3511" s="36" t="str">
        <f aca="false">IF($A3511="","",TEXT($A3511,"MMM-YY"))</f>
        <v/>
      </c>
      <c r="M3511" s="37" t="str">
        <f aca="false">IF($A3511="","",IF($Q3511=0,"UNMAPPED",INDEX(COA_Mapping!$C$7:$C$256,$Q3511)))</f>
        <v/>
      </c>
      <c r="N3511" s="38" t="str">
        <f aca="false">IF($A3511="","",IF($Q3511=0,"",INDEX(COA_Mapping!$E$7:$E$256,$Q3511)))</f>
        <v/>
      </c>
      <c r="O3511" s="38" t="n">
        <f aca="false">IF($A3511="",1,IF($Q3511=0,1,INDEX(COA_Mapping!$F$7:$F$256,$Q3511)))</f>
        <v>1</v>
      </c>
      <c r="P3511" s="34" t="str">
        <f aca="false">IF($A3511="","",$I3511*$O3511)</f>
        <v/>
      </c>
      <c r="Q3511" s="39" t="n">
        <f aca="false">IF($B3511="",0,IFERROR(MATCH($B3511,COA_Mapping!$A$7:$A$256,0),0))</f>
        <v>0</v>
      </c>
      <c r="R3511" s="39" t="n">
        <f aca="false">IF($A3511="",-1,IF($J3511=Setup!$B$7,1,IF($J3511=Setup!$B$9,0,-1)))</f>
        <v>-1</v>
      </c>
      <c r="S3511" s="35" t="n">
        <f aca="false">IF(OR($A3511="",$Q3511=0,$R3511=-1),0,$Q3511*1000+$R3511*100+$K3511)</f>
        <v>0</v>
      </c>
      <c r="T3511" s="37" t="str">
        <f aca="false">IF($A3511="","",IF($B3511="","NO ACCOUNT",IF($Q3511=0,"UNMAPPED",IF($R3511=-1,"OUTSIDE FY RANGE","OK"))))</f>
        <v/>
      </c>
      <c r="U3511" s="40" t="str">
        <f aca="false">IF($A3511="","",$B3511&amp;"|"&amp;TEXT($A3511,"yyyymmdd")&amp;"|"&amp;TEXT($I3511,"0.00"))</f>
        <v/>
      </c>
      <c r="V3511" s="35" t="str">
        <f aca="false">IF($A3511="","",COUNTIF($U$8:$U$5007,$U3511))</f>
        <v/>
      </c>
    </row>
    <row r="3512" customFormat="false" ht="15" hidden="false" customHeight="false" outlineLevel="0" collapsed="false">
      <c r="A3512" s="31"/>
      <c r="B3512" s="32"/>
      <c r="C3512" s="32"/>
      <c r="D3512" s="32"/>
      <c r="E3512" s="32"/>
      <c r="F3512" s="32"/>
      <c r="G3512" s="33"/>
      <c r="H3512" s="33"/>
      <c r="I3512" s="34" t="str">
        <f aca="false">IF($A3512="","",$G3512-$H3512)</f>
        <v/>
      </c>
      <c r="J3512" s="35" t="str">
        <f aca="false">IF($A3512="","",IF(Setup!$B$6=1,YEAR($A3512),YEAR($A3512)+IF(MONTH($A3512)&gt;=Setup!$B$6,1,0)))</f>
        <v/>
      </c>
      <c r="K3512" s="35" t="str">
        <f aca="false">IF($A3512="","",MOD(MONTH($A3512)-Setup!$B$6+12,12)+1)</f>
        <v/>
      </c>
      <c r="L3512" s="36" t="str">
        <f aca="false">IF($A3512="","",TEXT($A3512,"MMM-YY"))</f>
        <v/>
      </c>
      <c r="M3512" s="37" t="str">
        <f aca="false">IF($A3512="","",IF($Q3512=0,"UNMAPPED",INDEX(COA_Mapping!$C$7:$C$256,$Q3512)))</f>
        <v/>
      </c>
      <c r="N3512" s="38" t="str">
        <f aca="false">IF($A3512="","",IF($Q3512=0,"",INDEX(COA_Mapping!$E$7:$E$256,$Q3512)))</f>
        <v/>
      </c>
      <c r="O3512" s="38" t="n">
        <f aca="false">IF($A3512="",1,IF($Q3512=0,1,INDEX(COA_Mapping!$F$7:$F$256,$Q3512)))</f>
        <v>1</v>
      </c>
      <c r="P3512" s="34" t="str">
        <f aca="false">IF($A3512="","",$I3512*$O3512)</f>
        <v/>
      </c>
      <c r="Q3512" s="39" t="n">
        <f aca="false">IF($B3512="",0,IFERROR(MATCH($B3512,COA_Mapping!$A$7:$A$256,0),0))</f>
        <v>0</v>
      </c>
      <c r="R3512" s="39" t="n">
        <f aca="false">IF($A3512="",-1,IF($J3512=Setup!$B$7,1,IF($J3512=Setup!$B$9,0,-1)))</f>
        <v>-1</v>
      </c>
      <c r="S3512" s="35" t="n">
        <f aca="false">IF(OR($A3512="",$Q3512=0,$R3512=-1),0,$Q3512*1000+$R3512*100+$K3512)</f>
        <v>0</v>
      </c>
      <c r="T3512" s="37" t="str">
        <f aca="false">IF($A3512="","",IF($B3512="","NO ACCOUNT",IF($Q3512=0,"UNMAPPED",IF($R3512=-1,"OUTSIDE FY RANGE","OK"))))</f>
        <v/>
      </c>
      <c r="U3512" s="40" t="str">
        <f aca="false">IF($A3512="","",$B3512&amp;"|"&amp;TEXT($A3512,"yyyymmdd")&amp;"|"&amp;TEXT($I3512,"0.00"))</f>
        <v/>
      </c>
      <c r="V3512" s="35" t="str">
        <f aca="false">IF($A3512="","",COUNTIF($U$8:$U$5007,$U3512))</f>
        <v/>
      </c>
    </row>
    <row r="3513" customFormat="false" ht="15" hidden="false" customHeight="false" outlineLevel="0" collapsed="false">
      <c r="A3513" s="31"/>
      <c r="B3513" s="32"/>
      <c r="C3513" s="32"/>
      <c r="D3513" s="32"/>
      <c r="E3513" s="32"/>
      <c r="F3513" s="32"/>
      <c r="G3513" s="33"/>
      <c r="H3513" s="33"/>
      <c r="I3513" s="34" t="str">
        <f aca="false">IF($A3513="","",$G3513-$H3513)</f>
        <v/>
      </c>
      <c r="J3513" s="35" t="str">
        <f aca="false">IF($A3513="","",IF(Setup!$B$6=1,YEAR($A3513),YEAR($A3513)+IF(MONTH($A3513)&gt;=Setup!$B$6,1,0)))</f>
        <v/>
      </c>
      <c r="K3513" s="35" t="str">
        <f aca="false">IF($A3513="","",MOD(MONTH($A3513)-Setup!$B$6+12,12)+1)</f>
        <v/>
      </c>
      <c r="L3513" s="36" t="str">
        <f aca="false">IF($A3513="","",TEXT($A3513,"MMM-YY"))</f>
        <v/>
      </c>
      <c r="M3513" s="37" t="str">
        <f aca="false">IF($A3513="","",IF($Q3513=0,"UNMAPPED",INDEX(COA_Mapping!$C$7:$C$256,$Q3513)))</f>
        <v/>
      </c>
      <c r="N3513" s="38" t="str">
        <f aca="false">IF($A3513="","",IF($Q3513=0,"",INDEX(COA_Mapping!$E$7:$E$256,$Q3513)))</f>
        <v/>
      </c>
      <c r="O3513" s="38" t="n">
        <f aca="false">IF($A3513="",1,IF($Q3513=0,1,INDEX(COA_Mapping!$F$7:$F$256,$Q3513)))</f>
        <v>1</v>
      </c>
      <c r="P3513" s="34" t="str">
        <f aca="false">IF($A3513="","",$I3513*$O3513)</f>
        <v/>
      </c>
      <c r="Q3513" s="39" t="n">
        <f aca="false">IF($B3513="",0,IFERROR(MATCH($B3513,COA_Mapping!$A$7:$A$256,0),0))</f>
        <v>0</v>
      </c>
      <c r="R3513" s="39" t="n">
        <f aca="false">IF($A3513="",-1,IF($J3513=Setup!$B$7,1,IF($J3513=Setup!$B$9,0,-1)))</f>
        <v>-1</v>
      </c>
      <c r="S3513" s="35" t="n">
        <f aca="false">IF(OR($A3513="",$Q3513=0,$R3513=-1),0,$Q3513*1000+$R3513*100+$K3513)</f>
        <v>0</v>
      </c>
      <c r="T3513" s="37" t="str">
        <f aca="false">IF($A3513="","",IF($B3513="","NO ACCOUNT",IF($Q3513=0,"UNMAPPED",IF($R3513=-1,"OUTSIDE FY RANGE","OK"))))</f>
        <v/>
      </c>
      <c r="U3513" s="40" t="str">
        <f aca="false">IF($A3513="","",$B3513&amp;"|"&amp;TEXT($A3513,"yyyymmdd")&amp;"|"&amp;TEXT($I3513,"0.00"))</f>
        <v/>
      </c>
      <c r="V3513" s="35" t="str">
        <f aca="false">IF($A3513="","",COUNTIF($U$8:$U$5007,$U3513))</f>
        <v/>
      </c>
    </row>
    <row r="3514" customFormat="false" ht="15" hidden="false" customHeight="false" outlineLevel="0" collapsed="false">
      <c r="A3514" s="31"/>
      <c r="B3514" s="32"/>
      <c r="C3514" s="32"/>
      <c r="D3514" s="32"/>
      <c r="E3514" s="32"/>
      <c r="F3514" s="32"/>
      <c r="G3514" s="33"/>
      <c r="H3514" s="33"/>
      <c r="I3514" s="34" t="str">
        <f aca="false">IF($A3514="","",$G3514-$H3514)</f>
        <v/>
      </c>
      <c r="J3514" s="35" t="str">
        <f aca="false">IF($A3514="","",IF(Setup!$B$6=1,YEAR($A3514),YEAR($A3514)+IF(MONTH($A3514)&gt;=Setup!$B$6,1,0)))</f>
        <v/>
      </c>
      <c r="K3514" s="35" t="str">
        <f aca="false">IF($A3514="","",MOD(MONTH($A3514)-Setup!$B$6+12,12)+1)</f>
        <v/>
      </c>
      <c r="L3514" s="36" t="str">
        <f aca="false">IF($A3514="","",TEXT($A3514,"MMM-YY"))</f>
        <v/>
      </c>
      <c r="M3514" s="37" t="str">
        <f aca="false">IF($A3514="","",IF($Q3514=0,"UNMAPPED",INDEX(COA_Mapping!$C$7:$C$256,$Q3514)))</f>
        <v/>
      </c>
      <c r="N3514" s="38" t="str">
        <f aca="false">IF($A3514="","",IF($Q3514=0,"",INDEX(COA_Mapping!$E$7:$E$256,$Q3514)))</f>
        <v/>
      </c>
      <c r="O3514" s="38" t="n">
        <f aca="false">IF($A3514="",1,IF($Q3514=0,1,INDEX(COA_Mapping!$F$7:$F$256,$Q3514)))</f>
        <v>1</v>
      </c>
      <c r="P3514" s="34" t="str">
        <f aca="false">IF($A3514="","",$I3514*$O3514)</f>
        <v/>
      </c>
      <c r="Q3514" s="39" t="n">
        <f aca="false">IF($B3514="",0,IFERROR(MATCH($B3514,COA_Mapping!$A$7:$A$256,0),0))</f>
        <v>0</v>
      </c>
      <c r="R3514" s="39" t="n">
        <f aca="false">IF($A3514="",-1,IF($J3514=Setup!$B$7,1,IF($J3514=Setup!$B$9,0,-1)))</f>
        <v>-1</v>
      </c>
      <c r="S3514" s="35" t="n">
        <f aca="false">IF(OR($A3514="",$Q3514=0,$R3514=-1),0,$Q3514*1000+$R3514*100+$K3514)</f>
        <v>0</v>
      </c>
      <c r="T3514" s="37" t="str">
        <f aca="false">IF($A3514="","",IF($B3514="","NO ACCOUNT",IF($Q3514=0,"UNMAPPED",IF($R3514=-1,"OUTSIDE FY RANGE","OK"))))</f>
        <v/>
      </c>
      <c r="U3514" s="40" t="str">
        <f aca="false">IF($A3514="","",$B3514&amp;"|"&amp;TEXT($A3514,"yyyymmdd")&amp;"|"&amp;TEXT($I3514,"0.00"))</f>
        <v/>
      </c>
      <c r="V3514" s="35" t="str">
        <f aca="false">IF($A3514="","",COUNTIF($U$8:$U$5007,$U3514))</f>
        <v/>
      </c>
    </row>
    <row r="3515" customFormat="false" ht="15" hidden="false" customHeight="false" outlineLevel="0" collapsed="false">
      <c r="A3515" s="31"/>
      <c r="B3515" s="32"/>
      <c r="C3515" s="32"/>
      <c r="D3515" s="32"/>
      <c r="E3515" s="32"/>
      <c r="F3515" s="32"/>
      <c r="G3515" s="33"/>
      <c r="H3515" s="33"/>
      <c r="I3515" s="34" t="str">
        <f aca="false">IF($A3515="","",$G3515-$H3515)</f>
        <v/>
      </c>
      <c r="J3515" s="35" t="str">
        <f aca="false">IF($A3515="","",IF(Setup!$B$6=1,YEAR($A3515),YEAR($A3515)+IF(MONTH($A3515)&gt;=Setup!$B$6,1,0)))</f>
        <v/>
      </c>
      <c r="K3515" s="35" t="str">
        <f aca="false">IF($A3515="","",MOD(MONTH($A3515)-Setup!$B$6+12,12)+1)</f>
        <v/>
      </c>
      <c r="L3515" s="36" t="str">
        <f aca="false">IF($A3515="","",TEXT($A3515,"MMM-YY"))</f>
        <v/>
      </c>
      <c r="M3515" s="37" t="str">
        <f aca="false">IF($A3515="","",IF($Q3515=0,"UNMAPPED",INDEX(COA_Mapping!$C$7:$C$256,$Q3515)))</f>
        <v/>
      </c>
      <c r="N3515" s="38" t="str">
        <f aca="false">IF($A3515="","",IF($Q3515=0,"",INDEX(COA_Mapping!$E$7:$E$256,$Q3515)))</f>
        <v/>
      </c>
      <c r="O3515" s="38" t="n">
        <f aca="false">IF($A3515="",1,IF($Q3515=0,1,INDEX(COA_Mapping!$F$7:$F$256,$Q3515)))</f>
        <v>1</v>
      </c>
      <c r="P3515" s="34" t="str">
        <f aca="false">IF($A3515="","",$I3515*$O3515)</f>
        <v/>
      </c>
      <c r="Q3515" s="39" t="n">
        <f aca="false">IF($B3515="",0,IFERROR(MATCH($B3515,COA_Mapping!$A$7:$A$256,0),0))</f>
        <v>0</v>
      </c>
      <c r="R3515" s="39" t="n">
        <f aca="false">IF($A3515="",-1,IF($J3515=Setup!$B$7,1,IF($J3515=Setup!$B$9,0,-1)))</f>
        <v>-1</v>
      </c>
      <c r="S3515" s="35" t="n">
        <f aca="false">IF(OR($A3515="",$Q3515=0,$R3515=-1),0,$Q3515*1000+$R3515*100+$K3515)</f>
        <v>0</v>
      </c>
      <c r="T3515" s="37" t="str">
        <f aca="false">IF($A3515="","",IF($B3515="","NO ACCOUNT",IF($Q3515=0,"UNMAPPED",IF($R3515=-1,"OUTSIDE FY RANGE","OK"))))</f>
        <v/>
      </c>
      <c r="U3515" s="40" t="str">
        <f aca="false">IF($A3515="","",$B3515&amp;"|"&amp;TEXT($A3515,"yyyymmdd")&amp;"|"&amp;TEXT($I3515,"0.00"))</f>
        <v/>
      </c>
      <c r="V3515" s="35" t="str">
        <f aca="false">IF($A3515="","",COUNTIF($U$8:$U$5007,$U3515))</f>
        <v/>
      </c>
    </row>
    <row r="3516" customFormat="false" ht="15" hidden="false" customHeight="false" outlineLevel="0" collapsed="false">
      <c r="A3516" s="31"/>
      <c r="B3516" s="32"/>
      <c r="C3516" s="32"/>
      <c r="D3516" s="32"/>
      <c r="E3516" s="32"/>
      <c r="F3516" s="32"/>
      <c r="G3516" s="33"/>
      <c r="H3516" s="33"/>
      <c r="I3516" s="34" t="str">
        <f aca="false">IF($A3516="","",$G3516-$H3516)</f>
        <v/>
      </c>
      <c r="J3516" s="35" t="str">
        <f aca="false">IF($A3516="","",IF(Setup!$B$6=1,YEAR($A3516),YEAR($A3516)+IF(MONTH($A3516)&gt;=Setup!$B$6,1,0)))</f>
        <v/>
      </c>
      <c r="K3516" s="35" t="str">
        <f aca="false">IF($A3516="","",MOD(MONTH($A3516)-Setup!$B$6+12,12)+1)</f>
        <v/>
      </c>
      <c r="L3516" s="36" t="str">
        <f aca="false">IF($A3516="","",TEXT($A3516,"MMM-YY"))</f>
        <v/>
      </c>
      <c r="M3516" s="37" t="str">
        <f aca="false">IF($A3516="","",IF($Q3516=0,"UNMAPPED",INDEX(COA_Mapping!$C$7:$C$256,$Q3516)))</f>
        <v/>
      </c>
      <c r="N3516" s="38" t="str">
        <f aca="false">IF($A3516="","",IF($Q3516=0,"",INDEX(COA_Mapping!$E$7:$E$256,$Q3516)))</f>
        <v/>
      </c>
      <c r="O3516" s="38" t="n">
        <f aca="false">IF($A3516="",1,IF($Q3516=0,1,INDEX(COA_Mapping!$F$7:$F$256,$Q3516)))</f>
        <v>1</v>
      </c>
      <c r="P3516" s="34" t="str">
        <f aca="false">IF($A3516="","",$I3516*$O3516)</f>
        <v/>
      </c>
      <c r="Q3516" s="39" t="n">
        <f aca="false">IF($B3516="",0,IFERROR(MATCH($B3516,COA_Mapping!$A$7:$A$256,0),0))</f>
        <v>0</v>
      </c>
      <c r="R3516" s="39" t="n">
        <f aca="false">IF($A3516="",-1,IF($J3516=Setup!$B$7,1,IF($J3516=Setup!$B$9,0,-1)))</f>
        <v>-1</v>
      </c>
      <c r="S3516" s="35" t="n">
        <f aca="false">IF(OR($A3516="",$Q3516=0,$R3516=-1),0,$Q3516*1000+$R3516*100+$K3516)</f>
        <v>0</v>
      </c>
      <c r="T3516" s="37" t="str">
        <f aca="false">IF($A3516="","",IF($B3516="","NO ACCOUNT",IF($Q3516=0,"UNMAPPED",IF($R3516=-1,"OUTSIDE FY RANGE","OK"))))</f>
        <v/>
      </c>
      <c r="U3516" s="40" t="str">
        <f aca="false">IF($A3516="","",$B3516&amp;"|"&amp;TEXT($A3516,"yyyymmdd")&amp;"|"&amp;TEXT($I3516,"0.00"))</f>
        <v/>
      </c>
      <c r="V3516" s="35" t="str">
        <f aca="false">IF($A3516="","",COUNTIF($U$8:$U$5007,$U3516))</f>
        <v/>
      </c>
    </row>
    <row r="3517" customFormat="false" ht="15" hidden="false" customHeight="false" outlineLevel="0" collapsed="false">
      <c r="A3517" s="31"/>
      <c r="B3517" s="32"/>
      <c r="C3517" s="32"/>
      <c r="D3517" s="32"/>
      <c r="E3517" s="32"/>
      <c r="F3517" s="32"/>
      <c r="G3517" s="33"/>
      <c r="H3517" s="33"/>
      <c r="I3517" s="34" t="str">
        <f aca="false">IF($A3517="","",$G3517-$H3517)</f>
        <v/>
      </c>
      <c r="J3517" s="35" t="str">
        <f aca="false">IF($A3517="","",IF(Setup!$B$6=1,YEAR($A3517),YEAR($A3517)+IF(MONTH($A3517)&gt;=Setup!$B$6,1,0)))</f>
        <v/>
      </c>
      <c r="K3517" s="35" t="str">
        <f aca="false">IF($A3517="","",MOD(MONTH($A3517)-Setup!$B$6+12,12)+1)</f>
        <v/>
      </c>
      <c r="L3517" s="36" t="str">
        <f aca="false">IF($A3517="","",TEXT($A3517,"MMM-YY"))</f>
        <v/>
      </c>
      <c r="M3517" s="37" t="str">
        <f aca="false">IF($A3517="","",IF($Q3517=0,"UNMAPPED",INDEX(COA_Mapping!$C$7:$C$256,$Q3517)))</f>
        <v/>
      </c>
      <c r="N3517" s="38" t="str">
        <f aca="false">IF($A3517="","",IF($Q3517=0,"",INDEX(COA_Mapping!$E$7:$E$256,$Q3517)))</f>
        <v/>
      </c>
      <c r="O3517" s="38" t="n">
        <f aca="false">IF($A3517="",1,IF($Q3517=0,1,INDEX(COA_Mapping!$F$7:$F$256,$Q3517)))</f>
        <v>1</v>
      </c>
      <c r="P3517" s="34" t="str">
        <f aca="false">IF($A3517="","",$I3517*$O3517)</f>
        <v/>
      </c>
      <c r="Q3517" s="39" t="n">
        <f aca="false">IF($B3517="",0,IFERROR(MATCH($B3517,COA_Mapping!$A$7:$A$256,0),0))</f>
        <v>0</v>
      </c>
      <c r="R3517" s="39" t="n">
        <f aca="false">IF($A3517="",-1,IF($J3517=Setup!$B$7,1,IF($J3517=Setup!$B$9,0,-1)))</f>
        <v>-1</v>
      </c>
      <c r="S3517" s="35" t="n">
        <f aca="false">IF(OR($A3517="",$Q3517=0,$R3517=-1),0,$Q3517*1000+$R3517*100+$K3517)</f>
        <v>0</v>
      </c>
      <c r="T3517" s="37" t="str">
        <f aca="false">IF($A3517="","",IF($B3517="","NO ACCOUNT",IF($Q3517=0,"UNMAPPED",IF($R3517=-1,"OUTSIDE FY RANGE","OK"))))</f>
        <v/>
      </c>
      <c r="U3517" s="40" t="str">
        <f aca="false">IF($A3517="","",$B3517&amp;"|"&amp;TEXT($A3517,"yyyymmdd")&amp;"|"&amp;TEXT($I3517,"0.00"))</f>
        <v/>
      </c>
      <c r="V3517" s="35" t="str">
        <f aca="false">IF($A3517="","",COUNTIF($U$8:$U$5007,$U3517))</f>
        <v/>
      </c>
    </row>
    <row r="3518" customFormat="false" ht="15" hidden="false" customHeight="false" outlineLevel="0" collapsed="false">
      <c r="A3518" s="31"/>
      <c r="B3518" s="32"/>
      <c r="C3518" s="32"/>
      <c r="D3518" s="32"/>
      <c r="E3518" s="32"/>
      <c r="F3518" s="32"/>
      <c r="G3518" s="33"/>
      <c r="H3518" s="33"/>
      <c r="I3518" s="34" t="str">
        <f aca="false">IF($A3518="","",$G3518-$H3518)</f>
        <v/>
      </c>
      <c r="J3518" s="35" t="str">
        <f aca="false">IF($A3518="","",IF(Setup!$B$6=1,YEAR($A3518),YEAR($A3518)+IF(MONTH($A3518)&gt;=Setup!$B$6,1,0)))</f>
        <v/>
      </c>
      <c r="K3518" s="35" t="str">
        <f aca="false">IF($A3518="","",MOD(MONTH($A3518)-Setup!$B$6+12,12)+1)</f>
        <v/>
      </c>
      <c r="L3518" s="36" t="str">
        <f aca="false">IF($A3518="","",TEXT($A3518,"MMM-YY"))</f>
        <v/>
      </c>
      <c r="M3518" s="37" t="str">
        <f aca="false">IF($A3518="","",IF($Q3518=0,"UNMAPPED",INDEX(COA_Mapping!$C$7:$C$256,$Q3518)))</f>
        <v/>
      </c>
      <c r="N3518" s="38" t="str">
        <f aca="false">IF($A3518="","",IF($Q3518=0,"",INDEX(COA_Mapping!$E$7:$E$256,$Q3518)))</f>
        <v/>
      </c>
      <c r="O3518" s="38" t="n">
        <f aca="false">IF($A3518="",1,IF($Q3518=0,1,INDEX(COA_Mapping!$F$7:$F$256,$Q3518)))</f>
        <v>1</v>
      </c>
      <c r="P3518" s="34" t="str">
        <f aca="false">IF($A3518="","",$I3518*$O3518)</f>
        <v/>
      </c>
      <c r="Q3518" s="39" t="n">
        <f aca="false">IF($B3518="",0,IFERROR(MATCH($B3518,COA_Mapping!$A$7:$A$256,0),0))</f>
        <v>0</v>
      </c>
      <c r="R3518" s="39" t="n">
        <f aca="false">IF($A3518="",-1,IF($J3518=Setup!$B$7,1,IF($J3518=Setup!$B$9,0,-1)))</f>
        <v>-1</v>
      </c>
      <c r="S3518" s="35" t="n">
        <f aca="false">IF(OR($A3518="",$Q3518=0,$R3518=-1),0,$Q3518*1000+$R3518*100+$K3518)</f>
        <v>0</v>
      </c>
      <c r="T3518" s="37" t="str">
        <f aca="false">IF($A3518="","",IF($B3518="","NO ACCOUNT",IF($Q3518=0,"UNMAPPED",IF($R3518=-1,"OUTSIDE FY RANGE","OK"))))</f>
        <v/>
      </c>
      <c r="U3518" s="40" t="str">
        <f aca="false">IF($A3518="","",$B3518&amp;"|"&amp;TEXT($A3518,"yyyymmdd")&amp;"|"&amp;TEXT($I3518,"0.00"))</f>
        <v/>
      </c>
      <c r="V3518" s="35" t="str">
        <f aca="false">IF($A3518="","",COUNTIF($U$8:$U$5007,$U3518))</f>
        <v/>
      </c>
    </row>
    <row r="3519" customFormat="false" ht="15" hidden="false" customHeight="false" outlineLevel="0" collapsed="false">
      <c r="A3519" s="31"/>
      <c r="B3519" s="32"/>
      <c r="C3519" s="32"/>
      <c r="D3519" s="32"/>
      <c r="E3519" s="32"/>
      <c r="F3519" s="32"/>
      <c r="G3519" s="33"/>
      <c r="H3519" s="33"/>
      <c r="I3519" s="34" t="str">
        <f aca="false">IF($A3519="","",$G3519-$H3519)</f>
        <v/>
      </c>
      <c r="J3519" s="35" t="str">
        <f aca="false">IF($A3519="","",IF(Setup!$B$6=1,YEAR($A3519),YEAR($A3519)+IF(MONTH($A3519)&gt;=Setup!$B$6,1,0)))</f>
        <v/>
      </c>
      <c r="K3519" s="35" t="str">
        <f aca="false">IF($A3519="","",MOD(MONTH($A3519)-Setup!$B$6+12,12)+1)</f>
        <v/>
      </c>
      <c r="L3519" s="36" t="str">
        <f aca="false">IF($A3519="","",TEXT($A3519,"MMM-YY"))</f>
        <v/>
      </c>
      <c r="M3519" s="37" t="str">
        <f aca="false">IF($A3519="","",IF($Q3519=0,"UNMAPPED",INDEX(COA_Mapping!$C$7:$C$256,$Q3519)))</f>
        <v/>
      </c>
      <c r="N3519" s="38" t="str">
        <f aca="false">IF($A3519="","",IF($Q3519=0,"",INDEX(COA_Mapping!$E$7:$E$256,$Q3519)))</f>
        <v/>
      </c>
      <c r="O3519" s="38" t="n">
        <f aca="false">IF($A3519="",1,IF($Q3519=0,1,INDEX(COA_Mapping!$F$7:$F$256,$Q3519)))</f>
        <v>1</v>
      </c>
      <c r="P3519" s="34" t="str">
        <f aca="false">IF($A3519="","",$I3519*$O3519)</f>
        <v/>
      </c>
      <c r="Q3519" s="39" t="n">
        <f aca="false">IF($B3519="",0,IFERROR(MATCH($B3519,COA_Mapping!$A$7:$A$256,0),0))</f>
        <v>0</v>
      </c>
      <c r="R3519" s="39" t="n">
        <f aca="false">IF($A3519="",-1,IF($J3519=Setup!$B$7,1,IF($J3519=Setup!$B$9,0,-1)))</f>
        <v>-1</v>
      </c>
      <c r="S3519" s="35" t="n">
        <f aca="false">IF(OR($A3519="",$Q3519=0,$R3519=-1),0,$Q3519*1000+$R3519*100+$K3519)</f>
        <v>0</v>
      </c>
      <c r="T3519" s="37" t="str">
        <f aca="false">IF($A3519="","",IF($B3519="","NO ACCOUNT",IF($Q3519=0,"UNMAPPED",IF($R3519=-1,"OUTSIDE FY RANGE","OK"))))</f>
        <v/>
      </c>
      <c r="U3519" s="40" t="str">
        <f aca="false">IF($A3519="","",$B3519&amp;"|"&amp;TEXT($A3519,"yyyymmdd")&amp;"|"&amp;TEXT($I3519,"0.00"))</f>
        <v/>
      </c>
      <c r="V3519" s="35" t="str">
        <f aca="false">IF($A3519="","",COUNTIF($U$8:$U$5007,$U3519))</f>
        <v/>
      </c>
    </row>
    <row r="3520" customFormat="false" ht="15" hidden="false" customHeight="false" outlineLevel="0" collapsed="false">
      <c r="A3520" s="31"/>
      <c r="B3520" s="32"/>
      <c r="C3520" s="32"/>
      <c r="D3520" s="32"/>
      <c r="E3520" s="32"/>
      <c r="F3520" s="32"/>
      <c r="G3520" s="33"/>
      <c r="H3520" s="33"/>
      <c r="I3520" s="34" t="str">
        <f aca="false">IF($A3520="","",$G3520-$H3520)</f>
        <v/>
      </c>
      <c r="J3520" s="35" t="str">
        <f aca="false">IF($A3520="","",IF(Setup!$B$6=1,YEAR($A3520),YEAR($A3520)+IF(MONTH($A3520)&gt;=Setup!$B$6,1,0)))</f>
        <v/>
      </c>
      <c r="K3520" s="35" t="str">
        <f aca="false">IF($A3520="","",MOD(MONTH($A3520)-Setup!$B$6+12,12)+1)</f>
        <v/>
      </c>
      <c r="L3520" s="36" t="str">
        <f aca="false">IF($A3520="","",TEXT($A3520,"MMM-YY"))</f>
        <v/>
      </c>
      <c r="M3520" s="37" t="str">
        <f aca="false">IF($A3520="","",IF($Q3520=0,"UNMAPPED",INDEX(COA_Mapping!$C$7:$C$256,$Q3520)))</f>
        <v/>
      </c>
      <c r="N3520" s="38" t="str">
        <f aca="false">IF($A3520="","",IF($Q3520=0,"",INDEX(COA_Mapping!$E$7:$E$256,$Q3520)))</f>
        <v/>
      </c>
      <c r="O3520" s="38" t="n">
        <f aca="false">IF($A3520="",1,IF($Q3520=0,1,INDEX(COA_Mapping!$F$7:$F$256,$Q3520)))</f>
        <v>1</v>
      </c>
      <c r="P3520" s="34" t="str">
        <f aca="false">IF($A3520="","",$I3520*$O3520)</f>
        <v/>
      </c>
      <c r="Q3520" s="39" t="n">
        <f aca="false">IF($B3520="",0,IFERROR(MATCH($B3520,COA_Mapping!$A$7:$A$256,0),0))</f>
        <v>0</v>
      </c>
      <c r="R3520" s="39" t="n">
        <f aca="false">IF($A3520="",-1,IF($J3520=Setup!$B$7,1,IF($J3520=Setup!$B$9,0,-1)))</f>
        <v>-1</v>
      </c>
      <c r="S3520" s="35" t="n">
        <f aca="false">IF(OR($A3520="",$Q3520=0,$R3520=-1),0,$Q3520*1000+$R3520*100+$K3520)</f>
        <v>0</v>
      </c>
      <c r="T3520" s="37" t="str">
        <f aca="false">IF($A3520="","",IF($B3520="","NO ACCOUNT",IF($Q3520=0,"UNMAPPED",IF($R3520=-1,"OUTSIDE FY RANGE","OK"))))</f>
        <v/>
      </c>
      <c r="U3520" s="40" t="str">
        <f aca="false">IF($A3520="","",$B3520&amp;"|"&amp;TEXT($A3520,"yyyymmdd")&amp;"|"&amp;TEXT($I3520,"0.00"))</f>
        <v/>
      </c>
      <c r="V3520" s="35" t="str">
        <f aca="false">IF($A3520="","",COUNTIF($U$8:$U$5007,$U3520))</f>
        <v/>
      </c>
    </row>
    <row r="3521" customFormat="false" ht="15" hidden="false" customHeight="false" outlineLevel="0" collapsed="false">
      <c r="A3521" s="31"/>
      <c r="B3521" s="32"/>
      <c r="C3521" s="32"/>
      <c r="D3521" s="32"/>
      <c r="E3521" s="32"/>
      <c r="F3521" s="32"/>
      <c r="G3521" s="33"/>
      <c r="H3521" s="33"/>
      <c r="I3521" s="34" t="str">
        <f aca="false">IF($A3521="","",$G3521-$H3521)</f>
        <v/>
      </c>
      <c r="J3521" s="35" t="str">
        <f aca="false">IF($A3521="","",IF(Setup!$B$6=1,YEAR($A3521),YEAR($A3521)+IF(MONTH($A3521)&gt;=Setup!$B$6,1,0)))</f>
        <v/>
      </c>
      <c r="K3521" s="35" t="str">
        <f aca="false">IF($A3521="","",MOD(MONTH($A3521)-Setup!$B$6+12,12)+1)</f>
        <v/>
      </c>
      <c r="L3521" s="36" t="str">
        <f aca="false">IF($A3521="","",TEXT($A3521,"MMM-YY"))</f>
        <v/>
      </c>
      <c r="M3521" s="37" t="str">
        <f aca="false">IF($A3521="","",IF($Q3521=0,"UNMAPPED",INDEX(COA_Mapping!$C$7:$C$256,$Q3521)))</f>
        <v/>
      </c>
      <c r="N3521" s="38" t="str">
        <f aca="false">IF($A3521="","",IF($Q3521=0,"",INDEX(COA_Mapping!$E$7:$E$256,$Q3521)))</f>
        <v/>
      </c>
      <c r="O3521" s="38" t="n">
        <f aca="false">IF($A3521="",1,IF($Q3521=0,1,INDEX(COA_Mapping!$F$7:$F$256,$Q3521)))</f>
        <v>1</v>
      </c>
      <c r="P3521" s="34" t="str">
        <f aca="false">IF($A3521="","",$I3521*$O3521)</f>
        <v/>
      </c>
      <c r="Q3521" s="39" t="n">
        <f aca="false">IF($B3521="",0,IFERROR(MATCH($B3521,COA_Mapping!$A$7:$A$256,0),0))</f>
        <v>0</v>
      </c>
      <c r="R3521" s="39" t="n">
        <f aca="false">IF($A3521="",-1,IF($J3521=Setup!$B$7,1,IF($J3521=Setup!$B$9,0,-1)))</f>
        <v>-1</v>
      </c>
      <c r="S3521" s="35" t="n">
        <f aca="false">IF(OR($A3521="",$Q3521=0,$R3521=-1),0,$Q3521*1000+$R3521*100+$K3521)</f>
        <v>0</v>
      </c>
      <c r="T3521" s="37" t="str">
        <f aca="false">IF($A3521="","",IF($B3521="","NO ACCOUNT",IF($Q3521=0,"UNMAPPED",IF($R3521=-1,"OUTSIDE FY RANGE","OK"))))</f>
        <v/>
      </c>
      <c r="U3521" s="40" t="str">
        <f aca="false">IF($A3521="","",$B3521&amp;"|"&amp;TEXT($A3521,"yyyymmdd")&amp;"|"&amp;TEXT($I3521,"0.00"))</f>
        <v/>
      </c>
      <c r="V3521" s="35" t="str">
        <f aca="false">IF($A3521="","",COUNTIF($U$8:$U$5007,$U3521))</f>
        <v/>
      </c>
    </row>
    <row r="3522" customFormat="false" ht="15" hidden="false" customHeight="false" outlineLevel="0" collapsed="false">
      <c r="A3522" s="31"/>
      <c r="B3522" s="32"/>
      <c r="C3522" s="32"/>
      <c r="D3522" s="32"/>
      <c r="E3522" s="32"/>
      <c r="F3522" s="32"/>
      <c r="G3522" s="33"/>
      <c r="H3522" s="33"/>
      <c r="I3522" s="34" t="str">
        <f aca="false">IF($A3522="","",$G3522-$H3522)</f>
        <v/>
      </c>
      <c r="J3522" s="35" t="str">
        <f aca="false">IF($A3522="","",IF(Setup!$B$6=1,YEAR($A3522),YEAR($A3522)+IF(MONTH($A3522)&gt;=Setup!$B$6,1,0)))</f>
        <v/>
      </c>
      <c r="K3522" s="35" t="str">
        <f aca="false">IF($A3522="","",MOD(MONTH($A3522)-Setup!$B$6+12,12)+1)</f>
        <v/>
      </c>
      <c r="L3522" s="36" t="str">
        <f aca="false">IF($A3522="","",TEXT($A3522,"MMM-YY"))</f>
        <v/>
      </c>
      <c r="M3522" s="37" t="str">
        <f aca="false">IF($A3522="","",IF($Q3522=0,"UNMAPPED",INDEX(COA_Mapping!$C$7:$C$256,$Q3522)))</f>
        <v/>
      </c>
      <c r="N3522" s="38" t="str">
        <f aca="false">IF($A3522="","",IF($Q3522=0,"",INDEX(COA_Mapping!$E$7:$E$256,$Q3522)))</f>
        <v/>
      </c>
      <c r="O3522" s="38" t="n">
        <f aca="false">IF($A3522="",1,IF($Q3522=0,1,INDEX(COA_Mapping!$F$7:$F$256,$Q3522)))</f>
        <v>1</v>
      </c>
      <c r="P3522" s="34" t="str">
        <f aca="false">IF($A3522="","",$I3522*$O3522)</f>
        <v/>
      </c>
      <c r="Q3522" s="39" t="n">
        <f aca="false">IF($B3522="",0,IFERROR(MATCH($B3522,COA_Mapping!$A$7:$A$256,0),0))</f>
        <v>0</v>
      </c>
      <c r="R3522" s="39" t="n">
        <f aca="false">IF($A3522="",-1,IF($J3522=Setup!$B$7,1,IF($J3522=Setup!$B$9,0,-1)))</f>
        <v>-1</v>
      </c>
      <c r="S3522" s="35" t="n">
        <f aca="false">IF(OR($A3522="",$Q3522=0,$R3522=-1),0,$Q3522*1000+$R3522*100+$K3522)</f>
        <v>0</v>
      </c>
      <c r="T3522" s="37" t="str">
        <f aca="false">IF($A3522="","",IF($B3522="","NO ACCOUNT",IF($Q3522=0,"UNMAPPED",IF($R3522=-1,"OUTSIDE FY RANGE","OK"))))</f>
        <v/>
      </c>
      <c r="U3522" s="40" t="str">
        <f aca="false">IF($A3522="","",$B3522&amp;"|"&amp;TEXT($A3522,"yyyymmdd")&amp;"|"&amp;TEXT($I3522,"0.00"))</f>
        <v/>
      </c>
      <c r="V3522" s="35" t="str">
        <f aca="false">IF($A3522="","",COUNTIF($U$8:$U$5007,$U3522))</f>
        <v/>
      </c>
    </row>
    <row r="3523" customFormat="false" ht="15" hidden="false" customHeight="false" outlineLevel="0" collapsed="false">
      <c r="A3523" s="31"/>
      <c r="B3523" s="32"/>
      <c r="C3523" s="32"/>
      <c r="D3523" s="32"/>
      <c r="E3523" s="32"/>
      <c r="F3523" s="32"/>
      <c r="G3523" s="33"/>
      <c r="H3523" s="33"/>
      <c r="I3523" s="34" t="str">
        <f aca="false">IF($A3523="","",$G3523-$H3523)</f>
        <v/>
      </c>
      <c r="J3523" s="35" t="str">
        <f aca="false">IF($A3523="","",IF(Setup!$B$6=1,YEAR($A3523),YEAR($A3523)+IF(MONTH($A3523)&gt;=Setup!$B$6,1,0)))</f>
        <v/>
      </c>
      <c r="K3523" s="35" t="str">
        <f aca="false">IF($A3523="","",MOD(MONTH($A3523)-Setup!$B$6+12,12)+1)</f>
        <v/>
      </c>
      <c r="L3523" s="36" t="str">
        <f aca="false">IF($A3523="","",TEXT($A3523,"MMM-YY"))</f>
        <v/>
      </c>
      <c r="M3523" s="37" t="str">
        <f aca="false">IF($A3523="","",IF($Q3523=0,"UNMAPPED",INDEX(COA_Mapping!$C$7:$C$256,$Q3523)))</f>
        <v/>
      </c>
      <c r="N3523" s="38" t="str">
        <f aca="false">IF($A3523="","",IF($Q3523=0,"",INDEX(COA_Mapping!$E$7:$E$256,$Q3523)))</f>
        <v/>
      </c>
      <c r="O3523" s="38" t="n">
        <f aca="false">IF($A3523="",1,IF($Q3523=0,1,INDEX(COA_Mapping!$F$7:$F$256,$Q3523)))</f>
        <v>1</v>
      </c>
      <c r="P3523" s="34" t="str">
        <f aca="false">IF($A3523="","",$I3523*$O3523)</f>
        <v/>
      </c>
      <c r="Q3523" s="39" t="n">
        <f aca="false">IF($B3523="",0,IFERROR(MATCH($B3523,COA_Mapping!$A$7:$A$256,0),0))</f>
        <v>0</v>
      </c>
      <c r="R3523" s="39" t="n">
        <f aca="false">IF($A3523="",-1,IF($J3523=Setup!$B$7,1,IF($J3523=Setup!$B$9,0,-1)))</f>
        <v>-1</v>
      </c>
      <c r="S3523" s="35" t="n">
        <f aca="false">IF(OR($A3523="",$Q3523=0,$R3523=-1),0,$Q3523*1000+$R3523*100+$K3523)</f>
        <v>0</v>
      </c>
      <c r="T3523" s="37" t="str">
        <f aca="false">IF($A3523="","",IF($B3523="","NO ACCOUNT",IF($Q3523=0,"UNMAPPED",IF($R3523=-1,"OUTSIDE FY RANGE","OK"))))</f>
        <v/>
      </c>
      <c r="U3523" s="40" t="str">
        <f aca="false">IF($A3523="","",$B3523&amp;"|"&amp;TEXT($A3523,"yyyymmdd")&amp;"|"&amp;TEXT($I3523,"0.00"))</f>
        <v/>
      </c>
      <c r="V3523" s="35" t="str">
        <f aca="false">IF($A3523="","",COUNTIF($U$8:$U$5007,$U3523))</f>
        <v/>
      </c>
    </row>
    <row r="3524" customFormat="false" ht="15" hidden="false" customHeight="false" outlineLevel="0" collapsed="false">
      <c r="A3524" s="31"/>
      <c r="B3524" s="32"/>
      <c r="C3524" s="32"/>
      <c r="D3524" s="32"/>
      <c r="E3524" s="32"/>
      <c r="F3524" s="32"/>
      <c r="G3524" s="33"/>
      <c r="H3524" s="33"/>
      <c r="I3524" s="34" t="str">
        <f aca="false">IF($A3524="","",$G3524-$H3524)</f>
        <v/>
      </c>
      <c r="J3524" s="35" t="str">
        <f aca="false">IF($A3524="","",IF(Setup!$B$6=1,YEAR($A3524),YEAR($A3524)+IF(MONTH($A3524)&gt;=Setup!$B$6,1,0)))</f>
        <v/>
      </c>
      <c r="K3524" s="35" t="str">
        <f aca="false">IF($A3524="","",MOD(MONTH($A3524)-Setup!$B$6+12,12)+1)</f>
        <v/>
      </c>
      <c r="L3524" s="36" t="str">
        <f aca="false">IF($A3524="","",TEXT($A3524,"MMM-YY"))</f>
        <v/>
      </c>
      <c r="M3524" s="37" t="str">
        <f aca="false">IF($A3524="","",IF($Q3524=0,"UNMAPPED",INDEX(COA_Mapping!$C$7:$C$256,$Q3524)))</f>
        <v/>
      </c>
      <c r="N3524" s="38" t="str">
        <f aca="false">IF($A3524="","",IF($Q3524=0,"",INDEX(COA_Mapping!$E$7:$E$256,$Q3524)))</f>
        <v/>
      </c>
      <c r="O3524" s="38" t="n">
        <f aca="false">IF($A3524="",1,IF($Q3524=0,1,INDEX(COA_Mapping!$F$7:$F$256,$Q3524)))</f>
        <v>1</v>
      </c>
      <c r="P3524" s="34" t="str">
        <f aca="false">IF($A3524="","",$I3524*$O3524)</f>
        <v/>
      </c>
      <c r="Q3524" s="39" t="n">
        <f aca="false">IF($B3524="",0,IFERROR(MATCH($B3524,COA_Mapping!$A$7:$A$256,0),0))</f>
        <v>0</v>
      </c>
      <c r="R3524" s="39" t="n">
        <f aca="false">IF($A3524="",-1,IF($J3524=Setup!$B$7,1,IF($J3524=Setup!$B$9,0,-1)))</f>
        <v>-1</v>
      </c>
      <c r="S3524" s="35" t="n">
        <f aca="false">IF(OR($A3524="",$Q3524=0,$R3524=-1),0,$Q3524*1000+$R3524*100+$K3524)</f>
        <v>0</v>
      </c>
      <c r="T3524" s="37" t="str">
        <f aca="false">IF($A3524="","",IF($B3524="","NO ACCOUNT",IF($Q3524=0,"UNMAPPED",IF($R3524=-1,"OUTSIDE FY RANGE","OK"))))</f>
        <v/>
      </c>
      <c r="U3524" s="40" t="str">
        <f aca="false">IF($A3524="","",$B3524&amp;"|"&amp;TEXT($A3524,"yyyymmdd")&amp;"|"&amp;TEXT($I3524,"0.00"))</f>
        <v/>
      </c>
      <c r="V3524" s="35" t="str">
        <f aca="false">IF($A3524="","",COUNTIF($U$8:$U$5007,$U3524))</f>
        <v/>
      </c>
    </row>
    <row r="3525" customFormat="false" ht="15" hidden="false" customHeight="false" outlineLevel="0" collapsed="false">
      <c r="A3525" s="31"/>
      <c r="B3525" s="32"/>
      <c r="C3525" s="32"/>
      <c r="D3525" s="32"/>
      <c r="E3525" s="32"/>
      <c r="F3525" s="32"/>
      <c r="G3525" s="33"/>
      <c r="H3525" s="33"/>
      <c r="I3525" s="34" t="str">
        <f aca="false">IF($A3525="","",$G3525-$H3525)</f>
        <v/>
      </c>
      <c r="J3525" s="35" t="str">
        <f aca="false">IF($A3525="","",IF(Setup!$B$6=1,YEAR($A3525),YEAR($A3525)+IF(MONTH($A3525)&gt;=Setup!$B$6,1,0)))</f>
        <v/>
      </c>
      <c r="K3525" s="35" t="str">
        <f aca="false">IF($A3525="","",MOD(MONTH($A3525)-Setup!$B$6+12,12)+1)</f>
        <v/>
      </c>
      <c r="L3525" s="36" t="str">
        <f aca="false">IF($A3525="","",TEXT($A3525,"MMM-YY"))</f>
        <v/>
      </c>
      <c r="M3525" s="37" t="str">
        <f aca="false">IF($A3525="","",IF($Q3525=0,"UNMAPPED",INDEX(COA_Mapping!$C$7:$C$256,$Q3525)))</f>
        <v/>
      </c>
      <c r="N3525" s="38" t="str">
        <f aca="false">IF($A3525="","",IF($Q3525=0,"",INDEX(COA_Mapping!$E$7:$E$256,$Q3525)))</f>
        <v/>
      </c>
      <c r="O3525" s="38" t="n">
        <f aca="false">IF($A3525="",1,IF($Q3525=0,1,INDEX(COA_Mapping!$F$7:$F$256,$Q3525)))</f>
        <v>1</v>
      </c>
      <c r="P3525" s="34" t="str">
        <f aca="false">IF($A3525="","",$I3525*$O3525)</f>
        <v/>
      </c>
      <c r="Q3525" s="39" t="n">
        <f aca="false">IF($B3525="",0,IFERROR(MATCH($B3525,COA_Mapping!$A$7:$A$256,0),0))</f>
        <v>0</v>
      </c>
      <c r="R3525" s="39" t="n">
        <f aca="false">IF($A3525="",-1,IF($J3525=Setup!$B$7,1,IF($J3525=Setup!$B$9,0,-1)))</f>
        <v>-1</v>
      </c>
      <c r="S3525" s="35" t="n">
        <f aca="false">IF(OR($A3525="",$Q3525=0,$R3525=-1),0,$Q3525*1000+$R3525*100+$K3525)</f>
        <v>0</v>
      </c>
      <c r="T3525" s="37" t="str">
        <f aca="false">IF($A3525="","",IF($B3525="","NO ACCOUNT",IF($Q3525=0,"UNMAPPED",IF($R3525=-1,"OUTSIDE FY RANGE","OK"))))</f>
        <v/>
      </c>
      <c r="U3525" s="40" t="str">
        <f aca="false">IF($A3525="","",$B3525&amp;"|"&amp;TEXT($A3525,"yyyymmdd")&amp;"|"&amp;TEXT($I3525,"0.00"))</f>
        <v/>
      </c>
      <c r="V3525" s="35" t="str">
        <f aca="false">IF($A3525="","",COUNTIF($U$8:$U$5007,$U3525))</f>
        <v/>
      </c>
    </row>
    <row r="3526" customFormat="false" ht="15" hidden="false" customHeight="false" outlineLevel="0" collapsed="false">
      <c r="A3526" s="31"/>
      <c r="B3526" s="32"/>
      <c r="C3526" s="32"/>
      <c r="D3526" s="32"/>
      <c r="E3526" s="32"/>
      <c r="F3526" s="32"/>
      <c r="G3526" s="33"/>
      <c r="H3526" s="33"/>
      <c r="I3526" s="34" t="str">
        <f aca="false">IF($A3526="","",$G3526-$H3526)</f>
        <v/>
      </c>
      <c r="J3526" s="35" t="str">
        <f aca="false">IF($A3526="","",IF(Setup!$B$6=1,YEAR($A3526),YEAR($A3526)+IF(MONTH($A3526)&gt;=Setup!$B$6,1,0)))</f>
        <v/>
      </c>
      <c r="K3526" s="35" t="str">
        <f aca="false">IF($A3526="","",MOD(MONTH($A3526)-Setup!$B$6+12,12)+1)</f>
        <v/>
      </c>
      <c r="L3526" s="36" t="str">
        <f aca="false">IF($A3526="","",TEXT($A3526,"MMM-YY"))</f>
        <v/>
      </c>
      <c r="M3526" s="37" t="str">
        <f aca="false">IF($A3526="","",IF($Q3526=0,"UNMAPPED",INDEX(COA_Mapping!$C$7:$C$256,$Q3526)))</f>
        <v/>
      </c>
      <c r="N3526" s="38" t="str">
        <f aca="false">IF($A3526="","",IF($Q3526=0,"",INDEX(COA_Mapping!$E$7:$E$256,$Q3526)))</f>
        <v/>
      </c>
      <c r="O3526" s="38" t="n">
        <f aca="false">IF($A3526="",1,IF($Q3526=0,1,INDEX(COA_Mapping!$F$7:$F$256,$Q3526)))</f>
        <v>1</v>
      </c>
      <c r="P3526" s="34" t="str">
        <f aca="false">IF($A3526="","",$I3526*$O3526)</f>
        <v/>
      </c>
      <c r="Q3526" s="39" t="n">
        <f aca="false">IF($B3526="",0,IFERROR(MATCH($B3526,COA_Mapping!$A$7:$A$256,0),0))</f>
        <v>0</v>
      </c>
      <c r="R3526" s="39" t="n">
        <f aca="false">IF($A3526="",-1,IF($J3526=Setup!$B$7,1,IF($J3526=Setup!$B$9,0,-1)))</f>
        <v>-1</v>
      </c>
      <c r="S3526" s="35" t="n">
        <f aca="false">IF(OR($A3526="",$Q3526=0,$R3526=-1),0,$Q3526*1000+$R3526*100+$K3526)</f>
        <v>0</v>
      </c>
      <c r="T3526" s="37" t="str">
        <f aca="false">IF($A3526="","",IF($B3526="","NO ACCOUNT",IF($Q3526=0,"UNMAPPED",IF($R3526=-1,"OUTSIDE FY RANGE","OK"))))</f>
        <v/>
      </c>
      <c r="U3526" s="40" t="str">
        <f aca="false">IF($A3526="","",$B3526&amp;"|"&amp;TEXT($A3526,"yyyymmdd")&amp;"|"&amp;TEXT($I3526,"0.00"))</f>
        <v/>
      </c>
      <c r="V3526" s="35" t="str">
        <f aca="false">IF($A3526="","",COUNTIF($U$8:$U$5007,$U3526))</f>
        <v/>
      </c>
    </row>
    <row r="3527" customFormat="false" ht="15" hidden="false" customHeight="false" outlineLevel="0" collapsed="false">
      <c r="A3527" s="31"/>
      <c r="B3527" s="32"/>
      <c r="C3527" s="32"/>
      <c r="D3527" s="32"/>
      <c r="E3527" s="32"/>
      <c r="F3527" s="32"/>
      <c r="G3527" s="33"/>
      <c r="H3527" s="33"/>
      <c r="I3527" s="34" t="str">
        <f aca="false">IF($A3527="","",$G3527-$H3527)</f>
        <v/>
      </c>
      <c r="J3527" s="35" t="str">
        <f aca="false">IF($A3527="","",IF(Setup!$B$6=1,YEAR($A3527),YEAR($A3527)+IF(MONTH($A3527)&gt;=Setup!$B$6,1,0)))</f>
        <v/>
      </c>
      <c r="K3527" s="35" t="str">
        <f aca="false">IF($A3527="","",MOD(MONTH($A3527)-Setup!$B$6+12,12)+1)</f>
        <v/>
      </c>
      <c r="L3527" s="36" t="str">
        <f aca="false">IF($A3527="","",TEXT($A3527,"MMM-YY"))</f>
        <v/>
      </c>
      <c r="M3527" s="37" t="str">
        <f aca="false">IF($A3527="","",IF($Q3527=0,"UNMAPPED",INDEX(COA_Mapping!$C$7:$C$256,$Q3527)))</f>
        <v/>
      </c>
      <c r="N3527" s="38" t="str">
        <f aca="false">IF($A3527="","",IF($Q3527=0,"",INDEX(COA_Mapping!$E$7:$E$256,$Q3527)))</f>
        <v/>
      </c>
      <c r="O3527" s="38" t="n">
        <f aca="false">IF($A3527="",1,IF($Q3527=0,1,INDEX(COA_Mapping!$F$7:$F$256,$Q3527)))</f>
        <v>1</v>
      </c>
      <c r="P3527" s="34" t="str">
        <f aca="false">IF($A3527="","",$I3527*$O3527)</f>
        <v/>
      </c>
      <c r="Q3527" s="39" t="n">
        <f aca="false">IF($B3527="",0,IFERROR(MATCH($B3527,COA_Mapping!$A$7:$A$256,0),0))</f>
        <v>0</v>
      </c>
      <c r="R3527" s="39" t="n">
        <f aca="false">IF($A3527="",-1,IF($J3527=Setup!$B$7,1,IF($J3527=Setup!$B$9,0,-1)))</f>
        <v>-1</v>
      </c>
      <c r="S3527" s="35" t="n">
        <f aca="false">IF(OR($A3527="",$Q3527=0,$R3527=-1),0,$Q3527*1000+$R3527*100+$K3527)</f>
        <v>0</v>
      </c>
      <c r="T3527" s="37" t="str">
        <f aca="false">IF($A3527="","",IF($B3527="","NO ACCOUNT",IF($Q3527=0,"UNMAPPED",IF($R3527=-1,"OUTSIDE FY RANGE","OK"))))</f>
        <v/>
      </c>
      <c r="U3527" s="40" t="str">
        <f aca="false">IF($A3527="","",$B3527&amp;"|"&amp;TEXT($A3527,"yyyymmdd")&amp;"|"&amp;TEXT($I3527,"0.00"))</f>
        <v/>
      </c>
      <c r="V3527" s="35" t="str">
        <f aca="false">IF($A3527="","",COUNTIF($U$8:$U$5007,$U3527))</f>
        <v/>
      </c>
    </row>
    <row r="3528" customFormat="false" ht="15" hidden="false" customHeight="false" outlineLevel="0" collapsed="false">
      <c r="A3528" s="31"/>
      <c r="B3528" s="32"/>
      <c r="C3528" s="32"/>
      <c r="D3528" s="32"/>
      <c r="E3528" s="32"/>
      <c r="F3528" s="32"/>
      <c r="G3528" s="33"/>
      <c r="H3528" s="33"/>
      <c r="I3528" s="34" t="str">
        <f aca="false">IF($A3528="","",$G3528-$H3528)</f>
        <v/>
      </c>
      <c r="J3528" s="35" t="str">
        <f aca="false">IF($A3528="","",IF(Setup!$B$6=1,YEAR($A3528),YEAR($A3528)+IF(MONTH($A3528)&gt;=Setup!$B$6,1,0)))</f>
        <v/>
      </c>
      <c r="K3528" s="35" t="str">
        <f aca="false">IF($A3528="","",MOD(MONTH($A3528)-Setup!$B$6+12,12)+1)</f>
        <v/>
      </c>
      <c r="L3528" s="36" t="str">
        <f aca="false">IF($A3528="","",TEXT($A3528,"MMM-YY"))</f>
        <v/>
      </c>
      <c r="M3528" s="37" t="str">
        <f aca="false">IF($A3528="","",IF($Q3528=0,"UNMAPPED",INDEX(COA_Mapping!$C$7:$C$256,$Q3528)))</f>
        <v/>
      </c>
      <c r="N3528" s="38" t="str">
        <f aca="false">IF($A3528="","",IF($Q3528=0,"",INDEX(COA_Mapping!$E$7:$E$256,$Q3528)))</f>
        <v/>
      </c>
      <c r="O3528" s="38" t="n">
        <f aca="false">IF($A3528="",1,IF($Q3528=0,1,INDEX(COA_Mapping!$F$7:$F$256,$Q3528)))</f>
        <v>1</v>
      </c>
      <c r="P3528" s="34" t="str">
        <f aca="false">IF($A3528="","",$I3528*$O3528)</f>
        <v/>
      </c>
      <c r="Q3528" s="39" t="n">
        <f aca="false">IF($B3528="",0,IFERROR(MATCH($B3528,COA_Mapping!$A$7:$A$256,0),0))</f>
        <v>0</v>
      </c>
      <c r="R3528" s="39" t="n">
        <f aca="false">IF($A3528="",-1,IF($J3528=Setup!$B$7,1,IF($J3528=Setup!$B$9,0,-1)))</f>
        <v>-1</v>
      </c>
      <c r="S3528" s="35" t="n">
        <f aca="false">IF(OR($A3528="",$Q3528=0,$R3528=-1),0,$Q3528*1000+$R3528*100+$K3528)</f>
        <v>0</v>
      </c>
      <c r="T3528" s="37" t="str">
        <f aca="false">IF($A3528="","",IF($B3528="","NO ACCOUNT",IF($Q3528=0,"UNMAPPED",IF($R3528=-1,"OUTSIDE FY RANGE","OK"))))</f>
        <v/>
      </c>
      <c r="U3528" s="40" t="str">
        <f aca="false">IF($A3528="","",$B3528&amp;"|"&amp;TEXT($A3528,"yyyymmdd")&amp;"|"&amp;TEXT($I3528,"0.00"))</f>
        <v/>
      </c>
      <c r="V3528" s="35" t="str">
        <f aca="false">IF($A3528="","",COUNTIF($U$8:$U$5007,$U3528))</f>
        <v/>
      </c>
    </row>
    <row r="3529" customFormat="false" ht="15" hidden="false" customHeight="false" outlineLevel="0" collapsed="false">
      <c r="A3529" s="31"/>
      <c r="B3529" s="32"/>
      <c r="C3529" s="32"/>
      <c r="D3529" s="32"/>
      <c r="E3529" s="32"/>
      <c r="F3529" s="32"/>
      <c r="G3529" s="33"/>
      <c r="H3529" s="33"/>
      <c r="I3529" s="34" t="str">
        <f aca="false">IF($A3529="","",$G3529-$H3529)</f>
        <v/>
      </c>
      <c r="J3529" s="35" t="str">
        <f aca="false">IF($A3529="","",IF(Setup!$B$6=1,YEAR($A3529),YEAR($A3529)+IF(MONTH($A3529)&gt;=Setup!$B$6,1,0)))</f>
        <v/>
      </c>
      <c r="K3529" s="35" t="str">
        <f aca="false">IF($A3529="","",MOD(MONTH($A3529)-Setup!$B$6+12,12)+1)</f>
        <v/>
      </c>
      <c r="L3529" s="36" t="str">
        <f aca="false">IF($A3529="","",TEXT($A3529,"MMM-YY"))</f>
        <v/>
      </c>
      <c r="M3529" s="37" t="str">
        <f aca="false">IF($A3529="","",IF($Q3529=0,"UNMAPPED",INDEX(COA_Mapping!$C$7:$C$256,$Q3529)))</f>
        <v/>
      </c>
      <c r="N3529" s="38" t="str">
        <f aca="false">IF($A3529="","",IF($Q3529=0,"",INDEX(COA_Mapping!$E$7:$E$256,$Q3529)))</f>
        <v/>
      </c>
      <c r="O3529" s="38" t="n">
        <f aca="false">IF($A3529="",1,IF($Q3529=0,1,INDEX(COA_Mapping!$F$7:$F$256,$Q3529)))</f>
        <v>1</v>
      </c>
      <c r="P3529" s="34" t="str">
        <f aca="false">IF($A3529="","",$I3529*$O3529)</f>
        <v/>
      </c>
      <c r="Q3529" s="39" t="n">
        <f aca="false">IF($B3529="",0,IFERROR(MATCH($B3529,COA_Mapping!$A$7:$A$256,0),0))</f>
        <v>0</v>
      </c>
      <c r="R3529" s="39" t="n">
        <f aca="false">IF($A3529="",-1,IF($J3529=Setup!$B$7,1,IF($J3529=Setup!$B$9,0,-1)))</f>
        <v>-1</v>
      </c>
      <c r="S3529" s="35" t="n">
        <f aca="false">IF(OR($A3529="",$Q3529=0,$R3529=-1),0,$Q3529*1000+$R3529*100+$K3529)</f>
        <v>0</v>
      </c>
      <c r="T3529" s="37" t="str">
        <f aca="false">IF($A3529="","",IF($B3529="","NO ACCOUNT",IF($Q3529=0,"UNMAPPED",IF($R3529=-1,"OUTSIDE FY RANGE","OK"))))</f>
        <v/>
      </c>
      <c r="U3529" s="40" t="str">
        <f aca="false">IF($A3529="","",$B3529&amp;"|"&amp;TEXT($A3529,"yyyymmdd")&amp;"|"&amp;TEXT($I3529,"0.00"))</f>
        <v/>
      </c>
      <c r="V3529" s="35" t="str">
        <f aca="false">IF($A3529="","",COUNTIF($U$8:$U$5007,$U3529))</f>
        <v/>
      </c>
    </row>
    <row r="3530" customFormat="false" ht="15" hidden="false" customHeight="false" outlineLevel="0" collapsed="false">
      <c r="A3530" s="31"/>
      <c r="B3530" s="32"/>
      <c r="C3530" s="32"/>
      <c r="D3530" s="32"/>
      <c r="E3530" s="32"/>
      <c r="F3530" s="32"/>
      <c r="G3530" s="33"/>
      <c r="H3530" s="33"/>
      <c r="I3530" s="34" t="str">
        <f aca="false">IF($A3530="","",$G3530-$H3530)</f>
        <v/>
      </c>
      <c r="J3530" s="35" t="str">
        <f aca="false">IF($A3530="","",IF(Setup!$B$6=1,YEAR($A3530),YEAR($A3530)+IF(MONTH($A3530)&gt;=Setup!$B$6,1,0)))</f>
        <v/>
      </c>
      <c r="K3530" s="35" t="str">
        <f aca="false">IF($A3530="","",MOD(MONTH($A3530)-Setup!$B$6+12,12)+1)</f>
        <v/>
      </c>
      <c r="L3530" s="36" t="str">
        <f aca="false">IF($A3530="","",TEXT($A3530,"MMM-YY"))</f>
        <v/>
      </c>
      <c r="M3530" s="37" t="str">
        <f aca="false">IF($A3530="","",IF($Q3530=0,"UNMAPPED",INDEX(COA_Mapping!$C$7:$C$256,$Q3530)))</f>
        <v/>
      </c>
      <c r="N3530" s="38" t="str">
        <f aca="false">IF($A3530="","",IF($Q3530=0,"",INDEX(COA_Mapping!$E$7:$E$256,$Q3530)))</f>
        <v/>
      </c>
      <c r="O3530" s="38" t="n">
        <f aca="false">IF($A3530="",1,IF($Q3530=0,1,INDEX(COA_Mapping!$F$7:$F$256,$Q3530)))</f>
        <v>1</v>
      </c>
      <c r="P3530" s="34" t="str">
        <f aca="false">IF($A3530="","",$I3530*$O3530)</f>
        <v/>
      </c>
      <c r="Q3530" s="39" t="n">
        <f aca="false">IF($B3530="",0,IFERROR(MATCH($B3530,COA_Mapping!$A$7:$A$256,0),0))</f>
        <v>0</v>
      </c>
      <c r="R3530" s="39" t="n">
        <f aca="false">IF($A3530="",-1,IF($J3530=Setup!$B$7,1,IF($J3530=Setup!$B$9,0,-1)))</f>
        <v>-1</v>
      </c>
      <c r="S3530" s="35" t="n">
        <f aca="false">IF(OR($A3530="",$Q3530=0,$R3530=-1),0,$Q3530*1000+$R3530*100+$K3530)</f>
        <v>0</v>
      </c>
      <c r="T3530" s="37" t="str">
        <f aca="false">IF($A3530="","",IF($B3530="","NO ACCOUNT",IF($Q3530=0,"UNMAPPED",IF($R3530=-1,"OUTSIDE FY RANGE","OK"))))</f>
        <v/>
      </c>
      <c r="U3530" s="40" t="str">
        <f aca="false">IF($A3530="","",$B3530&amp;"|"&amp;TEXT($A3530,"yyyymmdd")&amp;"|"&amp;TEXT($I3530,"0.00"))</f>
        <v/>
      </c>
      <c r="V3530" s="35" t="str">
        <f aca="false">IF($A3530="","",COUNTIF($U$8:$U$5007,$U3530))</f>
        <v/>
      </c>
    </row>
    <row r="3531" customFormat="false" ht="15" hidden="false" customHeight="false" outlineLevel="0" collapsed="false">
      <c r="A3531" s="31"/>
      <c r="B3531" s="32"/>
      <c r="C3531" s="32"/>
      <c r="D3531" s="32"/>
      <c r="E3531" s="32"/>
      <c r="F3531" s="32"/>
      <c r="G3531" s="33"/>
      <c r="H3531" s="33"/>
      <c r="I3531" s="34" t="str">
        <f aca="false">IF($A3531="","",$G3531-$H3531)</f>
        <v/>
      </c>
      <c r="J3531" s="35" t="str">
        <f aca="false">IF($A3531="","",IF(Setup!$B$6=1,YEAR($A3531),YEAR($A3531)+IF(MONTH($A3531)&gt;=Setup!$B$6,1,0)))</f>
        <v/>
      </c>
      <c r="K3531" s="35" t="str">
        <f aca="false">IF($A3531="","",MOD(MONTH($A3531)-Setup!$B$6+12,12)+1)</f>
        <v/>
      </c>
      <c r="L3531" s="36" t="str">
        <f aca="false">IF($A3531="","",TEXT($A3531,"MMM-YY"))</f>
        <v/>
      </c>
      <c r="M3531" s="37" t="str">
        <f aca="false">IF($A3531="","",IF($Q3531=0,"UNMAPPED",INDEX(COA_Mapping!$C$7:$C$256,$Q3531)))</f>
        <v/>
      </c>
      <c r="N3531" s="38" t="str">
        <f aca="false">IF($A3531="","",IF($Q3531=0,"",INDEX(COA_Mapping!$E$7:$E$256,$Q3531)))</f>
        <v/>
      </c>
      <c r="O3531" s="38" t="n">
        <f aca="false">IF($A3531="",1,IF($Q3531=0,1,INDEX(COA_Mapping!$F$7:$F$256,$Q3531)))</f>
        <v>1</v>
      </c>
      <c r="P3531" s="34" t="str">
        <f aca="false">IF($A3531="","",$I3531*$O3531)</f>
        <v/>
      </c>
      <c r="Q3531" s="39" t="n">
        <f aca="false">IF($B3531="",0,IFERROR(MATCH($B3531,COA_Mapping!$A$7:$A$256,0),0))</f>
        <v>0</v>
      </c>
      <c r="R3531" s="39" t="n">
        <f aca="false">IF($A3531="",-1,IF($J3531=Setup!$B$7,1,IF($J3531=Setup!$B$9,0,-1)))</f>
        <v>-1</v>
      </c>
      <c r="S3531" s="35" t="n">
        <f aca="false">IF(OR($A3531="",$Q3531=0,$R3531=-1),0,$Q3531*1000+$R3531*100+$K3531)</f>
        <v>0</v>
      </c>
      <c r="T3531" s="37" t="str">
        <f aca="false">IF($A3531="","",IF($B3531="","NO ACCOUNT",IF($Q3531=0,"UNMAPPED",IF($R3531=-1,"OUTSIDE FY RANGE","OK"))))</f>
        <v/>
      </c>
      <c r="U3531" s="40" t="str">
        <f aca="false">IF($A3531="","",$B3531&amp;"|"&amp;TEXT($A3531,"yyyymmdd")&amp;"|"&amp;TEXT($I3531,"0.00"))</f>
        <v/>
      </c>
      <c r="V3531" s="35" t="str">
        <f aca="false">IF($A3531="","",COUNTIF($U$8:$U$5007,$U3531))</f>
        <v/>
      </c>
    </row>
    <row r="3532" customFormat="false" ht="15" hidden="false" customHeight="false" outlineLevel="0" collapsed="false">
      <c r="A3532" s="31"/>
      <c r="B3532" s="32"/>
      <c r="C3532" s="32"/>
      <c r="D3532" s="32"/>
      <c r="E3532" s="32"/>
      <c r="F3532" s="32"/>
      <c r="G3532" s="33"/>
      <c r="H3532" s="33"/>
      <c r="I3532" s="34" t="str">
        <f aca="false">IF($A3532="","",$G3532-$H3532)</f>
        <v/>
      </c>
      <c r="J3532" s="35" t="str">
        <f aca="false">IF($A3532="","",IF(Setup!$B$6=1,YEAR($A3532),YEAR($A3532)+IF(MONTH($A3532)&gt;=Setup!$B$6,1,0)))</f>
        <v/>
      </c>
      <c r="K3532" s="35" t="str">
        <f aca="false">IF($A3532="","",MOD(MONTH($A3532)-Setup!$B$6+12,12)+1)</f>
        <v/>
      </c>
      <c r="L3532" s="36" t="str">
        <f aca="false">IF($A3532="","",TEXT($A3532,"MMM-YY"))</f>
        <v/>
      </c>
      <c r="M3532" s="37" t="str">
        <f aca="false">IF($A3532="","",IF($Q3532=0,"UNMAPPED",INDEX(COA_Mapping!$C$7:$C$256,$Q3532)))</f>
        <v/>
      </c>
      <c r="N3532" s="38" t="str">
        <f aca="false">IF($A3532="","",IF($Q3532=0,"",INDEX(COA_Mapping!$E$7:$E$256,$Q3532)))</f>
        <v/>
      </c>
      <c r="O3532" s="38" t="n">
        <f aca="false">IF($A3532="",1,IF($Q3532=0,1,INDEX(COA_Mapping!$F$7:$F$256,$Q3532)))</f>
        <v>1</v>
      </c>
      <c r="P3532" s="34" t="str">
        <f aca="false">IF($A3532="","",$I3532*$O3532)</f>
        <v/>
      </c>
      <c r="Q3532" s="39" t="n">
        <f aca="false">IF($B3532="",0,IFERROR(MATCH($B3532,COA_Mapping!$A$7:$A$256,0),0))</f>
        <v>0</v>
      </c>
      <c r="R3532" s="39" t="n">
        <f aca="false">IF($A3532="",-1,IF($J3532=Setup!$B$7,1,IF($J3532=Setup!$B$9,0,-1)))</f>
        <v>-1</v>
      </c>
      <c r="S3532" s="35" t="n">
        <f aca="false">IF(OR($A3532="",$Q3532=0,$R3532=-1),0,$Q3532*1000+$R3532*100+$K3532)</f>
        <v>0</v>
      </c>
      <c r="T3532" s="37" t="str">
        <f aca="false">IF($A3532="","",IF($B3532="","NO ACCOUNT",IF($Q3532=0,"UNMAPPED",IF($R3532=-1,"OUTSIDE FY RANGE","OK"))))</f>
        <v/>
      </c>
      <c r="U3532" s="40" t="str">
        <f aca="false">IF($A3532="","",$B3532&amp;"|"&amp;TEXT($A3532,"yyyymmdd")&amp;"|"&amp;TEXT($I3532,"0.00"))</f>
        <v/>
      </c>
      <c r="V3532" s="35" t="str">
        <f aca="false">IF($A3532="","",COUNTIF($U$8:$U$5007,$U3532))</f>
        <v/>
      </c>
    </row>
    <row r="3533" customFormat="false" ht="15" hidden="false" customHeight="false" outlineLevel="0" collapsed="false">
      <c r="A3533" s="31"/>
      <c r="B3533" s="32"/>
      <c r="C3533" s="32"/>
      <c r="D3533" s="32"/>
      <c r="E3533" s="32"/>
      <c r="F3533" s="32"/>
      <c r="G3533" s="33"/>
      <c r="H3533" s="33"/>
      <c r="I3533" s="34" t="str">
        <f aca="false">IF($A3533="","",$G3533-$H3533)</f>
        <v/>
      </c>
      <c r="J3533" s="35" t="str">
        <f aca="false">IF($A3533="","",IF(Setup!$B$6=1,YEAR($A3533),YEAR($A3533)+IF(MONTH($A3533)&gt;=Setup!$B$6,1,0)))</f>
        <v/>
      </c>
      <c r="K3533" s="35" t="str">
        <f aca="false">IF($A3533="","",MOD(MONTH($A3533)-Setup!$B$6+12,12)+1)</f>
        <v/>
      </c>
      <c r="L3533" s="36" t="str">
        <f aca="false">IF($A3533="","",TEXT($A3533,"MMM-YY"))</f>
        <v/>
      </c>
      <c r="M3533" s="37" t="str">
        <f aca="false">IF($A3533="","",IF($Q3533=0,"UNMAPPED",INDEX(COA_Mapping!$C$7:$C$256,$Q3533)))</f>
        <v/>
      </c>
      <c r="N3533" s="38" t="str">
        <f aca="false">IF($A3533="","",IF($Q3533=0,"",INDEX(COA_Mapping!$E$7:$E$256,$Q3533)))</f>
        <v/>
      </c>
      <c r="O3533" s="38" t="n">
        <f aca="false">IF($A3533="",1,IF($Q3533=0,1,INDEX(COA_Mapping!$F$7:$F$256,$Q3533)))</f>
        <v>1</v>
      </c>
      <c r="P3533" s="34" t="str">
        <f aca="false">IF($A3533="","",$I3533*$O3533)</f>
        <v/>
      </c>
      <c r="Q3533" s="39" t="n">
        <f aca="false">IF($B3533="",0,IFERROR(MATCH($B3533,COA_Mapping!$A$7:$A$256,0),0))</f>
        <v>0</v>
      </c>
      <c r="R3533" s="39" t="n">
        <f aca="false">IF($A3533="",-1,IF($J3533=Setup!$B$7,1,IF($J3533=Setup!$B$9,0,-1)))</f>
        <v>-1</v>
      </c>
      <c r="S3533" s="35" t="n">
        <f aca="false">IF(OR($A3533="",$Q3533=0,$R3533=-1),0,$Q3533*1000+$R3533*100+$K3533)</f>
        <v>0</v>
      </c>
      <c r="T3533" s="37" t="str">
        <f aca="false">IF($A3533="","",IF($B3533="","NO ACCOUNT",IF($Q3533=0,"UNMAPPED",IF($R3533=-1,"OUTSIDE FY RANGE","OK"))))</f>
        <v/>
      </c>
      <c r="U3533" s="40" t="str">
        <f aca="false">IF($A3533="","",$B3533&amp;"|"&amp;TEXT($A3533,"yyyymmdd")&amp;"|"&amp;TEXT($I3533,"0.00"))</f>
        <v/>
      </c>
      <c r="V3533" s="35" t="str">
        <f aca="false">IF($A3533="","",COUNTIF($U$8:$U$5007,$U3533))</f>
        <v/>
      </c>
    </row>
    <row r="3534" customFormat="false" ht="15" hidden="false" customHeight="false" outlineLevel="0" collapsed="false">
      <c r="A3534" s="31"/>
      <c r="B3534" s="32"/>
      <c r="C3534" s="32"/>
      <c r="D3534" s="32"/>
      <c r="E3534" s="32"/>
      <c r="F3534" s="32"/>
      <c r="G3534" s="33"/>
      <c r="H3534" s="33"/>
      <c r="I3534" s="34" t="str">
        <f aca="false">IF($A3534="","",$G3534-$H3534)</f>
        <v/>
      </c>
      <c r="J3534" s="35" t="str">
        <f aca="false">IF($A3534="","",IF(Setup!$B$6=1,YEAR($A3534),YEAR($A3534)+IF(MONTH($A3534)&gt;=Setup!$B$6,1,0)))</f>
        <v/>
      </c>
      <c r="K3534" s="35" t="str">
        <f aca="false">IF($A3534="","",MOD(MONTH($A3534)-Setup!$B$6+12,12)+1)</f>
        <v/>
      </c>
      <c r="L3534" s="36" t="str">
        <f aca="false">IF($A3534="","",TEXT($A3534,"MMM-YY"))</f>
        <v/>
      </c>
      <c r="M3534" s="37" t="str">
        <f aca="false">IF($A3534="","",IF($Q3534=0,"UNMAPPED",INDEX(COA_Mapping!$C$7:$C$256,$Q3534)))</f>
        <v/>
      </c>
      <c r="N3534" s="38" t="str">
        <f aca="false">IF($A3534="","",IF($Q3534=0,"",INDEX(COA_Mapping!$E$7:$E$256,$Q3534)))</f>
        <v/>
      </c>
      <c r="O3534" s="38" t="n">
        <f aca="false">IF($A3534="",1,IF($Q3534=0,1,INDEX(COA_Mapping!$F$7:$F$256,$Q3534)))</f>
        <v>1</v>
      </c>
      <c r="P3534" s="34" t="str">
        <f aca="false">IF($A3534="","",$I3534*$O3534)</f>
        <v/>
      </c>
      <c r="Q3534" s="39" t="n">
        <f aca="false">IF($B3534="",0,IFERROR(MATCH($B3534,COA_Mapping!$A$7:$A$256,0),0))</f>
        <v>0</v>
      </c>
      <c r="R3534" s="39" t="n">
        <f aca="false">IF($A3534="",-1,IF($J3534=Setup!$B$7,1,IF($J3534=Setup!$B$9,0,-1)))</f>
        <v>-1</v>
      </c>
      <c r="S3534" s="35" t="n">
        <f aca="false">IF(OR($A3534="",$Q3534=0,$R3534=-1),0,$Q3534*1000+$R3534*100+$K3534)</f>
        <v>0</v>
      </c>
      <c r="T3534" s="37" t="str">
        <f aca="false">IF($A3534="","",IF($B3534="","NO ACCOUNT",IF($Q3534=0,"UNMAPPED",IF($R3534=-1,"OUTSIDE FY RANGE","OK"))))</f>
        <v/>
      </c>
      <c r="U3534" s="40" t="str">
        <f aca="false">IF($A3534="","",$B3534&amp;"|"&amp;TEXT($A3534,"yyyymmdd")&amp;"|"&amp;TEXT($I3534,"0.00"))</f>
        <v/>
      </c>
      <c r="V3534" s="35" t="str">
        <f aca="false">IF($A3534="","",COUNTIF($U$8:$U$5007,$U3534))</f>
        <v/>
      </c>
    </row>
    <row r="3535" customFormat="false" ht="15" hidden="false" customHeight="false" outlineLevel="0" collapsed="false">
      <c r="A3535" s="31"/>
      <c r="B3535" s="32"/>
      <c r="C3535" s="32"/>
      <c r="D3535" s="32"/>
      <c r="E3535" s="32"/>
      <c r="F3535" s="32"/>
      <c r="G3535" s="33"/>
      <c r="H3535" s="33"/>
      <c r="I3535" s="34" t="str">
        <f aca="false">IF($A3535="","",$G3535-$H3535)</f>
        <v/>
      </c>
      <c r="J3535" s="35" t="str">
        <f aca="false">IF($A3535="","",IF(Setup!$B$6=1,YEAR($A3535),YEAR($A3535)+IF(MONTH($A3535)&gt;=Setup!$B$6,1,0)))</f>
        <v/>
      </c>
      <c r="K3535" s="35" t="str">
        <f aca="false">IF($A3535="","",MOD(MONTH($A3535)-Setup!$B$6+12,12)+1)</f>
        <v/>
      </c>
      <c r="L3535" s="36" t="str">
        <f aca="false">IF($A3535="","",TEXT($A3535,"MMM-YY"))</f>
        <v/>
      </c>
      <c r="M3535" s="37" t="str">
        <f aca="false">IF($A3535="","",IF($Q3535=0,"UNMAPPED",INDEX(COA_Mapping!$C$7:$C$256,$Q3535)))</f>
        <v/>
      </c>
      <c r="N3535" s="38" t="str">
        <f aca="false">IF($A3535="","",IF($Q3535=0,"",INDEX(COA_Mapping!$E$7:$E$256,$Q3535)))</f>
        <v/>
      </c>
      <c r="O3535" s="38" t="n">
        <f aca="false">IF($A3535="",1,IF($Q3535=0,1,INDEX(COA_Mapping!$F$7:$F$256,$Q3535)))</f>
        <v>1</v>
      </c>
      <c r="P3535" s="34" t="str">
        <f aca="false">IF($A3535="","",$I3535*$O3535)</f>
        <v/>
      </c>
      <c r="Q3535" s="39" t="n">
        <f aca="false">IF($B3535="",0,IFERROR(MATCH($B3535,COA_Mapping!$A$7:$A$256,0),0))</f>
        <v>0</v>
      </c>
      <c r="R3535" s="39" t="n">
        <f aca="false">IF($A3535="",-1,IF($J3535=Setup!$B$7,1,IF($J3535=Setup!$B$9,0,-1)))</f>
        <v>-1</v>
      </c>
      <c r="S3535" s="35" t="n">
        <f aca="false">IF(OR($A3535="",$Q3535=0,$R3535=-1),0,$Q3535*1000+$R3535*100+$K3535)</f>
        <v>0</v>
      </c>
      <c r="T3535" s="37" t="str">
        <f aca="false">IF($A3535="","",IF($B3535="","NO ACCOUNT",IF($Q3535=0,"UNMAPPED",IF($R3535=-1,"OUTSIDE FY RANGE","OK"))))</f>
        <v/>
      </c>
      <c r="U3535" s="40" t="str">
        <f aca="false">IF($A3535="","",$B3535&amp;"|"&amp;TEXT($A3535,"yyyymmdd")&amp;"|"&amp;TEXT($I3535,"0.00"))</f>
        <v/>
      </c>
      <c r="V3535" s="35" t="str">
        <f aca="false">IF($A3535="","",COUNTIF($U$8:$U$5007,$U3535))</f>
        <v/>
      </c>
    </row>
    <row r="3536" customFormat="false" ht="15" hidden="false" customHeight="false" outlineLevel="0" collapsed="false">
      <c r="A3536" s="31"/>
      <c r="B3536" s="32"/>
      <c r="C3536" s="32"/>
      <c r="D3536" s="32"/>
      <c r="E3536" s="32"/>
      <c r="F3536" s="32"/>
      <c r="G3536" s="33"/>
      <c r="H3536" s="33"/>
      <c r="I3536" s="34" t="str">
        <f aca="false">IF($A3536="","",$G3536-$H3536)</f>
        <v/>
      </c>
      <c r="J3536" s="35" t="str">
        <f aca="false">IF($A3536="","",IF(Setup!$B$6=1,YEAR($A3536),YEAR($A3536)+IF(MONTH($A3536)&gt;=Setup!$B$6,1,0)))</f>
        <v/>
      </c>
      <c r="K3536" s="35" t="str">
        <f aca="false">IF($A3536="","",MOD(MONTH($A3536)-Setup!$B$6+12,12)+1)</f>
        <v/>
      </c>
      <c r="L3536" s="36" t="str">
        <f aca="false">IF($A3536="","",TEXT($A3536,"MMM-YY"))</f>
        <v/>
      </c>
      <c r="M3536" s="37" t="str">
        <f aca="false">IF($A3536="","",IF($Q3536=0,"UNMAPPED",INDEX(COA_Mapping!$C$7:$C$256,$Q3536)))</f>
        <v/>
      </c>
      <c r="N3536" s="38" t="str">
        <f aca="false">IF($A3536="","",IF($Q3536=0,"",INDEX(COA_Mapping!$E$7:$E$256,$Q3536)))</f>
        <v/>
      </c>
      <c r="O3536" s="38" t="n">
        <f aca="false">IF($A3536="",1,IF($Q3536=0,1,INDEX(COA_Mapping!$F$7:$F$256,$Q3536)))</f>
        <v>1</v>
      </c>
      <c r="P3536" s="34" t="str">
        <f aca="false">IF($A3536="","",$I3536*$O3536)</f>
        <v/>
      </c>
      <c r="Q3536" s="39" t="n">
        <f aca="false">IF($B3536="",0,IFERROR(MATCH($B3536,COA_Mapping!$A$7:$A$256,0),0))</f>
        <v>0</v>
      </c>
      <c r="R3536" s="39" t="n">
        <f aca="false">IF($A3536="",-1,IF($J3536=Setup!$B$7,1,IF($J3536=Setup!$B$9,0,-1)))</f>
        <v>-1</v>
      </c>
      <c r="S3536" s="35" t="n">
        <f aca="false">IF(OR($A3536="",$Q3536=0,$R3536=-1),0,$Q3536*1000+$R3536*100+$K3536)</f>
        <v>0</v>
      </c>
      <c r="T3536" s="37" t="str">
        <f aca="false">IF($A3536="","",IF($B3536="","NO ACCOUNT",IF($Q3536=0,"UNMAPPED",IF($R3536=-1,"OUTSIDE FY RANGE","OK"))))</f>
        <v/>
      </c>
      <c r="U3536" s="40" t="str">
        <f aca="false">IF($A3536="","",$B3536&amp;"|"&amp;TEXT($A3536,"yyyymmdd")&amp;"|"&amp;TEXT($I3536,"0.00"))</f>
        <v/>
      </c>
      <c r="V3536" s="35" t="str">
        <f aca="false">IF($A3536="","",COUNTIF($U$8:$U$5007,$U3536))</f>
        <v/>
      </c>
    </row>
    <row r="3537" customFormat="false" ht="15" hidden="false" customHeight="false" outlineLevel="0" collapsed="false">
      <c r="A3537" s="31"/>
      <c r="B3537" s="32"/>
      <c r="C3537" s="32"/>
      <c r="D3537" s="32"/>
      <c r="E3537" s="32"/>
      <c r="F3537" s="32"/>
      <c r="G3537" s="33"/>
      <c r="H3537" s="33"/>
      <c r="I3537" s="34" t="str">
        <f aca="false">IF($A3537="","",$G3537-$H3537)</f>
        <v/>
      </c>
      <c r="J3537" s="35" t="str">
        <f aca="false">IF($A3537="","",IF(Setup!$B$6=1,YEAR($A3537),YEAR($A3537)+IF(MONTH($A3537)&gt;=Setup!$B$6,1,0)))</f>
        <v/>
      </c>
      <c r="K3537" s="35" t="str">
        <f aca="false">IF($A3537="","",MOD(MONTH($A3537)-Setup!$B$6+12,12)+1)</f>
        <v/>
      </c>
      <c r="L3537" s="36" t="str">
        <f aca="false">IF($A3537="","",TEXT($A3537,"MMM-YY"))</f>
        <v/>
      </c>
      <c r="M3537" s="37" t="str">
        <f aca="false">IF($A3537="","",IF($Q3537=0,"UNMAPPED",INDEX(COA_Mapping!$C$7:$C$256,$Q3537)))</f>
        <v/>
      </c>
      <c r="N3537" s="38" t="str">
        <f aca="false">IF($A3537="","",IF($Q3537=0,"",INDEX(COA_Mapping!$E$7:$E$256,$Q3537)))</f>
        <v/>
      </c>
      <c r="O3537" s="38" t="n">
        <f aca="false">IF($A3537="",1,IF($Q3537=0,1,INDEX(COA_Mapping!$F$7:$F$256,$Q3537)))</f>
        <v>1</v>
      </c>
      <c r="P3537" s="34" t="str">
        <f aca="false">IF($A3537="","",$I3537*$O3537)</f>
        <v/>
      </c>
      <c r="Q3537" s="39" t="n">
        <f aca="false">IF($B3537="",0,IFERROR(MATCH($B3537,COA_Mapping!$A$7:$A$256,0),0))</f>
        <v>0</v>
      </c>
      <c r="R3537" s="39" t="n">
        <f aca="false">IF($A3537="",-1,IF($J3537=Setup!$B$7,1,IF($J3537=Setup!$B$9,0,-1)))</f>
        <v>-1</v>
      </c>
      <c r="S3537" s="35" t="n">
        <f aca="false">IF(OR($A3537="",$Q3537=0,$R3537=-1),0,$Q3537*1000+$R3537*100+$K3537)</f>
        <v>0</v>
      </c>
      <c r="T3537" s="37" t="str">
        <f aca="false">IF($A3537="","",IF($B3537="","NO ACCOUNT",IF($Q3537=0,"UNMAPPED",IF($R3537=-1,"OUTSIDE FY RANGE","OK"))))</f>
        <v/>
      </c>
      <c r="U3537" s="40" t="str">
        <f aca="false">IF($A3537="","",$B3537&amp;"|"&amp;TEXT($A3537,"yyyymmdd")&amp;"|"&amp;TEXT($I3537,"0.00"))</f>
        <v/>
      </c>
      <c r="V3537" s="35" t="str">
        <f aca="false">IF($A3537="","",COUNTIF($U$8:$U$5007,$U3537))</f>
        <v/>
      </c>
    </row>
    <row r="3538" customFormat="false" ht="15" hidden="false" customHeight="false" outlineLevel="0" collapsed="false">
      <c r="A3538" s="31"/>
      <c r="B3538" s="32"/>
      <c r="C3538" s="32"/>
      <c r="D3538" s="32"/>
      <c r="E3538" s="32"/>
      <c r="F3538" s="32"/>
      <c r="G3538" s="33"/>
      <c r="H3538" s="33"/>
      <c r="I3538" s="34" t="str">
        <f aca="false">IF($A3538="","",$G3538-$H3538)</f>
        <v/>
      </c>
      <c r="J3538" s="35" t="str">
        <f aca="false">IF($A3538="","",IF(Setup!$B$6=1,YEAR($A3538),YEAR($A3538)+IF(MONTH($A3538)&gt;=Setup!$B$6,1,0)))</f>
        <v/>
      </c>
      <c r="K3538" s="35" t="str">
        <f aca="false">IF($A3538="","",MOD(MONTH($A3538)-Setup!$B$6+12,12)+1)</f>
        <v/>
      </c>
      <c r="L3538" s="36" t="str">
        <f aca="false">IF($A3538="","",TEXT($A3538,"MMM-YY"))</f>
        <v/>
      </c>
      <c r="M3538" s="37" t="str">
        <f aca="false">IF($A3538="","",IF($Q3538=0,"UNMAPPED",INDEX(COA_Mapping!$C$7:$C$256,$Q3538)))</f>
        <v/>
      </c>
      <c r="N3538" s="38" t="str">
        <f aca="false">IF($A3538="","",IF($Q3538=0,"",INDEX(COA_Mapping!$E$7:$E$256,$Q3538)))</f>
        <v/>
      </c>
      <c r="O3538" s="38" t="n">
        <f aca="false">IF($A3538="",1,IF($Q3538=0,1,INDEX(COA_Mapping!$F$7:$F$256,$Q3538)))</f>
        <v>1</v>
      </c>
      <c r="P3538" s="34" t="str">
        <f aca="false">IF($A3538="","",$I3538*$O3538)</f>
        <v/>
      </c>
      <c r="Q3538" s="39" t="n">
        <f aca="false">IF($B3538="",0,IFERROR(MATCH($B3538,COA_Mapping!$A$7:$A$256,0),0))</f>
        <v>0</v>
      </c>
      <c r="R3538" s="39" t="n">
        <f aca="false">IF($A3538="",-1,IF($J3538=Setup!$B$7,1,IF($J3538=Setup!$B$9,0,-1)))</f>
        <v>-1</v>
      </c>
      <c r="S3538" s="35" t="n">
        <f aca="false">IF(OR($A3538="",$Q3538=0,$R3538=-1),0,$Q3538*1000+$R3538*100+$K3538)</f>
        <v>0</v>
      </c>
      <c r="T3538" s="37" t="str">
        <f aca="false">IF($A3538="","",IF($B3538="","NO ACCOUNT",IF($Q3538=0,"UNMAPPED",IF($R3538=-1,"OUTSIDE FY RANGE","OK"))))</f>
        <v/>
      </c>
      <c r="U3538" s="40" t="str">
        <f aca="false">IF($A3538="","",$B3538&amp;"|"&amp;TEXT($A3538,"yyyymmdd")&amp;"|"&amp;TEXT($I3538,"0.00"))</f>
        <v/>
      </c>
      <c r="V3538" s="35" t="str">
        <f aca="false">IF($A3538="","",COUNTIF($U$8:$U$5007,$U3538))</f>
        <v/>
      </c>
    </row>
    <row r="3539" customFormat="false" ht="15" hidden="false" customHeight="false" outlineLevel="0" collapsed="false">
      <c r="A3539" s="31"/>
      <c r="B3539" s="32"/>
      <c r="C3539" s="32"/>
      <c r="D3539" s="32"/>
      <c r="E3539" s="32"/>
      <c r="F3539" s="32"/>
      <c r="G3539" s="33"/>
      <c r="H3539" s="33"/>
      <c r="I3539" s="34" t="str">
        <f aca="false">IF($A3539="","",$G3539-$H3539)</f>
        <v/>
      </c>
      <c r="J3539" s="35" t="str">
        <f aca="false">IF($A3539="","",IF(Setup!$B$6=1,YEAR($A3539),YEAR($A3539)+IF(MONTH($A3539)&gt;=Setup!$B$6,1,0)))</f>
        <v/>
      </c>
      <c r="K3539" s="35" t="str">
        <f aca="false">IF($A3539="","",MOD(MONTH($A3539)-Setup!$B$6+12,12)+1)</f>
        <v/>
      </c>
      <c r="L3539" s="36" t="str">
        <f aca="false">IF($A3539="","",TEXT($A3539,"MMM-YY"))</f>
        <v/>
      </c>
      <c r="M3539" s="37" t="str">
        <f aca="false">IF($A3539="","",IF($Q3539=0,"UNMAPPED",INDEX(COA_Mapping!$C$7:$C$256,$Q3539)))</f>
        <v/>
      </c>
      <c r="N3539" s="38" t="str">
        <f aca="false">IF($A3539="","",IF($Q3539=0,"",INDEX(COA_Mapping!$E$7:$E$256,$Q3539)))</f>
        <v/>
      </c>
      <c r="O3539" s="38" t="n">
        <f aca="false">IF($A3539="",1,IF($Q3539=0,1,INDEX(COA_Mapping!$F$7:$F$256,$Q3539)))</f>
        <v>1</v>
      </c>
      <c r="P3539" s="34" t="str">
        <f aca="false">IF($A3539="","",$I3539*$O3539)</f>
        <v/>
      </c>
      <c r="Q3539" s="39" t="n">
        <f aca="false">IF($B3539="",0,IFERROR(MATCH($B3539,COA_Mapping!$A$7:$A$256,0),0))</f>
        <v>0</v>
      </c>
      <c r="R3539" s="39" t="n">
        <f aca="false">IF($A3539="",-1,IF($J3539=Setup!$B$7,1,IF($J3539=Setup!$B$9,0,-1)))</f>
        <v>-1</v>
      </c>
      <c r="S3539" s="35" t="n">
        <f aca="false">IF(OR($A3539="",$Q3539=0,$R3539=-1),0,$Q3539*1000+$R3539*100+$K3539)</f>
        <v>0</v>
      </c>
      <c r="T3539" s="37" t="str">
        <f aca="false">IF($A3539="","",IF($B3539="","NO ACCOUNT",IF($Q3539=0,"UNMAPPED",IF($R3539=-1,"OUTSIDE FY RANGE","OK"))))</f>
        <v/>
      </c>
      <c r="U3539" s="40" t="str">
        <f aca="false">IF($A3539="","",$B3539&amp;"|"&amp;TEXT($A3539,"yyyymmdd")&amp;"|"&amp;TEXT($I3539,"0.00"))</f>
        <v/>
      </c>
      <c r="V3539" s="35" t="str">
        <f aca="false">IF($A3539="","",COUNTIF($U$8:$U$5007,$U3539))</f>
        <v/>
      </c>
    </row>
    <row r="3540" customFormat="false" ht="15" hidden="false" customHeight="false" outlineLevel="0" collapsed="false">
      <c r="A3540" s="31"/>
      <c r="B3540" s="32"/>
      <c r="C3540" s="32"/>
      <c r="D3540" s="32"/>
      <c r="E3540" s="32"/>
      <c r="F3540" s="32"/>
      <c r="G3540" s="33"/>
      <c r="H3540" s="33"/>
      <c r="I3540" s="34" t="str">
        <f aca="false">IF($A3540="","",$G3540-$H3540)</f>
        <v/>
      </c>
      <c r="J3540" s="35" t="str">
        <f aca="false">IF($A3540="","",IF(Setup!$B$6=1,YEAR($A3540),YEAR($A3540)+IF(MONTH($A3540)&gt;=Setup!$B$6,1,0)))</f>
        <v/>
      </c>
      <c r="K3540" s="35" t="str">
        <f aca="false">IF($A3540="","",MOD(MONTH($A3540)-Setup!$B$6+12,12)+1)</f>
        <v/>
      </c>
      <c r="L3540" s="36" t="str">
        <f aca="false">IF($A3540="","",TEXT($A3540,"MMM-YY"))</f>
        <v/>
      </c>
      <c r="M3540" s="37" t="str">
        <f aca="false">IF($A3540="","",IF($Q3540=0,"UNMAPPED",INDEX(COA_Mapping!$C$7:$C$256,$Q3540)))</f>
        <v/>
      </c>
      <c r="N3540" s="38" t="str">
        <f aca="false">IF($A3540="","",IF($Q3540=0,"",INDEX(COA_Mapping!$E$7:$E$256,$Q3540)))</f>
        <v/>
      </c>
      <c r="O3540" s="38" t="n">
        <f aca="false">IF($A3540="",1,IF($Q3540=0,1,INDEX(COA_Mapping!$F$7:$F$256,$Q3540)))</f>
        <v>1</v>
      </c>
      <c r="P3540" s="34" t="str">
        <f aca="false">IF($A3540="","",$I3540*$O3540)</f>
        <v/>
      </c>
      <c r="Q3540" s="39" t="n">
        <f aca="false">IF($B3540="",0,IFERROR(MATCH($B3540,COA_Mapping!$A$7:$A$256,0),0))</f>
        <v>0</v>
      </c>
      <c r="R3540" s="39" t="n">
        <f aca="false">IF($A3540="",-1,IF($J3540=Setup!$B$7,1,IF($J3540=Setup!$B$9,0,-1)))</f>
        <v>-1</v>
      </c>
      <c r="S3540" s="35" t="n">
        <f aca="false">IF(OR($A3540="",$Q3540=0,$R3540=-1),0,$Q3540*1000+$R3540*100+$K3540)</f>
        <v>0</v>
      </c>
      <c r="T3540" s="37" t="str">
        <f aca="false">IF($A3540="","",IF($B3540="","NO ACCOUNT",IF($Q3540=0,"UNMAPPED",IF($R3540=-1,"OUTSIDE FY RANGE","OK"))))</f>
        <v/>
      </c>
      <c r="U3540" s="40" t="str">
        <f aca="false">IF($A3540="","",$B3540&amp;"|"&amp;TEXT($A3540,"yyyymmdd")&amp;"|"&amp;TEXT($I3540,"0.00"))</f>
        <v/>
      </c>
      <c r="V3540" s="35" t="str">
        <f aca="false">IF($A3540="","",COUNTIF($U$8:$U$5007,$U3540))</f>
        <v/>
      </c>
    </row>
    <row r="3541" customFormat="false" ht="15" hidden="false" customHeight="false" outlineLevel="0" collapsed="false">
      <c r="A3541" s="31"/>
      <c r="B3541" s="32"/>
      <c r="C3541" s="32"/>
      <c r="D3541" s="32"/>
      <c r="E3541" s="32"/>
      <c r="F3541" s="32"/>
      <c r="G3541" s="33"/>
      <c r="H3541" s="33"/>
      <c r="I3541" s="34" t="str">
        <f aca="false">IF($A3541="","",$G3541-$H3541)</f>
        <v/>
      </c>
      <c r="J3541" s="35" t="str">
        <f aca="false">IF($A3541="","",IF(Setup!$B$6=1,YEAR($A3541),YEAR($A3541)+IF(MONTH($A3541)&gt;=Setup!$B$6,1,0)))</f>
        <v/>
      </c>
      <c r="K3541" s="35" t="str">
        <f aca="false">IF($A3541="","",MOD(MONTH($A3541)-Setup!$B$6+12,12)+1)</f>
        <v/>
      </c>
      <c r="L3541" s="36" t="str">
        <f aca="false">IF($A3541="","",TEXT($A3541,"MMM-YY"))</f>
        <v/>
      </c>
      <c r="M3541" s="37" t="str">
        <f aca="false">IF($A3541="","",IF($Q3541=0,"UNMAPPED",INDEX(COA_Mapping!$C$7:$C$256,$Q3541)))</f>
        <v/>
      </c>
      <c r="N3541" s="38" t="str">
        <f aca="false">IF($A3541="","",IF($Q3541=0,"",INDEX(COA_Mapping!$E$7:$E$256,$Q3541)))</f>
        <v/>
      </c>
      <c r="O3541" s="38" t="n">
        <f aca="false">IF($A3541="",1,IF($Q3541=0,1,INDEX(COA_Mapping!$F$7:$F$256,$Q3541)))</f>
        <v>1</v>
      </c>
      <c r="P3541" s="34" t="str">
        <f aca="false">IF($A3541="","",$I3541*$O3541)</f>
        <v/>
      </c>
      <c r="Q3541" s="39" t="n">
        <f aca="false">IF($B3541="",0,IFERROR(MATCH($B3541,COA_Mapping!$A$7:$A$256,0),0))</f>
        <v>0</v>
      </c>
      <c r="R3541" s="39" t="n">
        <f aca="false">IF($A3541="",-1,IF($J3541=Setup!$B$7,1,IF($J3541=Setup!$B$9,0,-1)))</f>
        <v>-1</v>
      </c>
      <c r="S3541" s="35" t="n">
        <f aca="false">IF(OR($A3541="",$Q3541=0,$R3541=-1),0,$Q3541*1000+$R3541*100+$K3541)</f>
        <v>0</v>
      </c>
      <c r="T3541" s="37" t="str">
        <f aca="false">IF($A3541="","",IF($B3541="","NO ACCOUNT",IF($Q3541=0,"UNMAPPED",IF($R3541=-1,"OUTSIDE FY RANGE","OK"))))</f>
        <v/>
      </c>
      <c r="U3541" s="40" t="str">
        <f aca="false">IF($A3541="","",$B3541&amp;"|"&amp;TEXT($A3541,"yyyymmdd")&amp;"|"&amp;TEXT($I3541,"0.00"))</f>
        <v/>
      </c>
      <c r="V3541" s="35" t="str">
        <f aca="false">IF($A3541="","",COUNTIF($U$8:$U$5007,$U3541))</f>
        <v/>
      </c>
    </row>
    <row r="3542" customFormat="false" ht="15" hidden="false" customHeight="false" outlineLevel="0" collapsed="false">
      <c r="A3542" s="31"/>
      <c r="B3542" s="32"/>
      <c r="C3542" s="32"/>
      <c r="D3542" s="32"/>
      <c r="E3542" s="32"/>
      <c r="F3542" s="32"/>
      <c r="G3542" s="33"/>
      <c r="H3542" s="33"/>
      <c r="I3542" s="34" t="str">
        <f aca="false">IF($A3542="","",$G3542-$H3542)</f>
        <v/>
      </c>
      <c r="J3542" s="35" t="str">
        <f aca="false">IF($A3542="","",IF(Setup!$B$6=1,YEAR($A3542),YEAR($A3542)+IF(MONTH($A3542)&gt;=Setup!$B$6,1,0)))</f>
        <v/>
      </c>
      <c r="K3542" s="35" t="str">
        <f aca="false">IF($A3542="","",MOD(MONTH($A3542)-Setup!$B$6+12,12)+1)</f>
        <v/>
      </c>
      <c r="L3542" s="36" t="str">
        <f aca="false">IF($A3542="","",TEXT($A3542,"MMM-YY"))</f>
        <v/>
      </c>
      <c r="M3542" s="37" t="str">
        <f aca="false">IF($A3542="","",IF($Q3542=0,"UNMAPPED",INDEX(COA_Mapping!$C$7:$C$256,$Q3542)))</f>
        <v/>
      </c>
      <c r="N3542" s="38" t="str">
        <f aca="false">IF($A3542="","",IF($Q3542=0,"",INDEX(COA_Mapping!$E$7:$E$256,$Q3542)))</f>
        <v/>
      </c>
      <c r="O3542" s="38" t="n">
        <f aca="false">IF($A3542="",1,IF($Q3542=0,1,INDEX(COA_Mapping!$F$7:$F$256,$Q3542)))</f>
        <v>1</v>
      </c>
      <c r="P3542" s="34" t="str">
        <f aca="false">IF($A3542="","",$I3542*$O3542)</f>
        <v/>
      </c>
      <c r="Q3542" s="39" t="n">
        <f aca="false">IF($B3542="",0,IFERROR(MATCH($B3542,COA_Mapping!$A$7:$A$256,0),0))</f>
        <v>0</v>
      </c>
      <c r="R3542" s="39" t="n">
        <f aca="false">IF($A3542="",-1,IF($J3542=Setup!$B$7,1,IF($J3542=Setup!$B$9,0,-1)))</f>
        <v>-1</v>
      </c>
      <c r="S3542" s="35" t="n">
        <f aca="false">IF(OR($A3542="",$Q3542=0,$R3542=-1),0,$Q3542*1000+$R3542*100+$K3542)</f>
        <v>0</v>
      </c>
      <c r="T3542" s="37" t="str">
        <f aca="false">IF($A3542="","",IF($B3542="","NO ACCOUNT",IF($Q3542=0,"UNMAPPED",IF($R3542=-1,"OUTSIDE FY RANGE","OK"))))</f>
        <v/>
      </c>
      <c r="U3542" s="40" t="str">
        <f aca="false">IF($A3542="","",$B3542&amp;"|"&amp;TEXT($A3542,"yyyymmdd")&amp;"|"&amp;TEXT($I3542,"0.00"))</f>
        <v/>
      </c>
      <c r="V3542" s="35" t="str">
        <f aca="false">IF($A3542="","",COUNTIF($U$8:$U$5007,$U3542))</f>
        <v/>
      </c>
    </row>
    <row r="3543" customFormat="false" ht="15" hidden="false" customHeight="false" outlineLevel="0" collapsed="false">
      <c r="A3543" s="31"/>
      <c r="B3543" s="32"/>
      <c r="C3543" s="32"/>
      <c r="D3543" s="32"/>
      <c r="E3543" s="32"/>
      <c r="F3543" s="32"/>
      <c r="G3543" s="33"/>
      <c r="H3543" s="33"/>
      <c r="I3543" s="34" t="str">
        <f aca="false">IF($A3543="","",$G3543-$H3543)</f>
        <v/>
      </c>
      <c r="J3543" s="35" t="str">
        <f aca="false">IF($A3543="","",IF(Setup!$B$6=1,YEAR($A3543),YEAR($A3543)+IF(MONTH($A3543)&gt;=Setup!$B$6,1,0)))</f>
        <v/>
      </c>
      <c r="K3543" s="35" t="str">
        <f aca="false">IF($A3543="","",MOD(MONTH($A3543)-Setup!$B$6+12,12)+1)</f>
        <v/>
      </c>
      <c r="L3543" s="36" t="str">
        <f aca="false">IF($A3543="","",TEXT($A3543,"MMM-YY"))</f>
        <v/>
      </c>
      <c r="M3543" s="37" t="str">
        <f aca="false">IF($A3543="","",IF($Q3543=0,"UNMAPPED",INDEX(COA_Mapping!$C$7:$C$256,$Q3543)))</f>
        <v/>
      </c>
      <c r="N3543" s="38" t="str">
        <f aca="false">IF($A3543="","",IF($Q3543=0,"",INDEX(COA_Mapping!$E$7:$E$256,$Q3543)))</f>
        <v/>
      </c>
      <c r="O3543" s="38" t="n">
        <f aca="false">IF($A3543="",1,IF($Q3543=0,1,INDEX(COA_Mapping!$F$7:$F$256,$Q3543)))</f>
        <v>1</v>
      </c>
      <c r="P3543" s="34" t="str">
        <f aca="false">IF($A3543="","",$I3543*$O3543)</f>
        <v/>
      </c>
      <c r="Q3543" s="39" t="n">
        <f aca="false">IF($B3543="",0,IFERROR(MATCH($B3543,COA_Mapping!$A$7:$A$256,0),0))</f>
        <v>0</v>
      </c>
      <c r="R3543" s="39" t="n">
        <f aca="false">IF($A3543="",-1,IF($J3543=Setup!$B$7,1,IF($J3543=Setup!$B$9,0,-1)))</f>
        <v>-1</v>
      </c>
      <c r="S3543" s="35" t="n">
        <f aca="false">IF(OR($A3543="",$Q3543=0,$R3543=-1),0,$Q3543*1000+$R3543*100+$K3543)</f>
        <v>0</v>
      </c>
      <c r="T3543" s="37" t="str">
        <f aca="false">IF($A3543="","",IF($B3543="","NO ACCOUNT",IF($Q3543=0,"UNMAPPED",IF($R3543=-1,"OUTSIDE FY RANGE","OK"))))</f>
        <v/>
      </c>
      <c r="U3543" s="40" t="str">
        <f aca="false">IF($A3543="","",$B3543&amp;"|"&amp;TEXT($A3543,"yyyymmdd")&amp;"|"&amp;TEXT($I3543,"0.00"))</f>
        <v/>
      </c>
      <c r="V3543" s="35" t="str">
        <f aca="false">IF($A3543="","",COUNTIF($U$8:$U$5007,$U3543))</f>
        <v/>
      </c>
    </row>
    <row r="3544" customFormat="false" ht="15" hidden="false" customHeight="false" outlineLevel="0" collapsed="false">
      <c r="A3544" s="31"/>
      <c r="B3544" s="32"/>
      <c r="C3544" s="32"/>
      <c r="D3544" s="32"/>
      <c r="E3544" s="32"/>
      <c r="F3544" s="32"/>
      <c r="G3544" s="33"/>
      <c r="H3544" s="33"/>
      <c r="I3544" s="34" t="str">
        <f aca="false">IF($A3544="","",$G3544-$H3544)</f>
        <v/>
      </c>
      <c r="J3544" s="35" t="str">
        <f aca="false">IF($A3544="","",IF(Setup!$B$6=1,YEAR($A3544),YEAR($A3544)+IF(MONTH($A3544)&gt;=Setup!$B$6,1,0)))</f>
        <v/>
      </c>
      <c r="K3544" s="35" t="str">
        <f aca="false">IF($A3544="","",MOD(MONTH($A3544)-Setup!$B$6+12,12)+1)</f>
        <v/>
      </c>
      <c r="L3544" s="36" t="str">
        <f aca="false">IF($A3544="","",TEXT($A3544,"MMM-YY"))</f>
        <v/>
      </c>
      <c r="M3544" s="37" t="str">
        <f aca="false">IF($A3544="","",IF($Q3544=0,"UNMAPPED",INDEX(COA_Mapping!$C$7:$C$256,$Q3544)))</f>
        <v/>
      </c>
      <c r="N3544" s="38" t="str">
        <f aca="false">IF($A3544="","",IF($Q3544=0,"",INDEX(COA_Mapping!$E$7:$E$256,$Q3544)))</f>
        <v/>
      </c>
      <c r="O3544" s="38" t="n">
        <f aca="false">IF($A3544="",1,IF($Q3544=0,1,INDEX(COA_Mapping!$F$7:$F$256,$Q3544)))</f>
        <v>1</v>
      </c>
      <c r="P3544" s="34" t="str">
        <f aca="false">IF($A3544="","",$I3544*$O3544)</f>
        <v/>
      </c>
      <c r="Q3544" s="39" t="n">
        <f aca="false">IF($B3544="",0,IFERROR(MATCH($B3544,COA_Mapping!$A$7:$A$256,0),0))</f>
        <v>0</v>
      </c>
      <c r="R3544" s="39" t="n">
        <f aca="false">IF($A3544="",-1,IF($J3544=Setup!$B$7,1,IF($J3544=Setup!$B$9,0,-1)))</f>
        <v>-1</v>
      </c>
      <c r="S3544" s="35" t="n">
        <f aca="false">IF(OR($A3544="",$Q3544=0,$R3544=-1),0,$Q3544*1000+$R3544*100+$K3544)</f>
        <v>0</v>
      </c>
      <c r="T3544" s="37" t="str">
        <f aca="false">IF($A3544="","",IF($B3544="","NO ACCOUNT",IF($Q3544=0,"UNMAPPED",IF($R3544=-1,"OUTSIDE FY RANGE","OK"))))</f>
        <v/>
      </c>
      <c r="U3544" s="40" t="str">
        <f aca="false">IF($A3544="","",$B3544&amp;"|"&amp;TEXT($A3544,"yyyymmdd")&amp;"|"&amp;TEXT($I3544,"0.00"))</f>
        <v/>
      </c>
      <c r="V3544" s="35" t="str">
        <f aca="false">IF($A3544="","",COUNTIF($U$8:$U$5007,$U3544))</f>
        <v/>
      </c>
    </row>
    <row r="3545" customFormat="false" ht="15" hidden="false" customHeight="false" outlineLevel="0" collapsed="false">
      <c r="A3545" s="31"/>
      <c r="B3545" s="32"/>
      <c r="C3545" s="32"/>
      <c r="D3545" s="32"/>
      <c r="E3545" s="32"/>
      <c r="F3545" s="32"/>
      <c r="G3545" s="33"/>
      <c r="H3545" s="33"/>
      <c r="I3545" s="34" t="str">
        <f aca="false">IF($A3545="","",$G3545-$H3545)</f>
        <v/>
      </c>
      <c r="J3545" s="35" t="str">
        <f aca="false">IF($A3545="","",IF(Setup!$B$6=1,YEAR($A3545),YEAR($A3545)+IF(MONTH($A3545)&gt;=Setup!$B$6,1,0)))</f>
        <v/>
      </c>
      <c r="K3545" s="35" t="str">
        <f aca="false">IF($A3545="","",MOD(MONTH($A3545)-Setup!$B$6+12,12)+1)</f>
        <v/>
      </c>
      <c r="L3545" s="36" t="str">
        <f aca="false">IF($A3545="","",TEXT($A3545,"MMM-YY"))</f>
        <v/>
      </c>
      <c r="M3545" s="37" t="str">
        <f aca="false">IF($A3545="","",IF($Q3545=0,"UNMAPPED",INDEX(COA_Mapping!$C$7:$C$256,$Q3545)))</f>
        <v/>
      </c>
      <c r="N3545" s="38" t="str">
        <f aca="false">IF($A3545="","",IF($Q3545=0,"",INDEX(COA_Mapping!$E$7:$E$256,$Q3545)))</f>
        <v/>
      </c>
      <c r="O3545" s="38" t="n">
        <f aca="false">IF($A3545="",1,IF($Q3545=0,1,INDEX(COA_Mapping!$F$7:$F$256,$Q3545)))</f>
        <v>1</v>
      </c>
      <c r="P3545" s="34" t="str">
        <f aca="false">IF($A3545="","",$I3545*$O3545)</f>
        <v/>
      </c>
      <c r="Q3545" s="39" t="n">
        <f aca="false">IF($B3545="",0,IFERROR(MATCH($B3545,COA_Mapping!$A$7:$A$256,0),0))</f>
        <v>0</v>
      </c>
      <c r="R3545" s="39" t="n">
        <f aca="false">IF($A3545="",-1,IF($J3545=Setup!$B$7,1,IF($J3545=Setup!$B$9,0,-1)))</f>
        <v>-1</v>
      </c>
      <c r="S3545" s="35" t="n">
        <f aca="false">IF(OR($A3545="",$Q3545=0,$R3545=-1),0,$Q3545*1000+$R3545*100+$K3545)</f>
        <v>0</v>
      </c>
      <c r="T3545" s="37" t="str">
        <f aca="false">IF($A3545="","",IF($B3545="","NO ACCOUNT",IF($Q3545=0,"UNMAPPED",IF($R3545=-1,"OUTSIDE FY RANGE","OK"))))</f>
        <v/>
      </c>
      <c r="U3545" s="40" t="str">
        <f aca="false">IF($A3545="","",$B3545&amp;"|"&amp;TEXT($A3545,"yyyymmdd")&amp;"|"&amp;TEXT($I3545,"0.00"))</f>
        <v/>
      </c>
      <c r="V3545" s="35" t="str">
        <f aca="false">IF($A3545="","",COUNTIF($U$8:$U$5007,$U3545))</f>
        <v/>
      </c>
    </row>
    <row r="3546" customFormat="false" ht="15" hidden="false" customHeight="false" outlineLevel="0" collapsed="false">
      <c r="A3546" s="31"/>
      <c r="B3546" s="32"/>
      <c r="C3546" s="32"/>
      <c r="D3546" s="32"/>
      <c r="E3546" s="32"/>
      <c r="F3546" s="32"/>
      <c r="G3546" s="33"/>
      <c r="H3546" s="33"/>
      <c r="I3546" s="34" t="str">
        <f aca="false">IF($A3546="","",$G3546-$H3546)</f>
        <v/>
      </c>
      <c r="J3546" s="35" t="str">
        <f aca="false">IF($A3546="","",IF(Setup!$B$6=1,YEAR($A3546),YEAR($A3546)+IF(MONTH($A3546)&gt;=Setup!$B$6,1,0)))</f>
        <v/>
      </c>
      <c r="K3546" s="35" t="str">
        <f aca="false">IF($A3546="","",MOD(MONTH($A3546)-Setup!$B$6+12,12)+1)</f>
        <v/>
      </c>
      <c r="L3546" s="36" t="str">
        <f aca="false">IF($A3546="","",TEXT($A3546,"MMM-YY"))</f>
        <v/>
      </c>
      <c r="M3546" s="37" t="str">
        <f aca="false">IF($A3546="","",IF($Q3546=0,"UNMAPPED",INDEX(COA_Mapping!$C$7:$C$256,$Q3546)))</f>
        <v/>
      </c>
      <c r="N3546" s="38" t="str">
        <f aca="false">IF($A3546="","",IF($Q3546=0,"",INDEX(COA_Mapping!$E$7:$E$256,$Q3546)))</f>
        <v/>
      </c>
      <c r="O3546" s="38" t="n">
        <f aca="false">IF($A3546="",1,IF($Q3546=0,1,INDEX(COA_Mapping!$F$7:$F$256,$Q3546)))</f>
        <v>1</v>
      </c>
      <c r="P3546" s="34" t="str">
        <f aca="false">IF($A3546="","",$I3546*$O3546)</f>
        <v/>
      </c>
      <c r="Q3546" s="39" t="n">
        <f aca="false">IF($B3546="",0,IFERROR(MATCH($B3546,COA_Mapping!$A$7:$A$256,0),0))</f>
        <v>0</v>
      </c>
      <c r="R3546" s="39" t="n">
        <f aca="false">IF($A3546="",-1,IF($J3546=Setup!$B$7,1,IF($J3546=Setup!$B$9,0,-1)))</f>
        <v>-1</v>
      </c>
      <c r="S3546" s="35" t="n">
        <f aca="false">IF(OR($A3546="",$Q3546=0,$R3546=-1),0,$Q3546*1000+$R3546*100+$K3546)</f>
        <v>0</v>
      </c>
      <c r="T3546" s="37" t="str">
        <f aca="false">IF($A3546="","",IF($B3546="","NO ACCOUNT",IF($Q3546=0,"UNMAPPED",IF($R3546=-1,"OUTSIDE FY RANGE","OK"))))</f>
        <v/>
      </c>
      <c r="U3546" s="40" t="str">
        <f aca="false">IF($A3546="","",$B3546&amp;"|"&amp;TEXT($A3546,"yyyymmdd")&amp;"|"&amp;TEXT($I3546,"0.00"))</f>
        <v/>
      </c>
      <c r="V3546" s="35" t="str">
        <f aca="false">IF($A3546="","",COUNTIF($U$8:$U$5007,$U3546))</f>
        <v/>
      </c>
    </row>
    <row r="3547" customFormat="false" ht="15" hidden="false" customHeight="false" outlineLevel="0" collapsed="false">
      <c r="A3547" s="31"/>
      <c r="B3547" s="32"/>
      <c r="C3547" s="32"/>
      <c r="D3547" s="32"/>
      <c r="E3547" s="32"/>
      <c r="F3547" s="32"/>
      <c r="G3547" s="33"/>
      <c r="H3547" s="33"/>
      <c r="I3547" s="34" t="str">
        <f aca="false">IF($A3547="","",$G3547-$H3547)</f>
        <v/>
      </c>
      <c r="J3547" s="35" t="str">
        <f aca="false">IF($A3547="","",IF(Setup!$B$6=1,YEAR($A3547),YEAR($A3547)+IF(MONTH($A3547)&gt;=Setup!$B$6,1,0)))</f>
        <v/>
      </c>
      <c r="K3547" s="35" t="str">
        <f aca="false">IF($A3547="","",MOD(MONTH($A3547)-Setup!$B$6+12,12)+1)</f>
        <v/>
      </c>
      <c r="L3547" s="36" t="str">
        <f aca="false">IF($A3547="","",TEXT($A3547,"MMM-YY"))</f>
        <v/>
      </c>
      <c r="M3547" s="37" t="str">
        <f aca="false">IF($A3547="","",IF($Q3547=0,"UNMAPPED",INDEX(COA_Mapping!$C$7:$C$256,$Q3547)))</f>
        <v/>
      </c>
      <c r="N3547" s="38" t="str">
        <f aca="false">IF($A3547="","",IF($Q3547=0,"",INDEX(COA_Mapping!$E$7:$E$256,$Q3547)))</f>
        <v/>
      </c>
      <c r="O3547" s="38" t="n">
        <f aca="false">IF($A3547="",1,IF($Q3547=0,1,INDEX(COA_Mapping!$F$7:$F$256,$Q3547)))</f>
        <v>1</v>
      </c>
      <c r="P3547" s="34" t="str">
        <f aca="false">IF($A3547="","",$I3547*$O3547)</f>
        <v/>
      </c>
      <c r="Q3547" s="39" t="n">
        <f aca="false">IF($B3547="",0,IFERROR(MATCH($B3547,COA_Mapping!$A$7:$A$256,0),0))</f>
        <v>0</v>
      </c>
      <c r="R3547" s="39" t="n">
        <f aca="false">IF($A3547="",-1,IF($J3547=Setup!$B$7,1,IF($J3547=Setup!$B$9,0,-1)))</f>
        <v>-1</v>
      </c>
      <c r="S3547" s="35" t="n">
        <f aca="false">IF(OR($A3547="",$Q3547=0,$R3547=-1),0,$Q3547*1000+$R3547*100+$K3547)</f>
        <v>0</v>
      </c>
      <c r="T3547" s="37" t="str">
        <f aca="false">IF($A3547="","",IF($B3547="","NO ACCOUNT",IF($Q3547=0,"UNMAPPED",IF($R3547=-1,"OUTSIDE FY RANGE","OK"))))</f>
        <v/>
      </c>
      <c r="U3547" s="40" t="str">
        <f aca="false">IF($A3547="","",$B3547&amp;"|"&amp;TEXT($A3547,"yyyymmdd")&amp;"|"&amp;TEXT($I3547,"0.00"))</f>
        <v/>
      </c>
      <c r="V3547" s="35" t="str">
        <f aca="false">IF($A3547="","",COUNTIF($U$8:$U$5007,$U3547))</f>
        <v/>
      </c>
    </row>
    <row r="3548" customFormat="false" ht="15" hidden="false" customHeight="false" outlineLevel="0" collapsed="false">
      <c r="A3548" s="31"/>
      <c r="B3548" s="32"/>
      <c r="C3548" s="32"/>
      <c r="D3548" s="32"/>
      <c r="E3548" s="32"/>
      <c r="F3548" s="32"/>
      <c r="G3548" s="33"/>
      <c r="H3548" s="33"/>
      <c r="I3548" s="34" t="str">
        <f aca="false">IF($A3548="","",$G3548-$H3548)</f>
        <v/>
      </c>
      <c r="J3548" s="35" t="str">
        <f aca="false">IF($A3548="","",IF(Setup!$B$6=1,YEAR($A3548),YEAR($A3548)+IF(MONTH($A3548)&gt;=Setup!$B$6,1,0)))</f>
        <v/>
      </c>
      <c r="K3548" s="35" t="str">
        <f aca="false">IF($A3548="","",MOD(MONTH($A3548)-Setup!$B$6+12,12)+1)</f>
        <v/>
      </c>
      <c r="L3548" s="36" t="str">
        <f aca="false">IF($A3548="","",TEXT($A3548,"MMM-YY"))</f>
        <v/>
      </c>
      <c r="M3548" s="37" t="str">
        <f aca="false">IF($A3548="","",IF($Q3548=0,"UNMAPPED",INDEX(COA_Mapping!$C$7:$C$256,$Q3548)))</f>
        <v/>
      </c>
      <c r="N3548" s="38" t="str">
        <f aca="false">IF($A3548="","",IF($Q3548=0,"",INDEX(COA_Mapping!$E$7:$E$256,$Q3548)))</f>
        <v/>
      </c>
      <c r="O3548" s="38" t="n">
        <f aca="false">IF($A3548="",1,IF($Q3548=0,1,INDEX(COA_Mapping!$F$7:$F$256,$Q3548)))</f>
        <v>1</v>
      </c>
      <c r="P3548" s="34" t="str">
        <f aca="false">IF($A3548="","",$I3548*$O3548)</f>
        <v/>
      </c>
      <c r="Q3548" s="39" t="n">
        <f aca="false">IF($B3548="",0,IFERROR(MATCH($B3548,COA_Mapping!$A$7:$A$256,0),0))</f>
        <v>0</v>
      </c>
      <c r="R3548" s="39" t="n">
        <f aca="false">IF($A3548="",-1,IF($J3548=Setup!$B$7,1,IF($J3548=Setup!$B$9,0,-1)))</f>
        <v>-1</v>
      </c>
      <c r="S3548" s="35" t="n">
        <f aca="false">IF(OR($A3548="",$Q3548=0,$R3548=-1),0,$Q3548*1000+$R3548*100+$K3548)</f>
        <v>0</v>
      </c>
      <c r="T3548" s="37" t="str">
        <f aca="false">IF($A3548="","",IF($B3548="","NO ACCOUNT",IF($Q3548=0,"UNMAPPED",IF($R3548=-1,"OUTSIDE FY RANGE","OK"))))</f>
        <v/>
      </c>
      <c r="U3548" s="40" t="str">
        <f aca="false">IF($A3548="","",$B3548&amp;"|"&amp;TEXT($A3548,"yyyymmdd")&amp;"|"&amp;TEXT($I3548,"0.00"))</f>
        <v/>
      </c>
      <c r="V3548" s="35" t="str">
        <f aca="false">IF($A3548="","",COUNTIF($U$8:$U$5007,$U3548))</f>
        <v/>
      </c>
    </row>
    <row r="3549" customFormat="false" ht="15" hidden="false" customHeight="false" outlineLevel="0" collapsed="false">
      <c r="A3549" s="31"/>
      <c r="B3549" s="32"/>
      <c r="C3549" s="32"/>
      <c r="D3549" s="32"/>
      <c r="E3549" s="32"/>
      <c r="F3549" s="32"/>
      <c r="G3549" s="33"/>
      <c r="H3549" s="33"/>
      <c r="I3549" s="34" t="str">
        <f aca="false">IF($A3549="","",$G3549-$H3549)</f>
        <v/>
      </c>
      <c r="J3549" s="35" t="str">
        <f aca="false">IF($A3549="","",IF(Setup!$B$6=1,YEAR($A3549),YEAR($A3549)+IF(MONTH($A3549)&gt;=Setup!$B$6,1,0)))</f>
        <v/>
      </c>
      <c r="K3549" s="35" t="str">
        <f aca="false">IF($A3549="","",MOD(MONTH($A3549)-Setup!$B$6+12,12)+1)</f>
        <v/>
      </c>
      <c r="L3549" s="36" t="str">
        <f aca="false">IF($A3549="","",TEXT($A3549,"MMM-YY"))</f>
        <v/>
      </c>
      <c r="M3549" s="37" t="str">
        <f aca="false">IF($A3549="","",IF($Q3549=0,"UNMAPPED",INDEX(COA_Mapping!$C$7:$C$256,$Q3549)))</f>
        <v/>
      </c>
      <c r="N3549" s="38" t="str">
        <f aca="false">IF($A3549="","",IF($Q3549=0,"",INDEX(COA_Mapping!$E$7:$E$256,$Q3549)))</f>
        <v/>
      </c>
      <c r="O3549" s="38" t="n">
        <f aca="false">IF($A3549="",1,IF($Q3549=0,1,INDEX(COA_Mapping!$F$7:$F$256,$Q3549)))</f>
        <v>1</v>
      </c>
      <c r="P3549" s="34" t="str">
        <f aca="false">IF($A3549="","",$I3549*$O3549)</f>
        <v/>
      </c>
      <c r="Q3549" s="39" t="n">
        <f aca="false">IF($B3549="",0,IFERROR(MATCH($B3549,COA_Mapping!$A$7:$A$256,0),0))</f>
        <v>0</v>
      </c>
      <c r="R3549" s="39" t="n">
        <f aca="false">IF($A3549="",-1,IF($J3549=Setup!$B$7,1,IF($J3549=Setup!$B$9,0,-1)))</f>
        <v>-1</v>
      </c>
      <c r="S3549" s="35" t="n">
        <f aca="false">IF(OR($A3549="",$Q3549=0,$R3549=-1),0,$Q3549*1000+$R3549*100+$K3549)</f>
        <v>0</v>
      </c>
      <c r="T3549" s="37" t="str">
        <f aca="false">IF($A3549="","",IF($B3549="","NO ACCOUNT",IF($Q3549=0,"UNMAPPED",IF($R3549=-1,"OUTSIDE FY RANGE","OK"))))</f>
        <v/>
      </c>
      <c r="U3549" s="40" t="str">
        <f aca="false">IF($A3549="","",$B3549&amp;"|"&amp;TEXT($A3549,"yyyymmdd")&amp;"|"&amp;TEXT($I3549,"0.00"))</f>
        <v/>
      </c>
      <c r="V3549" s="35" t="str">
        <f aca="false">IF($A3549="","",COUNTIF($U$8:$U$5007,$U3549))</f>
        <v/>
      </c>
    </row>
    <row r="3550" customFormat="false" ht="15" hidden="false" customHeight="false" outlineLevel="0" collapsed="false">
      <c r="A3550" s="31"/>
      <c r="B3550" s="32"/>
      <c r="C3550" s="32"/>
      <c r="D3550" s="32"/>
      <c r="E3550" s="32"/>
      <c r="F3550" s="32"/>
      <c r="G3550" s="33"/>
      <c r="H3550" s="33"/>
      <c r="I3550" s="34" t="str">
        <f aca="false">IF($A3550="","",$G3550-$H3550)</f>
        <v/>
      </c>
      <c r="J3550" s="35" t="str">
        <f aca="false">IF($A3550="","",IF(Setup!$B$6=1,YEAR($A3550),YEAR($A3550)+IF(MONTH($A3550)&gt;=Setup!$B$6,1,0)))</f>
        <v/>
      </c>
      <c r="K3550" s="35" t="str">
        <f aca="false">IF($A3550="","",MOD(MONTH($A3550)-Setup!$B$6+12,12)+1)</f>
        <v/>
      </c>
      <c r="L3550" s="36" t="str">
        <f aca="false">IF($A3550="","",TEXT($A3550,"MMM-YY"))</f>
        <v/>
      </c>
      <c r="M3550" s="37" t="str">
        <f aca="false">IF($A3550="","",IF($Q3550=0,"UNMAPPED",INDEX(COA_Mapping!$C$7:$C$256,$Q3550)))</f>
        <v/>
      </c>
      <c r="N3550" s="38" t="str">
        <f aca="false">IF($A3550="","",IF($Q3550=0,"",INDEX(COA_Mapping!$E$7:$E$256,$Q3550)))</f>
        <v/>
      </c>
      <c r="O3550" s="38" t="n">
        <f aca="false">IF($A3550="",1,IF($Q3550=0,1,INDEX(COA_Mapping!$F$7:$F$256,$Q3550)))</f>
        <v>1</v>
      </c>
      <c r="P3550" s="34" t="str">
        <f aca="false">IF($A3550="","",$I3550*$O3550)</f>
        <v/>
      </c>
      <c r="Q3550" s="39" t="n">
        <f aca="false">IF($B3550="",0,IFERROR(MATCH($B3550,COA_Mapping!$A$7:$A$256,0),0))</f>
        <v>0</v>
      </c>
      <c r="R3550" s="39" t="n">
        <f aca="false">IF($A3550="",-1,IF($J3550=Setup!$B$7,1,IF($J3550=Setup!$B$9,0,-1)))</f>
        <v>-1</v>
      </c>
      <c r="S3550" s="35" t="n">
        <f aca="false">IF(OR($A3550="",$Q3550=0,$R3550=-1),0,$Q3550*1000+$R3550*100+$K3550)</f>
        <v>0</v>
      </c>
      <c r="T3550" s="37" t="str">
        <f aca="false">IF($A3550="","",IF($B3550="","NO ACCOUNT",IF($Q3550=0,"UNMAPPED",IF($R3550=-1,"OUTSIDE FY RANGE","OK"))))</f>
        <v/>
      </c>
      <c r="U3550" s="40" t="str">
        <f aca="false">IF($A3550="","",$B3550&amp;"|"&amp;TEXT($A3550,"yyyymmdd")&amp;"|"&amp;TEXT($I3550,"0.00"))</f>
        <v/>
      </c>
      <c r="V3550" s="35" t="str">
        <f aca="false">IF($A3550="","",COUNTIF($U$8:$U$5007,$U3550))</f>
        <v/>
      </c>
    </row>
    <row r="3551" customFormat="false" ht="15" hidden="false" customHeight="false" outlineLevel="0" collapsed="false">
      <c r="A3551" s="31"/>
      <c r="B3551" s="32"/>
      <c r="C3551" s="32"/>
      <c r="D3551" s="32"/>
      <c r="E3551" s="32"/>
      <c r="F3551" s="32"/>
      <c r="G3551" s="33"/>
      <c r="H3551" s="33"/>
      <c r="I3551" s="34" t="str">
        <f aca="false">IF($A3551="","",$G3551-$H3551)</f>
        <v/>
      </c>
      <c r="J3551" s="35" t="str">
        <f aca="false">IF($A3551="","",IF(Setup!$B$6=1,YEAR($A3551),YEAR($A3551)+IF(MONTH($A3551)&gt;=Setup!$B$6,1,0)))</f>
        <v/>
      </c>
      <c r="K3551" s="35" t="str">
        <f aca="false">IF($A3551="","",MOD(MONTH($A3551)-Setup!$B$6+12,12)+1)</f>
        <v/>
      </c>
      <c r="L3551" s="36" t="str">
        <f aca="false">IF($A3551="","",TEXT($A3551,"MMM-YY"))</f>
        <v/>
      </c>
      <c r="M3551" s="37" t="str">
        <f aca="false">IF($A3551="","",IF($Q3551=0,"UNMAPPED",INDEX(COA_Mapping!$C$7:$C$256,$Q3551)))</f>
        <v/>
      </c>
      <c r="N3551" s="38" t="str">
        <f aca="false">IF($A3551="","",IF($Q3551=0,"",INDEX(COA_Mapping!$E$7:$E$256,$Q3551)))</f>
        <v/>
      </c>
      <c r="O3551" s="38" t="n">
        <f aca="false">IF($A3551="",1,IF($Q3551=0,1,INDEX(COA_Mapping!$F$7:$F$256,$Q3551)))</f>
        <v>1</v>
      </c>
      <c r="P3551" s="34" t="str">
        <f aca="false">IF($A3551="","",$I3551*$O3551)</f>
        <v/>
      </c>
      <c r="Q3551" s="39" t="n">
        <f aca="false">IF($B3551="",0,IFERROR(MATCH($B3551,COA_Mapping!$A$7:$A$256,0),0))</f>
        <v>0</v>
      </c>
      <c r="R3551" s="39" t="n">
        <f aca="false">IF($A3551="",-1,IF($J3551=Setup!$B$7,1,IF($J3551=Setup!$B$9,0,-1)))</f>
        <v>-1</v>
      </c>
      <c r="S3551" s="35" t="n">
        <f aca="false">IF(OR($A3551="",$Q3551=0,$R3551=-1),0,$Q3551*1000+$R3551*100+$K3551)</f>
        <v>0</v>
      </c>
      <c r="T3551" s="37" t="str">
        <f aca="false">IF($A3551="","",IF($B3551="","NO ACCOUNT",IF($Q3551=0,"UNMAPPED",IF($R3551=-1,"OUTSIDE FY RANGE","OK"))))</f>
        <v/>
      </c>
      <c r="U3551" s="40" t="str">
        <f aca="false">IF($A3551="","",$B3551&amp;"|"&amp;TEXT($A3551,"yyyymmdd")&amp;"|"&amp;TEXT($I3551,"0.00"))</f>
        <v/>
      </c>
      <c r="V3551" s="35" t="str">
        <f aca="false">IF($A3551="","",COUNTIF($U$8:$U$5007,$U3551))</f>
        <v/>
      </c>
    </row>
    <row r="3552" customFormat="false" ht="15" hidden="false" customHeight="false" outlineLevel="0" collapsed="false">
      <c r="A3552" s="31"/>
      <c r="B3552" s="32"/>
      <c r="C3552" s="32"/>
      <c r="D3552" s="32"/>
      <c r="E3552" s="32"/>
      <c r="F3552" s="32"/>
      <c r="G3552" s="33"/>
      <c r="H3552" s="33"/>
      <c r="I3552" s="34" t="str">
        <f aca="false">IF($A3552="","",$G3552-$H3552)</f>
        <v/>
      </c>
      <c r="J3552" s="35" t="str">
        <f aca="false">IF($A3552="","",IF(Setup!$B$6=1,YEAR($A3552),YEAR($A3552)+IF(MONTH($A3552)&gt;=Setup!$B$6,1,0)))</f>
        <v/>
      </c>
      <c r="K3552" s="35" t="str">
        <f aca="false">IF($A3552="","",MOD(MONTH($A3552)-Setup!$B$6+12,12)+1)</f>
        <v/>
      </c>
      <c r="L3552" s="36" t="str">
        <f aca="false">IF($A3552="","",TEXT($A3552,"MMM-YY"))</f>
        <v/>
      </c>
      <c r="M3552" s="37" t="str">
        <f aca="false">IF($A3552="","",IF($Q3552=0,"UNMAPPED",INDEX(COA_Mapping!$C$7:$C$256,$Q3552)))</f>
        <v/>
      </c>
      <c r="N3552" s="38" t="str">
        <f aca="false">IF($A3552="","",IF($Q3552=0,"",INDEX(COA_Mapping!$E$7:$E$256,$Q3552)))</f>
        <v/>
      </c>
      <c r="O3552" s="38" t="n">
        <f aca="false">IF($A3552="",1,IF($Q3552=0,1,INDEX(COA_Mapping!$F$7:$F$256,$Q3552)))</f>
        <v>1</v>
      </c>
      <c r="P3552" s="34" t="str">
        <f aca="false">IF($A3552="","",$I3552*$O3552)</f>
        <v/>
      </c>
      <c r="Q3552" s="39" t="n">
        <f aca="false">IF($B3552="",0,IFERROR(MATCH($B3552,COA_Mapping!$A$7:$A$256,0),0))</f>
        <v>0</v>
      </c>
      <c r="R3552" s="39" t="n">
        <f aca="false">IF($A3552="",-1,IF($J3552=Setup!$B$7,1,IF($J3552=Setup!$B$9,0,-1)))</f>
        <v>-1</v>
      </c>
      <c r="S3552" s="35" t="n">
        <f aca="false">IF(OR($A3552="",$Q3552=0,$R3552=-1),0,$Q3552*1000+$R3552*100+$K3552)</f>
        <v>0</v>
      </c>
      <c r="T3552" s="37" t="str">
        <f aca="false">IF($A3552="","",IF($B3552="","NO ACCOUNT",IF($Q3552=0,"UNMAPPED",IF($R3552=-1,"OUTSIDE FY RANGE","OK"))))</f>
        <v/>
      </c>
      <c r="U3552" s="40" t="str">
        <f aca="false">IF($A3552="","",$B3552&amp;"|"&amp;TEXT($A3552,"yyyymmdd")&amp;"|"&amp;TEXT($I3552,"0.00"))</f>
        <v/>
      </c>
      <c r="V3552" s="35" t="str">
        <f aca="false">IF($A3552="","",COUNTIF($U$8:$U$5007,$U3552))</f>
        <v/>
      </c>
    </row>
    <row r="3553" customFormat="false" ht="15" hidden="false" customHeight="false" outlineLevel="0" collapsed="false">
      <c r="A3553" s="31"/>
      <c r="B3553" s="32"/>
      <c r="C3553" s="32"/>
      <c r="D3553" s="32"/>
      <c r="E3553" s="32"/>
      <c r="F3553" s="32"/>
      <c r="G3553" s="33"/>
      <c r="H3553" s="33"/>
      <c r="I3553" s="34" t="str">
        <f aca="false">IF($A3553="","",$G3553-$H3553)</f>
        <v/>
      </c>
      <c r="J3553" s="35" t="str">
        <f aca="false">IF($A3553="","",IF(Setup!$B$6=1,YEAR($A3553),YEAR($A3553)+IF(MONTH($A3553)&gt;=Setup!$B$6,1,0)))</f>
        <v/>
      </c>
      <c r="K3553" s="35" t="str">
        <f aca="false">IF($A3553="","",MOD(MONTH($A3553)-Setup!$B$6+12,12)+1)</f>
        <v/>
      </c>
      <c r="L3553" s="36" t="str">
        <f aca="false">IF($A3553="","",TEXT($A3553,"MMM-YY"))</f>
        <v/>
      </c>
      <c r="M3553" s="37" t="str">
        <f aca="false">IF($A3553="","",IF($Q3553=0,"UNMAPPED",INDEX(COA_Mapping!$C$7:$C$256,$Q3553)))</f>
        <v/>
      </c>
      <c r="N3553" s="38" t="str">
        <f aca="false">IF($A3553="","",IF($Q3553=0,"",INDEX(COA_Mapping!$E$7:$E$256,$Q3553)))</f>
        <v/>
      </c>
      <c r="O3553" s="38" t="n">
        <f aca="false">IF($A3553="",1,IF($Q3553=0,1,INDEX(COA_Mapping!$F$7:$F$256,$Q3553)))</f>
        <v>1</v>
      </c>
      <c r="P3553" s="34" t="str">
        <f aca="false">IF($A3553="","",$I3553*$O3553)</f>
        <v/>
      </c>
      <c r="Q3553" s="39" t="n">
        <f aca="false">IF($B3553="",0,IFERROR(MATCH($B3553,COA_Mapping!$A$7:$A$256,0),0))</f>
        <v>0</v>
      </c>
      <c r="R3553" s="39" t="n">
        <f aca="false">IF($A3553="",-1,IF($J3553=Setup!$B$7,1,IF($J3553=Setup!$B$9,0,-1)))</f>
        <v>-1</v>
      </c>
      <c r="S3553" s="35" t="n">
        <f aca="false">IF(OR($A3553="",$Q3553=0,$R3553=-1),0,$Q3553*1000+$R3553*100+$K3553)</f>
        <v>0</v>
      </c>
      <c r="T3553" s="37" t="str">
        <f aca="false">IF($A3553="","",IF($B3553="","NO ACCOUNT",IF($Q3553=0,"UNMAPPED",IF($R3553=-1,"OUTSIDE FY RANGE","OK"))))</f>
        <v/>
      </c>
      <c r="U3553" s="40" t="str">
        <f aca="false">IF($A3553="","",$B3553&amp;"|"&amp;TEXT($A3553,"yyyymmdd")&amp;"|"&amp;TEXT($I3553,"0.00"))</f>
        <v/>
      </c>
      <c r="V3553" s="35" t="str">
        <f aca="false">IF($A3553="","",COUNTIF($U$8:$U$5007,$U3553))</f>
        <v/>
      </c>
    </row>
    <row r="3554" customFormat="false" ht="15" hidden="false" customHeight="false" outlineLevel="0" collapsed="false">
      <c r="A3554" s="31"/>
      <c r="B3554" s="32"/>
      <c r="C3554" s="32"/>
      <c r="D3554" s="32"/>
      <c r="E3554" s="32"/>
      <c r="F3554" s="32"/>
      <c r="G3554" s="33"/>
      <c r="H3554" s="33"/>
      <c r="I3554" s="34" t="str">
        <f aca="false">IF($A3554="","",$G3554-$H3554)</f>
        <v/>
      </c>
      <c r="J3554" s="35" t="str">
        <f aca="false">IF($A3554="","",IF(Setup!$B$6=1,YEAR($A3554),YEAR($A3554)+IF(MONTH($A3554)&gt;=Setup!$B$6,1,0)))</f>
        <v/>
      </c>
      <c r="K3554" s="35" t="str">
        <f aca="false">IF($A3554="","",MOD(MONTH($A3554)-Setup!$B$6+12,12)+1)</f>
        <v/>
      </c>
      <c r="L3554" s="36" t="str">
        <f aca="false">IF($A3554="","",TEXT($A3554,"MMM-YY"))</f>
        <v/>
      </c>
      <c r="M3554" s="37" t="str">
        <f aca="false">IF($A3554="","",IF($Q3554=0,"UNMAPPED",INDEX(COA_Mapping!$C$7:$C$256,$Q3554)))</f>
        <v/>
      </c>
      <c r="N3554" s="38" t="str">
        <f aca="false">IF($A3554="","",IF($Q3554=0,"",INDEX(COA_Mapping!$E$7:$E$256,$Q3554)))</f>
        <v/>
      </c>
      <c r="O3554" s="38" t="n">
        <f aca="false">IF($A3554="",1,IF($Q3554=0,1,INDEX(COA_Mapping!$F$7:$F$256,$Q3554)))</f>
        <v>1</v>
      </c>
      <c r="P3554" s="34" t="str">
        <f aca="false">IF($A3554="","",$I3554*$O3554)</f>
        <v/>
      </c>
      <c r="Q3554" s="39" t="n">
        <f aca="false">IF($B3554="",0,IFERROR(MATCH($B3554,COA_Mapping!$A$7:$A$256,0),0))</f>
        <v>0</v>
      </c>
      <c r="R3554" s="39" t="n">
        <f aca="false">IF($A3554="",-1,IF($J3554=Setup!$B$7,1,IF($J3554=Setup!$B$9,0,-1)))</f>
        <v>-1</v>
      </c>
      <c r="S3554" s="35" t="n">
        <f aca="false">IF(OR($A3554="",$Q3554=0,$R3554=-1),0,$Q3554*1000+$R3554*100+$K3554)</f>
        <v>0</v>
      </c>
      <c r="T3554" s="37" t="str">
        <f aca="false">IF($A3554="","",IF($B3554="","NO ACCOUNT",IF($Q3554=0,"UNMAPPED",IF($R3554=-1,"OUTSIDE FY RANGE","OK"))))</f>
        <v/>
      </c>
      <c r="U3554" s="40" t="str">
        <f aca="false">IF($A3554="","",$B3554&amp;"|"&amp;TEXT($A3554,"yyyymmdd")&amp;"|"&amp;TEXT($I3554,"0.00"))</f>
        <v/>
      </c>
      <c r="V3554" s="35" t="str">
        <f aca="false">IF($A3554="","",COUNTIF($U$8:$U$5007,$U3554))</f>
        <v/>
      </c>
    </row>
    <row r="3555" customFormat="false" ht="15" hidden="false" customHeight="false" outlineLevel="0" collapsed="false">
      <c r="A3555" s="31"/>
      <c r="B3555" s="32"/>
      <c r="C3555" s="32"/>
      <c r="D3555" s="32"/>
      <c r="E3555" s="32"/>
      <c r="F3555" s="32"/>
      <c r="G3555" s="33"/>
      <c r="H3555" s="33"/>
      <c r="I3555" s="34" t="str">
        <f aca="false">IF($A3555="","",$G3555-$H3555)</f>
        <v/>
      </c>
      <c r="J3555" s="35" t="str">
        <f aca="false">IF($A3555="","",IF(Setup!$B$6=1,YEAR($A3555),YEAR($A3555)+IF(MONTH($A3555)&gt;=Setup!$B$6,1,0)))</f>
        <v/>
      </c>
      <c r="K3555" s="35" t="str">
        <f aca="false">IF($A3555="","",MOD(MONTH($A3555)-Setup!$B$6+12,12)+1)</f>
        <v/>
      </c>
      <c r="L3555" s="36" t="str">
        <f aca="false">IF($A3555="","",TEXT($A3555,"MMM-YY"))</f>
        <v/>
      </c>
      <c r="M3555" s="37" t="str">
        <f aca="false">IF($A3555="","",IF($Q3555=0,"UNMAPPED",INDEX(COA_Mapping!$C$7:$C$256,$Q3555)))</f>
        <v/>
      </c>
      <c r="N3555" s="38" t="str">
        <f aca="false">IF($A3555="","",IF($Q3555=0,"",INDEX(COA_Mapping!$E$7:$E$256,$Q3555)))</f>
        <v/>
      </c>
      <c r="O3555" s="38" t="n">
        <f aca="false">IF($A3555="",1,IF($Q3555=0,1,INDEX(COA_Mapping!$F$7:$F$256,$Q3555)))</f>
        <v>1</v>
      </c>
      <c r="P3555" s="34" t="str">
        <f aca="false">IF($A3555="","",$I3555*$O3555)</f>
        <v/>
      </c>
      <c r="Q3555" s="39" t="n">
        <f aca="false">IF($B3555="",0,IFERROR(MATCH($B3555,COA_Mapping!$A$7:$A$256,0),0))</f>
        <v>0</v>
      </c>
      <c r="R3555" s="39" t="n">
        <f aca="false">IF($A3555="",-1,IF($J3555=Setup!$B$7,1,IF($J3555=Setup!$B$9,0,-1)))</f>
        <v>-1</v>
      </c>
      <c r="S3555" s="35" t="n">
        <f aca="false">IF(OR($A3555="",$Q3555=0,$R3555=-1),0,$Q3555*1000+$R3555*100+$K3555)</f>
        <v>0</v>
      </c>
      <c r="T3555" s="37" t="str">
        <f aca="false">IF($A3555="","",IF($B3555="","NO ACCOUNT",IF($Q3555=0,"UNMAPPED",IF($R3555=-1,"OUTSIDE FY RANGE","OK"))))</f>
        <v/>
      </c>
      <c r="U3555" s="40" t="str">
        <f aca="false">IF($A3555="","",$B3555&amp;"|"&amp;TEXT($A3555,"yyyymmdd")&amp;"|"&amp;TEXT($I3555,"0.00"))</f>
        <v/>
      </c>
      <c r="V3555" s="35" t="str">
        <f aca="false">IF($A3555="","",COUNTIF($U$8:$U$5007,$U3555))</f>
        <v/>
      </c>
    </row>
    <row r="3556" customFormat="false" ht="15" hidden="false" customHeight="false" outlineLevel="0" collapsed="false">
      <c r="A3556" s="31"/>
      <c r="B3556" s="32"/>
      <c r="C3556" s="32"/>
      <c r="D3556" s="32"/>
      <c r="E3556" s="32"/>
      <c r="F3556" s="32"/>
      <c r="G3556" s="33"/>
      <c r="H3556" s="33"/>
      <c r="I3556" s="34" t="str">
        <f aca="false">IF($A3556="","",$G3556-$H3556)</f>
        <v/>
      </c>
      <c r="J3556" s="35" t="str">
        <f aca="false">IF($A3556="","",IF(Setup!$B$6=1,YEAR($A3556),YEAR($A3556)+IF(MONTH($A3556)&gt;=Setup!$B$6,1,0)))</f>
        <v/>
      </c>
      <c r="K3556" s="35" t="str">
        <f aca="false">IF($A3556="","",MOD(MONTH($A3556)-Setup!$B$6+12,12)+1)</f>
        <v/>
      </c>
      <c r="L3556" s="36" t="str">
        <f aca="false">IF($A3556="","",TEXT($A3556,"MMM-YY"))</f>
        <v/>
      </c>
      <c r="M3556" s="37" t="str">
        <f aca="false">IF($A3556="","",IF($Q3556=0,"UNMAPPED",INDEX(COA_Mapping!$C$7:$C$256,$Q3556)))</f>
        <v/>
      </c>
      <c r="N3556" s="38" t="str">
        <f aca="false">IF($A3556="","",IF($Q3556=0,"",INDEX(COA_Mapping!$E$7:$E$256,$Q3556)))</f>
        <v/>
      </c>
      <c r="O3556" s="38" t="n">
        <f aca="false">IF($A3556="",1,IF($Q3556=0,1,INDEX(COA_Mapping!$F$7:$F$256,$Q3556)))</f>
        <v>1</v>
      </c>
      <c r="P3556" s="34" t="str">
        <f aca="false">IF($A3556="","",$I3556*$O3556)</f>
        <v/>
      </c>
      <c r="Q3556" s="39" t="n">
        <f aca="false">IF($B3556="",0,IFERROR(MATCH($B3556,COA_Mapping!$A$7:$A$256,0),0))</f>
        <v>0</v>
      </c>
      <c r="R3556" s="39" t="n">
        <f aca="false">IF($A3556="",-1,IF($J3556=Setup!$B$7,1,IF($J3556=Setup!$B$9,0,-1)))</f>
        <v>-1</v>
      </c>
      <c r="S3556" s="35" t="n">
        <f aca="false">IF(OR($A3556="",$Q3556=0,$R3556=-1),0,$Q3556*1000+$R3556*100+$K3556)</f>
        <v>0</v>
      </c>
      <c r="T3556" s="37" t="str">
        <f aca="false">IF($A3556="","",IF($B3556="","NO ACCOUNT",IF($Q3556=0,"UNMAPPED",IF($R3556=-1,"OUTSIDE FY RANGE","OK"))))</f>
        <v/>
      </c>
      <c r="U3556" s="40" t="str">
        <f aca="false">IF($A3556="","",$B3556&amp;"|"&amp;TEXT($A3556,"yyyymmdd")&amp;"|"&amp;TEXT($I3556,"0.00"))</f>
        <v/>
      </c>
      <c r="V3556" s="35" t="str">
        <f aca="false">IF($A3556="","",COUNTIF($U$8:$U$5007,$U3556))</f>
        <v/>
      </c>
    </row>
    <row r="3557" customFormat="false" ht="15" hidden="false" customHeight="false" outlineLevel="0" collapsed="false">
      <c r="A3557" s="31"/>
      <c r="B3557" s="32"/>
      <c r="C3557" s="32"/>
      <c r="D3557" s="32"/>
      <c r="E3557" s="32"/>
      <c r="F3557" s="32"/>
      <c r="G3557" s="33"/>
      <c r="H3557" s="33"/>
      <c r="I3557" s="34" t="str">
        <f aca="false">IF($A3557="","",$G3557-$H3557)</f>
        <v/>
      </c>
      <c r="J3557" s="35" t="str">
        <f aca="false">IF($A3557="","",IF(Setup!$B$6=1,YEAR($A3557),YEAR($A3557)+IF(MONTH($A3557)&gt;=Setup!$B$6,1,0)))</f>
        <v/>
      </c>
      <c r="K3557" s="35" t="str">
        <f aca="false">IF($A3557="","",MOD(MONTH($A3557)-Setup!$B$6+12,12)+1)</f>
        <v/>
      </c>
      <c r="L3557" s="36" t="str">
        <f aca="false">IF($A3557="","",TEXT($A3557,"MMM-YY"))</f>
        <v/>
      </c>
      <c r="M3557" s="37" t="str">
        <f aca="false">IF($A3557="","",IF($Q3557=0,"UNMAPPED",INDEX(COA_Mapping!$C$7:$C$256,$Q3557)))</f>
        <v/>
      </c>
      <c r="N3557" s="38" t="str">
        <f aca="false">IF($A3557="","",IF($Q3557=0,"",INDEX(COA_Mapping!$E$7:$E$256,$Q3557)))</f>
        <v/>
      </c>
      <c r="O3557" s="38" t="n">
        <f aca="false">IF($A3557="",1,IF($Q3557=0,1,INDEX(COA_Mapping!$F$7:$F$256,$Q3557)))</f>
        <v>1</v>
      </c>
      <c r="P3557" s="34" t="str">
        <f aca="false">IF($A3557="","",$I3557*$O3557)</f>
        <v/>
      </c>
      <c r="Q3557" s="39" t="n">
        <f aca="false">IF($B3557="",0,IFERROR(MATCH($B3557,COA_Mapping!$A$7:$A$256,0),0))</f>
        <v>0</v>
      </c>
      <c r="R3557" s="39" t="n">
        <f aca="false">IF($A3557="",-1,IF($J3557=Setup!$B$7,1,IF($J3557=Setup!$B$9,0,-1)))</f>
        <v>-1</v>
      </c>
      <c r="S3557" s="35" t="n">
        <f aca="false">IF(OR($A3557="",$Q3557=0,$R3557=-1),0,$Q3557*1000+$R3557*100+$K3557)</f>
        <v>0</v>
      </c>
      <c r="T3557" s="37" t="str">
        <f aca="false">IF($A3557="","",IF($B3557="","NO ACCOUNT",IF($Q3557=0,"UNMAPPED",IF($R3557=-1,"OUTSIDE FY RANGE","OK"))))</f>
        <v/>
      </c>
      <c r="U3557" s="40" t="str">
        <f aca="false">IF($A3557="","",$B3557&amp;"|"&amp;TEXT($A3557,"yyyymmdd")&amp;"|"&amp;TEXT($I3557,"0.00"))</f>
        <v/>
      </c>
      <c r="V3557" s="35" t="str">
        <f aca="false">IF($A3557="","",COUNTIF($U$8:$U$5007,$U3557))</f>
        <v/>
      </c>
    </row>
    <row r="3558" customFormat="false" ht="15" hidden="false" customHeight="false" outlineLevel="0" collapsed="false">
      <c r="A3558" s="31"/>
      <c r="B3558" s="32"/>
      <c r="C3558" s="32"/>
      <c r="D3558" s="32"/>
      <c r="E3558" s="32"/>
      <c r="F3558" s="32"/>
      <c r="G3558" s="33"/>
      <c r="H3558" s="33"/>
      <c r="I3558" s="34" t="str">
        <f aca="false">IF($A3558="","",$G3558-$H3558)</f>
        <v/>
      </c>
      <c r="J3558" s="35" t="str">
        <f aca="false">IF($A3558="","",IF(Setup!$B$6=1,YEAR($A3558),YEAR($A3558)+IF(MONTH($A3558)&gt;=Setup!$B$6,1,0)))</f>
        <v/>
      </c>
      <c r="K3558" s="35" t="str">
        <f aca="false">IF($A3558="","",MOD(MONTH($A3558)-Setup!$B$6+12,12)+1)</f>
        <v/>
      </c>
      <c r="L3558" s="36" t="str">
        <f aca="false">IF($A3558="","",TEXT($A3558,"MMM-YY"))</f>
        <v/>
      </c>
      <c r="M3558" s="37" t="str">
        <f aca="false">IF($A3558="","",IF($Q3558=0,"UNMAPPED",INDEX(COA_Mapping!$C$7:$C$256,$Q3558)))</f>
        <v/>
      </c>
      <c r="N3558" s="38" t="str">
        <f aca="false">IF($A3558="","",IF($Q3558=0,"",INDEX(COA_Mapping!$E$7:$E$256,$Q3558)))</f>
        <v/>
      </c>
      <c r="O3558" s="38" t="n">
        <f aca="false">IF($A3558="",1,IF($Q3558=0,1,INDEX(COA_Mapping!$F$7:$F$256,$Q3558)))</f>
        <v>1</v>
      </c>
      <c r="P3558" s="34" t="str">
        <f aca="false">IF($A3558="","",$I3558*$O3558)</f>
        <v/>
      </c>
      <c r="Q3558" s="39" t="n">
        <f aca="false">IF($B3558="",0,IFERROR(MATCH($B3558,COA_Mapping!$A$7:$A$256,0),0))</f>
        <v>0</v>
      </c>
      <c r="R3558" s="39" t="n">
        <f aca="false">IF($A3558="",-1,IF($J3558=Setup!$B$7,1,IF($J3558=Setup!$B$9,0,-1)))</f>
        <v>-1</v>
      </c>
      <c r="S3558" s="35" t="n">
        <f aca="false">IF(OR($A3558="",$Q3558=0,$R3558=-1),0,$Q3558*1000+$R3558*100+$K3558)</f>
        <v>0</v>
      </c>
      <c r="T3558" s="37" t="str">
        <f aca="false">IF($A3558="","",IF($B3558="","NO ACCOUNT",IF($Q3558=0,"UNMAPPED",IF($R3558=-1,"OUTSIDE FY RANGE","OK"))))</f>
        <v/>
      </c>
      <c r="U3558" s="40" t="str">
        <f aca="false">IF($A3558="","",$B3558&amp;"|"&amp;TEXT($A3558,"yyyymmdd")&amp;"|"&amp;TEXT($I3558,"0.00"))</f>
        <v/>
      </c>
      <c r="V3558" s="35" t="str">
        <f aca="false">IF($A3558="","",COUNTIF($U$8:$U$5007,$U3558))</f>
        <v/>
      </c>
    </row>
    <row r="3559" customFormat="false" ht="15" hidden="false" customHeight="false" outlineLevel="0" collapsed="false">
      <c r="A3559" s="31"/>
      <c r="B3559" s="32"/>
      <c r="C3559" s="32"/>
      <c r="D3559" s="32"/>
      <c r="E3559" s="32"/>
      <c r="F3559" s="32"/>
      <c r="G3559" s="33"/>
      <c r="H3559" s="33"/>
      <c r="I3559" s="34" t="str">
        <f aca="false">IF($A3559="","",$G3559-$H3559)</f>
        <v/>
      </c>
      <c r="J3559" s="35" t="str">
        <f aca="false">IF($A3559="","",IF(Setup!$B$6=1,YEAR($A3559),YEAR($A3559)+IF(MONTH($A3559)&gt;=Setup!$B$6,1,0)))</f>
        <v/>
      </c>
      <c r="K3559" s="35" t="str">
        <f aca="false">IF($A3559="","",MOD(MONTH($A3559)-Setup!$B$6+12,12)+1)</f>
        <v/>
      </c>
      <c r="L3559" s="36" t="str">
        <f aca="false">IF($A3559="","",TEXT($A3559,"MMM-YY"))</f>
        <v/>
      </c>
      <c r="M3559" s="37" t="str">
        <f aca="false">IF($A3559="","",IF($Q3559=0,"UNMAPPED",INDEX(COA_Mapping!$C$7:$C$256,$Q3559)))</f>
        <v/>
      </c>
      <c r="N3559" s="38" t="str">
        <f aca="false">IF($A3559="","",IF($Q3559=0,"",INDEX(COA_Mapping!$E$7:$E$256,$Q3559)))</f>
        <v/>
      </c>
      <c r="O3559" s="38" t="n">
        <f aca="false">IF($A3559="",1,IF($Q3559=0,1,INDEX(COA_Mapping!$F$7:$F$256,$Q3559)))</f>
        <v>1</v>
      </c>
      <c r="P3559" s="34" t="str">
        <f aca="false">IF($A3559="","",$I3559*$O3559)</f>
        <v/>
      </c>
      <c r="Q3559" s="39" t="n">
        <f aca="false">IF($B3559="",0,IFERROR(MATCH($B3559,COA_Mapping!$A$7:$A$256,0),0))</f>
        <v>0</v>
      </c>
      <c r="R3559" s="39" t="n">
        <f aca="false">IF($A3559="",-1,IF($J3559=Setup!$B$7,1,IF($J3559=Setup!$B$9,0,-1)))</f>
        <v>-1</v>
      </c>
      <c r="S3559" s="35" t="n">
        <f aca="false">IF(OR($A3559="",$Q3559=0,$R3559=-1),0,$Q3559*1000+$R3559*100+$K3559)</f>
        <v>0</v>
      </c>
      <c r="T3559" s="37" t="str">
        <f aca="false">IF($A3559="","",IF($B3559="","NO ACCOUNT",IF($Q3559=0,"UNMAPPED",IF($R3559=-1,"OUTSIDE FY RANGE","OK"))))</f>
        <v/>
      </c>
      <c r="U3559" s="40" t="str">
        <f aca="false">IF($A3559="","",$B3559&amp;"|"&amp;TEXT($A3559,"yyyymmdd")&amp;"|"&amp;TEXT($I3559,"0.00"))</f>
        <v/>
      </c>
      <c r="V3559" s="35" t="str">
        <f aca="false">IF($A3559="","",COUNTIF($U$8:$U$5007,$U3559))</f>
        <v/>
      </c>
    </row>
    <row r="3560" customFormat="false" ht="15" hidden="false" customHeight="false" outlineLevel="0" collapsed="false">
      <c r="A3560" s="31"/>
      <c r="B3560" s="32"/>
      <c r="C3560" s="32"/>
      <c r="D3560" s="32"/>
      <c r="E3560" s="32"/>
      <c r="F3560" s="32"/>
      <c r="G3560" s="33"/>
      <c r="H3560" s="33"/>
      <c r="I3560" s="34" t="str">
        <f aca="false">IF($A3560="","",$G3560-$H3560)</f>
        <v/>
      </c>
      <c r="J3560" s="35" t="str">
        <f aca="false">IF($A3560="","",IF(Setup!$B$6=1,YEAR($A3560),YEAR($A3560)+IF(MONTH($A3560)&gt;=Setup!$B$6,1,0)))</f>
        <v/>
      </c>
      <c r="K3560" s="35" t="str">
        <f aca="false">IF($A3560="","",MOD(MONTH($A3560)-Setup!$B$6+12,12)+1)</f>
        <v/>
      </c>
      <c r="L3560" s="36" t="str">
        <f aca="false">IF($A3560="","",TEXT($A3560,"MMM-YY"))</f>
        <v/>
      </c>
      <c r="M3560" s="37" t="str">
        <f aca="false">IF($A3560="","",IF($Q3560=0,"UNMAPPED",INDEX(COA_Mapping!$C$7:$C$256,$Q3560)))</f>
        <v/>
      </c>
      <c r="N3560" s="38" t="str">
        <f aca="false">IF($A3560="","",IF($Q3560=0,"",INDEX(COA_Mapping!$E$7:$E$256,$Q3560)))</f>
        <v/>
      </c>
      <c r="O3560" s="38" t="n">
        <f aca="false">IF($A3560="",1,IF($Q3560=0,1,INDEX(COA_Mapping!$F$7:$F$256,$Q3560)))</f>
        <v>1</v>
      </c>
      <c r="P3560" s="34" t="str">
        <f aca="false">IF($A3560="","",$I3560*$O3560)</f>
        <v/>
      </c>
      <c r="Q3560" s="39" t="n">
        <f aca="false">IF($B3560="",0,IFERROR(MATCH($B3560,COA_Mapping!$A$7:$A$256,0),0))</f>
        <v>0</v>
      </c>
      <c r="R3560" s="39" t="n">
        <f aca="false">IF($A3560="",-1,IF($J3560=Setup!$B$7,1,IF($J3560=Setup!$B$9,0,-1)))</f>
        <v>-1</v>
      </c>
      <c r="S3560" s="35" t="n">
        <f aca="false">IF(OR($A3560="",$Q3560=0,$R3560=-1),0,$Q3560*1000+$R3560*100+$K3560)</f>
        <v>0</v>
      </c>
      <c r="T3560" s="37" t="str">
        <f aca="false">IF($A3560="","",IF($B3560="","NO ACCOUNT",IF($Q3560=0,"UNMAPPED",IF($R3560=-1,"OUTSIDE FY RANGE","OK"))))</f>
        <v/>
      </c>
      <c r="U3560" s="40" t="str">
        <f aca="false">IF($A3560="","",$B3560&amp;"|"&amp;TEXT($A3560,"yyyymmdd")&amp;"|"&amp;TEXT($I3560,"0.00"))</f>
        <v/>
      </c>
      <c r="V3560" s="35" t="str">
        <f aca="false">IF($A3560="","",COUNTIF($U$8:$U$5007,$U3560))</f>
        <v/>
      </c>
    </row>
    <row r="3561" customFormat="false" ht="15" hidden="false" customHeight="false" outlineLevel="0" collapsed="false">
      <c r="A3561" s="31"/>
      <c r="B3561" s="32"/>
      <c r="C3561" s="32"/>
      <c r="D3561" s="32"/>
      <c r="E3561" s="32"/>
      <c r="F3561" s="32"/>
      <c r="G3561" s="33"/>
      <c r="H3561" s="33"/>
      <c r="I3561" s="34" t="str">
        <f aca="false">IF($A3561="","",$G3561-$H3561)</f>
        <v/>
      </c>
      <c r="J3561" s="35" t="str">
        <f aca="false">IF($A3561="","",IF(Setup!$B$6=1,YEAR($A3561),YEAR($A3561)+IF(MONTH($A3561)&gt;=Setup!$B$6,1,0)))</f>
        <v/>
      </c>
      <c r="K3561" s="35" t="str">
        <f aca="false">IF($A3561="","",MOD(MONTH($A3561)-Setup!$B$6+12,12)+1)</f>
        <v/>
      </c>
      <c r="L3561" s="36" t="str">
        <f aca="false">IF($A3561="","",TEXT($A3561,"MMM-YY"))</f>
        <v/>
      </c>
      <c r="M3561" s="37" t="str">
        <f aca="false">IF($A3561="","",IF($Q3561=0,"UNMAPPED",INDEX(COA_Mapping!$C$7:$C$256,$Q3561)))</f>
        <v/>
      </c>
      <c r="N3561" s="38" t="str">
        <f aca="false">IF($A3561="","",IF($Q3561=0,"",INDEX(COA_Mapping!$E$7:$E$256,$Q3561)))</f>
        <v/>
      </c>
      <c r="O3561" s="38" t="n">
        <f aca="false">IF($A3561="",1,IF($Q3561=0,1,INDEX(COA_Mapping!$F$7:$F$256,$Q3561)))</f>
        <v>1</v>
      </c>
      <c r="P3561" s="34" t="str">
        <f aca="false">IF($A3561="","",$I3561*$O3561)</f>
        <v/>
      </c>
      <c r="Q3561" s="39" t="n">
        <f aca="false">IF($B3561="",0,IFERROR(MATCH($B3561,COA_Mapping!$A$7:$A$256,0),0))</f>
        <v>0</v>
      </c>
      <c r="R3561" s="39" t="n">
        <f aca="false">IF($A3561="",-1,IF($J3561=Setup!$B$7,1,IF($J3561=Setup!$B$9,0,-1)))</f>
        <v>-1</v>
      </c>
      <c r="S3561" s="35" t="n">
        <f aca="false">IF(OR($A3561="",$Q3561=0,$R3561=-1),0,$Q3561*1000+$R3561*100+$K3561)</f>
        <v>0</v>
      </c>
      <c r="T3561" s="37" t="str">
        <f aca="false">IF($A3561="","",IF($B3561="","NO ACCOUNT",IF($Q3561=0,"UNMAPPED",IF($R3561=-1,"OUTSIDE FY RANGE","OK"))))</f>
        <v/>
      </c>
      <c r="U3561" s="40" t="str">
        <f aca="false">IF($A3561="","",$B3561&amp;"|"&amp;TEXT($A3561,"yyyymmdd")&amp;"|"&amp;TEXT($I3561,"0.00"))</f>
        <v/>
      </c>
      <c r="V3561" s="35" t="str">
        <f aca="false">IF($A3561="","",COUNTIF($U$8:$U$5007,$U3561))</f>
        <v/>
      </c>
    </row>
    <row r="3562" customFormat="false" ht="15" hidden="false" customHeight="false" outlineLevel="0" collapsed="false">
      <c r="A3562" s="31"/>
      <c r="B3562" s="32"/>
      <c r="C3562" s="32"/>
      <c r="D3562" s="32"/>
      <c r="E3562" s="32"/>
      <c r="F3562" s="32"/>
      <c r="G3562" s="33"/>
      <c r="H3562" s="33"/>
      <c r="I3562" s="34" t="str">
        <f aca="false">IF($A3562="","",$G3562-$H3562)</f>
        <v/>
      </c>
      <c r="J3562" s="35" t="str">
        <f aca="false">IF($A3562="","",IF(Setup!$B$6=1,YEAR($A3562),YEAR($A3562)+IF(MONTH($A3562)&gt;=Setup!$B$6,1,0)))</f>
        <v/>
      </c>
      <c r="K3562" s="35" t="str">
        <f aca="false">IF($A3562="","",MOD(MONTH($A3562)-Setup!$B$6+12,12)+1)</f>
        <v/>
      </c>
      <c r="L3562" s="36" t="str">
        <f aca="false">IF($A3562="","",TEXT($A3562,"MMM-YY"))</f>
        <v/>
      </c>
      <c r="M3562" s="37" t="str">
        <f aca="false">IF($A3562="","",IF($Q3562=0,"UNMAPPED",INDEX(COA_Mapping!$C$7:$C$256,$Q3562)))</f>
        <v/>
      </c>
      <c r="N3562" s="38" t="str">
        <f aca="false">IF($A3562="","",IF($Q3562=0,"",INDEX(COA_Mapping!$E$7:$E$256,$Q3562)))</f>
        <v/>
      </c>
      <c r="O3562" s="38" t="n">
        <f aca="false">IF($A3562="",1,IF($Q3562=0,1,INDEX(COA_Mapping!$F$7:$F$256,$Q3562)))</f>
        <v>1</v>
      </c>
      <c r="P3562" s="34" t="str">
        <f aca="false">IF($A3562="","",$I3562*$O3562)</f>
        <v/>
      </c>
      <c r="Q3562" s="39" t="n">
        <f aca="false">IF($B3562="",0,IFERROR(MATCH($B3562,COA_Mapping!$A$7:$A$256,0),0))</f>
        <v>0</v>
      </c>
      <c r="R3562" s="39" t="n">
        <f aca="false">IF($A3562="",-1,IF($J3562=Setup!$B$7,1,IF($J3562=Setup!$B$9,0,-1)))</f>
        <v>-1</v>
      </c>
      <c r="S3562" s="35" t="n">
        <f aca="false">IF(OR($A3562="",$Q3562=0,$R3562=-1),0,$Q3562*1000+$R3562*100+$K3562)</f>
        <v>0</v>
      </c>
      <c r="T3562" s="37" t="str">
        <f aca="false">IF($A3562="","",IF($B3562="","NO ACCOUNT",IF($Q3562=0,"UNMAPPED",IF($R3562=-1,"OUTSIDE FY RANGE","OK"))))</f>
        <v/>
      </c>
      <c r="U3562" s="40" t="str">
        <f aca="false">IF($A3562="","",$B3562&amp;"|"&amp;TEXT($A3562,"yyyymmdd")&amp;"|"&amp;TEXT($I3562,"0.00"))</f>
        <v/>
      </c>
      <c r="V3562" s="35" t="str">
        <f aca="false">IF($A3562="","",COUNTIF($U$8:$U$5007,$U3562))</f>
        <v/>
      </c>
    </row>
    <row r="3563" customFormat="false" ht="15" hidden="false" customHeight="false" outlineLevel="0" collapsed="false">
      <c r="A3563" s="31"/>
      <c r="B3563" s="32"/>
      <c r="C3563" s="32"/>
      <c r="D3563" s="32"/>
      <c r="E3563" s="32"/>
      <c r="F3563" s="32"/>
      <c r="G3563" s="33"/>
      <c r="H3563" s="33"/>
      <c r="I3563" s="34" t="str">
        <f aca="false">IF($A3563="","",$G3563-$H3563)</f>
        <v/>
      </c>
      <c r="J3563" s="35" t="str">
        <f aca="false">IF($A3563="","",IF(Setup!$B$6=1,YEAR($A3563),YEAR($A3563)+IF(MONTH($A3563)&gt;=Setup!$B$6,1,0)))</f>
        <v/>
      </c>
      <c r="K3563" s="35" t="str">
        <f aca="false">IF($A3563="","",MOD(MONTH($A3563)-Setup!$B$6+12,12)+1)</f>
        <v/>
      </c>
      <c r="L3563" s="36" t="str">
        <f aca="false">IF($A3563="","",TEXT($A3563,"MMM-YY"))</f>
        <v/>
      </c>
      <c r="M3563" s="37" t="str">
        <f aca="false">IF($A3563="","",IF($Q3563=0,"UNMAPPED",INDEX(COA_Mapping!$C$7:$C$256,$Q3563)))</f>
        <v/>
      </c>
      <c r="N3563" s="38" t="str">
        <f aca="false">IF($A3563="","",IF($Q3563=0,"",INDEX(COA_Mapping!$E$7:$E$256,$Q3563)))</f>
        <v/>
      </c>
      <c r="O3563" s="38" t="n">
        <f aca="false">IF($A3563="",1,IF($Q3563=0,1,INDEX(COA_Mapping!$F$7:$F$256,$Q3563)))</f>
        <v>1</v>
      </c>
      <c r="P3563" s="34" t="str">
        <f aca="false">IF($A3563="","",$I3563*$O3563)</f>
        <v/>
      </c>
      <c r="Q3563" s="39" t="n">
        <f aca="false">IF($B3563="",0,IFERROR(MATCH($B3563,COA_Mapping!$A$7:$A$256,0),0))</f>
        <v>0</v>
      </c>
      <c r="R3563" s="39" t="n">
        <f aca="false">IF($A3563="",-1,IF($J3563=Setup!$B$7,1,IF($J3563=Setup!$B$9,0,-1)))</f>
        <v>-1</v>
      </c>
      <c r="S3563" s="35" t="n">
        <f aca="false">IF(OR($A3563="",$Q3563=0,$R3563=-1),0,$Q3563*1000+$R3563*100+$K3563)</f>
        <v>0</v>
      </c>
      <c r="T3563" s="37" t="str">
        <f aca="false">IF($A3563="","",IF($B3563="","NO ACCOUNT",IF($Q3563=0,"UNMAPPED",IF($R3563=-1,"OUTSIDE FY RANGE","OK"))))</f>
        <v/>
      </c>
      <c r="U3563" s="40" t="str">
        <f aca="false">IF($A3563="","",$B3563&amp;"|"&amp;TEXT($A3563,"yyyymmdd")&amp;"|"&amp;TEXT($I3563,"0.00"))</f>
        <v/>
      </c>
      <c r="V3563" s="35" t="str">
        <f aca="false">IF($A3563="","",COUNTIF($U$8:$U$5007,$U3563))</f>
        <v/>
      </c>
    </row>
    <row r="3564" customFormat="false" ht="15" hidden="false" customHeight="false" outlineLevel="0" collapsed="false">
      <c r="A3564" s="31"/>
      <c r="B3564" s="32"/>
      <c r="C3564" s="32"/>
      <c r="D3564" s="32"/>
      <c r="E3564" s="32"/>
      <c r="F3564" s="32"/>
      <c r="G3564" s="33"/>
      <c r="H3564" s="33"/>
      <c r="I3564" s="34" t="str">
        <f aca="false">IF($A3564="","",$G3564-$H3564)</f>
        <v/>
      </c>
      <c r="J3564" s="35" t="str">
        <f aca="false">IF($A3564="","",IF(Setup!$B$6=1,YEAR($A3564),YEAR($A3564)+IF(MONTH($A3564)&gt;=Setup!$B$6,1,0)))</f>
        <v/>
      </c>
      <c r="K3564" s="35" t="str">
        <f aca="false">IF($A3564="","",MOD(MONTH($A3564)-Setup!$B$6+12,12)+1)</f>
        <v/>
      </c>
      <c r="L3564" s="36" t="str">
        <f aca="false">IF($A3564="","",TEXT($A3564,"MMM-YY"))</f>
        <v/>
      </c>
      <c r="M3564" s="37" t="str">
        <f aca="false">IF($A3564="","",IF($Q3564=0,"UNMAPPED",INDEX(COA_Mapping!$C$7:$C$256,$Q3564)))</f>
        <v/>
      </c>
      <c r="N3564" s="38" t="str">
        <f aca="false">IF($A3564="","",IF($Q3564=0,"",INDEX(COA_Mapping!$E$7:$E$256,$Q3564)))</f>
        <v/>
      </c>
      <c r="O3564" s="38" t="n">
        <f aca="false">IF($A3564="",1,IF($Q3564=0,1,INDEX(COA_Mapping!$F$7:$F$256,$Q3564)))</f>
        <v>1</v>
      </c>
      <c r="P3564" s="34" t="str">
        <f aca="false">IF($A3564="","",$I3564*$O3564)</f>
        <v/>
      </c>
      <c r="Q3564" s="39" t="n">
        <f aca="false">IF($B3564="",0,IFERROR(MATCH($B3564,COA_Mapping!$A$7:$A$256,0),0))</f>
        <v>0</v>
      </c>
      <c r="R3564" s="39" t="n">
        <f aca="false">IF($A3564="",-1,IF($J3564=Setup!$B$7,1,IF($J3564=Setup!$B$9,0,-1)))</f>
        <v>-1</v>
      </c>
      <c r="S3564" s="35" t="n">
        <f aca="false">IF(OR($A3564="",$Q3564=0,$R3564=-1),0,$Q3564*1000+$R3564*100+$K3564)</f>
        <v>0</v>
      </c>
      <c r="T3564" s="37" t="str">
        <f aca="false">IF($A3564="","",IF($B3564="","NO ACCOUNT",IF($Q3564=0,"UNMAPPED",IF($R3564=-1,"OUTSIDE FY RANGE","OK"))))</f>
        <v/>
      </c>
      <c r="U3564" s="40" t="str">
        <f aca="false">IF($A3564="","",$B3564&amp;"|"&amp;TEXT($A3564,"yyyymmdd")&amp;"|"&amp;TEXT($I3564,"0.00"))</f>
        <v/>
      </c>
      <c r="V3564" s="35" t="str">
        <f aca="false">IF($A3564="","",COUNTIF($U$8:$U$5007,$U3564))</f>
        <v/>
      </c>
    </row>
    <row r="3565" customFormat="false" ht="15" hidden="false" customHeight="false" outlineLevel="0" collapsed="false">
      <c r="A3565" s="31"/>
      <c r="B3565" s="32"/>
      <c r="C3565" s="32"/>
      <c r="D3565" s="32"/>
      <c r="E3565" s="32"/>
      <c r="F3565" s="32"/>
      <c r="G3565" s="33"/>
      <c r="H3565" s="33"/>
      <c r="I3565" s="34" t="str">
        <f aca="false">IF($A3565="","",$G3565-$H3565)</f>
        <v/>
      </c>
      <c r="J3565" s="35" t="str">
        <f aca="false">IF($A3565="","",IF(Setup!$B$6=1,YEAR($A3565),YEAR($A3565)+IF(MONTH($A3565)&gt;=Setup!$B$6,1,0)))</f>
        <v/>
      </c>
      <c r="K3565" s="35" t="str">
        <f aca="false">IF($A3565="","",MOD(MONTH($A3565)-Setup!$B$6+12,12)+1)</f>
        <v/>
      </c>
      <c r="L3565" s="36" t="str">
        <f aca="false">IF($A3565="","",TEXT($A3565,"MMM-YY"))</f>
        <v/>
      </c>
      <c r="M3565" s="37" t="str">
        <f aca="false">IF($A3565="","",IF($Q3565=0,"UNMAPPED",INDEX(COA_Mapping!$C$7:$C$256,$Q3565)))</f>
        <v/>
      </c>
      <c r="N3565" s="38" t="str">
        <f aca="false">IF($A3565="","",IF($Q3565=0,"",INDEX(COA_Mapping!$E$7:$E$256,$Q3565)))</f>
        <v/>
      </c>
      <c r="O3565" s="38" t="n">
        <f aca="false">IF($A3565="",1,IF($Q3565=0,1,INDEX(COA_Mapping!$F$7:$F$256,$Q3565)))</f>
        <v>1</v>
      </c>
      <c r="P3565" s="34" t="str">
        <f aca="false">IF($A3565="","",$I3565*$O3565)</f>
        <v/>
      </c>
      <c r="Q3565" s="39" t="n">
        <f aca="false">IF($B3565="",0,IFERROR(MATCH($B3565,COA_Mapping!$A$7:$A$256,0),0))</f>
        <v>0</v>
      </c>
      <c r="R3565" s="39" t="n">
        <f aca="false">IF($A3565="",-1,IF($J3565=Setup!$B$7,1,IF($J3565=Setup!$B$9,0,-1)))</f>
        <v>-1</v>
      </c>
      <c r="S3565" s="35" t="n">
        <f aca="false">IF(OR($A3565="",$Q3565=0,$R3565=-1),0,$Q3565*1000+$R3565*100+$K3565)</f>
        <v>0</v>
      </c>
      <c r="T3565" s="37" t="str">
        <f aca="false">IF($A3565="","",IF($B3565="","NO ACCOUNT",IF($Q3565=0,"UNMAPPED",IF($R3565=-1,"OUTSIDE FY RANGE","OK"))))</f>
        <v/>
      </c>
      <c r="U3565" s="40" t="str">
        <f aca="false">IF($A3565="","",$B3565&amp;"|"&amp;TEXT($A3565,"yyyymmdd")&amp;"|"&amp;TEXT($I3565,"0.00"))</f>
        <v/>
      </c>
      <c r="V3565" s="35" t="str">
        <f aca="false">IF($A3565="","",COUNTIF($U$8:$U$5007,$U3565))</f>
        <v/>
      </c>
    </row>
    <row r="3566" customFormat="false" ht="15" hidden="false" customHeight="false" outlineLevel="0" collapsed="false">
      <c r="A3566" s="31"/>
      <c r="B3566" s="32"/>
      <c r="C3566" s="32"/>
      <c r="D3566" s="32"/>
      <c r="E3566" s="32"/>
      <c r="F3566" s="32"/>
      <c r="G3566" s="33"/>
      <c r="H3566" s="33"/>
      <c r="I3566" s="34" t="str">
        <f aca="false">IF($A3566="","",$G3566-$H3566)</f>
        <v/>
      </c>
      <c r="J3566" s="35" t="str">
        <f aca="false">IF($A3566="","",IF(Setup!$B$6=1,YEAR($A3566),YEAR($A3566)+IF(MONTH($A3566)&gt;=Setup!$B$6,1,0)))</f>
        <v/>
      </c>
      <c r="K3566" s="35" t="str">
        <f aca="false">IF($A3566="","",MOD(MONTH($A3566)-Setup!$B$6+12,12)+1)</f>
        <v/>
      </c>
      <c r="L3566" s="36" t="str">
        <f aca="false">IF($A3566="","",TEXT($A3566,"MMM-YY"))</f>
        <v/>
      </c>
      <c r="M3566" s="37" t="str">
        <f aca="false">IF($A3566="","",IF($Q3566=0,"UNMAPPED",INDEX(COA_Mapping!$C$7:$C$256,$Q3566)))</f>
        <v/>
      </c>
      <c r="N3566" s="38" t="str">
        <f aca="false">IF($A3566="","",IF($Q3566=0,"",INDEX(COA_Mapping!$E$7:$E$256,$Q3566)))</f>
        <v/>
      </c>
      <c r="O3566" s="38" t="n">
        <f aca="false">IF($A3566="",1,IF($Q3566=0,1,INDEX(COA_Mapping!$F$7:$F$256,$Q3566)))</f>
        <v>1</v>
      </c>
      <c r="P3566" s="34" t="str">
        <f aca="false">IF($A3566="","",$I3566*$O3566)</f>
        <v/>
      </c>
      <c r="Q3566" s="39" t="n">
        <f aca="false">IF($B3566="",0,IFERROR(MATCH($B3566,COA_Mapping!$A$7:$A$256,0),0))</f>
        <v>0</v>
      </c>
      <c r="R3566" s="39" t="n">
        <f aca="false">IF($A3566="",-1,IF($J3566=Setup!$B$7,1,IF($J3566=Setup!$B$9,0,-1)))</f>
        <v>-1</v>
      </c>
      <c r="S3566" s="35" t="n">
        <f aca="false">IF(OR($A3566="",$Q3566=0,$R3566=-1),0,$Q3566*1000+$R3566*100+$K3566)</f>
        <v>0</v>
      </c>
      <c r="T3566" s="37" t="str">
        <f aca="false">IF($A3566="","",IF($B3566="","NO ACCOUNT",IF($Q3566=0,"UNMAPPED",IF($R3566=-1,"OUTSIDE FY RANGE","OK"))))</f>
        <v/>
      </c>
      <c r="U3566" s="40" t="str">
        <f aca="false">IF($A3566="","",$B3566&amp;"|"&amp;TEXT($A3566,"yyyymmdd")&amp;"|"&amp;TEXT($I3566,"0.00"))</f>
        <v/>
      </c>
      <c r="V3566" s="35" t="str">
        <f aca="false">IF($A3566="","",COUNTIF($U$8:$U$5007,$U3566))</f>
        <v/>
      </c>
    </row>
    <row r="3567" customFormat="false" ht="15" hidden="false" customHeight="false" outlineLevel="0" collapsed="false">
      <c r="A3567" s="31"/>
      <c r="B3567" s="32"/>
      <c r="C3567" s="32"/>
      <c r="D3567" s="32"/>
      <c r="E3567" s="32"/>
      <c r="F3567" s="32"/>
      <c r="G3567" s="33"/>
      <c r="H3567" s="33"/>
      <c r="I3567" s="34" t="str">
        <f aca="false">IF($A3567="","",$G3567-$H3567)</f>
        <v/>
      </c>
      <c r="J3567" s="35" t="str">
        <f aca="false">IF($A3567="","",IF(Setup!$B$6=1,YEAR($A3567),YEAR($A3567)+IF(MONTH($A3567)&gt;=Setup!$B$6,1,0)))</f>
        <v/>
      </c>
      <c r="K3567" s="35" t="str">
        <f aca="false">IF($A3567="","",MOD(MONTH($A3567)-Setup!$B$6+12,12)+1)</f>
        <v/>
      </c>
      <c r="L3567" s="36" t="str">
        <f aca="false">IF($A3567="","",TEXT($A3567,"MMM-YY"))</f>
        <v/>
      </c>
      <c r="M3567" s="37" t="str">
        <f aca="false">IF($A3567="","",IF($Q3567=0,"UNMAPPED",INDEX(COA_Mapping!$C$7:$C$256,$Q3567)))</f>
        <v/>
      </c>
      <c r="N3567" s="38" t="str">
        <f aca="false">IF($A3567="","",IF($Q3567=0,"",INDEX(COA_Mapping!$E$7:$E$256,$Q3567)))</f>
        <v/>
      </c>
      <c r="O3567" s="38" t="n">
        <f aca="false">IF($A3567="",1,IF($Q3567=0,1,INDEX(COA_Mapping!$F$7:$F$256,$Q3567)))</f>
        <v>1</v>
      </c>
      <c r="P3567" s="34" t="str">
        <f aca="false">IF($A3567="","",$I3567*$O3567)</f>
        <v/>
      </c>
      <c r="Q3567" s="39" t="n">
        <f aca="false">IF($B3567="",0,IFERROR(MATCH($B3567,COA_Mapping!$A$7:$A$256,0),0))</f>
        <v>0</v>
      </c>
      <c r="R3567" s="39" t="n">
        <f aca="false">IF($A3567="",-1,IF($J3567=Setup!$B$7,1,IF($J3567=Setup!$B$9,0,-1)))</f>
        <v>-1</v>
      </c>
      <c r="S3567" s="35" t="n">
        <f aca="false">IF(OR($A3567="",$Q3567=0,$R3567=-1),0,$Q3567*1000+$R3567*100+$K3567)</f>
        <v>0</v>
      </c>
      <c r="T3567" s="37" t="str">
        <f aca="false">IF($A3567="","",IF($B3567="","NO ACCOUNT",IF($Q3567=0,"UNMAPPED",IF($R3567=-1,"OUTSIDE FY RANGE","OK"))))</f>
        <v/>
      </c>
      <c r="U3567" s="40" t="str">
        <f aca="false">IF($A3567="","",$B3567&amp;"|"&amp;TEXT($A3567,"yyyymmdd")&amp;"|"&amp;TEXT($I3567,"0.00"))</f>
        <v/>
      </c>
      <c r="V3567" s="35" t="str">
        <f aca="false">IF($A3567="","",COUNTIF($U$8:$U$5007,$U3567))</f>
        <v/>
      </c>
    </row>
    <row r="3568" customFormat="false" ht="15" hidden="false" customHeight="false" outlineLevel="0" collapsed="false">
      <c r="A3568" s="31"/>
      <c r="B3568" s="32"/>
      <c r="C3568" s="32"/>
      <c r="D3568" s="32"/>
      <c r="E3568" s="32"/>
      <c r="F3568" s="32"/>
      <c r="G3568" s="33"/>
      <c r="H3568" s="33"/>
      <c r="I3568" s="34" t="str">
        <f aca="false">IF($A3568="","",$G3568-$H3568)</f>
        <v/>
      </c>
      <c r="J3568" s="35" t="str">
        <f aca="false">IF($A3568="","",IF(Setup!$B$6=1,YEAR($A3568),YEAR($A3568)+IF(MONTH($A3568)&gt;=Setup!$B$6,1,0)))</f>
        <v/>
      </c>
      <c r="K3568" s="35" t="str">
        <f aca="false">IF($A3568="","",MOD(MONTH($A3568)-Setup!$B$6+12,12)+1)</f>
        <v/>
      </c>
      <c r="L3568" s="36" t="str">
        <f aca="false">IF($A3568="","",TEXT($A3568,"MMM-YY"))</f>
        <v/>
      </c>
      <c r="M3568" s="37" t="str">
        <f aca="false">IF($A3568="","",IF($Q3568=0,"UNMAPPED",INDEX(COA_Mapping!$C$7:$C$256,$Q3568)))</f>
        <v/>
      </c>
      <c r="N3568" s="38" t="str">
        <f aca="false">IF($A3568="","",IF($Q3568=0,"",INDEX(COA_Mapping!$E$7:$E$256,$Q3568)))</f>
        <v/>
      </c>
      <c r="O3568" s="38" t="n">
        <f aca="false">IF($A3568="",1,IF($Q3568=0,1,INDEX(COA_Mapping!$F$7:$F$256,$Q3568)))</f>
        <v>1</v>
      </c>
      <c r="P3568" s="34" t="str">
        <f aca="false">IF($A3568="","",$I3568*$O3568)</f>
        <v/>
      </c>
      <c r="Q3568" s="39" t="n">
        <f aca="false">IF($B3568="",0,IFERROR(MATCH($B3568,COA_Mapping!$A$7:$A$256,0),0))</f>
        <v>0</v>
      </c>
      <c r="R3568" s="39" t="n">
        <f aca="false">IF($A3568="",-1,IF($J3568=Setup!$B$7,1,IF($J3568=Setup!$B$9,0,-1)))</f>
        <v>-1</v>
      </c>
      <c r="S3568" s="35" t="n">
        <f aca="false">IF(OR($A3568="",$Q3568=0,$R3568=-1),0,$Q3568*1000+$R3568*100+$K3568)</f>
        <v>0</v>
      </c>
      <c r="T3568" s="37" t="str">
        <f aca="false">IF($A3568="","",IF($B3568="","NO ACCOUNT",IF($Q3568=0,"UNMAPPED",IF($R3568=-1,"OUTSIDE FY RANGE","OK"))))</f>
        <v/>
      </c>
      <c r="U3568" s="40" t="str">
        <f aca="false">IF($A3568="","",$B3568&amp;"|"&amp;TEXT($A3568,"yyyymmdd")&amp;"|"&amp;TEXT($I3568,"0.00"))</f>
        <v/>
      </c>
      <c r="V3568" s="35" t="str">
        <f aca="false">IF($A3568="","",COUNTIF($U$8:$U$5007,$U3568))</f>
        <v/>
      </c>
    </row>
    <row r="3569" customFormat="false" ht="15" hidden="false" customHeight="false" outlineLevel="0" collapsed="false">
      <c r="A3569" s="31"/>
      <c r="B3569" s="32"/>
      <c r="C3569" s="32"/>
      <c r="D3569" s="32"/>
      <c r="E3569" s="32"/>
      <c r="F3569" s="32"/>
      <c r="G3569" s="33"/>
      <c r="H3569" s="33"/>
      <c r="I3569" s="34" t="str">
        <f aca="false">IF($A3569="","",$G3569-$H3569)</f>
        <v/>
      </c>
      <c r="J3569" s="35" t="str">
        <f aca="false">IF($A3569="","",IF(Setup!$B$6=1,YEAR($A3569),YEAR($A3569)+IF(MONTH($A3569)&gt;=Setup!$B$6,1,0)))</f>
        <v/>
      </c>
      <c r="K3569" s="35" t="str">
        <f aca="false">IF($A3569="","",MOD(MONTH($A3569)-Setup!$B$6+12,12)+1)</f>
        <v/>
      </c>
      <c r="L3569" s="36" t="str">
        <f aca="false">IF($A3569="","",TEXT($A3569,"MMM-YY"))</f>
        <v/>
      </c>
      <c r="M3569" s="37" t="str">
        <f aca="false">IF($A3569="","",IF($Q3569=0,"UNMAPPED",INDEX(COA_Mapping!$C$7:$C$256,$Q3569)))</f>
        <v/>
      </c>
      <c r="N3569" s="38" t="str">
        <f aca="false">IF($A3569="","",IF($Q3569=0,"",INDEX(COA_Mapping!$E$7:$E$256,$Q3569)))</f>
        <v/>
      </c>
      <c r="O3569" s="38" t="n">
        <f aca="false">IF($A3569="",1,IF($Q3569=0,1,INDEX(COA_Mapping!$F$7:$F$256,$Q3569)))</f>
        <v>1</v>
      </c>
      <c r="P3569" s="34" t="str">
        <f aca="false">IF($A3569="","",$I3569*$O3569)</f>
        <v/>
      </c>
      <c r="Q3569" s="39" t="n">
        <f aca="false">IF($B3569="",0,IFERROR(MATCH($B3569,COA_Mapping!$A$7:$A$256,0),0))</f>
        <v>0</v>
      </c>
      <c r="R3569" s="39" t="n">
        <f aca="false">IF($A3569="",-1,IF($J3569=Setup!$B$7,1,IF($J3569=Setup!$B$9,0,-1)))</f>
        <v>-1</v>
      </c>
      <c r="S3569" s="35" t="n">
        <f aca="false">IF(OR($A3569="",$Q3569=0,$R3569=-1),0,$Q3569*1000+$R3569*100+$K3569)</f>
        <v>0</v>
      </c>
      <c r="T3569" s="37" t="str">
        <f aca="false">IF($A3569="","",IF($B3569="","NO ACCOUNT",IF($Q3569=0,"UNMAPPED",IF($R3569=-1,"OUTSIDE FY RANGE","OK"))))</f>
        <v/>
      </c>
      <c r="U3569" s="40" t="str">
        <f aca="false">IF($A3569="","",$B3569&amp;"|"&amp;TEXT($A3569,"yyyymmdd")&amp;"|"&amp;TEXT($I3569,"0.00"))</f>
        <v/>
      </c>
      <c r="V3569" s="35" t="str">
        <f aca="false">IF($A3569="","",COUNTIF($U$8:$U$5007,$U3569))</f>
        <v/>
      </c>
    </row>
    <row r="3570" customFormat="false" ht="15" hidden="false" customHeight="false" outlineLevel="0" collapsed="false">
      <c r="A3570" s="31"/>
      <c r="B3570" s="32"/>
      <c r="C3570" s="32"/>
      <c r="D3570" s="32"/>
      <c r="E3570" s="32"/>
      <c r="F3570" s="32"/>
      <c r="G3570" s="33"/>
      <c r="H3570" s="33"/>
      <c r="I3570" s="34" t="str">
        <f aca="false">IF($A3570="","",$G3570-$H3570)</f>
        <v/>
      </c>
      <c r="J3570" s="35" t="str">
        <f aca="false">IF($A3570="","",IF(Setup!$B$6=1,YEAR($A3570),YEAR($A3570)+IF(MONTH($A3570)&gt;=Setup!$B$6,1,0)))</f>
        <v/>
      </c>
      <c r="K3570" s="35" t="str">
        <f aca="false">IF($A3570="","",MOD(MONTH($A3570)-Setup!$B$6+12,12)+1)</f>
        <v/>
      </c>
      <c r="L3570" s="36" t="str">
        <f aca="false">IF($A3570="","",TEXT($A3570,"MMM-YY"))</f>
        <v/>
      </c>
      <c r="M3570" s="37" t="str">
        <f aca="false">IF($A3570="","",IF($Q3570=0,"UNMAPPED",INDEX(COA_Mapping!$C$7:$C$256,$Q3570)))</f>
        <v/>
      </c>
      <c r="N3570" s="38" t="str">
        <f aca="false">IF($A3570="","",IF($Q3570=0,"",INDEX(COA_Mapping!$E$7:$E$256,$Q3570)))</f>
        <v/>
      </c>
      <c r="O3570" s="38" t="n">
        <f aca="false">IF($A3570="",1,IF($Q3570=0,1,INDEX(COA_Mapping!$F$7:$F$256,$Q3570)))</f>
        <v>1</v>
      </c>
      <c r="P3570" s="34" t="str">
        <f aca="false">IF($A3570="","",$I3570*$O3570)</f>
        <v/>
      </c>
      <c r="Q3570" s="39" t="n">
        <f aca="false">IF($B3570="",0,IFERROR(MATCH($B3570,COA_Mapping!$A$7:$A$256,0),0))</f>
        <v>0</v>
      </c>
      <c r="R3570" s="39" t="n">
        <f aca="false">IF($A3570="",-1,IF($J3570=Setup!$B$7,1,IF($J3570=Setup!$B$9,0,-1)))</f>
        <v>-1</v>
      </c>
      <c r="S3570" s="35" t="n">
        <f aca="false">IF(OR($A3570="",$Q3570=0,$R3570=-1),0,$Q3570*1000+$R3570*100+$K3570)</f>
        <v>0</v>
      </c>
      <c r="T3570" s="37" t="str">
        <f aca="false">IF($A3570="","",IF($B3570="","NO ACCOUNT",IF($Q3570=0,"UNMAPPED",IF($R3570=-1,"OUTSIDE FY RANGE","OK"))))</f>
        <v/>
      </c>
      <c r="U3570" s="40" t="str">
        <f aca="false">IF($A3570="","",$B3570&amp;"|"&amp;TEXT($A3570,"yyyymmdd")&amp;"|"&amp;TEXT($I3570,"0.00"))</f>
        <v/>
      </c>
      <c r="V3570" s="35" t="str">
        <f aca="false">IF($A3570="","",COUNTIF($U$8:$U$5007,$U3570))</f>
        <v/>
      </c>
    </row>
    <row r="3571" customFormat="false" ht="15" hidden="false" customHeight="false" outlineLevel="0" collapsed="false">
      <c r="A3571" s="31"/>
      <c r="B3571" s="32"/>
      <c r="C3571" s="32"/>
      <c r="D3571" s="32"/>
      <c r="E3571" s="32"/>
      <c r="F3571" s="32"/>
      <c r="G3571" s="33"/>
      <c r="H3571" s="33"/>
      <c r="I3571" s="34" t="str">
        <f aca="false">IF($A3571="","",$G3571-$H3571)</f>
        <v/>
      </c>
      <c r="J3571" s="35" t="str">
        <f aca="false">IF($A3571="","",IF(Setup!$B$6=1,YEAR($A3571),YEAR($A3571)+IF(MONTH($A3571)&gt;=Setup!$B$6,1,0)))</f>
        <v/>
      </c>
      <c r="K3571" s="35" t="str">
        <f aca="false">IF($A3571="","",MOD(MONTH($A3571)-Setup!$B$6+12,12)+1)</f>
        <v/>
      </c>
      <c r="L3571" s="36" t="str">
        <f aca="false">IF($A3571="","",TEXT($A3571,"MMM-YY"))</f>
        <v/>
      </c>
      <c r="M3571" s="37" t="str">
        <f aca="false">IF($A3571="","",IF($Q3571=0,"UNMAPPED",INDEX(COA_Mapping!$C$7:$C$256,$Q3571)))</f>
        <v/>
      </c>
      <c r="N3571" s="38" t="str">
        <f aca="false">IF($A3571="","",IF($Q3571=0,"",INDEX(COA_Mapping!$E$7:$E$256,$Q3571)))</f>
        <v/>
      </c>
      <c r="O3571" s="38" t="n">
        <f aca="false">IF($A3571="",1,IF($Q3571=0,1,INDEX(COA_Mapping!$F$7:$F$256,$Q3571)))</f>
        <v>1</v>
      </c>
      <c r="P3571" s="34" t="str">
        <f aca="false">IF($A3571="","",$I3571*$O3571)</f>
        <v/>
      </c>
      <c r="Q3571" s="39" t="n">
        <f aca="false">IF($B3571="",0,IFERROR(MATCH($B3571,COA_Mapping!$A$7:$A$256,0),0))</f>
        <v>0</v>
      </c>
      <c r="R3571" s="39" t="n">
        <f aca="false">IF($A3571="",-1,IF($J3571=Setup!$B$7,1,IF($J3571=Setup!$B$9,0,-1)))</f>
        <v>-1</v>
      </c>
      <c r="S3571" s="35" t="n">
        <f aca="false">IF(OR($A3571="",$Q3571=0,$R3571=-1),0,$Q3571*1000+$R3571*100+$K3571)</f>
        <v>0</v>
      </c>
      <c r="T3571" s="37" t="str">
        <f aca="false">IF($A3571="","",IF($B3571="","NO ACCOUNT",IF($Q3571=0,"UNMAPPED",IF($R3571=-1,"OUTSIDE FY RANGE","OK"))))</f>
        <v/>
      </c>
      <c r="U3571" s="40" t="str">
        <f aca="false">IF($A3571="","",$B3571&amp;"|"&amp;TEXT($A3571,"yyyymmdd")&amp;"|"&amp;TEXT($I3571,"0.00"))</f>
        <v/>
      </c>
      <c r="V3571" s="35" t="str">
        <f aca="false">IF($A3571="","",COUNTIF($U$8:$U$5007,$U3571))</f>
        <v/>
      </c>
    </row>
    <row r="3572" customFormat="false" ht="15" hidden="false" customHeight="false" outlineLevel="0" collapsed="false">
      <c r="A3572" s="31"/>
      <c r="B3572" s="32"/>
      <c r="C3572" s="32"/>
      <c r="D3572" s="32"/>
      <c r="E3572" s="32"/>
      <c r="F3572" s="32"/>
      <c r="G3572" s="33"/>
      <c r="H3572" s="33"/>
      <c r="I3572" s="34" t="str">
        <f aca="false">IF($A3572="","",$G3572-$H3572)</f>
        <v/>
      </c>
      <c r="J3572" s="35" t="str">
        <f aca="false">IF($A3572="","",IF(Setup!$B$6=1,YEAR($A3572),YEAR($A3572)+IF(MONTH($A3572)&gt;=Setup!$B$6,1,0)))</f>
        <v/>
      </c>
      <c r="K3572" s="35" t="str">
        <f aca="false">IF($A3572="","",MOD(MONTH($A3572)-Setup!$B$6+12,12)+1)</f>
        <v/>
      </c>
      <c r="L3572" s="36" t="str">
        <f aca="false">IF($A3572="","",TEXT($A3572,"MMM-YY"))</f>
        <v/>
      </c>
      <c r="M3572" s="37" t="str">
        <f aca="false">IF($A3572="","",IF($Q3572=0,"UNMAPPED",INDEX(COA_Mapping!$C$7:$C$256,$Q3572)))</f>
        <v/>
      </c>
      <c r="N3572" s="38" t="str">
        <f aca="false">IF($A3572="","",IF($Q3572=0,"",INDEX(COA_Mapping!$E$7:$E$256,$Q3572)))</f>
        <v/>
      </c>
      <c r="O3572" s="38" t="n">
        <f aca="false">IF($A3572="",1,IF($Q3572=0,1,INDEX(COA_Mapping!$F$7:$F$256,$Q3572)))</f>
        <v>1</v>
      </c>
      <c r="P3572" s="34" t="str">
        <f aca="false">IF($A3572="","",$I3572*$O3572)</f>
        <v/>
      </c>
      <c r="Q3572" s="39" t="n">
        <f aca="false">IF($B3572="",0,IFERROR(MATCH($B3572,COA_Mapping!$A$7:$A$256,0),0))</f>
        <v>0</v>
      </c>
      <c r="R3572" s="39" t="n">
        <f aca="false">IF($A3572="",-1,IF($J3572=Setup!$B$7,1,IF($J3572=Setup!$B$9,0,-1)))</f>
        <v>-1</v>
      </c>
      <c r="S3572" s="35" t="n">
        <f aca="false">IF(OR($A3572="",$Q3572=0,$R3572=-1),0,$Q3572*1000+$R3572*100+$K3572)</f>
        <v>0</v>
      </c>
      <c r="T3572" s="37" t="str">
        <f aca="false">IF($A3572="","",IF($B3572="","NO ACCOUNT",IF($Q3572=0,"UNMAPPED",IF($R3572=-1,"OUTSIDE FY RANGE","OK"))))</f>
        <v/>
      </c>
      <c r="U3572" s="40" t="str">
        <f aca="false">IF($A3572="","",$B3572&amp;"|"&amp;TEXT($A3572,"yyyymmdd")&amp;"|"&amp;TEXT($I3572,"0.00"))</f>
        <v/>
      </c>
      <c r="V3572" s="35" t="str">
        <f aca="false">IF($A3572="","",COUNTIF($U$8:$U$5007,$U3572))</f>
        <v/>
      </c>
    </row>
    <row r="3573" customFormat="false" ht="15" hidden="false" customHeight="false" outlineLevel="0" collapsed="false">
      <c r="A3573" s="31"/>
      <c r="B3573" s="32"/>
      <c r="C3573" s="32"/>
      <c r="D3573" s="32"/>
      <c r="E3573" s="32"/>
      <c r="F3573" s="32"/>
      <c r="G3573" s="33"/>
      <c r="H3573" s="33"/>
      <c r="I3573" s="34" t="str">
        <f aca="false">IF($A3573="","",$G3573-$H3573)</f>
        <v/>
      </c>
      <c r="J3573" s="35" t="str">
        <f aca="false">IF($A3573="","",IF(Setup!$B$6=1,YEAR($A3573),YEAR($A3573)+IF(MONTH($A3573)&gt;=Setup!$B$6,1,0)))</f>
        <v/>
      </c>
      <c r="K3573" s="35" t="str">
        <f aca="false">IF($A3573="","",MOD(MONTH($A3573)-Setup!$B$6+12,12)+1)</f>
        <v/>
      </c>
      <c r="L3573" s="36" t="str">
        <f aca="false">IF($A3573="","",TEXT($A3573,"MMM-YY"))</f>
        <v/>
      </c>
      <c r="M3573" s="37" t="str">
        <f aca="false">IF($A3573="","",IF($Q3573=0,"UNMAPPED",INDEX(COA_Mapping!$C$7:$C$256,$Q3573)))</f>
        <v/>
      </c>
      <c r="N3573" s="38" t="str">
        <f aca="false">IF($A3573="","",IF($Q3573=0,"",INDEX(COA_Mapping!$E$7:$E$256,$Q3573)))</f>
        <v/>
      </c>
      <c r="O3573" s="38" t="n">
        <f aca="false">IF($A3573="",1,IF($Q3573=0,1,INDEX(COA_Mapping!$F$7:$F$256,$Q3573)))</f>
        <v>1</v>
      </c>
      <c r="P3573" s="34" t="str">
        <f aca="false">IF($A3573="","",$I3573*$O3573)</f>
        <v/>
      </c>
      <c r="Q3573" s="39" t="n">
        <f aca="false">IF($B3573="",0,IFERROR(MATCH($B3573,COA_Mapping!$A$7:$A$256,0),0))</f>
        <v>0</v>
      </c>
      <c r="R3573" s="39" t="n">
        <f aca="false">IF($A3573="",-1,IF($J3573=Setup!$B$7,1,IF($J3573=Setup!$B$9,0,-1)))</f>
        <v>-1</v>
      </c>
      <c r="S3573" s="35" t="n">
        <f aca="false">IF(OR($A3573="",$Q3573=0,$R3573=-1),0,$Q3573*1000+$R3573*100+$K3573)</f>
        <v>0</v>
      </c>
      <c r="T3573" s="37" t="str">
        <f aca="false">IF($A3573="","",IF($B3573="","NO ACCOUNT",IF($Q3573=0,"UNMAPPED",IF($R3573=-1,"OUTSIDE FY RANGE","OK"))))</f>
        <v/>
      </c>
      <c r="U3573" s="40" t="str">
        <f aca="false">IF($A3573="","",$B3573&amp;"|"&amp;TEXT($A3573,"yyyymmdd")&amp;"|"&amp;TEXT($I3573,"0.00"))</f>
        <v/>
      </c>
      <c r="V3573" s="35" t="str">
        <f aca="false">IF($A3573="","",COUNTIF($U$8:$U$5007,$U3573))</f>
        <v/>
      </c>
    </row>
    <row r="3574" customFormat="false" ht="15" hidden="false" customHeight="false" outlineLevel="0" collapsed="false">
      <c r="A3574" s="31"/>
      <c r="B3574" s="32"/>
      <c r="C3574" s="32"/>
      <c r="D3574" s="32"/>
      <c r="E3574" s="32"/>
      <c r="F3574" s="32"/>
      <c r="G3574" s="33"/>
      <c r="H3574" s="33"/>
      <c r="I3574" s="34" t="str">
        <f aca="false">IF($A3574="","",$G3574-$H3574)</f>
        <v/>
      </c>
      <c r="J3574" s="35" t="str">
        <f aca="false">IF($A3574="","",IF(Setup!$B$6=1,YEAR($A3574),YEAR($A3574)+IF(MONTH($A3574)&gt;=Setup!$B$6,1,0)))</f>
        <v/>
      </c>
      <c r="K3574" s="35" t="str">
        <f aca="false">IF($A3574="","",MOD(MONTH($A3574)-Setup!$B$6+12,12)+1)</f>
        <v/>
      </c>
      <c r="L3574" s="36" t="str">
        <f aca="false">IF($A3574="","",TEXT($A3574,"MMM-YY"))</f>
        <v/>
      </c>
      <c r="M3574" s="37" t="str">
        <f aca="false">IF($A3574="","",IF($Q3574=0,"UNMAPPED",INDEX(COA_Mapping!$C$7:$C$256,$Q3574)))</f>
        <v/>
      </c>
      <c r="N3574" s="38" t="str">
        <f aca="false">IF($A3574="","",IF($Q3574=0,"",INDEX(COA_Mapping!$E$7:$E$256,$Q3574)))</f>
        <v/>
      </c>
      <c r="O3574" s="38" t="n">
        <f aca="false">IF($A3574="",1,IF($Q3574=0,1,INDEX(COA_Mapping!$F$7:$F$256,$Q3574)))</f>
        <v>1</v>
      </c>
      <c r="P3574" s="34" t="str">
        <f aca="false">IF($A3574="","",$I3574*$O3574)</f>
        <v/>
      </c>
      <c r="Q3574" s="39" t="n">
        <f aca="false">IF($B3574="",0,IFERROR(MATCH($B3574,COA_Mapping!$A$7:$A$256,0),0))</f>
        <v>0</v>
      </c>
      <c r="R3574" s="39" t="n">
        <f aca="false">IF($A3574="",-1,IF($J3574=Setup!$B$7,1,IF($J3574=Setup!$B$9,0,-1)))</f>
        <v>-1</v>
      </c>
      <c r="S3574" s="35" t="n">
        <f aca="false">IF(OR($A3574="",$Q3574=0,$R3574=-1),0,$Q3574*1000+$R3574*100+$K3574)</f>
        <v>0</v>
      </c>
      <c r="T3574" s="37" t="str">
        <f aca="false">IF($A3574="","",IF($B3574="","NO ACCOUNT",IF($Q3574=0,"UNMAPPED",IF($R3574=-1,"OUTSIDE FY RANGE","OK"))))</f>
        <v/>
      </c>
      <c r="U3574" s="40" t="str">
        <f aca="false">IF($A3574="","",$B3574&amp;"|"&amp;TEXT($A3574,"yyyymmdd")&amp;"|"&amp;TEXT($I3574,"0.00"))</f>
        <v/>
      </c>
      <c r="V3574" s="35" t="str">
        <f aca="false">IF($A3574="","",COUNTIF($U$8:$U$5007,$U3574))</f>
        <v/>
      </c>
    </row>
    <row r="3575" customFormat="false" ht="15" hidden="false" customHeight="false" outlineLevel="0" collapsed="false">
      <c r="A3575" s="31"/>
      <c r="B3575" s="32"/>
      <c r="C3575" s="32"/>
      <c r="D3575" s="32"/>
      <c r="E3575" s="32"/>
      <c r="F3575" s="32"/>
      <c r="G3575" s="33"/>
      <c r="H3575" s="33"/>
      <c r="I3575" s="34" t="str">
        <f aca="false">IF($A3575="","",$G3575-$H3575)</f>
        <v/>
      </c>
      <c r="J3575" s="35" t="str">
        <f aca="false">IF($A3575="","",IF(Setup!$B$6=1,YEAR($A3575),YEAR($A3575)+IF(MONTH($A3575)&gt;=Setup!$B$6,1,0)))</f>
        <v/>
      </c>
      <c r="K3575" s="35" t="str">
        <f aca="false">IF($A3575="","",MOD(MONTH($A3575)-Setup!$B$6+12,12)+1)</f>
        <v/>
      </c>
      <c r="L3575" s="36" t="str">
        <f aca="false">IF($A3575="","",TEXT($A3575,"MMM-YY"))</f>
        <v/>
      </c>
      <c r="M3575" s="37" t="str">
        <f aca="false">IF($A3575="","",IF($Q3575=0,"UNMAPPED",INDEX(COA_Mapping!$C$7:$C$256,$Q3575)))</f>
        <v/>
      </c>
      <c r="N3575" s="38" t="str">
        <f aca="false">IF($A3575="","",IF($Q3575=0,"",INDEX(COA_Mapping!$E$7:$E$256,$Q3575)))</f>
        <v/>
      </c>
      <c r="O3575" s="38" t="n">
        <f aca="false">IF($A3575="",1,IF($Q3575=0,1,INDEX(COA_Mapping!$F$7:$F$256,$Q3575)))</f>
        <v>1</v>
      </c>
      <c r="P3575" s="34" t="str">
        <f aca="false">IF($A3575="","",$I3575*$O3575)</f>
        <v/>
      </c>
      <c r="Q3575" s="39" t="n">
        <f aca="false">IF($B3575="",0,IFERROR(MATCH($B3575,COA_Mapping!$A$7:$A$256,0),0))</f>
        <v>0</v>
      </c>
      <c r="R3575" s="39" t="n">
        <f aca="false">IF($A3575="",-1,IF($J3575=Setup!$B$7,1,IF($J3575=Setup!$B$9,0,-1)))</f>
        <v>-1</v>
      </c>
      <c r="S3575" s="35" t="n">
        <f aca="false">IF(OR($A3575="",$Q3575=0,$R3575=-1),0,$Q3575*1000+$R3575*100+$K3575)</f>
        <v>0</v>
      </c>
      <c r="T3575" s="37" t="str">
        <f aca="false">IF($A3575="","",IF($B3575="","NO ACCOUNT",IF($Q3575=0,"UNMAPPED",IF($R3575=-1,"OUTSIDE FY RANGE","OK"))))</f>
        <v/>
      </c>
      <c r="U3575" s="40" t="str">
        <f aca="false">IF($A3575="","",$B3575&amp;"|"&amp;TEXT($A3575,"yyyymmdd")&amp;"|"&amp;TEXT($I3575,"0.00"))</f>
        <v/>
      </c>
      <c r="V3575" s="35" t="str">
        <f aca="false">IF($A3575="","",COUNTIF($U$8:$U$5007,$U3575))</f>
        <v/>
      </c>
    </row>
    <row r="3576" customFormat="false" ht="15" hidden="false" customHeight="false" outlineLevel="0" collapsed="false">
      <c r="A3576" s="31"/>
      <c r="B3576" s="32"/>
      <c r="C3576" s="32"/>
      <c r="D3576" s="32"/>
      <c r="E3576" s="32"/>
      <c r="F3576" s="32"/>
      <c r="G3576" s="33"/>
      <c r="H3576" s="33"/>
      <c r="I3576" s="34" t="str">
        <f aca="false">IF($A3576="","",$G3576-$H3576)</f>
        <v/>
      </c>
      <c r="J3576" s="35" t="str">
        <f aca="false">IF($A3576="","",IF(Setup!$B$6=1,YEAR($A3576),YEAR($A3576)+IF(MONTH($A3576)&gt;=Setup!$B$6,1,0)))</f>
        <v/>
      </c>
      <c r="K3576" s="35" t="str">
        <f aca="false">IF($A3576="","",MOD(MONTH($A3576)-Setup!$B$6+12,12)+1)</f>
        <v/>
      </c>
      <c r="L3576" s="36" t="str">
        <f aca="false">IF($A3576="","",TEXT($A3576,"MMM-YY"))</f>
        <v/>
      </c>
      <c r="M3576" s="37" t="str">
        <f aca="false">IF($A3576="","",IF($Q3576=0,"UNMAPPED",INDEX(COA_Mapping!$C$7:$C$256,$Q3576)))</f>
        <v/>
      </c>
      <c r="N3576" s="38" t="str">
        <f aca="false">IF($A3576="","",IF($Q3576=0,"",INDEX(COA_Mapping!$E$7:$E$256,$Q3576)))</f>
        <v/>
      </c>
      <c r="O3576" s="38" t="n">
        <f aca="false">IF($A3576="",1,IF($Q3576=0,1,INDEX(COA_Mapping!$F$7:$F$256,$Q3576)))</f>
        <v>1</v>
      </c>
      <c r="P3576" s="34" t="str">
        <f aca="false">IF($A3576="","",$I3576*$O3576)</f>
        <v/>
      </c>
      <c r="Q3576" s="39" t="n">
        <f aca="false">IF($B3576="",0,IFERROR(MATCH($B3576,COA_Mapping!$A$7:$A$256,0),0))</f>
        <v>0</v>
      </c>
      <c r="R3576" s="39" t="n">
        <f aca="false">IF($A3576="",-1,IF($J3576=Setup!$B$7,1,IF($J3576=Setup!$B$9,0,-1)))</f>
        <v>-1</v>
      </c>
      <c r="S3576" s="35" t="n">
        <f aca="false">IF(OR($A3576="",$Q3576=0,$R3576=-1),0,$Q3576*1000+$R3576*100+$K3576)</f>
        <v>0</v>
      </c>
      <c r="T3576" s="37" t="str">
        <f aca="false">IF($A3576="","",IF($B3576="","NO ACCOUNT",IF($Q3576=0,"UNMAPPED",IF($R3576=-1,"OUTSIDE FY RANGE","OK"))))</f>
        <v/>
      </c>
      <c r="U3576" s="40" t="str">
        <f aca="false">IF($A3576="","",$B3576&amp;"|"&amp;TEXT($A3576,"yyyymmdd")&amp;"|"&amp;TEXT($I3576,"0.00"))</f>
        <v/>
      </c>
      <c r="V3576" s="35" t="str">
        <f aca="false">IF($A3576="","",COUNTIF($U$8:$U$5007,$U3576))</f>
        <v/>
      </c>
    </row>
    <row r="3577" customFormat="false" ht="15" hidden="false" customHeight="false" outlineLevel="0" collapsed="false">
      <c r="A3577" s="31"/>
      <c r="B3577" s="32"/>
      <c r="C3577" s="32"/>
      <c r="D3577" s="32"/>
      <c r="E3577" s="32"/>
      <c r="F3577" s="32"/>
      <c r="G3577" s="33"/>
      <c r="H3577" s="33"/>
      <c r="I3577" s="34" t="str">
        <f aca="false">IF($A3577="","",$G3577-$H3577)</f>
        <v/>
      </c>
      <c r="J3577" s="35" t="str">
        <f aca="false">IF($A3577="","",IF(Setup!$B$6=1,YEAR($A3577),YEAR($A3577)+IF(MONTH($A3577)&gt;=Setup!$B$6,1,0)))</f>
        <v/>
      </c>
      <c r="K3577" s="35" t="str">
        <f aca="false">IF($A3577="","",MOD(MONTH($A3577)-Setup!$B$6+12,12)+1)</f>
        <v/>
      </c>
      <c r="L3577" s="36" t="str">
        <f aca="false">IF($A3577="","",TEXT($A3577,"MMM-YY"))</f>
        <v/>
      </c>
      <c r="M3577" s="37" t="str">
        <f aca="false">IF($A3577="","",IF($Q3577=0,"UNMAPPED",INDEX(COA_Mapping!$C$7:$C$256,$Q3577)))</f>
        <v/>
      </c>
      <c r="N3577" s="38" t="str">
        <f aca="false">IF($A3577="","",IF($Q3577=0,"",INDEX(COA_Mapping!$E$7:$E$256,$Q3577)))</f>
        <v/>
      </c>
      <c r="O3577" s="38" t="n">
        <f aca="false">IF($A3577="",1,IF($Q3577=0,1,INDEX(COA_Mapping!$F$7:$F$256,$Q3577)))</f>
        <v>1</v>
      </c>
      <c r="P3577" s="34" t="str">
        <f aca="false">IF($A3577="","",$I3577*$O3577)</f>
        <v/>
      </c>
      <c r="Q3577" s="39" t="n">
        <f aca="false">IF($B3577="",0,IFERROR(MATCH($B3577,COA_Mapping!$A$7:$A$256,0),0))</f>
        <v>0</v>
      </c>
      <c r="R3577" s="39" t="n">
        <f aca="false">IF($A3577="",-1,IF($J3577=Setup!$B$7,1,IF($J3577=Setup!$B$9,0,-1)))</f>
        <v>-1</v>
      </c>
      <c r="S3577" s="35" t="n">
        <f aca="false">IF(OR($A3577="",$Q3577=0,$R3577=-1),0,$Q3577*1000+$R3577*100+$K3577)</f>
        <v>0</v>
      </c>
      <c r="T3577" s="37" t="str">
        <f aca="false">IF($A3577="","",IF($B3577="","NO ACCOUNT",IF($Q3577=0,"UNMAPPED",IF($R3577=-1,"OUTSIDE FY RANGE","OK"))))</f>
        <v/>
      </c>
      <c r="U3577" s="40" t="str">
        <f aca="false">IF($A3577="","",$B3577&amp;"|"&amp;TEXT($A3577,"yyyymmdd")&amp;"|"&amp;TEXT($I3577,"0.00"))</f>
        <v/>
      </c>
      <c r="V3577" s="35" t="str">
        <f aca="false">IF($A3577="","",COUNTIF($U$8:$U$5007,$U3577))</f>
        <v/>
      </c>
    </row>
    <row r="3578" customFormat="false" ht="15" hidden="false" customHeight="false" outlineLevel="0" collapsed="false">
      <c r="A3578" s="31"/>
      <c r="B3578" s="32"/>
      <c r="C3578" s="32"/>
      <c r="D3578" s="32"/>
      <c r="E3578" s="32"/>
      <c r="F3578" s="32"/>
      <c r="G3578" s="33"/>
      <c r="H3578" s="33"/>
      <c r="I3578" s="34" t="str">
        <f aca="false">IF($A3578="","",$G3578-$H3578)</f>
        <v/>
      </c>
      <c r="J3578" s="35" t="str">
        <f aca="false">IF($A3578="","",IF(Setup!$B$6=1,YEAR($A3578),YEAR($A3578)+IF(MONTH($A3578)&gt;=Setup!$B$6,1,0)))</f>
        <v/>
      </c>
      <c r="K3578" s="35" t="str">
        <f aca="false">IF($A3578="","",MOD(MONTH($A3578)-Setup!$B$6+12,12)+1)</f>
        <v/>
      </c>
      <c r="L3578" s="36" t="str">
        <f aca="false">IF($A3578="","",TEXT($A3578,"MMM-YY"))</f>
        <v/>
      </c>
      <c r="M3578" s="37" t="str">
        <f aca="false">IF($A3578="","",IF($Q3578=0,"UNMAPPED",INDEX(COA_Mapping!$C$7:$C$256,$Q3578)))</f>
        <v/>
      </c>
      <c r="N3578" s="38" t="str">
        <f aca="false">IF($A3578="","",IF($Q3578=0,"",INDEX(COA_Mapping!$E$7:$E$256,$Q3578)))</f>
        <v/>
      </c>
      <c r="O3578" s="38" t="n">
        <f aca="false">IF($A3578="",1,IF($Q3578=0,1,INDEX(COA_Mapping!$F$7:$F$256,$Q3578)))</f>
        <v>1</v>
      </c>
      <c r="P3578" s="34" t="str">
        <f aca="false">IF($A3578="","",$I3578*$O3578)</f>
        <v/>
      </c>
      <c r="Q3578" s="39" t="n">
        <f aca="false">IF($B3578="",0,IFERROR(MATCH($B3578,COA_Mapping!$A$7:$A$256,0),0))</f>
        <v>0</v>
      </c>
      <c r="R3578" s="39" t="n">
        <f aca="false">IF($A3578="",-1,IF($J3578=Setup!$B$7,1,IF($J3578=Setup!$B$9,0,-1)))</f>
        <v>-1</v>
      </c>
      <c r="S3578" s="35" t="n">
        <f aca="false">IF(OR($A3578="",$Q3578=0,$R3578=-1),0,$Q3578*1000+$R3578*100+$K3578)</f>
        <v>0</v>
      </c>
      <c r="T3578" s="37" t="str">
        <f aca="false">IF($A3578="","",IF($B3578="","NO ACCOUNT",IF($Q3578=0,"UNMAPPED",IF($R3578=-1,"OUTSIDE FY RANGE","OK"))))</f>
        <v/>
      </c>
      <c r="U3578" s="40" t="str">
        <f aca="false">IF($A3578="","",$B3578&amp;"|"&amp;TEXT($A3578,"yyyymmdd")&amp;"|"&amp;TEXT($I3578,"0.00"))</f>
        <v/>
      </c>
      <c r="V3578" s="35" t="str">
        <f aca="false">IF($A3578="","",COUNTIF($U$8:$U$5007,$U3578))</f>
        <v/>
      </c>
    </row>
    <row r="3579" customFormat="false" ht="15" hidden="false" customHeight="false" outlineLevel="0" collapsed="false">
      <c r="A3579" s="31"/>
      <c r="B3579" s="32"/>
      <c r="C3579" s="32"/>
      <c r="D3579" s="32"/>
      <c r="E3579" s="32"/>
      <c r="F3579" s="32"/>
      <c r="G3579" s="33"/>
      <c r="H3579" s="33"/>
      <c r="I3579" s="34" t="str">
        <f aca="false">IF($A3579="","",$G3579-$H3579)</f>
        <v/>
      </c>
      <c r="J3579" s="35" t="str">
        <f aca="false">IF($A3579="","",IF(Setup!$B$6=1,YEAR($A3579),YEAR($A3579)+IF(MONTH($A3579)&gt;=Setup!$B$6,1,0)))</f>
        <v/>
      </c>
      <c r="K3579" s="35" t="str">
        <f aca="false">IF($A3579="","",MOD(MONTH($A3579)-Setup!$B$6+12,12)+1)</f>
        <v/>
      </c>
      <c r="L3579" s="36" t="str">
        <f aca="false">IF($A3579="","",TEXT($A3579,"MMM-YY"))</f>
        <v/>
      </c>
      <c r="M3579" s="37" t="str">
        <f aca="false">IF($A3579="","",IF($Q3579=0,"UNMAPPED",INDEX(COA_Mapping!$C$7:$C$256,$Q3579)))</f>
        <v/>
      </c>
      <c r="N3579" s="38" t="str">
        <f aca="false">IF($A3579="","",IF($Q3579=0,"",INDEX(COA_Mapping!$E$7:$E$256,$Q3579)))</f>
        <v/>
      </c>
      <c r="O3579" s="38" t="n">
        <f aca="false">IF($A3579="",1,IF($Q3579=0,1,INDEX(COA_Mapping!$F$7:$F$256,$Q3579)))</f>
        <v>1</v>
      </c>
      <c r="P3579" s="34" t="str">
        <f aca="false">IF($A3579="","",$I3579*$O3579)</f>
        <v/>
      </c>
      <c r="Q3579" s="39" t="n">
        <f aca="false">IF($B3579="",0,IFERROR(MATCH($B3579,COA_Mapping!$A$7:$A$256,0),0))</f>
        <v>0</v>
      </c>
      <c r="R3579" s="39" t="n">
        <f aca="false">IF($A3579="",-1,IF($J3579=Setup!$B$7,1,IF($J3579=Setup!$B$9,0,-1)))</f>
        <v>-1</v>
      </c>
      <c r="S3579" s="35" t="n">
        <f aca="false">IF(OR($A3579="",$Q3579=0,$R3579=-1),0,$Q3579*1000+$R3579*100+$K3579)</f>
        <v>0</v>
      </c>
      <c r="T3579" s="37" t="str">
        <f aca="false">IF($A3579="","",IF($B3579="","NO ACCOUNT",IF($Q3579=0,"UNMAPPED",IF($R3579=-1,"OUTSIDE FY RANGE","OK"))))</f>
        <v/>
      </c>
      <c r="U3579" s="40" t="str">
        <f aca="false">IF($A3579="","",$B3579&amp;"|"&amp;TEXT($A3579,"yyyymmdd")&amp;"|"&amp;TEXT($I3579,"0.00"))</f>
        <v/>
      </c>
      <c r="V3579" s="35" t="str">
        <f aca="false">IF($A3579="","",COUNTIF($U$8:$U$5007,$U3579))</f>
        <v/>
      </c>
    </row>
    <row r="3580" customFormat="false" ht="15" hidden="false" customHeight="false" outlineLevel="0" collapsed="false">
      <c r="A3580" s="31"/>
      <c r="B3580" s="32"/>
      <c r="C3580" s="32"/>
      <c r="D3580" s="32"/>
      <c r="E3580" s="32"/>
      <c r="F3580" s="32"/>
      <c r="G3580" s="33"/>
      <c r="H3580" s="33"/>
      <c r="I3580" s="34" t="str">
        <f aca="false">IF($A3580="","",$G3580-$H3580)</f>
        <v/>
      </c>
      <c r="J3580" s="35" t="str">
        <f aca="false">IF($A3580="","",IF(Setup!$B$6=1,YEAR($A3580),YEAR($A3580)+IF(MONTH($A3580)&gt;=Setup!$B$6,1,0)))</f>
        <v/>
      </c>
      <c r="K3580" s="35" t="str">
        <f aca="false">IF($A3580="","",MOD(MONTH($A3580)-Setup!$B$6+12,12)+1)</f>
        <v/>
      </c>
      <c r="L3580" s="36" t="str">
        <f aca="false">IF($A3580="","",TEXT($A3580,"MMM-YY"))</f>
        <v/>
      </c>
      <c r="M3580" s="37" t="str">
        <f aca="false">IF($A3580="","",IF($Q3580=0,"UNMAPPED",INDEX(COA_Mapping!$C$7:$C$256,$Q3580)))</f>
        <v/>
      </c>
      <c r="N3580" s="38" t="str">
        <f aca="false">IF($A3580="","",IF($Q3580=0,"",INDEX(COA_Mapping!$E$7:$E$256,$Q3580)))</f>
        <v/>
      </c>
      <c r="O3580" s="38" t="n">
        <f aca="false">IF($A3580="",1,IF($Q3580=0,1,INDEX(COA_Mapping!$F$7:$F$256,$Q3580)))</f>
        <v>1</v>
      </c>
      <c r="P3580" s="34" t="str">
        <f aca="false">IF($A3580="","",$I3580*$O3580)</f>
        <v/>
      </c>
      <c r="Q3580" s="39" t="n">
        <f aca="false">IF($B3580="",0,IFERROR(MATCH($B3580,COA_Mapping!$A$7:$A$256,0),0))</f>
        <v>0</v>
      </c>
      <c r="R3580" s="39" t="n">
        <f aca="false">IF($A3580="",-1,IF($J3580=Setup!$B$7,1,IF($J3580=Setup!$B$9,0,-1)))</f>
        <v>-1</v>
      </c>
      <c r="S3580" s="35" t="n">
        <f aca="false">IF(OR($A3580="",$Q3580=0,$R3580=-1),0,$Q3580*1000+$R3580*100+$K3580)</f>
        <v>0</v>
      </c>
      <c r="T3580" s="37" t="str">
        <f aca="false">IF($A3580="","",IF($B3580="","NO ACCOUNT",IF($Q3580=0,"UNMAPPED",IF($R3580=-1,"OUTSIDE FY RANGE","OK"))))</f>
        <v/>
      </c>
      <c r="U3580" s="40" t="str">
        <f aca="false">IF($A3580="","",$B3580&amp;"|"&amp;TEXT($A3580,"yyyymmdd")&amp;"|"&amp;TEXT($I3580,"0.00"))</f>
        <v/>
      </c>
      <c r="V3580" s="35" t="str">
        <f aca="false">IF($A3580="","",COUNTIF($U$8:$U$5007,$U3580))</f>
        <v/>
      </c>
    </row>
    <row r="3581" customFormat="false" ht="15" hidden="false" customHeight="false" outlineLevel="0" collapsed="false">
      <c r="A3581" s="31"/>
      <c r="B3581" s="32"/>
      <c r="C3581" s="32"/>
      <c r="D3581" s="32"/>
      <c r="E3581" s="32"/>
      <c r="F3581" s="32"/>
      <c r="G3581" s="33"/>
      <c r="H3581" s="33"/>
      <c r="I3581" s="34" t="str">
        <f aca="false">IF($A3581="","",$G3581-$H3581)</f>
        <v/>
      </c>
      <c r="J3581" s="35" t="str">
        <f aca="false">IF($A3581="","",IF(Setup!$B$6=1,YEAR($A3581),YEAR($A3581)+IF(MONTH($A3581)&gt;=Setup!$B$6,1,0)))</f>
        <v/>
      </c>
      <c r="K3581" s="35" t="str">
        <f aca="false">IF($A3581="","",MOD(MONTH($A3581)-Setup!$B$6+12,12)+1)</f>
        <v/>
      </c>
      <c r="L3581" s="36" t="str">
        <f aca="false">IF($A3581="","",TEXT($A3581,"MMM-YY"))</f>
        <v/>
      </c>
      <c r="M3581" s="37" t="str">
        <f aca="false">IF($A3581="","",IF($Q3581=0,"UNMAPPED",INDEX(COA_Mapping!$C$7:$C$256,$Q3581)))</f>
        <v/>
      </c>
      <c r="N3581" s="38" t="str">
        <f aca="false">IF($A3581="","",IF($Q3581=0,"",INDEX(COA_Mapping!$E$7:$E$256,$Q3581)))</f>
        <v/>
      </c>
      <c r="O3581" s="38" t="n">
        <f aca="false">IF($A3581="",1,IF($Q3581=0,1,INDEX(COA_Mapping!$F$7:$F$256,$Q3581)))</f>
        <v>1</v>
      </c>
      <c r="P3581" s="34" t="str">
        <f aca="false">IF($A3581="","",$I3581*$O3581)</f>
        <v/>
      </c>
      <c r="Q3581" s="39" t="n">
        <f aca="false">IF($B3581="",0,IFERROR(MATCH($B3581,COA_Mapping!$A$7:$A$256,0),0))</f>
        <v>0</v>
      </c>
      <c r="R3581" s="39" t="n">
        <f aca="false">IF($A3581="",-1,IF($J3581=Setup!$B$7,1,IF($J3581=Setup!$B$9,0,-1)))</f>
        <v>-1</v>
      </c>
      <c r="S3581" s="35" t="n">
        <f aca="false">IF(OR($A3581="",$Q3581=0,$R3581=-1),0,$Q3581*1000+$R3581*100+$K3581)</f>
        <v>0</v>
      </c>
      <c r="T3581" s="37" t="str">
        <f aca="false">IF($A3581="","",IF($B3581="","NO ACCOUNT",IF($Q3581=0,"UNMAPPED",IF($R3581=-1,"OUTSIDE FY RANGE","OK"))))</f>
        <v/>
      </c>
      <c r="U3581" s="40" t="str">
        <f aca="false">IF($A3581="","",$B3581&amp;"|"&amp;TEXT($A3581,"yyyymmdd")&amp;"|"&amp;TEXT($I3581,"0.00"))</f>
        <v/>
      </c>
      <c r="V3581" s="35" t="str">
        <f aca="false">IF($A3581="","",COUNTIF($U$8:$U$5007,$U3581))</f>
        <v/>
      </c>
    </row>
    <row r="3582" customFormat="false" ht="15" hidden="false" customHeight="false" outlineLevel="0" collapsed="false">
      <c r="A3582" s="31"/>
      <c r="B3582" s="32"/>
      <c r="C3582" s="32"/>
      <c r="D3582" s="32"/>
      <c r="E3582" s="32"/>
      <c r="F3582" s="32"/>
      <c r="G3582" s="33"/>
      <c r="H3582" s="33"/>
      <c r="I3582" s="34" t="str">
        <f aca="false">IF($A3582="","",$G3582-$H3582)</f>
        <v/>
      </c>
      <c r="J3582" s="35" t="str">
        <f aca="false">IF($A3582="","",IF(Setup!$B$6=1,YEAR($A3582),YEAR($A3582)+IF(MONTH($A3582)&gt;=Setup!$B$6,1,0)))</f>
        <v/>
      </c>
      <c r="K3582" s="35" t="str">
        <f aca="false">IF($A3582="","",MOD(MONTH($A3582)-Setup!$B$6+12,12)+1)</f>
        <v/>
      </c>
      <c r="L3582" s="36" t="str">
        <f aca="false">IF($A3582="","",TEXT($A3582,"MMM-YY"))</f>
        <v/>
      </c>
      <c r="M3582" s="37" t="str">
        <f aca="false">IF($A3582="","",IF($Q3582=0,"UNMAPPED",INDEX(COA_Mapping!$C$7:$C$256,$Q3582)))</f>
        <v/>
      </c>
      <c r="N3582" s="38" t="str">
        <f aca="false">IF($A3582="","",IF($Q3582=0,"",INDEX(COA_Mapping!$E$7:$E$256,$Q3582)))</f>
        <v/>
      </c>
      <c r="O3582" s="38" t="n">
        <f aca="false">IF($A3582="",1,IF($Q3582=0,1,INDEX(COA_Mapping!$F$7:$F$256,$Q3582)))</f>
        <v>1</v>
      </c>
      <c r="P3582" s="34" t="str">
        <f aca="false">IF($A3582="","",$I3582*$O3582)</f>
        <v/>
      </c>
      <c r="Q3582" s="39" t="n">
        <f aca="false">IF($B3582="",0,IFERROR(MATCH($B3582,COA_Mapping!$A$7:$A$256,0),0))</f>
        <v>0</v>
      </c>
      <c r="R3582" s="39" t="n">
        <f aca="false">IF($A3582="",-1,IF($J3582=Setup!$B$7,1,IF($J3582=Setup!$B$9,0,-1)))</f>
        <v>-1</v>
      </c>
      <c r="S3582" s="35" t="n">
        <f aca="false">IF(OR($A3582="",$Q3582=0,$R3582=-1),0,$Q3582*1000+$R3582*100+$K3582)</f>
        <v>0</v>
      </c>
      <c r="T3582" s="37" t="str">
        <f aca="false">IF($A3582="","",IF($B3582="","NO ACCOUNT",IF($Q3582=0,"UNMAPPED",IF($R3582=-1,"OUTSIDE FY RANGE","OK"))))</f>
        <v/>
      </c>
      <c r="U3582" s="40" t="str">
        <f aca="false">IF($A3582="","",$B3582&amp;"|"&amp;TEXT($A3582,"yyyymmdd")&amp;"|"&amp;TEXT($I3582,"0.00"))</f>
        <v/>
      </c>
      <c r="V3582" s="35" t="str">
        <f aca="false">IF($A3582="","",COUNTIF($U$8:$U$5007,$U3582))</f>
        <v/>
      </c>
    </row>
    <row r="3583" customFormat="false" ht="15" hidden="false" customHeight="false" outlineLevel="0" collapsed="false">
      <c r="A3583" s="31"/>
      <c r="B3583" s="32"/>
      <c r="C3583" s="32"/>
      <c r="D3583" s="32"/>
      <c r="E3583" s="32"/>
      <c r="F3583" s="32"/>
      <c r="G3583" s="33"/>
      <c r="H3583" s="33"/>
      <c r="I3583" s="34" t="str">
        <f aca="false">IF($A3583="","",$G3583-$H3583)</f>
        <v/>
      </c>
      <c r="J3583" s="35" t="str">
        <f aca="false">IF($A3583="","",IF(Setup!$B$6=1,YEAR($A3583),YEAR($A3583)+IF(MONTH($A3583)&gt;=Setup!$B$6,1,0)))</f>
        <v/>
      </c>
      <c r="K3583" s="35" t="str">
        <f aca="false">IF($A3583="","",MOD(MONTH($A3583)-Setup!$B$6+12,12)+1)</f>
        <v/>
      </c>
      <c r="L3583" s="36" t="str">
        <f aca="false">IF($A3583="","",TEXT($A3583,"MMM-YY"))</f>
        <v/>
      </c>
      <c r="M3583" s="37" t="str">
        <f aca="false">IF($A3583="","",IF($Q3583=0,"UNMAPPED",INDEX(COA_Mapping!$C$7:$C$256,$Q3583)))</f>
        <v/>
      </c>
      <c r="N3583" s="38" t="str">
        <f aca="false">IF($A3583="","",IF($Q3583=0,"",INDEX(COA_Mapping!$E$7:$E$256,$Q3583)))</f>
        <v/>
      </c>
      <c r="O3583" s="38" t="n">
        <f aca="false">IF($A3583="",1,IF($Q3583=0,1,INDEX(COA_Mapping!$F$7:$F$256,$Q3583)))</f>
        <v>1</v>
      </c>
      <c r="P3583" s="34" t="str">
        <f aca="false">IF($A3583="","",$I3583*$O3583)</f>
        <v/>
      </c>
      <c r="Q3583" s="39" t="n">
        <f aca="false">IF($B3583="",0,IFERROR(MATCH($B3583,COA_Mapping!$A$7:$A$256,0),0))</f>
        <v>0</v>
      </c>
      <c r="R3583" s="39" t="n">
        <f aca="false">IF($A3583="",-1,IF($J3583=Setup!$B$7,1,IF($J3583=Setup!$B$9,0,-1)))</f>
        <v>-1</v>
      </c>
      <c r="S3583" s="35" t="n">
        <f aca="false">IF(OR($A3583="",$Q3583=0,$R3583=-1),0,$Q3583*1000+$R3583*100+$K3583)</f>
        <v>0</v>
      </c>
      <c r="T3583" s="37" t="str">
        <f aca="false">IF($A3583="","",IF($B3583="","NO ACCOUNT",IF($Q3583=0,"UNMAPPED",IF($R3583=-1,"OUTSIDE FY RANGE","OK"))))</f>
        <v/>
      </c>
      <c r="U3583" s="40" t="str">
        <f aca="false">IF($A3583="","",$B3583&amp;"|"&amp;TEXT($A3583,"yyyymmdd")&amp;"|"&amp;TEXT($I3583,"0.00"))</f>
        <v/>
      </c>
      <c r="V3583" s="35" t="str">
        <f aca="false">IF($A3583="","",COUNTIF($U$8:$U$5007,$U3583))</f>
        <v/>
      </c>
    </row>
    <row r="3584" customFormat="false" ht="15" hidden="false" customHeight="false" outlineLevel="0" collapsed="false">
      <c r="A3584" s="31"/>
      <c r="B3584" s="32"/>
      <c r="C3584" s="32"/>
      <c r="D3584" s="32"/>
      <c r="E3584" s="32"/>
      <c r="F3584" s="32"/>
      <c r="G3584" s="33"/>
      <c r="H3584" s="33"/>
      <c r="I3584" s="34" t="str">
        <f aca="false">IF($A3584="","",$G3584-$H3584)</f>
        <v/>
      </c>
      <c r="J3584" s="35" t="str">
        <f aca="false">IF($A3584="","",IF(Setup!$B$6=1,YEAR($A3584),YEAR($A3584)+IF(MONTH($A3584)&gt;=Setup!$B$6,1,0)))</f>
        <v/>
      </c>
      <c r="K3584" s="35" t="str">
        <f aca="false">IF($A3584="","",MOD(MONTH($A3584)-Setup!$B$6+12,12)+1)</f>
        <v/>
      </c>
      <c r="L3584" s="36" t="str">
        <f aca="false">IF($A3584="","",TEXT($A3584,"MMM-YY"))</f>
        <v/>
      </c>
      <c r="M3584" s="37" t="str">
        <f aca="false">IF($A3584="","",IF($Q3584=0,"UNMAPPED",INDEX(COA_Mapping!$C$7:$C$256,$Q3584)))</f>
        <v/>
      </c>
      <c r="N3584" s="38" t="str">
        <f aca="false">IF($A3584="","",IF($Q3584=0,"",INDEX(COA_Mapping!$E$7:$E$256,$Q3584)))</f>
        <v/>
      </c>
      <c r="O3584" s="38" t="n">
        <f aca="false">IF($A3584="",1,IF($Q3584=0,1,INDEX(COA_Mapping!$F$7:$F$256,$Q3584)))</f>
        <v>1</v>
      </c>
      <c r="P3584" s="34" t="str">
        <f aca="false">IF($A3584="","",$I3584*$O3584)</f>
        <v/>
      </c>
      <c r="Q3584" s="39" t="n">
        <f aca="false">IF($B3584="",0,IFERROR(MATCH($B3584,COA_Mapping!$A$7:$A$256,0),0))</f>
        <v>0</v>
      </c>
      <c r="R3584" s="39" t="n">
        <f aca="false">IF($A3584="",-1,IF($J3584=Setup!$B$7,1,IF($J3584=Setup!$B$9,0,-1)))</f>
        <v>-1</v>
      </c>
      <c r="S3584" s="35" t="n">
        <f aca="false">IF(OR($A3584="",$Q3584=0,$R3584=-1),0,$Q3584*1000+$R3584*100+$K3584)</f>
        <v>0</v>
      </c>
      <c r="T3584" s="37" t="str">
        <f aca="false">IF($A3584="","",IF($B3584="","NO ACCOUNT",IF($Q3584=0,"UNMAPPED",IF($R3584=-1,"OUTSIDE FY RANGE","OK"))))</f>
        <v/>
      </c>
      <c r="U3584" s="40" t="str">
        <f aca="false">IF($A3584="","",$B3584&amp;"|"&amp;TEXT($A3584,"yyyymmdd")&amp;"|"&amp;TEXT($I3584,"0.00"))</f>
        <v/>
      </c>
      <c r="V3584" s="35" t="str">
        <f aca="false">IF($A3584="","",COUNTIF($U$8:$U$5007,$U3584))</f>
        <v/>
      </c>
    </row>
    <row r="3585" customFormat="false" ht="15" hidden="false" customHeight="false" outlineLevel="0" collapsed="false">
      <c r="A3585" s="31"/>
      <c r="B3585" s="32"/>
      <c r="C3585" s="32"/>
      <c r="D3585" s="32"/>
      <c r="E3585" s="32"/>
      <c r="F3585" s="32"/>
      <c r="G3585" s="33"/>
      <c r="H3585" s="33"/>
      <c r="I3585" s="34" t="str">
        <f aca="false">IF($A3585="","",$G3585-$H3585)</f>
        <v/>
      </c>
      <c r="J3585" s="35" t="str">
        <f aca="false">IF($A3585="","",IF(Setup!$B$6=1,YEAR($A3585),YEAR($A3585)+IF(MONTH($A3585)&gt;=Setup!$B$6,1,0)))</f>
        <v/>
      </c>
      <c r="K3585" s="35" t="str">
        <f aca="false">IF($A3585="","",MOD(MONTH($A3585)-Setup!$B$6+12,12)+1)</f>
        <v/>
      </c>
      <c r="L3585" s="36" t="str">
        <f aca="false">IF($A3585="","",TEXT($A3585,"MMM-YY"))</f>
        <v/>
      </c>
      <c r="M3585" s="37" t="str">
        <f aca="false">IF($A3585="","",IF($Q3585=0,"UNMAPPED",INDEX(COA_Mapping!$C$7:$C$256,$Q3585)))</f>
        <v/>
      </c>
      <c r="N3585" s="38" t="str">
        <f aca="false">IF($A3585="","",IF($Q3585=0,"",INDEX(COA_Mapping!$E$7:$E$256,$Q3585)))</f>
        <v/>
      </c>
      <c r="O3585" s="38" t="n">
        <f aca="false">IF($A3585="",1,IF($Q3585=0,1,INDEX(COA_Mapping!$F$7:$F$256,$Q3585)))</f>
        <v>1</v>
      </c>
      <c r="P3585" s="34" t="str">
        <f aca="false">IF($A3585="","",$I3585*$O3585)</f>
        <v/>
      </c>
      <c r="Q3585" s="39" t="n">
        <f aca="false">IF($B3585="",0,IFERROR(MATCH($B3585,COA_Mapping!$A$7:$A$256,0),0))</f>
        <v>0</v>
      </c>
      <c r="R3585" s="39" t="n">
        <f aca="false">IF($A3585="",-1,IF($J3585=Setup!$B$7,1,IF($J3585=Setup!$B$9,0,-1)))</f>
        <v>-1</v>
      </c>
      <c r="S3585" s="35" t="n">
        <f aca="false">IF(OR($A3585="",$Q3585=0,$R3585=-1),0,$Q3585*1000+$R3585*100+$K3585)</f>
        <v>0</v>
      </c>
      <c r="T3585" s="37" t="str">
        <f aca="false">IF($A3585="","",IF($B3585="","NO ACCOUNT",IF($Q3585=0,"UNMAPPED",IF($R3585=-1,"OUTSIDE FY RANGE","OK"))))</f>
        <v/>
      </c>
      <c r="U3585" s="40" t="str">
        <f aca="false">IF($A3585="","",$B3585&amp;"|"&amp;TEXT($A3585,"yyyymmdd")&amp;"|"&amp;TEXT($I3585,"0.00"))</f>
        <v/>
      </c>
      <c r="V3585" s="35" t="str">
        <f aca="false">IF($A3585="","",COUNTIF($U$8:$U$5007,$U3585))</f>
        <v/>
      </c>
    </row>
    <row r="3586" customFormat="false" ht="15" hidden="false" customHeight="false" outlineLevel="0" collapsed="false">
      <c r="A3586" s="31"/>
      <c r="B3586" s="32"/>
      <c r="C3586" s="32"/>
      <c r="D3586" s="32"/>
      <c r="E3586" s="32"/>
      <c r="F3586" s="32"/>
      <c r="G3586" s="33"/>
      <c r="H3586" s="33"/>
      <c r="I3586" s="34" t="str">
        <f aca="false">IF($A3586="","",$G3586-$H3586)</f>
        <v/>
      </c>
      <c r="J3586" s="35" t="str">
        <f aca="false">IF($A3586="","",IF(Setup!$B$6=1,YEAR($A3586),YEAR($A3586)+IF(MONTH($A3586)&gt;=Setup!$B$6,1,0)))</f>
        <v/>
      </c>
      <c r="K3586" s="35" t="str">
        <f aca="false">IF($A3586="","",MOD(MONTH($A3586)-Setup!$B$6+12,12)+1)</f>
        <v/>
      </c>
      <c r="L3586" s="36" t="str">
        <f aca="false">IF($A3586="","",TEXT($A3586,"MMM-YY"))</f>
        <v/>
      </c>
      <c r="M3586" s="37" t="str">
        <f aca="false">IF($A3586="","",IF($Q3586=0,"UNMAPPED",INDEX(COA_Mapping!$C$7:$C$256,$Q3586)))</f>
        <v/>
      </c>
      <c r="N3586" s="38" t="str">
        <f aca="false">IF($A3586="","",IF($Q3586=0,"",INDEX(COA_Mapping!$E$7:$E$256,$Q3586)))</f>
        <v/>
      </c>
      <c r="O3586" s="38" t="n">
        <f aca="false">IF($A3586="",1,IF($Q3586=0,1,INDEX(COA_Mapping!$F$7:$F$256,$Q3586)))</f>
        <v>1</v>
      </c>
      <c r="P3586" s="34" t="str">
        <f aca="false">IF($A3586="","",$I3586*$O3586)</f>
        <v/>
      </c>
      <c r="Q3586" s="39" t="n">
        <f aca="false">IF($B3586="",0,IFERROR(MATCH($B3586,COA_Mapping!$A$7:$A$256,0),0))</f>
        <v>0</v>
      </c>
      <c r="R3586" s="39" t="n">
        <f aca="false">IF($A3586="",-1,IF($J3586=Setup!$B$7,1,IF($J3586=Setup!$B$9,0,-1)))</f>
        <v>-1</v>
      </c>
      <c r="S3586" s="35" t="n">
        <f aca="false">IF(OR($A3586="",$Q3586=0,$R3586=-1),0,$Q3586*1000+$R3586*100+$K3586)</f>
        <v>0</v>
      </c>
      <c r="T3586" s="37" t="str">
        <f aca="false">IF($A3586="","",IF($B3586="","NO ACCOUNT",IF($Q3586=0,"UNMAPPED",IF($R3586=-1,"OUTSIDE FY RANGE","OK"))))</f>
        <v/>
      </c>
      <c r="U3586" s="40" t="str">
        <f aca="false">IF($A3586="","",$B3586&amp;"|"&amp;TEXT($A3586,"yyyymmdd")&amp;"|"&amp;TEXT($I3586,"0.00"))</f>
        <v/>
      </c>
      <c r="V3586" s="35" t="str">
        <f aca="false">IF($A3586="","",COUNTIF($U$8:$U$5007,$U3586))</f>
        <v/>
      </c>
    </row>
    <row r="3587" customFormat="false" ht="15" hidden="false" customHeight="false" outlineLevel="0" collapsed="false">
      <c r="A3587" s="31"/>
      <c r="B3587" s="32"/>
      <c r="C3587" s="32"/>
      <c r="D3587" s="32"/>
      <c r="E3587" s="32"/>
      <c r="F3587" s="32"/>
      <c r="G3587" s="33"/>
      <c r="H3587" s="33"/>
      <c r="I3587" s="34" t="str">
        <f aca="false">IF($A3587="","",$G3587-$H3587)</f>
        <v/>
      </c>
      <c r="J3587" s="35" t="str">
        <f aca="false">IF($A3587="","",IF(Setup!$B$6=1,YEAR($A3587),YEAR($A3587)+IF(MONTH($A3587)&gt;=Setup!$B$6,1,0)))</f>
        <v/>
      </c>
      <c r="K3587" s="35" t="str">
        <f aca="false">IF($A3587="","",MOD(MONTH($A3587)-Setup!$B$6+12,12)+1)</f>
        <v/>
      </c>
      <c r="L3587" s="36" t="str">
        <f aca="false">IF($A3587="","",TEXT($A3587,"MMM-YY"))</f>
        <v/>
      </c>
      <c r="M3587" s="37" t="str">
        <f aca="false">IF($A3587="","",IF($Q3587=0,"UNMAPPED",INDEX(COA_Mapping!$C$7:$C$256,$Q3587)))</f>
        <v/>
      </c>
      <c r="N3587" s="38" t="str">
        <f aca="false">IF($A3587="","",IF($Q3587=0,"",INDEX(COA_Mapping!$E$7:$E$256,$Q3587)))</f>
        <v/>
      </c>
      <c r="O3587" s="38" t="n">
        <f aca="false">IF($A3587="",1,IF($Q3587=0,1,INDEX(COA_Mapping!$F$7:$F$256,$Q3587)))</f>
        <v>1</v>
      </c>
      <c r="P3587" s="34" t="str">
        <f aca="false">IF($A3587="","",$I3587*$O3587)</f>
        <v/>
      </c>
      <c r="Q3587" s="39" t="n">
        <f aca="false">IF($B3587="",0,IFERROR(MATCH($B3587,COA_Mapping!$A$7:$A$256,0),0))</f>
        <v>0</v>
      </c>
      <c r="R3587" s="39" t="n">
        <f aca="false">IF($A3587="",-1,IF($J3587=Setup!$B$7,1,IF($J3587=Setup!$B$9,0,-1)))</f>
        <v>-1</v>
      </c>
      <c r="S3587" s="35" t="n">
        <f aca="false">IF(OR($A3587="",$Q3587=0,$R3587=-1),0,$Q3587*1000+$R3587*100+$K3587)</f>
        <v>0</v>
      </c>
      <c r="T3587" s="37" t="str">
        <f aca="false">IF($A3587="","",IF($B3587="","NO ACCOUNT",IF($Q3587=0,"UNMAPPED",IF($R3587=-1,"OUTSIDE FY RANGE","OK"))))</f>
        <v/>
      </c>
      <c r="U3587" s="40" t="str">
        <f aca="false">IF($A3587="","",$B3587&amp;"|"&amp;TEXT($A3587,"yyyymmdd")&amp;"|"&amp;TEXT($I3587,"0.00"))</f>
        <v/>
      </c>
      <c r="V3587" s="35" t="str">
        <f aca="false">IF($A3587="","",COUNTIF($U$8:$U$5007,$U3587))</f>
        <v/>
      </c>
    </row>
    <row r="3588" customFormat="false" ht="15" hidden="false" customHeight="false" outlineLevel="0" collapsed="false">
      <c r="A3588" s="31"/>
      <c r="B3588" s="32"/>
      <c r="C3588" s="32"/>
      <c r="D3588" s="32"/>
      <c r="E3588" s="32"/>
      <c r="F3588" s="32"/>
      <c r="G3588" s="33"/>
      <c r="H3588" s="33"/>
      <c r="I3588" s="34" t="str">
        <f aca="false">IF($A3588="","",$G3588-$H3588)</f>
        <v/>
      </c>
      <c r="J3588" s="35" t="str">
        <f aca="false">IF($A3588="","",IF(Setup!$B$6=1,YEAR($A3588),YEAR($A3588)+IF(MONTH($A3588)&gt;=Setup!$B$6,1,0)))</f>
        <v/>
      </c>
      <c r="K3588" s="35" t="str">
        <f aca="false">IF($A3588="","",MOD(MONTH($A3588)-Setup!$B$6+12,12)+1)</f>
        <v/>
      </c>
      <c r="L3588" s="36" t="str">
        <f aca="false">IF($A3588="","",TEXT($A3588,"MMM-YY"))</f>
        <v/>
      </c>
      <c r="M3588" s="37" t="str">
        <f aca="false">IF($A3588="","",IF($Q3588=0,"UNMAPPED",INDEX(COA_Mapping!$C$7:$C$256,$Q3588)))</f>
        <v/>
      </c>
      <c r="N3588" s="38" t="str">
        <f aca="false">IF($A3588="","",IF($Q3588=0,"",INDEX(COA_Mapping!$E$7:$E$256,$Q3588)))</f>
        <v/>
      </c>
      <c r="O3588" s="38" t="n">
        <f aca="false">IF($A3588="",1,IF($Q3588=0,1,INDEX(COA_Mapping!$F$7:$F$256,$Q3588)))</f>
        <v>1</v>
      </c>
      <c r="P3588" s="34" t="str">
        <f aca="false">IF($A3588="","",$I3588*$O3588)</f>
        <v/>
      </c>
      <c r="Q3588" s="39" t="n">
        <f aca="false">IF($B3588="",0,IFERROR(MATCH($B3588,COA_Mapping!$A$7:$A$256,0),0))</f>
        <v>0</v>
      </c>
      <c r="R3588" s="39" t="n">
        <f aca="false">IF($A3588="",-1,IF($J3588=Setup!$B$7,1,IF($J3588=Setup!$B$9,0,-1)))</f>
        <v>-1</v>
      </c>
      <c r="S3588" s="35" t="n">
        <f aca="false">IF(OR($A3588="",$Q3588=0,$R3588=-1),0,$Q3588*1000+$R3588*100+$K3588)</f>
        <v>0</v>
      </c>
      <c r="T3588" s="37" t="str">
        <f aca="false">IF($A3588="","",IF($B3588="","NO ACCOUNT",IF($Q3588=0,"UNMAPPED",IF($R3588=-1,"OUTSIDE FY RANGE","OK"))))</f>
        <v/>
      </c>
      <c r="U3588" s="40" t="str">
        <f aca="false">IF($A3588="","",$B3588&amp;"|"&amp;TEXT($A3588,"yyyymmdd")&amp;"|"&amp;TEXT($I3588,"0.00"))</f>
        <v/>
      </c>
      <c r="V3588" s="35" t="str">
        <f aca="false">IF($A3588="","",COUNTIF($U$8:$U$5007,$U3588))</f>
        <v/>
      </c>
    </row>
    <row r="3589" customFormat="false" ht="15" hidden="false" customHeight="false" outlineLevel="0" collapsed="false">
      <c r="A3589" s="31"/>
      <c r="B3589" s="32"/>
      <c r="C3589" s="32"/>
      <c r="D3589" s="32"/>
      <c r="E3589" s="32"/>
      <c r="F3589" s="32"/>
      <c r="G3589" s="33"/>
      <c r="H3589" s="33"/>
      <c r="I3589" s="34" t="str">
        <f aca="false">IF($A3589="","",$G3589-$H3589)</f>
        <v/>
      </c>
      <c r="J3589" s="35" t="str">
        <f aca="false">IF($A3589="","",IF(Setup!$B$6=1,YEAR($A3589),YEAR($A3589)+IF(MONTH($A3589)&gt;=Setup!$B$6,1,0)))</f>
        <v/>
      </c>
      <c r="K3589" s="35" t="str">
        <f aca="false">IF($A3589="","",MOD(MONTH($A3589)-Setup!$B$6+12,12)+1)</f>
        <v/>
      </c>
      <c r="L3589" s="36" t="str">
        <f aca="false">IF($A3589="","",TEXT($A3589,"MMM-YY"))</f>
        <v/>
      </c>
      <c r="M3589" s="37" t="str">
        <f aca="false">IF($A3589="","",IF($Q3589=0,"UNMAPPED",INDEX(COA_Mapping!$C$7:$C$256,$Q3589)))</f>
        <v/>
      </c>
      <c r="N3589" s="38" t="str">
        <f aca="false">IF($A3589="","",IF($Q3589=0,"",INDEX(COA_Mapping!$E$7:$E$256,$Q3589)))</f>
        <v/>
      </c>
      <c r="O3589" s="38" t="n">
        <f aca="false">IF($A3589="",1,IF($Q3589=0,1,INDEX(COA_Mapping!$F$7:$F$256,$Q3589)))</f>
        <v>1</v>
      </c>
      <c r="P3589" s="34" t="str">
        <f aca="false">IF($A3589="","",$I3589*$O3589)</f>
        <v/>
      </c>
      <c r="Q3589" s="39" t="n">
        <f aca="false">IF($B3589="",0,IFERROR(MATCH($B3589,COA_Mapping!$A$7:$A$256,0),0))</f>
        <v>0</v>
      </c>
      <c r="R3589" s="39" t="n">
        <f aca="false">IF($A3589="",-1,IF($J3589=Setup!$B$7,1,IF($J3589=Setup!$B$9,0,-1)))</f>
        <v>-1</v>
      </c>
      <c r="S3589" s="35" t="n">
        <f aca="false">IF(OR($A3589="",$Q3589=0,$R3589=-1),0,$Q3589*1000+$R3589*100+$K3589)</f>
        <v>0</v>
      </c>
      <c r="T3589" s="37" t="str">
        <f aca="false">IF($A3589="","",IF($B3589="","NO ACCOUNT",IF($Q3589=0,"UNMAPPED",IF($R3589=-1,"OUTSIDE FY RANGE","OK"))))</f>
        <v/>
      </c>
      <c r="U3589" s="40" t="str">
        <f aca="false">IF($A3589="","",$B3589&amp;"|"&amp;TEXT($A3589,"yyyymmdd")&amp;"|"&amp;TEXT($I3589,"0.00"))</f>
        <v/>
      </c>
      <c r="V3589" s="35" t="str">
        <f aca="false">IF($A3589="","",COUNTIF($U$8:$U$5007,$U3589))</f>
        <v/>
      </c>
    </row>
    <row r="3590" customFormat="false" ht="15" hidden="false" customHeight="false" outlineLevel="0" collapsed="false">
      <c r="A3590" s="31"/>
      <c r="B3590" s="32"/>
      <c r="C3590" s="32"/>
      <c r="D3590" s="32"/>
      <c r="E3590" s="32"/>
      <c r="F3590" s="32"/>
      <c r="G3590" s="33"/>
      <c r="H3590" s="33"/>
      <c r="I3590" s="34" t="str">
        <f aca="false">IF($A3590="","",$G3590-$H3590)</f>
        <v/>
      </c>
      <c r="J3590" s="35" t="str">
        <f aca="false">IF($A3590="","",IF(Setup!$B$6=1,YEAR($A3590),YEAR($A3590)+IF(MONTH($A3590)&gt;=Setup!$B$6,1,0)))</f>
        <v/>
      </c>
      <c r="K3590" s="35" t="str">
        <f aca="false">IF($A3590="","",MOD(MONTH($A3590)-Setup!$B$6+12,12)+1)</f>
        <v/>
      </c>
      <c r="L3590" s="36" t="str">
        <f aca="false">IF($A3590="","",TEXT($A3590,"MMM-YY"))</f>
        <v/>
      </c>
      <c r="M3590" s="37" t="str">
        <f aca="false">IF($A3590="","",IF($Q3590=0,"UNMAPPED",INDEX(COA_Mapping!$C$7:$C$256,$Q3590)))</f>
        <v/>
      </c>
      <c r="N3590" s="38" t="str">
        <f aca="false">IF($A3590="","",IF($Q3590=0,"",INDEX(COA_Mapping!$E$7:$E$256,$Q3590)))</f>
        <v/>
      </c>
      <c r="O3590" s="38" t="n">
        <f aca="false">IF($A3590="",1,IF($Q3590=0,1,INDEX(COA_Mapping!$F$7:$F$256,$Q3590)))</f>
        <v>1</v>
      </c>
      <c r="P3590" s="34" t="str">
        <f aca="false">IF($A3590="","",$I3590*$O3590)</f>
        <v/>
      </c>
      <c r="Q3590" s="39" t="n">
        <f aca="false">IF($B3590="",0,IFERROR(MATCH($B3590,COA_Mapping!$A$7:$A$256,0),0))</f>
        <v>0</v>
      </c>
      <c r="R3590" s="39" t="n">
        <f aca="false">IF($A3590="",-1,IF($J3590=Setup!$B$7,1,IF($J3590=Setup!$B$9,0,-1)))</f>
        <v>-1</v>
      </c>
      <c r="S3590" s="35" t="n">
        <f aca="false">IF(OR($A3590="",$Q3590=0,$R3590=-1),0,$Q3590*1000+$R3590*100+$K3590)</f>
        <v>0</v>
      </c>
      <c r="T3590" s="37" t="str">
        <f aca="false">IF($A3590="","",IF($B3590="","NO ACCOUNT",IF($Q3590=0,"UNMAPPED",IF($R3590=-1,"OUTSIDE FY RANGE","OK"))))</f>
        <v/>
      </c>
      <c r="U3590" s="40" t="str">
        <f aca="false">IF($A3590="","",$B3590&amp;"|"&amp;TEXT($A3590,"yyyymmdd")&amp;"|"&amp;TEXT($I3590,"0.00"))</f>
        <v/>
      </c>
      <c r="V3590" s="35" t="str">
        <f aca="false">IF($A3590="","",COUNTIF($U$8:$U$5007,$U3590))</f>
        <v/>
      </c>
    </row>
    <row r="3591" customFormat="false" ht="15" hidden="false" customHeight="false" outlineLevel="0" collapsed="false">
      <c r="A3591" s="31"/>
      <c r="B3591" s="32"/>
      <c r="C3591" s="32"/>
      <c r="D3591" s="32"/>
      <c r="E3591" s="32"/>
      <c r="F3591" s="32"/>
      <c r="G3591" s="33"/>
      <c r="H3591" s="33"/>
      <c r="I3591" s="34" t="str">
        <f aca="false">IF($A3591="","",$G3591-$H3591)</f>
        <v/>
      </c>
      <c r="J3591" s="35" t="str">
        <f aca="false">IF($A3591="","",IF(Setup!$B$6=1,YEAR($A3591),YEAR($A3591)+IF(MONTH($A3591)&gt;=Setup!$B$6,1,0)))</f>
        <v/>
      </c>
      <c r="K3591" s="35" t="str">
        <f aca="false">IF($A3591="","",MOD(MONTH($A3591)-Setup!$B$6+12,12)+1)</f>
        <v/>
      </c>
      <c r="L3591" s="36" t="str">
        <f aca="false">IF($A3591="","",TEXT($A3591,"MMM-YY"))</f>
        <v/>
      </c>
      <c r="M3591" s="37" t="str">
        <f aca="false">IF($A3591="","",IF($Q3591=0,"UNMAPPED",INDEX(COA_Mapping!$C$7:$C$256,$Q3591)))</f>
        <v/>
      </c>
      <c r="N3591" s="38" t="str">
        <f aca="false">IF($A3591="","",IF($Q3591=0,"",INDEX(COA_Mapping!$E$7:$E$256,$Q3591)))</f>
        <v/>
      </c>
      <c r="O3591" s="38" t="n">
        <f aca="false">IF($A3591="",1,IF($Q3591=0,1,INDEX(COA_Mapping!$F$7:$F$256,$Q3591)))</f>
        <v>1</v>
      </c>
      <c r="P3591" s="34" t="str">
        <f aca="false">IF($A3591="","",$I3591*$O3591)</f>
        <v/>
      </c>
      <c r="Q3591" s="39" t="n">
        <f aca="false">IF($B3591="",0,IFERROR(MATCH($B3591,COA_Mapping!$A$7:$A$256,0),0))</f>
        <v>0</v>
      </c>
      <c r="R3591" s="39" t="n">
        <f aca="false">IF($A3591="",-1,IF($J3591=Setup!$B$7,1,IF($J3591=Setup!$B$9,0,-1)))</f>
        <v>-1</v>
      </c>
      <c r="S3591" s="35" t="n">
        <f aca="false">IF(OR($A3591="",$Q3591=0,$R3591=-1),0,$Q3591*1000+$R3591*100+$K3591)</f>
        <v>0</v>
      </c>
      <c r="T3591" s="37" t="str">
        <f aca="false">IF($A3591="","",IF($B3591="","NO ACCOUNT",IF($Q3591=0,"UNMAPPED",IF($R3591=-1,"OUTSIDE FY RANGE","OK"))))</f>
        <v/>
      </c>
      <c r="U3591" s="40" t="str">
        <f aca="false">IF($A3591="","",$B3591&amp;"|"&amp;TEXT($A3591,"yyyymmdd")&amp;"|"&amp;TEXT($I3591,"0.00"))</f>
        <v/>
      </c>
      <c r="V3591" s="35" t="str">
        <f aca="false">IF($A3591="","",COUNTIF($U$8:$U$5007,$U3591))</f>
        <v/>
      </c>
    </row>
    <row r="3592" customFormat="false" ht="15" hidden="false" customHeight="false" outlineLevel="0" collapsed="false">
      <c r="A3592" s="31"/>
      <c r="B3592" s="32"/>
      <c r="C3592" s="32"/>
      <c r="D3592" s="32"/>
      <c r="E3592" s="32"/>
      <c r="F3592" s="32"/>
      <c r="G3592" s="33"/>
      <c r="H3592" s="33"/>
      <c r="I3592" s="34" t="str">
        <f aca="false">IF($A3592="","",$G3592-$H3592)</f>
        <v/>
      </c>
      <c r="J3592" s="35" t="str">
        <f aca="false">IF($A3592="","",IF(Setup!$B$6=1,YEAR($A3592),YEAR($A3592)+IF(MONTH($A3592)&gt;=Setup!$B$6,1,0)))</f>
        <v/>
      </c>
      <c r="K3592" s="35" t="str">
        <f aca="false">IF($A3592="","",MOD(MONTH($A3592)-Setup!$B$6+12,12)+1)</f>
        <v/>
      </c>
      <c r="L3592" s="36" t="str">
        <f aca="false">IF($A3592="","",TEXT($A3592,"MMM-YY"))</f>
        <v/>
      </c>
      <c r="M3592" s="37" t="str">
        <f aca="false">IF($A3592="","",IF($Q3592=0,"UNMAPPED",INDEX(COA_Mapping!$C$7:$C$256,$Q3592)))</f>
        <v/>
      </c>
      <c r="N3592" s="38" t="str">
        <f aca="false">IF($A3592="","",IF($Q3592=0,"",INDEX(COA_Mapping!$E$7:$E$256,$Q3592)))</f>
        <v/>
      </c>
      <c r="O3592" s="38" t="n">
        <f aca="false">IF($A3592="",1,IF($Q3592=0,1,INDEX(COA_Mapping!$F$7:$F$256,$Q3592)))</f>
        <v>1</v>
      </c>
      <c r="P3592" s="34" t="str">
        <f aca="false">IF($A3592="","",$I3592*$O3592)</f>
        <v/>
      </c>
      <c r="Q3592" s="39" t="n">
        <f aca="false">IF($B3592="",0,IFERROR(MATCH($B3592,COA_Mapping!$A$7:$A$256,0),0))</f>
        <v>0</v>
      </c>
      <c r="R3592" s="39" t="n">
        <f aca="false">IF($A3592="",-1,IF($J3592=Setup!$B$7,1,IF($J3592=Setup!$B$9,0,-1)))</f>
        <v>-1</v>
      </c>
      <c r="S3592" s="35" t="n">
        <f aca="false">IF(OR($A3592="",$Q3592=0,$R3592=-1),0,$Q3592*1000+$R3592*100+$K3592)</f>
        <v>0</v>
      </c>
      <c r="T3592" s="37" t="str">
        <f aca="false">IF($A3592="","",IF($B3592="","NO ACCOUNT",IF($Q3592=0,"UNMAPPED",IF($R3592=-1,"OUTSIDE FY RANGE","OK"))))</f>
        <v/>
      </c>
      <c r="U3592" s="40" t="str">
        <f aca="false">IF($A3592="","",$B3592&amp;"|"&amp;TEXT($A3592,"yyyymmdd")&amp;"|"&amp;TEXT($I3592,"0.00"))</f>
        <v/>
      </c>
      <c r="V3592" s="35" t="str">
        <f aca="false">IF($A3592="","",COUNTIF($U$8:$U$5007,$U3592))</f>
        <v/>
      </c>
    </row>
    <row r="3593" customFormat="false" ht="15" hidden="false" customHeight="false" outlineLevel="0" collapsed="false">
      <c r="A3593" s="31"/>
      <c r="B3593" s="32"/>
      <c r="C3593" s="32"/>
      <c r="D3593" s="32"/>
      <c r="E3593" s="32"/>
      <c r="F3593" s="32"/>
      <c r="G3593" s="33"/>
      <c r="H3593" s="33"/>
      <c r="I3593" s="34" t="str">
        <f aca="false">IF($A3593="","",$G3593-$H3593)</f>
        <v/>
      </c>
      <c r="J3593" s="35" t="str">
        <f aca="false">IF($A3593="","",IF(Setup!$B$6=1,YEAR($A3593),YEAR($A3593)+IF(MONTH($A3593)&gt;=Setup!$B$6,1,0)))</f>
        <v/>
      </c>
      <c r="K3593" s="35" t="str">
        <f aca="false">IF($A3593="","",MOD(MONTH($A3593)-Setup!$B$6+12,12)+1)</f>
        <v/>
      </c>
      <c r="L3593" s="36" t="str">
        <f aca="false">IF($A3593="","",TEXT($A3593,"MMM-YY"))</f>
        <v/>
      </c>
      <c r="M3593" s="37" t="str">
        <f aca="false">IF($A3593="","",IF($Q3593=0,"UNMAPPED",INDEX(COA_Mapping!$C$7:$C$256,$Q3593)))</f>
        <v/>
      </c>
      <c r="N3593" s="38" t="str">
        <f aca="false">IF($A3593="","",IF($Q3593=0,"",INDEX(COA_Mapping!$E$7:$E$256,$Q3593)))</f>
        <v/>
      </c>
      <c r="O3593" s="38" t="n">
        <f aca="false">IF($A3593="",1,IF($Q3593=0,1,INDEX(COA_Mapping!$F$7:$F$256,$Q3593)))</f>
        <v>1</v>
      </c>
      <c r="P3593" s="34" t="str">
        <f aca="false">IF($A3593="","",$I3593*$O3593)</f>
        <v/>
      </c>
      <c r="Q3593" s="39" t="n">
        <f aca="false">IF($B3593="",0,IFERROR(MATCH($B3593,COA_Mapping!$A$7:$A$256,0),0))</f>
        <v>0</v>
      </c>
      <c r="R3593" s="39" t="n">
        <f aca="false">IF($A3593="",-1,IF($J3593=Setup!$B$7,1,IF($J3593=Setup!$B$9,0,-1)))</f>
        <v>-1</v>
      </c>
      <c r="S3593" s="35" t="n">
        <f aca="false">IF(OR($A3593="",$Q3593=0,$R3593=-1),0,$Q3593*1000+$R3593*100+$K3593)</f>
        <v>0</v>
      </c>
      <c r="T3593" s="37" t="str">
        <f aca="false">IF($A3593="","",IF($B3593="","NO ACCOUNT",IF($Q3593=0,"UNMAPPED",IF($R3593=-1,"OUTSIDE FY RANGE","OK"))))</f>
        <v/>
      </c>
      <c r="U3593" s="40" t="str">
        <f aca="false">IF($A3593="","",$B3593&amp;"|"&amp;TEXT($A3593,"yyyymmdd")&amp;"|"&amp;TEXT($I3593,"0.00"))</f>
        <v/>
      </c>
      <c r="V3593" s="35" t="str">
        <f aca="false">IF($A3593="","",COUNTIF($U$8:$U$5007,$U3593))</f>
        <v/>
      </c>
    </row>
    <row r="3594" customFormat="false" ht="15" hidden="false" customHeight="false" outlineLevel="0" collapsed="false">
      <c r="A3594" s="31"/>
      <c r="B3594" s="32"/>
      <c r="C3594" s="32"/>
      <c r="D3594" s="32"/>
      <c r="E3594" s="32"/>
      <c r="F3594" s="32"/>
      <c r="G3594" s="33"/>
      <c r="H3594" s="33"/>
      <c r="I3594" s="34" t="str">
        <f aca="false">IF($A3594="","",$G3594-$H3594)</f>
        <v/>
      </c>
      <c r="J3594" s="35" t="str">
        <f aca="false">IF($A3594="","",IF(Setup!$B$6=1,YEAR($A3594),YEAR($A3594)+IF(MONTH($A3594)&gt;=Setup!$B$6,1,0)))</f>
        <v/>
      </c>
      <c r="K3594" s="35" t="str">
        <f aca="false">IF($A3594="","",MOD(MONTH($A3594)-Setup!$B$6+12,12)+1)</f>
        <v/>
      </c>
      <c r="L3594" s="36" t="str">
        <f aca="false">IF($A3594="","",TEXT($A3594,"MMM-YY"))</f>
        <v/>
      </c>
      <c r="M3594" s="37" t="str">
        <f aca="false">IF($A3594="","",IF($Q3594=0,"UNMAPPED",INDEX(COA_Mapping!$C$7:$C$256,$Q3594)))</f>
        <v/>
      </c>
      <c r="N3594" s="38" t="str">
        <f aca="false">IF($A3594="","",IF($Q3594=0,"",INDEX(COA_Mapping!$E$7:$E$256,$Q3594)))</f>
        <v/>
      </c>
      <c r="O3594" s="38" t="n">
        <f aca="false">IF($A3594="",1,IF($Q3594=0,1,INDEX(COA_Mapping!$F$7:$F$256,$Q3594)))</f>
        <v>1</v>
      </c>
      <c r="P3594" s="34" t="str">
        <f aca="false">IF($A3594="","",$I3594*$O3594)</f>
        <v/>
      </c>
      <c r="Q3594" s="39" t="n">
        <f aca="false">IF($B3594="",0,IFERROR(MATCH($B3594,COA_Mapping!$A$7:$A$256,0),0))</f>
        <v>0</v>
      </c>
      <c r="R3594" s="39" t="n">
        <f aca="false">IF($A3594="",-1,IF($J3594=Setup!$B$7,1,IF($J3594=Setup!$B$9,0,-1)))</f>
        <v>-1</v>
      </c>
      <c r="S3594" s="35" t="n">
        <f aca="false">IF(OR($A3594="",$Q3594=0,$R3594=-1),0,$Q3594*1000+$R3594*100+$K3594)</f>
        <v>0</v>
      </c>
      <c r="T3594" s="37" t="str">
        <f aca="false">IF($A3594="","",IF($B3594="","NO ACCOUNT",IF($Q3594=0,"UNMAPPED",IF($R3594=-1,"OUTSIDE FY RANGE","OK"))))</f>
        <v/>
      </c>
      <c r="U3594" s="40" t="str">
        <f aca="false">IF($A3594="","",$B3594&amp;"|"&amp;TEXT($A3594,"yyyymmdd")&amp;"|"&amp;TEXT($I3594,"0.00"))</f>
        <v/>
      </c>
      <c r="V3594" s="35" t="str">
        <f aca="false">IF($A3594="","",COUNTIF($U$8:$U$5007,$U3594))</f>
        <v/>
      </c>
    </row>
    <row r="3595" customFormat="false" ht="15" hidden="false" customHeight="false" outlineLevel="0" collapsed="false">
      <c r="A3595" s="31"/>
      <c r="B3595" s="32"/>
      <c r="C3595" s="32"/>
      <c r="D3595" s="32"/>
      <c r="E3595" s="32"/>
      <c r="F3595" s="32"/>
      <c r="G3595" s="33"/>
      <c r="H3595" s="33"/>
      <c r="I3595" s="34" t="str">
        <f aca="false">IF($A3595="","",$G3595-$H3595)</f>
        <v/>
      </c>
      <c r="J3595" s="35" t="str">
        <f aca="false">IF($A3595="","",IF(Setup!$B$6=1,YEAR($A3595),YEAR($A3595)+IF(MONTH($A3595)&gt;=Setup!$B$6,1,0)))</f>
        <v/>
      </c>
      <c r="K3595" s="35" t="str">
        <f aca="false">IF($A3595="","",MOD(MONTH($A3595)-Setup!$B$6+12,12)+1)</f>
        <v/>
      </c>
      <c r="L3595" s="36" t="str">
        <f aca="false">IF($A3595="","",TEXT($A3595,"MMM-YY"))</f>
        <v/>
      </c>
      <c r="M3595" s="37" t="str">
        <f aca="false">IF($A3595="","",IF($Q3595=0,"UNMAPPED",INDEX(COA_Mapping!$C$7:$C$256,$Q3595)))</f>
        <v/>
      </c>
      <c r="N3595" s="38" t="str">
        <f aca="false">IF($A3595="","",IF($Q3595=0,"",INDEX(COA_Mapping!$E$7:$E$256,$Q3595)))</f>
        <v/>
      </c>
      <c r="O3595" s="38" t="n">
        <f aca="false">IF($A3595="",1,IF($Q3595=0,1,INDEX(COA_Mapping!$F$7:$F$256,$Q3595)))</f>
        <v>1</v>
      </c>
      <c r="P3595" s="34" t="str">
        <f aca="false">IF($A3595="","",$I3595*$O3595)</f>
        <v/>
      </c>
      <c r="Q3595" s="39" t="n">
        <f aca="false">IF($B3595="",0,IFERROR(MATCH($B3595,COA_Mapping!$A$7:$A$256,0),0))</f>
        <v>0</v>
      </c>
      <c r="R3595" s="39" t="n">
        <f aca="false">IF($A3595="",-1,IF($J3595=Setup!$B$7,1,IF($J3595=Setup!$B$9,0,-1)))</f>
        <v>-1</v>
      </c>
      <c r="S3595" s="35" t="n">
        <f aca="false">IF(OR($A3595="",$Q3595=0,$R3595=-1),0,$Q3595*1000+$R3595*100+$K3595)</f>
        <v>0</v>
      </c>
      <c r="T3595" s="37" t="str">
        <f aca="false">IF($A3595="","",IF($B3595="","NO ACCOUNT",IF($Q3595=0,"UNMAPPED",IF($R3595=-1,"OUTSIDE FY RANGE","OK"))))</f>
        <v/>
      </c>
      <c r="U3595" s="40" t="str">
        <f aca="false">IF($A3595="","",$B3595&amp;"|"&amp;TEXT($A3595,"yyyymmdd")&amp;"|"&amp;TEXT($I3595,"0.00"))</f>
        <v/>
      </c>
      <c r="V3595" s="35" t="str">
        <f aca="false">IF($A3595="","",COUNTIF($U$8:$U$5007,$U3595))</f>
        <v/>
      </c>
    </row>
    <row r="3596" customFormat="false" ht="15" hidden="false" customHeight="false" outlineLevel="0" collapsed="false">
      <c r="A3596" s="31"/>
      <c r="B3596" s="32"/>
      <c r="C3596" s="32"/>
      <c r="D3596" s="32"/>
      <c r="E3596" s="32"/>
      <c r="F3596" s="32"/>
      <c r="G3596" s="33"/>
      <c r="H3596" s="33"/>
      <c r="I3596" s="34" t="str">
        <f aca="false">IF($A3596="","",$G3596-$H3596)</f>
        <v/>
      </c>
      <c r="J3596" s="35" t="str">
        <f aca="false">IF($A3596="","",IF(Setup!$B$6=1,YEAR($A3596),YEAR($A3596)+IF(MONTH($A3596)&gt;=Setup!$B$6,1,0)))</f>
        <v/>
      </c>
      <c r="K3596" s="35" t="str">
        <f aca="false">IF($A3596="","",MOD(MONTH($A3596)-Setup!$B$6+12,12)+1)</f>
        <v/>
      </c>
      <c r="L3596" s="36" t="str">
        <f aca="false">IF($A3596="","",TEXT($A3596,"MMM-YY"))</f>
        <v/>
      </c>
      <c r="M3596" s="37" t="str">
        <f aca="false">IF($A3596="","",IF($Q3596=0,"UNMAPPED",INDEX(COA_Mapping!$C$7:$C$256,$Q3596)))</f>
        <v/>
      </c>
      <c r="N3596" s="38" t="str">
        <f aca="false">IF($A3596="","",IF($Q3596=0,"",INDEX(COA_Mapping!$E$7:$E$256,$Q3596)))</f>
        <v/>
      </c>
      <c r="O3596" s="38" t="n">
        <f aca="false">IF($A3596="",1,IF($Q3596=0,1,INDEX(COA_Mapping!$F$7:$F$256,$Q3596)))</f>
        <v>1</v>
      </c>
      <c r="P3596" s="34" t="str">
        <f aca="false">IF($A3596="","",$I3596*$O3596)</f>
        <v/>
      </c>
      <c r="Q3596" s="39" t="n">
        <f aca="false">IF($B3596="",0,IFERROR(MATCH($B3596,COA_Mapping!$A$7:$A$256,0),0))</f>
        <v>0</v>
      </c>
      <c r="R3596" s="39" t="n">
        <f aca="false">IF($A3596="",-1,IF($J3596=Setup!$B$7,1,IF($J3596=Setup!$B$9,0,-1)))</f>
        <v>-1</v>
      </c>
      <c r="S3596" s="35" t="n">
        <f aca="false">IF(OR($A3596="",$Q3596=0,$R3596=-1),0,$Q3596*1000+$R3596*100+$K3596)</f>
        <v>0</v>
      </c>
      <c r="T3596" s="37" t="str">
        <f aca="false">IF($A3596="","",IF($B3596="","NO ACCOUNT",IF($Q3596=0,"UNMAPPED",IF($R3596=-1,"OUTSIDE FY RANGE","OK"))))</f>
        <v/>
      </c>
      <c r="U3596" s="40" t="str">
        <f aca="false">IF($A3596="","",$B3596&amp;"|"&amp;TEXT($A3596,"yyyymmdd")&amp;"|"&amp;TEXT($I3596,"0.00"))</f>
        <v/>
      </c>
      <c r="V3596" s="35" t="str">
        <f aca="false">IF($A3596="","",COUNTIF($U$8:$U$5007,$U3596))</f>
        <v/>
      </c>
    </row>
    <row r="3597" customFormat="false" ht="15" hidden="false" customHeight="false" outlineLevel="0" collapsed="false">
      <c r="A3597" s="31"/>
      <c r="B3597" s="32"/>
      <c r="C3597" s="32"/>
      <c r="D3597" s="32"/>
      <c r="E3597" s="32"/>
      <c r="F3597" s="32"/>
      <c r="G3597" s="33"/>
      <c r="H3597" s="33"/>
      <c r="I3597" s="34" t="str">
        <f aca="false">IF($A3597="","",$G3597-$H3597)</f>
        <v/>
      </c>
      <c r="J3597" s="35" t="str">
        <f aca="false">IF($A3597="","",IF(Setup!$B$6=1,YEAR($A3597),YEAR($A3597)+IF(MONTH($A3597)&gt;=Setup!$B$6,1,0)))</f>
        <v/>
      </c>
      <c r="K3597" s="35" t="str">
        <f aca="false">IF($A3597="","",MOD(MONTH($A3597)-Setup!$B$6+12,12)+1)</f>
        <v/>
      </c>
      <c r="L3597" s="36" t="str">
        <f aca="false">IF($A3597="","",TEXT($A3597,"MMM-YY"))</f>
        <v/>
      </c>
      <c r="M3597" s="37" t="str">
        <f aca="false">IF($A3597="","",IF($Q3597=0,"UNMAPPED",INDEX(COA_Mapping!$C$7:$C$256,$Q3597)))</f>
        <v/>
      </c>
      <c r="N3597" s="38" t="str">
        <f aca="false">IF($A3597="","",IF($Q3597=0,"",INDEX(COA_Mapping!$E$7:$E$256,$Q3597)))</f>
        <v/>
      </c>
      <c r="O3597" s="38" t="n">
        <f aca="false">IF($A3597="",1,IF($Q3597=0,1,INDEX(COA_Mapping!$F$7:$F$256,$Q3597)))</f>
        <v>1</v>
      </c>
      <c r="P3597" s="34" t="str">
        <f aca="false">IF($A3597="","",$I3597*$O3597)</f>
        <v/>
      </c>
      <c r="Q3597" s="39" t="n">
        <f aca="false">IF($B3597="",0,IFERROR(MATCH($B3597,COA_Mapping!$A$7:$A$256,0),0))</f>
        <v>0</v>
      </c>
      <c r="R3597" s="39" t="n">
        <f aca="false">IF($A3597="",-1,IF($J3597=Setup!$B$7,1,IF($J3597=Setup!$B$9,0,-1)))</f>
        <v>-1</v>
      </c>
      <c r="S3597" s="35" t="n">
        <f aca="false">IF(OR($A3597="",$Q3597=0,$R3597=-1),0,$Q3597*1000+$R3597*100+$K3597)</f>
        <v>0</v>
      </c>
      <c r="T3597" s="37" t="str">
        <f aca="false">IF($A3597="","",IF($B3597="","NO ACCOUNT",IF($Q3597=0,"UNMAPPED",IF($R3597=-1,"OUTSIDE FY RANGE","OK"))))</f>
        <v/>
      </c>
      <c r="U3597" s="40" t="str">
        <f aca="false">IF($A3597="","",$B3597&amp;"|"&amp;TEXT($A3597,"yyyymmdd")&amp;"|"&amp;TEXT($I3597,"0.00"))</f>
        <v/>
      </c>
      <c r="V3597" s="35" t="str">
        <f aca="false">IF($A3597="","",COUNTIF($U$8:$U$5007,$U3597))</f>
        <v/>
      </c>
    </row>
    <row r="3598" customFormat="false" ht="15" hidden="false" customHeight="false" outlineLevel="0" collapsed="false">
      <c r="A3598" s="31"/>
      <c r="B3598" s="32"/>
      <c r="C3598" s="32"/>
      <c r="D3598" s="32"/>
      <c r="E3598" s="32"/>
      <c r="F3598" s="32"/>
      <c r="G3598" s="33"/>
      <c r="H3598" s="33"/>
      <c r="I3598" s="34" t="str">
        <f aca="false">IF($A3598="","",$G3598-$H3598)</f>
        <v/>
      </c>
      <c r="J3598" s="35" t="str">
        <f aca="false">IF($A3598="","",IF(Setup!$B$6=1,YEAR($A3598),YEAR($A3598)+IF(MONTH($A3598)&gt;=Setup!$B$6,1,0)))</f>
        <v/>
      </c>
      <c r="K3598" s="35" t="str">
        <f aca="false">IF($A3598="","",MOD(MONTH($A3598)-Setup!$B$6+12,12)+1)</f>
        <v/>
      </c>
      <c r="L3598" s="36" t="str">
        <f aca="false">IF($A3598="","",TEXT($A3598,"MMM-YY"))</f>
        <v/>
      </c>
      <c r="M3598" s="37" t="str">
        <f aca="false">IF($A3598="","",IF($Q3598=0,"UNMAPPED",INDEX(COA_Mapping!$C$7:$C$256,$Q3598)))</f>
        <v/>
      </c>
      <c r="N3598" s="38" t="str">
        <f aca="false">IF($A3598="","",IF($Q3598=0,"",INDEX(COA_Mapping!$E$7:$E$256,$Q3598)))</f>
        <v/>
      </c>
      <c r="O3598" s="38" t="n">
        <f aca="false">IF($A3598="",1,IF($Q3598=0,1,INDEX(COA_Mapping!$F$7:$F$256,$Q3598)))</f>
        <v>1</v>
      </c>
      <c r="P3598" s="34" t="str">
        <f aca="false">IF($A3598="","",$I3598*$O3598)</f>
        <v/>
      </c>
      <c r="Q3598" s="39" t="n">
        <f aca="false">IF($B3598="",0,IFERROR(MATCH($B3598,COA_Mapping!$A$7:$A$256,0),0))</f>
        <v>0</v>
      </c>
      <c r="R3598" s="39" t="n">
        <f aca="false">IF($A3598="",-1,IF($J3598=Setup!$B$7,1,IF($J3598=Setup!$B$9,0,-1)))</f>
        <v>-1</v>
      </c>
      <c r="S3598" s="35" t="n">
        <f aca="false">IF(OR($A3598="",$Q3598=0,$R3598=-1),0,$Q3598*1000+$R3598*100+$K3598)</f>
        <v>0</v>
      </c>
      <c r="T3598" s="37" t="str">
        <f aca="false">IF($A3598="","",IF($B3598="","NO ACCOUNT",IF($Q3598=0,"UNMAPPED",IF($R3598=-1,"OUTSIDE FY RANGE","OK"))))</f>
        <v/>
      </c>
      <c r="U3598" s="40" t="str">
        <f aca="false">IF($A3598="","",$B3598&amp;"|"&amp;TEXT($A3598,"yyyymmdd")&amp;"|"&amp;TEXT($I3598,"0.00"))</f>
        <v/>
      </c>
      <c r="V3598" s="35" t="str">
        <f aca="false">IF($A3598="","",COUNTIF($U$8:$U$5007,$U3598))</f>
        <v/>
      </c>
    </row>
    <row r="3599" customFormat="false" ht="15" hidden="false" customHeight="false" outlineLevel="0" collapsed="false">
      <c r="A3599" s="31"/>
      <c r="B3599" s="32"/>
      <c r="C3599" s="32"/>
      <c r="D3599" s="32"/>
      <c r="E3599" s="32"/>
      <c r="F3599" s="32"/>
      <c r="G3599" s="33"/>
      <c r="H3599" s="33"/>
      <c r="I3599" s="34" t="str">
        <f aca="false">IF($A3599="","",$G3599-$H3599)</f>
        <v/>
      </c>
      <c r="J3599" s="35" t="str">
        <f aca="false">IF($A3599="","",IF(Setup!$B$6=1,YEAR($A3599),YEAR($A3599)+IF(MONTH($A3599)&gt;=Setup!$B$6,1,0)))</f>
        <v/>
      </c>
      <c r="K3599" s="35" t="str">
        <f aca="false">IF($A3599="","",MOD(MONTH($A3599)-Setup!$B$6+12,12)+1)</f>
        <v/>
      </c>
      <c r="L3599" s="36" t="str">
        <f aca="false">IF($A3599="","",TEXT($A3599,"MMM-YY"))</f>
        <v/>
      </c>
      <c r="M3599" s="37" t="str">
        <f aca="false">IF($A3599="","",IF($Q3599=0,"UNMAPPED",INDEX(COA_Mapping!$C$7:$C$256,$Q3599)))</f>
        <v/>
      </c>
      <c r="N3599" s="38" t="str">
        <f aca="false">IF($A3599="","",IF($Q3599=0,"",INDEX(COA_Mapping!$E$7:$E$256,$Q3599)))</f>
        <v/>
      </c>
      <c r="O3599" s="38" t="n">
        <f aca="false">IF($A3599="",1,IF($Q3599=0,1,INDEX(COA_Mapping!$F$7:$F$256,$Q3599)))</f>
        <v>1</v>
      </c>
      <c r="P3599" s="34" t="str">
        <f aca="false">IF($A3599="","",$I3599*$O3599)</f>
        <v/>
      </c>
      <c r="Q3599" s="39" t="n">
        <f aca="false">IF($B3599="",0,IFERROR(MATCH($B3599,COA_Mapping!$A$7:$A$256,0),0))</f>
        <v>0</v>
      </c>
      <c r="R3599" s="39" t="n">
        <f aca="false">IF($A3599="",-1,IF($J3599=Setup!$B$7,1,IF($J3599=Setup!$B$9,0,-1)))</f>
        <v>-1</v>
      </c>
      <c r="S3599" s="35" t="n">
        <f aca="false">IF(OR($A3599="",$Q3599=0,$R3599=-1),0,$Q3599*1000+$R3599*100+$K3599)</f>
        <v>0</v>
      </c>
      <c r="T3599" s="37" t="str">
        <f aca="false">IF($A3599="","",IF($B3599="","NO ACCOUNT",IF($Q3599=0,"UNMAPPED",IF($R3599=-1,"OUTSIDE FY RANGE","OK"))))</f>
        <v/>
      </c>
      <c r="U3599" s="40" t="str">
        <f aca="false">IF($A3599="","",$B3599&amp;"|"&amp;TEXT($A3599,"yyyymmdd")&amp;"|"&amp;TEXT($I3599,"0.00"))</f>
        <v/>
      </c>
      <c r="V3599" s="35" t="str">
        <f aca="false">IF($A3599="","",COUNTIF($U$8:$U$5007,$U3599))</f>
        <v/>
      </c>
    </row>
    <row r="3600" customFormat="false" ht="15" hidden="false" customHeight="false" outlineLevel="0" collapsed="false">
      <c r="A3600" s="31"/>
      <c r="B3600" s="32"/>
      <c r="C3600" s="32"/>
      <c r="D3600" s="32"/>
      <c r="E3600" s="32"/>
      <c r="F3600" s="32"/>
      <c r="G3600" s="33"/>
      <c r="H3600" s="33"/>
      <c r="I3600" s="34" t="str">
        <f aca="false">IF($A3600="","",$G3600-$H3600)</f>
        <v/>
      </c>
      <c r="J3600" s="35" t="str">
        <f aca="false">IF($A3600="","",IF(Setup!$B$6=1,YEAR($A3600),YEAR($A3600)+IF(MONTH($A3600)&gt;=Setup!$B$6,1,0)))</f>
        <v/>
      </c>
      <c r="K3600" s="35" t="str">
        <f aca="false">IF($A3600="","",MOD(MONTH($A3600)-Setup!$B$6+12,12)+1)</f>
        <v/>
      </c>
      <c r="L3600" s="36" t="str">
        <f aca="false">IF($A3600="","",TEXT($A3600,"MMM-YY"))</f>
        <v/>
      </c>
      <c r="M3600" s="37" t="str">
        <f aca="false">IF($A3600="","",IF($Q3600=0,"UNMAPPED",INDEX(COA_Mapping!$C$7:$C$256,$Q3600)))</f>
        <v/>
      </c>
      <c r="N3600" s="38" t="str">
        <f aca="false">IF($A3600="","",IF($Q3600=0,"",INDEX(COA_Mapping!$E$7:$E$256,$Q3600)))</f>
        <v/>
      </c>
      <c r="O3600" s="38" t="n">
        <f aca="false">IF($A3600="",1,IF($Q3600=0,1,INDEX(COA_Mapping!$F$7:$F$256,$Q3600)))</f>
        <v>1</v>
      </c>
      <c r="P3600" s="34" t="str">
        <f aca="false">IF($A3600="","",$I3600*$O3600)</f>
        <v/>
      </c>
      <c r="Q3600" s="39" t="n">
        <f aca="false">IF($B3600="",0,IFERROR(MATCH($B3600,COA_Mapping!$A$7:$A$256,0),0))</f>
        <v>0</v>
      </c>
      <c r="R3600" s="39" t="n">
        <f aca="false">IF($A3600="",-1,IF($J3600=Setup!$B$7,1,IF($J3600=Setup!$B$9,0,-1)))</f>
        <v>-1</v>
      </c>
      <c r="S3600" s="35" t="n">
        <f aca="false">IF(OR($A3600="",$Q3600=0,$R3600=-1),0,$Q3600*1000+$R3600*100+$K3600)</f>
        <v>0</v>
      </c>
      <c r="T3600" s="37" t="str">
        <f aca="false">IF($A3600="","",IF($B3600="","NO ACCOUNT",IF($Q3600=0,"UNMAPPED",IF($R3600=-1,"OUTSIDE FY RANGE","OK"))))</f>
        <v/>
      </c>
      <c r="U3600" s="40" t="str">
        <f aca="false">IF($A3600="","",$B3600&amp;"|"&amp;TEXT($A3600,"yyyymmdd")&amp;"|"&amp;TEXT($I3600,"0.00"))</f>
        <v/>
      </c>
      <c r="V3600" s="35" t="str">
        <f aca="false">IF($A3600="","",COUNTIF($U$8:$U$5007,$U3600))</f>
        <v/>
      </c>
    </row>
    <row r="3601" customFormat="false" ht="15" hidden="false" customHeight="false" outlineLevel="0" collapsed="false">
      <c r="A3601" s="31"/>
      <c r="B3601" s="32"/>
      <c r="C3601" s="32"/>
      <c r="D3601" s="32"/>
      <c r="E3601" s="32"/>
      <c r="F3601" s="32"/>
      <c r="G3601" s="33"/>
      <c r="H3601" s="33"/>
      <c r="I3601" s="34" t="str">
        <f aca="false">IF($A3601="","",$G3601-$H3601)</f>
        <v/>
      </c>
      <c r="J3601" s="35" t="str">
        <f aca="false">IF($A3601="","",IF(Setup!$B$6=1,YEAR($A3601),YEAR($A3601)+IF(MONTH($A3601)&gt;=Setup!$B$6,1,0)))</f>
        <v/>
      </c>
      <c r="K3601" s="35" t="str">
        <f aca="false">IF($A3601="","",MOD(MONTH($A3601)-Setup!$B$6+12,12)+1)</f>
        <v/>
      </c>
      <c r="L3601" s="36" t="str">
        <f aca="false">IF($A3601="","",TEXT($A3601,"MMM-YY"))</f>
        <v/>
      </c>
      <c r="M3601" s="37" t="str">
        <f aca="false">IF($A3601="","",IF($Q3601=0,"UNMAPPED",INDEX(COA_Mapping!$C$7:$C$256,$Q3601)))</f>
        <v/>
      </c>
      <c r="N3601" s="38" t="str">
        <f aca="false">IF($A3601="","",IF($Q3601=0,"",INDEX(COA_Mapping!$E$7:$E$256,$Q3601)))</f>
        <v/>
      </c>
      <c r="O3601" s="38" t="n">
        <f aca="false">IF($A3601="",1,IF($Q3601=0,1,INDEX(COA_Mapping!$F$7:$F$256,$Q3601)))</f>
        <v>1</v>
      </c>
      <c r="P3601" s="34" t="str">
        <f aca="false">IF($A3601="","",$I3601*$O3601)</f>
        <v/>
      </c>
      <c r="Q3601" s="39" t="n">
        <f aca="false">IF($B3601="",0,IFERROR(MATCH($B3601,COA_Mapping!$A$7:$A$256,0),0))</f>
        <v>0</v>
      </c>
      <c r="R3601" s="39" t="n">
        <f aca="false">IF($A3601="",-1,IF($J3601=Setup!$B$7,1,IF($J3601=Setup!$B$9,0,-1)))</f>
        <v>-1</v>
      </c>
      <c r="S3601" s="35" t="n">
        <f aca="false">IF(OR($A3601="",$Q3601=0,$R3601=-1),0,$Q3601*1000+$R3601*100+$K3601)</f>
        <v>0</v>
      </c>
      <c r="T3601" s="37" t="str">
        <f aca="false">IF($A3601="","",IF($B3601="","NO ACCOUNT",IF($Q3601=0,"UNMAPPED",IF($R3601=-1,"OUTSIDE FY RANGE","OK"))))</f>
        <v/>
      </c>
      <c r="U3601" s="40" t="str">
        <f aca="false">IF($A3601="","",$B3601&amp;"|"&amp;TEXT($A3601,"yyyymmdd")&amp;"|"&amp;TEXT($I3601,"0.00"))</f>
        <v/>
      </c>
      <c r="V3601" s="35" t="str">
        <f aca="false">IF($A3601="","",COUNTIF($U$8:$U$5007,$U3601))</f>
        <v/>
      </c>
    </row>
    <row r="3602" customFormat="false" ht="15" hidden="false" customHeight="false" outlineLevel="0" collapsed="false">
      <c r="A3602" s="31"/>
      <c r="B3602" s="32"/>
      <c r="C3602" s="32"/>
      <c r="D3602" s="32"/>
      <c r="E3602" s="32"/>
      <c r="F3602" s="32"/>
      <c r="G3602" s="33"/>
      <c r="H3602" s="33"/>
      <c r="I3602" s="34" t="str">
        <f aca="false">IF($A3602="","",$G3602-$H3602)</f>
        <v/>
      </c>
      <c r="J3602" s="35" t="str">
        <f aca="false">IF($A3602="","",IF(Setup!$B$6=1,YEAR($A3602),YEAR($A3602)+IF(MONTH($A3602)&gt;=Setup!$B$6,1,0)))</f>
        <v/>
      </c>
      <c r="K3602" s="35" t="str">
        <f aca="false">IF($A3602="","",MOD(MONTH($A3602)-Setup!$B$6+12,12)+1)</f>
        <v/>
      </c>
      <c r="L3602" s="36" t="str">
        <f aca="false">IF($A3602="","",TEXT($A3602,"MMM-YY"))</f>
        <v/>
      </c>
      <c r="M3602" s="37" t="str">
        <f aca="false">IF($A3602="","",IF($Q3602=0,"UNMAPPED",INDEX(COA_Mapping!$C$7:$C$256,$Q3602)))</f>
        <v/>
      </c>
      <c r="N3602" s="38" t="str">
        <f aca="false">IF($A3602="","",IF($Q3602=0,"",INDEX(COA_Mapping!$E$7:$E$256,$Q3602)))</f>
        <v/>
      </c>
      <c r="O3602" s="38" t="n">
        <f aca="false">IF($A3602="",1,IF($Q3602=0,1,INDEX(COA_Mapping!$F$7:$F$256,$Q3602)))</f>
        <v>1</v>
      </c>
      <c r="P3602" s="34" t="str">
        <f aca="false">IF($A3602="","",$I3602*$O3602)</f>
        <v/>
      </c>
      <c r="Q3602" s="39" t="n">
        <f aca="false">IF($B3602="",0,IFERROR(MATCH($B3602,COA_Mapping!$A$7:$A$256,0),0))</f>
        <v>0</v>
      </c>
      <c r="R3602" s="39" t="n">
        <f aca="false">IF($A3602="",-1,IF($J3602=Setup!$B$7,1,IF($J3602=Setup!$B$9,0,-1)))</f>
        <v>-1</v>
      </c>
      <c r="S3602" s="35" t="n">
        <f aca="false">IF(OR($A3602="",$Q3602=0,$R3602=-1),0,$Q3602*1000+$R3602*100+$K3602)</f>
        <v>0</v>
      </c>
      <c r="T3602" s="37" t="str">
        <f aca="false">IF($A3602="","",IF($B3602="","NO ACCOUNT",IF($Q3602=0,"UNMAPPED",IF($R3602=-1,"OUTSIDE FY RANGE","OK"))))</f>
        <v/>
      </c>
      <c r="U3602" s="40" t="str">
        <f aca="false">IF($A3602="","",$B3602&amp;"|"&amp;TEXT($A3602,"yyyymmdd")&amp;"|"&amp;TEXT($I3602,"0.00"))</f>
        <v/>
      </c>
      <c r="V3602" s="35" t="str">
        <f aca="false">IF($A3602="","",COUNTIF($U$8:$U$5007,$U3602))</f>
        <v/>
      </c>
    </row>
    <row r="3603" customFormat="false" ht="15" hidden="false" customHeight="false" outlineLevel="0" collapsed="false">
      <c r="A3603" s="31"/>
      <c r="B3603" s="32"/>
      <c r="C3603" s="32"/>
      <c r="D3603" s="32"/>
      <c r="E3603" s="32"/>
      <c r="F3603" s="32"/>
      <c r="G3603" s="33"/>
      <c r="H3603" s="33"/>
      <c r="I3603" s="34" t="str">
        <f aca="false">IF($A3603="","",$G3603-$H3603)</f>
        <v/>
      </c>
      <c r="J3603" s="35" t="str">
        <f aca="false">IF($A3603="","",IF(Setup!$B$6=1,YEAR($A3603),YEAR($A3603)+IF(MONTH($A3603)&gt;=Setup!$B$6,1,0)))</f>
        <v/>
      </c>
      <c r="K3603" s="35" t="str">
        <f aca="false">IF($A3603="","",MOD(MONTH($A3603)-Setup!$B$6+12,12)+1)</f>
        <v/>
      </c>
      <c r="L3603" s="36" t="str">
        <f aca="false">IF($A3603="","",TEXT($A3603,"MMM-YY"))</f>
        <v/>
      </c>
      <c r="M3603" s="37" t="str">
        <f aca="false">IF($A3603="","",IF($Q3603=0,"UNMAPPED",INDEX(COA_Mapping!$C$7:$C$256,$Q3603)))</f>
        <v/>
      </c>
      <c r="N3603" s="38" t="str">
        <f aca="false">IF($A3603="","",IF($Q3603=0,"",INDEX(COA_Mapping!$E$7:$E$256,$Q3603)))</f>
        <v/>
      </c>
      <c r="O3603" s="38" t="n">
        <f aca="false">IF($A3603="",1,IF($Q3603=0,1,INDEX(COA_Mapping!$F$7:$F$256,$Q3603)))</f>
        <v>1</v>
      </c>
      <c r="P3603" s="34" t="str">
        <f aca="false">IF($A3603="","",$I3603*$O3603)</f>
        <v/>
      </c>
      <c r="Q3603" s="39" t="n">
        <f aca="false">IF($B3603="",0,IFERROR(MATCH($B3603,COA_Mapping!$A$7:$A$256,0),0))</f>
        <v>0</v>
      </c>
      <c r="R3603" s="39" t="n">
        <f aca="false">IF($A3603="",-1,IF($J3603=Setup!$B$7,1,IF($J3603=Setup!$B$9,0,-1)))</f>
        <v>-1</v>
      </c>
      <c r="S3603" s="35" t="n">
        <f aca="false">IF(OR($A3603="",$Q3603=0,$R3603=-1),0,$Q3603*1000+$R3603*100+$K3603)</f>
        <v>0</v>
      </c>
      <c r="T3603" s="37" t="str">
        <f aca="false">IF($A3603="","",IF($B3603="","NO ACCOUNT",IF($Q3603=0,"UNMAPPED",IF($R3603=-1,"OUTSIDE FY RANGE","OK"))))</f>
        <v/>
      </c>
      <c r="U3603" s="40" t="str">
        <f aca="false">IF($A3603="","",$B3603&amp;"|"&amp;TEXT($A3603,"yyyymmdd")&amp;"|"&amp;TEXT($I3603,"0.00"))</f>
        <v/>
      </c>
      <c r="V3603" s="35" t="str">
        <f aca="false">IF($A3603="","",COUNTIF($U$8:$U$5007,$U3603))</f>
        <v/>
      </c>
    </row>
    <row r="3604" customFormat="false" ht="15" hidden="false" customHeight="false" outlineLevel="0" collapsed="false">
      <c r="A3604" s="31"/>
      <c r="B3604" s="32"/>
      <c r="C3604" s="32"/>
      <c r="D3604" s="32"/>
      <c r="E3604" s="32"/>
      <c r="F3604" s="32"/>
      <c r="G3604" s="33"/>
      <c r="H3604" s="33"/>
      <c r="I3604" s="34" t="str">
        <f aca="false">IF($A3604="","",$G3604-$H3604)</f>
        <v/>
      </c>
      <c r="J3604" s="35" t="str">
        <f aca="false">IF($A3604="","",IF(Setup!$B$6=1,YEAR($A3604),YEAR($A3604)+IF(MONTH($A3604)&gt;=Setup!$B$6,1,0)))</f>
        <v/>
      </c>
      <c r="K3604" s="35" t="str">
        <f aca="false">IF($A3604="","",MOD(MONTH($A3604)-Setup!$B$6+12,12)+1)</f>
        <v/>
      </c>
      <c r="L3604" s="36" t="str">
        <f aca="false">IF($A3604="","",TEXT($A3604,"MMM-YY"))</f>
        <v/>
      </c>
      <c r="M3604" s="37" t="str">
        <f aca="false">IF($A3604="","",IF($Q3604=0,"UNMAPPED",INDEX(COA_Mapping!$C$7:$C$256,$Q3604)))</f>
        <v/>
      </c>
      <c r="N3604" s="38" t="str">
        <f aca="false">IF($A3604="","",IF($Q3604=0,"",INDEX(COA_Mapping!$E$7:$E$256,$Q3604)))</f>
        <v/>
      </c>
      <c r="O3604" s="38" t="n">
        <f aca="false">IF($A3604="",1,IF($Q3604=0,1,INDEX(COA_Mapping!$F$7:$F$256,$Q3604)))</f>
        <v>1</v>
      </c>
      <c r="P3604" s="34" t="str">
        <f aca="false">IF($A3604="","",$I3604*$O3604)</f>
        <v/>
      </c>
      <c r="Q3604" s="39" t="n">
        <f aca="false">IF($B3604="",0,IFERROR(MATCH($B3604,COA_Mapping!$A$7:$A$256,0),0))</f>
        <v>0</v>
      </c>
      <c r="R3604" s="39" t="n">
        <f aca="false">IF($A3604="",-1,IF($J3604=Setup!$B$7,1,IF($J3604=Setup!$B$9,0,-1)))</f>
        <v>-1</v>
      </c>
      <c r="S3604" s="35" t="n">
        <f aca="false">IF(OR($A3604="",$Q3604=0,$R3604=-1),0,$Q3604*1000+$R3604*100+$K3604)</f>
        <v>0</v>
      </c>
      <c r="T3604" s="37" t="str">
        <f aca="false">IF($A3604="","",IF($B3604="","NO ACCOUNT",IF($Q3604=0,"UNMAPPED",IF($R3604=-1,"OUTSIDE FY RANGE","OK"))))</f>
        <v/>
      </c>
      <c r="U3604" s="40" t="str">
        <f aca="false">IF($A3604="","",$B3604&amp;"|"&amp;TEXT($A3604,"yyyymmdd")&amp;"|"&amp;TEXT($I3604,"0.00"))</f>
        <v/>
      </c>
      <c r="V3604" s="35" t="str">
        <f aca="false">IF($A3604="","",COUNTIF($U$8:$U$5007,$U3604))</f>
        <v/>
      </c>
    </row>
    <row r="3605" customFormat="false" ht="15" hidden="false" customHeight="false" outlineLevel="0" collapsed="false">
      <c r="A3605" s="31"/>
      <c r="B3605" s="32"/>
      <c r="C3605" s="32"/>
      <c r="D3605" s="32"/>
      <c r="E3605" s="32"/>
      <c r="F3605" s="32"/>
      <c r="G3605" s="33"/>
      <c r="H3605" s="33"/>
      <c r="I3605" s="34" t="str">
        <f aca="false">IF($A3605="","",$G3605-$H3605)</f>
        <v/>
      </c>
      <c r="J3605" s="35" t="str">
        <f aca="false">IF($A3605="","",IF(Setup!$B$6=1,YEAR($A3605),YEAR($A3605)+IF(MONTH($A3605)&gt;=Setup!$B$6,1,0)))</f>
        <v/>
      </c>
      <c r="K3605" s="35" t="str">
        <f aca="false">IF($A3605="","",MOD(MONTH($A3605)-Setup!$B$6+12,12)+1)</f>
        <v/>
      </c>
      <c r="L3605" s="36" t="str">
        <f aca="false">IF($A3605="","",TEXT($A3605,"MMM-YY"))</f>
        <v/>
      </c>
      <c r="M3605" s="37" t="str">
        <f aca="false">IF($A3605="","",IF($Q3605=0,"UNMAPPED",INDEX(COA_Mapping!$C$7:$C$256,$Q3605)))</f>
        <v/>
      </c>
      <c r="N3605" s="38" t="str">
        <f aca="false">IF($A3605="","",IF($Q3605=0,"",INDEX(COA_Mapping!$E$7:$E$256,$Q3605)))</f>
        <v/>
      </c>
      <c r="O3605" s="38" t="n">
        <f aca="false">IF($A3605="",1,IF($Q3605=0,1,INDEX(COA_Mapping!$F$7:$F$256,$Q3605)))</f>
        <v>1</v>
      </c>
      <c r="P3605" s="34" t="str">
        <f aca="false">IF($A3605="","",$I3605*$O3605)</f>
        <v/>
      </c>
      <c r="Q3605" s="39" t="n">
        <f aca="false">IF($B3605="",0,IFERROR(MATCH($B3605,COA_Mapping!$A$7:$A$256,0),0))</f>
        <v>0</v>
      </c>
      <c r="R3605" s="39" t="n">
        <f aca="false">IF($A3605="",-1,IF($J3605=Setup!$B$7,1,IF($J3605=Setup!$B$9,0,-1)))</f>
        <v>-1</v>
      </c>
      <c r="S3605" s="35" t="n">
        <f aca="false">IF(OR($A3605="",$Q3605=0,$R3605=-1),0,$Q3605*1000+$R3605*100+$K3605)</f>
        <v>0</v>
      </c>
      <c r="T3605" s="37" t="str">
        <f aca="false">IF($A3605="","",IF($B3605="","NO ACCOUNT",IF($Q3605=0,"UNMAPPED",IF($R3605=-1,"OUTSIDE FY RANGE","OK"))))</f>
        <v/>
      </c>
      <c r="U3605" s="40" t="str">
        <f aca="false">IF($A3605="","",$B3605&amp;"|"&amp;TEXT($A3605,"yyyymmdd")&amp;"|"&amp;TEXT($I3605,"0.00"))</f>
        <v/>
      </c>
      <c r="V3605" s="35" t="str">
        <f aca="false">IF($A3605="","",COUNTIF($U$8:$U$5007,$U3605))</f>
        <v/>
      </c>
    </row>
    <row r="3606" customFormat="false" ht="15" hidden="false" customHeight="false" outlineLevel="0" collapsed="false">
      <c r="A3606" s="31"/>
      <c r="B3606" s="32"/>
      <c r="C3606" s="32"/>
      <c r="D3606" s="32"/>
      <c r="E3606" s="32"/>
      <c r="F3606" s="32"/>
      <c r="G3606" s="33"/>
      <c r="H3606" s="33"/>
      <c r="I3606" s="34" t="str">
        <f aca="false">IF($A3606="","",$G3606-$H3606)</f>
        <v/>
      </c>
      <c r="J3606" s="35" t="str">
        <f aca="false">IF($A3606="","",IF(Setup!$B$6=1,YEAR($A3606),YEAR($A3606)+IF(MONTH($A3606)&gt;=Setup!$B$6,1,0)))</f>
        <v/>
      </c>
      <c r="K3606" s="35" t="str">
        <f aca="false">IF($A3606="","",MOD(MONTH($A3606)-Setup!$B$6+12,12)+1)</f>
        <v/>
      </c>
      <c r="L3606" s="36" t="str">
        <f aca="false">IF($A3606="","",TEXT($A3606,"MMM-YY"))</f>
        <v/>
      </c>
      <c r="M3606" s="37" t="str">
        <f aca="false">IF($A3606="","",IF($Q3606=0,"UNMAPPED",INDEX(COA_Mapping!$C$7:$C$256,$Q3606)))</f>
        <v/>
      </c>
      <c r="N3606" s="38" t="str">
        <f aca="false">IF($A3606="","",IF($Q3606=0,"",INDEX(COA_Mapping!$E$7:$E$256,$Q3606)))</f>
        <v/>
      </c>
      <c r="O3606" s="38" t="n">
        <f aca="false">IF($A3606="",1,IF($Q3606=0,1,INDEX(COA_Mapping!$F$7:$F$256,$Q3606)))</f>
        <v>1</v>
      </c>
      <c r="P3606" s="34" t="str">
        <f aca="false">IF($A3606="","",$I3606*$O3606)</f>
        <v/>
      </c>
      <c r="Q3606" s="39" t="n">
        <f aca="false">IF($B3606="",0,IFERROR(MATCH($B3606,COA_Mapping!$A$7:$A$256,0),0))</f>
        <v>0</v>
      </c>
      <c r="R3606" s="39" t="n">
        <f aca="false">IF($A3606="",-1,IF($J3606=Setup!$B$7,1,IF($J3606=Setup!$B$9,0,-1)))</f>
        <v>-1</v>
      </c>
      <c r="S3606" s="35" t="n">
        <f aca="false">IF(OR($A3606="",$Q3606=0,$R3606=-1),0,$Q3606*1000+$R3606*100+$K3606)</f>
        <v>0</v>
      </c>
      <c r="T3606" s="37" t="str">
        <f aca="false">IF($A3606="","",IF($B3606="","NO ACCOUNT",IF($Q3606=0,"UNMAPPED",IF($R3606=-1,"OUTSIDE FY RANGE","OK"))))</f>
        <v/>
      </c>
      <c r="U3606" s="40" t="str">
        <f aca="false">IF($A3606="","",$B3606&amp;"|"&amp;TEXT($A3606,"yyyymmdd")&amp;"|"&amp;TEXT($I3606,"0.00"))</f>
        <v/>
      </c>
      <c r="V3606" s="35" t="str">
        <f aca="false">IF($A3606="","",COUNTIF($U$8:$U$5007,$U3606))</f>
        <v/>
      </c>
    </row>
    <row r="3607" customFormat="false" ht="15" hidden="false" customHeight="false" outlineLevel="0" collapsed="false">
      <c r="A3607" s="31"/>
      <c r="B3607" s="32"/>
      <c r="C3607" s="32"/>
      <c r="D3607" s="32"/>
      <c r="E3607" s="32"/>
      <c r="F3607" s="32"/>
      <c r="G3607" s="33"/>
      <c r="H3607" s="33"/>
      <c r="I3607" s="34" t="str">
        <f aca="false">IF($A3607="","",$G3607-$H3607)</f>
        <v/>
      </c>
      <c r="J3607" s="35" t="str">
        <f aca="false">IF($A3607="","",IF(Setup!$B$6=1,YEAR($A3607),YEAR($A3607)+IF(MONTH($A3607)&gt;=Setup!$B$6,1,0)))</f>
        <v/>
      </c>
      <c r="K3607" s="35" t="str">
        <f aca="false">IF($A3607="","",MOD(MONTH($A3607)-Setup!$B$6+12,12)+1)</f>
        <v/>
      </c>
      <c r="L3607" s="36" t="str">
        <f aca="false">IF($A3607="","",TEXT($A3607,"MMM-YY"))</f>
        <v/>
      </c>
      <c r="M3607" s="37" t="str">
        <f aca="false">IF($A3607="","",IF($Q3607=0,"UNMAPPED",INDEX(COA_Mapping!$C$7:$C$256,$Q3607)))</f>
        <v/>
      </c>
      <c r="N3607" s="38" t="str">
        <f aca="false">IF($A3607="","",IF($Q3607=0,"",INDEX(COA_Mapping!$E$7:$E$256,$Q3607)))</f>
        <v/>
      </c>
      <c r="O3607" s="38" t="n">
        <f aca="false">IF($A3607="",1,IF($Q3607=0,1,INDEX(COA_Mapping!$F$7:$F$256,$Q3607)))</f>
        <v>1</v>
      </c>
      <c r="P3607" s="34" t="str">
        <f aca="false">IF($A3607="","",$I3607*$O3607)</f>
        <v/>
      </c>
      <c r="Q3607" s="39" t="n">
        <f aca="false">IF($B3607="",0,IFERROR(MATCH($B3607,COA_Mapping!$A$7:$A$256,0),0))</f>
        <v>0</v>
      </c>
      <c r="R3607" s="39" t="n">
        <f aca="false">IF($A3607="",-1,IF($J3607=Setup!$B$7,1,IF($J3607=Setup!$B$9,0,-1)))</f>
        <v>-1</v>
      </c>
      <c r="S3607" s="35" t="n">
        <f aca="false">IF(OR($A3607="",$Q3607=0,$R3607=-1),0,$Q3607*1000+$R3607*100+$K3607)</f>
        <v>0</v>
      </c>
      <c r="T3607" s="37" t="str">
        <f aca="false">IF($A3607="","",IF($B3607="","NO ACCOUNT",IF($Q3607=0,"UNMAPPED",IF($R3607=-1,"OUTSIDE FY RANGE","OK"))))</f>
        <v/>
      </c>
      <c r="U3607" s="40" t="str">
        <f aca="false">IF($A3607="","",$B3607&amp;"|"&amp;TEXT($A3607,"yyyymmdd")&amp;"|"&amp;TEXT($I3607,"0.00"))</f>
        <v/>
      </c>
      <c r="V3607" s="35" t="str">
        <f aca="false">IF($A3607="","",COUNTIF($U$8:$U$5007,$U3607))</f>
        <v/>
      </c>
    </row>
    <row r="3608" customFormat="false" ht="15" hidden="false" customHeight="false" outlineLevel="0" collapsed="false">
      <c r="A3608" s="31"/>
      <c r="B3608" s="32"/>
      <c r="C3608" s="32"/>
      <c r="D3608" s="32"/>
      <c r="E3608" s="32"/>
      <c r="F3608" s="32"/>
      <c r="G3608" s="33"/>
      <c r="H3608" s="33"/>
      <c r="I3608" s="34" t="str">
        <f aca="false">IF($A3608="","",$G3608-$H3608)</f>
        <v/>
      </c>
      <c r="J3608" s="35" t="str">
        <f aca="false">IF($A3608="","",IF(Setup!$B$6=1,YEAR($A3608),YEAR($A3608)+IF(MONTH($A3608)&gt;=Setup!$B$6,1,0)))</f>
        <v/>
      </c>
      <c r="K3608" s="35" t="str">
        <f aca="false">IF($A3608="","",MOD(MONTH($A3608)-Setup!$B$6+12,12)+1)</f>
        <v/>
      </c>
      <c r="L3608" s="36" t="str">
        <f aca="false">IF($A3608="","",TEXT($A3608,"MMM-YY"))</f>
        <v/>
      </c>
      <c r="M3608" s="37" t="str">
        <f aca="false">IF($A3608="","",IF($Q3608=0,"UNMAPPED",INDEX(COA_Mapping!$C$7:$C$256,$Q3608)))</f>
        <v/>
      </c>
      <c r="N3608" s="38" t="str">
        <f aca="false">IF($A3608="","",IF($Q3608=0,"",INDEX(COA_Mapping!$E$7:$E$256,$Q3608)))</f>
        <v/>
      </c>
      <c r="O3608" s="38" t="n">
        <f aca="false">IF($A3608="",1,IF($Q3608=0,1,INDEX(COA_Mapping!$F$7:$F$256,$Q3608)))</f>
        <v>1</v>
      </c>
      <c r="P3608" s="34" t="str">
        <f aca="false">IF($A3608="","",$I3608*$O3608)</f>
        <v/>
      </c>
      <c r="Q3608" s="39" t="n">
        <f aca="false">IF($B3608="",0,IFERROR(MATCH($B3608,COA_Mapping!$A$7:$A$256,0),0))</f>
        <v>0</v>
      </c>
      <c r="R3608" s="39" t="n">
        <f aca="false">IF($A3608="",-1,IF($J3608=Setup!$B$7,1,IF($J3608=Setup!$B$9,0,-1)))</f>
        <v>-1</v>
      </c>
      <c r="S3608" s="35" t="n">
        <f aca="false">IF(OR($A3608="",$Q3608=0,$R3608=-1),0,$Q3608*1000+$R3608*100+$K3608)</f>
        <v>0</v>
      </c>
      <c r="T3608" s="37" t="str">
        <f aca="false">IF($A3608="","",IF($B3608="","NO ACCOUNT",IF($Q3608=0,"UNMAPPED",IF($R3608=-1,"OUTSIDE FY RANGE","OK"))))</f>
        <v/>
      </c>
      <c r="U3608" s="40" t="str">
        <f aca="false">IF($A3608="","",$B3608&amp;"|"&amp;TEXT($A3608,"yyyymmdd")&amp;"|"&amp;TEXT($I3608,"0.00"))</f>
        <v/>
      </c>
      <c r="V3608" s="35" t="str">
        <f aca="false">IF($A3608="","",COUNTIF($U$8:$U$5007,$U3608))</f>
        <v/>
      </c>
    </row>
    <row r="3609" customFormat="false" ht="15" hidden="false" customHeight="false" outlineLevel="0" collapsed="false">
      <c r="A3609" s="31"/>
      <c r="B3609" s="32"/>
      <c r="C3609" s="32"/>
      <c r="D3609" s="32"/>
      <c r="E3609" s="32"/>
      <c r="F3609" s="32"/>
      <c r="G3609" s="33"/>
      <c r="H3609" s="33"/>
      <c r="I3609" s="34" t="str">
        <f aca="false">IF($A3609="","",$G3609-$H3609)</f>
        <v/>
      </c>
      <c r="J3609" s="35" t="str">
        <f aca="false">IF($A3609="","",IF(Setup!$B$6=1,YEAR($A3609),YEAR($A3609)+IF(MONTH($A3609)&gt;=Setup!$B$6,1,0)))</f>
        <v/>
      </c>
      <c r="K3609" s="35" t="str">
        <f aca="false">IF($A3609="","",MOD(MONTH($A3609)-Setup!$B$6+12,12)+1)</f>
        <v/>
      </c>
      <c r="L3609" s="36" t="str">
        <f aca="false">IF($A3609="","",TEXT($A3609,"MMM-YY"))</f>
        <v/>
      </c>
      <c r="M3609" s="37" t="str">
        <f aca="false">IF($A3609="","",IF($Q3609=0,"UNMAPPED",INDEX(COA_Mapping!$C$7:$C$256,$Q3609)))</f>
        <v/>
      </c>
      <c r="N3609" s="38" t="str">
        <f aca="false">IF($A3609="","",IF($Q3609=0,"",INDEX(COA_Mapping!$E$7:$E$256,$Q3609)))</f>
        <v/>
      </c>
      <c r="O3609" s="38" t="n">
        <f aca="false">IF($A3609="",1,IF($Q3609=0,1,INDEX(COA_Mapping!$F$7:$F$256,$Q3609)))</f>
        <v>1</v>
      </c>
      <c r="P3609" s="34" t="str">
        <f aca="false">IF($A3609="","",$I3609*$O3609)</f>
        <v/>
      </c>
      <c r="Q3609" s="39" t="n">
        <f aca="false">IF($B3609="",0,IFERROR(MATCH($B3609,COA_Mapping!$A$7:$A$256,0),0))</f>
        <v>0</v>
      </c>
      <c r="R3609" s="39" t="n">
        <f aca="false">IF($A3609="",-1,IF($J3609=Setup!$B$7,1,IF($J3609=Setup!$B$9,0,-1)))</f>
        <v>-1</v>
      </c>
      <c r="S3609" s="35" t="n">
        <f aca="false">IF(OR($A3609="",$Q3609=0,$R3609=-1),0,$Q3609*1000+$R3609*100+$K3609)</f>
        <v>0</v>
      </c>
      <c r="T3609" s="37" t="str">
        <f aca="false">IF($A3609="","",IF($B3609="","NO ACCOUNT",IF($Q3609=0,"UNMAPPED",IF($R3609=-1,"OUTSIDE FY RANGE","OK"))))</f>
        <v/>
      </c>
      <c r="U3609" s="40" t="str">
        <f aca="false">IF($A3609="","",$B3609&amp;"|"&amp;TEXT($A3609,"yyyymmdd")&amp;"|"&amp;TEXT($I3609,"0.00"))</f>
        <v/>
      </c>
      <c r="V3609" s="35" t="str">
        <f aca="false">IF($A3609="","",COUNTIF($U$8:$U$5007,$U3609))</f>
        <v/>
      </c>
    </row>
    <row r="3610" customFormat="false" ht="15" hidden="false" customHeight="false" outlineLevel="0" collapsed="false">
      <c r="A3610" s="31"/>
      <c r="B3610" s="32"/>
      <c r="C3610" s="32"/>
      <c r="D3610" s="32"/>
      <c r="E3610" s="32"/>
      <c r="F3610" s="32"/>
      <c r="G3610" s="33"/>
      <c r="H3610" s="33"/>
      <c r="I3610" s="34" t="str">
        <f aca="false">IF($A3610="","",$G3610-$H3610)</f>
        <v/>
      </c>
      <c r="J3610" s="35" t="str">
        <f aca="false">IF($A3610="","",IF(Setup!$B$6=1,YEAR($A3610),YEAR($A3610)+IF(MONTH($A3610)&gt;=Setup!$B$6,1,0)))</f>
        <v/>
      </c>
      <c r="K3610" s="35" t="str">
        <f aca="false">IF($A3610="","",MOD(MONTH($A3610)-Setup!$B$6+12,12)+1)</f>
        <v/>
      </c>
      <c r="L3610" s="36" t="str">
        <f aca="false">IF($A3610="","",TEXT($A3610,"MMM-YY"))</f>
        <v/>
      </c>
      <c r="M3610" s="37" t="str">
        <f aca="false">IF($A3610="","",IF($Q3610=0,"UNMAPPED",INDEX(COA_Mapping!$C$7:$C$256,$Q3610)))</f>
        <v/>
      </c>
      <c r="N3610" s="38" t="str">
        <f aca="false">IF($A3610="","",IF($Q3610=0,"",INDEX(COA_Mapping!$E$7:$E$256,$Q3610)))</f>
        <v/>
      </c>
      <c r="O3610" s="38" t="n">
        <f aca="false">IF($A3610="",1,IF($Q3610=0,1,INDEX(COA_Mapping!$F$7:$F$256,$Q3610)))</f>
        <v>1</v>
      </c>
      <c r="P3610" s="34" t="str">
        <f aca="false">IF($A3610="","",$I3610*$O3610)</f>
        <v/>
      </c>
      <c r="Q3610" s="39" t="n">
        <f aca="false">IF($B3610="",0,IFERROR(MATCH($B3610,COA_Mapping!$A$7:$A$256,0),0))</f>
        <v>0</v>
      </c>
      <c r="R3610" s="39" t="n">
        <f aca="false">IF($A3610="",-1,IF($J3610=Setup!$B$7,1,IF($J3610=Setup!$B$9,0,-1)))</f>
        <v>-1</v>
      </c>
      <c r="S3610" s="35" t="n">
        <f aca="false">IF(OR($A3610="",$Q3610=0,$R3610=-1),0,$Q3610*1000+$R3610*100+$K3610)</f>
        <v>0</v>
      </c>
      <c r="T3610" s="37" t="str">
        <f aca="false">IF($A3610="","",IF($B3610="","NO ACCOUNT",IF($Q3610=0,"UNMAPPED",IF($R3610=-1,"OUTSIDE FY RANGE","OK"))))</f>
        <v/>
      </c>
      <c r="U3610" s="40" t="str">
        <f aca="false">IF($A3610="","",$B3610&amp;"|"&amp;TEXT($A3610,"yyyymmdd")&amp;"|"&amp;TEXT($I3610,"0.00"))</f>
        <v/>
      </c>
      <c r="V3610" s="35" t="str">
        <f aca="false">IF($A3610="","",COUNTIF($U$8:$U$5007,$U3610))</f>
        <v/>
      </c>
    </row>
    <row r="3611" customFormat="false" ht="15" hidden="false" customHeight="false" outlineLevel="0" collapsed="false">
      <c r="A3611" s="31"/>
      <c r="B3611" s="32"/>
      <c r="C3611" s="32"/>
      <c r="D3611" s="32"/>
      <c r="E3611" s="32"/>
      <c r="F3611" s="32"/>
      <c r="G3611" s="33"/>
      <c r="H3611" s="33"/>
      <c r="I3611" s="34" t="str">
        <f aca="false">IF($A3611="","",$G3611-$H3611)</f>
        <v/>
      </c>
      <c r="J3611" s="35" t="str">
        <f aca="false">IF($A3611="","",IF(Setup!$B$6=1,YEAR($A3611),YEAR($A3611)+IF(MONTH($A3611)&gt;=Setup!$B$6,1,0)))</f>
        <v/>
      </c>
      <c r="K3611" s="35" t="str">
        <f aca="false">IF($A3611="","",MOD(MONTH($A3611)-Setup!$B$6+12,12)+1)</f>
        <v/>
      </c>
      <c r="L3611" s="36" t="str">
        <f aca="false">IF($A3611="","",TEXT($A3611,"MMM-YY"))</f>
        <v/>
      </c>
      <c r="M3611" s="37" t="str">
        <f aca="false">IF($A3611="","",IF($Q3611=0,"UNMAPPED",INDEX(COA_Mapping!$C$7:$C$256,$Q3611)))</f>
        <v/>
      </c>
      <c r="N3611" s="38" t="str">
        <f aca="false">IF($A3611="","",IF($Q3611=0,"",INDEX(COA_Mapping!$E$7:$E$256,$Q3611)))</f>
        <v/>
      </c>
      <c r="O3611" s="38" t="n">
        <f aca="false">IF($A3611="",1,IF($Q3611=0,1,INDEX(COA_Mapping!$F$7:$F$256,$Q3611)))</f>
        <v>1</v>
      </c>
      <c r="P3611" s="34" t="str">
        <f aca="false">IF($A3611="","",$I3611*$O3611)</f>
        <v/>
      </c>
      <c r="Q3611" s="39" t="n">
        <f aca="false">IF($B3611="",0,IFERROR(MATCH($B3611,COA_Mapping!$A$7:$A$256,0),0))</f>
        <v>0</v>
      </c>
      <c r="R3611" s="39" t="n">
        <f aca="false">IF($A3611="",-1,IF($J3611=Setup!$B$7,1,IF($J3611=Setup!$B$9,0,-1)))</f>
        <v>-1</v>
      </c>
      <c r="S3611" s="35" t="n">
        <f aca="false">IF(OR($A3611="",$Q3611=0,$R3611=-1),0,$Q3611*1000+$R3611*100+$K3611)</f>
        <v>0</v>
      </c>
      <c r="T3611" s="37" t="str">
        <f aca="false">IF($A3611="","",IF($B3611="","NO ACCOUNT",IF($Q3611=0,"UNMAPPED",IF($R3611=-1,"OUTSIDE FY RANGE","OK"))))</f>
        <v/>
      </c>
      <c r="U3611" s="40" t="str">
        <f aca="false">IF($A3611="","",$B3611&amp;"|"&amp;TEXT($A3611,"yyyymmdd")&amp;"|"&amp;TEXT($I3611,"0.00"))</f>
        <v/>
      </c>
      <c r="V3611" s="35" t="str">
        <f aca="false">IF($A3611="","",COUNTIF($U$8:$U$5007,$U3611))</f>
        <v/>
      </c>
    </row>
    <row r="3612" customFormat="false" ht="15" hidden="false" customHeight="false" outlineLevel="0" collapsed="false">
      <c r="A3612" s="31"/>
      <c r="B3612" s="32"/>
      <c r="C3612" s="32"/>
      <c r="D3612" s="32"/>
      <c r="E3612" s="32"/>
      <c r="F3612" s="32"/>
      <c r="G3612" s="33"/>
      <c r="H3612" s="33"/>
      <c r="I3612" s="34" t="str">
        <f aca="false">IF($A3612="","",$G3612-$H3612)</f>
        <v/>
      </c>
      <c r="J3612" s="35" t="str">
        <f aca="false">IF($A3612="","",IF(Setup!$B$6=1,YEAR($A3612),YEAR($A3612)+IF(MONTH($A3612)&gt;=Setup!$B$6,1,0)))</f>
        <v/>
      </c>
      <c r="K3612" s="35" t="str">
        <f aca="false">IF($A3612="","",MOD(MONTH($A3612)-Setup!$B$6+12,12)+1)</f>
        <v/>
      </c>
      <c r="L3612" s="36" t="str">
        <f aca="false">IF($A3612="","",TEXT($A3612,"MMM-YY"))</f>
        <v/>
      </c>
      <c r="M3612" s="37" t="str">
        <f aca="false">IF($A3612="","",IF($Q3612=0,"UNMAPPED",INDEX(COA_Mapping!$C$7:$C$256,$Q3612)))</f>
        <v/>
      </c>
      <c r="N3612" s="38" t="str">
        <f aca="false">IF($A3612="","",IF($Q3612=0,"",INDEX(COA_Mapping!$E$7:$E$256,$Q3612)))</f>
        <v/>
      </c>
      <c r="O3612" s="38" t="n">
        <f aca="false">IF($A3612="",1,IF($Q3612=0,1,INDEX(COA_Mapping!$F$7:$F$256,$Q3612)))</f>
        <v>1</v>
      </c>
      <c r="P3612" s="34" t="str">
        <f aca="false">IF($A3612="","",$I3612*$O3612)</f>
        <v/>
      </c>
      <c r="Q3612" s="39" t="n">
        <f aca="false">IF($B3612="",0,IFERROR(MATCH($B3612,COA_Mapping!$A$7:$A$256,0),0))</f>
        <v>0</v>
      </c>
      <c r="R3612" s="39" t="n">
        <f aca="false">IF($A3612="",-1,IF($J3612=Setup!$B$7,1,IF($J3612=Setup!$B$9,0,-1)))</f>
        <v>-1</v>
      </c>
      <c r="S3612" s="35" t="n">
        <f aca="false">IF(OR($A3612="",$Q3612=0,$R3612=-1),0,$Q3612*1000+$R3612*100+$K3612)</f>
        <v>0</v>
      </c>
      <c r="T3612" s="37" t="str">
        <f aca="false">IF($A3612="","",IF($B3612="","NO ACCOUNT",IF($Q3612=0,"UNMAPPED",IF($R3612=-1,"OUTSIDE FY RANGE","OK"))))</f>
        <v/>
      </c>
      <c r="U3612" s="40" t="str">
        <f aca="false">IF($A3612="","",$B3612&amp;"|"&amp;TEXT($A3612,"yyyymmdd")&amp;"|"&amp;TEXT($I3612,"0.00"))</f>
        <v/>
      </c>
      <c r="V3612" s="35" t="str">
        <f aca="false">IF($A3612="","",COUNTIF($U$8:$U$5007,$U3612))</f>
        <v/>
      </c>
    </row>
    <row r="3613" customFormat="false" ht="15" hidden="false" customHeight="false" outlineLevel="0" collapsed="false">
      <c r="A3613" s="31"/>
      <c r="B3613" s="32"/>
      <c r="C3613" s="32"/>
      <c r="D3613" s="32"/>
      <c r="E3613" s="32"/>
      <c r="F3613" s="32"/>
      <c r="G3613" s="33"/>
      <c r="H3613" s="33"/>
      <c r="I3613" s="34" t="str">
        <f aca="false">IF($A3613="","",$G3613-$H3613)</f>
        <v/>
      </c>
      <c r="J3613" s="35" t="str">
        <f aca="false">IF($A3613="","",IF(Setup!$B$6=1,YEAR($A3613),YEAR($A3613)+IF(MONTH($A3613)&gt;=Setup!$B$6,1,0)))</f>
        <v/>
      </c>
      <c r="K3613" s="35" t="str">
        <f aca="false">IF($A3613="","",MOD(MONTH($A3613)-Setup!$B$6+12,12)+1)</f>
        <v/>
      </c>
      <c r="L3613" s="36" t="str">
        <f aca="false">IF($A3613="","",TEXT($A3613,"MMM-YY"))</f>
        <v/>
      </c>
      <c r="M3613" s="37" t="str">
        <f aca="false">IF($A3613="","",IF($Q3613=0,"UNMAPPED",INDEX(COA_Mapping!$C$7:$C$256,$Q3613)))</f>
        <v/>
      </c>
      <c r="N3613" s="38" t="str">
        <f aca="false">IF($A3613="","",IF($Q3613=0,"",INDEX(COA_Mapping!$E$7:$E$256,$Q3613)))</f>
        <v/>
      </c>
      <c r="O3613" s="38" t="n">
        <f aca="false">IF($A3613="",1,IF($Q3613=0,1,INDEX(COA_Mapping!$F$7:$F$256,$Q3613)))</f>
        <v>1</v>
      </c>
      <c r="P3613" s="34" t="str">
        <f aca="false">IF($A3613="","",$I3613*$O3613)</f>
        <v/>
      </c>
      <c r="Q3613" s="39" t="n">
        <f aca="false">IF($B3613="",0,IFERROR(MATCH($B3613,COA_Mapping!$A$7:$A$256,0),0))</f>
        <v>0</v>
      </c>
      <c r="R3613" s="39" t="n">
        <f aca="false">IF($A3613="",-1,IF($J3613=Setup!$B$7,1,IF($J3613=Setup!$B$9,0,-1)))</f>
        <v>-1</v>
      </c>
      <c r="S3613" s="35" t="n">
        <f aca="false">IF(OR($A3613="",$Q3613=0,$R3613=-1),0,$Q3613*1000+$R3613*100+$K3613)</f>
        <v>0</v>
      </c>
      <c r="T3613" s="37" t="str">
        <f aca="false">IF($A3613="","",IF($B3613="","NO ACCOUNT",IF($Q3613=0,"UNMAPPED",IF($R3613=-1,"OUTSIDE FY RANGE","OK"))))</f>
        <v/>
      </c>
      <c r="U3613" s="40" t="str">
        <f aca="false">IF($A3613="","",$B3613&amp;"|"&amp;TEXT($A3613,"yyyymmdd")&amp;"|"&amp;TEXT($I3613,"0.00"))</f>
        <v/>
      </c>
      <c r="V3613" s="35" t="str">
        <f aca="false">IF($A3613="","",COUNTIF($U$8:$U$5007,$U3613))</f>
        <v/>
      </c>
    </row>
    <row r="3614" customFormat="false" ht="15" hidden="false" customHeight="false" outlineLevel="0" collapsed="false">
      <c r="A3614" s="31"/>
      <c r="B3614" s="32"/>
      <c r="C3614" s="32"/>
      <c r="D3614" s="32"/>
      <c r="E3614" s="32"/>
      <c r="F3614" s="32"/>
      <c r="G3614" s="33"/>
      <c r="H3614" s="33"/>
      <c r="I3614" s="34" t="str">
        <f aca="false">IF($A3614="","",$G3614-$H3614)</f>
        <v/>
      </c>
      <c r="J3614" s="35" t="str">
        <f aca="false">IF($A3614="","",IF(Setup!$B$6=1,YEAR($A3614),YEAR($A3614)+IF(MONTH($A3614)&gt;=Setup!$B$6,1,0)))</f>
        <v/>
      </c>
      <c r="K3614" s="35" t="str">
        <f aca="false">IF($A3614="","",MOD(MONTH($A3614)-Setup!$B$6+12,12)+1)</f>
        <v/>
      </c>
      <c r="L3614" s="36" t="str">
        <f aca="false">IF($A3614="","",TEXT($A3614,"MMM-YY"))</f>
        <v/>
      </c>
      <c r="M3614" s="37" t="str">
        <f aca="false">IF($A3614="","",IF($Q3614=0,"UNMAPPED",INDEX(COA_Mapping!$C$7:$C$256,$Q3614)))</f>
        <v/>
      </c>
      <c r="N3614" s="38" t="str">
        <f aca="false">IF($A3614="","",IF($Q3614=0,"",INDEX(COA_Mapping!$E$7:$E$256,$Q3614)))</f>
        <v/>
      </c>
      <c r="O3614" s="38" t="n">
        <f aca="false">IF($A3614="",1,IF($Q3614=0,1,INDEX(COA_Mapping!$F$7:$F$256,$Q3614)))</f>
        <v>1</v>
      </c>
      <c r="P3614" s="34" t="str">
        <f aca="false">IF($A3614="","",$I3614*$O3614)</f>
        <v/>
      </c>
      <c r="Q3614" s="39" t="n">
        <f aca="false">IF($B3614="",0,IFERROR(MATCH($B3614,COA_Mapping!$A$7:$A$256,0),0))</f>
        <v>0</v>
      </c>
      <c r="R3614" s="39" t="n">
        <f aca="false">IF($A3614="",-1,IF($J3614=Setup!$B$7,1,IF($J3614=Setup!$B$9,0,-1)))</f>
        <v>-1</v>
      </c>
      <c r="S3614" s="35" t="n">
        <f aca="false">IF(OR($A3614="",$Q3614=0,$R3614=-1),0,$Q3614*1000+$R3614*100+$K3614)</f>
        <v>0</v>
      </c>
      <c r="T3614" s="37" t="str">
        <f aca="false">IF($A3614="","",IF($B3614="","NO ACCOUNT",IF($Q3614=0,"UNMAPPED",IF($R3614=-1,"OUTSIDE FY RANGE","OK"))))</f>
        <v/>
      </c>
      <c r="U3614" s="40" t="str">
        <f aca="false">IF($A3614="","",$B3614&amp;"|"&amp;TEXT($A3614,"yyyymmdd")&amp;"|"&amp;TEXT($I3614,"0.00"))</f>
        <v/>
      </c>
      <c r="V3614" s="35" t="str">
        <f aca="false">IF($A3614="","",COUNTIF($U$8:$U$5007,$U3614))</f>
        <v/>
      </c>
    </row>
    <row r="3615" customFormat="false" ht="15" hidden="false" customHeight="false" outlineLevel="0" collapsed="false">
      <c r="A3615" s="31"/>
      <c r="B3615" s="32"/>
      <c r="C3615" s="32"/>
      <c r="D3615" s="32"/>
      <c r="E3615" s="32"/>
      <c r="F3615" s="32"/>
      <c r="G3615" s="33"/>
      <c r="H3615" s="33"/>
      <c r="I3615" s="34" t="str">
        <f aca="false">IF($A3615="","",$G3615-$H3615)</f>
        <v/>
      </c>
      <c r="J3615" s="35" t="str">
        <f aca="false">IF($A3615="","",IF(Setup!$B$6=1,YEAR($A3615),YEAR($A3615)+IF(MONTH($A3615)&gt;=Setup!$B$6,1,0)))</f>
        <v/>
      </c>
      <c r="K3615" s="35" t="str">
        <f aca="false">IF($A3615="","",MOD(MONTH($A3615)-Setup!$B$6+12,12)+1)</f>
        <v/>
      </c>
      <c r="L3615" s="36" t="str">
        <f aca="false">IF($A3615="","",TEXT($A3615,"MMM-YY"))</f>
        <v/>
      </c>
      <c r="M3615" s="37" t="str">
        <f aca="false">IF($A3615="","",IF($Q3615=0,"UNMAPPED",INDEX(COA_Mapping!$C$7:$C$256,$Q3615)))</f>
        <v/>
      </c>
      <c r="N3615" s="38" t="str">
        <f aca="false">IF($A3615="","",IF($Q3615=0,"",INDEX(COA_Mapping!$E$7:$E$256,$Q3615)))</f>
        <v/>
      </c>
      <c r="O3615" s="38" t="n">
        <f aca="false">IF($A3615="",1,IF($Q3615=0,1,INDEX(COA_Mapping!$F$7:$F$256,$Q3615)))</f>
        <v>1</v>
      </c>
      <c r="P3615" s="34" t="str">
        <f aca="false">IF($A3615="","",$I3615*$O3615)</f>
        <v/>
      </c>
      <c r="Q3615" s="39" t="n">
        <f aca="false">IF($B3615="",0,IFERROR(MATCH($B3615,COA_Mapping!$A$7:$A$256,0),0))</f>
        <v>0</v>
      </c>
      <c r="R3615" s="39" t="n">
        <f aca="false">IF($A3615="",-1,IF($J3615=Setup!$B$7,1,IF($J3615=Setup!$B$9,0,-1)))</f>
        <v>-1</v>
      </c>
      <c r="S3615" s="35" t="n">
        <f aca="false">IF(OR($A3615="",$Q3615=0,$R3615=-1),0,$Q3615*1000+$R3615*100+$K3615)</f>
        <v>0</v>
      </c>
      <c r="T3615" s="37" t="str">
        <f aca="false">IF($A3615="","",IF($B3615="","NO ACCOUNT",IF($Q3615=0,"UNMAPPED",IF($R3615=-1,"OUTSIDE FY RANGE","OK"))))</f>
        <v/>
      </c>
      <c r="U3615" s="40" t="str">
        <f aca="false">IF($A3615="","",$B3615&amp;"|"&amp;TEXT($A3615,"yyyymmdd")&amp;"|"&amp;TEXT($I3615,"0.00"))</f>
        <v/>
      </c>
      <c r="V3615" s="35" t="str">
        <f aca="false">IF($A3615="","",COUNTIF($U$8:$U$5007,$U3615))</f>
        <v/>
      </c>
    </row>
    <row r="3616" customFormat="false" ht="15" hidden="false" customHeight="false" outlineLevel="0" collapsed="false">
      <c r="A3616" s="31"/>
      <c r="B3616" s="32"/>
      <c r="C3616" s="32"/>
      <c r="D3616" s="32"/>
      <c r="E3616" s="32"/>
      <c r="F3616" s="32"/>
      <c r="G3616" s="33"/>
      <c r="H3616" s="33"/>
      <c r="I3616" s="34" t="str">
        <f aca="false">IF($A3616="","",$G3616-$H3616)</f>
        <v/>
      </c>
      <c r="J3616" s="35" t="str">
        <f aca="false">IF($A3616="","",IF(Setup!$B$6=1,YEAR($A3616),YEAR($A3616)+IF(MONTH($A3616)&gt;=Setup!$B$6,1,0)))</f>
        <v/>
      </c>
      <c r="K3616" s="35" t="str">
        <f aca="false">IF($A3616="","",MOD(MONTH($A3616)-Setup!$B$6+12,12)+1)</f>
        <v/>
      </c>
      <c r="L3616" s="36" t="str">
        <f aca="false">IF($A3616="","",TEXT($A3616,"MMM-YY"))</f>
        <v/>
      </c>
      <c r="M3616" s="37" t="str">
        <f aca="false">IF($A3616="","",IF($Q3616=0,"UNMAPPED",INDEX(COA_Mapping!$C$7:$C$256,$Q3616)))</f>
        <v/>
      </c>
      <c r="N3616" s="38" t="str">
        <f aca="false">IF($A3616="","",IF($Q3616=0,"",INDEX(COA_Mapping!$E$7:$E$256,$Q3616)))</f>
        <v/>
      </c>
      <c r="O3616" s="38" t="n">
        <f aca="false">IF($A3616="",1,IF($Q3616=0,1,INDEX(COA_Mapping!$F$7:$F$256,$Q3616)))</f>
        <v>1</v>
      </c>
      <c r="P3616" s="34" t="str">
        <f aca="false">IF($A3616="","",$I3616*$O3616)</f>
        <v/>
      </c>
      <c r="Q3616" s="39" t="n">
        <f aca="false">IF($B3616="",0,IFERROR(MATCH($B3616,COA_Mapping!$A$7:$A$256,0),0))</f>
        <v>0</v>
      </c>
      <c r="R3616" s="39" t="n">
        <f aca="false">IF($A3616="",-1,IF($J3616=Setup!$B$7,1,IF($J3616=Setup!$B$9,0,-1)))</f>
        <v>-1</v>
      </c>
      <c r="S3616" s="35" t="n">
        <f aca="false">IF(OR($A3616="",$Q3616=0,$R3616=-1),0,$Q3616*1000+$R3616*100+$K3616)</f>
        <v>0</v>
      </c>
      <c r="T3616" s="37" t="str">
        <f aca="false">IF($A3616="","",IF($B3616="","NO ACCOUNT",IF($Q3616=0,"UNMAPPED",IF($R3616=-1,"OUTSIDE FY RANGE","OK"))))</f>
        <v/>
      </c>
      <c r="U3616" s="40" t="str">
        <f aca="false">IF($A3616="","",$B3616&amp;"|"&amp;TEXT($A3616,"yyyymmdd")&amp;"|"&amp;TEXT($I3616,"0.00"))</f>
        <v/>
      </c>
      <c r="V3616" s="35" t="str">
        <f aca="false">IF($A3616="","",COUNTIF($U$8:$U$5007,$U3616))</f>
        <v/>
      </c>
    </row>
    <row r="3617" customFormat="false" ht="15" hidden="false" customHeight="false" outlineLevel="0" collapsed="false">
      <c r="A3617" s="31"/>
      <c r="B3617" s="32"/>
      <c r="C3617" s="32"/>
      <c r="D3617" s="32"/>
      <c r="E3617" s="32"/>
      <c r="F3617" s="32"/>
      <c r="G3617" s="33"/>
      <c r="H3617" s="33"/>
      <c r="I3617" s="34" t="str">
        <f aca="false">IF($A3617="","",$G3617-$H3617)</f>
        <v/>
      </c>
      <c r="J3617" s="35" t="str">
        <f aca="false">IF($A3617="","",IF(Setup!$B$6=1,YEAR($A3617),YEAR($A3617)+IF(MONTH($A3617)&gt;=Setup!$B$6,1,0)))</f>
        <v/>
      </c>
      <c r="K3617" s="35" t="str">
        <f aca="false">IF($A3617="","",MOD(MONTH($A3617)-Setup!$B$6+12,12)+1)</f>
        <v/>
      </c>
      <c r="L3617" s="36" t="str">
        <f aca="false">IF($A3617="","",TEXT($A3617,"MMM-YY"))</f>
        <v/>
      </c>
      <c r="M3617" s="37" t="str">
        <f aca="false">IF($A3617="","",IF($Q3617=0,"UNMAPPED",INDEX(COA_Mapping!$C$7:$C$256,$Q3617)))</f>
        <v/>
      </c>
      <c r="N3617" s="38" t="str">
        <f aca="false">IF($A3617="","",IF($Q3617=0,"",INDEX(COA_Mapping!$E$7:$E$256,$Q3617)))</f>
        <v/>
      </c>
      <c r="O3617" s="38" t="n">
        <f aca="false">IF($A3617="",1,IF($Q3617=0,1,INDEX(COA_Mapping!$F$7:$F$256,$Q3617)))</f>
        <v>1</v>
      </c>
      <c r="P3617" s="34" t="str">
        <f aca="false">IF($A3617="","",$I3617*$O3617)</f>
        <v/>
      </c>
      <c r="Q3617" s="39" t="n">
        <f aca="false">IF($B3617="",0,IFERROR(MATCH($B3617,COA_Mapping!$A$7:$A$256,0),0))</f>
        <v>0</v>
      </c>
      <c r="R3617" s="39" t="n">
        <f aca="false">IF($A3617="",-1,IF($J3617=Setup!$B$7,1,IF($J3617=Setup!$B$9,0,-1)))</f>
        <v>-1</v>
      </c>
      <c r="S3617" s="35" t="n">
        <f aca="false">IF(OR($A3617="",$Q3617=0,$R3617=-1),0,$Q3617*1000+$R3617*100+$K3617)</f>
        <v>0</v>
      </c>
      <c r="T3617" s="37" t="str">
        <f aca="false">IF($A3617="","",IF($B3617="","NO ACCOUNT",IF($Q3617=0,"UNMAPPED",IF($R3617=-1,"OUTSIDE FY RANGE","OK"))))</f>
        <v/>
      </c>
      <c r="U3617" s="40" t="str">
        <f aca="false">IF($A3617="","",$B3617&amp;"|"&amp;TEXT($A3617,"yyyymmdd")&amp;"|"&amp;TEXT($I3617,"0.00"))</f>
        <v/>
      </c>
      <c r="V3617" s="35" t="str">
        <f aca="false">IF($A3617="","",COUNTIF($U$8:$U$5007,$U3617))</f>
        <v/>
      </c>
    </row>
    <row r="3618" customFormat="false" ht="15" hidden="false" customHeight="false" outlineLevel="0" collapsed="false">
      <c r="A3618" s="31"/>
      <c r="B3618" s="32"/>
      <c r="C3618" s="32"/>
      <c r="D3618" s="32"/>
      <c r="E3618" s="32"/>
      <c r="F3618" s="32"/>
      <c r="G3618" s="33"/>
      <c r="H3618" s="33"/>
      <c r="I3618" s="34" t="str">
        <f aca="false">IF($A3618="","",$G3618-$H3618)</f>
        <v/>
      </c>
      <c r="J3618" s="35" t="str">
        <f aca="false">IF($A3618="","",IF(Setup!$B$6=1,YEAR($A3618),YEAR($A3618)+IF(MONTH($A3618)&gt;=Setup!$B$6,1,0)))</f>
        <v/>
      </c>
      <c r="K3618" s="35" t="str">
        <f aca="false">IF($A3618="","",MOD(MONTH($A3618)-Setup!$B$6+12,12)+1)</f>
        <v/>
      </c>
      <c r="L3618" s="36" t="str">
        <f aca="false">IF($A3618="","",TEXT($A3618,"MMM-YY"))</f>
        <v/>
      </c>
      <c r="M3618" s="37" t="str">
        <f aca="false">IF($A3618="","",IF($Q3618=0,"UNMAPPED",INDEX(COA_Mapping!$C$7:$C$256,$Q3618)))</f>
        <v/>
      </c>
      <c r="N3618" s="38" t="str">
        <f aca="false">IF($A3618="","",IF($Q3618=0,"",INDEX(COA_Mapping!$E$7:$E$256,$Q3618)))</f>
        <v/>
      </c>
      <c r="O3618" s="38" t="n">
        <f aca="false">IF($A3618="",1,IF($Q3618=0,1,INDEX(COA_Mapping!$F$7:$F$256,$Q3618)))</f>
        <v>1</v>
      </c>
      <c r="P3618" s="34" t="str">
        <f aca="false">IF($A3618="","",$I3618*$O3618)</f>
        <v/>
      </c>
      <c r="Q3618" s="39" t="n">
        <f aca="false">IF($B3618="",0,IFERROR(MATCH($B3618,COA_Mapping!$A$7:$A$256,0),0))</f>
        <v>0</v>
      </c>
      <c r="R3618" s="39" t="n">
        <f aca="false">IF($A3618="",-1,IF($J3618=Setup!$B$7,1,IF($J3618=Setup!$B$9,0,-1)))</f>
        <v>-1</v>
      </c>
      <c r="S3618" s="35" t="n">
        <f aca="false">IF(OR($A3618="",$Q3618=0,$R3618=-1),0,$Q3618*1000+$R3618*100+$K3618)</f>
        <v>0</v>
      </c>
      <c r="T3618" s="37" t="str">
        <f aca="false">IF($A3618="","",IF($B3618="","NO ACCOUNT",IF($Q3618=0,"UNMAPPED",IF($R3618=-1,"OUTSIDE FY RANGE","OK"))))</f>
        <v/>
      </c>
      <c r="U3618" s="40" t="str">
        <f aca="false">IF($A3618="","",$B3618&amp;"|"&amp;TEXT($A3618,"yyyymmdd")&amp;"|"&amp;TEXT($I3618,"0.00"))</f>
        <v/>
      </c>
      <c r="V3618" s="35" t="str">
        <f aca="false">IF($A3618="","",COUNTIF($U$8:$U$5007,$U3618))</f>
        <v/>
      </c>
    </row>
    <row r="3619" customFormat="false" ht="15" hidden="false" customHeight="false" outlineLevel="0" collapsed="false">
      <c r="A3619" s="31"/>
      <c r="B3619" s="32"/>
      <c r="C3619" s="32"/>
      <c r="D3619" s="32"/>
      <c r="E3619" s="32"/>
      <c r="F3619" s="32"/>
      <c r="G3619" s="33"/>
      <c r="H3619" s="33"/>
      <c r="I3619" s="34" t="str">
        <f aca="false">IF($A3619="","",$G3619-$H3619)</f>
        <v/>
      </c>
      <c r="J3619" s="35" t="str">
        <f aca="false">IF($A3619="","",IF(Setup!$B$6=1,YEAR($A3619),YEAR($A3619)+IF(MONTH($A3619)&gt;=Setup!$B$6,1,0)))</f>
        <v/>
      </c>
      <c r="K3619" s="35" t="str">
        <f aca="false">IF($A3619="","",MOD(MONTH($A3619)-Setup!$B$6+12,12)+1)</f>
        <v/>
      </c>
      <c r="L3619" s="36" t="str">
        <f aca="false">IF($A3619="","",TEXT($A3619,"MMM-YY"))</f>
        <v/>
      </c>
      <c r="M3619" s="37" t="str">
        <f aca="false">IF($A3619="","",IF($Q3619=0,"UNMAPPED",INDEX(COA_Mapping!$C$7:$C$256,$Q3619)))</f>
        <v/>
      </c>
      <c r="N3619" s="38" t="str">
        <f aca="false">IF($A3619="","",IF($Q3619=0,"",INDEX(COA_Mapping!$E$7:$E$256,$Q3619)))</f>
        <v/>
      </c>
      <c r="O3619" s="38" t="n">
        <f aca="false">IF($A3619="",1,IF($Q3619=0,1,INDEX(COA_Mapping!$F$7:$F$256,$Q3619)))</f>
        <v>1</v>
      </c>
      <c r="P3619" s="34" t="str">
        <f aca="false">IF($A3619="","",$I3619*$O3619)</f>
        <v/>
      </c>
      <c r="Q3619" s="39" t="n">
        <f aca="false">IF($B3619="",0,IFERROR(MATCH($B3619,COA_Mapping!$A$7:$A$256,0),0))</f>
        <v>0</v>
      </c>
      <c r="R3619" s="39" t="n">
        <f aca="false">IF($A3619="",-1,IF($J3619=Setup!$B$7,1,IF($J3619=Setup!$B$9,0,-1)))</f>
        <v>-1</v>
      </c>
      <c r="S3619" s="35" t="n">
        <f aca="false">IF(OR($A3619="",$Q3619=0,$R3619=-1),0,$Q3619*1000+$R3619*100+$K3619)</f>
        <v>0</v>
      </c>
      <c r="T3619" s="37" t="str">
        <f aca="false">IF($A3619="","",IF($B3619="","NO ACCOUNT",IF($Q3619=0,"UNMAPPED",IF($R3619=-1,"OUTSIDE FY RANGE","OK"))))</f>
        <v/>
      </c>
      <c r="U3619" s="40" t="str">
        <f aca="false">IF($A3619="","",$B3619&amp;"|"&amp;TEXT($A3619,"yyyymmdd")&amp;"|"&amp;TEXT($I3619,"0.00"))</f>
        <v/>
      </c>
      <c r="V3619" s="35" t="str">
        <f aca="false">IF($A3619="","",COUNTIF($U$8:$U$5007,$U3619))</f>
        <v/>
      </c>
    </row>
    <row r="3620" customFormat="false" ht="15" hidden="false" customHeight="false" outlineLevel="0" collapsed="false">
      <c r="A3620" s="31"/>
      <c r="B3620" s="32"/>
      <c r="C3620" s="32"/>
      <c r="D3620" s="32"/>
      <c r="E3620" s="32"/>
      <c r="F3620" s="32"/>
      <c r="G3620" s="33"/>
      <c r="H3620" s="33"/>
      <c r="I3620" s="34" t="str">
        <f aca="false">IF($A3620="","",$G3620-$H3620)</f>
        <v/>
      </c>
      <c r="J3620" s="35" t="str">
        <f aca="false">IF($A3620="","",IF(Setup!$B$6=1,YEAR($A3620),YEAR($A3620)+IF(MONTH($A3620)&gt;=Setup!$B$6,1,0)))</f>
        <v/>
      </c>
      <c r="K3620" s="35" t="str">
        <f aca="false">IF($A3620="","",MOD(MONTH($A3620)-Setup!$B$6+12,12)+1)</f>
        <v/>
      </c>
      <c r="L3620" s="36" t="str">
        <f aca="false">IF($A3620="","",TEXT($A3620,"MMM-YY"))</f>
        <v/>
      </c>
      <c r="M3620" s="37" t="str">
        <f aca="false">IF($A3620="","",IF($Q3620=0,"UNMAPPED",INDEX(COA_Mapping!$C$7:$C$256,$Q3620)))</f>
        <v/>
      </c>
      <c r="N3620" s="38" t="str">
        <f aca="false">IF($A3620="","",IF($Q3620=0,"",INDEX(COA_Mapping!$E$7:$E$256,$Q3620)))</f>
        <v/>
      </c>
      <c r="O3620" s="38" t="n">
        <f aca="false">IF($A3620="",1,IF($Q3620=0,1,INDEX(COA_Mapping!$F$7:$F$256,$Q3620)))</f>
        <v>1</v>
      </c>
      <c r="P3620" s="34" t="str">
        <f aca="false">IF($A3620="","",$I3620*$O3620)</f>
        <v/>
      </c>
      <c r="Q3620" s="39" t="n">
        <f aca="false">IF($B3620="",0,IFERROR(MATCH($B3620,COA_Mapping!$A$7:$A$256,0),0))</f>
        <v>0</v>
      </c>
      <c r="R3620" s="39" t="n">
        <f aca="false">IF($A3620="",-1,IF($J3620=Setup!$B$7,1,IF($J3620=Setup!$B$9,0,-1)))</f>
        <v>-1</v>
      </c>
      <c r="S3620" s="35" t="n">
        <f aca="false">IF(OR($A3620="",$Q3620=0,$R3620=-1),0,$Q3620*1000+$R3620*100+$K3620)</f>
        <v>0</v>
      </c>
      <c r="T3620" s="37" t="str">
        <f aca="false">IF($A3620="","",IF($B3620="","NO ACCOUNT",IF($Q3620=0,"UNMAPPED",IF($R3620=-1,"OUTSIDE FY RANGE","OK"))))</f>
        <v/>
      </c>
      <c r="U3620" s="40" t="str">
        <f aca="false">IF($A3620="","",$B3620&amp;"|"&amp;TEXT($A3620,"yyyymmdd")&amp;"|"&amp;TEXT($I3620,"0.00"))</f>
        <v/>
      </c>
      <c r="V3620" s="35" t="str">
        <f aca="false">IF($A3620="","",COUNTIF($U$8:$U$5007,$U3620))</f>
        <v/>
      </c>
    </row>
    <row r="3621" customFormat="false" ht="15" hidden="false" customHeight="false" outlineLevel="0" collapsed="false">
      <c r="A3621" s="31"/>
      <c r="B3621" s="32"/>
      <c r="C3621" s="32"/>
      <c r="D3621" s="32"/>
      <c r="E3621" s="32"/>
      <c r="F3621" s="32"/>
      <c r="G3621" s="33"/>
      <c r="H3621" s="33"/>
      <c r="I3621" s="34" t="str">
        <f aca="false">IF($A3621="","",$G3621-$H3621)</f>
        <v/>
      </c>
      <c r="J3621" s="35" t="str">
        <f aca="false">IF($A3621="","",IF(Setup!$B$6=1,YEAR($A3621),YEAR($A3621)+IF(MONTH($A3621)&gt;=Setup!$B$6,1,0)))</f>
        <v/>
      </c>
      <c r="K3621" s="35" t="str">
        <f aca="false">IF($A3621="","",MOD(MONTH($A3621)-Setup!$B$6+12,12)+1)</f>
        <v/>
      </c>
      <c r="L3621" s="36" t="str">
        <f aca="false">IF($A3621="","",TEXT($A3621,"MMM-YY"))</f>
        <v/>
      </c>
      <c r="M3621" s="37" t="str">
        <f aca="false">IF($A3621="","",IF($Q3621=0,"UNMAPPED",INDEX(COA_Mapping!$C$7:$C$256,$Q3621)))</f>
        <v/>
      </c>
      <c r="N3621" s="38" t="str">
        <f aca="false">IF($A3621="","",IF($Q3621=0,"",INDEX(COA_Mapping!$E$7:$E$256,$Q3621)))</f>
        <v/>
      </c>
      <c r="O3621" s="38" t="n">
        <f aca="false">IF($A3621="",1,IF($Q3621=0,1,INDEX(COA_Mapping!$F$7:$F$256,$Q3621)))</f>
        <v>1</v>
      </c>
      <c r="P3621" s="34" t="str">
        <f aca="false">IF($A3621="","",$I3621*$O3621)</f>
        <v/>
      </c>
      <c r="Q3621" s="39" t="n">
        <f aca="false">IF($B3621="",0,IFERROR(MATCH($B3621,COA_Mapping!$A$7:$A$256,0),0))</f>
        <v>0</v>
      </c>
      <c r="R3621" s="39" t="n">
        <f aca="false">IF($A3621="",-1,IF($J3621=Setup!$B$7,1,IF($J3621=Setup!$B$9,0,-1)))</f>
        <v>-1</v>
      </c>
      <c r="S3621" s="35" t="n">
        <f aca="false">IF(OR($A3621="",$Q3621=0,$R3621=-1),0,$Q3621*1000+$R3621*100+$K3621)</f>
        <v>0</v>
      </c>
      <c r="T3621" s="37" t="str">
        <f aca="false">IF($A3621="","",IF($B3621="","NO ACCOUNT",IF($Q3621=0,"UNMAPPED",IF($R3621=-1,"OUTSIDE FY RANGE","OK"))))</f>
        <v/>
      </c>
      <c r="U3621" s="40" t="str">
        <f aca="false">IF($A3621="","",$B3621&amp;"|"&amp;TEXT($A3621,"yyyymmdd")&amp;"|"&amp;TEXT($I3621,"0.00"))</f>
        <v/>
      </c>
      <c r="V3621" s="35" t="str">
        <f aca="false">IF($A3621="","",COUNTIF($U$8:$U$5007,$U3621))</f>
        <v/>
      </c>
    </row>
    <row r="3622" customFormat="false" ht="15" hidden="false" customHeight="false" outlineLevel="0" collapsed="false">
      <c r="A3622" s="31"/>
      <c r="B3622" s="32"/>
      <c r="C3622" s="32"/>
      <c r="D3622" s="32"/>
      <c r="E3622" s="32"/>
      <c r="F3622" s="32"/>
      <c r="G3622" s="33"/>
      <c r="H3622" s="33"/>
      <c r="I3622" s="34" t="str">
        <f aca="false">IF($A3622="","",$G3622-$H3622)</f>
        <v/>
      </c>
      <c r="J3622" s="35" t="str">
        <f aca="false">IF($A3622="","",IF(Setup!$B$6=1,YEAR($A3622),YEAR($A3622)+IF(MONTH($A3622)&gt;=Setup!$B$6,1,0)))</f>
        <v/>
      </c>
      <c r="K3622" s="35" t="str">
        <f aca="false">IF($A3622="","",MOD(MONTH($A3622)-Setup!$B$6+12,12)+1)</f>
        <v/>
      </c>
      <c r="L3622" s="36" t="str">
        <f aca="false">IF($A3622="","",TEXT($A3622,"MMM-YY"))</f>
        <v/>
      </c>
      <c r="M3622" s="37" t="str">
        <f aca="false">IF($A3622="","",IF($Q3622=0,"UNMAPPED",INDEX(COA_Mapping!$C$7:$C$256,$Q3622)))</f>
        <v/>
      </c>
      <c r="N3622" s="38" t="str">
        <f aca="false">IF($A3622="","",IF($Q3622=0,"",INDEX(COA_Mapping!$E$7:$E$256,$Q3622)))</f>
        <v/>
      </c>
      <c r="O3622" s="38" t="n">
        <f aca="false">IF($A3622="",1,IF($Q3622=0,1,INDEX(COA_Mapping!$F$7:$F$256,$Q3622)))</f>
        <v>1</v>
      </c>
      <c r="P3622" s="34" t="str">
        <f aca="false">IF($A3622="","",$I3622*$O3622)</f>
        <v/>
      </c>
      <c r="Q3622" s="39" t="n">
        <f aca="false">IF($B3622="",0,IFERROR(MATCH($B3622,COA_Mapping!$A$7:$A$256,0),0))</f>
        <v>0</v>
      </c>
      <c r="R3622" s="39" t="n">
        <f aca="false">IF($A3622="",-1,IF($J3622=Setup!$B$7,1,IF($J3622=Setup!$B$9,0,-1)))</f>
        <v>-1</v>
      </c>
      <c r="S3622" s="35" t="n">
        <f aca="false">IF(OR($A3622="",$Q3622=0,$R3622=-1),0,$Q3622*1000+$R3622*100+$K3622)</f>
        <v>0</v>
      </c>
      <c r="T3622" s="37" t="str">
        <f aca="false">IF($A3622="","",IF($B3622="","NO ACCOUNT",IF($Q3622=0,"UNMAPPED",IF($R3622=-1,"OUTSIDE FY RANGE","OK"))))</f>
        <v/>
      </c>
      <c r="U3622" s="40" t="str">
        <f aca="false">IF($A3622="","",$B3622&amp;"|"&amp;TEXT($A3622,"yyyymmdd")&amp;"|"&amp;TEXT($I3622,"0.00"))</f>
        <v/>
      </c>
      <c r="V3622" s="35" t="str">
        <f aca="false">IF($A3622="","",COUNTIF($U$8:$U$5007,$U3622))</f>
        <v/>
      </c>
    </row>
    <row r="3623" customFormat="false" ht="15" hidden="false" customHeight="false" outlineLevel="0" collapsed="false">
      <c r="A3623" s="31"/>
      <c r="B3623" s="32"/>
      <c r="C3623" s="32"/>
      <c r="D3623" s="32"/>
      <c r="E3623" s="32"/>
      <c r="F3623" s="32"/>
      <c r="G3623" s="33"/>
      <c r="H3623" s="33"/>
      <c r="I3623" s="34" t="str">
        <f aca="false">IF($A3623="","",$G3623-$H3623)</f>
        <v/>
      </c>
      <c r="J3623" s="35" t="str">
        <f aca="false">IF($A3623="","",IF(Setup!$B$6=1,YEAR($A3623),YEAR($A3623)+IF(MONTH($A3623)&gt;=Setup!$B$6,1,0)))</f>
        <v/>
      </c>
      <c r="K3623" s="35" t="str">
        <f aca="false">IF($A3623="","",MOD(MONTH($A3623)-Setup!$B$6+12,12)+1)</f>
        <v/>
      </c>
      <c r="L3623" s="36" t="str">
        <f aca="false">IF($A3623="","",TEXT($A3623,"MMM-YY"))</f>
        <v/>
      </c>
      <c r="M3623" s="37" t="str">
        <f aca="false">IF($A3623="","",IF($Q3623=0,"UNMAPPED",INDEX(COA_Mapping!$C$7:$C$256,$Q3623)))</f>
        <v/>
      </c>
      <c r="N3623" s="38" t="str">
        <f aca="false">IF($A3623="","",IF($Q3623=0,"",INDEX(COA_Mapping!$E$7:$E$256,$Q3623)))</f>
        <v/>
      </c>
      <c r="O3623" s="38" t="n">
        <f aca="false">IF($A3623="",1,IF($Q3623=0,1,INDEX(COA_Mapping!$F$7:$F$256,$Q3623)))</f>
        <v>1</v>
      </c>
      <c r="P3623" s="34" t="str">
        <f aca="false">IF($A3623="","",$I3623*$O3623)</f>
        <v/>
      </c>
      <c r="Q3623" s="39" t="n">
        <f aca="false">IF($B3623="",0,IFERROR(MATCH($B3623,COA_Mapping!$A$7:$A$256,0),0))</f>
        <v>0</v>
      </c>
      <c r="R3623" s="39" t="n">
        <f aca="false">IF($A3623="",-1,IF($J3623=Setup!$B$7,1,IF($J3623=Setup!$B$9,0,-1)))</f>
        <v>-1</v>
      </c>
      <c r="S3623" s="35" t="n">
        <f aca="false">IF(OR($A3623="",$Q3623=0,$R3623=-1),0,$Q3623*1000+$R3623*100+$K3623)</f>
        <v>0</v>
      </c>
      <c r="T3623" s="37" t="str">
        <f aca="false">IF($A3623="","",IF($B3623="","NO ACCOUNT",IF($Q3623=0,"UNMAPPED",IF($R3623=-1,"OUTSIDE FY RANGE","OK"))))</f>
        <v/>
      </c>
      <c r="U3623" s="40" t="str">
        <f aca="false">IF($A3623="","",$B3623&amp;"|"&amp;TEXT($A3623,"yyyymmdd")&amp;"|"&amp;TEXT($I3623,"0.00"))</f>
        <v/>
      </c>
      <c r="V3623" s="35" t="str">
        <f aca="false">IF($A3623="","",COUNTIF($U$8:$U$5007,$U3623))</f>
        <v/>
      </c>
    </row>
    <row r="3624" customFormat="false" ht="15" hidden="false" customHeight="false" outlineLevel="0" collapsed="false">
      <c r="A3624" s="31"/>
      <c r="B3624" s="32"/>
      <c r="C3624" s="32"/>
      <c r="D3624" s="32"/>
      <c r="E3624" s="32"/>
      <c r="F3624" s="32"/>
      <c r="G3624" s="33"/>
      <c r="H3624" s="33"/>
      <c r="I3624" s="34" t="str">
        <f aca="false">IF($A3624="","",$G3624-$H3624)</f>
        <v/>
      </c>
      <c r="J3624" s="35" t="str">
        <f aca="false">IF($A3624="","",IF(Setup!$B$6=1,YEAR($A3624),YEAR($A3624)+IF(MONTH($A3624)&gt;=Setup!$B$6,1,0)))</f>
        <v/>
      </c>
      <c r="K3624" s="35" t="str">
        <f aca="false">IF($A3624="","",MOD(MONTH($A3624)-Setup!$B$6+12,12)+1)</f>
        <v/>
      </c>
      <c r="L3624" s="36" t="str">
        <f aca="false">IF($A3624="","",TEXT($A3624,"MMM-YY"))</f>
        <v/>
      </c>
      <c r="M3624" s="37" t="str">
        <f aca="false">IF($A3624="","",IF($Q3624=0,"UNMAPPED",INDEX(COA_Mapping!$C$7:$C$256,$Q3624)))</f>
        <v/>
      </c>
      <c r="N3624" s="38" t="str">
        <f aca="false">IF($A3624="","",IF($Q3624=0,"",INDEX(COA_Mapping!$E$7:$E$256,$Q3624)))</f>
        <v/>
      </c>
      <c r="O3624" s="38" t="n">
        <f aca="false">IF($A3624="",1,IF($Q3624=0,1,INDEX(COA_Mapping!$F$7:$F$256,$Q3624)))</f>
        <v>1</v>
      </c>
      <c r="P3624" s="34" t="str">
        <f aca="false">IF($A3624="","",$I3624*$O3624)</f>
        <v/>
      </c>
      <c r="Q3624" s="39" t="n">
        <f aca="false">IF($B3624="",0,IFERROR(MATCH($B3624,COA_Mapping!$A$7:$A$256,0),0))</f>
        <v>0</v>
      </c>
      <c r="R3624" s="39" t="n">
        <f aca="false">IF($A3624="",-1,IF($J3624=Setup!$B$7,1,IF($J3624=Setup!$B$9,0,-1)))</f>
        <v>-1</v>
      </c>
      <c r="S3624" s="35" t="n">
        <f aca="false">IF(OR($A3624="",$Q3624=0,$R3624=-1),0,$Q3624*1000+$R3624*100+$K3624)</f>
        <v>0</v>
      </c>
      <c r="T3624" s="37" t="str">
        <f aca="false">IF($A3624="","",IF($B3624="","NO ACCOUNT",IF($Q3624=0,"UNMAPPED",IF($R3624=-1,"OUTSIDE FY RANGE","OK"))))</f>
        <v/>
      </c>
      <c r="U3624" s="40" t="str">
        <f aca="false">IF($A3624="","",$B3624&amp;"|"&amp;TEXT($A3624,"yyyymmdd")&amp;"|"&amp;TEXT($I3624,"0.00"))</f>
        <v/>
      </c>
      <c r="V3624" s="35" t="str">
        <f aca="false">IF($A3624="","",COUNTIF($U$8:$U$5007,$U3624))</f>
        <v/>
      </c>
    </row>
    <row r="3625" customFormat="false" ht="15" hidden="false" customHeight="false" outlineLevel="0" collapsed="false">
      <c r="A3625" s="31"/>
      <c r="B3625" s="32"/>
      <c r="C3625" s="32"/>
      <c r="D3625" s="32"/>
      <c r="E3625" s="32"/>
      <c r="F3625" s="32"/>
      <c r="G3625" s="33"/>
      <c r="H3625" s="33"/>
      <c r="I3625" s="34" t="str">
        <f aca="false">IF($A3625="","",$G3625-$H3625)</f>
        <v/>
      </c>
      <c r="J3625" s="35" t="str">
        <f aca="false">IF($A3625="","",IF(Setup!$B$6=1,YEAR($A3625),YEAR($A3625)+IF(MONTH($A3625)&gt;=Setup!$B$6,1,0)))</f>
        <v/>
      </c>
      <c r="K3625" s="35" t="str">
        <f aca="false">IF($A3625="","",MOD(MONTH($A3625)-Setup!$B$6+12,12)+1)</f>
        <v/>
      </c>
      <c r="L3625" s="36" t="str">
        <f aca="false">IF($A3625="","",TEXT($A3625,"MMM-YY"))</f>
        <v/>
      </c>
      <c r="M3625" s="37" t="str">
        <f aca="false">IF($A3625="","",IF($Q3625=0,"UNMAPPED",INDEX(COA_Mapping!$C$7:$C$256,$Q3625)))</f>
        <v/>
      </c>
      <c r="N3625" s="38" t="str">
        <f aca="false">IF($A3625="","",IF($Q3625=0,"",INDEX(COA_Mapping!$E$7:$E$256,$Q3625)))</f>
        <v/>
      </c>
      <c r="O3625" s="38" t="n">
        <f aca="false">IF($A3625="",1,IF($Q3625=0,1,INDEX(COA_Mapping!$F$7:$F$256,$Q3625)))</f>
        <v>1</v>
      </c>
      <c r="P3625" s="34" t="str">
        <f aca="false">IF($A3625="","",$I3625*$O3625)</f>
        <v/>
      </c>
      <c r="Q3625" s="39" t="n">
        <f aca="false">IF($B3625="",0,IFERROR(MATCH($B3625,COA_Mapping!$A$7:$A$256,0),0))</f>
        <v>0</v>
      </c>
      <c r="R3625" s="39" t="n">
        <f aca="false">IF($A3625="",-1,IF($J3625=Setup!$B$7,1,IF($J3625=Setup!$B$9,0,-1)))</f>
        <v>-1</v>
      </c>
      <c r="S3625" s="35" t="n">
        <f aca="false">IF(OR($A3625="",$Q3625=0,$R3625=-1),0,$Q3625*1000+$R3625*100+$K3625)</f>
        <v>0</v>
      </c>
      <c r="T3625" s="37" t="str">
        <f aca="false">IF($A3625="","",IF($B3625="","NO ACCOUNT",IF($Q3625=0,"UNMAPPED",IF($R3625=-1,"OUTSIDE FY RANGE","OK"))))</f>
        <v/>
      </c>
      <c r="U3625" s="40" t="str">
        <f aca="false">IF($A3625="","",$B3625&amp;"|"&amp;TEXT($A3625,"yyyymmdd")&amp;"|"&amp;TEXT($I3625,"0.00"))</f>
        <v/>
      </c>
      <c r="V3625" s="35" t="str">
        <f aca="false">IF($A3625="","",COUNTIF($U$8:$U$5007,$U3625))</f>
        <v/>
      </c>
    </row>
    <row r="3626" customFormat="false" ht="15" hidden="false" customHeight="false" outlineLevel="0" collapsed="false">
      <c r="A3626" s="31"/>
      <c r="B3626" s="32"/>
      <c r="C3626" s="32"/>
      <c r="D3626" s="32"/>
      <c r="E3626" s="32"/>
      <c r="F3626" s="32"/>
      <c r="G3626" s="33"/>
      <c r="H3626" s="33"/>
      <c r="I3626" s="34" t="str">
        <f aca="false">IF($A3626="","",$G3626-$H3626)</f>
        <v/>
      </c>
      <c r="J3626" s="35" t="str">
        <f aca="false">IF($A3626="","",IF(Setup!$B$6=1,YEAR($A3626),YEAR($A3626)+IF(MONTH($A3626)&gt;=Setup!$B$6,1,0)))</f>
        <v/>
      </c>
      <c r="K3626" s="35" t="str">
        <f aca="false">IF($A3626="","",MOD(MONTH($A3626)-Setup!$B$6+12,12)+1)</f>
        <v/>
      </c>
      <c r="L3626" s="36" t="str">
        <f aca="false">IF($A3626="","",TEXT($A3626,"MMM-YY"))</f>
        <v/>
      </c>
      <c r="M3626" s="37" t="str">
        <f aca="false">IF($A3626="","",IF($Q3626=0,"UNMAPPED",INDEX(COA_Mapping!$C$7:$C$256,$Q3626)))</f>
        <v/>
      </c>
      <c r="N3626" s="38" t="str">
        <f aca="false">IF($A3626="","",IF($Q3626=0,"",INDEX(COA_Mapping!$E$7:$E$256,$Q3626)))</f>
        <v/>
      </c>
      <c r="O3626" s="38" t="n">
        <f aca="false">IF($A3626="",1,IF($Q3626=0,1,INDEX(COA_Mapping!$F$7:$F$256,$Q3626)))</f>
        <v>1</v>
      </c>
      <c r="P3626" s="34" t="str">
        <f aca="false">IF($A3626="","",$I3626*$O3626)</f>
        <v/>
      </c>
      <c r="Q3626" s="39" t="n">
        <f aca="false">IF($B3626="",0,IFERROR(MATCH($B3626,COA_Mapping!$A$7:$A$256,0),0))</f>
        <v>0</v>
      </c>
      <c r="R3626" s="39" t="n">
        <f aca="false">IF($A3626="",-1,IF($J3626=Setup!$B$7,1,IF($J3626=Setup!$B$9,0,-1)))</f>
        <v>-1</v>
      </c>
      <c r="S3626" s="35" t="n">
        <f aca="false">IF(OR($A3626="",$Q3626=0,$R3626=-1),0,$Q3626*1000+$R3626*100+$K3626)</f>
        <v>0</v>
      </c>
      <c r="T3626" s="37" t="str">
        <f aca="false">IF($A3626="","",IF($B3626="","NO ACCOUNT",IF($Q3626=0,"UNMAPPED",IF($R3626=-1,"OUTSIDE FY RANGE","OK"))))</f>
        <v/>
      </c>
      <c r="U3626" s="40" t="str">
        <f aca="false">IF($A3626="","",$B3626&amp;"|"&amp;TEXT($A3626,"yyyymmdd")&amp;"|"&amp;TEXT($I3626,"0.00"))</f>
        <v/>
      </c>
      <c r="V3626" s="35" t="str">
        <f aca="false">IF($A3626="","",COUNTIF($U$8:$U$5007,$U3626))</f>
        <v/>
      </c>
    </row>
    <row r="3627" customFormat="false" ht="15" hidden="false" customHeight="false" outlineLevel="0" collapsed="false">
      <c r="A3627" s="31"/>
      <c r="B3627" s="32"/>
      <c r="C3627" s="32"/>
      <c r="D3627" s="32"/>
      <c r="E3627" s="32"/>
      <c r="F3627" s="32"/>
      <c r="G3627" s="33"/>
      <c r="H3627" s="33"/>
      <c r="I3627" s="34" t="str">
        <f aca="false">IF($A3627="","",$G3627-$H3627)</f>
        <v/>
      </c>
      <c r="J3627" s="35" t="str">
        <f aca="false">IF($A3627="","",IF(Setup!$B$6=1,YEAR($A3627),YEAR($A3627)+IF(MONTH($A3627)&gt;=Setup!$B$6,1,0)))</f>
        <v/>
      </c>
      <c r="K3627" s="35" t="str">
        <f aca="false">IF($A3627="","",MOD(MONTH($A3627)-Setup!$B$6+12,12)+1)</f>
        <v/>
      </c>
      <c r="L3627" s="36" t="str">
        <f aca="false">IF($A3627="","",TEXT($A3627,"MMM-YY"))</f>
        <v/>
      </c>
      <c r="M3627" s="37" t="str">
        <f aca="false">IF($A3627="","",IF($Q3627=0,"UNMAPPED",INDEX(COA_Mapping!$C$7:$C$256,$Q3627)))</f>
        <v/>
      </c>
      <c r="N3627" s="38" t="str">
        <f aca="false">IF($A3627="","",IF($Q3627=0,"",INDEX(COA_Mapping!$E$7:$E$256,$Q3627)))</f>
        <v/>
      </c>
      <c r="O3627" s="38" t="n">
        <f aca="false">IF($A3627="",1,IF($Q3627=0,1,INDEX(COA_Mapping!$F$7:$F$256,$Q3627)))</f>
        <v>1</v>
      </c>
      <c r="P3627" s="34" t="str">
        <f aca="false">IF($A3627="","",$I3627*$O3627)</f>
        <v/>
      </c>
      <c r="Q3627" s="39" t="n">
        <f aca="false">IF($B3627="",0,IFERROR(MATCH($B3627,COA_Mapping!$A$7:$A$256,0),0))</f>
        <v>0</v>
      </c>
      <c r="R3627" s="39" t="n">
        <f aca="false">IF($A3627="",-1,IF($J3627=Setup!$B$7,1,IF($J3627=Setup!$B$9,0,-1)))</f>
        <v>-1</v>
      </c>
      <c r="S3627" s="35" t="n">
        <f aca="false">IF(OR($A3627="",$Q3627=0,$R3627=-1),0,$Q3627*1000+$R3627*100+$K3627)</f>
        <v>0</v>
      </c>
      <c r="T3627" s="37" t="str">
        <f aca="false">IF($A3627="","",IF($B3627="","NO ACCOUNT",IF($Q3627=0,"UNMAPPED",IF($R3627=-1,"OUTSIDE FY RANGE","OK"))))</f>
        <v/>
      </c>
      <c r="U3627" s="40" t="str">
        <f aca="false">IF($A3627="","",$B3627&amp;"|"&amp;TEXT($A3627,"yyyymmdd")&amp;"|"&amp;TEXT($I3627,"0.00"))</f>
        <v/>
      </c>
      <c r="V3627" s="35" t="str">
        <f aca="false">IF($A3627="","",COUNTIF($U$8:$U$5007,$U3627))</f>
        <v/>
      </c>
    </row>
    <row r="3628" customFormat="false" ht="15" hidden="false" customHeight="false" outlineLevel="0" collapsed="false">
      <c r="A3628" s="31"/>
      <c r="B3628" s="32"/>
      <c r="C3628" s="32"/>
      <c r="D3628" s="32"/>
      <c r="E3628" s="32"/>
      <c r="F3628" s="32"/>
      <c r="G3628" s="33"/>
      <c r="H3628" s="33"/>
      <c r="I3628" s="34" t="str">
        <f aca="false">IF($A3628="","",$G3628-$H3628)</f>
        <v/>
      </c>
      <c r="J3628" s="35" t="str">
        <f aca="false">IF($A3628="","",IF(Setup!$B$6=1,YEAR($A3628),YEAR($A3628)+IF(MONTH($A3628)&gt;=Setup!$B$6,1,0)))</f>
        <v/>
      </c>
      <c r="K3628" s="35" t="str">
        <f aca="false">IF($A3628="","",MOD(MONTH($A3628)-Setup!$B$6+12,12)+1)</f>
        <v/>
      </c>
      <c r="L3628" s="36" t="str">
        <f aca="false">IF($A3628="","",TEXT($A3628,"MMM-YY"))</f>
        <v/>
      </c>
      <c r="M3628" s="37" t="str">
        <f aca="false">IF($A3628="","",IF($Q3628=0,"UNMAPPED",INDEX(COA_Mapping!$C$7:$C$256,$Q3628)))</f>
        <v/>
      </c>
      <c r="N3628" s="38" t="str">
        <f aca="false">IF($A3628="","",IF($Q3628=0,"",INDEX(COA_Mapping!$E$7:$E$256,$Q3628)))</f>
        <v/>
      </c>
      <c r="O3628" s="38" t="n">
        <f aca="false">IF($A3628="",1,IF($Q3628=0,1,INDEX(COA_Mapping!$F$7:$F$256,$Q3628)))</f>
        <v>1</v>
      </c>
      <c r="P3628" s="34" t="str">
        <f aca="false">IF($A3628="","",$I3628*$O3628)</f>
        <v/>
      </c>
      <c r="Q3628" s="39" t="n">
        <f aca="false">IF($B3628="",0,IFERROR(MATCH($B3628,COA_Mapping!$A$7:$A$256,0),0))</f>
        <v>0</v>
      </c>
      <c r="R3628" s="39" t="n">
        <f aca="false">IF($A3628="",-1,IF($J3628=Setup!$B$7,1,IF($J3628=Setup!$B$9,0,-1)))</f>
        <v>-1</v>
      </c>
      <c r="S3628" s="35" t="n">
        <f aca="false">IF(OR($A3628="",$Q3628=0,$R3628=-1),0,$Q3628*1000+$R3628*100+$K3628)</f>
        <v>0</v>
      </c>
      <c r="T3628" s="37" t="str">
        <f aca="false">IF($A3628="","",IF($B3628="","NO ACCOUNT",IF($Q3628=0,"UNMAPPED",IF($R3628=-1,"OUTSIDE FY RANGE","OK"))))</f>
        <v/>
      </c>
      <c r="U3628" s="40" t="str">
        <f aca="false">IF($A3628="","",$B3628&amp;"|"&amp;TEXT($A3628,"yyyymmdd")&amp;"|"&amp;TEXT($I3628,"0.00"))</f>
        <v/>
      </c>
      <c r="V3628" s="35" t="str">
        <f aca="false">IF($A3628="","",COUNTIF($U$8:$U$5007,$U3628))</f>
        <v/>
      </c>
    </row>
    <row r="3629" customFormat="false" ht="15" hidden="false" customHeight="false" outlineLevel="0" collapsed="false">
      <c r="A3629" s="31"/>
      <c r="B3629" s="32"/>
      <c r="C3629" s="32"/>
      <c r="D3629" s="32"/>
      <c r="E3629" s="32"/>
      <c r="F3629" s="32"/>
      <c r="G3629" s="33"/>
      <c r="H3629" s="33"/>
      <c r="I3629" s="34" t="str">
        <f aca="false">IF($A3629="","",$G3629-$H3629)</f>
        <v/>
      </c>
      <c r="J3629" s="35" t="str">
        <f aca="false">IF($A3629="","",IF(Setup!$B$6=1,YEAR($A3629),YEAR($A3629)+IF(MONTH($A3629)&gt;=Setup!$B$6,1,0)))</f>
        <v/>
      </c>
      <c r="K3629" s="35" t="str">
        <f aca="false">IF($A3629="","",MOD(MONTH($A3629)-Setup!$B$6+12,12)+1)</f>
        <v/>
      </c>
      <c r="L3629" s="36" t="str">
        <f aca="false">IF($A3629="","",TEXT($A3629,"MMM-YY"))</f>
        <v/>
      </c>
      <c r="M3629" s="37" t="str">
        <f aca="false">IF($A3629="","",IF($Q3629=0,"UNMAPPED",INDEX(COA_Mapping!$C$7:$C$256,$Q3629)))</f>
        <v/>
      </c>
      <c r="N3629" s="38" t="str">
        <f aca="false">IF($A3629="","",IF($Q3629=0,"",INDEX(COA_Mapping!$E$7:$E$256,$Q3629)))</f>
        <v/>
      </c>
      <c r="O3629" s="38" t="n">
        <f aca="false">IF($A3629="",1,IF($Q3629=0,1,INDEX(COA_Mapping!$F$7:$F$256,$Q3629)))</f>
        <v>1</v>
      </c>
      <c r="P3629" s="34" t="str">
        <f aca="false">IF($A3629="","",$I3629*$O3629)</f>
        <v/>
      </c>
      <c r="Q3629" s="39" t="n">
        <f aca="false">IF($B3629="",0,IFERROR(MATCH($B3629,COA_Mapping!$A$7:$A$256,0),0))</f>
        <v>0</v>
      </c>
      <c r="R3629" s="39" t="n">
        <f aca="false">IF($A3629="",-1,IF($J3629=Setup!$B$7,1,IF($J3629=Setup!$B$9,0,-1)))</f>
        <v>-1</v>
      </c>
      <c r="S3629" s="35" t="n">
        <f aca="false">IF(OR($A3629="",$Q3629=0,$R3629=-1),0,$Q3629*1000+$R3629*100+$K3629)</f>
        <v>0</v>
      </c>
      <c r="T3629" s="37" t="str">
        <f aca="false">IF($A3629="","",IF($B3629="","NO ACCOUNT",IF($Q3629=0,"UNMAPPED",IF($R3629=-1,"OUTSIDE FY RANGE","OK"))))</f>
        <v/>
      </c>
      <c r="U3629" s="40" t="str">
        <f aca="false">IF($A3629="","",$B3629&amp;"|"&amp;TEXT($A3629,"yyyymmdd")&amp;"|"&amp;TEXT($I3629,"0.00"))</f>
        <v/>
      </c>
      <c r="V3629" s="35" t="str">
        <f aca="false">IF($A3629="","",COUNTIF($U$8:$U$5007,$U3629))</f>
        <v/>
      </c>
    </row>
    <row r="3630" customFormat="false" ht="15" hidden="false" customHeight="false" outlineLevel="0" collapsed="false">
      <c r="A3630" s="31"/>
      <c r="B3630" s="32"/>
      <c r="C3630" s="32"/>
      <c r="D3630" s="32"/>
      <c r="E3630" s="32"/>
      <c r="F3630" s="32"/>
      <c r="G3630" s="33"/>
      <c r="H3630" s="33"/>
      <c r="I3630" s="34" t="str">
        <f aca="false">IF($A3630="","",$G3630-$H3630)</f>
        <v/>
      </c>
      <c r="J3630" s="35" t="str">
        <f aca="false">IF($A3630="","",IF(Setup!$B$6=1,YEAR($A3630),YEAR($A3630)+IF(MONTH($A3630)&gt;=Setup!$B$6,1,0)))</f>
        <v/>
      </c>
      <c r="K3630" s="35" t="str">
        <f aca="false">IF($A3630="","",MOD(MONTH($A3630)-Setup!$B$6+12,12)+1)</f>
        <v/>
      </c>
      <c r="L3630" s="36" t="str">
        <f aca="false">IF($A3630="","",TEXT($A3630,"MMM-YY"))</f>
        <v/>
      </c>
      <c r="M3630" s="37" t="str">
        <f aca="false">IF($A3630="","",IF($Q3630=0,"UNMAPPED",INDEX(COA_Mapping!$C$7:$C$256,$Q3630)))</f>
        <v/>
      </c>
      <c r="N3630" s="38" t="str">
        <f aca="false">IF($A3630="","",IF($Q3630=0,"",INDEX(COA_Mapping!$E$7:$E$256,$Q3630)))</f>
        <v/>
      </c>
      <c r="O3630" s="38" t="n">
        <f aca="false">IF($A3630="",1,IF($Q3630=0,1,INDEX(COA_Mapping!$F$7:$F$256,$Q3630)))</f>
        <v>1</v>
      </c>
      <c r="P3630" s="34" t="str">
        <f aca="false">IF($A3630="","",$I3630*$O3630)</f>
        <v/>
      </c>
      <c r="Q3630" s="39" t="n">
        <f aca="false">IF($B3630="",0,IFERROR(MATCH($B3630,COA_Mapping!$A$7:$A$256,0),0))</f>
        <v>0</v>
      </c>
      <c r="R3630" s="39" t="n">
        <f aca="false">IF($A3630="",-1,IF($J3630=Setup!$B$7,1,IF($J3630=Setup!$B$9,0,-1)))</f>
        <v>-1</v>
      </c>
      <c r="S3630" s="35" t="n">
        <f aca="false">IF(OR($A3630="",$Q3630=0,$R3630=-1),0,$Q3630*1000+$R3630*100+$K3630)</f>
        <v>0</v>
      </c>
      <c r="T3630" s="37" t="str">
        <f aca="false">IF($A3630="","",IF($B3630="","NO ACCOUNT",IF($Q3630=0,"UNMAPPED",IF($R3630=-1,"OUTSIDE FY RANGE","OK"))))</f>
        <v/>
      </c>
      <c r="U3630" s="40" t="str">
        <f aca="false">IF($A3630="","",$B3630&amp;"|"&amp;TEXT($A3630,"yyyymmdd")&amp;"|"&amp;TEXT($I3630,"0.00"))</f>
        <v/>
      </c>
      <c r="V3630" s="35" t="str">
        <f aca="false">IF($A3630="","",COUNTIF($U$8:$U$5007,$U3630))</f>
        <v/>
      </c>
    </row>
    <row r="3631" customFormat="false" ht="15" hidden="false" customHeight="false" outlineLevel="0" collapsed="false">
      <c r="A3631" s="31"/>
      <c r="B3631" s="32"/>
      <c r="C3631" s="32"/>
      <c r="D3631" s="32"/>
      <c r="E3631" s="32"/>
      <c r="F3631" s="32"/>
      <c r="G3631" s="33"/>
      <c r="H3631" s="33"/>
      <c r="I3631" s="34" t="str">
        <f aca="false">IF($A3631="","",$G3631-$H3631)</f>
        <v/>
      </c>
      <c r="J3631" s="35" t="str">
        <f aca="false">IF($A3631="","",IF(Setup!$B$6=1,YEAR($A3631),YEAR($A3631)+IF(MONTH($A3631)&gt;=Setup!$B$6,1,0)))</f>
        <v/>
      </c>
      <c r="K3631" s="35" t="str">
        <f aca="false">IF($A3631="","",MOD(MONTH($A3631)-Setup!$B$6+12,12)+1)</f>
        <v/>
      </c>
      <c r="L3631" s="36" t="str">
        <f aca="false">IF($A3631="","",TEXT($A3631,"MMM-YY"))</f>
        <v/>
      </c>
      <c r="M3631" s="37" t="str">
        <f aca="false">IF($A3631="","",IF($Q3631=0,"UNMAPPED",INDEX(COA_Mapping!$C$7:$C$256,$Q3631)))</f>
        <v/>
      </c>
      <c r="N3631" s="38" t="str">
        <f aca="false">IF($A3631="","",IF($Q3631=0,"",INDEX(COA_Mapping!$E$7:$E$256,$Q3631)))</f>
        <v/>
      </c>
      <c r="O3631" s="38" t="n">
        <f aca="false">IF($A3631="",1,IF($Q3631=0,1,INDEX(COA_Mapping!$F$7:$F$256,$Q3631)))</f>
        <v>1</v>
      </c>
      <c r="P3631" s="34" t="str">
        <f aca="false">IF($A3631="","",$I3631*$O3631)</f>
        <v/>
      </c>
      <c r="Q3631" s="39" t="n">
        <f aca="false">IF($B3631="",0,IFERROR(MATCH($B3631,COA_Mapping!$A$7:$A$256,0),0))</f>
        <v>0</v>
      </c>
      <c r="R3631" s="39" t="n">
        <f aca="false">IF($A3631="",-1,IF($J3631=Setup!$B$7,1,IF($J3631=Setup!$B$9,0,-1)))</f>
        <v>-1</v>
      </c>
      <c r="S3631" s="35" t="n">
        <f aca="false">IF(OR($A3631="",$Q3631=0,$R3631=-1),0,$Q3631*1000+$R3631*100+$K3631)</f>
        <v>0</v>
      </c>
      <c r="T3631" s="37" t="str">
        <f aca="false">IF($A3631="","",IF($B3631="","NO ACCOUNT",IF($Q3631=0,"UNMAPPED",IF($R3631=-1,"OUTSIDE FY RANGE","OK"))))</f>
        <v/>
      </c>
      <c r="U3631" s="40" t="str">
        <f aca="false">IF($A3631="","",$B3631&amp;"|"&amp;TEXT($A3631,"yyyymmdd")&amp;"|"&amp;TEXT($I3631,"0.00"))</f>
        <v/>
      </c>
      <c r="V3631" s="35" t="str">
        <f aca="false">IF($A3631="","",COUNTIF($U$8:$U$5007,$U3631))</f>
        <v/>
      </c>
    </row>
    <row r="3632" customFormat="false" ht="15" hidden="false" customHeight="false" outlineLevel="0" collapsed="false">
      <c r="A3632" s="31"/>
      <c r="B3632" s="32"/>
      <c r="C3632" s="32"/>
      <c r="D3632" s="32"/>
      <c r="E3632" s="32"/>
      <c r="F3632" s="32"/>
      <c r="G3632" s="33"/>
      <c r="H3632" s="33"/>
      <c r="I3632" s="34" t="str">
        <f aca="false">IF($A3632="","",$G3632-$H3632)</f>
        <v/>
      </c>
      <c r="J3632" s="35" t="str">
        <f aca="false">IF($A3632="","",IF(Setup!$B$6=1,YEAR($A3632),YEAR($A3632)+IF(MONTH($A3632)&gt;=Setup!$B$6,1,0)))</f>
        <v/>
      </c>
      <c r="K3632" s="35" t="str">
        <f aca="false">IF($A3632="","",MOD(MONTH($A3632)-Setup!$B$6+12,12)+1)</f>
        <v/>
      </c>
      <c r="L3632" s="36" t="str">
        <f aca="false">IF($A3632="","",TEXT($A3632,"MMM-YY"))</f>
        <v/>
      </c>
      <c r="M3632" s="37" t="str">
        <f aca="false">IF($A3632="","",IF($Q3632=0,"UNMAPPED",INDEX(COA_Mapping!$C$7:$C$256,$Q3632)))</f>
        <v/>
      </c>
      <c r="N3632" s="38" t="str">
        <f aca="false">IF($A3632="","",IF($Q3632=0,"",INDEX(COA_Mapping!$E$7:$E$256,$Q3632)))</f>
        <v/>
      </c>
      <c r="O3632" s="38" t="n">
        <f aca="false">IF($A3632="",1,IF($Q3632=0,1,INDEX(COA_Mapping!$F$7:$F$256,$Q3632)))</f>
        <v>1</v>
      </c>
      <c r="P3632" s="34" t="str">
        <f aca="false">IF($A3632="","",$I3632*$O3632)</f>
        <v/>
      </c>
      <c r="Q3632" s="39" t="n">
        <f aca="false">IF($B3632="",0,IFERROR(MATCH($B3632,COA_Mapping!$A$7:$A$256,0),0))</f>
        <v>0</v>
      </c>
      <c r="R3632" s="39" t="n">
        <f aca="false">IF($A3632="",-1,IF($J3632=Setup!$B$7,1,IF($J3632=Setup!$B$9,0,-1)))</f>
        <v>-1</v>
      </c>
      <c r="S3632" s="35" t="n">
        <f aca="false">IF(OR($A3632="",$Q3632=0,$R3632=-1),0,$Q3632*1000+$R3632*100+$K3632)</f>
        <v>0</v>
      </c>
      <c r="T3632" s="37" t="str">
        <f aca="false">IF($A3632="","",IF($B3632="","NO ACCOUNT",IF($Q3632=0,"UNMAPPED",IF($R3632=-1,"OUTSIDE FY RANGE","OK"))))</f>
        <v/>
      </c>
      <c r="U3632" s="40" t="str">
        <f aca="false">IF($A3632="","",$B3632&amp;"|"&amp;TEXT($A3632,"yyyymmdd")&amp;"|"&amp;TEXT($I3632,"0.00"))</f>
        <v/>
      </c>
      <c r="V3632" s="35" t="str">
        <f aca="false">IF($A3632="","",COUNTIF($U$8:$U$5007,$U3632))</f>
        <v/>
      </c>
    </row>
    <row r="3633" customFormat="false" ht="15" hidden="false" customHeight="false" outlineLevel="0" collapsed="false">
      <c r="A3633" s="31"/>
      <c r="B3633" s="32"/>
      <c r="C3633" s="32"/>
      <c r="D3633" s="32"/>
      <c r="E3633" s="32"/>
      <c r="F3633" s="32"/>
      <c r="G3633" s="33"/>
      <c r="H3633" s="33"/>
      <c r="I3633" s="34" t="str">
        <f aca="false">IF($A3633="","",$G3633-$H3633)</f>
        <v/>
      </c>
      <c r="J3633" s="35" t="str">
        <f aca="false">IF($A3633="","",IF(Setup!$B$6=1,YEAR($A3633),YEAR($A3633)+IF(MONTH($A3633)&gt;=Setup!$B$6,1,0)))</f>
        <v/>
      </c>
      <c r="K3633" s="35" t="str">
        <f aca="false">IF($A3633="","",MOD(MONTH($A3633)-Setup!$B$6+12,12)+1)</f>
        <v/>
      </c>
      <c r="L3633" s="36" t="str">
        <f aca="false">IF($A3633="","",TEXT($A3633,"MMM-YY"))</f>
        <v/>
      </c>
      <c r="M3633" s="37" t="str">
        <f aca="false">IF($A3633="","",IF($Q3633=0,"UNMAPPED",INDEX(COA_Mapping!$C$7:$C$256,$Q3633)))</f>
        <v/>
      </c>
      <c r="N3633" s="38" t="str">
        <f aca="false">IF($A3633="","",IF($Q3633=0,"",INDEX(COA_Mapping!$E$7:$E$256,$Q3633)))</f>
        <v/>
      </c>
      <c r="O3633" s="38" t="n">
        <f aca="false">IF($A3633="",1,IF($Q3633=0,1,INDEX(COA_Mapping!$F$7:$F$256,$Q3633)))</f>
        <v>1</v>
      </c>
      <c r="P3633" s="34" t="str">
        <f aca="false">IF($A3633="","",$I3633*$O3633)</f>
        <v/>
      </c>
      <c r="Q3633" s="39" t="n">
        <f aca="false">IF($B3633="",0,IFERROR(MATCH($B3633,COA_Mapping!$A$7:$A$256,0),0))</f>
        <v>0</v>
      </c>
      <c r="R3633" s="39" t="n">
        <f aca="false">IF($A3633="",-1,IF($J3633=Setup!$B$7,1,IF($J3633=Setup!$B$9,0,-1)))</f>
        <v>-1</v>
      </c>
      <c r="S3633" s="35" t="n">
        <f aca="false">IF(OR($A3633="",$Q3633=0,$R3633=-1),0,$Q3633*1000+$R3633*100+$K3633)</f>
        <v>0</v>
      </c>
      <c r="T3633" s="37" t="str">
        <f aca="false">IF($A3633="","",IF($B3633="","NO ACCOUNT",IF($Q3633=0,"UNMAPPED",IF($R3633=-1,"OUTSIDE FY RANGE","OK"))))</f>
        <v/>
      </c>
      <c r="U3633" s="40" t="str">
        <f aca="false">IF($A3633="","",$B3633&amp;"|"&amp;TEXT($A3633,"yyyymmdd")&amp;"|"&amp;TEXT($I3633,"0.00"))</f>
        <v/>
      </c>
      <c r="V3633" s="35" t="str">
        <f aca="false">IF($A3633="","",COUNTIF($U$8:$U$5007,$U3633))</f>
        <v/>
      </c>
    </row>
    <row r="3634" customFormat="false" ht="15" hidden="false" customHeight="false" outlineLevel="0" collapsed="false">
      <c r="A3634" s="31"/>
      <c r="B3634" s="32"/>
      <c r="C3634" s="32"/>
      <c r="D3634" s="32"/>
      <c r="E3634" s="32"/>
      <c r="F3634" s="32"/>
      <c r="G3634" s="33"/>
      <c r="H3634" s="33"/>
      <c r="I3634" s="34" t="str">
        <f aca="false">IF($A3634="","",$G3634-$H3634)</f>
        <v/>
      </c>
      <c r="J3634" s="35" t="str">
        <f aca="false">IF($A3634="","",IF(Setup!$B$6=1,YEAR($A3634),YEAR($A3634)+IF(MONTH($A3634)&gt;=Setup!$B$6,1,0)))</f>
        <v/>
      </c>
      <c r="K3634" s="35" t="str">
        <f aca="false">IF($A3634="","",MOD(MONTH($A3634)-Setup!$B$6+12,12)+1)</f>
        <v/>
      </c>
      <c r="L3634" s="36" t="str">
        <f aca="false">IF($A3634="","",TEXT($A3634,"MMM-YY"))</f>
        <v/>
      </c>
      <c r="M3634" s="37" t="str">
        <f aca="false">IF($A3634="","",IF($Q3634=0,"UNMAPPED",INDEX(COA_Mapping!$C$7:$C$256,$Q3634)))</f>
        <v/>
      </c>
      <c r="N3634" s="38" t="str">
        <f aca="false">IF($A3634="","",IF($Q3634=0,"",INDEX(COA_Mapping!$E$7:$E$256,$Q3634)))</f>
        <v/>
      </c>
      <c r="O3634" s="38" t="n">
        <f aca="false">IF($A3634="",1,IF($Q3634=0,1,INDEX(COA_Mapping!$F$7:$F$256,$Q3634)))</f>
        <v>1</v>
      </c>
      <c r="P3634" s="34" t="str">
        <f aca="false">IF($A3634="","",$I3634*$O3634)</f>
        <v/>
      </c>
      <c r="Q3634" s="39" t="n">
        <f aca="false">IF($B3634="",0,IFERROR(MATCH($B3634,COA_Mapping!$A$7:$A$256,0),0))</f>
        <v>0</v>
      </c>
      <c r="R3634" s="39" t="n">
        <f aca="false">IF($A3634="",-1,IF($J3634=Setup!$B$7,1,IF($J3634=Setup!$B$9,0,-1)))</f>
        <v>-1</v>
      </c>
      <c r="S3634" s="35" t="n">
        <f aca="false">IF(OR($A3634="",$Q3634=0,$R3634=-1),0,$Q3634*1000+$R3634*100+$K3634)</f>
        <v>0</v>
      </c>
      <c r="T3634" s="37" t="str">
        <f aca="false">IF($A3634="","",IF($B3634="","NO ACCOUNT",IF($Q3634=0,"UNMAPPED",IF($R3634=-1,"OUTSIDE FY RANGE","OK"))))</f>
        <v/>
      </c>
      <c r="U3634" s="40" t="str">
        <f aca="false">IF($A3634="","",$B3634&amp;"|"&amp;TEXT($A3634,"yyyymmdd")&amp;"|"&amp;TEXT($I3634,"0.00"))</f>
        <v/>
      </c>
      <c r="V3634" s="35" t="str">
        <f aca="false">IF($A3634="","",COUNTIF($U$8:$U$5007,$U3634))</f>
        <v/>
      </c>
    </row>
    <row r="3635" customFormat="false" ht="15" hidden="false" customHeight="false" outlineLevel="0" collapsed="false">
      <c r="A3635" s="31"/>
      <c r="B3635" s="32"/>
      <c r="C3635" s="32"/>
      <c r="D3635" s="32"/>
      <c r="E3635" s="32"/>
      <c r="F3635" s="32"/>
      <c r="G3635" s="33"/>
      <c r="H3635" s="33"/>
      <c r="I3635" s="34" t="str">
        <f aca="false">IF($A3635="","",$G3635-$H3635)</f>
        <v/>
      </c>
      <c r="J3635" s="35" t="str">
        <f aca="false">IF($A3635="","",IF(Setup!$B$6=1,YEAR($A3635),YEAR($A3635)+IF(MONTH($A3635)&gt;=Setup!$B$6,1,0)))</f>
        <v/>
      </c>
      <c r="K3635" s="35" t="str">
        <f aca="false">IF($A3635="","",MOD(MONTH($A3635)-Setup!$B$6+12,12)+1)</f>
        <v/>
      </c>
      <c r="L3635" s="36" t="str">
        <f aca="false">IF($A3635="","",TEXT($A3635,"MMM-YY"))</f>
        <v/>
      </c>
      <c r="M3635" s="37" t="str">
        <f aca="false">IF($A3635="","",IF($Q3635=0,"UNMAPPED",INDEX(COA_Mapping!$C$7:$C$256,$Q3635)))</f>
        <v/>
      </c>
      <c r="N3635" s="38" t="str">
        <f aca="false">IF($A3635="","",IF($Q3635=0,"",INDEX(COA_Mapping!$E$7:$E$256,$Q3635)))</f>
        <v/>
      </c>
      <c r="O3635" s="38" t="n">
        <f aca="false">IF($A3635="",1,IF($Q3635=0,1,INDEX(COA_Mapping!$F$7:$F$256,$Q3635)))</f>
        <v>1</v>
      </c>
      <c r="P3635" s="34" t="str">
        <f aca="false">IF($A3635="","",$I3635*$O3635)</f>
        <v/>
      </c>
      <c r="Q3635" s="39" t="n">
        <f aca="false">IF($B3635="",0,IFERROR(MATCH($B3635,COA_Mapping!$A$7:$A$256,0),0))</f>
        <v>0</v>
      </c>
      <c r="R3635" s="39" t="n">
        <f aca="false">IF($A3635="",-1,IF($J3635=Setup!$B$7,1,IF($J3635=Setup!$B$9,0,-1)))</f>
        <v>-1</v>
      </c>
      <c r="S3635" s="35" t="n">
        <f aca="false">IF(OR($A3635="",$Q3635=0,$R3635=-1),0,$Q3635*1000+$R3635*100+$K3635)</f>
        <v>0</v>
      </c>
      <c r="T3635" s="37" t="str">
        <f aca="false">IF($A3635="","",IF($B3635="","NO ACCOUNT",IF($Q3635=0,"UNMAPPED",IF($R3635=-1,"OUTSIDE FY RANGE","OK"))))</f>
        <v/>
      </c>
      <c r="U3635" s="40" t="str">
        <f aca="false">IF($A3635="","",$B3635&amp;"|"&amp;TEXT($A3635,"yyyymmdd")&amp;"|"&amp;TEXT($I3635,"0.00"))</f>
        <v/>
      </c>
      <c r="V3635" s="35" t="str">
        <f aca="false">IF($A3635="","",COUNTIF($U$8:$U$5007,$U3635))</f>
        <v/>
      </c>
    </row>
    <row r="3636" customFormat="false" ht="15" hidden="false" customHeight="false" outlineLevel="0" collapsed="false">
      <c r="A3636" s="31"/>
      <c r="B3636" s="32"/>
      <c r="C3636" s="32"/>
      <c r="D3636" s="32"/>
      <c r="E3636" s="32"/>
      <c r="F3636" s="32"/>
      <c r="G3636" s="33"/>
      <c r="H3636" s="33"/>
      <c r="I3636" s="34" t="str">
        <f aca="false">IF($A3636="","",$G3636-$H3636)</f>
        <v/>
      </c>
      <c r="J3636" s="35" t="str">
        <f aca="false">IF($A3636="","",IF(Setup!$B$6=1,YEAR($A3636),YEAR($A3636)+IF(MONTH($A3636)&gt;=Setup!$B$6,1,0)))</f>
        <v/>
      </c>
      <c r="K3636" s="35" t="str">
        <f aca="false">IF($A3636="","",MOD(MONTH($A3636)-Setup!$B$6+12,12)+1)</f>
        <v/>
      </c>
      <c r="L3636" s="36" t="str">
        <f aca="false">IF($A3636="","",TEXT($A3636,"MMM-YY"))</f>
        <v/>
      </c>
      <c r="M3636" s="37" t="str">
        <f aca="false">IF($A3636="","",IF($Q3636=0,"UNMAPPED",INDEX(COA_Mapping!$C$7:$C$256,$Q3636)))</f>
        <v/>
      </c>
      <c r="N3636" s="38" t="str">
        <f aca="false">IF($A3636="","",IF($Q3636=0,"",INDEX(COA_Mapping!$E$7:$E$256,$Q3636)))</f>
        <v/>
      </c>
      <c r="O3636" s="38" t="n">
        <f aca="false">IF($A3636="",1,IF($Q3636=0,1,INDEX(COA_Mapping!$F$7:$F$256,$Q3636)))</f>
        <v>1</v>
      </c>
      <c r="P3636" s="34" t="str">
        <f aca="false">IF($A3636="","",$I3636*$O3636)</f>
        <v/>
      </c>
      <c r="Q3636" s="39" t="n">
        <f aca="false">IF($B3636="",0,IFERROR(MATCH($B3636,COA_Mapping!$A$7:$A$256,0),0))</f>
        <v>0</v>
      </c>
      <c r="R3636" s="39" t="n">
        <f aca="false">IF($A3636="",-1,IF($J3636=Setup!$B$7,1,IF($J3636=Setup!$B$9,0,-1)))</f>
        <v>-1</v>
      </c>
      <c r="S3636" s="35" t="n">
        <f aca="false">IF(OR($A3636="",$Q3636=0,$R3636=-1),0,$Q3636*1000+$R3636*100+$K3636)</f>
        <v>0</v>
      </c>
      <c r="T3636" s="37" t="str">
        <f aca="false">IF($A3636="","",IF($B3636="","NO ACCOUNT",IF($Q3636=0,"UNMAPPED",IF($R3636=-1,"OUTSIDE FY RANGE","OK"))))</f>
        <v/>
      </c>
      <c r="U3636" s="40" t="str">
        <f aca="false">IF($A3636="","",$B3636&amp;"|"&amp;TEXT($A3636,"yyyymmdd")&amp;"|"&amp;TEXT($I3636,"0.00"))</f>
        <v/>
      </c>
      <c r="V3636" s="35" t="str">
        <f aca="false">IF($A3636="","",COUNTIF($U$8:$U$5007,$U3636))</f>
        <v/>
      </c>
    </row>
    <row r="3637" customFormat="false" ht="15" hidden="false" customHeight="false" outlineLevel="0" collapsed="false">
      <c r="A3637" s="31"/>
      <c r="B3637" s="32"/>
      <c r="C3637" s="32"/>
      <c r="D3637" s="32"/>
      <c r="E3637" s="32"/>
      <c r="F3637" s="32"/>
      <c r="G3637" s="33"/>
      <c r="H3637" s="33"/>
      <c r="I3637" s="34" t="str">
        <f aca="false">IF($A3637="","",$G3637-$H3637)</f>
        <v/>
      </c>
      <c r="J3637" s="35" t="str">
        <f aca="false">IF($A3637="","",IF(Setup!$B$6=1,YEAR($A3637),YEAR($A3637)+IF(MONTH($A3637)&gt;=Setup!$B$6,1,0)))</f>
        <v/>
      </c>
      <c r="K3637" s="35" t="str">
        <f aca="false">IF($A3637="","",MOD(MONTH($A3637)-Setup!$B$6+12,12)+1)</f>
        <v/>
      </c>
      <c r="L3637" s="36" t="str">
        <f aca="false">IF($A3637="","",TEXT($A3637,"MMM-YY"))</f>
        <v/>
      </c>
      <c r="M3637" s="37" t="str">
        <f aca="false">IF($A3637="","",IF($Q3637=0,"UNMAPPED",INDEX(COA_Mapping!$C$7:$C$256,$Q3637)))</f>
        <v/>
      </c>
      <c r="N3637" s="38" t="str">
        <f aca="false">IF($A3637="","",IF($Q3637=0,"",INDEX(COA_Mapping!$E$7:$E$256,$Q3637)))</f>
        <v/>
      </c>
      <c r="O3637" s="38" t="n">
        <f aca="false">IF($A3637="",1,IF($Q3637=0,1,INDEX(COA_Mapping!$F$7:$F$256,$Q3637)))</f>
        <v>1</v>
      </c>
      <c r="P3637" s="34" t="str">
        <f aca="false">IF($A3637="","",$I3637*$O3637)</f>
        <v/>
      </c>
      <c r="Q3637" s="39" t="n">
        <f aca="false">IF($B3637="",0,IFERROR(MATCH($B3637,COA_Mapping!$A$7:$A$256,0),0))</f>
        <v>0</v>
      </c>
      <c r="R3637" s="39" t="n">
        <f aca="false">IF($A3637="",-1,IF($J3637=Setup!$B$7,1,IF($J3637=Setup!$B$9,0,-1)))</f>
        <v>-1</v>
      </c>
      <c r="S3637" s="35" t="n">
        <f aca="false">IF(OR($A3637="",$Q3637=0,$R3637=-1),0,$Q3637*1000+$R3637*100+$K3637)</f>
        <v>0</v>
      </c>
      <c r="T3637" s="37" t="str">
        <f aca="false">IF($A3637="","",IF($B3637="","NO ACCOUNT",IF($Q3637=0,"UNMAPPED",IF($R3637=-1,"OUTSIDE FY RANGE","OK"))))</f>
        <v/>
      </c>
      <c r="U3637" s="40" t="str">
        <f aca="false">IF($A3637="","",$B3637&amp;"|"&amp;TEXT($A3637,"yyyymmdd")&amp;"|"&amp;TEXT($I3637,"0.00"))</f>
        <v/>
      </c>
      <c r="V3637" s="35" t="str">
        <f aca="false">IF($A3637="","",COUNTIF($U$8:$U$5007,$U3637))</f>
        <v/>
      </c>
    </row>
    <row r="3638" customFormat="false" ht="15" hidden="false" customHeight="false" outlineLevel="0" collapsed="false">
      <c r="A3638" s="31"/>
      <c r="B3638" s="32"/>
      <c r="C3638" s="32"/>
      <c r="D3638" s="32"/>
      <c r="E3638" s="32"/>
      <c r="F3638" s="32"/>
      <c r="G3638" s="33"/>
      <c r="H3638" s="33"/>
      <c r="I3638" s="34" t="str">
        <f aca="false">IF($A3638="","",$G3638-$H3638)</f>
        <v/>
      </c>
      <c r="J3638" s="35" t="str">
        <f aca="false">IF($A3638="","",IF(Setup!$B$6=1,YEAR($A3638),YEAR($A3638)+IF(MONTH($A3638)&gt;=Setup!$B$6,1,0)))</f>
        <v/>
      </c>
      <c r="K3638" s="35" t="str">
        <f aca="false">IF($A3638="","",MOD(MONTH($A3638)-Setup!$B$6+12,12)+1)</f>
        <v/>
      </c>
      <c r="L3638" s="36" t="str">
        <f aca="false">IF($A3638="","",TEXT($A3638,"MMM-YY"))</f>
        <v/>
      </c>
      <c r="M3638" s="37" t="str">
        <f aca="false">IF($A3638="","",IF($Q3638=0,"UNMAPPED",INDEX(COA_Mapping!$C$7:$C$256,$Q3638)))</f>
        <v/>
      </c>
      <c r="N3638" s="38" t="str">
        <f aca="false">IF($A3638="","",IF($Q3638=0,"",INDEX(COA_Mapping!$E$7:$E$256,$Q3638)))</f>
        <v/>
      </c>
      <c r="O3638" s="38" t="n">
        <f aca="false">IF($A3638="",1,IF($Q3638=0,1,INDEX(COA_Mapping!$F$7:$F$256,$Q3638)))</f>
        <v>1</v>
      </c>
      <c r="P3638" s="34" t="str">
        <f aca="false">IF($A3638="","",$I3638*$O3638)</f>
        <v/>
      </c>
      <c r="Q3638" s="39" t="n">
        <f aca="false">IF($B3638="",0,IFERROR(MATCH($B3638,COA_Mapping!$A$7:$A$256,0),0))</f>
        <v>0</v>
      </c>
      <c r="R3638" s="39" t="n">
        <f aca="false">IF($A3638="",-1,IF($J3638=Setup!$B$7,1,IF($J3638=Setup!$B$9,0,-1)))</f>
        <v>-1</v>
      </c>
      <c r="S3638" s="35" t="n">
        <f aca="false">IF(OR($A3638="",$Q3638=0,$R3638=-1),0,$Q3638*1000+$R3638*100+$K3638)</f>
        <v>0</v>
      </c>
      <c r="T3638" s="37" t="str">
        <f aca="false">IF($A3638="","",IF($B3638="","NO ACCOUNT",IF($Q3638=0,"UNMAPPED",IF($R3638=-1,"OUTSIDE FY RANGE","OK"))))</f>
        <v/>
      </c>
      <c r="U3638" s="40" t="str">
        <f aca="false">IF($A3638="","",$B3638&amp;"|"&amp;TEXT($A3638,"yyyymmdd")&amp;"|"&amp;TEXT($I3638,"0.00"))</f>
        <v/>
      </c>
      <c r="V3638" s="35" t="str">
        <f aca="false">IF($A3638="","",COUNTIF($U$8:$U$5007,$U3638))</f>
        <v/>
      </c>
    </row>
    <row r="3639" customFormat="false" ht="15" hidden="false" customHeight="false" outlineLevel="0" collapsed="false">
      <c r="A3639" s="31"/>
      <c r="B3639" s="32"/>
      <c r="C3639" s="32"/>
      <c r="D3639" s="32"/>
      <c r="E3639" s="32"/>
      <c r="F3639" s="32"/>
      <c r="G3639" s="33"/>
      <c r="H3639" s="33"/>
      <c r="I3639" s="34" t="str">
        <f aca="false">IF($A3639="","",$G3639-$H3639)</f>
        <v/>
      </c>
      <c r="J3639" s="35" t="str">
        <f aca="false">IF($A3639="","",IF(Setup!$B$6=1,YEAR($A3639),YEAR($A3639)+IF(MONTH($A3639)&gt;=Setup!$B$6,1,0)))</f>
        <v/>
      </c>
      <c r="K3639" s="35" t="str">
        <f aca="false">IF($A3639="","",MOD(MONTH($A3639)-Setup!$B$6+12,12)+1)</f>
        <v/>
      </c>
      <c r="L3639" s="36" t="str">
        <f aca="false">IF($A3639="","",TEXT($A3639,"MMM-YY"))</f>
        <v/>
      </c>
      <c r="M3639" s="37" t="str">
        <f aca="false">IF($A3639="","",IF($Q3639=0,"UNMAPPED",INDEX(COA_Mapping!$C$7:$C$256,$Q3639)))</f>
        <v/>
      </c>
      <c r="N3639" s="38" t="str">
        <f aca="false">IF($A3639="","",IF($Q3639=0,"",INDEX(COA_Mapping!$E$7:$E$256,$Q3639)))</f>
        <v/>
      </c>
      <c r="O3639" s="38" t="n">
        <f aca="false">IF($A3639="",1,IF($Q3639=0,1,INDEX(COA_Mapping!$F$7:$F$256,$Q3639)))</f>
        <v>1</v>
      </c>
      <c r="P3639" s="34" t="str">
        <f aca="false">IF($A3639="","",$I3639*$O3639)</f>
        <v/>
      </c>
      <c r="Q3639" s="39" t="n">
        <f aca="false">IF($B3639="",0,IFERROR(MATCH($B3639,COA_Mapping!$A$7:$A$256,0),0))</f>
        <v>0</v>
      </c>
      <c r="R3639" s="39" t="n">
        <f aca="false">IF($A3639="",-1,IF($J3639=Setup!$B$7,1,IF($J3639=Setup!$B$9,0,-1)))</f>
        <v>-1</v>
      </c>
      <c r="S3639" s="35" t="n">
        <f aca="false">IF(OR($A3639="",$Q3639=0,$R3639=-1),0,$Q3639*1000+$R3639*100+$K3639)</f>
        <v>0</v>
      </c>
      <c r="T3639" s="37" t="str">
        <f aca="false">IF($A3639="","",IF($B3639="","NO ACCOUNT",IF($Q3639=0,"UNMAPPED",IF($R3639=-1,"OUTSIDE FY RANGE","OK"))))</f>
        <v/>
      </c>
      <c r="U3639" s="40" t="str">
        <f aca="false">IF($A3639="","",$B3639&amp;"|"&amp;TEXT($A3639,"yyyymmdd")&amp;"|"&amp;TEXT($I3639,"0.00"))</f>
        <v/>
      </c>
      <c r="V3639" s="35" t="str">
        <f aca="false">IF($A3639="","",COUNTIF($U$8:$U$5007,$U3639))</f>
        <v/>
      </c>
    </row>
    <row r="3640" customFormat="false" ht="15" hidden="false" customHeight="false" outlineLevel="0" collapsed="false">
      <c r="A3640" s="31"/>
      <c r="B3640" s="32"/>
      <c r="C3640" s="32"/>
      <c r="D3640" s="32"/>
      <c r="E3640" s="32"/>
      <c r="F3640" s="32"/>
      <c r="G3640" s="33"/>
      <c r="H3640" s="33"/>
      <c r="I3640" s="34" t="str">
        <f aca="false">IF($A3640="","",$G3640-$H3640)</f>
        <v/>
      </c>
      <c r="J3640" s="35" t="str">
        <f aca="false">IF($A3640="","",IF(Setup!$B$6=1,YEAR($A3640),YEAR($A3640)+IF(MONTH($A3640)&gt;=Setup!$B$6,1,0)))</f>
        <v/>
      </c>
      <c r="K3640" s="35" t="str">
        <f aca="false">IF($A3640="","",MOD(MONTH($A3640)-Setup!$B$6+12,12)+1)</f>
        <v/>
      </c>
      <c r="L3640" s="36" t="str">
        <f aca="false">IF($A3640="","",TEXT($A3640,"MMM-YY"))</f>
        <v/>
      </c>
      <c r="M3640" s="37" t="str">
        <f aca="false">IF($A3640="","",IF($Q3640=0,"UNMAPPED",INDEX(COA_Mapping!$C$7:$C$256,$Q3640)))</f>
        <v/>
      </c>
      <c r="N3640" s="38" t="str">
        <f aca="false">IF($A3640="","",IF($Q3640=0,"",INDEX(COA_Mapping!$E$7:$E$256,$Q3640)))</f>
        <v/>
      </c>
      <c r="O3640" s="38" t="n">
        <f aca="false">IF($A3640="",1,IF($Q3640=0,1,INDEX(COA_Mapping!$F$7:$F$256,$Q3640)))</f>
        <v>1</v>
      </c>
      <c r="P3640" s="34" t="str">
        <f aca="false">IF($A3640="","",$I3640*$O3640)</f>
        <v/>
      </c>
      <c r="Q3640" s="39" t="n">
        <f aca="false">IF($B3640="",0,IFERROR(MATCH($B3640,COA_Mapping!$A$7:$A$256,0),0))</f>
        <v>0</v>
      </c>
      <c r="R3640" s="39" t="n">
        <f aca="false">IF($A3640="",-1,IF($J3640=Setup!$B$7,1,IF($J3640=Setup!$B$9,0,-1)))</f>
        <v>-1</v>
      </c>
      <c r="S3640" s="35" t="n">
        <f aca="false">IF(OR($A3640="",$Q3640=0,$R3640=-1),0,$Q3640*1000+$R3640*100+$K3640)</f>
        <v>0</v>
      </c>
      <c r="T3640" s="37" t="str">
        <f aca="false">IF($A3640="","",IF($B3640="","NO ACCOUNT",IF($Q3640=0,"UNMAPPED",IF($R3640=-1,"OUTSIDE FY RANGE","OK"))))</f>
        <v/>
      </c>
      <c r="U3640" s="40" t="str">
        <f aca="false">IF($A3640="","",$B3640&amp;"|"&amp;TEXT($A3640,"yyyymmdd")&amp;"|"&amp;TEXT($I3640,"0.00"))</f>
        <v/>
      </c>
      <c r="V3640" s="35" t="str">
        <f aca="false">IF($A3640="","",COUNTIF($U$8:$U$5007,$U3640))</f>
        <v/>
      </c>
    </row>
    <row r="3641" customFormat="false" ht="15" hidden="false" customHeight="false" outlineLevel="0" collapsed="false">
      <c r="A3641" s="31"/>
      <c r="B3641" s="32"/>
      <c r="C3641" s="32"/>
      <c r="D3641" s="32"/>
      <c r="E3641" s="32"/>
      <c r="F3641" s="32"/>
      <c r="G3641" s="33"/>
      <c r="H3641" s="33"/>
      <c r="I3641" s="34" t="str">
        <f aca="false">IF($A3641="","",$G3641-$H3641)</f>
        <v/>
      </c>
      <c r="J3641" s="35" t="str">
        <f aca="false">IF($A3641="","",IF(Setup!$B$6=1,YEAR($A3641),YEAR($A3641)+IF(MONTH($A3641)&gt;=Setup!$B$6,1,0)))</f>
        <v/>
      </c>
      <c r="K3641" s="35" t="str">
        <f aca="false">IF($A3641="","",MOD(MONTH($A3641)-Setup!$B$6+12,12)+1)</f>
        <v/>
      </c>
      <c r="L3641" s="36" t="str">
        <f aca="false">IF($A3641="","",TEXT($A3641,"MMM-YY"))</f>
        <v/>
      </c>
      <c r="M3641" s="37" t="str">
        <f aca="false">IF($A3641="","",IF($Q3641=0,"UNMAPPED",INDEX(COA_Mapping!$C$7:$C$256,$Q3641)))</f>
        <v/>
      </c>
      <c r="N3641" s="38" t="str">
        <f aca="false">IF($A3641="","",IF($Q3641=0,"",INDEX(COA_Mapping!$E$7:$E$256,$Q3641)))</f>
        <v/>
      </c>
      <c r="O3641" s="38" t="n">
        <f aca="false">IF($A3641="",1,IF($Q3641=0,1,INDEX(COA_Mapping!$F$7:$F$256,$Q3641)))</f>
        <v>1</v>
      </c>
      <c r="P3641" s="34" t="str">
        <f aca="false">IF($A3641="","",$I3641*$O3641)</f>
        <v/>
      </c>
      <c r="Q3641" s="39" t="n">
        <f aca="false">IF($B3641="",0,IFERROR(MATCH($B3641,COA_Mapping!$A$7:$A$256,0),0))</f>
        <v>0</v>
      </c>
      <c r="R3641" s="39" t="n">
        <f aca="false">IF($A3641="",-1,IF($J3641=Setup!$B$7,1,IF($J3641=Setup!$B$9,0,-1)))</f>
        <v>-1</v>
      </c>
      <c r="S3641" s="35" t="n">
        <f aca="false">IF(OR($A3641="",$Q3641=0,$R3641=-1),0,$Q3641*1000+$R3641*100+$K3641)</f>
        <v>0</v>
      </c>
      <c r="T3641" s="37" t="str">
        <f aca="false">IF($A3641="","",IF($B3641="","NO ACCOUNT",IF($Q3641=0,"UNMAPPED",IF($R3641=-1,"OUTSIDE FY RANGE","OK"))))</f>
        <v/>
      </c>
      <c r="U3641" s="40" t="str">
        <f aca="false">IF($A3641="","",$B3641&amp;"|"&amp;TEXT($A3641,"yyyymmdd")&amp;"|"&amp;TEXT($I3641,"0.00"))</f>
        <v/>
      </c>
      <c r="V3641" s="35" t="str">
        <f aca="false">IF($A3641="","",COUNTIF($U$8:$U$5007,$U3641))</f>
        <v/>
      </c>
    </row>
    <row r="3642" customFormat="false" ht="15" hidden="false" customHeight="false" outlineLevel="0" collapsed="false">
      <c r="A3642" s="31"/>
      <c r="B3642" s="32"/>
      <c r="C3642" s="32"/>
      <c r="D3642" s="32"/>
      <c r="E3642" s="32"/>
      <c r="F3642" s="32"/>
      <c r="G3642" s="33"/>
      <c r="H3642" s="33"/>
      <c r="I3642" s="34" t="str">
        <f aca="false">IF($A3642="","",$G3642-$H3642)</f>
        <v/>
      </c>
      <c r="J3642" s="35" t="str">
        <f aca="false">IF($A3642="","",IF(Setup!$B$6=1,YEAR($A3642),YEAR($A3642)+IF(MONTH($A3642)&gt;=Setup!$B$6,1,0)))</f>
        <v/>
      </c>
      <c r="K3642" s="35" t="str">
        <f aca="false">IF($A3642="","",MOD(MONTH($A3642)-Setup!$B$6+12,12)+1)</f>
        <v/>
      </c>
      <c r="L3642" s="36" t="str">
        <f aca="false">IF($A3642="","",TEXT($A3642,"MMM-YY"))</f>
        <v/>
      </c>
      <c r="M3642" s="37" t="str">
        <f aca="false">IF($A3642="","",IF($Q3642=0,"UNMAPPED",INDEX(COA_Mapping!$C$7:$C$256,$Q3642)))</f>
        <v/>
      </c>
      <c r="N3642" s="38" t="str">
        <f aca="false">IF($A3642="","",IF($Q3642=0,"",INDEX(COA_Mapping!$E$7:$E$256,$Q3642)))</f>
        <v/>
      </c>
      <c r="O3642" s="38" t="n">
        <f aca="false">IF($A3642="",1,IF($Q3642=0,1,INDEX(COA_Mapping!$F$7:$F$256,$Q3642)))</f>
        <v>1</v>
      </c>
      <c r="P3642" s="34" t="str">
        <f aca="false">IF($A3642="","",$I3642*$O3642)</f>
        <v/>
      </c>
      <c r="Q3642" s="39" t="n">
        <f aca="false">IF($B3642="",0,IFERROR(MATCH($B3642,COA_Mapping!$A$7:$A$256,0),0))</f>
        <v>0</v>
      </c>
      <c r="R3642" s="39" t="n">
        <f aca="false">IF($A3642="",-1,IF($J3642=Setup!$B$7,1,IF($J3642=Setup!$B$9,0,-1)))</f>
        <v>-1</v>
      </c>
      <c r="S3642" s="35" t="n">
        <f aca="false">IF(OR($A3642="",$Q3642=0,$R3642=-1),0,$Q3642*1000+$R3642*100+$K3642)</f>
        <v>0</v>
      </c>
      <c r="T3642" s="37" t="str">
        <f aca="false">IF($A3642="","",IF($B3642="","NO ACCOUNT",IF($Q3642=0,"UNMAPPED",IF($R3642=-1,"OUTSIDE FY RANGE","OK"))))</f>
        <v/>
      </c>
      <c r="U3642" s="40" t="str">
        <f aca="false">IF($A3642="","",$B3642&amp;"|"&amp;TEXT($A3642,"yyyymmdd")&amp;"|"&amp;TEXT($I3642,"0.00"))</f>
        <v/>
      </c>
      <c r="V3642" s="35" t="str">
        <f aca="false">IF($A3642="","",COUNTIF($U$8:$U$5007,$U3642))</f>
        <v/>
      </c>
    </row>
    <row r="3643" customFormat="false" ht="15" hidden="false" customHeight="false" outlineLevel="0" collapsed="false">
      <c r="A3643" s="31"/>
      <c r="B3643" s="32"/>
      <c r="C3643" s="32"/>
      <c r="D3643" s="32"/>
      <c r="E3643" s="32"/>
      <c r="F3643" s="32"/>
      <c r="G3643" s="33"/>
      <c r="H3643" s="33"/>
      <c r="I3643" s="34" t="str">
        <f aca="false">IF($A3643="","",$G3643-$H3643)</f>
        <v/>
      </c>
      <c r="J3643" s="35" t="str">
        <f aca="false">IF($A3643="","",IF(Setup!$B$6=1,YEAR($A3643),YEAR($A3643)+IF(MONTH($A3643)&gt;=Setup!$B$6,1,0)))</f>
        <v/>
      </c>
      <c r="K3643" s="35" t="str">
        <f aca="false">IF($A3643="","",MOD(MONTH($A3643)-Setup!$B$6+12,12)+1)</f>
        <v/>
      </c>
      <c r="L3643" s="36" t="str">
        <f aca="false">IF($A3643="","",TEXT($A3643,"MMM-YY"))</f>
        <v/>
      </c>
      <c r="M3643" s="37" t="str">
        <f aca="false">IF($A3643="","",IF($Q3643=0,"UNMAPPED",INDEX(COA_Mapping!$C$7:$C$256,$Q3643)))</f>
        <v/>
      </c>
      <c r="N3643" s="38" t="str">
        <f aca="false">IF($A3643="","",IF($Q3643=0,"",INDEX(COA_Mapping!$E$7:$E$256,$Q3643)))</f>
        <v/>
      </c>
      <c r="O3643" s="38" t="n">
        <f aca="false">IF($A3643="",1,IF($Q3643=0,1,INDEX(COA_Mapping!$F$7:$F$256,$Q3643)))</f>
        <v>1</v>
      </c>
      <c r="P3643" s="34" t="str">
        <f aca="false">IF($A3643="","",$I3643*$O3643)</f>
        <v/>
      </c>
      <c r="Q3643" s="39" t="n">
        <f aca="false">IF($B3643="",0,IFERROR(MATCH($B3643,COA_Mapping!$A$7:$A$256,0),0))</f>
        <v>0</v>
      </c>
      <c r="R3643" s="39" t="n">
        <f aca="false">IF($A3643="",-1,IF($J3643=Setup!$B$7,1,IF($J3643=Setup!$B$9,0,-1)))</f>
        <v>-1</v>
      </c>
      <c r="S3643" s="35" t="n">
        <f aca="false">IF(OR($A3643="",$Q3643=0,$R3643=-1),0,$Q3643*1000+$R3643*100+$K3643)</f>
        <v>0</v>
      </c>
      <c r="T3643" s="37" t="str">
        <f aca="false">IF($A3643="","",IF($B3643="","NO ACCOUNT",IF($Q3643=0,"UNMAPPED",IF($R3643=-1,"OUTSIDE FY RANGE","OK"))))</f>
        <v/>
      </c>
      <c r="U3643" s="40" t="str">
        <f aca="false">IF($A3643="","",$B3643&amp;"|"&amp;TEXT($A3643,"yyyymmdd")&amp;"|"&amp;TEXT($I3643,"0.00"))</f>
        <v/>
      </c>
      <c r="V3643" s="35" t="str">
        <f aca="false">IF($A3643="","",COUNTIF($U$8:$U$5007,$U3643))</f>
        <v/>
      </c>
    </row>
    <row r="3644" customFormat="false" ht="15" hidden="false" customHeight="false" outlineLevel="0" collapsed="false">
      <c r="A3644" s="31"/>
      <c r="B3644" s="32"/>
      <c r="C3644" s="32"/>
      <c r="D3644" s="32"/>
      <c r="E3644" s="32"/>
      <c r="F3644" s="32"/>
      <c r="G3644" s="33"/>
      <c r="H3644" s="33"/>
      <c r="I3644" s="34" t="str">
        <f aca="false">IF($A3644="","",$G3644-$H3644)</f>
        <v/>
      </c>
      <c r="J3644" s="35" t="str">
        <f aca="false">IF($A3644="","",IF(Setup!$B$6=1,YEAR($A3644),YEAR($A3644)+IF(MONTH($A3644)&gt;=Setup!$B$6,1,0)))</f>
        <v/>
      </c>
      <c r="K3644" s="35" t="str">
        <f aca="false">IF($A3644="","",MOD(MONTH($A3644)-Setup!$B$6+12,12)+1)</f>
        <v/>
      </c>
      <c r="L3644" s="36" t="str">
        <f aca="false">IF($A3644="","",TEXT($A3644,"MMM-YY"))</f>
        <v/>
      </c>
      <c r="M3644" s="37" t="str">
        <f aca="false">IF($A3644="","",IF($Q3644=0,"UNMAPPED",INDEX(COA_Mapping!$C$7:$C$256,$Q3644)))</f>
        <v/>
      </c>
      <c r="N3644" s="38" t="str">
        <f aca="false">IF($A3644="","",IF($Q3644=0,"",INDEX(COA_Mapping!$E$7:$E$256,$Q3644)))</f>
        <v/>
      </c>
      <c r="O3644" s="38" t="n">
        <f aca="false">IF($A3644="",1,IF($Q3644=0,1,INDEX(COA_Mapping!$F$7:$F$256,$Q3644)))</f>
        <v>1</v>
      </c>
      <c r="P3644" s="34" t="str">
        <f aca="false">IF($A3644="","",$I3644*$O3644)</f>
        <v/>
      </c>
      <c r="Q3644" s="39" t="n">
        <f aca="false">IF($B3644="",0,IFERROR(MATCH($B3644,COA_Mapping!$A$7:$A$256,0),0))</f>
        <v>0</v>
      </c>
      <c r="R3644" s="39" t="n">
        <f aca="false">IF($A3644="",-1,IF($J3644=Setup!$B$7,1,IF($J3644=Setup!$B$9,0,-1)))</f>
        <v>-1</v>
      </c>
      <c r="S3644" s="35" t="n">
        <f aca="false">IF(OR($A3644="",$Q3644=0,$R3644=-1),0,$Q3644*1000+$R3644*100+$K3644)</f>
        <v>0</v>
      </c>
      <c r="T3644" s="37" t="str">
        <f aca="false">IF($A3644="","",IF($B3644="","NO ACCOUNT",IF($Q3644=0,"UNMAPPED",IF($R3644=-1,"OUTSIDE FY RANGE","OK"))))</f>
        <v/>
      </c>
      <c r="U3644" s="40" t="str">
        <f aca="false">IF($A3644="","",$B3644&amp;"|"&amp;TEXT($A3644,"yyyymmdd")&amp;"|"&amp;TEXT($I3644,"0.00"))</f>
        <v/>
      </c>
      <c r="V3644" s="35" t="str">
        <f aca="false">IF($A3644="","",COUNTIF($U$8:$U$5007,$U3644))</f>
        <v/>
      </c>
    </row>
    <row r="3645" customFormat="false" ht="15" hidden="false" customHeight="false" outlineLevel="0" collapsed="false">
      <c r="A3645" s="31"/>
      <c r="B3645" s="32"/>
      <c r="C3645" s="32"/>
      <c r="D3645" s="32"/>
      <c r="E3645" s="32"/>
      <c r="F3645" s="32"/>
      <c r="G3645" s="33"/>
      <c r="H3645" s="33"/>
      <c r="I3645" s="34" t="str">
        <f aca="false">IF($A3645="","",$G3645-$H3645)</f>
        <v/>
      </c>
      <c r="J3645" s="35" t="str">
        <f aca="false">IF($A3645="","",IF(Setup!$B$6=1,YEAR($A3645),YEAR($A3645)+IF(MONTH($A3645)&gt;=Setup!$B$6,1,0)))</f>
        <v/>
      </c>
      <c r="K3645" s="35" t="str">
        <f aca="false">IF($A3645="","",MOD(MONTH($A3645)-Setup!$B$6+12,12)+1)</f>
        <v/>
      </c>
      <c r="L3645" s="36" t="str">
        <f aca="false">IF($A3645="","",TEXT($A3645,"MMM-YY"))</f>
        <v/>
      </c>
      <c r="M3645" s="37" t="str">
        <f aca="false">IF($A3645="","",IF($Q3645=0,"UNMAPPED",INDEX(COA_Mapping!$C$7:$C$256,$Q3645)))</f>
        <v/>
      </c>
      <c r="N3645" s="38" t="str">
        <f aca="false">IF($A3645="","",IF($Q3645=0,"",INDEX(COA_Mapping!$E$7:$E$256,$Q3645)))</f>
        <v/>
      </c>
      <c r="O3645" s="38" t="n">
        <f aca="false">IF($A3645="",1,IF($Q3645=0,1,INDEX(COA_Mapping!$F$7:$F$256,$Q3645)))</f>
        <v>1</v>
      </c>
      <c r="P3645" s="34" t="str">
        <f aca="false">IF($A3645="","",$I3645*$O3645)</f>
        <v/>
      </c>
      <c r="Q3645" s="39" t="n">
        <f aca="false">IF($B3645="",0,IFERROR(MATCH($B3645,COA_Mapping!$A$7:$A$256,0),0))</f>
        <v>0</v>
      </c>
      <c r="R3645" s="39" t="n">
        <f aca="false">IF($A3645="",-1,IF($J3645=Setup!$B$7,1,IF($J3645=Setup!$B$9,0,-1)))</f>
        <v>-1</v>
      </c>
      <c r="S3645" s="35" t="n">
        <f aca="false">IF(OR($A3645="",$Q3645=0,$R3645=-1),0,$Q3645*1000+$R3645*100+$K3645)</f>
        <v>0</v>
      </c>
      <c r="T3645" s="37" t="str">
        <f aca="false">IF($A3645="","",IF($B3645="","NO ACCOUNT",IF($Q3645=0,"UNMAPPED",IF($R3645=-1,"OUTSIDE FY RANGE","OK"))))</f>
        <v/>
      </c>
      <c r="U3645" s="40" t="str">
        <f aca="false">IF($A3645="","",$B3645&amp;"|"&amp;TEXT($A3645,"yyyymmdd")&amp;"|"&amp;TEXT($I3645,"0.00"))</f>
        <v/>
      </c>
      <c r="V3645" s="35" t="str">
        <f aca="false">IF($A3645="","",COUNTIF($U$8:$U$5007,$U3645))</f>
        <v/>
      </c>
    </row>
    <row r="3646" customFormat="false" ht="15" hidden="false" customHeight="false" outlineLevel="0" collapsed="false">
      <c r="A3646" s="31"/>
      <c r="B3646" s="32"/>
      <c r="C3646" s="32"/>
      <c r="D3646" s="32"/>
      <c r="E3646" s="32"/>
      <c r="F3646" s="32"/>
      <c r="G3646" s="33"/>
      <c r="H3646" s="33"/>
      <c r="I3646" s="34" t="str">
        <f aca="false">IF($A3646="","",$G3646-$H3646)</f>
        <v/>
      </c>
      <c r="J3646" s="35" t="str">
        <f aca="false">IF($A3646="","",IF(Setup!$B$6=1,YEAR($A3646),YEAR($A3646)+IF(MONTH($A3646)&gt;=Setup!$B$6,1,0)))</f>
        <v/>
      </c>
      <c r="K3646" s="35" t="str">
        <f aca="false">IF($A3646="","",MOD(MONTH($A3646)-Setup!$B$6+12,12)+1)</f>
        <v/>
      </c>
      <c r="L3646" s="36" t="str">
        <f aca="false">IF($A3646="","",TEXT($A3646,"MMM-YY"))</f>
        <v/>
      </c>
      <c r="M3646" s="37" t="str">
        <f aca="false">IF($A3646="","",IF($Q3646=0,"UNMAPPED",INDEX(COA_Mapping!$C$7:$C$256,$Q3646)))</f>
        <v/>
      </c>
      <c r="N3646" s="38" t="str">
        <f aca="false">IF($A3646="","",IF($Q3646=0,"",INDEX(COA_Mapping!$E$7:$E$256,$Q3646)))</f>
        <v/>
      </c>
      <c r="O3646" s="38" t="n">
        <f aca="false">IF($A3646="",1,IF($Q3646=0,1,INDEX(COA_Mapping!$F$7:$F$256,$Q3646)))</f>
        <v>1</v>
      </c>
      <c r="P3646" s="34" t="str">
        <f aca="false">IF($A3646="","",$I3646*$O3646)</f>
        <v/>
      </c>
      <c r="Q3646" s="39" t="n">
        <f aca="false">IF($B3646="",0,IFERROR(MATCH($B3646,COA_Mapping!$A$7:$A$256,0),0))</f>
        <v>0</v>
      </c>
      <c r="R3646" s="39" t="n">
        <f aca="false">IF($A3646="",-1,IF($J3646=Setup!$B$7,1,IF($J3646=Setup!$B$9,0,-1)))</f>
        <v>-1</v>
      </c>
      <c r="S3646" s="35" t="n">
        <f aca="false">IF(OR($A3646="",$Q3646=0,$R3646=-1),0,$Q3646*1000+$R3646*100+$K3646)</f>
        <v>0</v>
      </c>
      <c r="T3646" s="37" t="str">
        <f aca="false">IF($A3646="","",IF($B3646="","NO ACCOUNT",IF($Q3646=0,"UNMAPPED",IF($R3646=-1,"OUTSIDE FY RANGE","OK"))))</f>
        <v/>
      </c>
      <c r="U3646" s="40" t="str">
        <f aca="false">IF($A3646="","",$B3646&amp;"|"&amp;TEXT($A3646,"yyyymmdd")&amp;"|"&amp;TEXT($I3646,"0.00"))</f>
        <v/>
      </c>
      <c r="V3646" s="35" t="str">
        <f aca="false">IF($A3646="","",COUNTIF($U$8:$U$5007,$U3646))</f>
        <v/>
      </c>
    </row>
    <row r="3647" customFormat="false" ht="15" hidden="false" customHeight="false" outlineLevel="0" collapsed="false">
      <c r="A3647" s="31"/>
      <c r="B3647" s="32"/>
      <c r="C3647" s="32"/>
      <c r="D3647" s="32"/>
      <c r="E3647" s="32"/>
      <c r="F3647" s="32"/>
      <c r="G3647" s="33"/>
      <c r="H3647" s="33"/>
      <c r="I3647" s="34" t="str">
        <f aca="false">IF($A3647="","",$G3647-$H3647)</f>
        <v/>
      </c>
      <c r="J3647" s="35" t="str">
        <f aca="false">IF($A3647="","",IF(Setup!$B$6=1,YEAR($A3647),YEAR($A3647)+IF(MONTH($A3647)&gt;=Setup!$B$6,1,0)))</f>
        <v/>
      </c>
      <c r="K3647" s="35" t="str">
        <f aca="false">IF($A3647="","",MOD(MONTH($A3647)-Setup!$B$6+12,12)+1)</f>
        <v/>
      </c>
      <c r="L3647" s="36" t="str">
        <f aca="false">IF($A3647="","",TEXT($A3647,"MMM-YY"))</f>
        <v/>
      </c>
      <c r="M3647" s="37" t="str">
        <f aca="false">IF($A3647="","",IF($Q3647=0,"UNMAPPED",INDEX(COA_Mapping!$C$7:$C$256,$Q3647)))</f>
        <v/>
      </c>
      <c r="N3647" s="38" t="str">
        <f aca="false">IF($A3647="","",IF($Q3647=0,"",INDEX(COA_Mapping!$E$7:$E$256,$Q3647)))</f>
        <v/>
      </c>
      <c r="O3647" s="38" t="n">
        <f aca="false">IF($A3647="",1,IF($Q3647=0,1,INDEX(COA_Mapping!$F$7:$F$256,$Q3647)))</f>
        <v>1</v>
      </c>
      <c r="P3647" s="34" t="str">
        <f aca="false">IF($A3647="","",$I3647*$O3647)</f>
        <v/>
      </c>
      <c r="Q3647" s="39" t="n">
        <f aca="false">IF($B3647="",0,IFERROR(MATCH($B3647,COA_Mapping!$A$7:$A$256,0),0))</f>
        <v>0</v>
      </c>
      <c r="R3647" s="39" t="n">
        <f aca="false">IF($A3647="",-1,IF($J3647=Setup!$B$7,1,IF($J3647=Setup!$B$9,0,-1)))</f>
        <v>-1</v>
      </c>
      <c r="S3647" s="35" t="n">
        <f aca="false">IF(OR($A3647="",$Q3647=0,$R3647=-1),0,$Q3647*1000+$R3647*100+$K3647)</f>
        <v>0</v>
      </c>
      <c r="T3647" s="37" t="str">
        <f aca="false">IF($A3647="","",IF($B3647="","NO ACCOUNT",IF($Q3647=0,"UNMAPPED",IF($R3647=-1,"OUTSIDE FY RANGE","OK"))))</f>
        <v/>
      </c>
      <c r="U3647" s="40" t="str">
        <f aca="false">IF($A3647="","",$B3647&amp;"|"&amp;TEXT($A3647,"yyyymmdd")&amp;"|"&amp;TEXT($I3647,"0.00"))</f>
        <v/>
      </c>
      <c r="V3647" s="35" t="str">
        <f aca="false">IF($A3647="","",COUNTIF($U$8:$U$5007,$U3647))</f>
        <v/>
      </c>
    </row>
    <row r="3648" customFormat="false" ht="15" hidden="false" customHeight="false" outlineLevel="0" collapsed="false">
      <c r="A3648" s="31"/>
      <c r="B3648" s="32"/>
      <c r="C3648" s="32"/>
      <c r="D3648" s="32"/>
      <c r="E3648" s="32"/>
      <c r="F3648" s="32"/>
      <c r="G3648" s="33"/>
      <c r="H3648" s="33"/>
      <c r="I3648" s="34" t="str">
        <f aca="false">IF($A3648="","",$G3648-$H3648)</f>
        <v/>
      </c>
      <c r="J3648" s="35" t="str">
        <f aca="false">IF($A3648="","",IF(Setup!$B$6=1,YEAR($A3648),YEAR($A3648)+IF(MONTH($A3648)&gt;=Setup!$B$6,1,0)))</f>
        <v/>
      </c>
      <c r="K3648" s="35" t="str">
        <f aca="false">IF($A3648="","",MOD(MONTH($A3648)-Setup!$B$6+12,12)+1)</f>
        <v/>
      </c>
      <c r="L3648" s="36" t="str">
        <f aca="false">IF($A3648="","",TEXT($A3648,"MMM-YY"))</f>
        <v/>
      </c>
      <c r="M3648" s="37" t="str">
        <f aca="false">IF($A3648="","",IF($Q3648=0,"UNMAPPED",INDEX(COA_Mapping!$C$7:$C$256,$Q3648)))</f>
        <v/>
      </c>
      <c r="N3648" s="38" t="str">
        <f aca="false">IF($A3648="","",IF($Q3648=0,"",INDEX(COA_Mapping!$E$7:$E$256,$Q3648)))</f>
        <v/>
      </c>
      <c r="O3648" s="38" t="n">
        <f aca="false">IF($A3648="",1,IF($Q3648=0,1,INDEX(COA_Mapping!$F$7:$F$256,$Q3648)))</f>
        <v>1</v>
      </c>
      <c r="P3648" s="34" t="str">
        <f aca="false">IF($A3648="","",$I3648*$O3648)</f>
        <v/>
      </c>
      <c r="Q3648" s="39" t="n">
        <f aca="false">IF($B3648="",0,IFERROR(MATCH($B3648,COA_Mapping!$A$7:$A$256,0),0))</f>
        <v>0</v>
      </c>
      <c r="R3648" s="39" t="n">
        <f aca="false">IF($A3648="",-1,IF($J3648=Setup!$B$7,1,IF($J3648=Setup!$B$9,0,-1)))</f>
        <v>-1</v>
      </c>
      <c r="S3648" s="35" t="n">
        <f aca="false">IF(OR($A3648="",$Q3648=0,$R3648=-1),0,$Q3648*1000+$R3648*100+$K3648)</f>
        <v>0</v>
      </c>
      <c r="T3648" s="37" t="str">
        <f aca="false">IF($A3648="","",IF($B3648="","NO ACCOUNT",IF($Q3648=0,"UNMAPPED",IF($R3648=-1,"OUTSIDE FY RANGE","OK"))))</f>
        <v/>
      </c>
      <c r="U3648" s="40" t="str">
        <f aca="false">IF($A3648="","",$B3648&amp;"|"&amp;TEXT($A3648,"yyyymmdd")&amp;"|"&amp;TEXT($I3648,"0.00"))</f>
        <v/>
      </c>
      <c r="V3648" s="35" t="str">
        <f aca="false">IF($A3648="","",COUNTIF($U$8:$U$5007,$U3648))</f>
        <v/>
      </c>
    </row>
    <row r="3649" customFormat="false" ht="15" hidden="false" customHeight="false" outlineLevel="0" collapsed="false">
      <c r="A3649" s="31"/>
      <c r="B3649" s="32"/>
      <c r="C3649" s="32"/>
      <c r="D3649" s="32"/>
      <c r="E3649" s="32"/>
      <c r="F3649" s="32"/>
      <c r="G3649" s="33"/>
      <c r="H3649" s="33"/>
      <c r="I3649" s="34" t="str">
        <f aca="false">IF($A3649="","",$G3649-$H3649)</f>
        <v/>
      </c>
      <c r="J3649" s="35" t="str">
        <f aca="false">IF($A3649="","",IF(Setup!$B$6=1,YEAR($A3649),YEAR($A3649)+IF(MONTH($A3649)&gt;=Setup!$B$6,1,0)))</f>
        <v/>
      </c>
      <c r="K3649" s="35" t="str">
        <f aca="false">IF($A3649="","",MOD(MONTH($A3649)-Setup!$B$6+12,12)+1)</f>
        <v/>
      </c>
      <c r="L3649" s="36" t="str">
        <f aca="false">IF($A3649="","",TEXT($A3649,"MMM-YY"))</f>
        <v/>
      </c>
      <c r="M3649" s="37" t="str">
        <f aca="false">IF($A3649="","",IF($Q3649=0,"UNMAPPED",INDEX(COA_Mapping!$C$7:$C$256,$Q3649)))</f>
        <v/>
      </c>
      <c r="N3649" s="38" t="str">
        <f aca="false">IF($A3649="","",IF($Q3649=0,"",INDEX(COA_Mapping!$E$7:$E$256,$Q3649)))</f>
        <v/>
      </c>
      <c r="O3649" s="38" t="n">
        <f aca="false">IF($A3649="",1,IF($Q3649=0,1,INDEX(COA_Mapping!$F$7:$F$256,$Q3649)))</f>
        <v>1</v>
      </c>
      <c r="P3649" s="34" t="str">
        <f aca="false">IF($A3649="","",$I3649*$O3649)</f>
        <v/>
      </c>
      <c r="Q3649" s="39" t="n">
        <f aca="false">IF($B3649="",0,IFERROR(MATCH($B3649,COA_Mapping!$A$7:$A$256,0),0))</f>
        <v>0</v>
      </c>
      <c r="R3649" s="39" t="n">
        <f aca="false">IF($A3649="",-1,IF($J3649=Setup!$B$7,1,IF($J3649=Setup!$B$9,0,-1)))</f>
        <v>-1</v>
      </c>
      <c r="S3649" s="35" t="n">
        <f aca="false">IF(OR($A3649="",$Q3649=0,$R3649=-1),0,$Q3649*1000+$R3649*100+$K3649)</f>
        <v>0</v>
      </c>
      <c r="T3649" s="37" t="str">
        <f aca="false">IF($A3649="","",IF($B3649="","NO ACCOUNT",IF($Q3649=0,"UNMAPPED",IF($R3649=-1,"OUTSIDE FY RANGE","OK"))))</f>
        <v/>
      </c>
      <c r="U3649" s="40" t="str">
        <f aca="false">IF($A3649="","",$B3649&amp;"|"&amp;TEXT($A3649,"yyyymmdd")&amp;"|"&amp;TEXT($I3649,"0.00"))</f>
        <v/>
      </c>
      <c r="V3649" s="35" t="str">
        <f aca="false">IF($A3649="","",COUNTIF($U$8:$U$5007,$U3649))</f>
        <v/>
      </c>
    </row>
    <row r="3650" customFormat="false" ht="15" hidden="false" customHeight="false" outlineLevel="0" collapsed="false">
      <c r="A3650" s="31"/>
      <c r="B3650" s="32"/>
      <c r="C3650" s="32"/>
      <c r="D3650" s="32"/>
      <c r="E3650" s="32"/>
      <c r="F3650" s="32"/>
      <c r="G3650" s="33"/>
      <c r="H3650" s="33"/>
      <c r="I3650" s="34" t="str">
        <f aca="false">IF($A3650="","",$G3650-$H3650)</f>
        <v/>
      </c>
      <c r="J3650" s="35" t="str">
        <f aca="false">IF($A3650="","",IF(Setup!$B$6=1,YEAR($A3650),YEAR($A3650)+IF(MONTH($A3650)&gt;=Setup!$B$6,1,0)))</f>
        <v/>
      </c>
      <c r="K3650" s="35" t="str">
        <f aca="false">IF($A3650="","",MOD(MONTH($A3650)-Setup!$B$6+12,12)+1)</f>
        <v/>
      </c>
      <c r="L3650" s="36" t="str">
        <f aca="false">IF($A3650="","",TEXT($A3650,"MMM-YY"))</f>
        <v/>
      </c>
      <c r="M3650" s="37" t="str">
        <f aca="false">IF($A3650="","",IF($Q3650=0,"UNMAPPED",INDEX(COA_Mapping!$C$7:$C$256,$Q3650)))</f>
        <v/>
      </c>
      <c r="N3650" s="38" t="str">
        <f aca="false">IF($A3650="","",IF($Q3650=0,"",INDEX(COA_Mapping!$E$7:$E$256,$Q3650)))</f>
        <v/>
      </c>
      <c r="O3650" s="38" t="n">
        <f aca="false">IF($A3650="",1,IF($Q3650=0,1,INDEX(COA_Mapping!$F$7:$F$256,$Q3650)))</f>
        <v>1</v>
      </c>
      <c r="P3650" s="34" t="str">
        <f aca="false">IF($A3650="","",$I3650*$O3650)</f>
        <v/>
      </c>
      <c r="Q3650" s="39" t="n">
        <f aca="false">IF($B3650="",0,IFERROR(MATCH($B3650,COA_Mapping!$A$7:$A$256,0),0))</f>
        <v>0</v>
      </c>
      <c r="R3650" s="39" t="n">
        <f aca="false">IF($A3650="",-1,IF($J3650=Setup!$B$7,1,IF($J3650=Setup!$B$9,0,-1)))</f>
        <v>-1</v>
      </c>
      <c r="S3650" s="35" t="n">
        <f aca="false">IF(OR($A3650="",$Q3650=0,$R3650=-1),0,$Q3650*1000+$R3650*100+$K3650)</f>
        <v>0</v>
      </c>
      <c r="T3650" s="37" t="str">
        <f aca="false">IF($A3650="","",IF($B3650="","NO ACCOUNT",IF($Q3650=0,"UNMAPPED",IF($R3650=-1,"OUTSIDE FY RANGE","OK"))))</f>
        <v/>
      </c>
      <c r="U3650" s="40" t="str">
        <f aca="false">IF($A3650="","",$B3650&amp;"|"&amp;TEXT($A3650,"yyyymmdd")&amp;"|"&amp;TEXT($I3650,"0.00"))</f>
        <v/>
      </c>
      <c r="V3650" s="35" t="str">
        <f aca="false">IF($A3650="","",COUNTIF($U$8:$U$5007,$U3650))</f>
        <v/>
      </c>
    </row>
    <row r="3651" customFormat="false" ht="15" hidden="false" customHeight="false" outlineLevel="0" collapsed="false">
      <c r="A3651" s="31"/>
      <c r="B3651" s="32"/>
      <c r="C3651" s="32"/>
      <c r="D3651" s="32"/>
      <c r="E3651" s="32"/>
      <c r="F3651" s="32"/>
      <c r="G3651" s="33"/>
      <c r="H3651" s="33"/>
      <c r="I3651" s="34" t="str">
        <f aca="false">IF($A3651="","",$G3651-$H3651)</f>
        <v/>
      </c>
      <c r="J3651" s="35" t="str">
        <f aca="false">IF($A3651="","",IF(Setup!$B$6=1,YEAR($A3651),YEAR($A3651)+IF(MONTH($A3651)&gt;=Setup!$B$6,1,0)))</f>
        <v/>
      </c>
      <c r="K3651" s="35" t="str">
        <f aca="false">IF($A3651="","",MOD(MONTH($A3651)-Setup!$B$6+12,12)+1)</f>
        <v/>
      </c>
      <c r="L3651" s="36" t="str">
        <f aca="false">IF($A3651="","",TEXT($A3651,"MMM-YY"))</f>
        <v/>
      </c>
      <c r="M3651" s="37" t="str">
        <f aca="false">IF($A3651="","",IF($Q3651=0,"UNMAPPED",INDEX(COA_Mapping!$C$7:$C$256,$Q3651)))</f>
        <v/>
      </c>
      <c r="N3651" s="38" t="str">
        <f aca="false">IF($A3651="","",IF($Q3651=0,"",INDEX(COA_Mapping!$E$7:$E$256,$Q3651)))</f>
        <v/>
      </c>
      <c r="O3651" s="38" t="n">
        <f aca="false">IF($A3651="",1,IF($Q3651=0,1,INDEX(COA_Mapping!$F$7:$F$256,$Q3651)))</f>
        <v>1</v>
      </c>
      <c r="P3651" s="34" t="str">
        <f aca="false">IF($A3651="","",$I3651*$O3651)</f>
        <v/>
      </c>
      <c r="Q3651" s="39" t="n">
        <f aca="false">IF($B3651="",0,IFERROR(MATCH($B3651,COA_Mapping!$A$7:$A$256,0),0))</f>
        <v>0</v>
      </c>
      <c r="R3651" s="39" t="n">
        <f aca="false">IF($A3651="",-1,IF($J3651=Setup!$B$7,1,IF($J3651=Setup!$B$9,0,-1)))</f>
        <v>-1</v>
      </c>
      <c r="S3651" s="35" t="n">
        <f aca="false">IF(OR($A3651="",$Q3651=0,$R3651=-1),0,$Q3651*1000+$R3651*100+$K3651)</f>
        <v>0</v>
      </c>
      <c r="T3651" s="37" t="str">
        <f aca="false">IF($A3651="","",IF($B3651="","NO ACCOUNT",IF($Q3651=0,"UNMAPPED",IF($R3651=-1,"OUTSIDE FY RANGE","OK"))))</f>
        <v/>
      </c>
      <c r="U3651" s="40" t="str">
        <f aca="false">IF($A3651="","",$B3651&amp;"|"&amp;TEXT($A3651,"yyyymmdd")&amp;"|"&amp;TEXT($I3651,"0.00"))</f>
        <v/>
      </c>
      <c r="V3651" s="35" t="str">
        <f aca="false">IF($A3651="","",COUNTIF($U$8:$U$5007,$U3651))</f>
        <v/>
      </c>
    </row>
    <row r="3652" customFormat="false" ht="15" hidden="false" customHeight="false" outlineLevel="0" collapsed="false">
      <c r="A3652" s="31"/>
      <c r="B3652" s="32"/>
      <c r="C3652" s="32"/>
      <c r="D3652" s="32"/>
      <c r="E3652" s="32"/>
      <c r="F3652" s="32"/>
      <c r="G3652" s="33"/>
      <c r="H3652" s="33"/>
      <c r="I3652" s="34" t="str">
        <f aca="false">IF($A3652="","",$G3652-$H3652)</f>
        <v/>
      </c>
      <c r="J3652" s="35" t="str">
        <f aca="false">IF($A3652="","",IF(Setup!$B$6=1,YEAR($A3652),YEAR($A3652)+IF(MONTH($A3652)&gt;=Setup!$B$6,1,0)))</f>
        <v/>
      </c>
      <c r="K3652" s="35" t="str">
        <f aca="false">IF($A3652="","",MOD(MONTH($A3652)-Setup!$B$6+12,12)+1)</f>
        <v/>
      </c>
      <c r="L3652" s="36" t="str">
        <f aca="false">IF($A3652="","",TEXT($A3652,"MMM-YY"))</f>
        <v/>
      </c>
      <c r="M3652" s="37" t="str">
        <f aca="false">IF($A3652="","",IF($Q3652=0,"UNMAPPED",INDEX(COA_Mapping!$C$7:$C$256,$Q3652)))</f>
        <v/>
      </c>
      <c r="N3652" s="38" t="str">
        <f aca="false">IF($A3652="","",IF($Q3652=0,"",INDEX(COA_Mapping!$E$7:$E$256,$Q3652)))</f>
        <v/>
      </c>
      <c r="O3652" s="38" t="n">
        <f aca="false">IF($A3652="",1,IF($Q3652=0,1,INDEX(COA_Mapping!$F$7:$F$256,$Q3652)))</f>
        <v>1</v>
      </c>
      <c r="P3652" s="34" t="str">
        <f aca="false">IF($A3652="","",$I3652*$O3652)</f>
        <v/>
      </c>
      <c r="Q3652" s="39" t="n">
        <f aca="false">IF($B3652="",0,IFERROR(MATCH($B3652,COA_Mapping!$A$7:$A$256,0),0))</f>
        <v>0</v>
      </c>
      <c r="R3652" s="39" t="n">
        <f aca="false">IF($A3652="",-1,IF($J3652=Setup!$B$7,1,IF($J3652=Setup!$B$9,0,-1)))</f>
        <v>-1</v>
      </c>
      <c r="S3652" s="35" t="n">
        <f aca="false">IF(OR($A3652="",$Q3652=0,$R3652=-1),0,$Q3652*1000+$R3652*100+$K3652)</f>
        <v>0</v>
      </c>
      <c r="T3652" s="37" t="str">
        <f aca="false">IF($A3652="","",IF($B3652="","NO ACCOUNT",IF($Q3652=0,"UNMAPPED",IF($R3652=-1,"OUTSIDE FY RANGE","OK"))))</f>
        <v/>
      </c>
      <c r="U3652" s="40" t="str">
        <f aca="false">IF($A3652="","",$B3652&amp;"|"&amp;TEXT($A3652,"yyyymmdd")&amp;"|"&amp;TEXT($I3652,"0.00"))</f>
        <v/>
      </c>
      <c r="V3652" s="35" t="str">
        <f aca="false">IF($A3652="","",COUNTIF($U$8:$U$5007,$U3652))</f>
        <v/>
      </c>
    </row>
    <row r="3653" customFormat="false" ht="15" hidden="false" customHeight="false" outlineLevel="0" collapsed="false">
      <c r="A3653" s="31"/>
      <c r="B3653" s="32"/>
      <c r="C3653" s="32"/>
      <c r="D3653" s="32"/>
      <c r="E3653" s="32"/>
      <c r="F3653" s="32"/>
      <c r="G3653" s="33"/>
      <c r="H3653" s="33"/>
      <c r="I3653" s="34" t="str">
        <f aca="false">IF($A3653="","",$G3653-$H3653)</f>
        <v/>
      </c>
      <c r="J3653" s="35" t="str">
        <f aca="false">IF($A3653="","",IF(Setup!$B$6=1,YEAR($A3653),YEAR($A3653)+IF(MONTH($A3653)&gt;=Setup!$B$6,1,0)))</f>
        <v/>
      </c>
      <c r="K3653" s="35" t="str">
        <f aca="false">IF($A3653="","",MOD(MONTH($A3653)-Setup!$B$6+12,12)+1)</f>
        <v/>
      </c>
      <c r="L3653" s="36" t="str">
        <f aca="false">IF($A3653="","",TEXT($A3653,"MMM-YY"))</f>
        <v/>
      </c>
      <c r="M3653" s="37" t="str">
        <f aca="false">IF($A3653="","",IF($Q3653=0,"UNMAPPED",INDEX(COA_Mapping!$C$7:$C$256,$Q3653)))</f>
        <v/>
      </c>
      <c r="N3653" s="38" t="str">
        <f aca="false">IF($A3653="","",IF($Q3653=0,"",INDEX(COA_Mapping!$E$7:$E$256,$Q3653)))</f>
        <v/>
      </c>
      <c r="O3653" s="38" t="n">
        <f aca="false">IF($A3653="",1,IF($Q3653=0,1,INDEX(COA_Mapping!$F$7:$F$256,$Q3653)))</f>
        <v>1</v>
      </c>
      <c r="P3653" s="34" t="str">
        <f aca="false">IF($A3653="","",$I3653*$O3653)</f>
        <v/>
      </c>
      <c r="Q3653" s="39" t="n">
        <f aca="false">IF($B3653="",0,IFERROR(MATCH($B3653,COA_Mapping!$A$7:$A$256,0),0))</f>
        <v>0</v>
      </c>
      <c r="R3653" s="39" t="n">
        <f aca="false">IF($A3653="",-1,IF($J3653=Setup!$B$7,1,IF($J3653=Setup!$B$9,0,-1)))</f>
        <v>-1</v>
      </c>
      <c r="S3653" s="35" t="n">
        <f aca="false">IF(OR($A3653="",$Q3653=0,$R3653=-1),0,$Q3653*1000+$R3653*100+$K3653)</f>
        <v>0</v>
      </c>
      <c r="T3653" s="37" t="str">
        <f aca="false">IF($A3653="","",IF($B3653="","NO ACCOUNT",IF($Q3653=0,"UNMAPPED",IF($R3653=-1,"OUTSIDE FY RANGE","OK"))))</f>
        <v/>
      </c>
      <c r="U3653" s="40" t="str">
        <f aca="false">IF($A3653="","",$B3653&amp;"|"&amp;TEXT($A3653,"yyyymmdd")&amp;"|"&amp;TEXT($I3653,"0.00"))</f>
        <v/>
      </c>
      <c r="V3653" s="35" t="str">
        <f aca="false">IF($A3653="","",COUNTIF($U$8:$U$5007,$U3653))</f>
        <v/>
      </c>
    </row>
    <row r="3654" customFormat="false" ht="15" hidden="false" customHeight="false" outlineLevel="0" collapsed="false">
      <c r="A3654" s="31"/>
      <c r="B3654" s="32"/>
      <c r="C3654" s="32"/>
      <c r="D3654" s="32"/>
      <c r="E3654" s="32"/>
      <c r="F3654" s="32"/>
      <c r="G3654" s="33"/>
      <c r="H3654" s="33"/>
      <c r="I3654" s="34" t="str">
        <f aca="false">IF($A3654="","",$G3654-$H3654)</f>
        <v/>
      </c>
      <c r="J3654" s="35" t="str">
        <f aca="false">IF($A3654="","",IF(Setup!$B$6=1,YEAR($A3654),YEAR($A3654)+IF(MONTH($A3654)&gt;=Setup!$B$6,1,0)))</f>
        <v/>
      </c>
      <c r="K3654" s="35" t="str">
        <f aca="false">IF($A3654="","",MOD(MONTH($A3654)-Setup!$B$6+12,12)+1)</f>
        <v/>
      </c>
      <c r="L3654" s="36" t="str">
        <f aca="false">IF($A3654="","",TEXT($A3654,"MMM-YY"))</f>
        <v/>
      </c>
      <c r="M3654" s="37" t="str">
        <f aca="false">IF($A3654="","",IF($Q3654=0,"UNMAPPED",INDEX(COA_Mapping!$C$7:$C$256,$Q3654)))</f>
        <v/>
      </c>
      <c r="N3654" s="38" t="str">
        <f aca="false">IF($A3654="","",IF($Q3654=0,"",INDEX(COA_Mapping!$E$7:$E$256,$Q3654)))</f>
        <v/>
      </c>
      <c r="O3654" s="38" t="n">
        <f aca="false">IF($A3654="",1,IF($Q3654=0,1,INDEX(COA_Mapping!$F$7:$F$256,$Q3654)))</f>
        <v>1</v>
      </c>
      <c r="P3654" s="34" t="str">
        <f aca="false">IF($A3654="","",$I3654*$O3654)</f>
        <v/>
      </c>
      <c r="Q3654" s="39" t="n">
        <f aca="false">IF($B3654="",0,IFERROR(MATCH($B3654,COA_Mapping!$A$7:$A$256,0),0))</f>
        <v>0</v>
      </c>
      <c r="R3654" s="39" t="n">
        <f aca="false">IF($A3654="",-1,IF($J3654=Setup!$B$7,1,IF($J3654=Setup!$B$9,0,-1)))</f>
        <v>-1</v>
      </c>
      <c r="S3654" s="35" t="n">
        <f aca="false">IF(OR($A3654="",$Q3654=0,$R3654=-1),0,$Q3654*1000+$R3654*100+$K3654)</f>
        <v>0</v>
      </c>
      <c r="T3654" s="37" t="str">
        <f aca="false">IF($A3654="","",IF($B3654="","NO ACCOUNT",IF($Q3654=0,"UNMAPPED",IF($R3654=-1,"OUTSIDE FY RANGE","OK"))))</f>
        <v/>
      </c>
      <c r="U3654" s="40" t="str">
        <f aca="false">IF($A3654="","",$B3654&amp;"|"&amp;TEXT($A3654,"yyyymmdd")&amp;"|"&amp;TEXT($I3654,"0.00"))</f>
        <v/>
      </c>
      <c r="V3654" s="35" t="str">
        <f aca="false">IF($A3654="","",COUNTIF($U$8:$U$5007,$U3654))</f>
        <v/>
      </c>
    </row>
    <row r="3655" customFormat="false" ht="15" hidden="false" customHeight="false" outlineLevel="0" collapsed="false">
      <c r="A3655" s="31"/>
      <c r="B3655" s="32"/>
      <c r="C3655" s="32"/>
      <c r="D3655" s="32"/>
      <c r="E3655" s="32"/>
      <c r="F3655" s="32"/>
      <c r="G3655" s="33"/>
      <c r="H3655" s="33"/>
      <c r="I3655" s="34" t="str">
        <f aca="false">IF($A3655="","",$G3655-$H3655)</f>
        <v/>
      </c>
      <c r="J3655" s="35" t="str">
        <f aca="false">IF($A3655="","",IF(Setup!$B$6=1,YEAR($A3655),YEAR($A3655)+IF(MONTH($A3655)&gt;=Setup!$B$6,1,0)))</f>
        <v/>
      </c>
      <c r="K3655" s="35" t="str">
        <f aca="false">IF($A3655="","",MOD(MONTH($A3655)-Setup!$B$6+12,12)+1)</f>
        <v/>
      </c>
      <c r="L3655" s="36" t="str">
        <f aca="false">IF($A3655="","",TEXT($A3655,"MMM-YY"))</f>
        <v/>
      </c>
      <c r="M3655" s="37" t="str">
        <f aca="false">IF($A3655="","",IF($Q3655=0,"UNMAPPED",INDEX(COA_Mapping!$C$7:$C$256,$Q3655)))</f>
        <v/>
      </c>
      <c r="N3655" s="38" t="str">
        <f aca="false">IF($A3655="","",IF($Q3655=0,"",INDEX(COA_Mapping!$E$7:$E$256,$Q3655)))</f>
        <v/>
      </c>
      <c r="O3655" s="38" t="n">
        <f aca="false">IF($A3655="",1,IF($Q3655=0,1,INDEX(COA_Mapping!$F$7:$F$256,$Q3655)))</f>
        <v>1</v>
      </c>
      <c r="P3655" s="34" t="str">
        <f aca="false">IF($A3655="","",$I3655*$O3655)</f>
        <v/>
      </c>
      <c r="Q3655" s="39" t="n">
        <f aca="false">IF($B3655="",0,IFERROR(MATCH($B3655,COA_Mapping!$A$7:$A$256,0),0))</f>
        <v>0</v>
      </c>
      <c r="R3655" s="39" t="n">
        <f aca="false">IF($A3655="",-1,IF($J3655=Setup!$B$7,1,IF($J3655=Setup!$B$9,0,-1)))</f>
        <v>-1</v>
      </c>
      <c r="S3655" s="35" t="n">
        <f aca="false">IF(OR($A3655="",$Q3655=0,$R3655=-1),0,$Q3655*1000+$R3655*100+$K3655)</f>
        <v>0</v>
      </c>
      <c r="T3655" s="37" t="str">
        <f aca="false">IF($A3655="","",IF($B3655="","NO ACCOUNT",IF($Q3655=0,"UNMAPPED",IF($R3655=-1,"OUTSIDE FY RANGE","OK"))))</f>
        <v/>
      </c>
      <c r="U3655" s="40" t="str">
        <f aca="false">IF($A3655="","",$B3655&amp;"|"&amp;TEXT($A3655,"yyyymmdd")&amp;"|"&amp;TEXT($I3655,"0.00"))</f>
        <v/>
      </c>
      <c r="V3655" s="35" t="str">
        <f aca="false">IF($A3655="","",COUNTIF($U$8:$U$5007,$U3655))</f>
        <v/>
      </c>
    </row>
    <row r="3656" customFormat="false" ht="15" hidden="false" customHeight="false" outlineLevel="0" collapsed="false">
      <c r="A3656" s="31"/>
      <c r="B3656" s="32"/>
      <c r="C3656" s="32"/>
      <c r="D3656" s="32"/>
      <c r="E3656" s="32"/>
      <c r="F3656" s="32"/>
      <c r="G3656" s="33"/>
      <c r="H3656" s="33"/>
      <c r="I3656" s="34" t="str">
        <f aca="false">IF($A3656="","",$G3656-$H3656)</f>
        <v/>
      </c>
      <c r="J3656" s="35" t="str">
        <f aca="false">IF($A3656="","",IF(Setup!$B$6=1,YEAR($A3656),YEAR($A3656)+IF(MONTH($A3656)&gt;=Setup!$B$6,1,0)))</f>
        <v/>
      </c>
      <c r="K3656" s="35" t="str">
        <f aca="false">IF($A3656="","",MOD(MONTH($A3656)-Setup!$B$6+12,12)+1)</f>
        <v/>
      </c>
      <c r="L3656" s="36" t="str">
        <f aca="false">IF($A3656="","",TEXT($A3656,"MMM-YY"))</f>
        <v/>
      </c>
      <c r="M3656" s="37" t="str">
        <f aca="false">IF($A3656="","",IF($Q3656=0,"UNMAPPED",INDEX(COA_Mapping!$C$7:$C$256,$Q3656)))</f>
        <v/>
      </c>
      <c r="N3656" s="38" t="str">
        <f aca="false">IF($A3656="","",IF($Q3656=0,"",INDEX(COA_Mapping!$E$7:$E$256,$Q3656)))</f>
        <v/>
      </c>
      <c r="O3656" s="38" t="n">
        <f aca="false">IF($A3656="",1,IF($Q3656=0,1,INDEX(COA_Mapping!$F$7:$F$256,$Q3656)))</f>
        <v>1</v>
      </c>
      <c r="P3656" s="34" t="str">
        <f aca="false">IF($A3656="","",$I3656*$O3656)</f>
        <v/>
      </c>
      <c r="Q3656" s="39" t="n">
        <f aca="false">IF($B3656="",0,IFERROR(MATCH($B3656,COA_Mapping!$A$7:$A$256,0),0))</f>
        <v>0</v>
      </c>
      <c r="R3656" s="39" t="n">
        <f aca="false">IF($A3656="",-1,IF($J3656=Setup!$B$7,1,IF($J3656=Setup!$B$9,0,-1)))</f>
        <v>-1</v>
      </c>
      <c r="S3656" s="35" t="n">
        <f aca="false">IF(OR($A3656="",$Q3656=0,$R3656=-1),0,$Q3656*1000+$R3656*100+$K3656)</f>
        <v>0</v>
      </c>
      <c r="T3656" s="37" t="str">
        <f aca="false">IF($A3656="","",IF($B3656="","NO ACCOUNT",IF($Q3656=0,"UNMAPPED",IF($R3656=-1,"OUTSIDE FY RANGE","OK"))))</f>
        <v/>
      </c>
      <c r="U3656" s="40" t="str">
        <f aca="false">IF($A3656="","",$B3656&amp;"|"&amp;TEXT($A3656,"yyyymmdd")&amp;"|"&amp;TEXT($I3656,"0.00"))</f>
        <v/>
      </c>
      <c r="V3656" s="35" t="str">
        <f aca="false">IF($A3656="","",COUNTIF($U$8:$U$5007,$U3656))</f>
        <v/>
      </c>
    </row>
    <row r="3657" customFormat="false" ht="15" hidden="false" customHeight="false" outlineLevel="0" collapsed="false">
      <c r="A3657" s="31"/>
      <c r="B3657" s="32"/>
      <c r="C3657" s="32"/>
      <c r="D3657" s="32"/>
      <c r="E3657" s="32"/>
      <c r="F3657" s="32"/>
      <c r="G3657" s="33"/>
      <c r="H3657" s="33"/>
      <c r="I3657" s="34" t="str">
        <f aca="false">IF($A3657="","",$G3657-$H3657)</f>
        <v/>
      </c>
      <c r="J3657" s="35" t="str">
        <f aca="false">IF($A3657="","",IF(Setup!$B$6=1,YEAR($A3657),YEAR($A3657)+IF(MONTH($A3657)&gt;=Setup!$B$6,1,0)))</f>
        <v/>
      </c>
      <c r="K3657" s="35" t="str">
        <f aca="false">IF($A3657="","",MOD(MONTH($A3657)-Setup!$B$6+12,12)+1)</f>
        <v/>
      </c>
      <c r="L3657" s="36" t="str">
        <f aca="false">IF($A3657="","",TEXT($A3657,"MMM-YY"))</f>
        <v/>
      </c>
      <c r="M3657" s="37" t="str">
        <f aca="false">IF($A3657="","",IF($Q3657=0,"UNMAPPED",INDEX(COA_Mapping!$C$7:$C$256,$Q3657)))</f>
        <v/>
      </c>
      <c r="N3657" s="38" t="str">
        <f aca="false">IF($A3657="","",IF($Q3657=0,"",INDEX(COA_Mapping!$E$7:$E$256,$Q3657)))</f>
        <v/>
      </c>
      <c r="O3657" s="38" t="n">
        <f aca="false">IF($A3657="",1,IF($Q3657=0,1,INDEX(COA_Mapping!$F$7:$F$256,$Q3657)))</f>
        <v>1</v>
      </c>
      <c r="P3657" s="34" t="str">
        <f aca="false">IF($A3657="","",$I3657*$O3657)</f>
        <v/>
      </c>
      <c r="Q3657" s="39" t="n">
        <f aca="false">IF($B3657="",0,IFERROR(MATCH($B3657,COA_Mapping!$A$7:$A$256,0),0))</f>
        <v>0</v>
      </c>
      <c r="R3657" s="39" t="n">
        <f aca="false">IF($A3657="",-1,IF($J3657=Setup!$B$7,1,IF($J3657=Setup!$B$9,0,-1)))</f>
        <v>-1</v>
      </c>
      <c r="S3657" s="35" t="n">
        <f aca="false">IF(OR($A3657="",$Q3657=0,$R3657=-1),0,$Q3657*1000+$R3657*100+$K3657)</f>
        <v>0</v>
      </c>
      <c r="T3657" s="37" t="str">
        <f aca="false">IF($A3657="","",IF($B3657="","NO ACCOUNT",IF($Q3657=0,"UNMAPPED",IF($R3657=-1,"OUTSIDE FY RANGE","OK"))))</f>
        <v/>
      </c>
      <c r="U3657" s="40" t="str">
        <f aca="false">IF($A3657="","",$B3657&amp;"|"&amp;TEXT($A3657,"yyyymmdd")&amp;"|"&amp;TEXT($I3657,"0.00"))</f>
        <v/>
      </c>
      <c r="V3657" s="35" t="str">
        <f aca="false">IF($A3657="","",COUNTIF($U$8:$U$5007,$U3657))</f>
        <v/>
      </c>
    </row>
    <row r="3658" customFormat="false" ht="15" hidden="false" customHeight="false" outlineLevel="0" collapsed="false">
      <c r="A3658" s="31"/>
      <c r="B3658" s="32"/>
      <c r="C3658" s="32"/>
      <c r="D3658" s="32"/>
      <c r="E3658" s="32"/>
      <c r="F3658" s="32"/>
      <c r="G3658" s="33"/>
      <c r="H3658" s="33"/>
      <c r="I3658" s="34" t="str">
        <f aca="false">IF($A3658="","",$G3658-$H3658)</f>
        <v/>
      </c>
      <c r="J3658" s="35" t="str">
        <f aca="false">IF($A3658="","",IF(Setup!$B$6=1,YEAR($A3658),YEAR($A3658)+IF(MONTH($A3658)&gt;=Setup!$B$6,1,0)))</f>
        <v/>
      </c>
      <c r="K3658" s="35" t="str">
        <f aca="false">IF($A3658="","",MOD(MONTH($A3658)-Setup!$B$6+12,12)+1)</f>
        <v/>
      </c>
      <c r="L3658" s="36" t="str">
        <f aca="false">IF($A3658="","",TEXT($A3658,"MMM-YY"))</f>
        <v/>
      </c>
      <c r="M3658" s="37" t="str">
        <f aca="false">IF($A3658="","",IF($Q3658=0,"UNMAPPED",INDEX(COA_Mapping!$C$7:$C$256,$Q3658)))</f>
        <v/>
      </c>
      <c r="N3658" s="38" t="str">
        <f aca="false">IF($A3658="","",IF($Q3658=0,"",INDEX(COA_Mapping!$E$7:$E$256,$Q3658)))</f>
        <v/>
      </c>
      <c r="O3658" s="38" t="n">
        <f aca="false">IF($A3658="",1,IF($Q3658=0,1,INDEX(COA_Mapping!$F$7:$F$256,$Q3658)))</f>
        <v>1</v>
      </c>
      <c r="P3658" s="34" t="str">
        <f aca="false">IF($A3658="","",$I3658*$O3658)</f>
        <v/>
      </c>
      <c r="Q3658" s="39" t="n">
        <f aca="false">IF($B3658="",0,IFERROR(MATCH($B3658,COA_Mapping!$A$7:$A$256,0),0))</f>
        <v>0</v>
      </c>
      <c r="R3658" s="39" t="n">
        <f aca="false">IF($A3658="",-1,IF($J3658=Setup!$B$7,1,IF($J3658=Setup!$B$9,0,-1)))</f>
        <v>-1</v>
      </c>
      <c r="S3658" s="35" t="n">
        <f aca="false">IF(OR($A3658="",$Q3658=0,$R3658=-1),0,$Q3658*1000+$R3658*100+$K3658)</f>
        <v>0</v>
      </c>
      <c r="T3658" s="37" t="str">
        <f aca="false">IF($A3658="","",IF($B3658="","NO ACCOUNT",IF($Q3658=0,"UNMAPPED",IF($R3658=-1,"OUTSIDE FY RANGE","OK"))))</f>
        <v/>
      </c>
      <c r="U3658" s="40" t="str">
        <f aca="false">IF($A3658="","",$B3658&amp;"|"&amp;TEXT($A3658,"yyyymmdd")&amp;"|"&amp;TEXT($I3658,"0.00"))</f>
        <v/>
      </c>
      <c r="V3658" s="35" t="str">
        <f aca="false">IF($A3658="","",COUNTIF($U$8:$U$5007,$U3658))</f>
        <v/>
      </c>
    </row>
    <row r="3659" customFormat="false" ht="15" hidden="false" customHeight="false" outlineLevel="0" collapsed="false">
      <c r="A3659" s="31"/>
      <c r="B3659" s="32"/>
      <c r="C3659" s="32"/>
      <c r="D3659" s="32"/>
      <c r="E3659" s="32"/>
      <c r="F3659" s="32"/>
      <c r="G3659" s="33"/>
      <c r="H3659" s="33"/>
      <c r="I3659" s="34" t="str">
        <f aca="false">IF($A3659="","",$G3659-$H3659)</f>
        <v/>
      </c>
      <c r="J3659" s="35" t="str">
        <f aca="false">IF($A3659="","",IF(Setup!$B$6=1,YEAR($A3659),YEAR($A3659)+IF(MONTH($A3659)&gt;=Setup!$B$6,1,0)))</f>
        <v/>
      </c>
      <c r="K3659" s="35" t="str">
        <f aca="false">IF($A3659="","",MOD(MONTH($A3659)-Setup!$B$6+12,12)+1)</f>
        <v/>
      </c>
      <c r="L3659" s="36" t="str">
        <f aca="false">IF($A3659="","",TEXT($A3659,"MMM-YY"))</f>
        <v/>
      </c>
      <c r="M3659" s="37" t="str">
        <f aca="false">IF($A3659="","",IF($Q3659=0,"UNMAPPED",INDEX(COA_Mapping!$C$7:$C$256,$Q3659)))</f>
        <v/>
      </c>
      <c r="N3659" s="38" t="str">
        <f aca="false">IF($A3659="","",IF($Q3659=0,"",INDEX(COA_Mapping!$E$7:$E$256,$Q3659)))</f>
        <v/>
      </c>
      <c r="O3659" s="38" t="n">
        <f aca="false">IF($A3659="",1,IF($Q3659=0,1,INDEX(COA_Mapping!$F$7:$F$256,$Q3659)))</f>
        <v>1</v>
      </c>
      <c r="P3659" s="34" t="str">
        <f aca="false">IF($A3659="","",$I3659*$O3659)</f>
        <v/>
      </c>
      <c r="Q3659" s="39" t="n">
        <f aca="false">IF($B3659="",0,IFERROR(MATCH($B3659,COA_Mapping!$A$7:$A$256,0),0))</f>
        <v>0</v>
      </c>
      <c r="R3659" s="39" t="n">
        <f aca="false">IF($A3659="",-1,IF($J3659=Setup!$B$7,1,IF($J3659=Setup!$B$9,0,-1)))</f>
        <v>-1</v>
      </c>
      <c r="S3659" s="35" t="n">
        <f aca="false">IF(OR($A3659="",$Q3659=0,$R3659=-1),0,$Q3659*1000+$R3659*100+$K3659)</f>
        <v>0</v>
      </c>
      <c r="T3659" s="37" t="str">
        <f aca="false">IF($A3659="","",IF($B3659="","NO ACCOUNT",IF($Q3659=0,"UNMAPPED",IF($R3659=-1,"OUTSIDE FY RANGE","OK"))))</f>
        <v/>
      </c>
      <c r="U3659" s="40" t="str">
        <f aca="false">IF($A3659="","",$B3659&amp;"|"&amp;TEXT($A3659,"yyyymmdd")&amp;"|"&amp;TEXT($I3659,"0.00"))</f>
        <v/>
      </c>
      <c r="V3659" s="35" t="str">
        <f aca="false">IF($A3659="","",COUNTIF($U$8:$U$5007,$U3659))</f>
        <v/>
      </c>
    </row>
    <row r="3660" customFormat="false" ht="15" hidden="false" customHeight="false" outlineLevel="0" collapsed="false">
      <c r="A3660" s="31"/>
      <c r="B3660" s="32"/>
      <c r="C3660" s="32"/>
      <c r="D3660" s="32"/>
      <c r="E3660" s="32"/>
      <c r="F3660" s="32"/>
      <c r="G3660" s="33"/>
      <c r="H3660" s="33"/>
      <c r="I3660" s="34" t="str">
        <f aca="false">IF($A3660="","",$G3660-$H3660)</f>
        <v/>
      </c>
      <c r="J3660" s="35" t="str">
        <f aca="false">IF($A3660="","",IF(Setup!$B$6=1,YEAR($A3660),YEAR($A3660)+IF(MONTH($A3660)&gt;=Setup!$B$6,1,0)))</f>
        <v/>
      </c>
      <c r="K3660" s="35" t="str">
        <f aca="false">IF($A3660="","",MOD(MONTH($A3660)-Setup!$B$6+12,12)+1)</f>
        <v/>
      </c>
      <c r="L3660" s="36" t="str">
        <f aca="false">IF($A3660="","",TEXT($A3660,"MMM-YY"))</f>
        <v/>
      </c>
      <c r="M3660" s="37" t="str">
        <f aca="false">IF($A3660="","",IF($Q3660=0,"UNMAPPED",INDEX(COA_Mapping!$C$7:$C$256,$Q3660)))</f>
        <v/>
      </c>
      <c r="N3660" s="38" t="str">
        <f aca="false">IF($A3660="","",IF($Q3660=0,"",INDEX(COA_Mapping!$E$7:$E$256,$Q3660)))</f>
        <v/>
      </c>
      <c r="O3660" s="38" t="n">
        <f aca="false">IF($A3660="",1,IF($Q3660=0,1,INDEX(COA_Mapping!$F$7:$F$256,$Q3660)))</f>
        <v>1</v>
      </c>
      <c r="P3660" s="34" t="str">
        <f aca="false">IF($A3660="","",$I3660*$O3660)</f>
        <v/>
      </c>
      <c r="Q3660" s="39" t="n">
        <f aca="false">IF($B3660="",0,IFERROR(MATCH($B3660,COA_Mapping!$A$7:$A$256,0),0))</f>
        <v>0</v>
      </c>
      <c r="R3660" s="39" t="n">
        <f aca="false">IF($A3660="",-1,IF($J3660=Setup!$B$7,1,IF($J3660=Setup!$B$9,0,-1)))</f>
        <v>-1</v>
      </c>
      <c r="S3660" s="35" t="n">
        <f aca="false">IF(OR($A3660="",$Q3660=0,$R3660=-1),0,$Q3660*1000+$R3660*100+$K3660)</f>
        <v>0</v>
      </c>
      <c r="T3660" s="37" t="str">
        <f aca="false">IF($A3660="","",IF($B3660="","NO ACCOUNT",IF($Q3660=0,"UNMAPPED",IF($R3660=-1,"OUTSIDE FY RANGE","OK"))))</f>
        <v/>
      </c>
      <c r="U3660" s="40" t="str">
        <f aca="false">IF($A3660="","",$B3660&amp;"|"&amp;TEXT($A3660,"yyyymmdd")&amp;"|"&amp;TEXT($I3660,"0.00"))</f>
        <v/>
      </c>
      <c r="V3660" s="35" t="str">
        <f aca="false">IF($A3660="","",COUNTIF($U$8:$U$5007,$U3660))</f>
        <v/>
      </c>
    </row>
    <row r="3661" customFormat="false" ht="15" hidden="false" customHeight="false" outlineLevel="0" collapsed="false">
      <c r="A3661" s="31"/>
      <c r="B3661" s="32"/>
      <c r="C3661" s="32"/>
      <c r="D3661" s="32"/>
      <c r="E3661" s="32"/>
      <c r="F3661" s="32"/>
      <c r="G3661" s="33"/>
      <c r="H3661" s="33"/>
      <c r="I3661" s="34" t="str">
        <f aca="false">IF($A3661="","",$G3661-$H3661)</f>
        <v/>
      </c>
      <c r="J3661" s="35" t="str">
        <f aca="false">IF($A3661="","",IF(Setup!$B$6=1,YEAR($A3661),YEAR($A3661)+IF(MONTH($A3661)&gt;=Setup!$B$6,1,0)))</f>
        <v/>
      </c>
      <c r="K3661" s="35" t="str">
        <f aca="false">IF($A3661="","",MOD(MONTH($A3661)-Setup!$B$6+12,12)+1)</f>
        <v/>
      </c>
      <c r="L3661" s="36" t="str">
        <f aca="false">IF($A3661="","",TEXT($A3661,"MMM-YY"))</f>
        <v/>
      </c>
      <c r="M3661" s="37" t="str">
        <f aca="false">IF($A3661="","",IF($Q3661=0,"UNMAPPED",INDEX(COA_Mapping!$C$7:$C$256,$Q3661)))</f>
        <v/>
      </c>
      <c r="N3661" s="38" t="str">
        <f aca="false">IF($A3661="","",IF($Q3661=0,"",INDEX(COA_Mapping!$E$7:$E$256,$Q3661)))</f>
        <v/>
      </c>
      <c r="O3661" s="38" t="n">
        <f aca="false">IF($A3661="",1,IF($Q3661=0,1,INDEX(COA_Mapping!$F$7:$F$256,$Q3661)))</f>
        <v>1</v>
      </c>
      <c r="P3661" s="34" t="str">
        <f aca="false">IF($A3661="","",$I3661*$O3661)</f>
        <v/>
      </c>
      <c r="Q3661" s="39" t="n">
        <f aca="false">IF($B3661="",0,IFERROR(MATCH($B3661,COA_Mapping!$A$7:$A$256,0),0))</f>
        <v>0</v>
      </c>
      <c r="R3661" s="39" t="n">
        <f aca="false">IF($A3661="",-1,IF($J3661=Setup!$B$7,1,IF($J3661=Setup!$B$9,0,-1)))</f>
        <v>-1</v>
      </c>
      <c r="S3661" s="35" t="n">
        <f aca="false">IF(OR($A3661="",$Q3661=0,$R3661=-1),0,$Q3661*1000+$R3661*100+$K3661)</f>
        <v>0</v>
      </c>
      <c r="T3661" s="37" t="str">
        <f aca="false">IF($A3661="","",IF($B3661="","NO ACCOUNT",IF($Q3661=0,"UNMAPPED",IF($R3661=-1,"OUTSIDE FY RANGE","OK"))))</f>
        <v/>
      </c>
      <c r="U3661" s="40" t="str">
        <f aca="false">IF($A3661="","",$B3661&amp;"|"&amp;TEXT($A3661,"yyyymmdd")&amp;"|"&amp;TEXT($I3661,"0.00"))</f>
        <v/>
      </c>
      <c r="V3661" s="35" t="str">
        <f aca="false">IF($A3661="","",COUNTIF($U$8:$U$5007,$U3661))</f>
        <v/>
      </c>
    </row>
    <row r="3662" customFormat="false" ht="15" hidden="false" customHeight="false" outlineLevel="0" collapsed="false">
      <c r="A3662" s="31"/>
      <c r="B3662" s="32"/>
      <c r="C3662" s="32"/>
      <c r="D3662" s="32"/>
      <c r="E3662" s="32"/>
      <c r="F3662" s="32"/>
      <c r="G3662" s="33"/>
      <c r="H3662" s="33"/>
      <c r="I3662" s="34" t="str">
        <f aca="false">IF($A3662="","",$G3662-$H3662)</f>
        <v/>
      </c>
      <c r="J3662" s="35" t="str">
        <f aca="false">IF($A3662="","",IF(Setup!$B$6=1,YEAR($A3662),YEAR($A3662)+IF(MONTH($A3662)&gt;=Setup!$B$6,1,0)))</f>
        <v/>
      </c>
      <c r="K3662" s="35" t="str">
        <f aca="false">IF($A3662="","",MOD(MONTH($A3662)-Setup!$B$6+12,12)+1)</f>
        <v/>
      </c>
      <c r="L3662" s="36" t="str">
        <f aca="false">IF($A3662="","",TEXT($A3662,"MMM-YY"))</f>
        <v/>
      </c>
      <c r="M3662" s="37" t="str">
        <f aca="false">IF($A3662="","",IF($Q3662=0,"UNMAPPED",INDEX(COA_Mapping!$C$7:$C$256,$Q3662)))</f>
        <v/>
      </c>
      <c r="N3662" s="38" t="str">
        <f aca="false">IF($A3662="","",IF($Q3662=0,"",INDEX(COA_Mapping!$E$7:$E$256,$Q3662)))</f>
        <v/>
      </c>
      <c r="O3662" s="38" t="n">
        <f aca="false">IF($A3662="",1,IF($Q3662=0,1,INDEX(COA_Mapping!$F$7:$F$256,$Q3662)))</f>
        <v>1</v>
      </c>
      <c r="P3662" s="34" t="str">
        <f aca="false">IF($A3662="","",$I3662*$O3662)</f>
        <v/>
      </c>
      <c r="Q3662" s="39" t="n">
        <f aca="false">IF($B3662="",0,IFERROR(MATCH($B3662,COA_Mapping!$A$7:$A$256,0),0))</f>
        <v>0</v>
      </c>
      <c r="R3662" s="39" t="n">
        <f aca="false">IF($A3662="",-1,IF($J3662=Setup!$B$7,1,IF($J3662=Setup!$B$9,0,-1)))</f>
        <v>-1</v>
      </c>
      <c r="S3662" s="35" t="n">
        <f aca="false">IF(OR($A3662="",$Q3662=0,$R3662=-1),0,$Q3662*1000+$R3662*100+$K3662)</f>
        <v>0</v>
      </c>
      <c r="T3662" s="37" t="str">
        <f aca="false">IF($A3662="","",IF($B3662="","NO ACCOUNT",IF($Q3662=0,"UNMAPPED",IF($R3662=-1,"OUTSIDE FY RANGE","OK"))))</f>
        <v/>
      </c>
      <c r="U3662" s="40" t="str">
        <f aca="false">IF($A3662="","",$B3662&amp;"|"&amp;TEXT($A3662,"yyyymmdd")&amp;"|"&amp;TEXT($I3662,"0.00"))</f>
        <v/>
      </c>
      <c r="V3662" s="35" t="str">
        <f aca="false">IF($A3662="","",COUNTIF($U$8:$U$5007,$U3662))</f>
        <v/>
      </c>
    </row>
    <row r="3663" customFormat="false" ht="15" hidden="false" customHeight="false" outlineLevel="0" collapsed="false">
      <c r="A3663" s="31"/>
      <c r="B3663" s="32"/>
      <c r="C3663" s="32"/>
      <c r="D3663" s="32"/>
      <c r="E3663" s="32"/>
      <c r="F3663" s="32"/>
      <c r="G3663" s="33"/>
      <c r="H3663" s="33"/>
      <c r="I3663" s="34" t="str">
        <f aca="false">IF($A3663="","",$G3663-$H3663)</f>
        <v/>
      </c>
      <c r="J3663" s="35" t="str">
        <f aca="false">IF($A3663="","",IF(Setup!$B$6=1,YEAR($A3663),YEAR($A3663)+IF(MONTH($A3663)&gt;=Setup!$B$6,1,0)))</f>
        <v/>
      </c>
      <c r="K3663" s="35" t="str">
        <f aca="false">IF($A3663="","",MOD(MONTH($A3663)-Setup!$B$6+12,12)+1)</f>
        <v/>
      </c>
      <c r="L3663" s="36" t="str">
        <f aca="false">IF($A3663="","",TEXT($A3663,"MMM-YY"))</f>
        <v/>
      </c>
      <c r="M3663" s="37" t="str">
        <f aca="false">IF($A3663="","",IF($Q3663=0,"UNMAPPED",INDEX(COA_Mapping!$C$7:$C$256,$Q3663)))</f>
        <v/>
      </c>
      <c r="N3663" s="38" t="str">
        <f aca="false">IF($A3663="","",IF($Q3663=0,"",INDEX(COA_Mapping!$E$7:$E$256,$Q3663)))</f>
        <v/>
      </c>
      <c r="O3663" s="38" t="n">
        <f aca="false">IF($A3663="",1,IF($Q3663=0,1,INDEX(COA_Mapping!$F$7:$F$256,$Q3663)))</f>
        <v>1</v>
      </c>
      <c r="P3663" s="34" t="str">
        <f aca="false">IF($A3663="","",$I3663*$O3663)</f>
        <v/>
      </c>
      <c r="Q3663" s="39" t="n">
        <f aca="false">IF($B3663="",0,IFERROR(MATCH($B3663,COA_Mapping!$A$7:$A$256,0),0))</f>
        <v>0</v>
      </c>
      <c r="R3663" s="39" t="n">
        <f aca="false">IF($A3663="",-1,IF($J3663=Setup!$B$7,1,IF($J3663=Setup!$B$9,0,-1)))</f>
        <v>-1</v>
      </c>
      <c r="S3663" s="35" t="n">
        <f aca="false">IF(OR($A3663="",$Q3663=0,$R3663=-1),0,$Q3663*1000+$R3663*100+$K3663)</f>
        <v>0</v>
      </c>
      <c r="T3663" s="37" t="str">
        <f aca="false">IF($A3663="","",IF($B3663="","NO ACCOUNT",IF($Q3663=0,"UNMAPPED",IF($R3663=-1,"OUTSIDE FY RANGE","OK"))))</f>
        <v/>
      </c>
      <c r="U3663" s="40" t="str">
        <f aca="false">IF($A3663="","",$B3663&amp;"|"&amp;TEXT($A3663,"yyyymmdd")&amp;"|"&amp;TEXT($I3663,"0.00"))</f>
        <v/>
      </c>
      <c r="V3663" s="35" t="str">
        <f aca="false">IF($A3663="","",COUNTIF($U$8:$U$5007,$U3663))</f>
        <v/>
      </c>
    </row>
    <row r="3664" customFormat="false" ht="15" hidden="false" customHeight="false" outlineLevel="0" collapsed="false">
      <c r="A3664" s="31"/>
      <c r="B3664" s="32"/>
      <c r="C3664" s="32"/>
      <c r="D3664" s="32"/>
      <c r="E3664" s="32"/>
      <c r="F3664" s="32"/>
      <c r="G3664" s="33"/>
      <c r="H3664" s="33"/>
      <c r="I3664" s="34" t="str">
        <f aca="false">IF($A3664="","",$G3664-$H3664)</f>
        <v/>
      </c>
      <c r="J3664" s="35" t="str">
        <f aca="false">IF($A3664="","",IF(Setup!$B$6=1,YEAR($A3664),YEAR($A3664)+IF(MONTH($A3664)&gt;=Setup!$B$6,1,0)))</f>
        <v/>
      </c>
      <c r="K3664" s="35" t="str">
        <f aca="false">IF($A3664="","",MOD(MONTH($A3664)-Setup!$B$6+12,12)+1)</f>
        <v/>
      </c>
      <c r="L3664" s="36" t="str">
        <f aca="false">IF($A3664="","",TEXT($A3664,"MMM-YY"))</f>
        <v/>
      </c>
      <c r="M3664" s="37" t="str">
        <f aca="false">IF($A3664="","",IF($Q3664=0,"UNMAPPED",INDEX(COA_Mapping!$C$7:$C$256,$Q3664)))</f>
        <v/>
      </c>
      <c r="N3664" s="38" t="str">
        <f aca="false">IF($A3664="","",IF($Q3664=0,"",INDEX(COA_Mapping!$E$7:$E$256,$Q3664)))</f>
        <v/>
      </c>
      <c r="O3664" s="38" t="n">
        <f aca="false">IF($A3664="",1,IF($Q3664=0,1,INDEX(COA_Mapping!$F$7:$F$256,$Q3664)))</f>
        <v>1</v>
      </c>
      <c r="P3664" s="34" t="str">
        <f aca="false">IF($A3664="","",$I3664*$O3664)</f>
        <v/>
      </c>
      <c r="Q3664" s="39" t="n">
        <f aca="false">IF($B3664="",0,IFERROR(MATCH($B3664,COA_Mapping!$A$7:$A$256,0),0))</f>
        <v>0</v>
      </c>
      <c r="R3664" s="39" t="n">
        <f aca="false">IF($A3664="",-1,IF($J3664=Setup!$B$7,1,IF($J3664=Setup!$B$9,0,-1)))</f>
        <v>-1</v>
      </c>
      <c r="S3664" s="35" t="n">
        <f aca="false">IF(OR($A3664="",$Q3664=0,$R3664=-1),0,$Q3664*1000+$R3664*100+$K3664)</f>
        <v>0</v>
      </c>
      <c r="T3664" s="37" t="str">
        <f aca="false">IF($A3664="","",IF($B3664="","NO ACCOUNT",IF($Q3664=0,"UNMAPPED",IF($R3664=-1,"OUTSIDE FY RANGE","OK"))))</f>
        <v/>
      </c>
      <c r="U3664" s="40" t="str">
        <f aca="false">IF($A3664="","",$B3664&amp;"|"&amp;TEXT($A3664,"yyyymmdd")&amp;"|"&amp;TEXT($I3664,"0.00"))</f>
        <v/>
      </c>
      <c r="V3664" s="35" t="str">
        <f aca="false">IF($A3664="","",COUNTIF($U$8:$U$5007,$U3664))</f>
        <v/>
      </c>
    </row>
    <row r="3665" customFormat="false" ht="15" hidden="false" customHeight="false" outlineLevel="0" collapsed="false">
      <c r="A3665" s="31"/>
      <c r="B3665" s="32"/>
      <c r="C3665" s="32"/>
      <c r="D3665" s="32"/>
      <c r="E3665" s="32"/>
      <c r="F3665" s="32"/>
      <c r="G3665" s="33"/>
      <c r="H3665" s="33"/>
      <c r="I3665" s="34" t="str">
        <f aca="false">IF($A3665="","",$G3665-$H3665)</f>
        <v/>
      </c>
      <c r="J3665" s="35" t="str">
        <f aca="false">IF($A3665="","",IF(Setup!$B$6=1,YEAR($A3665),YEAR($A3665)+IF(MONTH($A3665)&gt;=Setup!$B$6,1,0)))</f>
        <v/>
      </c>
      <c r="K3665" s="35" t="str">
        <f aca="false">IF($A3665="","",MOD(MONTH($A3665)-Setup!$B$6+12,12)+1)</f>
        <v/>
      </c>
      <c r="L3665" s="36" t="str">
        <f aca="false">IF($A3665="","",TEXT($A3665,"MMM-YY"))</f>
        <v/>
      </c>
      <c r="M3665" s="37" t="str">
        <f aca="false">IF($A3665="","",IF($Q3665=0,"UNMAPPED",INDEX(COA_Mapping!$C$7:$C$256,$Q3665)))</f>
        <v/>
      </c>
      <c r="N3665" s="38" t="str">
        <f aca="false">IF($A3665="","",IF($Q3665=0,"",INDEX(COA_Mapping!$E$7:$E$256,$Q3665)))</f>
        <v/>
      </c>
      <c r="O3665" s="38" t="n">
        <f aca="false">IF($A3665="",1,IF($Q3665=0,1,INDEX(COA_Mapping!$F$7:$F$256,$Q3665)))</f>
        <v>1</v>
      </c>
      <c r="P3665" s="34" t="str">
        <f aca="false">IF($A3665="","",$I3665*$O3665)</f>
        <v/>
      </c>
      <c r="Q3665" s="39" t="n">
        <f aca="false">IF($B3665="",0,IFERROR(MATCH($B3665,COA_Mapping!$A$7:$A$256,0),0))</f>
        <v>0</v>
      </c>
      <c r="R3665" s="39" t="n">
        <f aca="false">IF($A3665="",-1,IF($J3665=Setup!$B$7,1,IF($J3665=Setup!$B$9,0,-1)))</f>
        <v>-1</v>
      </c>
      <c r="S3665" s="35" t="n">
        <f aca="false">IF(OR($A3665="",$Q3665=0,$R3665=-1),0,$Q3665*1000+$R3665*100+$K3665)</f>
        <v>0</v>
      </c>
      <c r="T3665" s="37" t="str">
        <f aca="false">IF($A3665="","",IF($B3665="","NO ACCOUNT",IF($Q3665=0,"UNMAPPED",IF($R3665=-1,"OUTSIDE FY RANGE","OK"))))</f>
        <v/>
      </c>
      <c r="U3665" s="40" t="str">
        <f aca="false">IF($A3665="","",$B3665&amp;"|"&amp;TEXT($A3665,"yyyymmdd")&amp;"|"&amp;TEXT($I3665,"0.00"))</f>
        <v/>
      </c>
      <c r="V3665" s="35" t="str">
        <f aca="false">IF($A3665="","",COUNTIF($U$8:$U$5007,$U3665))</f>
        <v/>
      </c>
    </row>
    <row r="3666" customFormat="false" ht="15" hidden="false" customHeight="false" outlineLevel="0" collapsed="false">
      <c r="A3666" s="31"/>
      <c r="B3666" s="32"/>
      <c r="C3666" s="32"/>
      <c r="D3666" s="32"/>
      <c r="E3666" s="32"/>
      <c r="F3666" s="32"/>
      <c r="G3666" s="33"/>
      <c r="H3666" s="33"/>
      <c r="I3666" s="34" t="str">
        <f aca="false">IF($A3666="","",$G3666-$H3666)</f>
        <v/>
      </c>
      <c r="J3666" s="35" t="str">
        <f aca="false">IF($A3666="","",IF(Setup!$B$6=1,YEAR($A3666),YEAR($A3666)+IF(MONTH($A3666)&gt;=Setup!$B$6,1,0)))</f>
        <v/>
      </c>
      <c r="K3666" s="35" t="str">
        <f aca="false">IF($A3666="","",MOD(MONTH($A3666)-Setup!$B$6+12,12)+1)</f>
        <v/>
      </c>
      <c r="L3666" s="36" t="str">
        <f aca="false">IF($A3666="","",TEXT($A3666,"MMM-YY"))</f>
        <v/>
      </c>
      <c r="M3666" s="37" t="str">
        <f aca="false">IF($A3666="","",IF($Q3666=0,"UNMAPPED",INDEX(COA_Mapping!$C$7:$C$256,$Q3666)))</f>
        <v/>
      </c>
      <c r="N3666" s="38" t="str">
        <f aca="false">IF($A3666="","",IF($Q3666=0,"",INDEX(COA_Mapping!$E$7:$E$256,$Q3666)))</f>
        <v/>
      </c>
      <c r="O3666" s="38" t="n">
        <f aca="false">IF($A3666="",1,IF($Q3666=0,1,INDEX(COA_Mapping!$F$7:$F$256,$Q3666)))</f>
        <v>1</v>
      </c>
      <c r="P3666" s="34" t="str">
        <f aca="false">IF($A3666="","",$I3666*$O3666)</f>
        <v/>
      </c>
      <c r="Q3666" s="39" t="n">
        <f aca="false">IF($B3666="",0,IFERROR(MATCH($B3666,COA_Mapping!$A$7:$A$256,0),0))</f>
        <v>0</v>
      </c>
      <c r="R3666" s="39" t="n">
        <f aca="false">IF($A3666="",-1,IF($J3666=Setup!$B$7,1,IF($J3666=Setup!$B$9,0,-1)))</f>
        <v>-1</v>
      </c>
      <c r="S3666" s="35" t="n">
        <f aca="false">IF(OR($A3666="",$Q3666=0,$R3666=-1),0,$Q3666*1000+$R3666*100+$K3666)</f>
        <v>0</v>
      </c>
      <c r="T3666" s="37" t="str">
        <f aca="false">IF($A3666="","",IF($B3666="","NO ACCOUNT",IF($Q3666=0,"UNMAPPED",IF($R3666=-1,"OUTSIDE FY RANGE","OK"))))</f>
        <v/>
      </c>
      <c r="U3666" s="40" t="str">
        <f aca="false">IF($A3666="","",$B3666&amp;"|"&amp;TEXT($A3666,"yyyymmdd")&amp;"|"&amp;TEXT($I3666,"0.00"))</f>
        <v/>
      </c>
      <c r="V3666" s="35" t="str">
        <f aca="false">IF($A3666="","",COUNTIF($U$8:$U$5007,$U3666))</f>
        <v/>
      </c>
    </row>
    <row r="3667" customFormat="false" ht="15" hidden="false" customHeight="false" outlineLevel="0" collapsed="false">
      <c r="A3667" s="31"/>
      <c r="B3667" s="32"/>
      <c r="C3667" s="32"/>
      <c r="D3667" s="32"/>
      <c r="E3667" s="32"/>
      <c r="F3667" s="32"/>
      <c r="G3667" s="33"/>
      <c r="H3667" s="33"/>
      <c r="I3667" s="34" t="str">
        <f aca="false">IF($A3667="","",$G3667-$H3667)</f>
        <v/>
      </c>
      <c r="J3667" s="35" t="str">
        <f aca="false">IF($A3667="","",IF(Setup!$B$6=1,YEAR($A3667),YEAR($A3667)+IF(MONTH($A3667)&gt;=Setup!$B$6,1,0)))</f>
        <v/>
      </c>
      <c r="K3667" s="35" t="str">
        <f aca="false">IF($A3667="","",MOD(MONTH($A3667)-Setup!$B$6+12,12)+1)</f>
        <v/>
      </c>
      <c r="L3667" s="36" t="str">
        <f aca="false">IF($A3667="","",TEXT($A3667,"MMM-YY"))</f>
        <v/>
      </c>
      <c r="M3667" s="37" t="str">
        <f aca="false">IF($A3667="","",IF($Q3667=0,"UNMAPPED",INDEX(COA_Mapping!$C$7:$C$256,$Q3667)))</f>
        <v/>
      </c>
      <c r="N3667" s="38" t="str">
        <f aca="false">IF($A3667="","",IF($Q3667=0,"",INDEX(COA_Mapping!$E$7:$E$256,$Q3667)))</f>
        <v/>
      </c>
      <c r="O3667" s="38" t="n">
        <f aca="false">IF($A3667="",1,IF($Q3667=0,1,INDEX(COA_Mapping!$F$7:$F$256,$Q3667)))</f>
        <v>1</v>
      </c>
      <c r="P3667" s="34" t="str">
        <f aca="false">IF($A3667="","",$I3667*$O3667)</f>
        <v/>
      </c>
      <c r="Q3667" s="39" t="n">
        <f aca="false">IF($B3667="",0,IFERROR(MATCH($B3667,COA_Mapping!$A$7:$A$256,0),0))</f>
        <v>0</v>
      </c>
      <c r="R3667" s="39" t="n">
        <f aca="false">IF($A3667="",-1,IF($J3667=Setup!$B$7,1,IF($J3667=Setup!$B$9,0,-1)))</f>
        <v>-1</v>
      </c>
      <c r="S3667" s="35" t="n">
        <f aca="false">IF(OR($A3667="",$Q3667=0,$R3667=-1),0,$Q3667*1000+$R3667*100+$K3667)</f>
        <v>0</v>
      </c>
      <c r="T3667" s="37" t="str">
        <f aca="false">IF($A3667="","",IF($B3667="","NO ACCOUNT",IF($Q3667=0,"UNMAPPED",IF($R3667=-1,"OUTSIDE FY RANGE","OK"))))</f>
        <v/>
      </c>
      <c r="U3667" s="40" t="str">
        <f aca="false">IF($A3667="","",$B3667&amp;"|"&amp;TEXT($A3667,"yyyymmdd")&amp;"|"&amp;TEXT($I3667,"0.00"))</f>
        <v/>
      </c>
      <c r="V3667" s="35" t="str">
        <f aca="false">IF($A3667="","",COUNTIF($U$8:$U$5007,$U3667))</f>
        <v/>
      </c>
    </row>
    <row r="3668" customFormat="false" ht="15" hidden="false" customHeight="false" outlineLevel="0" collapsed="false">
      <c r="A3668" s="31"/>
      <c r="B3668" s="32"/>
      <c r="C3668" s="32"/>
      <c r="D3668" s="32"/>
      <c r="E3668" s="32"/>
      <c r="F3668" s="32"/>
      <c r="G3668" s="33"/>
      <c r="H3668" s="33"/>
      <c r="I3668" s="34" t="str">
        <f aca="false">IF($A3668="","",$G3668-$H3668)</f>
        <v/>
      </c>
      <c r="J3668" s="35" t="str">
        <f aca="false">IF($A3668="","",IF(Setup!$B$6=1,YEAR($A3668),YEAR($A3668)+IF(MONTH($A3668)&gt;=Setup!$B$6,1,0)))</f>
        <v/>
      </c>
      <c r="K3668" s="35" t="str">
        <f aca="false">IF($A3668="","",MOD(MONTH($A3668)-Setup!$B$6+12,12)+1)</f>
        <v/>
      </c>
      <c r="L3668" s="36" t="str">
        <f aca="false">IF($A3668="","",TEXT($A3668,"MMM-YY"))</f>
        <v/>
      </c>
      <c r="M3668" s="37" t="str">
        <f aca="false">IF($A3668="","",IF($Q3668=0,"UNMAPPED",INDEX(COA_Mapping!$C$7:$C$256,$Q3668)))</f>
        <v/>
      </c>
      <c r="N3668" s="38" t="str">
        <f aca="false">IF($A3668="","",IF($Q3668=0,"",INDEX(COA_Mapping!$E$7:$E$256,$Q3668)))</f>
        <v/>
      </c>
      <c r="O3668" s="38" t="n">
        <f aca="false">IF($A3668="",1,IF($Q3668=0,1,INDEX(COA_Mapping!$F$7:$F$256,$Q3668)))</f>
        <v>1</v>
      </c>
      <c r="P3668" s="34" t="str">
        <f aca="false">IF($A3668="","",$I3668*$O3668)</f>
        <v/>
      </c>
      <c r="Q3668" s="39" t="n">
        <f aca="false">IF($B3668="",0,IFERROR(MATCH($B3668,COA_Mapping!$A$7:$A$256,0),0))</f>
        <v>0</v>
      </c>
      <c r="R3668" s="39" t="n">
        <f aca="false">IF($A3668="",-1,IF($J3668=Setup!$B$7,1,IF($J3668=Setup!$B$9,0,-1)))</f>
        <v>-1</v>
      </c>
      <c r="S3668" s="35" t="n">
        <f aca="false">IF(OR($A3668="",$Q3668=0,$R3668=-1),0,$Q3668*1000+$R3668*100+$K3668)</f>
        <v>0</v>
      </c>
      <c r="T3668" s="37" t="str">
        <f aca="false">IF($A3668="","",IF($B3668="","NO ACCOUNT",IF($Q3668=0,"UNMAPPED",IF($R3668=-1,"OUTSIDE FY RANGE","OK"))))</f>
        <v/>
      </c>
      <c r="U3668" s="40" t="str">
        <f aca="false">IF($A3668="","",$B3668&amp;"|"&amp;TEXT($A3668,"yyyymmdd")&amp;"|"&amp;TEXT($I3668,"0.00"))</f>
        <v/>
      </c>
      <c r="V3668" s="35" t="str">
        <f aca="false">IF($A3668="","",COUNTIF($U$8:$U$5007,$U3668))</f>
        <v/>
      </c>
    </row>
    <row r="3669" customFormat="false" ht="15" hidden="false" customHeight="false" outlineLevel="0" collapsed="false">
      <c r="A3669" s="31"/>
      <c r="B3669" s="32"/>
      <c r="C3669" s="32"/>
      <c r="D3669" s="32"/>
      <c r="E3669" s="32"/>
      <c r="F3669" s="32"/>
      <c r="G3669" s="33"/>
      <c r="H3669" s="33"/>
      <c r="I3669" s="34" t="str">
        <f aca="false">IF($A3669="","",$G3669-$H3669)</f>
        <v/>
      </c>
      <c r="J3669" s="35" t="str">
        <f aca="false">IF($A3669="","",IF(Setup!$B$6=1,YEAR($A3669),YEAR($A3669)+IF(MONTH($A3669)&gt;=Setup!$B$6,1,0)))</f>
        <v/>
      </c>
      <c r="K3669" s="35" t="str">
        <f aca="false">IF($A3669="","",MOD(MONTH($A3669)-Setup!$B$6+12,12)+1)</f>
        <v/>
      </c>
      <c r="L3669" s="36" t="str">
        <f aca="false">IF($A3669="","",TEXT($A3669,"MMM-YY"))</f>
        <v/>
      </c>
      <c r="M3669" s="37" t="str">
        <f aca="false">IF($A3669="","",IF($Q3669=0,"UNMAPPED",INDEX(COA_Mapping!$C$7:$C$256,$Q3669)))</f>
        <v/>
      </c>
      <c r="N3669" s="38" t="str">
        <f aca="false">IF($A3669="","",IF($Q3669=0,"",INDEX(COA_Mapping!$E$7:$E$256,$Q3669)))</f>
        <v/>
      </c>
      <c r="O3669" s="38" t="n">
        <f aca="false">IF($A3669="",1,IF($Q3669=0,1,INDEX(COA_Mapping!$F$7:$F$256,$Q3669)))</f>
        <v>1</v>
      </c>
      <c r="P3669" s="34" t="str">
        <f aca="false">IF($A3669="","",$I3669*$O3669)</f>
        <v/>
      </c>
      <c r="Q3669" s="39" t="n">
        <f aca="false">IF($B3669="",0,IFERROR(MATCH($B3669,COA_Mapping!$A$7:$A$256,0),0))</f>
        <v>0</v>
      </c>
      <c r="R3669" s="39" t="n">
        <f aca="false">IF($A3669="",-1,IF($J3669=Setup!$B$7,1,IF($J3669=Setup!$B$9,0,-1)))</f>
        <v>-1</v>
      </c>
      <c r="S3669" s="35" t="n">
        <f aca="false">IF(OR($A3669="",$Q3669=0,$R3669=-1),0,$Q3669*1000+$R3669*100+$K3669)</f>
        <v>0</v>
      </c>
      <c r="T3669" s="37" t="str">
        <f aca="false">IF($A3669="","",IF($B3669="","NO ACCOUNT",IF($Q3669=0,"UNMAPPED",IF($R3669=-1,"OUTSIDE FY RANGE","OK"))))</f>
        <v/>
      </c>
      <c r="U3669" s="40" t="str">
        <f aca="false">IF($A3669="","",$B3669&amp;"|"&amp;TEXT($A3669,"yyyymmdd")&amp;"|"&amp;TEXT($I3669,"0.00"))</f>
        <v/>
      </c>
      <c r="V3669" s="35" t="str">
        <f aca="false">IF($A3669="","",COUNTIF($U$8:$U$5007,$U3669))</f>
        <v/>
      </c>
    </row>
    <row r="3670" customFormat="false" ht="15" hidden="false" customHeight="false" outlineLevel="0" collapsed="false">
      <c r="A3670" s="31"/>
      <c r="B3670" s="32"/>
      <c r="C3670" s="32"/>
      <c r="D3670" s="32"/>
      <c r="E3670" s="32"/>
      <c r="F3670" s="32"/>
      <c r="G3670" s="33"/>
      <c r="H3670" s="33"/>
      <c r="I3670" s="34" t="str">
        <f aca="false">IF($A3670="","",$G3670-$H3670)</f>
        <v/>
      </c>
      <c r="J3670" s="35" t="str">
        <f aca="false">IF($A3670="","",IF(Setup!$B$6=1,YEAR($A3670),YEAR($A3670)+IF(MONTH($A3670)&gt;=Setup!$B$6,1,0)))</f>
        <v/>
      </c>
      <c r="K3670" s="35" t="str">
        <f aca="false">IF($A3670="","",MOD(MONTH($A3670)-Setup!$B$6+12,12)+1)</f>
        <v/>
      </c>
      <c r="L3670" s="36" t="str">
        <f aca="false">IF($A3670="","",TEXT($A3670,"MMM-YY"))</f>
        <v/>
      </c>
      <c r="M3670" s="37" t="str">
        <f aca="false">IF($A3670="","",IF($Q3670=0,"UNMAPPED",INDEX(COA_Mapping!$C$7:$C$256,$Q3670)))</f>
        <v/>
      </c>
      <c r="N3670" s="38" t="str">
        <f aca="false">IF($A3670="","",IF($Q3670=0,"",INDEX(COA_Mapping!$E$7:$E$256,$Q3670)))</f>
        <v/>
      </c>
      <c r="O3670" s="38" t="n">
        <f aca="false">IF($A3670="",1,IF($Q3670=0,1,INDEX(COA_Mapping!$F$7:$F$256,$Q3670)))</f>
        <v>1</v>
      </c>
      <c r="P3670" s="34" t="str">
        <f aca="false">IF($A3670="","",$I3670*$O3670)</f>
        <v/>
      </c>
      <c r="Q3670" s="39" t="n">
        <f aca="false">IF($B3670="",0,IFERROR(MATCH($B3670,COA_Mapping!$A$7:$A$256,0),0))</f>
        <v>0</v>
      </c>
      <c r="R3670" s="39" t="n">
        <f aca="false">IF($A3670="",-1,IF($J3670=Setup!$B$7,1,IF($J3670=Setup!$B$9,0,-1)))</f>
        <v>-1</v>
      </c>
      <c r="S3670" s="35" t="n">
        <f aca="false">IF(OR($A3670="",$Q3670=0,$R3670=-1),0,$Q3670*1000+$R3670*100+$K3670)</f>
        <v>0</v>
      </c>
      <c r="T3670" s="37" t="str">
        <f aca="false">IF($A3670="","",IF($B3670="","NO ACCOUNT",IF($Q3670=0,"UNMAPPED",IF($R3670=-1,"OUTSIDE FY RANGE","OK"))))</f>
        <v/>
      </c>
      <c r="U3670" s="40" t="str">
        <f aca="false">IF($A3670="","",$B3670&amp;"|"&amp;TEXT($A3670,"yyyymmdd")&amp;"|"&amp;TEXT($I3670,"0.00"))</f>
        <v/>
      </c>
      <c r="V3670" s="35" t="str">
        <f aca="false">IF($A3670="","",COUNTIF($U$8:$U$5007,$U3670))</f>
        <v/>
      </c>
    </row>
    <row r="3671" customFormat="false" ht="15" hidden="false" customHeight="false" outlineLevel="0" collapsed="false">
      <c r="A3671" s="31"/>
      <c r="B3671" s="32"/>
      <c r="C3671" s="32"/>
      <c r="D3671" s="32"/>
      <c r="E3671" s="32"/>
      <c r="F3671" s="32"/>
      <c r="G3671" s="33"/>
      <c r="H3671" s="33"/>
      <c r="I3671" s="34" t="str">
        <f aca="false">IF($A3671="","",$G3671-$H3671)</f>
        <v/>
      </c>
      <c r="J3671" s="35" t="str">
        <f aca="false">IF($A3671="","",IF(Setup!$B$6=1,YEAR($A3671),YEAR($A3671)+IF(MONTH($A3671)&gt;=Setup!$B$6,1,0)))</f>
        <v/>
      </c>
      <c r="K3671" s="35" t="str">
        <f aca="false">IF($A3671="","",MOD(MONTH($A3671)-Setup!$B$6+12,12)+1)</f>
        <v/>
      </c>
      <c r="L3671" s="36" t="str">
        <f aca="false">IF($A3671="","",TEXT($A3671,"MMM-YY"))</f>
        <v/>
      </c>
      <c r="M3671" s="37" t="str">
        <f aca="false">IF($A3671="","",IF($Q3671=0,"UNMAPPED",INDEX(COA_Mapping!$C$7:$C$256,$Q3671)))</f>
        <v/>
      </c>
      <c r="N3671" s="38" t="str">
        <f aca="false">IF($A3671="","",IF($Q3671=0,"",INDEX(COA_Mapping!$E$7:$E$256,$Q3671)))</f>
        <v/>
      </c>
      <c r="O3671" s="38" t="n">
        <f aca="false">IF($A3671="",1,IF($Q3671=0,1,INDEX(COA_Mapping!$F$7:$F$256,$Q3671)))</f>
        <v>1</v>
      </c>
      <c r="P3671" s="34" t="str">
        <f aca="false">IF($A3671="","",$I3671*$O3671)</f>
        <v/>
      </c>
      <c r="Q3671" s="39" t="n">
        <f aca="false">IF($B3671="",0,IFERROR(MATCH($B3671,COA_Mapping!$A$7:$A$256,0),0))</f>
        <v>0</v>
      </c>
      <c r="R3671" s="39" t="n">
        <f aca="false">IF($A3671="",-1,IF($J3671=Setup!$B$7,1,IF($J3671=Setup!$B$9,0,-1)))</f>
        <v>-1</v>
      </c>
      <c r="S3671" s="35" t="n">
        <f aca="false">IF(OR($A3671="",$Q3671=0,$R3671=-1),0,$Q3671*1000+$R3671*100+$K3671)</f>
        <v>0</v>
      </c>
      <c r="T3671" s="37" t="str">
        <f aca="false">IF($A3671="","",IF($B3671="","NO ACCOUNT",IF($Q3671=0,"UNMAPPED",IF($R3671=-1,"OUTSIDE FY RANGE","OK"))))</f>
        <v/>
      </c>
      <c r="U3671" s="40" t="str">
        <f aca="false">IF($A3671="","",$B3671&amp;"|"&amp;TEXT($A3671,"yyyymmdd")&amp;"|"&amp;TEXT($I3671,"0.00"))</f>
        <v/>
      </c>
      <c r="V3671" s="35" t="str">
        <f aca="false">IF($A3671="","",COUNTIF($U$8:$U$5007,$U3671))</f>
        <v/>
      </c>
    </row>
    <row r="3672" customFormat="false" ht="15" hidden="false" customHeight="false" outlineLevel="0" collapsed="false">
      <c r="A3672" s="31"/>
      <c r="B3672" s="32"/>
      <c r="C3672" s="32"/>
      <c r="D3672" s="32"/>
      <c r="E3672" s="32"/>
      <c r="F3672" s="32"/>
      <c r="G3672" s="33"/>
      <c r="H3672" s="33"/>
      <c r="I3672" s="34" t="str">
        <f aca="false">IF($A3672="","",$G3672-$H3672)</f>
        <v/>
      </c>
      <c r="J3672" s="35" t="str">
        <f aca="false">IF($A3672="","",IF(Setup!$B$6=1,YEAR($A3672),YEAR($A3672)+IF(MONTH($A3672)&gt;=Setup!$B$6,1,0)))</f>
        <v/>
      </c>
      <c r="K3672" s="35" t="str">
        <f aca="false">IF($A3672="","",MOD(MONTH($A3672)-Setup!$B$6+12,12)+1)</f>
        <v/>
      </c>
      <c r="L3672" s="36" t="str">
        <f aca="false">IF($A3672="","",TEXT($A3672,"MMM-YY"))</f>
        <v/>
      </c>
      <c r="M3672" s="37" t="str">
        <f aca="false">IF($A3672="","",IF($Q3672=0,"UNMAPPED",INDEX(COA_Mapping!$C$7:$C$256,$Q3672)))</f>
        <v/>
      </c>
      <c r="N3672" s="38" t="str">
        <f aca="false">IF($A3672="","",IF($Q3672=0,"",INDEX(COA_Mapping!$E$7:$E$256,$Q3672)))</f>
        <v/>
      </c>
      <c r="O3672" s="38" t="n">
        <f aca="false">IF($A3672="",1,IF($Q3672=0,1,INDEX(COA_Mapping!$F$7:$F$256,$Q3672)))</f>
        <v>1</v>
      </c>
      <c r="P3672" s="34" t="str">
        <f aca="false">IF($A3672="","",$I3672*$O3672)</f>
        <v/>
      </c>
      <c r="Q3672" s="39" t="n">
        <f aca="false">IF($B3672="",0,IFERROR(MATCH($B3672,COA_Mapping!$A$7:$A$256,0),0))</f>
        <v>0</v>
      </c>
      <c r="R3672" s="39" t="n">
        <f aca="false">IF($A3672="",-1,IF($J3672=Setup!$B$7,1,IF($J3672=Setup!$B$9,0,-1)))</f>
        <v>-1</v>
      </c>
      <c r="S3672" s="35" t="n">
        <f aca="false">IF(OR($A3672="",$Q3672=0,$R3672=-1),0,$Q3672*1000+$R3672*100+$K3672)</f>
        <v>0</v>
      </c>
      <c r="T3672" s="37" t="str">
        <f aca="false">IF($A3672="","",IF($B3672="","NO ACCOUNT",IF($Q3672=0,"UNMAPPED",IF($R3672=-1,"OUTSIDE FY RANGE","OK"))))</f>
        <v/>
      </c>
      <c r="U3672" s="40" t="str">
        <f aca="false">IF($A3672="","",$B3672&amp;"|"&amp;TEXT($A3672,"yyyymmdd")&amp;"|"&amp;TEXT($I3672,"0.00"))</f>
        <v/>
      </c>
      <c r="V3672" s="35" t="str">
        <f aca="false">IF($A3672="","",COUNTIF($U$8:$U$5007,$U3672))</f>
        <v/>
      </c>
    </row>
    <row r="3673" customFormat="false" ht="15" hidden="false" customHeight="false" outlineLevel="0" collapsed="false">
      <c r="A3673" s="31"/>
      <c r="B3673" s="32"/>
      <c r="C3673" s="32"/>
      <c r="D3673" s="32"/>
      <c r="E3673" s="32"/>
      <c r="F3673" s="32"/>
      <c r="G3673" s="33"/>
      <c r="H3673" s="33"/>
      <c r="I3673" s="34" t="str">
        <f aca="false">IF($A3673="","",$G3673-$H3673)</f>
        <v/>
      </c>
      <c r="J3673" s="35" t="str">
        <f aca="false">IF($A3673="","",IF(Setup!$B$6=1,YEAR($A3673),YEAR($A3673)+IF(MONTH($A3673)&gt;=Setup!$B$6,1,0)))</f>
        <v/>
      </c>
      <c r="K3673" s="35" t="str">
        <f aca="false">IF($A3673="","",MOD(MONTH($A3673)-Setup!$B$6+12,12)+1)</f>
        <v/>
      </c>
      <c r="L3673" s="36" t="str">
        <f aca="false">IF($A3673="","",TEXT($A3673,"MMM-YY"))</f>
        <v/>
      </c>
      <c r="M3673" s="37" t="str">
        <f aca="false">IF($A3673="","",IF($Q3673=0,"UNMAPPED",INDEX(COA_Mapping!$C$7:$C$256,$Q3673)))</f>
        <v/>
      </c>
      <c r="N3673" s="38" t="str">
        <f aca="false">IF($A3673="","",IF($Q3673=0,"",INDEX(COA_Mapping!$E$7:$E$256,$Q3673)))</f>
        <v/>
      </c>
      <c r="O3673" s="38" t="n">
        <f aca="false">IF($A3673="",1,IF($Q3673=0,1,INDEX(COA_Mapping!$F$7:$F$256,$Q3673)))</f>
        <v>1</v>
      </c>
      <c r="P3673" s="34" t="str">
        <f aca="false">IF($A3673="","",$I3673*$O3673)</f>
        <v/>
      </c>
      <c r="Q3673" s="39" t="n">
        <f aca="false">IF($B3673="",0,IFERROR(MATCH($B3673,COA_Mapping!$A$7:$A$256,0),0))</f>
        <v>0</v>
      </c>
      <c r="R3673" s="39" t="n">
        <f aca="false">IF($A3673="",-1,IF($J3673=Setup!$B$7,1,IF($J3673=Setup!$B$9,0,-1)))</f>
        <v>-1</v>
      </c>
      <c r="S3673" s="35" t="n">
        <f aca="false">IF(OR($A3673="",$Q3673=0,$R3673=-1),0,$Q3673*1000+$R3673*100+$K3673)</f>
        <v>0</v>
      </c>
      <c r="T3673" s="37" t="str">
        <f aca="false">IF($A3673="","",IF($B3673="","NO ACCOUNT",IF($Q3673=0,"UNMAPPED",IF($R3673=-1,"OUTSIDE FY RANGE","OK"))))</f>
        <v/>
      </c>
      <c r="U3673" s="40" t="str">
        <f aca="false">IF($A3673="","",$B3673&amp;"|"&amp;TEXT($A3673,"yyyymmdd")&amp;"|"&amp;TEXT($I3673,"0.00"))</f>
        <v/>
      </c>
      <c r="V3673" s="35" t="str">
        <f aca="false">IF($A3673="","",COUNTIF($U$8:$U$5007,$U3673))</f>
        <v/>
      </c>
    </row>
    <row r="3674" customFormat="false" ht="15" hidden="false" customHeight="false" outlineLevel="0" collapsed="false">
      <c r="A3674" s="31"/>
      <c r="B3674" s="32"/>
      <c r="C3674" s="32"/>
      <c r="D3674" s="32"/>
      <c r="E3674" s="32"/>
      <c r="F3674" s="32"/>
      <c r="G3674" s="33"/>
      <c r="H3674" s="33"/>
      <c r="I3674" s="34" t="str">
        <f aca="false">IF($A3674="","",$G3674-$H3674)</f>
        <v/>
      </c>
      <c r="J3674" s="35" t="str">
        <f aca="false">IF($A3674="","",IF(Setup!$B$6=1,YEAR($A3674),YEAR($A3674)+IF(MONTH($A3674)&gt;=Setup!$B$6,1,0)))</f>
        <v/>
      </c>
      <c r="K3674" s="35" t="str">
        <f aca="false">IF($A3674="","",MOD(MONTH($A3674)-Setup!$B$6+12,12)+1)</f>
        <v/>
      </c>
      <c r="L3674" s="36" t="str">
        <f aca="false">IF($A3674="","",TEXT($A3674,"MMM-YY"))</f>
        <v/>
      </c>
      <c r="M3674" s="37" t="str">
        <f aca="false">IF($A3674="","",IF($Q3674=0,"UNMAPPED",INDEX(COA_Mapping!$C$7:$C$256,$Q3674)))</f>
        <v/>
      </c>
      <c r="N3674" s="38" t="str">
        <f aca="false">IF($A3674="","",IF($Q3674=0,"",INDEX(COA_Mapping!$E$7:$E$256,$Q3674)))</f>
        <v/>
      </c>
      <c r="O3674" s="38" t="n">
        <f aca="false">IF($A3674="",1,IF($Q3674=0,1,INDEX(COA_Mapping!$F$7:$F$256,$Q3674)))</f>
        <v>1</v>
      </c>
      <c r="P3674" s="34" t="str">
        <f aca="false">IF($A3674="","",$I3674*$O3674)</f>
        <v/>
      </c>
      <c r="Q3674" s="39" t="n">
        <f aca="false">IF($B3674="",0,IFERROR(MATCH($B3674,COA_Mapping!$A$7:$A$256,0),0))</f>
        <v>0</v>
      </c>
      <c r="R3674" s="39" t="n">
        <f aca="false">IF($A3674="",-1,IF($J3674=Setup!$B$7,1,IF($J3674=Setup!$B$9,0,-1)))</f>
        <v>-1</v>
      </c>
      <c r="S3674" s="35" t="n">
        <f aca="false">IF(OR($A3674="",$Q3674=0,$R3674=-1),0,$Q3674*1000+$R3674*100+$K3674)</f>
        <v>0</v>
      </c>
      <c r="T3674" s="37" t="str">
        <f aca="false">IF($A3674="","",IF($B3674="","NO ACCOUNT",IF($Q3674=0,"UNMAPPED",IF($R3674=-1,"OUTSIDE FY RANGE","OK"))))</f>
        <v/>
      </c>
      <c r="U3674" s="40" t="str">
        <f aca="false">IF($A3674="","",$B3674&amp;"|"&amp;TEXT($A3674,"yyyymmdd")&amp;"|"&amp;TEXT($I3674,"0.00"))</f>
        <v/>
      </c>
      <c r="V3674" s="35" t="str">
        <f aca="false">IF($A3674="","",COUNTIF($U$8:$U$5007,$U3674))</f>
        <v/>
      </c>
    </row>
    <row r="3675" customFormat="false" ht="15" hidden="false" customHeight="false" outlineLevel="0" collapsed="false">
      <c r="A3675" s="31"/>
      <c r="B3675" s="32"/>
      <c r="C3675" s="32"/>
      <c r="D3675" s="32"/>
      <c r="E3675" s="32"/>
      <c r="F3675" s="32"/>
      <c r="G3675" s="33"/>
      <c r="H3675" s="33"/>
      <c r="I3675" s="34" t="str">
        <f aca="false">IF($A3675="","",$G3675-$H3675)</f>
        <v/>
      </c>
      <c r="J3675" s="35" t="str">
        <f aca="false">IF($A3675="","",IF(Setup!$B$6=1,YEAR($A3675),YEAR($A3675)+IF(MONTH($A3675)&gt;=Setup!$B$6,1,0)))</f>
        <v/>
      </c>
      <c r="K3675" s="35" t="str">
        <f aca="false">IF($A3675="","",MOD(MONTH($A3675)-Setup!$B$6+12,12)+1)</f>
        <v/>
      </c>
      <c r="L3675" s="36" t="str">
        <f aca="false">IF($A3675="","",TEXT($A3675,"MMM-YY"))</f>
        <v/>
      </c>
      <c r="M3675" s="37" t="str">
        <f aca="false">IF($A3675="","",IF($Q3675=0,"UNMAPPED",INDEX(COA_Mapping!$C$7:$C$256,$Q3675)))</f>
        <v/>
      </c>
      <c r="N3675" s="38" t="str">
        <f aca="false">IF($A3675="","",IF($Q3675=0,"",INDEX(COA_Mapping!$E$7:$E$256,$Q3675)))</f>
        <v/>
      </c>
      <c r="O3675" s="38" t="n">
        <f aca="false">IF($A3675="",1,IF($Q3675=0,1,INDEX(COA_Mapping!$F$7:$F$256,$Q3675)))</f>
        <v>1</v>
      </c>
      <c r="P3675" s="34" t="str">
        <f aca="false">IF($A3675="","",$I3675*$O3675)</f>
        <v/>
      </c>
      <c r="Q3675" s="39" t="n">
        <f aca="false">IF($B3675="",0,IFERROR(MATCH($B3675,COA_Mapping!$A$7:$A$256,0),0))</f>
        <v>0</v>
      </c>
      <c r="R3675" s="39" t="n">
        <f aca="false">IF($A3675="",-1,IF($J3675=Setup!$B$7,1,IF($J3675=Setup!$B$9,0,-1)))</f>
        <v>-1</v>
      </c>
      <c r="S3675" s="35" t="n">
        <f aca="false">IF(OR($A3675="",$Q3675=0,$R3675=-1),0,$Q3675*1000+$R3675*100+$K3675)</f>
        <v>0</v>
      </c>
      <c r="T3675" s="37" t="str">
        <f aca="false">IF($A3675="","",IF($B3675="","NO ACCOUNT",IF($Q3675=0,"UNMAPPED",IF($R3675=-1,"OUTSIDE FY RANGE","OK"))))</f>
        <v/>
      </c>
      <c r="U3675" s="40" t="str">
        <f aca="false">IF($A3675="","",$B3675&amp;"|"&amp;TEXT($A3675,"yyyymmdd")&amp;"|"&amp;TEXT($I3675,"0.00"))</f>
        <v/>
      </c>
      <c r="V3675" s="35" t="str">
        <f aca="false">IF($A3675="","",COUNTIF($U$8:$U$5007,$U3675))</f>
        <v/>
      </c>
    </row>
    <row r="3676" customFormat="false" ht="15" hidden="false" customHeight="false" outlineLevel="0" collapsed="false">
      <c r="A3676" s="31"/>
      <c r="B3676" s="32"/>
      <c r="C3676" s="32"/>
      <c r="D3676" s="32"/>
      <c r="E3676" s="32"/>
      <c r="F3676" s="32"/>
      <c r="G3676" s="33"/>
      <c r="H3676" s="33"/>
      <c r="I3676" s="34" t="str">
        <f aca="false">IF($A3676="","",$G3676-$H3676)</f>
        <v/>
      </c>
      <c r="J3676" s="35" t="str">
        <f aca="false">IF($A3676="","",IF(Setup!$B$6=1,YEAR($A3676),YEAR($A3676)+IF(MONTH($A3676)&gt;=Setup!$B$6,1,0)))</f>
        <v/>
      </c>
      <c r="K3676" s="35" t="str">
        <f aca="false">IF($A3676="","",MOD(MONTH($A3676)-Setup!$B$6+12,12)+1)</f>
        <v/>
      </c>
      <c r="L3676" s="36" t="str">
        <f aca="false">IF($A3676="","",TEXT($A3676,"MMM-YY"))</f>
        <v/>
      </c>
      <c r="M3676" s="37" t="str">
        <f aca="false">IF($A3676="","",IF($Q3676=0,"UNMAPPED",INDEX(COA_Mapping!$C$7:$C$256,$Q3676)))</f>
        <v/>
      </c>
      <c r="N3676" s="38" t="str">
        <f aca="false">IF($A3676="","",IF($Q3676=0,"",INDEX(COA_Mapping!$E$7:$E$256,$Q3676)))</f>
        <v/>
      </c>
      <c r="O3676" s="38" t="n">
        <f aca="false">IF($A3676="",1,IF($Q3676=0,1,INDEX(COA_Mapping!$F$7:$F$256,$Q3676)))</f>
        <v>1</v>
      </c>
      <c r="P3676" s="34" t="str">
        <f aca="false">IF($A3676="","",$I3676*$O3676)</f>
        <v/>
      </c>
      <c r="Q3676" s="39" t="n">
        <f aca="false">IF($B3676="",0,IFERROR(MATCH($B3676,COA_Mapping!$A$7:$A$256,0),0))</f>
        <v>0</v>
      </c>
      <c r="R3676" s="39" t="n">
        <f aca="false">IF($A3676="",-1,IF($J3676=Setup!$B$7,1,IF($J3676=Setup!$B$9,0,-1)))</f>
        <v>-1</v>
      </c>
      <c r="S3676" s="35" t="n">
        <f aca="false">IF(OR($A3676="",$Q3676=0,$R3676=-1),0,$Q3676*1000+$R3676*100+$K3676)</f>
        <v>0</v>
      </c>
      <c r="T3676" s="37" t="str">
        <f aca="false">IF($A3676="","",IF($B3676="","NO ACCOUNT",IF($Q3676=0,"UNMAPPED",IF($R3676=-1,"OUTSIDE FY RANGE","OK"))))</f>
        <v/>
      </c>
      <c r="U3676" s="40" t="str">
        <f aca="false">IF($A3676="","",$B3676&amp;"|"&amp;TEXT($A3676,"yyyymmdd")&amp;"|"&amp;TEXT($I3676,"0.00"))</f>
        <v/>
      </c>
      <c r="V3676" s="35" t="str">
        <f aca="false">IF($A3676="","",COUNTIF($U$8:$U$5007,$U3676))</f>
        <v/>
      </c>
    </row>
    <row r="3677" customFormat="false" ht="15" hidden="false" customHeight="false" outlineLevel="0" collapsed="false">
      <c r="A3677" s="31"/>
      <c r="B3677" s="32"/>
      <c r="C3677" s="32"/>
      <c r="D3677" s="32"/>
      <c r="E3677" s="32"/>
      <c r="F3677" s="32"/>
      <c r="G3677" s="33"/>
      <c r="H3677" s="33"/>
      <c r="I3677" s="34" t="str">
        <f aca="false">IF($A3677="","",$G3677-$H3677)</f>
        <v/>
      </c>
      <c r="J3677" s="35" t="str">
        <f aca="false">IF($A3677="","",IF(Setup!$B$6=1,YEAR($A3677),YEAR($A3677)+IF(MONTH($A3677)&gt;=Setup!$B$6,1,0)))</f>
        <v/>
      </c>
      <c r="K3677" s="35" t="str">
        <f aca="false">IF($A3677="","",MOD(MONTH($A3677)-Setup!$B$6+12,12)+1)</f>
        <v/>
      </c>
      <c r="L3677" s="36" t="str">
        <f aca="false">IF($A3677="","",TEXT($A3677,"MMM-YY"))</f>
        <v/>
      </c>
      <c r="M3677" s="37" t="str">
        <f aca="false">IF($A3677="","",IF($Q3677=0,"UNMAPPED",INDEX(COA_Mapping!$C$7:$C$256,$Q3677)))</f>
        <v/>
      </c>
      <c r="N3677" s="38" t="str">
        <f aca="false">IF($A3677="","",IF($Q3677=0,"",INDEX(COA_Mapping!$E$7:$E$256,$Q3677)))</f>
        <v/>
      </c>
      <c r="O3677" s="38" t="n">
        <f aca="false">IF($A3677="",1,IF($Q3677=0,1,INDEX(COA_Mapping!$F$7:$F$256,$Q3677)))</f>
        <v>1</v>
      </c>
      <c r="P3677" s="34" t="str">
        <f aca="false">IF($A3677="","",$I3677*$O3677)</f>
        <v/>
      </c>
      <c r="Q3677" s="39" t="n">
        <f aca="false">IF($B3677="",0,IFERROR(MATCH($B3677,COA_Mapping!$A$7:$A$256,0),0))</f>
        <v>0</v>
      </c>
      <c r="R3677" s="39" t="n">
        <f aca="false">IF($A3677="",-1,IF($J3677=Setup!$B$7,1,IF($J3677=Setup!$B$9,0,-1)))</f>
        <v>-1</v>
      </c>
      <c r="S3677" s="35" t="n">
        <f aca="false">IF(OR($A3677="",$Q3677=0,$R3677=-1),0,$Q3677*1000+$R3677*100+$K3677)</f>
        <v>0</v>
      </c>
      <c r="T3677" s="37" t="str">
        <f aca="false">IF($A3677="","",IF($B3677="","NO ACCOUNT",IF($Q3677=0,"UNMAPPED",IF($R3677=-1,"OUTSIDE FY RANGE","OK"))))</f>
        <v/>
      </c>
      <c r="U3677" s="40" t="str">
        <f aca="false">IF($A3677="","",$B3677&amp;"|"&amp;TEXT($A3677,"yyyymmdd")&amp;"|"&amp;TEXT($I3677,"0.00"))</f>
        <v/>
      </c>
      <c r="V3677" s="35" t="str">
        <f aca="false">IF($A3677="","",COUNTIF($U$8:$U$5007,$U3677))</f>
        <v/>
      </c>
    </row>
    <row r="3678" customFormat="false" ht="15" hidden="false" customHeight="false" outlineLevel="0" collapsed="false">
      <c r="A3678" s="31"/>
      <c r="B3678" s="32"/>
      <c r="C3678" s="32"/>
      <c r="D3678" s="32"/>
      <c r="E3678" s="32"/>
      <c r="F3678" s="32"/>
      <c r="G3678" s="33"/>
      <c r="H3678" s="33"/>
      <c r="I3678" s="34" t="str">
        <f aca="false">IF($A3678="","",$G3678-$H3678)</f>
        <v/>
      </c>
      <c r="J3678" s="35" t="str">
        <f aca="false">IF($A3678="","",IF(Setup!$B$6=1,YEAR($A3678),YEAR($A3678)+IF(MONTH($A3678)&gt;=Setup!$B$6,1,0)))</f>
        <v/>
      </c>
      <c r="K3678" s="35" t="str">
        <f aca="false">IF($A3678="","",MOD(MONTH($A3678)-Setup!$B$6+12,12)+1)</f>
        <v/>
      </c>
      <c r="L3678" s="36" t="str">
        <f aca="false">IF($A3678="","",TEXT($A3678,"MMM-YY"))</f>
        <v/>
      </c>
      <c r="M3678" s="37" t="str">
        <f aca="false">IF($A3678="","",IF($Q3678=0,"UNMAPPED",INDEX(COA_Mapping!$C$7:$C$256,$Q3678)))</f>
        <v/>
      </c>
      <c r="N3678" s="38" t="str">
        <f aca="false">IF($A3678="","",IF($Q3678=0,"",INDEX(COA_Mapping!$E$7:$E$256,$Q3678)))</f>
        <v/>
      </c>
      <c r="O3678" s="38" t="n">
        <f aca="false">IF($A3678="",1,IF($Q3678=0,1,INDEX(COA_Mapping!$F$7:$F$256,$Q3678)))</f>
        <v>1</v>
      </c>
      <c r="P3678" s="34" t="str">
        <f aca="false">IF($A3678="","",$I3678*$O3678)</f>
        <v/>
      </c>
      <c r="Q3678" s="39" t="n">
        <f aca="false">IF($B3678="",0,IFERROR(MATCH($B3678,COA_Mapping!$A$7:$A$256,0),0))</f>
        <v>0</v>
      </c>
      <c r="R3678" s="39" t="n">
        <f aca="false">IF($A3678="",-1,IF($J3678=Setup!$B$7,1,IF($J3678=Setup!$B$9,0,-1)))</f>
        <v>-1</v>
      </c>
      <c r="S3678" s="35" t="n">
        <f aca="false">IF(OR($A3678="",$Q3678=0,$R3678=-1),0,$Q3678*1000+$R3678*100+$K3678)</f>
        <v>0</v>
      </c>
      <c r="T3678" s="37" t="str">
        <f aca="false">IF($A3678="","",IF($B3678="","NO ACCOUNT",IF($Q3678=0,"UNMAPPED",IF($R3678=-1,"OUTSIDE FY RANGE","OK"))))</f>
        <v/>
      </c>
      <c r="U3678" s="40" t="str">
        <f aca="false">IF($A3678="","",$B3678&amp;"|"&amp;TEXT($A3678,"yyyymmdd")&amp;"|"&amp;TEXT($I3678,"0.00"))</f>
        <v/>
      </c>
      <c r="V3678" s="35" t="str">
        <f aca="false">IF($A3678="","",COUNTIF($U$8:$U$5007,$U3678))</f>
        <v/>
      </c>
    </row>
    <row r="3679" customFormat="false" ht="15" hidden="false" customHeight="false" outlineLevel="0" collapsed="false">
      <c r="A3679" s="31"/>
      <c r="B3679" s="32"/>
      <c r="C3679" s="32"/>
      <c r="D3679" s="32"/>
      <c r="E3679" s="32"/>
      <c r="F3679" s="32"/>
      <c r="G3679" s="33"/>
      <c r="H3679" s="33"/>
      <c r="I3679" s="34" t="str">
        <f aca="false">IF($A3679="","",$G3679-$H3679)</f>
        <v/>
      </c>
      <c r="J3679" s="35" t="str">
        <f aca="false">IF($A3679="","",IF(Setup!$B$6=1,YEAR($A3679),YEAR($A3679)+IF(MONTH($A3679)&gt;=Setup!$B$6,1,0)))</f>
        <v/>
      </c>
      <c r="K3679" s="35" t="str">
        <f aca="false">IF($A3679="","",MOD(MONTH($A3679)-Setup!$B$6+12,12)+1)</f>
        <v/>
      </c>
      <c r="L3679" s="36" t="str">
        <f aca="false">IF($A3679="","",TEXT($A3679,"MMM-YY"))</f>
        <v/>
      </c>
      <c r="M3679" s="37" t="str">
        <f aca="false">IF($A3679="","",IF($Q3679=0,"UNMAPPED",INDEX(COA_Mapping!$C$7:$C$256,$Q3679)))</f>
        <v/>
      </c>
      <c r="N3679" s="38" t="str">
        <f aca="false">IF($A3679="","",IF($Q3679=0,"",INDEX(COA_Mapping!$E$7:$E$256,$Q3679)))</f>
        <v/>
      </c>
      <c r="O3679" s="38" t="n">
        <f aca="false">IF($A3679="",1,IF($Q3679=0,1,INDEX(COA_Mapping!$F$7:$F$256,$Q3679)))</f>
        <v>1</v>
      </c>
      <c r="P3679" s="34" t="str">
        <f aca="false">IF($A3679="","",$I3679*$O3679)</f>
        <v/>
      </c>
      <c r="Q3679" s="39" t="n">
        <f aca="false">IF($B3679="",0,IFERROR(MATCH($B3679,COA_Mapping!$A$7:$A$256,0),0))</f>
        <v>0</v>
      </c>
      <c r="R3679" s="39" t="n">
        <f aca="false">IF($A3679="",-1,IF($J3679=Setup!$B$7,1,IF($J3679=Setup!$B$9,0,-1)))</f>
        <v>-1</v>
      </c>
      <c r="S3679" s="35" t="n">
        <f aca="false">IF(OR($A3679="",$Q3679=0,$R3679=-1),0,$Q3679*1000+$R3679*100+$K3679)</f>
        <v>0</v>
      </c>
      <c r="T3679" s="37" t="str">
        <f aca="false">IF($A3679="","",IF($B3679="","NO ACCOUNT",IF($Q3679=0,"UNMAPPED",IF($R3679=-1,"OUTSIDE FY RANGE","OK"))))</f>
        <v/>
      </c>
      <c r="U3679" s="40" t="str">
        <f aca="false">IF($A3679="","",$B3679&amp;"|"&amp;TEXT($A3679,"yyyymmdd")&amp;"|"&amp;TEXT($I3679,"0.00"))</f>
        <v/>
      </c>
      <c r="V3679" s="35" t="str">
        <f aca="false">IF($A3679="","",COUNTIF($U$8:$U$5007,$U3679))</f>
        <v/>
      </c>
    </row>
    <row r="3680" customFormat="false" ht="15" hidden="false" customHeight="false" outlineLevel="0" collapsed="false">
      <c r="A3680" s="31"/>
      <c r="B3680" s="32"/>
      <c r="C3680" s="32"/>
      <c r="D3680" s="32"/>
      <c r="E3680" s="32"/>
      <c r="F3680" s="32"/>
      <c r="G3680" s="33"/>
      <c r="H3680" s="33"/>
      <c r="I3680" s="34" t="str">
        <f aca="false">IF($A3680="","",$G3680-$H3680)</f>
        <v/>
      </c>
      <c r="J3680" s="35" t="str">
        <f aca="false">IF($A3680="","",IF(Setup!$B$6=1,YEAR($A3680),YEAR($A3680)+IF(MONTH($A3680)&gt;=Setup!$B$6,1,0)))</f>
        <v/>
      </c>
      <c r="K3680" s="35" t="str">
        <f aca="false">IF($A3680="","",MOD(MONTH($A3680)-Setup!$B$6+12,12)+1)</f>
        <v/>
      </c>
      <c r="L3680" s="36" t="str">
        <f aca="false">IF($A3680="","",TEXT($A3680,"MMM-YY"))</f>
        <v/>
      </c>
      <c r="M3680" s="37" t="str">
        <f aca="false">IF($A3680="","",IF($Q3680=0,"UNMAPPED",INDEX(COA_Mapping!$C$7:$C$256,$Q3680)))</f>
        <v/>
      </c>
      <c r="N3680" s="38" t="str">
        <f aca="false">IF($A3680="","",IF($Q3680=0,"",INDEX(COA_Mapping!$E$7:$E$256,$Q3680)))</f>
        <v/>
      </c>
      <c r="O3680" s="38" t="n">
        <f aca="false">IF($A3680="",1,IF($Q3680=0,1,INDEX(COA_Mapping!$F$7:$F$256,$Q3680)))</f>
        <v>1</v>
      </c>
      <c r="P3680" s="34" t="str">
        <f aca="false">IF($A3680="","",$I3680*$O3680)</f>
        <v/>
      </c>
      <c r="Q3680" s="39" t="n">
        <f aca="false">IF($B3680="",0,IFERROR(MATCH($B3680,COA_Mapping!$A$7:$A$256,0),0))</f>
        <v>0</v>
      </c>
      <c r="R3680" s="39" t="n">
        <f aca="false">IF($A3680="",-1,IF($J3680=Setup!$B$7,1,IF($J3680=Setup!$B$9,0,-1)))</f>
        <v>-1</v>
      </c>
      <c r="S3680" s="35" t="n">
        <f aca="false">IF(OR($A3680="",$Q3680=0,$R3680=-1),0,$Q3680*1000+$R3680*100+$K3680)</f>
        <v>0</v>
      </c>
      <c r="T3680" s="37" t="str">
        <f aca="false">IF($A3680="","",IF($B3680="","NO ACCOUNT",IF($Q3680=0,"UNMAPPED",IF($R3680=-1,"OUTSIDE FY RANGE","OK"))))</f>
        <v/>
      </c>
      <c r="U3680" s="40" t="str">
        <f aca="false">IF($A3680="","",$B3680&amp;"|"&amp;TEXT($A3680,"yyyymmdd")&amp;"|"&amp;TEXT($I3680,"0.00"))</f>
        <v/>
      </c>
      <c r="V3680" s="35" t="str">
        <f aca="false">IF($A3680="","",COUNTIF($U$8:$U$5007,$U3680))</f>
        <v/>
      </c>
    </row>
    <row r="3681" customFormat="false" ht="15" hidden="false" customHeight="false" outlineLevel="0" collapsed="false">
      <c r="A3681" s="31"/>
      <c r="B3681" s="32"/>
      <c r="C3681" s="32"/>
      <c r="D3681" s="32"/>
      <c r="E3681" s="32"/>
      <c r="F3681" s="32"/>
      <c r="G3681" s="33"/>
      <c r="H3681" s="33"/>
      <c r="I3681" s="34" t="str">
        <f aca="false">IF($A3681="","",$G3681-$H3681)</f>
        <v/>
      </c>
      <c r="J3681" s="35" t="str">
        <f aca="false">IF($A3681="","",IF(Setup!$B$6=1,YEAR($A3681),YEAR($A3681)+IF(MONTH($A3681)&gt;=Setup!$B$6,1,0)))</f>
        <v/>
      </c>
      <c r="K3681" s="35" t="str">
        <f aca="false">IF($A3681="","",MOD(MONTH($A3681)-Setup!$B$6+12,12)+1)</f>
        <v/>
      </c>
      <c r="L3681" s="36" t="str">
        <f aca="false">IF($A3681="","",TEXT($A3681,"MMM-YY"))</f>
        <v/>
      </c>
      <c r="M3681" s="37" t="str">
        <f aca="false">IF($A3681="","",IF($Q3681=0,"UNMAPPED",INDEX(COA_Mapping!$C$7:$C$256,$Q3681)))</f>
        <v/>
      </c>
      <c r="N3681" s="38" t="str">
        <f aca="false">IF($A3681="","",IF($Q3681=0,"",INDEX(COA_Mapping!$E$7:$E$256,$Q3681)))</f>
        <v/>
      </c>
      <c r="O3681" s="38" t="n">
        <f aca="false">IF($A3681="",1,IF($Q3681=0,1,INDEX(COA_Mapping!$F$7:$F$256,$Q3681)))</f>
        <v>1</v>
      </c>
      <c r="P3681" s="34" t="str">
        <f aca="false">IF($A3681="","",$I3681*$O3681)</f>
        <v/>
      </c>
      <c r="Q3681" s="39" t="n">
        <f aca="false">IF($B3681="",0,IFERROR(MATCH($B3681,COA_Mapping!$A$7:$A$256,0),0))</f>
        <v>0</v>
      </c>
      <c r="R3681" s="39" t="n">
        <f aca="false">IF($A3681="",-1,IF($J3681=Setup!$B$7,1,IF($J3681=Setup!$B$9,0,-1)))</f>
        <v>-1</v>
      </c>
      <c r="S3681" s="35" t="n">
        <f aca="false">IF(OR($A3681="",$Q3681=0,$R3681=-1),0,$Q3681*1000+$R3681*100+$K3681)</f>
        <v>0</v>
      </c>
      <c r="T3681" s="37" t="str">
        <f aca="false">IF($A3681="","",IF($B3681="","NO ACCOUNT",IF($Q3681=0,"UNMAPPED",IF($R3681=-1,"OUTSIDE FY RANGE","OK"))))</f>
        <v/>
      </c>
      <c r="U3681" s="40" t="str">
        <f aca="false">IF($A3681="","",$B3681&amp;"|"&amp;TEXT($A3681,"yyyymmdd")&amp;"|"&amp;TEXT($I3681,"0.00"))</f>
        <v/>
      </c>
      <c r="V3681" s="35" t="str">
        <f aca="false">IF($A3681="","",COUNTIF($U$8:$U$5007,$U3681))</f>
        <v/>
      </c>
    </row>
    <row r="3682" customFormat="false" ht="15" hidden="false" customHeight="false" outlineLevel="0" collapsed="false">
      <c r="A3682" s="31"/>
      <c r="B3682" s="32"/>
      <c r="C3682" s="32"/>
      <c r="D3682" s="32"/>
      <c r="E3682" s="32"/>
      <c r="F3682" s="32"/>
      <c r="G3682" s="33"/>
      <c r="H3682" s="33"/>
      <c r="I3682" s="34" t="str">
        <f aca="false">IF($A3682="","",$G3682-$H3682)</f>
        <v/>
      </c>
      <c r="J3682" s="35" t="str">
        <f aca="false">IF($A3682="","",IF(Setup!$B$6=1,YEAR($A3682),YEAR($A3682)+IF(MONTH($A3682)&gt;=Setup!$B$6,1,0)))</f>
        <v/>
      </c>
      <c r="K3682" s="35" t="str">
        <f aca="false">IF($A3682="","",MOD(MONTH($A3682)-Setup!$B$6+12,12)+1)</f>
        <v/>
      </c>
      <c r="L3682" s="36" t="str">
        <f aca="false">IF($A3682="","",TEXT($A3682,"MMM-YY"))</f>
        <v/>
      </c>
      <c r="M3682" s="37" t="str">
        <f aca="false">IF($A3682="","",IF($Q3682=0,"UNMAPPED",INDEX(COA_Mapping!$C$7:$C$256,$Q3682)))</f>
        <v/>
      </c>
      <c r="N3682" s="38" t="str">
        <f aca="false">IF($A3682="","",IF($Q3682=0,"",INDEX(COA_Mapping!$E$7:$E$256,$Q3682)))</f>
        <v/>
      </c>
      <c r="O3682" s="38" t="n">
        <f aca="false">IF($A3682="",1,IF($Q3682=0,1,INDEX(COA_Mapping!$F$7:$F$256,$Q3682)))</f>
        <v>1</v>
      </c>
      <c r="P3682" s="34" t="str">
        <f aca="false">IF($A3682="","",$I3682*$O3682)</f>
        <v/>
      </c>
      <c r="Q3682" s="39" t="n">
        <f aca="false">IF($B3682="",0,IFERROR(MATCH($B3682,COA_Mapping!$A$7:$A$256,0),0))</f>
        <v>0</v>
      </c>
      <c r="R3682" s="39" t="n">
        <f aca="false">IF($A3682="",-1,IF($J3682=Setup!$B$7,1,IF($J3682=Setup!$B$9,0,-1)))</f>
        <v>-1</v>
      </c>
      <c r="S3682" s="35" t="n">
        <f aca="false">IF(OR($A3682="",$Q3682=0,$R3682=-1),0,$Q3682*1000+$R3682*100+$K3682)</f>
        <v>0</v>
      </c>
      <c r="T3682" s="37" t="str">
        <f aca="false">IF($A3682="","",IF($B3682="","NO ACCOUNT",IF($Q3682=0,"UNMAPPED",IF($R3682=-1,"OUTSIDE FY RANGE","OK"))))</f>
        <v/>
      </c>
      <c r="U3682" s="40" t="str">
        <f aca="false">IF($A3682="","",$B3682&amp;"|"&amp;TEXT($A3682,"yyyymmdd")&amp;"|"&amp;TEXT($I3682,"0.00"))</f>
        <v/>
      </c>
      <c r="V3682" s="35" t="str">
        <f aca="false">IF($A3682="","",COUNTIF($U$8:$U$5007,$U3682))</f>
        <v/>
      </c>
    </row>
    <row r="3683" customFormat="false" ht="15" hidden="false" customHeight="false" outlineLevel="0" collapsed="false">
      <c r="A3683" s="31"/>
      <c r="B3683" s="32"/>
      <c r="C3683" s="32"/>
      <c r="D3683" s="32"/>
      <c r="E3683" s="32"/>
      <c r="F3683" s="32"/>
      <c r="G3683" s="33"/>
      <c r="H3683" s="33"/>
      <c r="I3683" s="34" t="str">
        <f aca="false">IF($A3683="","",$G3683-$H3683)</f>
        <v/>
      </c>
      <c r="J3683" s="35" t="str">
        <f aca="false">IF($A3683="","",IF(Setup!$B$6=1,YEAR($A3683),YEAR($A3683)+IF(MONTH($A3683)&gt;=Setup!$B$6,1,0)))</f>
        <v/>
      </c>
      <c r="K3683" s="35" t="str">
        <f aca="false">IF($A3683="","",MOD(MONTH($A3683)-Setup!$B$6+12,12)+1)</f>
        <v/>
      </c>
      <c r="L3683" s="36" t="str">
        <f aca="false">IF($A3683="","",TEXT($A3683,"MMM-YY"))</f>
        <v/>
      </c>
      <c r="M3683" s="37" t="str">
        <f aca="false">IF($A3683="","",IF($Q3683=0,"UNMAPPED",INDEX(COA_Mapping!$C$7:$C$256,$Q3683)))</f>
        <v/>
      </c>
      <c r="N3683" s="38" t="str">
        <f aca="false">IF($A3683="","",IF($Q3683=0,"",INDEX(COA_Mapping!$E$7:$E$256,$Q3683)))</f>
        <v/>
      </c>
      <c r="O3683" s="38" t="n">
        <f aca="false">IF($A3683="",1,IF($Q3683=0,1,INDEX(COA_Mapping!$F$7:$F$256,$Q3683)))</f>
        <v>1</v>
      </c>
      <c r="P3683" s="34" t="str">
        <f aca="false">IF($A3683="","",$I3683*$O3683)</f>
        <v/>
      </c>
      <c r="Q3683" s="39" t="n">
        <f aca="false">IF($B3683="",0,IFERROR(MATCH($B3683,COA_Mapping!$A$7:$A$256,0),0))</f>
        <v>0</v>
      </c>
      <c r="R3683" s="39" t="n">
        <f aca="false">IF($A3683="",-1,IF($J3683=Setup!$B$7,1,IF($J3683=Setup!$B$9,0,-1)))</f>
        <v>-1</v>
      </c>
      <c r="S3683" s="35" t="n">
        <f aca="false">IF(OR($A3683="",$Q3683=0,$R3683=-1),0,$Q3683*1000+$R3683*100+$K3683)</f>
        <v>0</v>
      </c>
      <c r="T3683" s="37" t="str">
        <f aca="false">IF($A3683="","",IF($B3683="","NO ACCOUNT",IF($Q3683=0,"UNMAPPED",IF($R3683=-1,"OUTSIDE FY RANGE","OK"))))</f>
        <v/>
      </c>
      <c r="U3683" s="40" t="str">
        <f aca="false">IF($A3683="","",$B3683&amp;"|"&amp;TEXT($A3683,"yyyymmdd")&amp;"|"&amp;TEXT($I3683,"0.00"))</f>
        <v/>
      </c>
      <c r="V3683" s="35" t="str">
        <f aca="false">IF($A3683="","",COUNTIF($U$8:$U$5007,$U3683))</f>
        <v/>
      </c>
    </row>
    <row r="3684" customFormat="false" ht="15" hidden="false" customHeight="false" outlineLevel="0" collapsed="false">
      <c r="A3684" s="31"/>
      <c r="B3684" s="32"/>
      <c r="C3684" s="32"/>
      <c r="D3684" s="32"/>
      <c r="E3684" s="32"/>
      <c r="F3684" s="32"/>
      <c r="G3684" s="33"/>
      <c r="H3684" s="33"/>
      <c r="I3684" s="34" t="str">
        <f aca="false">IF($A3684="","",$G3684-$H3684)</f>
        <v/>
      </c>
      <c r="J3684" s="35" t="str">
        <f aca="false">IF($A3684="","",IF(Setup!$B$6=1,YEAR($A3684),YEAR($A3684)+IF(MONTH($A3684)&gt;=Setup!$B$6,1,0)))</f>
        <v/>
      </c>
      <c r="K3684" s="35" t="str">
        <f aca="false">IF($A3684="","",MOD(MONTH($A3684)-Setup!$B$6+12,12)+1)</f>
        <v/>
      </c>
      <c r="L3684" s="36" t="str">
        <f aca="false">IF($A3684="","",TEXT($A3684,"MMM-YY"))</f>
        <v/>
      </c>
      <c r="M3684" s="37" t="str">
        <f aca="false">IF($A3684="","",IF($Q3684=0,"UNMAPPED",INDEX(COA_Mapping!$C$7:$C$256,$Q3684)))</f>
        <v/>
      </c>
      <c r="N3684" s="38" t="str">
        <f aca="false">IF($A3684="","",IF($Q3684=0,"",INDEX(COA_Mapping!$E$7:$E$256,$Q3684)))</f>
        <v/>
      </c>
      <c r="O3684" s="38" t="n">
        <f aca="false">IF($A3684="",1,IF($Q3684=0,1,INDEX(COA_Mapping!$F$7:$F$256,$Q3684)))</f>
        <v>1</v>
      </c>
      <c r="P3684" s="34" t="str">
        <f aca="false">IF($A3684="","",$I3684*$O3684)</f>
        <v/>
      </c>
      <c r="Q3684" s="39" t="n">
        <f aca="false">IF($B3684="",0,IFERROR(MATCH($B3684,COA_Mapping!$A$7:$A$256,0),0))</f>
        <v>0</v>
      </c>
      <c r="R3684" s="39" t="n">
        <f aca="false">IF($A3684="",-1,IF($J3684=Setup!$B$7,1,IF($J3684=Setup!$B$9,0,-1)))</f>
        <v>-1</v>
      </c>
      <c r="S3684" s="35" t="n">
        <f aca="false">IF(OR($A3684="",$Q3684=0,$R3684=-1),0,$Q3684*1000+$R3684*100+$K3684)</f>
        <v>0</v>
      </c>
      <c r="T3684" s="37" t="str">
        <f aca="false">IF($A3684="","",IF($B3684="","NO ACCOUNT",IF($Q3684=0,"UNMAPPED",IF($R3684=-1,"OUTSIDE FY RANGE","OK"))))</f>
        <v/>
      </c>
      <c r="U3684" s="40" t="str">
        <f aca="false">IF($A3684="","",$B3684&amp;"|"&amp;TEXT($A3684,"yyyymmdd")&amp;"|"&amp;TEXT($I3684,"0.00"))</f>
        <v/>
      </c>
      <c r="V3684" s="35" t="str">
        <f aca="false">IF($A3684="","",COUNTIF($U$8:$U$5007,$U3684))</f>
        <v/>
      </c>
    </row>
    <row r="3685" customFormat="false" ht="15" hidden="false" customHeight="false" outlineLevel="0" collapsed="false">
      <c r="A3685" s="31"/>
      <c r="B3685" s="32"/>
      <c r="C3685" s="32"/>
      <c r="D3685" s="32"/>
      <c r="E3685" s="32"/>
      <c r="F3685" s="32"/>
      <c r="G3685" s="33"/>
      <c r="H3685" s="33"/>
      <c r="I3685" s="34" t="str">
        <f aca="false">IF($A3685="","",$G3685-$H3685)</f>
        <v/>
      </c>
      <c r="J3685" s="35" t="str">
        <f aca="false">IF($A3685="","",IF(Setup!$B$6=1,YEAR($A3685),YEAR($A3685)+IF(MONTH($A3685)&gt;=Setup!$B$6,1,0)))</f>
        <v/>
      </c>
      <c r="K3685" s="35" t="str">
        <f aca="false">IF($A3685="","",MOD(MONTH($A3685)-Setup!$B$6+12,12)+1)</f>
        <v/>
      </c>
      <c r="L3685" s="36" t="str">
        <f aca="false">IF($A3685="","",TEXT($A3685,"MMM-YY"))</f>
        <v/>
      </c>
      <c r="M3685" s="37" t="str">
        <f aca="false">IF($A3685="","",IF($Q3685=0,"UNMAPPED",INDEX(COA_Mapping!$C$7:$C$256,$Q3685)))</f>
        <v/>
      </c>
      <c r="N3685" s="38" t="str">
        <f aca="false">IF($A3685="","",IF($Q3685=0,"",INDEX(COA_Mapping!$E$7:$E$256,$Q3685)))</f>
        <v/>
      </c>
      <c r="O3685" s="38" t="n">
        <f aca="false">IF($A3685="",1,IF($Q3685=0,1,INDEX(COA_Mapping!$F$7:$F$256,$Q3685)))</f>
        <v>1</v>
      </c>
      <c r="P3685" s="34" t="str">
        <f aca="false">IF($A3685="","",$I3685*$O3685)</f>
        <v/>
      </c>
      <c r="Q3685" s="39" t="n">
        <f aca="false">IF($B3685="",0,IFERROR(MATCH($B3685,COA_Mapping!$A$7:$A$256,0),0))</f>
        <v>0</v>
      </c>
      <c r="R3685" s="39" t="n">
        <f aca="false">IF($A3685="",-1,IF($J3685=Setup!$B$7,1,IF($J3685=Setup!$B$9,0,-1)))</f>
        <v>-1</v>
      </c>
      <c r="S3685" s="35" t="n">
        <f aca="false">IF(OR($A3685="",$Q3685=0,$R3685=-1),0,$Q3685*1000+$R3685*100+$K3685)</f>
        <v>0</v>
      </c>
      <c r="T3685" s="37" t="str">
        <f aca="false">IF($A3685="","",IF($B3685="","NO ACCOUNT",IF($Q3685=0,"UNMAPPED",IF($R3685=-1,"OUTSIDE FY RANGE","OK"))))</f>
        <v/>
      </c>
      <c r="U3685" s="40" t="str">
        <f aca="false">IF($A3685="","",$B3685&amp;"|"&amp;TEXT($A3685,"yyyymmdd")&amp;"|"&amp;TEXT($I3685,"0.00"))</f>
        <v/>
      </c>
      <c r="V3685" s="35" t="str">
        <f aca="false">IF($A3685="","",COUNTIF($U$8:$U$5007,$U3685))</f>
        <v/>
      </c>
    </row>
    <row r="3686" customFormat="false" ht="15" hidden="false" customHeight="false" outlineLevel="0" collapsed="false">
      <c r="A3686" s="31"/>
      <c r="B3686" s="32"/>
      <c r="C3686" s="32"/>
      <c r="D3686" s="32"/>
      <c r="E3686" s="32"/>
      <c r="F3686" s="32"/>
      <c r="G3686" s="33"/>
      <c r="H3686" s="33"/>
      <c r="I3686" s="34" t="str">
        <f aca="false">IF($A3686="","",$G3686-$H3686)</f>
        <v/>
      </c>
      <c r="J3686" s="35" t="str">
        <f aca="false">IF($A3686="","",IF(Setup!$B$6=1,YEAR($A3686),YEAR($A3686)+IF(MONTH($A3686)&gt;=Setup!$B$6,1,0)))</f>
        <v/>
      </c>
      <c r="K3686" s="35" t="str">
        <f aca="false">IF($A3686="","",MOD(MONTH($A3686)-Setup!$B$6+12,12)+1)</f>
        <v/>
      </c>
      <c r="L3686" s="36" t="str">
        <f aca="false">IF($A3686="","",TEXT($A3686,"MMM-YY"))</f>
        <v/>
      </c>
      <c r="M3686" s="37" t="str">
        <f aca="false">IF($A3686="","",IF($Q3686=0,"UNMAPPED",INDEX(COA_Mapping!$C$7:$C$256,$Q3686)))</f>
        <v/>
      </c>
      <c r="N3686" s="38" t="str">
        <f aca="false">IF($A3686="","",IF($Q3686=0,"",INDEX(COA_Mapping!$E$7:$E$256,$Q3686)))</f>
        <v/>
      </c>
      <c r="O3686" s="38" t="n">
        <f aca="false">IF($A3686="",1,IF($Q3686=0,1,INDEX(COA_Mapping!$F$7:$F$256,$Q3686)))</f>
        <v>1</v>
      </c>
      <c r="P3686" s="34" t="str">
        <f aca="false">IF($A3686="","",$I3686*$O3686)</f>
        <v/>
      </c>
      <c r="Q3686" s="39" t="n">
        <f aca="false">IF($B3686="",0,IFERROR(MATCH($B3686,COA_Mapping!$A$7:$A$256,0),0))</f>
        <v>0</v>
      </c>
      <c r="R3686" s="39" t="n">
        <f aca="false">IF($A3686="",-1,IF($J3686=Setup!$B$7,1,IF($J3686=Setup!$B$9,0,-1)))</f>
        <v>-1</v>
      </c>
      <c r="S3686" s="35" t="n">
        <f aca="false">IF(OR($A3686="",$Q3686=0,$R3686=-1),0,$Q3686*1000+$R3686*100+$K3686)</f>
        <v>0</v>
      </c>
      <c r="T3686" s="37" t="str">
        <f aca="false">IF($A3686="","",IF($B3686="","NO ACCOUNT",IF($Q3686=0,"UNMAPPED",IF($R3686=-1,"OUTSIDE FY RANGE","OK"))))</f>
        <v/>
      </c>
      <c r="U3686" s="40" t="str">
        <f aca="false">IF($A3686="","",$B3686&amp;"|"&amp;TEXT($A3686,"yyyymmdd")&amp;"|"&amp;TEXT($I3686,"0.00"))</f>
        <v/>
      </c>
      <c r="V3686" s="35" t="str">
        <f aca="false">IF($A3686="","",COUNTIF($U$8:$U$5007,$U3686))</f>
        <v/>
      </c>
    </row>
    <row r="3687" customFormat="false" ht="15" hidden="false" customHeight="false" outlineLevel="0" collapsed="false">
      <c r="A3687" s="31"/>
      <c r="B3687" s="32"/>
      <c r="C3687" s="32"/>
      <c r="D3687" s="32"/>
      <c r="E3687" s="32"/>
      <c r="F3687" s="32"/>
      <c r="G3687" s="33"/>
      <c r="H3687" s="33"/>
      <c r="I3687" s="34" t="str">
        <f aca="false">IF($A3687="","",$G3687-$H3687)</f>
        <v/>
      </c>
      <c r="J3687" s="35" t="str">
        <f aca="false">IF($A3687="","",IF(Setup!$B$6=1,YEAR($A3687),YEAR($A3687)+IF(MONTH($A3687)&gt;=Setup!$B$6,1,0)))</f>
        <v/>
      </c>
      <c r="K3687" s="35" t="str">
        <f aca="false">IF($A3687="","",MOD(MONTH($A3687)-Setup!$B$6+12,12)+1)</f>
        <v/>
      </c>
      <c r="L3687" s="36" t="str">
        <f aca="false">IF($A3687="","",TEXT($A3687,"MMM-YY"))</f>
        <v/>
      </c>
      <c r="M3687" s="37" t="str">
        <f aca="false">IF($A3687="","",IF($Q3687=0,"UNMAPPED",INDEX(COA_Mapping!$C$7:$C$256,$Q3687)))</f>
        <v/>
      </c>
      <c r="N3687" s="38" t="str">
        <f aca="false">IF($A3687="","",IF($Q3687=0,"",INDEX(COA_Mapping!$E$7:$E$256,$Q3687)))</f>
        <v/>
      </c>
      <c r="O3687" s="38" t="n">
        <f aca="false">IF($A3687="",1,IF($Q3687=0,1,INDEX(COA_Mapping!$F$7:$F$256,$Q3687)))</f>
        <v>1</v>
      </c>
      <c r="P3687" s="34" t="str">
        <f aca="false">IF($A3687="","",$I3687*$O3687)</f>
        <v/>
      </c>
      <c r="Q3687" s="39" t="n">
        <f aca="false">IF($B3687="",0,IFERROR(MATCH($B3687,COA_Mapping!$A$7:$A$256,0),0))</f>
        <v>0</v>
      </c>
      <c r="R3687" s="39" t="n">
        <f aca="false">IF($A3687="",-1,IF($J3687=Setup!$B$7,1,IF($J3687=Setup!$B$9,0,-1)))</f>
        <v>-1</v>
      </c>
      <c r="S3687" s="35" t="n">
        <f aca="false">IF(OR($A3687="",$Q3687=0,$R3687=-1),0,$Q3687*1000+$R3687*100+$K3687)</f>
        <v>0</v>
      </c>
      <c r="T3687" s="37" t="str">
        <f aca="false">IF($A3687="","",IF($B3687="","NO ACCOUNT",IF($Q3687=0,"UNMAPPED",IF($R3687=-1,"OUTSIDE FY RANGE","OK"))))</f>
        <v/>
      </c>
      <c r="U3687" s="40" t="str">
        <f aca="false">IF($A3687="","",$B3687&amp;"|"&amp;TEXT($A3687,"yyyymmdd")&amp;"|"&amp;TEXT($I3687,"0.00"))</f>
        <v/>
      </c>
      <c r="V3687" s="35" t="str">
        <f aca="false">IF($A3687="","",COUNTIF($U$8:$U$5007,$U3687))</f>
        <v/>
      </c>
    </row>
    <row r="3688" customFormat="false" ht="15" hidden="false" customHeight="false" outlineLevel="0" collapsed="false">
      <c r="A3688" s="31"/>
      <c r="B3688" s="32"/>
      <c r="C3688" s="32"/>
      <c r="D3688" s="32"/>
      <c r="E3688" s="32"/>
      <c r="F3688" s="32"/>
      <c r="G3688" s="33"/>
      <c r="H3688" s="33"/>
      <c r="I3688" s="34" t="str">
        <f aca="false">IF($A3688="","",$G3688-$H3688)</f>
        <v/>
      </c>
      <c r="J3688" s="35" t="str">
        <f aca="false">IF($A3688="","",IF(Setup!$B$6=1,YEAR($A3688),YEAR($A3688)+IF(MONTH($A3688)&gt;=Setup!$B$6,1,0)))</f>
        <v/>
      </c>
      <c r="K3688" s="35" t="str">
        <f aca="false">IF($A3688="","",MOD(MONTH($A3688)-Setup!$B$6+12,12)+1)</f>
        <v/>
      </c>
      <c r="L3688" s="36" t="str">
        <f aca="false">IF($A3688="","",TEXT($A3688,"MMM-YY"))</f>
        <v/>
      </c>
      <c r="M3688" s="37" t="str">
        <f aca="false">IF($A3688="","",IF($Q3688=0,"UNMAPPED",INDEX(COA_Mapping!$C$7:$C$256,$Q3688)))</f>
        <v/>
      </c>
      <c r="N3688" s="38" t="str">
        <f aca="false">IF($A3688="","",IF($Q3688=0,"",INDEX(COA_Mapping!$E$7:$E$256,$Q3688)))</f>
        <v/>
      </c>
      <c r="O3688" s="38" t="n">
        <f aca="false">IF($A3688="",1,IF($Q3688=0,1,INDEX(COA_Mapping!$F$7:$F$256,$Q3688)))</f>
        <v>1</v>
      </c>
      <c r="P3688" s="34" t="str">
        <f aca="false">IF($A3688="","",$I3688*$O3688)</f>
        <v/>
      </c>
      <c r="Q3688" s="39" t="n">
        <f aca="false">IF($B3688="",0,IFERROR(MATCH($B3688,COA_Mapping!$A$7:$A$256,0),0))</f>
        <v>0</v>
      </c>
      <c r="R3688" s="39" t="n">
        <f aca="false">IF($A3688="",-1,IF($J3688=Setup!$B$7,1,IF($J3688=Setup!$B$9,0,-1)))</f>
        <v>-1</v>
      </c>
      <c r="S3688" s="35" t="n">
        <f aca="false">IF(OR($A3688="",$Q3688=0,$R3688=-1),0,$Q3688*1000+$R3688*100+$K3688)</f>
        <v>0</v>
      </c>
      <c r="T3688" s="37" t="str">
        <f aca="false">IF($A3688="","",IF($B3688="","NO ACCOUNT",IF($Q3688=0,"UNMAPPED",IF($R3688=-1,"OUTSIDE FY RANGE","OK"))))</f>
        <v/>
      </c>
      <c r="U3688" s="40" t="str">
        <f aca="false">IF($A3688="","",$B3688&amp;"|"&amp;TEXT($A3688,"yyyymmdd")&amp;"|"&amp;TEXT($I3688,"0.00"))</f>
        <v/>
      </c>
      <c r="V3688" s="35" t="str">
        <f aca="false">IF($A3688="","",COUNTIF($U$8:$U$5007,$U3688))</f>
        <v/>
      </c>
    </row>
    <row r="3689" customFormat="false" ht="15" hidden="false" customHeight="false" outlineLevel="0" collapsed="false">
      <c r="A3689" s="31"/>
      <c r="B3689" s="32"/>
      <c r="C3689" s="32"/>
      <c r="D3689" s="32"/>
      <c r="E3689" s="32"/>
      <c r="F3689" s="32"/>
      <c r="G3689" s="33"/>
      <c r="H3689" s="33"/>
      <c r="I3689" s="34" t="str">
        <f aca="false">IF($A3689="","",$G3689-$H3689)</f>
        <v/>
      </c>
      <c r="J3689" s="35" t="str">
        <f aca="false">IF($A3689="","",IF(Setup!$B$6=1,YEAR($A3689),YEAR($A3689)+IF(MONTH($A3689)&gt;=Setup!$B$6,1,0)))</f>
        <v/>
      </c>
      <c r="K3689" s="35" t="str">
        <f aca="false">IF($A3689="","",MOD(MONTH($A3689)-Setup!$B$6+12,12)+1)</f>
        <v/>
      </c>
      <c r="L3689" s="36" t="str">
        <f aca="false">IF($A3689="","",TEXT($A3689,"MMM-YY"))</f>
        <v/>
      </c>
      <c r="M3689" s="37" t="str">
        <f aca="false">IF($A3689="","",IF($Q3689=0,"UNMAPPED",INDEX(COA_Mapping!$C$7:$C$256,$Q3689)))</f>
        <v/>
      </c>
      <c r="N3689" s="38" t="str">
        <f aca="false">IF($A3689="","",IF($Q3689=0,"",INDEX(COA_Mapping!$E$7:$E$256,$Q3689)))</f>
        <v/>
      </c>
      <c r="O3689" s="38" t="n">
        <f aca="false">IF($A3689="",1,IF($Q3689=0,1,INDEX(COA_Mapping!$F$7:$F$256,$Q3689)))</f>
        <v>1</v>
      </c>
      <c r="P3689" s="34" t="str">
        <f aca="false">IF($A3689="","",$I3689*$O3689)</f>
        <v/>
      </c>
      <c r="Q3689" s="39" t="n">
        <f aca="false">IF($B3689="",0,IFERROR(MATCH($B3689,COA_Mapping!$A$7:$A$256,0),0))</f>
        <v>0</v>
      </c>
      <c r="R3689" s="39" t="n">
        <f aca="false">IF($A3689="",-1,IF($J3689=Setup!$B$7,1,IF($J3689=Setup!$B$9,0,-1)))</f>
        <v>-1</v>
      </c>
      <c r="S3689" s="35" t="n">
        <f aca="false">IF(OR($A3689="",$Q3689=0,$R3689=-1),0,$Q3689*1000+$R3689*100+$K3689)</f>
        <v>0</v>
      </c>
      <c r="T3689" s="37" t="str">
        <f aca="false">IF($A3689="","",IF($B3689="","NO ACCOUNT",IF($Q3689=0,"UNMAPPED",IF($R3689=-1,"OUTSIDE FY RANGE","OK"))))</f>
        <v/>
      </c>
      <c r="U3689" s="40" t="str">
        <f aca="false">IF($A3689="","",$B3689&amp;"|"&amp;TEXT($A3689,"yyyymmdd")&amp;"|"&amp;TEXT($I3689,"0.00"))</f>
        <v/>
      </c>
      <c r="V3689" s="35" t="str">
        <f aca="false">IF($A3689="","",COUNTIF($U$8:$U$5007,$U3689))</f>
        <v/>
      </c>
    </row>
    <row r="3690" customFormat="false" ht="15" hidden="false" customHeight="false" outlineLevel="0" collapsed="false">
      <c r="A3690" s="31"/>
      <c r="B3690" s="32"/>
      <c r="C3690" s="32"/>
      <c r="D3690" s="32"/>
      <c r="E3690" s="32"/>
      <c r="F3690" s="32"/>
      <c r="G3690" s="33"/>
      <c r="H3690" s="33"/>
      <c r="I3690" s="34" t="str">
        <f aca="false">IF($A3690="","",$G3690-$H3690)</f>
        <v/>
      </c>
      <c r="J3690" s="35" t="str">
        <f aca="false">IF($A3690="","",IF(Setup!$B$6=1,YEAR($A3690),YEAR($A3690)+IF(MONTH($A3690)&gt;=Setup!$B$6,1,0)))</f>
        <v/>
      </c>
      <c r="K3690" s="35" t="str">
        <f aca="false">IF($A3690="","",MOD(MONTH($A3690)-Setup!$B$6+12,12)+1)</f>
        <v/>
      </c>
      <c r="L3690" s="36" t="str">
        <f aca="false">IF($A3690="","",TEXT($A3690,"MMM-YY"))</f>
        <v/>
      </c>
      <c r="M3690" s="37" t="str">
        <f aca="false">IF($A3690="","",IF($Q3690=0,"UNMAPPED",INDEX(COA_Mapping!$C$7:$C$256,$Q3690)))</f>
        <v/>
      </c>
      <c r="N3690" s="38" t="str">
        <f aca="false">IF($A3690="","",IF($Q3690=0,"",INDEX(COA_Mapping!$E$7:$E$256,$Q3690)))</f>
        <v/>
      </c>
      <c r="O3690" s="38" t="n">
        <f aca="false">IF($A3690="",1,IF($Q3690=0,1,INDEX(COA_Mapping!$F$7:$F$256,$Q3690)))</f>
        <v>1</v>
      </c>
      <c r="P3690" s="34" t="str">
        <f aca="false">IF($A3690="","",$I3690*$O3690)</f>
        <v/>
      </c>
      <c r="Q3690" s="39" t="n">
        <f aca="false">IF($B3690="",0,IFERROR(MATCH($B3690,COA_Mapping!$A$7:$A$256,0),0))</f>
        <v>0</v>
      </c>
      <c r="R3690" s="39" t="n">
        <f aca="false">IF($A3690="",-1,IF($J3690=Setup!$B$7,1,IF($J3690=Setup!$B$9,0,-1)))</f>
        <v>-1</v>
      </c>
      <c r="S3690" s="35" t="n">
        <f aca="false">IF(OR($A3690="",$Q3690=0,$R3690=-1),0,$Q3690*1000+$R3690*100+$K3690)</f>
        <v>0</v>
      </c>
      <c r="T3690" s="37" t="str">
        <f aca="false">IF($A3690="","",IF($B3690="","NO ACCOUNT",IF($Q3690=0,"UNMAPPED",IF($R3690=-1,"OUTSIDE FY RANGE","OK"))))</f>
        <v/>
      </c>
      <c r="U3690" s="40" t="str">
        <f aca="false">IF($A3690="","",$B3690&amp;"|"&amp;TEXT($A3690,"yyyymmdd")&amp;"|"&amp;TEXT($I3690,"0.00"))</f>
        <v/>
      </c>
      <c r="V3690" s="35" t="str">
        <f aca="false">IF($A3690="","",COUNTIF($U$8:$U$5007,$U3690))</f>
        <v/>
      </c>
    </row>
    <row r="3691" customFormat="false" ht="15" hidden="false" customHeight="false" outlineLevel="0" collapsed="false">
      <c r="A3691" s="31"/>
      <c r="B3691" s="32"/>
      <c r="C3691" s="32"/>
      <c r="D3691" s="32"/>
      <c r="E3691" s="32"/>
      <c r="F3691" s="32"/>
      <c r="G3691" s="33"/>
      <c r="H3691" s="33"/>
      <c r="I3691" s="34" t="str">
        <f aca="false">IF($A3691="","",$G3691-$H3691)</f>
        <v/>
      </c>
      <c r="J3691" s="35" t="str">
        <f aca="false">IF($A3691="","",IF(Setup!$B$6=1,YEAR($A3691),YEAR($A3691)+IF(MONTH($A3691)&gt;=Setup!$B$6,1,0)))</f>
        <v/>
      </c>
      <c r="K3691" s="35" t="str">
        <f aca="false">IF($A3691="","",MOD(MONTH($A3691)-Setup!$B$6+12,12)+1)</f>
        <v/>
      </c>
      <c r="L3691" s="36" t="str">
        <f aca="false">IF($A3691="","",TEXT($A3691,"MMM-YY"))</f>
        <v/>
      </c>
      <c r="M3691" s="37" t="str">
        <f aca="false">IF($A3691="","",IF($Q3691=0,"UNMAPPED",INDEX(COA_Mapping!$C$7:$C$256,$Q3691)))</f>
        <v/>
      </c>
      <c r="N3691" s="38" t="str">
        <f aca="false">IF($A3691="","",IF($Q3691=0,"",INDEX(COA_Mapping!$E$7:$E$256,$Q3691)))</f>
        <v/>
      </c>
      <c r="O3691" s="38" t="n">
        <f aca="false">IF($A3691="",1,IF($Q3691=0,1,INDEX(COA_Mapping!$F$7:$F$256,$Q3691)))</f>
        <v>1</v>
      </c>
      <c r="P3691" s="34" t="str">
        <f aca="false">IF($A3691="","",$I3691*$O3691)</f>
        <v/>
      </c>
      <c r="Q3691" s="39" t="n">
        <f aca="false">IF($B3691="",0,IFERROR(MATCH($B3691,COA_Mapping!$A$7:$A$256,0),0))</f>
        <v>0</v>
      </c>
      <c r="R3691" s="39" t="n">
        <f aca="false">IF($A3691="",-1,IF($J3691=Setup!$B$7,1,IF($J3691=Setup!$B$9,0,-1)))</f>
        <v>-1</v>
      </c>
      <c r="S3691" s="35" t="n">
        <f aca="false">IF(OR($A3691="",$Q3691=0,$R3691=-1),0,$Q3691*1000+$R3691*100+$K3691)</f>
        <v>0</v>
      </c>
      <c r="T3691" s="37" t="str">
        <f aca="false">IF($A3691="","",IF($B3691="","NO ACCOUNT",IF($Q3691=0,"UNMAPPED",IF($R3691=-1,"OUTSIDE FY RANGE","OK"))))</f>
        <v/>
      </c>
      <c r="U3691" s="40" t="str">
        <f aca="false">IF($A3691="","",$B3691&amp;"|"&amp;TEXT($A3691,"yyyymmdd")&amp;"|"&amp;TEXT($I3691,"0.00"))</f>
        <v/>
      </c>
      <c r="V3691" s="35" t="str">
        <f aca="false">IF($A3691="","",COUNTIF($U$8:$U$5007,$U3691))</f>
        <v/>
      </c>
    </row>
    <row r="3692" customFormat="false" ht="15" hidden="false" customHeight="false" outlineLevel="0" collapsed="false">
      <c r="A3692" s="31"/>
      <c r="B3692" s="32"/>
      <c r="C3692" s="32"/>
      <c r="D3692" s="32"/>
      <c r="E3692" s="32"/>
      <c r="F3692" s="32"/>
      <c r="G3692" s="33"/>
      <c r="H3692" s="33"/>
      <c r="I3692" s="34" t="str">
        <f aca="false">IF($A3692="","",$G3692-$H3692)</f>
        <v/>
      </c>
      <c r="J3692" s="35" t="str">
        <f aca="false">IF($A3692="","",IF(Setup!$B$6=1,YEAR($A3692),YEAR($A3692)+IF(MONTH($A3692)&gt;=Setup!$B$6,1,0)))</f>
        <v/>
      </c>
      <c r="K3692" s="35" t="str">
        <f aca="false">IF($A3692="","",MOD(MONTH($A3692)-Setup!$B$6+12,12)+1)</f>
        <v/>
      </c>
      <c r="L3692" s="36" t="str">
        <f aca="false">IF($A3692="","",TEXT($A3692,"MMM-YY"))</f>
        <v/>
      </c>
      <c r="M3692" s="37" t="str">
        <f aca="false">IF($A3692="","",IF($Q3692=0,"UNMAPPED",INDEX(COA_Mapping!$C$7:$C$256,$Q3692)))</f>
        <v/>
      </c>
      <c r="N3692" s="38" t="str">
        <f aca="false">IF($A3692="","",IF($Q3692=0,"",INDEX(COA_Mapping!$E$7:$E$256,$Q3692)))</f>
        <v/>
      </c>
      <c r="O3692" s="38" t="n">
        <f aca="false">IF($A3692="",1,IF($Q3692=0,1,INDEX(COA_Mapping!$F$7:$F$256,$Q3692)))</f>
        <v>1</v>
      </c>
      <c r="P3692" s="34" t="str">
        <f aca="false">IF($A3692="","",$I3692*$O3692)</f>
        <v/>
      </c>
      <c r="Q3692" s="39" t="n">
        <f aca="false">IF($B3692="",0,IFERROR(MATCH($B3692,COA_Mapping!$A$7:$A$256,0),0))</f>
        <v>0</v>
      </c>
      <c r="R3692" s="39" t="n">
        <f aca="false">IF($A3692="",-1,IF($J3692=Setup!$B$7,1,IF($J3692=Setup!$B$9,0,-1)))</f>
        <v>-1</v>
      </c>
      <c r="S3692" s="35" t="n">
        <f aca="false">IF(OR($A3692="",$Q3692=0,$R3692=-1),0,$Q3692*1000+$R3692*100+$K3692)</f>
        <v>0</v>
      </c>
      <c r="T3692" s="37" t="str">
        <f aca="false">IF($A3692="","",IF($B3692="","NO ACCOUNT",IF($Q3692=0,"UNMAPPED",IF($R3692=-1,"OUTSIDE FY RANGE","OK"))))</f>
        <v/>
      </c>
      <c r="U3692" s="40" t="str">
        <f aca="false">IF($A3692="","",$B3692&amp;"|"&amp;TEXT($A3692,"yyyymmdd")&amp;"|"&amp;TEXT($I3692,"0.00"))</f>
        <v/>
      </c>
      <c r="V3692" s="35" t="str">
        <f aca="false">IF($A3692="","",COUNTIF($U$8:$U$5007,$U3692))</f>
        <v/>
      </c>
    </row>
    <row r="3693" customFormat="false" ht="15" hidden="false" customHeight="false" outlineLevel="0" collapsed="false">
      <c r="A3693" s="31"/>
      <c r="B3693" s="32"/>
      <c r="C3693" s="32"/>
      <c r="D3693" s="32"/>
      <c r="E3693" s="32"/>
      <c r="F3693" s="32"/>
      <c r="G3693" s="33"/>
      <c r="H3693" s="33"/>
      <c r="I3693" s="34" t="str">
        <f aca="false">IF($A3693="","",$G3693-$H3693)</f>
        <v/>
      </c>
      <c r="J3693" s="35" t="str">
        <f aca="false">IF($A3693="","",IF(Setup!$B$6=1,YEAR($A3693),YEAR($A3693)+IF(MONTH($A3693)&gt;=Setup!$B$6,1,0)))</f>
        <v/>
      </c>
      <c r="K3693" s="35" t="str">
        <f aca="false">IF($A3693="","",MOD(MONTH($A3693)-Setup!$B$6+12,12)+1)</f>
        <v/>
      </c>
      <c r="L3693" s="36" t="str">
        <f aca="false">IF($A3693="","",TEXT($A3693,"MMM-YY"))</f>
        <v/>
      </c>
      <c r="M3693" s="37" t="str">
        <f aca="false">IF($A3693="","",IF($Q3693=0,"UNMAPPED",INDEX(COA_Mapping!$C$7:$C$256,$Q3693)))</f>
        <v/>
      </c>
      <c r="N3693" s="38" t="str">
        <f aca="false">IF($A3693="","",IF($Q3693=0,"",INDEX(COA_Mapping!$E$7:$E$256,$Q3693)))</f>
        <v/>
      </c>
      <c r="O3693" s="38" t="n">
        <f aca="false">IF($A3693="",1,IF($Q3693=0,1,INDEX(COA_Mapping!$F$7:$F$256,$Q3693)))</f>
        <v>1</v>
      </c>
      <c r="P3693" s="34" t="str">
        <f aca="false">IF($A3693="","",$I3693*$O3693)</f>
        <v/>
      </c>
      <c r="Q3693" s="39" t="n">
        <f aca="false">IF($B3693="",0,IFERROR(MATCH($B3693,COA_Mapping!$A$7:$A$256,0),0))</f>
        <v>0</v>
      </c>
      <c r="R3693" s="39" t="n">
        <f aca="false">IF($A3693="",-1,IF($J3693=Setup!$B$7,1,IF($J3693=Setup!$B$9,0,-1)))</f>
        <v>-1</v>
      </c>
      <c r="S3693" s="35" t="n">
        <f aca="false">IF(OR($A3693="",$Q3693=0,$R3693=-1),0,$Q3693*1000+$R3693*100+$K3693)</f>
        <v>0</v>
      </c>
      <c r="T3693" s="37" t="str">
        <f aca="false">IF($A3693="","",IF($B3693="","NO ACCOUNT",IF($Q3693=0,"UNMAPPED",IF($R3693=-1,"OUTSIDE FY RANGE","OK"))))</f>
        <v/>
      </c>
      <c r="U3693" s="40" t="str">
        <f aca="false">IF($A3693="","",$B3693&amp;"|"&amp;TEXT($A3693,"yyyymmdd")&amp;"|"&amp;TEXT($I3693,"0.00"))</f>
        <v/>
      </c>
      <c r="V3693" s="35" t="str">
        <f aca="false">IF($A3693="","",COUNTIF($U$8:$U$5007,$U3693))</f>
        <v/>
      </c>
    </row>
    <row r="3694" customFormat="false" ht="15" hidden="false" customHeight="false" outlineLevel="0" collapsed="false">
      <c r="A3694" s="31"/>
      <c r="B3694" s="32"/>
      <c r="C3694" s="32"/>
      <c r="D3694" s="32"/>
      <c r="E3694" s="32"/>
      <c r="F3694" s="32"/>
      <c r="G3694" s="33"/>
      <c r="H3694" s="33"/>
      <c r="I3694" s="34" t="str">
        <f aca="false">IF($A3694="","",$G3694-$H3694)</f>
        <v/>
      </c>
      <c r="J3694" s="35" t="str">
        <f aca="false">IF($A3694="","",IF(Setup!$B$6=1,YEAR($A3694),YEAR($A3694)+IF(MONTH($A3694)&gt;=Setup!$B$6,1,0)))</f>
        <v/>
      </c>
      <c r="K3694" s="35" t="str">
        <f aca="false">IF($A3694="","",MOD(MONTH($A3694)-Setup!$B$6+12,12)+1)</f>
        <v/>
      </c>
      <c r="L3694" s="36" t="str">
        <f aca="false">IF($A3694="","",TEXT($A3694,"MMM-YY"))</f>
        <v/>
      </c>
      <c r="M3694" s="37" t="str">
        <f aca="false">IF($A3694="","",IF($Q3694=0,"UNMAPPED",INDEX(COA_Mapping!$C$7:$C$256,$Q3694)))</f>
        <v/>
      </c>
      <c r="N3694" s="38" t="str">
        <f aca="false">IF($A3694="","",IF($Q3694=0,"",INDEX(COA_Mapping!$E$7:$E$256,$Q3694)))</f>
        <v/>
      </c>
      <c r="O3694" s="38" t="n">
        <f aca="false">IF($A3694="",1,IF($Q3694=0,1,INDEX(COA_Mapping!$F$7:$F$256,$Q3694)))</f>
        <v>1</v>
      </c>
      <c r="P3694" s="34" t="str">
        <f aca="false">IF($A3694="","",$I3694*$O3694)</f>
        <v/>
      </c>
      <c r="Q3694" s="39" t="n">
        <f aca="false">IF($B3694="",0,IFERROR(MATCH($B3694,COA_Mapping!$A$7:$A$256,0),0))</f>
        <v>0</v>
      </c>
      <c r="R3694" s="39" t="n">
        <f aca="false">IF($A3694="",-1,IF($J3694=Setup!$B$7,1,IF($J3694=Setup!$B$9,0,-1)))</f>
        <v>-1</v>
      </c>
      <c r="S3694" s="35" t="n">
        <f aca="false">IF(OR($A3694="",$Q3694=0,$R3694=-1),0,$Q3694*1000+$R3694*100+$K3694)</f>
        <v>0</v>
      </c>
      <c r="T3694" s="37" t="str">
        <f aca="false">IF($A3694="","",IF($B3694="","NO ACCOUNT",IF($Q3694=0,"UNMAPPED",IF($R3694=-1,"OUTSIDE FY RANGE","OK"))))</f>
        <v/>
      </c>
      <c r="U3694" s="40" t="str">
        <f aca="false">IF($A3694="","",$B3694&amp;"|"&amp;TEXT($A3694,"yyyymmdd")&amp;"|"&amp;TEXT($I3694,"0.00"))</f>
        <v/>
      </c>
      <c r="V3694" s="35" t="str">
        <f aca="false">IF($A3694="","",COUNTIF($U$8:$U$5007,$U3694))</f>
        <v/>
      </c>
    </row>
    <row r="3695" customFormat="false" ht="15" hidden="false" customHeight="false" outlineLevel="0" collapsed="false">
      <c r="A3695" s="31"/>
      <c r="B3695" s="32"/>
      <c r="C3695" s="32"/>
      <c r="D3695" s="32"/>
      <c r="E3695" s="32"/>
      <c r="F3695" s="32"/>
      <c r="G3695" s="33"/>
      <c r="H3695" s="33"/>
      <c r="I3695" s="34" t="str">
        <f aca="false">IF($A3695="","",$G3695-$H3695)</f>
        <v/>
      </c>
      <c r="J3695" s="35" t="str">
        <f aca="false">IF($A3695="","",IF(Setup!$B$6=1,YEAR($A3695),YEAR($A3695)+IF(MONTH($A3695)&gt;=Setup!$B$6,1,0)))</f>
        <v/>
      </c>
      <c r="K3695" s="35" t="str">
        <f aca="false">IF($A3695="","",MOD(MONTH($A3695)-Setup!$B$6+12,12)+1)</f>
        <v/>
      </c>
      <c r="L3695" s="36" t="str">
        <f aca="false">IF($A3695="","",TEXT($A3695,"MMM-YY"))</f>
        <v/>
      </c>
      <c r="M3695" s="37" t="str">
        <f aca="false">IF($A3695="","",IF($Q3695=0,"UNMAPPED",INDEX(COA_Mapping!$C$7:$C$256,$Q3695)))</f>
        <v/>
      </c>
      <c r="N3695" s="38" t="str">
        <f aca="false">IF($A3695="","",IF($Q3695=0,"",INDEX(COA_Mapping!$E$7:$E$256,$Q3695)))</f>
        <v/>
      </c>
      <c r="O3695" s="38" t="n">
        <f aca="false">IF($A3695="",1,IF($Q3695=0,1,INDEX(COA_Mapping!$F$7:$F$256,$Q3695)))</f>
        <v>1</v>
      </c>
      <c r="P3695" s="34" t="str">
        <f aca="false">IF($A3695="","",$I3695*$O3695)</f>
        <v/>
      </c>
      <c r="Q3695" s="39" t="n">
        <f aca="false">IF($B3695="",0,IFERROR(MATCH($B3695,COA_Mapping!$A$7:$A$256,0),0))</f>
        <v>0</v>
      </c>
      <c r="R3695" s="39" t="n">
        <f aca="false">IF($A3695="",-1,IF($J3695=Setup!$B$7,1,IF($J3695=Setup!$B$9,0,-1)))</f>
        <v>-1</v>
      </c>
      <c r="S3695" s="35" t="n">
        <f aca="false">IF(OR($A3695="",$Q3695=0,$R3695=-1),0,$Q3695*1000+$R3695*100+$K3695)</f>
        <v>0</v>
      </c>
      <c r="T3695" s="37" t="str">
        <f aca="false">IF($A3695="","",IF($B3695="","NO ACCOUNT",IF($Q3695=0,"UNMAPPED",IF($R3695=-1,"OUTSIDE FY RANGE","OK"))))</f>
        <v/>
      </c>
      <c r="U3695" s="40" t="str">
        <f aca="false">IF($A3695="","",$B3695&amp;"|"&amp;TEXT($A3695,"yyyymmdd")&amp;"|"&amp;TEXT($I3695,"0.00"))</f>
        <v/>
      </c>
      <c r="V3695" s="35" t="str">
        <f aca="false">IF($A3695="","",COUNTIF($U$8:$U$5007,$U3695))</f>
        <v/>
      </c>
    </row>
    <row r="3696" customFormat="false" ht="15" hidden="false" customHeight="false" outlineLevel="0" collapsed="false">
      <c r="A3696" s="31"/>
      <c r="B3696" s="32"/>
      <c r="C3696" s="32"/>
      <c r="D3696" s="32"/>
      <c r="E3696" s="32"/>
      <c r="F3696" s="32"/>
      <c r="G3696" s="33"/>
      <c r="H3696" s="33"/>
      <c r="I3696" s="34" t="str">
        <f aca="false">IF($A3696="","",$G3696-$H3696)</f>
        <v/>
      </c>
      <c r="J3696" s="35" t="str">
        <f aca="false">IF($A3696="","",IF(Setup!$B$6=1,YEAR($A3696),YEAR($A3696)+IF(MONTH($A3696)&gt;=Setup!$B$6,1,0)))</f>
        <v/>
      </c>
      <c r="K3696" s="35" t="str">
        <f aca="false">IF($A3696="","",MOD(MONTH($A3696)-Setup!$B$6+12,12)+1)</f>
        <v/>
      </c>
      <c r="L3696" s="36" t="str">
        <f aca="false">IF($A3696="","",TEXT($A3696,"MMM-YY"))</f>
        <v/>
      </c>
      <c r="M3696" s="37" t="str">
        <f aca="false">IF($A3696="","",IF($Q3696=0,"UNMAPPED",INDEX(COA_Mapping!$C$7:$C$256,$Q3696)))</f>
        <v/>
      </c>
      <c r="N3696" s="38" t="str">
        <f aca="false">IF($A3696="","",IF($Q3696=0,"",INDEX(COA_Mapping!$E$7:$E$256,$Q3696)))</f>
        <v/>
      </c>
      <c r="O3696" s="38" t="n">
        <f aca="false">IF($A3696="",1,IF($Q3696=0,1,INDEX(COA_Mapping!$F$7:$F$256,$Q3696)))</f>
        <v>1</v>
      </c>
      <c r="P3696" s="34" t="str">
        <f aca="false">IF($A3696="","",$I3696*$O3696)</f>
        <v/>
      </c>
      <c r="Q3696" s="39" t="n">
        <f aca="false">IF($B3696="",0,IFERROR(MATCH($B3696,COA_Mapping!$A$7:$A$256,0),0))</f>
        <v>0</v>
      </c>
      <c r="R3696" s="39" t="n">
        <f aca="false">IF($A3696="",-1,IF($J3696=Setup!$B$7,1,IF($J3696=Setup!$B$9,0,-1)))</f>
        <v>-1</v>
      </c>
      <c r="S3696" s="35" t="n">
        <f aca="false">IF(OR($A3696="",$Q3696=0,$R3696=-1),0,$Q3696*1000+$R3696*100+$K3696)</f>
        <v>0</v>
      </c>
      <c r="T3696" s="37" t="str">
        <f aca="false">IF($A3696="","",IF($B3696="","NO ACCOUNT",IF($Q3696=0,"UNMAPPED",IF($R3696=-1,"OUTSIDE FY RANGE","OK"))))</f>
        <v/>
      </c>
      <c r="U3696" s="40" t="str">
        <f aca="false">IF($A3696="","",$B3696&amp;"|"&amp;TEXT($A3696,"yyyymmdd")&amp;"|"&amp;TEXT($I3696,"0.00"))</f>
        <v/>
      </c>
      <c r="V3696" s="35" t="str">
        <f aca="false">IF($A3696="","",COUNTIF($U$8:$U$5007,$U3696))</f>
        <v/>
      </c>
    </row>
    <row r="3697" customFormat="false" ht="15" hidden="false" customHeight="false" outlineLevel="0" collapsed="false">
      <c r="A3697" s="31"/>
      <c r="B3697" s="32"/>
      <c r="C3697" s="32"/>
      <c r="D3697" s="32"/>
      <c r="E3697" s="32"/>
      <c r="F3697" s="32"/>
      <c r="G3697" s="33"/>
      <c r="H3697" s="33"/>
      <c r="I3697" s="34" t="str">
        <f aca="false">IF($A3697="","",$G3697-$H3697)</f>
        <v/>
      </c>
      <c r="J3697" s="35" t="str">
        <f aca="false">IF($A3697="","",IF(Setup!$B$6=1,YEAR($A3697),YEAR($A3697)+IF(MONTH($A3697)&gt;=Setup!$B$6,1,0)))</f>
        <v/>
      </c>
      <c r="K3697" s="35" t="str">
        <f aca="false">IF($A3697="","",MOD(MONTH($A3697)-Setup!$B$6+12,12)+1)</f>
        <v/>
      </c>
      <c r="L3697" s="36" t="str">
        <f aca="false">IF($A3697="","",TEXT($A3697,"MMM-YY"))</f>
        <v/>
      </c>
      <c r="M3697" s="37" t="str">
        <f aca="false">IF($A3697="","",IF($Q3697=0,"UNMAPPED",INDEX(COA_Mapping!$C$7:$C$256,$Q3697)))</f>
        <v/>
      </c>
      <c r="N3697" s="38" t="str">
        <f aca="false">IF($A3697="","",IF($Q3697=0,"",INDEX(COA_Mapping!$E$7:$E$256,$Q3697)))</f>
        <v/>
      </c>
      <c r="O3697" s="38" t="n">
        <f aca="false">IF($A3697="",1,IF($Q3697=0,1,INDEX(COA_Mapping!$F$7:$F$256,$Q3697)))</f>
        <v>1</v>
      </c>
      <c r="P3697" s="34" t="str">
        <f aca="false">IF($A3697="","",$I3697*$O3697)</f>
        <v/>
      </c>
      <c r="Q3697" s="39" t="n">
        <f aca="false">IF($B3697="",0,IFERROR(MATCH($B3697,COA_Mapping!$A$7:$A$256,0),0))</f>
        <v>0</v>
      </c>
      <c r="R3697" s="39" t="n">
        <f aca="false">IF($A3697="",-1,IF($J3697=Setup!$B$7,1,IF($J3697=Setup!$B$9,0,-1)))</f>
        <v>-1</v>
      </c>
      <c r="S3697" s="35" t="n">
        <f aca="false">IF(OR($A3697="",$Q3697=0,$R3697=-1),0,$Q3697*1000+$R3697*100+$K3697)</f>
        <v>0</v>
      </c>
      <c r="T3697" s="37" t="str">
        <f aca="false">IF($A3697="","",IF($B3697="","NO ACCOUNT",IF($Q3697=0,"UNMAPPED",IF($R3697=-1,"OUTSIDE FY RANGE","OK"))))</f>
        <v/>
      </c>
      <c r="U3697" s="40" t="str">
        <f aca="false">IF($A3697="","",$B3697&amp;"|"&amp;TEXT($A3697,"yyyymmdd")&amp;"|"&amp;TEXT($I3697,"0.00"))</f>
        <v/>
      </c>
      <c r="V3697" s="35" t="str">
        <f aca="false">IF($A3697="","",COUNTIF($U$8:$U$5007,$U3697))</f>
        <v/>
      </c>
    </row>
    <row r="3698" customFormat="false" ht="15" hidden="false" customHeight="false" outlineLevel="0" collapsed="false">
      <c r="A3698" s="31"/>
      <c r="B3698" s="32"/>
      <c r="C3698" s="32"/>
      <c r="D3698" s="32"/>
      <c r="E3698" s="32"/>
      <c r="F3698" s="32"/>
      <c r="G3698" s="33"/>
      <c r="H3698" s="33"/>
      <c r="I3698" s="34" t="str">
        <f aca="false">IF($A3698="","",$G3698-$H3698)</f>
        <v/>
      </c>
      <c r="J3698" s="35" t="str">
        <f aca="false">IF($A3698="","",IF(Setup!$B$6=1,YEAR($A3698),YEAR($A3698)+IF(MONTH($A3698)&gt;=Setup!$B$6,1,0)))</f>
        <v/>
      </c>
      <c r="K3698" s="35" t="str">
        <f aca="false">IF($A3698="","",MOD(MONTH($A3698)-Setup!$B$6+12,12)+1)</f>
        <v/>
      </c>
      <c r="L3698" s="36" t="str">
        <f aca="false">IF($A3698="","",TEXT($A3698,"MMM-YY"))</f>
        <v/>
      </c>
      <c r="M3698" s="37" t="str">
        <f aca="false">IF($A3698="","",IF($Q3698=0,"UNMAPPED",INDEX(COA_Mapping!$C$7:$C$256,$Q3698)))</f>
        <v/>
      </c>
      <c r="N3698" s="38" t="str">
        <f aca="false">IF($A3698="","",IF($Q3698=0,"",INDEX(COA_Mapping!$E$7:$E$256,$Q3698)))</f>
        <v/>
      </c>
      <c r="O3698" s="38" t="n">
        <f aca="false">IF($A3698="",1,IF($Q3698=0,1,INDEX(COA_Mapping!$F$7:$F$256,$Q3698)))</f>
        <v>1</v>
      </c>
      <c r="P3698" s="34" t="str">
        <f aca="false">IF($A3698="","",$I3698*$O3698)</f>
        <v/>
      </c>
      <c r="Q3698" s="39" t="n">
        <f aca="false">IF($B3698="",0,IFERROR(MATCH($B3698,COA_Mapping!$A$7:$A$256,0),0))</f>
        <v>0</v>
      </c>
      <c r="R3698" s="39" t="n">
        <f aca="false">IF($A3698="",-1,IF($J3698=Setup!$B$7,1,IF($J3698=Setup!$B$9,0,-1)))</f>
        <v>-1</v>
      </c>
      <c r="S3698" s="35" t="n">
        <f aca="false">IF(OR($A3698="",$Q3698=0,$R3698=-1),0,$Q3698*1000+$R3698*100+$K3698)</f>
        <v>0</v>
      </c>
      <c r="T3698" s="37" t="str">
        <f aca="false">IF($A3698="","",IF($B3698="","NO ACCOUNT",IF($Q3698=0,"UNMAPPED",IF($R3698=-1,"OUTSIDE FY RANGE","OK"))))</f>
        <v/>
      </c>
      <c r="U3698" s="40" t="str">
        <f aca="false">IF($A3698="","",$B3698&amp;"|"&amp;TEXT($A3698,"yyyymmdd")&amp;"|"&amp;TEXT($I3698,"0.00"))</f>
        <v/>
      </c>
      <c r="V3698" s="35" t="str">
        <f aca="false">IF($A3698="","",COUNTIF($U$8:$U$5007,$U3698))</f>
        <v/>
      </c>
    </row>
    <row r="3699" customFormat="false" ht="15" hidden="false" customHeight="false" outlineLevel="0" collapsed="false">
      <c r="A3699" s="31"/>
      <c r="B3699" s="32"/>
      <c r="C3699" s="32"/>
      <c r="D3699" s="32"/>
      <c r="E3699" s="32"/>
      <c r="F3699" s="32"/>
      <c r="G3699" s="33"/>
      <c r="H3699" s="33"/>
      <c r="I3699" s="34" t="str">
        <f aca="false">IF($A3699="","",$G3699-$H3699)</f>
        <v/>
      </c>
      <c r="J3699" s="35" t="str">
        <f aca="false">IF($A3699="","",IF(Setup!$B$6=1,YEAR($A3699),YEAR($A3699)+IF(MONTH($A3699)&gt;=Setup!$B$6,1,0)))</f>
        <v/>
      </c>
      <c r="K3699" s="35" t="str">
        <f aca="false">IF($A3699="","",MOD(MONTH($A3699)-Setup!$B$6+12,12)+1)</f>
        <v/>
      </c>
      <c r="L3699" s="36" t="str">
        <f aca="false">IF($A3699="","",TEXT($A3699,"MMM-YY"))</f>
        <v/>
      </c>
      <c r="M3699" s="37" t="str">
        <f aca="false">IF($A3699="","",IF($Q3699=0,"UNMAPPED",INDEX(COA_Mapping!$C$7:$C$256,$Q3699)))</f>
        <v/>
      </c>
      <c r="N3699" s="38" t="str">
        <f aca="false">IF($A3699="","",IF($Q3699=0,"",INDEX(COA_Mapping!$E$7:$E$256,$Q3699)))</f>
        <v/>
      </c>
      <c r="O3699" s="38" t="n">
        <f aca="false">IF($A3699="",1,IF($Q3699=0,1,INDEX(COA_Mapping!$F$7:$F$256,$Q3699)))</f>
        <v>1</v>
      </c>
      <c r="P3699" s="34" t="str">
        <f aca="false">IF($A3699="","",$I3699*$O3699)</f>
        <v/>
      </c>
      <c r="Q3699" s="39" t="n">
        <f aca="false">IF($B3699="",0,IFERROR(MATCH($B3699,COA_Mapping!$A$7:$A$256,0),0))</f>
        <v>0</v>
      </c>
      <c r="R3699" s="39" t="n">
        <f aca="false">IF($A3699="",-1,IF($J3699=Setup!$B$7,1,IF($J3699=Setup!$B$9,0,-1)))</f>
        <v>-1</v>
      </c>
      <c r="S3699" s="35" t="n">
        <f aca="false">IF(OR($A3699="",$Q3699=0,$R3699=-1),0,$Q3699*1000+$R3699*100+$K3699)</f>
        <v>0</v>
      </c>
      <c r="T3699" s="37" t="str">
        <f aca="false">IF($A3699="","",IF($B3699="","NO ACCOUNT",IF($Q3699=0,"UNMAPPED",IF($R3699=-1,"OUTSIDE FY RANGE","OK"))))</f>
        <v/>
      </c>
      <c r="U3699" s="40" t="str">
        <f aca="false">IF($A3699="","",$B3699&amp;"|"&amp;TEXT($A3699,"yyyymmdd")&amp;"|"&amp;TEXT($I3699,"0.00"))</f>
        <v/>
      </c>
      <c r="V3699" s="35" t="str">
        <f aca="false">IF($A3699="","",COUNTIF($U$8:$U$5007,$U3699))</f>
        <v/>
      </c>
    </row>
    <row r="3700" customFormat="false" ht="15" hidden="false" customHeight="false" outlineLevel="0" collapsed="false">
      <c r="A3700" s="31"/>
      <c r="B3700" s="32"/>
      <c r="C3700" s="32"/>
      <c r="D3700" s="32"/>
      <c r="E3700" s="32"/>
      <c r="F3700" s="32"/>
      <c r="G3700" s="33"/>
      <c r="H3700" s="33"/>
      <c r="I3700" s="34" t="str">
        <f aca="false">IF($A3700="","",$G3700-$H3700)</f>
        <v/>
      </c>
      <c r="J3700" s="35" t="str">
        <f aca="false">IF($A3700="","",IF(Setup!$B$6=1,YEAR($A3700),YEAR($A3700)+IF(MONTH($A3700)&gt;=Setup!$B$6,1,0)))</f>
        <v/>
      </c>
      <c r="K3700" s="35" t="str">
        <f aca="false">IF($A3700="","",MOD(MONTH($A3700)-Setup!$B$6+12,12)+1)</f>
        <v/>
      </c>
      <c r="L3700" s="36" t="str">
        <f aca="false">IF($A3700="","",TEXT($A3700,"MMM-YY"))</f>
        <v/>
      </c>
      <c r="M3700" s="37" t="str">
        <f aca="false">IF($A3700="","",IF($Q3700=0,"UNMAPPED",INDEX(COA_Mapping!$C$7:$C$256,$Q3700)))</f>
        <v/>
      </c>
      <c r="N3700" s="38" t="str">
        <f aca="false">IF($A3700="","",IF($Q3700=0,"",INDEX(COA_Mapping!$E$7:$E$256,$Q3700)))</f>
        <v/>
      </c>
      <c r="O3700" s="38" t="n">
        <f aca="false">IF($A3700="",1,IF($Q3700=0,1,INDEX(COA_Mapping!$F$7:$F$256,$Q3700)))</f>
        <v>1</v>
      </c>
      <c r="P3700" s="34" t="str">
        <f aca="false">IF($A3700="","",$I3700*$O3700)</f>
        <v/>
      </c>
      <c r="Q3700" s="39" t="n">
        <f aca="false">IF($B3700="",0,IFERROR(MATCH($B3700,COA_Mapping!$A$7:$A$256,0),0))</f>
        <v>0</v>
      </c>
      <c r="R3700" s="39" t="n">
        <f aca="false">IF($A3700="",-1,IF($J3700=Setup!$B$7,1,IF($J3700=Setup!$B$9,0,-1)))</f>
        <v>-1</v>
      </c>
      <c r="S3700" s="35" t="n">
        <f aca="false">IF(OR($A3700="",$Q3700=0,$R3700=-1),0,$Q3700*1000+$R3700*100+$K3700)</f>
        <v>0</v>
      </c>
      <c r="T3700" s="37" t="str">
        <f aca="false">IF($A3700="","",IF($B3700="","NO ACCOUNT",IF($Q3700=0,"UNMAPPED",IF($R3700=-1,"OUTSIDE FY RANGE","OK"))))</f>
        <v/>
      </c>
      <c r="U3700" s="40" t="str">
        <f aca="false">IF($A3700="","",$B3700&amp;"|"&amp;TEXT($A3700,"yyyymmdd")&amp;"|"&amp;TEXT($I3700,"0.00"))</f>
        <v/>
      </c>
      <c r="V3700" s="35" t="str">
        <f aca="false">IF($A3700="","",COUNTIF($U$8:$U$5007,$U3700))</f>
        <v/>
      </c>
    </row>
    <row r="3701" customFormat="false" ht="15" hidden="false" customHeight="false" outlineLevel="0" collapsed="false">
      <c r="A3701" s="31"/>
      <c r="B3701" s="32"/>
      <c r="C3701" s="32"/>
      <c r="D3701" s="32"/>
      <c r="E3701" s="32"/>
      <c r="F3701" s="32"/>
      <c r="G3701" s="33"/>
      <c r="H3701" s="33"/>
      <c r="I3701" s="34" t="str">
        <f aca="false">IF($A3701="","",$G3701-$H3701)</f>
        <v/>
      </c>
      <c r="J3701" s="35" t="str">
        <f aca="false">IF($A3701="","",IF(Setup!$B$6=1,YEAR($A3701),YEAR($A3701)+IF(MONTH($A3701)&gt;=Setup!$B$6,1,0)))</f>
        <v/>
      </c>
      <c r="K3701" s="35" t="str">
        <f aca="false">IF($A3701="","",MOD(MONTH($A3701)-Setup!$B$6+12,12)+1)</f>
        <v/>
      </c>
      <c r="L3701" s="36" t="str">
        <f aca="false">IF($A3701="","",TEXT($A3701,"MMM-YY"))</f>
        <v/>
      </c>
      <c r="M3701" s="37" t="str">
        <f aca="false">IF($A3701="","",IF($Q3701=0,"UNMAPPED",INDEX(COA_Mapping!$C$7:$C$256,$Q3701)))</f>
        <v/>
      </c>
      <c r="N3701" s="38" t="str">
        <f aca="false">IF($A3701="","",IF($Q3701=0,"",INDEX(COA_Mapping!$E$7:$E$256,$Q3701)))</f>
        <v/>
      </c>
      <c r="O3701" s="38" t="n">
        <f aca="false">IF($A3701="",1,IF($Q3701=0,1,INDEX(COA_Mapping!$F$7:$F$256,$Q3701)))</f>
        <v>1</v>
      </c>
      <c r="P3701" s="34" t="str">
        <f aca="false">IF($A3701="","",$I3701*$O3701)</f>
        <v/>
      </c>
      <c r="Q3701" s="39" t="n">
        <f aca="false">IF($B3701="",0,IFERROR(MATCH($B3701,COA_Mapping!$A$7:$A$256,0),0))</f>
        <v>0</v>
      </c>
      <c r="R3701" s="39" t="n">
        <f aca="false">IF($A3701="",-1,IF($J3701=Setup!$B$7,1,IF($J3701=Setup!$B$9,0,-1)))</f>
        <v>-1</v>
      </c>
      <c r="S3701" s="35" t="n">
        <f aca="false">IF(OR($A3701="",$Q3701=0,$R3701=-1),0,$Q3701*1000+$R3701*100+$K3701)</f>
        <v>0</v>
      </c>
      <c r="T3701" s="37" t="str">
        <f aca="false">IF($A3701="","",IF($B3701="","NO ACCOUNT",IF($Q3701=0,"UNMAPPED",IF($R3701=-1,"OUTSIDE FY RANGE","OK"))))</f>
        <v/>
      </c>
      <c r="U3701" s="40" t="str">
        <f aca="false">IF($A3701="","",$B3701&amp;"|"&amp;TEXT($A3701,"yyyymmdd")&amp;"|"&amp;TEXT($I3701,"0.00"))</f>
        <v/>
      </c>
      <c r="V3701" s="35" t="str">
        <f aca="false">IF($A3701="","",COUNTIF($U$8:$U$5007,$U3701))</f>
        <v/>
      </c>
    </row>
    <row r="3702" customFormat="false" ht="15" hidden="false" customHeight="false" outlineLevel="0" collapsed="false">
      <c r="A3702" s="31"/>
      <c r="B3702" s="32"/>
      <c r="C3702" s="32"/>
      <c r="D3702" s="32"/>
      <c r="E3702" s="32"/>
      <c r="F3702" s="32"/>
      <c r="G3702" s="33"/>
      <c r="H3702" s="33"/>
      <c r="I3702" s="34" t="str">
        <f aca="false">IF($A3702="","",$G3702-$H3702)</f>
        <v/>
      </c>
      <c r="J3702" s="35" t="str">
        <f aca="false">IF($A3702="","",IF(Setup!$B$6=1,YEAR($A3702),YEAR($A3702)+IF(MONTH($A3702)&gt;=Setup!$B$6,1,0)))</f>
        <v/>
      </c>
      <c r="K3702" s="35" t="str">
        <f aca="false">IF($A3702="","",MOD(MONTH($A3702)-Setup!$B$6+12,12)+1)</f>
        <v/>
      </c>
      <c r="L3702" s="36" t="str">
        <f aca="false">IF($A3702="","",TEXT($A3702,"MMM-YY"))</f>
        <v/>
      </c>
      <c r="M3702" s="37" t="str">
        <f aca="false">IF($A3702="","",IF($Q3702=0,"UNMAPPED",INDEX(COA_Mapping!$C$7:$C$256,$Q3702)))</f>
        <v/>
      </c>
      <c r="N3702" s="38" t="str">
        <f aca="false">IF($A3702="","",IF($Q3702=0,"",INDEX(COA_Mapping!$E$7:$E$256,$Q3702)))</f>
        <v/>
      </c>
      <c r="O3702" s="38" t="n">
        <f aca="false">IF($A3702="",1,IF($Q3702=0,1,INDEX(COA_Mapping!$F$7:$F$256,$Q3702)))</f>
        <v>1</v>
      </c>
      <c r="P3702" s="34" t="str">
        <f aca="false">IF($A3702="","",$I3702*$O3702)</f>
        <v/>
      </c>
      <c r="Q3702" s="39" t="n">
        <f aca="false">IF($B3702="",0,IFERROR(MATCH($B3702,COA_Mapping!$A$7:$A$256,0),0))</f>
        <v>0</v>
      </c>
      <c r="R3702" s="39" t="n">
        <f aca="false">IF($A3702="",-1,IF($J3702=Setup!$B$7,1,IF($J3702=Setup!$B$9,0,-1)))</f>
        <v>-1</v>
      </c>
      <c r="S3702" s="35" t="n">
        <f aca="false">IF(OR($A3702="",$Q3702=0,$R3702=-1),0,$Q3702*1000+$R3702*100+$K3702)</f>
        <v>0</v>
      </c>
      <c r="T3702" s="37" t="str">
        <f aca="false">IF($A3702="","",IF($B3702="","NO ACCOUNT",IF($Q3702=0,"UNMAPPED",IF($R3702=-1,"OUTSIDE FY RANGE","OK"))))</f>
        <v/>
      </c>
      <c r="U3702" s="40" t="str">
        <f aca="false">IF($A3702="","",$B3702&amp;"|"&amp;TEXT($A3702,"yyyymmdd")&amp;"|"&amp;TEXT($I3702,"0.00"))</f>
        <v/>
      </c>
      <c r="V3702" s="35" t="str">
        <f aca="false">IF($A3702="","",COUNTIF($U$8:$U$5007,$U3702))</f>
        <v/>
      </c>
    </row>
    <row r="3703" customFormat="false" ht="15" hidden="false" customHeight="false" outlineLevel="0" collapsed="false">
      <c r="A3703" s="31"/>
      <c r="B3703" s="32"/>
      <c r="C3703" s="32"/>
      <c r="D3703" s="32"/>
      <c r="E3703" s="32"/>
      <c r="F3703" s="32"/>
      <c r="G3703" s="33"/>
      <c r="H3703" s="33"/>
      <c r="I3703" s="34" t="str">
        <f aca="false">IF($A3703="","",$G3703-$H3703)</f>
        <v/>
      </c>
      <c r="J3703" s="35" t="str">
        <f aca="false">IF($A3703="","",IF(Setup!$B$6=1,YEAR($A3703),YEAR($A3703)+IF(MONTH($A3703)&gt;=Setup!$B$6,1,0)))</f>
        <v/>
      </c>
      <c r="K3703" s="35" t="str">
        <f aca="false">IF($A3703="","",MOD(MONTH($A3703)-Setup!$B$6+12,12)+1)</f>
        <v/>
      </c>
      <c r="L3703" s="36" t="str">
        <f aca="false">IF($A3703="","",TEXT($A3703,"MMM-YY"))</f>
        <v/>
      </c>
      <c r="M3703" s="37" t="str">
        <f aca="false">IF($A3703="","",IF($Q3703=0,"UNMAPPED",INDEX(COA_Mapping!$C$7:$C$256,$Q3703)))</f>
        <v/>
      </c>
      <c r="N3703" s="38" t="str">
        <f aca="false">IF($A3703="","",IF($Q3703=0,"",INDEX(COA_Mapping!$E$7:$E$256,$Q3703)))</f>
        <v/>
      </c>
      <c r="O3703" s="38" t="n">
        <f aca="false">IF($A3703="",1,IF($Q3703=0,1,INDEX(COA_Mapping!$F$7:$F$256,$Q3703)))</f>
        <v>1</v>
      </c>
      <c r="P3703" s="34" t="str">
        <f aca="false">IF($A3703="","",$I3703*$O3703)</f>
        <v/>
      </c>
      <c r="Q3703" s="39" t="n">
        <f aca="false">IF($B3703="",0,IFERROR(MATCH($B3703,COA_Mapping!$A$7:$A$256,0),0))</f>
        <v>0</v>
      </c>
      <c r="R3703" s="39" t="n">
        <f aca="false">IF($A3703="",-1,IF($J3703=Setup!$B$7,1,IF($J3703=Setup!$B$9,0,-1)))</f>
        <v>-1</v>
      </c>
      <c r="S3703" s="35" t="n">
        <f aca="false">IF(OR($A3703="",$Q3703=0,$R3703=-1),0,$Q3703*1000+$R3703*100+$K3703)</f>
        <v>0</v>
      </c>
      <c r="T3703" s="37" t="str">
        <f aca="false">IF($A3703="","",IF($B3703="","NO ACCOUNT",IF($Q3703=0,"UNMAPPED",IF($R3703=-1,"OUTSIDE FY RANGE","OK"))))</f>
        <v/>
      </c>
      <c r="U3703" s="40" t="str">
        <f aca="false">IF($A3703="","",$B3703&amp;"|"&amp;TEXT($A3703,"yyyymmdd")&amp;"|"&amp;TEXT($I3703,"0.00"))</f>
        <v/>
      </c>
      <c r="V3703" s="35" t="str">
        <f aca="false">IF($A3703="","",COUNTIF($U$8:$U$5007,$U3703))</f>
        <v/>
      </c>
    </row>
    <row r="3704" customFormat="false" ht="15" hidden="false" customHeight="false" outlineLevel="0" collapsed="false">
      <c r="A3704" s="31"/>
      <c r="B3704" s="32"/>
      <c r="C3704" s="32"/>
      <c r="D3704" s="32"/>
      <c r="E3704" s="32"/>
      <c r="F3704" s="32"/>
      <c r="G3704" s="33"/>
      <c r="H3704" s="33"/>
      <c r="I3704" s="34" t="str">
        <f aca="false">IF($A3704="","",$G3704-$H3704)</f>
        <v/>
      </c>
      <c r="J3704" s="35" t="str">
        <f aca="false">IF($A3704="","",IF(Setup!$B$6=1,YEAR($A3704),YEAR($A3704)+IF(MONTH($A3704)&gt;=Setup!$B$6,1,0)))</f>
        <v/>
      </c>
      <c r="K3704" s="35" t="str">
        <f aca="false">IF($A3704="","",MOD(MONTH($A3704)-Setup!$B$6+12,12)+1)</f>
        <v/>
      </c>
      <c r="L3704" s="36" t="str">
        <f aca="false">IF($A3704="","",TEXT($A3704,"MMM-YY"))</f>
        <v/>
      </c>
      <c r="M3704" s="37" t="str">
        <f aca="false">IF($A3704="","",IF($Q3704=0,"UNMAPPED",INDEX(COA_Mapping!$C$7:$C$256,$Q3704)))</f>
        <v/>
      </c>
      <c r="N3704" s="38" t="str">
        <f aca="false">IF($A3704="","",IF($Q3704=0,"",INDEX(COA_Mapping!$E$7:$E$256,$Q3704)))</f>
        <v/>
      </c>
      <c r="O3704" s="38" t="n">
        <f aca="false">IF($A3704="",1,IF($Q3704=0,1,INDEX(COA_Mapping!$F$7:$F$256,$Q3704)))</f>
        <v>1</v>
      </c>
      <c r="P3704" s="34" t="str">
        <f aca="false">IF($A3704="","",$I3704*$O3704)</f>
        <v/>
      </c>
      <c r="Q3704" s="39" t="n">
        <f aca="false">IF($B3704="",0,IFERROR(MATCH($B3704,COA_Mapping!$A$7:$A$256,0),0))</f>
        <v>0</v>
      </c>
      <c r="R3704" s="39" t="n">
        <f aca="false">IF($A3704="",-1,IF($J3704=Setup!$B$7,1,IF($J3704=Setup!$B$9,0,-1)))</f>
        <v>-1</v>
      </c>
      <c r="S3704" s="35" t="n">
        <f aca="false">IF(OR($A3704="",$Q3704=0,$R3704=-1),0,$Q3704*1000+$R3704*100+$K3704)</f>
        <v>0</v>
      </c>
      <c r="T3704" s="37" t="str">
        <f aca="false">IF($A3704="","",IF($B3704="","NO ACCOUNT",IF($Q3704=0,"UNMAPPED",IF($R3704=-1,"OUTSIDE FY RANGE","OK"))))</f>
        <v/>
      </c>
      <c r="U3704" s="40" t="str">
        <f aca="false">IF($A3704="","",$B3704&amp;"|"&amp;TEXT($A3704,"yyyymmdd")&amp;"|"&amp;TEXT($I3704,"0.00"))</f>
        <v/>
      </c>
      <c r="V3704" s="35" t="str">
        <f aca="false">IF($A3704="","",COUNTIF($U$8:$U$5007,$U3704))</f>
        <v/>
      </c>
    </row>
    <row r="3705" customFormat="false" ht="15" hidden="false" customHeight="false" outlineLevel="0" collapsed="false">
      <c r="A3705" s="31"/>
      <c r="B3705" s="32"/>
      <c r="C3705" s="32"/>
      <c r="D3705" s="32"/>
      <c r="E3705" s="32"/>
      <c r="F3705" s="32"/>
      <c r="G3705" s="33"/>
      <c r="H3705" s="33"/>
      <c r="I3705" s="34" t="str">
        <f aca="false">IF($A3705="","",$G3705-$H3705)</f>
        <v/>
      </c>
      <c r="J3705" s="35" t="str">
        <f aca="false">IF($A3705="","",IF(Setup!$B$6=1,YEAR($A3705),YEAR($A3705)+IF(MONTH($A3705)&gt;=Setup!$B$6,1,0)))</f>
        <v/>
      </c>
      <c r="K3705" s="35" t="str">
        <f aca="false">IF($A3705="","",MOD(MONTH($A3705)-Setup!$B$6+12,12)+1)</f>
        <v/>
      </c>
      <c r="L3705" s="36" t="str">
        <f aca="false">IF($A3705="","",TEXT($A3705,"MMM-YY"))</f>
        <v/>
      </c>
      <c r="M3705" s="37" t="str">
        <f aca="false">IF($A3705="","",IF($Q3705=0,"UNMAPPED",INDEX(COA_Mapping!$C$7:$C$256,$Q3705)))</f>
        <v/>
      </c>
      <c r="N3705" s="38" t="str">
        <f aca="false">IF($A3705="","",IF($Q3705=0,"",INDEX(COA_Mapping!$E$7:$E$256,$Q3705)))</f>
        <v/>
      </c>
      <c r="O3705" s="38" t="n">
        <f aca="false">IF($A3705="",1,IF($Q3705=0,1,INDEX(COA_Mapping!$F$7:$F$256,$Q3705)))</f>
        <v>1</v>
      </c>
      <c r="P3705" s="34" t="str">
        <f aca="false">IF($A3705="","",$I3705*$O3705)</f>
        <v/>
      </c>
      <c r="Q3705" s="39" t="n">
        <f aca="false">IF($B3705="",0,IFERROR(MATCH($B3705,COA_Mapping!$A$7:$A$256,0),0))</f>
        <v>0</v>
      </c>
      <c r="R3705" s="39" t="n">
        <f aca="false">IF($A3705="",-1,IF($J3705=Setup!$B$7,1,IF($J3705=Setup!$B$9,0,-1)))</f>
        <v>-1</v>
      </c>
      <c r="S3705" s="35" t="n">
        <f aca="false">IF(OR($A3705="",$Q3705=0,$R3705=-1),0,$Q3705*1000+$R3705*100+$K3705)</f>
        <v>0</v>
      </c>
      <c r="T3705" s="37" t="str">
        <f aca="false">IF($A3705="","",IF($B3705="","NO ACCOUNT",IF($Q3705=0,"UNMAPPED",IF($R3705=-1,"OUTSIDE FY RANGE","OK"))))</f>
        <v/>
      </c>
      <c r="U3705" s="40" t="str">
        <f aca="false">IF($A3705="","",$B3705&amp;"|"&amp;TEXT($A3705,"yyyymmdd")&amp;"|"&amp;TEXT($I3705,"0.00"))</f>
        <v/>
      </c>
      <c r="V3705" s="35" t="str">
        <f aca="false">IF($A3705="","",COUNTIF($U$8:$U$5007,$U3705))</f>
        <v/>
      </c>
    </row>
    <row r="3706" customFormat="false" ht="15" hidden="false" customHeight="false" outlineLevel="0" collapsed="false">
      <c r="A3706" s="31"/>
      <c r="B3706" s="32"/>
      <c r="C3706" s="32"/>
      <c r="D3706" s="32"/>
      <c r="E3706" s="32"/>
      <c r="F3706" s="32"/>
      <c r="G3706" s="33"/>
      <c r="H3706" s="33"/>
      <c r="I3706" s="34" t="str">
        <f aca="false">IF($A3706="","",$G3706-$H3706)</f>
        <v/>
      </c>
      <c r="J3706" s="35" t="str">
        <f aca="false">IF($A3706="","",IF(Setup!$B$6=1,YEAR($A3706),YEAR($A3706)+IF(MONTH($A3706)&gt;=Setup!$B$6,1,0)))</f>
        <v/>
      </c>
      <c r="K3706" s="35" t="str">
        <f aca="false">IF($A3706="","",MOD(MONTH($A3706)-Setup!$B$6+12,12)+1)</f>
        <v/>
      </c>
      <c r="L3706" s="36" t="str">
        <f aca="false">IF($A3706="","",TEXT($A3706,"MMM-YY"))</f>
        <v/>
      </c>
      <c r="M3706" s="37" t="str">
        <f aca="false">IF($A3706="","",IF($Q3706=0,"UNMAPPED",INDEX(COA_Mapping!$C$7:$C$256,$Q3706)))</f>
        <v/>
      </c>
      <c r="N3706" s="38" t="str">
        <f aca="false">IF($A3706="","",IF($Q3706=0,"",INDEX(COA_Mapping!$E$7:$E$256,$Q3706)))</f>
        <v/>
      </c>
      <c r="O3706" s="38" t="n">
        <f aca="false">IF($A3706="",1,IF($Q3706=0,1,INDEX(COA_Mapping!$F$7:$F$256,$Q3706)))</f>
        <v>1</v>
      </c>
      <c r="P3706" s="34" t="str">
        <f aca="false">IF($A3706="","",$I3706*$O3706)</f>
        <v/>
      </c>
      <c r="Q3706" s="39" t="n">
        <f aca="false">IF($B3706="",0,IFERROR(MATCH($B3706,COA_Mapping!$A$7:$A$256,0),0))</f>
        <v>0</v>
      </c>
      <c r="R3706" s="39" t="n">
        <f aca="false">IF($A3706="",-1,IF($J3706=Setup!$B$7,1,IF($J3706=Setup!$B$9,0,-1)))</f>
        <v>-1</v>
      </c>
      <c r="S3706" s="35" t="n">
        <f aca="false">IF(OR($A3706="",$Q3706=0,$R3706=-1),0,$Q3706*1000+$R3706*100+$K3706)</f>
        <v>0</v>
      </c>
      <c r="T3706" s="37" t="str">
        <f aca="false">IF($A3706="","",IF($B3706="","NO ACCOUNT",IF($Q3706=0,"UNMAPPED",IF($R3706=-1,"OUTSIDE FY RANGE","OK"))))</f>
        <v/>
      </c>
      <c r="U3706" s="40" t="str">
        <f aca="false">IF($A3706="","",$B3706&amp;"|"&amp;TEXT($A3706,"yyyymmdd")&amp;"|"&amp;TEXT($I3706,"0.00"))</f>
        <v/>
      </c>
      <c r="V3706" s="35" t="str">
        <f aca="false">IF($A3706="","",COUNTIF($U$8:$U$5007,$U3706))</f>
        <v/>
      </c>
    </row>
    <row r="3707" customFormat="false" ht="15" hidden="false" customHeight="false" outlineLevel="0" collapsed="false">
      <c r="A3707" s="31"/>
      <c r="B3707" s="32"/>
      <c r="C3707" s="32"/>
      <c r="D3707" s="32"/>
      <c r="E3707" s="32"/>
      <c r="F3707" s="32"/>
      <c r="G3707" s="33"/>
      <c r="H3707" s="33"/>
      <c r="I3707" s="34" t="str">
        <f aca="false">IF($A3707="","",$G3707-$H3707)</f>
        <v/>
      </c>
      <c r="J3707" s="35" t="str">
        <f aca="false">IF($A3707="","",IF(Setup!$B$6=1,YEAR($A3707),YEAR($A3707)+IF(MONTH($A3707)&gt;=Setup!$B$6,1,0)))</f>
        <v/>
      </c>
      <c r="K3707" s="35" t="str">
        <f aca="false">IF($A3707="","",MOD(MONTH($A3707)-Setup!$B$6+12,12)+1)</f>
        <v/>
      </c>
      <c r="L3707" s="36" t="str">
        <f aca="false">IF($A3707="","",TEXT($A3707,"MMM-YY"))</f>
        <v/>
      </c>
      <c r="M3707" s="37" t="str">
        <f aca="false">IF($A3707="","",IF($Q3707=0,"UNMAPPED",INDEX(COA_Mapping!$C$7:$C$256,$Q3707)))</f>
        <v/>
      </c>
      <c r="N3707" s="38" t="str">
        <f aca="false">IF($A3707="","",IF($Q3707=0,"",INDEX(COA_Mapping!$E$7:$E$256,$Q3707)))</f>
        <v/>
      </c>
      <c r="O3707" s="38" t="n">
        <f aca="false">IF($A3707="",1,IF($Q3707=0,1,INDEX(COA_Mapping!$F$7:$F$256,$Q3707)))</f>
        <v>1</v>
      </c>
      <c r="P3707" s="34" t="str">
        <f aca="false">IF($A3707="","",$I3707*$O3707)</f>
        <v/>
      </c>
      <c r="Q3707" s="39" t="n">
        <f aca="false">IF($B3707="",0,IFERROR(MATCH($B3707,COA_Mapping!$A$7:$A$256,0),0))</f>
        <v>0</v>
      </c>
      <c r="R3707" s="39" t="n">
        <f aca="false">IF($A3707="",-1,IF($J3707=Setup!$B$7,1,IF($J3707=Setup!$B$9,0,-1)))</f>
        <v>-1</v>
      </c>
      <c r="S3707" s="35" t="n">
        <f aca="false">IF(OR($A3707="",$Q3707=0,$R3707=-1),0,$Q3707*1000+$R3707*100+$K3707)</f>
        <v>0</v>
      </c>
      <c r="T3707" s="37" t="str">
        <f aca="false">IF($A3707="","",IF($B3707="","NO ACCOUNT",IF($Q3707=0,"UNMAPPED",IF($R3707=-1,"OUTSIDE FY RANGE","OK"))))</f>
        <v/>
      </c>
      <c r="U3707" s="40" t="str">
        <f aca="false">IF($A3707="","",$B3707&amp;"|"&amp;TEXT($A3707,"yyyymmdd")&amp;"|"&amp;TEXT($I3707,"0.00"))</f>
        <v/>
      </c>
      <c r="V3707" s="35" t="str">
        <f aca="false">IF($A3707="","",COUNTIF($U$8:$U$5007,$U3707))</f>
        <v/>
      </c>
    </row>
    <row r="3708" customFormat="false" ht="15" hidden="false" customHeight="false" outlineLevel="0" collapsed="false">
      <c r="A3708" s="31"/>
      <c r="B3708" s="32"/>
      <c r="C3708" s="32"/>
      <c r="D3708" s="32"/>
      <c r="E3708" s="32"/>
      <c r="F3708" s="32"/>
      <c r="G3708" s="33"/>
      <c r="H3708" s="33"/>
      <c r="I3708" s="34" t="str">
        <f aca="false">IF($A3708="","",$G3708-$H3708)</f>
        <v/>
      </c>
      <c r="J3708" s="35" t="str">
        <f aca="false">IF($A3708="","",IF(Setup!$B$6=1,YEAR($A3708),YEAR($A3708)+IF(MONTH($A3708)&gt;=Setup!$B$6,1,0)))</f>
        <v/>
      </c>
      <c r="K3708" s="35" t="str">
        <f aca="false">IF($A3708="","",MOD(MONTH($A3708)-Setup!$B$6+12,12)+1)</f>
        <v/>
      </c>
      <c r="L3708" s="36" t="str">
        <f aca="false">IF($A3708="","",TEXT($A3708,"MMM-YY"))</f>
        <v/>
      </c>
      <c r="M3708" s="37" t="str">
        <f aca="false">IF($A3708="","",IF($Q3708=0,"UNMAPPED",INDEX(COA_Mapping!$C$7:$C$256,$Q3708)))</f>
        <v/>
      </c>
      <c r="N3708" s="38" t="str">
        <f aca="false">IF($A3708="","",IF($Q3708=0,"",INDEX(COA_Mapping!$E$7:$E$256,$Q3708)))</f>
        <v/>
      </c>
      <c r="O3708" s="38" t="n">
        <f aca="false">IF($A3708="",1,IF($Q3708=0,1,INDEX(COA_Mapping!$F$7:$F$256,$Q3708)))</f>
        <v>1</v>
      </c>
      <c r="P3708" s="34" t="str">
        <f aca="false">IF($A3708="","",$I3708*$O3708)</f>
        <v/>
      </c>
      <c r="Q3708" s="39" t="n">
        <f aca="false">IF($B3708="",0,IFERROR(MATCH($B3708,COA_Mapping!$A$7:$A$256,0),0))</f>
        <v>0</v>
      </c>
      <c r="R3708" s="39" t="n">
        <f aca="false">IF($A3708="",-1,IF($J3708=Setup!$B$7,1,IF($J3708=Setup!$B$9,0,-1)))</f>
        <v>-1</v>
      </c>
      <c r="S3708" s="35" t="n">
        <f aca="false">IF(OR($A3708="",$Q3708=0,$R3708=-1),0,$Q3708*1000+$R3708*100+$K3708)</f>
        <v>0</v>
      </c>
      <c r="T3708" s="37" t="str">
        <f aca="false">IF($A3708="","",IF($B3708="","NO ACCOUNT",IF($Q3708=0,"UNMAPPED",IF($R3708=-1,"OUTSIDE FY RANGE","OK"))))</f>
        <v/>
      </c>
      <c r="U3708" s="40" t="str">
        <f aca="false">IF($A3708="","",$B3708&amp;"|"&amp;TEXT($A3708,"yyyymmdd")&amp;"|"&amp;TEXT($I3708,"0.00"))</f>
        <v/>
      </c>
      <c r="V3708" s="35" t="str">
        <f aca="false">IF($A3708="","",COUNTIF($U$8:$U$5007,$U3708))</f>
        <v/>
      </c>
    </row>
    <row r="3709" customFormat="false" ht="15" hidden="false" customHeight="false" outlineLevel="0" collapsed="false">
      <c r="A3709" s="31"/>
      <c r="B3709" s="32"/>
      <c r="C3709" s="32"/>
      <c r="D3709" s="32"/>
      <c r="E3709" s="32"/>
      <c r="F3709" s="32"/>
      <c r="G3709" s="33"/>
      <c r="H3709" s="33"/>
      <c r="I3709" s="34" t="str">
        <f aca="false">IF($A3709="","",$G3709-$H3709)</f>
        <v/>
      </c>
      <c r="J3709" s="35" t="str">
        <f aca="false">IF($A3709="","",IF(Setup!$B$6=1,YEAR($A3709),YEAR($A3709)+IF(MONTH($A3709)&gt;=Setup!$B$6,1,0)))</f>
        <v/>
      </c>
      <c r="K3709" s="35" t="str">
        <f aca="false">IF($A3709="","",MOD(MONTH($A3709)-Setup!$B$6+12,12)+1)</f>
        <v/>
      </c>
      <c r="L3709" s="36" t="str">
        <f aca="false">IF($A3709="","",TEXT($A3709,"MMM-YY"))</f>
        <v/>
      </c>
      <c r="M3709" s="37" t="str">
        <f aca="false">IF($A3709="","",IF($Q3709=0,"UNMAPPED",INDEX(COA_Mapping!$C$7:$C$256,$Q3709)))</f>
        <v/>
      </c>
      <c r="N3709" s="38" t="str">
        <f aca="false">IF($A3709="","",IF($Q3709=0,"",INDEX(COA_Mapping!$E$7:$E$256,$Q3709)))</f>
        <v/>
      </c>
      <c r="O3709" s="38" t="n">
        <f aca="false">IF($A3709="",1,IF($Q3709=0,1,INDEX(COA_Mapping!$F$7:$F$256,$Q3709)))</f>
        <v>1</v>
      </c>
      <c r="P3709" s="34" t="str">
        <f aca="false">IF($A3709="","",$I3709*$O3709)</f>
        <v/>
      </c>
      <c r="Q3709" s="39" t="n">
        <f aca="false">IF($B3709="",0,IFERROR(MATCH($B3709,COA_Mapping!$A$7:$A$256,0),0))</f>
        <v>0</v>
      </c>
      <c r="R3709" s="39" t="n">
        <f aca="false">IF($A3709="",-1,IF($J3709=Setup!$B$7,1,IF($J3709=Setup!$B$9,0,-1)))</f>
        <v>-1</v>
      </c>
      <c r="S3709" s="35" t="n">
        <f aca="false">IF(OR($A3709="",$Q3709=0,$R3709=-1),0,$Q3709*1000+$R3709*100+$K3709)</f>
        <v>0</v>
      </c>
      <c r="T3709" s="37" t="str">
        <f aca="false">IF($A3709="","",IF($B3709="","NO ACCOUNT",IF($Q3709=0,"UNMAPPED",IF($R3709=-1,"OUTSIDE FY RANGE","OK"))))</f>
        <v/>
      </c>
      <c r="U3709" s="40" t="str">
        <f aca="false">IF($A3709="","",$B3709&amp;"|"&amp;TEXT($A3709,"yyyymmdd")&amp;"|"&amp;TEXT($I3709,"0.00"))</f>
        <v/>
      </c>
      <c r="V3709" s="35" t="str">
        <f aca="false">IF($A3709="","",COUNTIF($U$8:$U$5007,$U3709))</f>
        <v/>
      </c>
    </row>
    <row r="3710" customFormat="false" ht="15" hidden="false" customHeight="false" outlineLevel="0" collapsed="false">
      <c r="A3710" s="31"/>
      <c r="B3710" s="32"/>
      <c r="C3710" s="32"/>
      <c r="D3710" s="32"/>
      <c r="E3710" s="32"/>
      <c r="F3710" s="32"/>
      <c r="G3710" s="33"/>
      <c r="H3710" s="33"/>
      <c r="I3710" s="34" t="str">
        <f aca="false">IF($A3710="","",$G3710-$H3710)</f>
        <v/>
      </c>
      <c r="J3710" s="35" t="str">
        <f aca="false">IF($A3710="","",IF(Setup!$B$6=1,YEAR($A3710),YEAR($A3710)+IF(MONTH($A3710)&gt;=Setup!$B$6,1,0)))</f>
        <v/>
      </c>
      <c r="K3710" s="35" t="str">
        <f aca="false">IF($A3710="","",MOD(MONTH($A3710)-Setup!$B$6+12,12)+1)</f>
        <v/>
      </c>
      <c r="L3710" s="36" t="str">
        <f aca="false">IF($A3710="","",TEXT($A3710,"MMM-YY"))</f>
        <v/>
      </c>
      <c r="M3710" s="37" t="str">
        <f aca="false">IF($A3710="","",IF($Q3710=0,"UNMAPPED",INDEX(COA_Mapping!$C$7:$C$256,$Q3710)))</f>
        <v/>
      </c>
      <c r="N3710" s="38" t="str">
        <f aca="false">IF($A3710="","",IF($Q3710=0,"",INDEX(COA_Mapping!$E$7:$E$256,$Q3710)))</f>
        <v/>
      </c>
      <c r="O3710" s="38" t="n">
        <f aca="false">IF($A3710="",1,IF($Q3710=0,1,INDEX(COA_Mapping!$F$7:$F$256,$Q3710)))</f>
        <v>1</v>
      </c>
      <c r="P3710" s="34" t="str">
        <f aca="false">IF($A3710="","",$I3710*$O3710)</f>
        <v/>
      </c>
      <c r="Q3710" s="39" t="n">
        <f aca="false">IF($B3710="",0,IFERROR(MATCH($B3710,COA_Mapping!$A$7:$A$256,0),0))</f>
        <v>0</v>
      </c>
      <c r="R3710" s="39" t="n">
        <f aca="false">IF($A3710="",-1,IF($J3710=Setup!$B$7,1,IF($J3710=Setup!$B$9,0,-1)))</f>
        <v>-1</v>
      </c>
      <c r="S3710" s="35" t="n">
        <f aca="false">IF(OR($A3710="",$Q3710=0,$R3710=-1),0,$Q3710*1000+$R3710*100+$K3710)</f>
        <v>0</v>
      </c>
      <c r="T3710" s="37" t="str">
        <f aca="false">IF($A3710="","",IF($B3710="","NO ACCOUNT",IF($Q3710=0,"UNMAPPED",IF($R3710=-1,"OUTSIDE FY RANGE","OK"))))</f>
        <v/>
      </c>
      <c r="U3710" s="40" t="str">
        <f aca="false">IF($A3710="","",$B3710&amp;"|"&amp;TEXT($A3710,"yyyymmdd")&amp;"|"&amp;TEXT($I3710,"0.00"))</f>
        <v/>
      </c>
      <c r="V3710" s="35" t="str">
        <f aca="false">IF($A3710="","",COUNTIF($U$8:$U$5007,$U3710))</f>
        <v/>
      </c>
    </row>
    <row r="3711" customFormat="false" ht="15" hidden="false" customHeight="false" outlineLevel="0" collapsed="false">
      <c r="A3711" s="31"/>
      <c r="B3711" s="32"/>
      <c r="C3711" s="32"/>
      <c r="D3711" s="32"/>
      <c r="E3711" s="32"/>
      <c r="F3711" s="32"/>
      <c r="G3711" s="33"/>
      <c r="H3711" s="33"/>
      <c r="I3711" s="34" t="str">
        <f aca="false">IF($A3711="","",$G3711-$H3711)</f>
        <v/>
      </c>
      <c r="J3711" s="35" t="str">
        <f aca="false">IF($A3711="","",IF(Setup!$B$6=1,YEAR($A3711),YEAR($A3711)+IF(MONTH($A3711)&gt;=Setup!$B$6,1,0)))</f>
        <v/>
      </c>
      <c r="K3711" s="35" t="str">
        <f aca="false">IF($A3711="","",MOD(MONTH($A3711)-Setup!$B$6+12,12)+1)</f>
        <v/>
      </c>
      <c r="L3711" s="36" t="str">
        <f aca="false">IF($A3711="","",TEXT($A3711,"MMM-YY"))</f>
        <v/>
      </c>
      <c r="M3711" s="37" t="str">
        <f aca="false">IF($A3711="","",IF($Q3711=0,"UNMAPPED",INDEX(COA_Mapping!$C$7:$C$256,$Q3711)))</f>
        <v/>
      </c>
      <c r="N3711" s="38" t="str">
        <f aca="false">IF($A3711="","",IF($Q3711=0,"",INDEX(COA_Mapping!$E$7:$E$256,$Q3711)))</f>
        <v/>
      </c>
      <c r="O3711" s="38" t="n">
        <f aca="false">IF($A3711="",1,IF($Q3711=0,1,INDEX(COA_Mapping!$F$7:$F$256,$Q3711)))</f>
        <v>1</v>
      </c>
      <c r="P3711" s="34" t="str">
        <f aca="false">IF($A3711="","",$I3711*$O3711)</f>
        <v/>
      </c>
      <c r="Q3711" s="39" t="n">
        <f aca="false">IF($B3711="",0,IFERROR(MATCH($B3711,COA_Mapping!$A$7:$A$256,0),0))</f>
        <v>0</v>
      </c>
      <c r="R3711" s="39" t="n">
        <f aca="false">IF($A3711="",-1,IF($J3711=Setup!$B$7,1,IF($J3711=Setup!$B$9,0,-1)))</f>
        <v>-1</v>
      </c>
      <c r="S3711" s="35" t="n">
        <f aca="false">IF(OR($A3711="",$Q3711=0,$R3711=-1),0,$Q3711*1000+$R3711*100+$K3711)</f>
        <v>0</v>
      </c>
      <c r="T3711" s="37" t="str">
        <f aca="false">IF($A3711="","",IF($B3711="","NO ACCOUNT",IF($Q3711=0,"UNMAPPED",IF($R3711=-1,"OUTSIDE FY RANGE","OK"))))</f>
        <v/>
      </c>
      <c r="U3711" s="40" t="str">
        <f aca="false">IF($A3711="","",$B3711&amp;"|"&amp;TEXT($A3711,"yyyymmdd")&amp;"|"&amp;TEXT($I3711,"0.00"))</f>
        <v/>
      </c>
      <c r="V3711" s="35" t="str">
        <f aca="false">IF($A3711="","",COUNTIF($U$8:$U$5007,$U3711))</f>
        <v/>
      </c>
    </row>
    <row r="3712" customFormat="false" ht="15" hidden="false" customHeight="false" outlineLevel="0" collapsed="false">
      <c r="A3712" s="31"/>
      <c r="B3712" s="32"/>
      <c r="C3712" s="32"/>
      <c r="D3712" s="32"/>
      <c r="E3712" s="32"/>
      <c r="F3712" s="32"/>
      <c r="G3712" s="33"/>
      <c r="H3712" s="33"/>
      <c r="I3712" s="34" t="str">
        <f aca="false">IF($A3712="","",$G3712-$H3712)</f>
        <v/>
      </c>
      <c r="J3712" s="35" t="str">
        <f aca="false">IF($A3712="","",IF(Setup!$B$6=1,YEAR($A3712),YEAR($A3712)+IF(MONTH($A3712)&gt;=Setup!$B$6,1,0)))</f>
        <v/>
      </c>
      <c r="K3712" s="35" t="str">
        <f aca="false">IF($A3712="","",MOD(MONTH($A3712)-Setup!$B$6+12,12)+1)</f>
        <v/>
      </c>
      <c r="L3712" s="36" t="str">
        <f aca="false">IF($A3712="","",TEXT($A3712,"MMM-YY"))</f>
        <v/>
      </c>
      <c r="M3712" s="37" t="str">
        <f aca="false">IF($A3712="","",IF($Q3712=0,"UNMAPPED",INDEX(COA_Mapping!$C$7:$C$256,$Q3712)))</f>
        <v/>
      </c>
      <c r="N3712" s="38" t="str">
        <f aca="false">IF($A3712="","",IF($Q3712=0,"",INDEX(COA_Mapping!$E$7:$E$256,$Q3712)))</f>
        <v/>
      </c>
      <c r="O3712" s="38" t="n">
        <f aca="false">IF($A3712="",1,IF($Q3712=0,1,INDEX(COA_Mapping!$F$7:$F$256,$Q3712)))</f>
        <v>1</v>
      </c>
      <c r="P3712" s="34" t="str">
        <f aca="false">IF($A3712="","",$I3712*$O3712)</f>
        <v/>
      </c>
      <c r="Q3712" s="39" t="n">
        <f aca="false">IF($B3712="",0,IFERROR(MATCH($B3712,COA_Mapping!$A$7:$A$256,0),0))</f>
        <v>0</v>
      </c>
      <c r="R3712" s="39" t="n">
        <f aca="false">IF($A3712="",-1,IF($J3712=Setup!$B$7,1,IF($J3712=Setup!$B$9,0,-1)))</f>
        <v>-1</v>
      </c>
      <c r="S3712" s="35" t="n">
        <f aca="false">IF(OR($A3712="",$Q3712=0,$R3712=-1),0,$Q3712*1000+$R3712*100+$K3712)</f>
        <v>0</v>
      </c>
      <c r="T3712" s="37" t="str">
        <f aca="false">IF($A3712="","",IF($B3712="","NO ACCOUNT",IF($Q3712=0,"UNMAPPED",IF($R3712=-1,"OUTSIDE FY RANGE","OK"))))</f>
        <v/>
      </c>
      <c r="U3712" s="40" t="str">
        <f aca="false">IF($A3712="","",$B3712&amp;"|"&amp;TEXT($A3712,"yyyymmdd")&amp;"|"&amp;TEXT($I3712,"0.00"))</f>
        <v/>
      </c>
      <c r="V3712" s="35" t="str">
        <f aca="false">IF($A3712="","",COUNTIF($U$8:$U$5007,$U3712))</f>
        <v/>
      </c>
    </row>
    <row r="3713" customFormat="false" ht="15" hidden="false" customHeight="false" outlineLevel="0" collapsed="false">
      <c r="A3713" s="31"/>
      <c r="B3713" s="32"/>
      <c r="C3713" s="32"/>
      <c r="D3713" s="32"/>
      <c r="E3713" s="32"/>
      <c r="F3713" s="32"/>
      <c r="G3713" s="33"/>
      <c r="H3713" s="33"/>
      <c r="I3713" s="34" t="str">
        <f aca="false">IF($A3713="","",$G3713-$H3713)</f>
        <v/>
      </c>
      <c r="J3713" s="35" t="str">
        <f aca="false">IF($A3713="","",IF(Setup!$B$6=1,YEAR($A3713),YEAR($A3713)+IF(MONTH($A3713)&gt;=Setup!$B$6,1,0)))</f>
        <v/>
      </c>
      <c r="K3713" s="35" t="str">
        <f aca="false">IF($A3713="","",MOD(MONTH($A3713)-Setup!$B$6+12,12)+1)</f>
        <v/>
      </c>
      <c r="L3713" s="36" t="str">
        <f aca="false">IF($A3713="","",TEXT($A3713,"MMM-YY"))</f>
        <v/>
      </c>
      <c r="M3713" s="37" t="str">
        <f aca="false">IF($A3713="","",IF($Q3713=0,"UNMAPPED",INDEX(COA_Mapping!$C$7:$C$256,$Q3713)))</f>
        <v/>
      </c>
      <c r="N3713" s="38" t="str">
        <f aca="false">IF($A3713="","",IF($Q3713=0,"",INDEX(COA_Mapping!$E$7:$E$256,$Q3713)))</f>
        <v/>
      </c>
      <c r="O3713" s="38" t="n">
        <f aca="false">IF($A3713="",1,IF($Q3713=0,1,INDEX(COA_Mapping!$F$7:$F$256,$Q3713)))</f>
        <v>1</v>
      </c>
      <c r="P3713" s="34" t="str">
        <f aca="false">IF($A3713="","",$I3713*$O3713)</f>
        <v/>
      </c>
      <c r="Q3713" s="39" t="n">
        <f aca="false">IF($B3713="",0,IFERROR(MATCH($B3713,COA_Mapping!$A$7:$A$256,0),0))</f>
        <v>0</v>
      </c>
      <c r="R3713" s="39" t="n">
        <f aca="false">IF($A3713="",-1,IF($J3713=Setup!$B$7,1,IF($J3713=Setup!$B$9,0,-1)))</f>
        <v>-1</v>
      </c>
      <c r="S3713" s="35" t="n">
        <f aca="false">IF(OR($A3713="",$Q3713=0,$R3713=-1),0,$Q3713*1000+$R3713*100+$K3713)</f>
        <v>0</v>
      </c>
      <c r="T3713" s="37" t="str">
        <f aca="false">IF($A3713="","",IF($B3713="","NO ACCOUNT",IF($Q3713=0,"UNMAPPED",IF($R3713=-1,"OUTSIDE FY RANGE","OK"))))</f>
        <v/>
      </c>
      <c r="U3713" s="40" t="str">
        <f aca="false">IF($A3713="","",$B3713&amp;"|"&amp;TEXT($A3713,"yyyymmdd")&amp;"|"&amp;TEXT($I3713,"0.00"))</f>
        <v/>
      </c>
      <c r="V3713" s="35" t="str">
        <f aca="false">IF($A3713="","",COUNTIF($U$8:$U$5007,$U3713))</f>
        <v/>
      </c>
    </row>
    <row r="3714" customFormat="false" ht="15" hidden="false" customHeight="false" outlineLevel="0" collapsed="false">
      <c r="A3714" s="31"/>
      <c r="B3714" s="32"/>
      <c r="C3714" s="32"/>
      <c r="D3714" s="32"/>
      <c r="E3714" s="32"/>
      <c r="F3714" s="32"/>
      <c r="G3714" s="33"/>
      <c r="H3714" s="33"/>
      <c r="I3714" s="34" t="str">
        <f aca="false">IF($A3714="","",$G3714-$H3714)</f>
        <v/>
      </c>
      <c r="J3714" s="35" t="str">
        <f aca="false">IF($A3714="","",IF(Setup!$B$6=1,YEAR($A3714),YEAR($A3714)+IF(MONTH($A3714)&gt;=Setup!$B$6,1,0)))</f>
        <v/>
      </c>
      <c r="K3714" s="35" t="str">
        <f aca="false">IF($A3714="","",MOD(MONTH($A3714)-Setup!$B$6+12,12)+1)</f>
        <v/>
      </c>
      <c r="L3714" s="36" t="str">
        <f aca="false">IF($A3714="","",TEXT($A3714,"MMM-YY"))</f>
        <v/>
      </c>
      <c r="M3714" s="37" t="str">
        <f aca="false">IF($A3714="","",IF($Q3714=0,"UNMAPPED",INDEX(COA_Mapping!$C$7:$C$256,$Q3714)))</f>
        <v/>
      </c>
      <c r="N3714" s="38" t="str">
        <f aca="false">IF($A3714="","",IF($Q3714=0,"",INDEX(COA_Mapping!$E$7:$E$256,$Q3714)))</f>
        <v/>
      </c>
      <c r="O3714" s="38" t="n">
        <f aca="false">IF($A3714="",1,IF($Q3714=0,1,INDEX(COA_Mapping!$F$7:$F$256,$Q3714)))</f>
        <v>1</v>
      </c>
      <c r="P3714" s="34" t="str">
        <f aca="false">IF($A3714="","",$I3714*$O3714)</f>
        <v/>
      </c>
      <c r="Q3714" s="39" t="n">
        <f aca="false">IF($B3714="",0,IFERROR(MATCH($B3714,COA_Mapping!$A$7:$A$256,0),0))</f>
        <v>0</v>
      </c>
      <c r="R3714" s="39" t="n">
        <f aca="false">IF($A3714="",-1,IF($J3714=Setup!$B$7,1,IF($J3714=Setup!$B$9,0,-1)))</f>
        <v>-1</v>
      </c>
      <c r="S3714" s="35" t="n">
        <f aca="false">IF(OR($A3714="",$Q3714=0,$R3714=-1),0,$Q3714*1000+$R3714*100+$K3714)</f>
        <v>0</v>
      </c>
      <c r="T3714" s="37" t="str">
        <f aca="false">IF($A3714="","",IF($B3714="","NO ACCOUNT",IF($Q3714=0,"UNMAPPED",IF($R3714=-1,"OUTSIDE FY RANGE","OK"))))</f>
        <v/>
      </c>
      <c r="U3714" s="40" t="str">
        <f aca="false">IF($A3714="","",$B3714&amp;"|"&amp;TEXT($A3714,"yyyymmdd")&amp;"|"&amp;TEXT($I3714,"0.00"))</f>
        <v/>
      </c>
      <c r="V3714" s="35" t="str">
        <f aca="false">IF($A3714="","",COUNTIF($U$8:$U$5007,$U3714))</f>
        <v/>
      </c>
    </row>
    <row r="3715" customFormat="false" ht="15" hidden="false" customHeight="false" outlineLevel="0" collapsed="false">
      <c r="A3715" s="31"/>
      <c r="B3715" s="32"/>
      <c r="C3715" s="32"/>
      <c r="D3715" s="32"/>
      <c r="E3715" s="32"/>
      <c r="F3715" s="32"/>
      <c r="G3715" s="33"/>
      <c r="H3715" s="33"/>
      <c r="I3715" s="34" t="str">
        <f aca="false">IF($A3715="","",$G3715-$H3715)</f>
        <v/>
      </c>
      <c r="J3715" s="35" t="str">
        <f aca="false">IF($A3715="","",IF(Setup!$B$6=1,YEAR($A3715),YEAR($A3715)+IF(MONTH($A3715)&gt;=Setup!$B$6,1,0)))</f>
        <v/>
      </c>
      <c r="K3715" s="35" t="str">
        <f aca="false">IF($A3715="","",MOD(MONTH($A3715)-Setup!$B$6+12,12)+1)</f>
        <v/>
      </c>
      <c r="L3715" s="36" t="str">
        <f aca="false">IF($A3715="","",TEXT($A3715,"MMM-YY"))</f>
        <v/>
      </c>
      <c r="M3715" s="37" t="str">
        <f aca="false">IF($A3715="","",IF($Q3715=0,"UNMAPPED",INDEX(COA_Mapping!$C$7:$C$256,$Q3715)))</f>
        <v/>
      </c>
      <c r="N3715" s="38" t="str">
        <f aca="false">IF($A3715="","",IF($Q3715=0,"",INDEX(COA_Mapping!$E$7:$E$256,$Q3715)))</f>
        <v/>
      </c>
      <c r="O3715" s="38" t="n">
        <f aca="false">IF($A3715="",1,IF($Q3715=0,1,INDEX(COA_Mapping!$F$7:$F$256,$Q3715)))</f>
        <v>1</v>
      </c>
      <c r="P3715" s="34" t="str">
        <f aca="false">IF($A3715="","",$I3715*$O3715)</f>
        <v/>
      </c>
      <c r="Q3715" s="39" t="n">
        <f aca="false">IF($B3715="",0,IFERROR(MATCH($B3715,COA_Mapping!$A$7:$A$256,0),0))</f>
        <v>0</v>
      </c>
      <c r="R3715" s="39" t="n">
        <f aca="false">IF($A3715="",-1,IF($J3715=Setup!$B$7,1,IF($J3715=Setup!$B$9,0,-1)))</f>
        <v>-1</v>
      </c>
      <c r="S3715" s="35" t="n">
        <f aca="false">IF(OR($A3715="",$Q3715=0,$R3715=-1),0,$Q3715*1000+$R3715*100+$K3715)</f>
        <v>0</v>
      </c>
      <c r="T3715" s="37" t="str">
        <f aca="false">IF($A3715="","",IF($B3715="","NO ACCOUNT",IF($Q3715=0,"UNMAPPED",IF($R3715=-1,"OUTSIDE FY RANGE","OK"))))</f>
        <v/>
      </c>
      <c r="U3715" s="40" t="str">
        <f aca="false">IF($A3715="","",$B3715&amp;"|"&amp;TEXT($A3715,"yyyymmdd")&amp;"|"&amp;TEXT($I3715,"0.00"))</f>
        <v/>
      </c>
      <c r="V3715" s="35" t="str">
        <f aca="false">IF($A3715="","",COUNTIF($U$8:$U$5007,$U3715))</f>
        <v/>
      </c>
    </row>
    <row r="3716" customFormat="false" ht="15" hidden="false" customHeight="false" outlineLevel="0" collapsed="false">
      <c r="A3716" s="31"/>
      <c r="B3716" s="32"/>
      <c r="C3716" s="32"/>
      <c r="D3716" s="32"/>
      <c r="E3716" s="32"/>
      <c r="F3716" s="32"/>
      <c r="G3716" s="33"/>
      <c r="H3716" s="33"/>
      <c r="I3716" s="34" t="str">
        <f aca="false">IF($A3716="","",$G3716-$H3716)</f>
        <v/>
      </c>
      <c r="J3716" s="35" t="str">
        <f aca="false">IF($A3716="","",IF(Setup!$B$6=1,YEAR($A3716),YEAR($A3716)+IF(MONTH($A3716)&gt;=Setup!$B$6,1,0)))</f>
        <v/>
      </c>
      <c r="K3716" s="35" t="str">
        <f aca="false">IF($A3716="","",MOD(MONTH($A3716)-Setup!$B$6+12,12)+1)</f>
        <v/>
      </c>
      <c r="L3716" s="36" t="str">
        <f aca="false">IF($A3716="","",TEXT($A3716,"MMM-YY"))</f>
        <v/>
      </c>
      <c r="M3716" s="37" t="str">
        <f aca="false">IF($A3716="","",IF($Q3716=0,"UNMAPPED",INDEX(COA_Mapping!$C$7:$C$256,$Q3716)))</f>
        <v/>
      </c>
      <c r="N3716" s="38" t="str">
        <f aca="false">IF($A3716="","",IF($Q3716=0,"",INDEX(COA_Mapping!$E$7:$E$256,$Q3716)))</f>
        <v/>
      </c>
      <c r="O3716" s="38" t="n">
        <f aca="false">IF($A3716="",1,IF($Q3716=0,1,INDEX(COA_Mapping!$F$7:$F$256,$Q3716)))</f>
        <v>1</v>
      </c>
      <c r="P3716" s="34" t="str">
        <f aca="false">IF($A3716="","",$I3716*$O3716)</f>
        <v/>
      </c>
      <c r="Q3716" s="39" t="n">
        <f aca="false">IF($B3716="",0,IFERROR(MATCH($B3716,COA_Mapping!$A$7:$A$256,0),0))</f>
        <v>0</v>
      </c>
      <c r="R3716" s="39" t="n">
        <f aca="false">IF($A3716="",-1,IF($J3716=Setup!$B$7,1,IF($J3716=Setup!$B$9,0,-1)))</f>
        <v>-1</v>
      </c>
      <c r="S3716" s="35" t="n">
        <f aca="false">IF(OR($A3716="",$Q3716=0,$R3716=-1),0,$Q3716*1000+$R3716*100+$K3716)</f>
        <v>0</v>
      </c>
      <c r="T3716" s="37" t="str">
        <f aca="false">IF($A3716="","",IF($B3716="","NO ACCOUNT",IF($Q3716=0,"UNMAPPED",IF($R3716=-1,"OUTSIDE FY RANGE","OK"))))</f>
        <v/>
      </c>
      <c r="U3716" s="40" t="str">
        <f aca="false">IF($A3716="","",$B3716&amp;"|"&amp;TEXT($A3716,"yyyymmdd")&amp;"|"&amp;TEXT($I3716,"0.00"))</f>
        <v/>
      </c>
      <c r="V3716" s="35" t="str">
        <f aca="false">IF($A3716="","",COUNTIF($U$8:$U$5007,$U3716))</f>
        <v/>
      </c>
    </row>
    <row r="3717" customFormat="false" ht="15" hidden="false" customHeight="false" outlineLevel="0" collapsed="false">
      <c r="A3717" s="31"/>
      <c r="B3717" s="32"/>
      <c r="C3717" s="32"/>
      <c r="D3717" s="32"/>
      <c r="E3717" s="32"/>
      <c r="F3717" s="32"/>
      <c r="G3717" s="33"/>
      <c r="H3717" s="33"/>
      <c r="I3717" s="34" t="str">
        <f aca="false">IF($A3717="","",$G3717-$H3717)</f>
        <v/>
      </c>
      <c r="J3717" s="35" t="str">
        <f aca="false">IF($A3717="","",IF(Setup!$B$6=1,YEAR($A3717),YEAR($A3717)+IF(MONTH($A3717)&gt;=Setup!$B$6,1,0)))</f>
        <v/>
      </c>
      <c r="K3717" s="35" t="str">
        <f aca="false">IF($A3717="","",MOD(MONTH($A3717)-Setup!$B$6+12,12)+1)</f>
        <v/>
      </c>
      <c r="L3717" s="36" t="str">
        <f aca="false">IF($A3717="","",TEXT($A3717,"MMM-YY"))</f>
        <v/>
      </c>
      <c r="M3717" s="37" t="str">
        <f aca="false">IF($A3717="","",IF($Q3717=0,"UNMAPPED",INDEX(COA_Mapping!$C$7:$C$256,$Q3717)))</f>
        <v/>
      </c>
      <c r="N3717" s="38" t="str">
        <f aca="false">IF($A3717="","",IF($Q3717=0,"",INDEX(COA_Mapping!$E$7:$E$256,$Q3717)))</f>
        <v/>
      </c>
      <c r="O3717" s="38" t="n">
        <f aca="false">IF($A3717="",1,IF($Q3717=0,1,INDEX(COA_Mapping!$F$7:$F$256,$Q3717)))</f>
        <v>1</v>
      </c>
      <c r="P3717" s="34" t="str">
        <f aca="false">IF($A3717="","",$I3717*$O3717)</f>
        <v/>
      </c>
      <c r="Q3717" s="39" t="n">
        <f aca="false">IF($B3717="",0,IFERROR(MATCH($B3717,COA_Mapping!$A$7:$A$256,0),0))</f>
        <v>0</v>
      </c>
      <c r="R3717" s="39" t="n">
        <f aca="false">IF($A3717="",-1,IF($J3717=Setup!$B$7,1,IF($J3717=Setup!$B$9,0,-1)))</f>
        <v>-1</v>
      </c>
      <c r="S3717" s="35" t="n">
        <f aca="false">IF(OR($A3717="",$Q3717=0,$R3717=-1),0,$Q3717*1000+$R3717*100+$K3717)</f>
        <v>0</v>
      </c>
      <c r="T3717" s="37" t="str">
        <f aca="false">IF($A3717="","",IF($B3717="","NO ACCOUNT",IF($Q3717=0,"UNMAPPED",IF($R3717=-1,"OUTSIDE FY RANGE","OK"))))</f>
        <v/>
      </c>
      <c r="U3717" s="40" t="str">
        <f aca="false">IF($A3717="","",$B3717&amp;"|"&amp;TEXT($A3717,"yyyymmdd")&amp;"|"&amp;TEXT($I3717,"0.00"))</f>
        <v/>
      </c>
      <c r="V3717" s="35" t="str">
        <f aca="false">IF($A3717="","",COUNTIF($U$8:$U$5007,$U3717))</f>
        <v/>
      </c>
    </row>
    <row r="3718" customFormat="false" ht="15" hidden="false" customHeight="false" outlineLevel="0" collapsed="false">
      <c r="A3718" s="31"/>
      <c r="B3718" s="32"/>
      <c r="C3718" s="32"/>
      <c r="D3718" s="32"/>
      <c r="E3718" s="32"/>
      <c r="F3718" s="32"/>
      <c r="G3718" s="33"/>
      <c r="H3718" s="33"/>
      <c r="I3718" s="34" t="str">
        <f aca="false">IF($A3718="","",$G3718-$H3718)</f>
        <v/>
      </c>
      <c r="J3718" s="35" t="str">
        <f aca="false">IF($A3718="","",IF(Setup!$B$6=1,YEAR($A3718),YEAR($A3718)+IF(MONTH($A3718)&gt;=Setup!$B$6,1,0)))</f>
        <v/>
      </c>
      <c r="K3718" s="35" t="str">
        <f aca="false">IF($A3718="","",MOD(MONTH($A3718)-Setup!$B$6+12,12)+1)</f>
        <v/>
      </c>
      <c r="L3718" s="36" t="str">
        <f aca="false">IF($A3718="","",TEXT($A3718,"MMM-YY"))</f>
        <v/>
      </c>
      <c r="M3718" s="37" t="str">
        <f aca="false">IF($A3718="","",IF($Q3718=0,"UNMAPPED",INDEX(COA_Mapping!$C$7:$C$256,$Q3718)))</f>
        <v/>
      </c>
      <c r="N3718" s="38" t="str">
        <f aca="false">IF($A3718="","",IF($Q3718=0,"",INDEX(COA_Mapping!$E$7:$E$256,$Q3718)))</f>
        <v/>
      </c>
      <c r="O3718" s="38" t="n">
        <f aca="false">IF($A3718="",1,IF($Q3718=0,1,INDEX(COA_Mapping!$F$7:$F$256,$Q3718)))</f>
        <v>1</v>
      </c>
      <c r="P3718" s="34" t="str">
        <f aca="false">IF($A3718="","",$I3718*$O3718)</f>
        <v/>
      </c>
      <c r="Q3718" s="39" t="n">
        <f aca="false">IF($B3718="",0,IFERROR(MATCH($B3718,COA_Mapping!$A$7:$A$256,0),0))</f>
        <v>0</v>
      </c>
      <c r="R3718" s="39" t="n">
        <f aca="false">IF($A3718="",-1,IF($J3718=Setup!$B$7,1,IF($J3718=Setup!$B$9,0,-1)))</f>
        <v>-1</v>
      </c>
      <c r="S3718" s="35" t="n">
        <f aca="false">IF(OR($A3718="",$Q3718=0,$R3718=-1),0,$Q3718*1000+$R3718*100+$K3718)</f>
        <v>0</v>
      </c>
      <c r="T3718" s="37" t="str">
        <f aca="false">IF($A3718="","",IF($B3718="","NO ACCOUNT",IF($Q3718=0,"UNMAPPED",IF($R3718=-1,"OUTSIDE FY RANGE","OK"))))</f>
        <v/>
      </c>
      <c r="U3718" s="40" t="str">
        <f aca="false">IF($A3718="","",$B3718&amp;"|"&amp;TEXT($A3718,"yyyymmdd")&amp;"|"&amp;TEXT($I3718,"0.00"))</f>
        <v/>
      </c>
      <c r="V3718" s="35" t="str">
        <f aca="false">IF($A3718="","",COUNTIF($U$8:$U$5007,$U3718))</f>
        <v/>
      </c>
    </row>
    <row r="3719" customFormat="false" ht="15" hidden="false" customHeight="false" outlineLevel="0" collapsed="false">
      <c r="A3719" s="31"/>
      <c r="B3719" s="32"/>
      <c r="C3719" s="32"/>
      <c r="D3719" s="32"/>
      <c r="E3719" s="32"/>
      <c r="F3719" s="32"/>
      <c r="G3719" s="33"/>
      <c r="H3719" s="33"/>
      <c r="I3719" s="34" t="str">
        <f aca="false">IF($A3719="","",$G3719-$H3719)</f>
        <v/>
      </c>
      <c r="J3719" s="35" t="str">
        <f aca="false">IF($A3719="","",IF(Setup!$B$6=1,YEAR($A3719),YEAR($A3719)+IF(MONTH($A3719)&gt;=Setup!$B$6,1,0)))</f>
        <v/>
      </c>
      <c r="K3719" s="35" t="str">
        <f aca="false">IF($A3719="","",MOD(MONTH($A3719)-Setup!$B$6+12,12)+1)</f>
        <v/>
      </c>
      <c r="L3719" s="36" t="str">
        <f aca="false">IF($A3719="","",TEXT($A3719,"MMM-YY"))</f>
        <v/>
      </c>
      <c r="M3719" s="37" t="str">
        <f aca="false">IF($A3719="","",IF($Q3719=0,"UNMAPPED",INDEX(COA_Mapping!$C$7:$C$256,$Q3719)))</f>
        <v/>
      </c>
      <c r="N3719" s="38" t="str">
        <f aca="false">IF($A3719="","",IF($Q3719=0,"",INDEX(COA_Mapping!$E$7:$E$256,$Q3719)))</f>
        <v/>
      </c>
      <c r="O3719" s="38" t="n">
        <f aca="false">IF($A3719="",1,IF($Q3719=0,1,INDEX(COA_Mapping!$F$7:$F$256,$Q3719)))</f>
        <v>1</v>
      </c>
      <c r="P3719" s="34" t="str">
        <f aca="false">IF($A3719="","",$I3719*$O3719)</f>
        <v/>
      </c>
      <c r="Q3719" s="39" t="n">
        <f aca="false">IF($B3719="",0,IFERROR(MATCH($B3719,COA_Mapping!$A$7:$A$256,0),0))</f>
        <v>0</v>
      </c>
      <c r="R3719" s="39" t="n">
        <f aca="false">IF($A3719="",-1,IF($J3719=Setup!$B$7,1,IF($J3719=Setup!$B$9,0,-1)))</f>
        <v>-1</v>
      </c>
      <c r="S3719" s="35" t="n">
        <f aca="false">IF(OR($A3719="",$Q3719=0,$R3719=-1),0,$Q3719*1000+$R3719*100+$K3719)</f>
        <v>0</v>
      </c>
      <c r="T3719" s="37" t="str">
        <f aca="false">IF($A3719="","",IF($B3719="","NO ACCOUNT",IF($Q3719=0,"UNMAPPED",IF($R3719=-1,"OUTSIDE FY RANGE","OK"))))</f>
        <v/>
      </c>
      <c r="U3719" s="40" t="str">
        <f aca="false">IF($A3719="","",$B3719&amp;"|"&amp;TEXT($A3719,"yyyymmdd")&amp;"|"&amp;TEXT($I3719,"0.00"))</f>
        <v/>
      </c>
      <c r="V3719" s="35" t="str">
        <f aca="false">IF($A3719="","",COUNTIF($U$8:$U$5007,$U3719))</f>
        <v/>
      </c>
    </row>
    <row r="3720" customFormat="false" ht="15" hidden="false" customHeight="false" outlineLevel="0" collapsed="false">
      <c r="A3720" s="31"/>
      <c r="B3720" s="32"/>
      <c r="C3720" s="32"/>
      <c r="D3720" s="32"/>
      <c r="E3720" s="32"/>
      <c r="F3720" s="32"/>
      <c r="G3720" s="33"/>
      <c r="H3720" s="33"/>
      <c r="I3720" s="34" t="str">
        <f aca="false">IF($A3720="","",$G3720-$H3720)</f>
        <v/>
      </c>
      <c r="J3720" s="35" t="str">
        <f aca="false">IF($A3720="","",IF(Setup!$B$6=1,YEAR($A3720),YEAR($A3720)+IF(MONTH($A3720)&gt;=Setup!$B$6,1,0)))</f>
        <v/>
      </c>
      <c r="K3720" s="35" t="str">
        <f aca="false">IF($A3720="","",MOD(MONTH($A3720)-Setup!$B$6+12,12)+1)</f>
        <v/>
      </c>
      <c r="L3720" s="36" t="str">
        <f aca="false">IF($A3720="","",TEXT($A3720,"MMM-YY"))</f>
        <v/>
      </c>
      <c r="M3720" s="37" t="str">
        <f aca="false">IF($A3720="","",IF($Q3720=0,"UNMAPPED",INDEX(COA_Mapping!$C$7:$C$256,$Q3720)))</f>
        <v/>
      </c>
      <c r="N3720" s="38" t="str">
        <f aca="false">IF($A3720="","",IF($Q3720=0,"",INDEX(COA_Mapping!$E$7:$E$256,$Q3720)))</f>
        <v/>
      </c>
      <c r="O3720" s="38" t="n">
        <f aca="false">IF($A3720="",1,IF($Q3720=0,1,INDEX(COA_Mapping!$F$7:$F$256,$Q3720)))</f>
        <v>1</v>
      </c>
      <c r="P3720" s="34" t="str">
        <f aca="false">IF($A3720="","",$I3720*$O3720)</f>
        <v/>
      </c>
      <c r="Q3720" s="39" t="n">
        <f aca="false">IF($B3720="",0,IFERROR(MATCH($B3720,COA_Mapping!$A$7:$A$256,0),0))</f>
        <v>0</v>
      </c>
      <c r="R3720" s="39" t="n">
        <f aca="false">IF($A3720="",-1,IF($J3720=Setup!$B$7,1,IF($J3720=Setup!$B$9,0,-1)))</f>
        <v>-1</v>
      </c>
      <c r="S3720" s="35" t="n">
        <f aca="false">IF(OR($A3720="",$Q3720=0,$R3720=-1),0,$Q3720*1000+$R3720*100+$K3720)</f>
        <v>0</v>
      </c>
      <c r="T3720" s="37" t="str">
        <f aca="false">IF($A3720="","",IF($B3720="","NO ACCOUNT",IF($Q3720=0,"UNMAPPED",IF($R3720=-1,"OUTSIDE FY RANGE","OK"))))</f>
        <v/>
      </c>
      <c r="U3720" s="40" t="str">
        <f aca="false">IF($A3720="","",$B3720&amp;"|"&amp;TEXT($A3720,"yyyymmdd")&amp;"|"&amp;TEXT($I3720,"0.00"))</f>
        <v/>
      </c>
      <c r="V3720" s="35" t="str">
        <f aca="false">IF($A3720="","",COUNTIF($U$8:$U$5007,$U3720))</f>
        <v/>
      </c>
    </row>
    <row r="3721" customFormat="false" ht="15" hidden="false" customHeight="false" outlineLevel="0" collapsed="false">
      <c r="A3721" s="31"/>
      <c r="B3721" s="32"/>
      <c r="C3721" s="32"/>
      <c r="D3721" s="32"/>
      <c r="E3721" s="32"/>
      <c r="F3721" s="32"/>
      <c r="G3721" s="33"/>
      <c r="H3721" s="33"/>
      <c r="I3721" s="34" t="str">
        <f aca="false">IF($A3721="","",$G3721-$H3721)</f>
        <v/>
      </c>
      <c r="J3721" s="35" t="str">
        <f aca="false">IF($A3721="","",IF(Setup!$B$6=1,YEAR($A3721),YEAR($A3721)+IF(MONTH($A3721)&gt;=Setup!$B$6,1,0)))</f>
        <v/>
      </c>
      <c r="K3721" s="35" t="str">
        <f aca="false">IF($A3721="","",MOD(MONTH($A3721)-Setup!$B$6+12,12)+1)</f>
        <v/>
      </c>
      <c r="L3721" s="36" t="str">
        <f aca="false">IF($A3721="","",TEXT($A3721,"MMM-YY"))</f>
        <v/>
      </c>
      <c r="M3721" s="37" t="str">
        <f aca="false">IF($A3721="","",IF($Q3721=0,"UNMAPPED",INDEX(COA_Mapping!$C$7:$C$256,$Q3721)))</f>
        <v/>
      </c>
      <c r="N3721" s="38" t="str">
        <f aca="false">IF($A3721="","",IF($Q3721=0,"",INDEX(COA_Mapping!$E$7:$E$256,$Q3721)))</f>
        <v/>
      </c>
      <c r="O3721" s="38" t="n">
        <f aca="false">IF($A3721="",1,IF($Q3721=0,1,INDEX(COA_Mapping!$F$7:$F$256,$Q3721)))</f>
        <v>1</v>
      </c>
      <c r="P3721" s="34" t="str">
        <f aca="false">IF($A3721="","",$I3721*$O3721)</f>
        <v/>
      </c>
      <c r="Q3721" s="39" t="n">
        <f aca="false">IF($B3721="",0,IFERROR(MATCH($B3721,COA_Mapping!$A$7:$A$256,0),0))</f>
        <v>0</v>
      </c>
      <c r="R3721" s="39" t="n">
        <f aca="false">IF($A3721="",-1,IF($J3721=Setup!$B$7,1,IF($J3721=Setup!$B$9,0,-1)))</f>
        <v>-1</v>
      </c>
      <c r="S3721" s="35" t="n">
        <f aca="false">IF(OR($A3721="",$Q3721=0,$R3721=-1),0,$Q3721*1000+$R3721*100+$K3721)</f>
        <v>0</v>
      </c>
      <c r="T3721" s="37" t="str">
        <f aca="false">IF($A3721="","",IF($B3721="","NO ACCOUNT",IF($Q3721=0,"UNMAPPED",IF($R3721=-1,"OUTSIDE FY RANGE","OK"))))</f>
        <v/>
      </c>
      <c r="U3721" s="40" t="str">
        <f aca="false">IF($A3721="","",$B3721&amp;"|"&amp;TEXT($A3721,"yyyymmdd")&amp;"|"&amp;TEXT($I3721,"0.00"))</f>
        <v/>
      </c>
      <c r="V3721" s="35" t="str">
        <f aca="false">IF($A3721="","",COUNTIF($U$8:$U$5007,$U3721))</f>
        <v/>
      </c>
    </row>
    <row r="3722" customFormat="false" ht="15" hidden="false" customHeight="false" outlineLevel="0" collapsed="false">
      <c r="A3722" s="31"/>
      <c r="B3722" s="32"/>
      <c r="C3722" s="32"/>
      <c r="D3722" s="32"/>
      <c r="E3722" s="32"/>
      <c r="F3722" s="32"/>
      <c r="G3722" s="33"/>
      <c r="H3722" s="33"/>
      <c r="I3722" s="34" t="str">
        <f aca="false">IF($A3722="","",$G3722-$H3722)</f>
        <v/>
      </c>
      <c r="J3722" s="35" t="str">
        <f aca="false">IF($A3722="","",IF(Setup!$B$6=1,YEAR($A3722),YEAR($A3722)+IF(MONTH($A3722)&gt;=Setup!$B$6,1,0)))</f>
        <v/>
      </c>
      <c r="K3722" s="35" t="str">
        <f aca="false">IF($A3722="","",MOD(MONTH($A3722)-Setup!$B$6+12,12)+1)</f>
        <v/>
      </c>
      <c r="L3722" s="36" t="str">
        <f aca="false">IF($A3722="","",TEXT($A3722,"MMM-YY"))</f>
        <v/>
      </c>
      <c r="M3722" s="37" t="str">
        <f aca="false">IF($A3722="","",IF($Q3722=0,"UNMAPPED",INDEX(COA_Mapping!$C$7:$C$256,$Q3722)))</f>
        <v/>
      </c>
      <c r="N3722" s="38" t="str">
        <f aca="false">IF($A3722="","",IF($Q3722=0,"",INDEX(COA_Mapping!$E$7:$E$256,$Q3722)))</f>
        <v/>
      </c>
      <c r="O3722" s="38" t="n">
        <f aca="false">IF($A3722="",1,IF($Q3722=0,1,INDEX(COA_Mapping!$F$7:$F$256,$Q3722)))</f>
        <v>1</v>
      </c>
      <c r="P3722" s="34" t="str">
        <f aca="false">IF($A3722="","",$I3722*$O3722)</f>
        <v/>
      </c>
      <c r="Q3722" s="39" t="n">
        <f aca="false">IF($B3722="",0,IFERROR(MATCH($B3722,COA_Mapping!$A$7:$A$256,0),0))</f>
        <v>0</v>
      </c>
      <c r="R3722" s="39" t="n">
        <f aca="false">IF($A3722="",-1,IF($J3722=Setup!$B$7,1,IF($J3722=Setup!$B$9,0,-1)))</f>
        <v>-1</v>
      </c>
      <c r="S3722" s="35" t="n">
        <f aca="false">IF(OR($A3722="",$Q3722=0,$R3722=-1),0,$Q3722*1000+$R3722*100+$K3722)</f>
        <v>0</v>
      </c>
      <c r="T3722" s="37" t="str">
        <f aca="false">IF($A3722="","",IF($B3722="","NO ACCOUNT",IF($Q3722=0,"UNMAPPED",IF($R3722=-1,"OUTSIDE FY RANGE","OK"))))</f>
        <v/>
      </c>
      <c r="U3722" s="40" t="str">
        <f aca="false">IF($A3722="","",$B3722&amp;"|"&amp;TEXT($A3722,"yyyymmdd")&amp;"|"&amp;TEXT($I3722,"0.00"))</f>
        <v/>
      </c>
      <c r="V3722" s="35" t="str">
        <f aca="false">IF($A3722="","",COUNTIF($U$8:$U$5007,$U3722))</f>
        <v/>
      </c>
    </row>
    <row r="3723" customFormat="false" ht="15" hidden="false" customHeight="false" outlineLevel="0" collapsed="false">
      <c r="A3723" s="31"/>
      <c r="B3723" s="32"/>
      <c r="C3723" s="32"/>
      <c r="D3723" s="32"/>
      <c r="E3723" s="32"/>
      <c r="F3723" s="32"/>
      <c r="G3723" s="33"/>
      <c r="H3723" s="33"/>
      <c r="I3723" s="34" t="str">
        <f aca="false">IF($A3723="","",$G3723-$H3723)</f>
        <v/>
      </c>
      <c r="J3723" s="35" t="str">
        <f aca="false">IF($A3723="","",IF(Setup!$B$6=1,YEAR($A3723),YEAR($A3723)+IF(MONTH($A3723)&gt;=Setup!$B$6,1,0)))</f>
        <v/>
      </c>
      <c r="K3723" s="35" t="str">
        <f aca="false">IF($A3723="","",MOD(MONTH($A3723)-Setup!$B$6+12,12)+1)</f>
        <v/>
      </c>
      <c r="L3723" s="36" t="str">
        <f aca="false">IF($A3723="","",TEXT($A3723,"MMM-YY"))</f>
        <v/>
      </c>
      <c r="M3723" s="37" t="str">
        <f aca="false">IF($A3723="","",IF($Q3723=0,"UNMAPPED",INDEX(COA_Mapping!$C$7:$C$256,$Q3723)))</f>
        <v/>
      </c>
      <c r="N3723" s="38" t="str">
        <f aca="false">IF($A3723="","",IF($Q3723=0,"",INDEX(COA_Mapping!$E$7:$E$256,$Q3723)))</f>
        <v/>
      </c>
      <c r="O3723" s="38" t="n">
        <f aca="false">IF($A3723="",1,IF($Q3723=0,1,INDEX(COA_Mapping!$F$7:$F$256,$Q3723)))</f>
        <v>1</v>
      </c>
      <c r="P3723" s="34" t="str">
        <f aca="false">IF($A3723="","",$I3723*$O3723)</f>
        <v/>
      </c>
      <c r="Q3723" s="39" t="n">
        <f aca="false">IF($B3723="",0,IFERROR(MATCH($B3723,COA_Mapping!$A$7:$A$256,0),0))</f>
        <v>0</v>
      </c>
      <c r="R3723" s="39" t="n">
        <f aca="false">IF($A3723="",-1,IF($J3723=Setup!$B$7,1,IF($J3723=Setup!$B$9,0,-1)))</f>
        <v>-1</v>
      </c>
      <c r="S3723" s="35" t="n">
        <f aca="false">IF(OR($A3723="",$Q3723=0,$R3723=-1),0,$Q3723*1000+$R3723*100+$K3723)</f>
        <v>0</v>
      </c>
      <c r="T3723" s="37" t="str">
        <f aca="false">IF($A3723="","",IF($B3723="","NO ACCOUNT",IF($Q3723=0,"UNMAPPED",IF($R3723=-1,"OUTSIDE FY RANGE","OK"))))</f>
        <v/>
      </c>
      <c r="U3723" s="40" t="str">
        <f aca="false">IF($A3723="","",$B3723&amp;"|"&amp;TEXT($A3723,"yyyymmdd")&amp;"|"&amp;TEXT($I3723,"0.00"))</f>
        <v/>
      </c>
      <c r="V3723" s="35" t="str">
        <f aca="false">IF($A3723="","",COUNTIF($U$8:$U$5007,$U3723))</f>
        <v/>
      </c>
    </row>
    <row r="3724" customFormat="false" ht="15" hidden="false" customHeight="false" outlineLevel="0" collapsed="false">
      <c r="A3724" s="31"/>
      <c r="B3724" s="32"/>
      <c r="C3724" s="32"/>
      <c r="D3724" s="32"/>
      <c r="E3724" s="32"/>
      <c r="F3724" s="32"/>
      <c r="G3724" s="33"/>
      <c r="H3724" s="33"/>
      <c r="I3724" s="34" t="str">
        <f aca="false">IF($A3724="","",$G3724-$H3724)</f>
        <v/>
      </c>
      <c r="J3724" s="35" t="str">
        <f aca="false">IF($A3724="","",IF(Setup!$B$6=1,YEAR($A3724),YEAR($A3724)+IF(MONTH($A3724)&gt;=Setup!$B$6,1,0)))</f>
        <v/>
      </c>
      <c r="K3724" s="35" t="str">
        <f aca="false">IF($A3724="","",MOD(MONTH($A3724)-Setup!$B$6+12,12)+1)</f>
        <v/>
      </c>
      <c r="L3724" s="36" t="str">
        <f aca="false">IF($A3724="","",TEXT($A3724,"MMM-YY"))</f>
        <v/>
      </c>
      <c r="M3724" s="37" t="str">
        <f aca="false">IF($A3724="","",IF($Q3724=0,"UNMAPPED",INDEX(COA_Mapping!$C$7:$C$256,$Q3724)))</f>
        <v/>
      </c>
      <c r="N3724" s="38" t="str">
        <f aca="false">IF($A3724="","",IF($Q3724=0,"",INDEX(COA_Mapping!$E$7:$E$256,$Q3724)))</f>
        <v/>
      </c>
      <c r="O3724" s="38" t="n">
        <f aca="false">IF($A3724="",1,IF($Q3724=0,1,INDEX(COA_Mapping!$F$7:$F$256,$Q3724)))</f>
        <v>1</v>
      </c>
      <c r="P3724" s="34" t="str">
        <f aca="false">IF($A3724="","",$I3724*$O3724)</f>
        <v/>
      </c>
      <c r="Q3724" s="39" t="n">
        <f aca="false">IF($B3724="",0,IFERROR(MATCH($B3724,COA_Mapping!$A$7:$A$256,0),0))</f>
        <v>0</v>
      </c>
      <c r="R3724" s="39" t="n">
        <f aca="false">IF($A3724="",-1,IF($J3724=Setup!$B$7,1,IF($J3724=Setup!$B$9,0,-1)))</f>
        <v>-1</v>
      </c>
      <c r="S3724" s="35" t="n">
        <f aca="false">IF(OR($A3724="",$Q3724=0,$R3724=-1),0,$Q3724*1000+$R3724*100+$K3724)</f>
        <v>0</v>
      </c>
      <c r="T3724" s="37" t="str">
        <f aca="false">IF($A3724="","",IF($B3724="","NO ACCOUNT",IF($Q3724=0,"UNMAPPED",IF($R3724=-1,"OUTSIDE FY RANGE","OK"))))</f>
        <v/>
      </c>
      <c r="U3724" s="40" t="str">
        <f aca="false">IF($A3724="","",$B3724&amp;"|"&amp;TEXT($A3724,"yyyymmdd")&amp;"|"&amp;TEXT($I3724,"0.00"))</f>
        <v/>
      </c>
      <c r="V3724" s="35" t="str">
        <f aca="false">IF($A3724="","",COUNTIF($U$8:$U$5007,$U3724))</f>
        <v/>
      </c>
    </row>
    <row r="3725" customFormat="false" ht="15" hidden="false" customHeight="false" outlineLevel="0" collapsed="false">
      <c r="A3725" s="31"/>
      <c r="B3725" s="32"/>
      <c r="C3725" s="32"/>
      <c r="D3725" s="32"/>
      <c r="E3725" s="32"/>
      <c r="F3725" s="32"/>
      <c r="G3725" s="33"/>
      <c r="H3725" s="33"/>
      <c r="I3725" s="34" t="str">
        <f aca="false">IF($A3725="","",$G3725-$H3725)</f>
        <v/>
      </c>
      <c r="J3725" s="35" t="str">
        <f aca="false">IF($A3725="","",IF(Setup!$B$6=1,YEAR($A3725),YEAR($A3725)+IF(MONTH($A3725)&gt;=Setup!$B$6,1,0)))</f>
        <v/>
      </c>
      <c r="K3725" s="35" t="str">
        <f aca="false">IF($A3725="","",MOD(MONTH($A3725)-Setup!$B$6+12,12)+1)</f>
        <v/>
      </c>
      <c r="L3725" s="36" t="str">
        <f aca="false">IF($A3725="","",TEXT($A3725,"MMM-YY"))</f>
        <v/>
      </c>
      <c r="M3725" s="37" t="str">
        <f aca="false">IF($A3725="","",IF($Q3725=0,"UNMAPPED",INDEX(COA_Mapping!$C$7:$C$256,$Q3725)))</f>
        <v/>
      </c>
      <c r="N3725" s="38" t="str">
        <f aca="false">IF($A3725="","",IF($Q3725=0,"",INDEX(COA_Mapping!$E$7:$E$256,$Q3725)))</f>
        <v/>
      </c>
      <c r="O3725" s="38" t="n">
        <f aca="false">IF($A3725="",1,IF($Q3725=0,1,INDEX(COA_Mapping!$F$7:$F$256,$Q3725)))</f>
        <v>1</v>
      </c>
      <c r="P3725" s="34" t="str">
        <f aca="false">IF($A3725="","",$I3725*$O3725)</f>
        <v/>
      </c>
      <c r="Q3725" s="39" t="n">
        <f aca="false">IF($B3725="",0,IFERROR(MATCH($B3725,COA_Mapping!$A$7:$A$256,0),0))</f>
        <v>0</v>
      </c>
      <c r="R3725" s="39" t="n">
        <f aca="false">IF($A3725="",-1,IF($J3725=Setup!$B$7,1,IF($J3725=Setup!$B$9,0,-1)))</f>
        <v>-1</v>
      </c>
      <c r="S3725" s="35" t="n">
        <f aca="false">IF(OR($A3725="",$Q3725=0,$R3725=-1),0,$Q3725*1000+$R3725*100+$K3725)</f>
        <v>0</v>
      </c>
      <c r="T3725" s="37" t="str">
        <f aca="false">IF($A3725="","",IF($B3725="","NO ACCOUNT",IF($Q3725=0,"UNMAPPED",IF($R3725=-1,"OUTSIDE FY RANGE","OK"))))</f>
        <v/>
      </c>
      <c r="U3725" s="40" t="str">
        <f aca="false">IF($A3725="","",$B3725&amp;"|"&amp;TEXT($A3725,"yyyymmdd")&amp;"|"&amp;TEXT($I3725,"0.00"))</f>
        <v/>
      </c>
      <c r="V3725" s="35" t="str">
        <f aca="false">IF($A3725="","",COUNTIF($U$8:$U$5007,$U3725))</f>
        <v/>
      </c>
    </row>
    <row r="3726" customFormat="false" ht="15" hidden="false" customHeight="false" outlineLevel="0" collapsed="false">
      <c r="A3726" s="31"/>
      <c r="B3726" s="32"/>
      <c r="C3726" s="32"/>
      <c r="D3726" s="32"/>
      <c r="E3726" s="32"/>
      <c r="F3726" s="32"/>
      <c r="G3726" s="33"/>
      <c r="H3726" s="33"/>
      <c r="I3726" s="34" t="str">
        <f aca="false">IF($A3726="","",$G3726-$H3726)</f>
        <v/>
      </c>
      <c r="J3726" s="35" t="str">
        <f aca="false">IF($A3726="","",IF(Setup!$B$6=1,YEAR($A3726),YEAR($A3726)+IF(MONTH($A3726)&gt;=Setup!$B$6,1,0)))</f>
        <v/>
      </c>
      <c r="K3726" s="35" t="str">
        <f aca="false">IF($A3726="","",MOD(MONTH($A3726)-Setup!$B$6+12,12)+1)</f>
        <v/>
      </c>
      <c r="L3726" s="36" t="str">
        <f aca="false">IF($A3726="","",TEXT($A3726,"MMM-YY"))</f>
        <v/>
      </c>
      <c r="M3726" s="37" t="str">
        <f aca="false">IF($A3726="","",IF($Q3726=0,"UNMAPPED",INDEX(COA_Mapping!$C$7:$C$256,$Q3726)))</f>
        <v/>
      </c>
      <c r="N3726" s="38" t="str">
        <f aca="false">IF($A3726="","",IF($Q3726=0,"",INDEX(COA_Mapping!$E$7:$E$256,$Q3726)))</f>
        <v/>
      </c>
      <c r="O3726" s="38" t="n">
        <f aca="false">IF($A3726="",1,IF($Q3726=0,1,INDEX(COA_Mapping!$F$7:$F$256,$Q3726)))</f>
        <v>1</v>
      </c>
      <c r="P3726" s="34" t="str">
        <f aca="false">IF($A3726="","",$I3726*$O3726)</f>
        <v/>
      </c>
      <c r="Q3726" s="39" t="n">
        <f aca="false">IF($B3726="",0,IFERROR(MATCH($B3726,COA_Mapping!$A$7:$A$256,0),0))</f>
        <v>0</v>
      </c>
      <c r="R3726" s="39" t="n">
        <f aca="false">IF($A3726="",-1,IF($J3726=Setup!$B$7,1,IF($J3726=Setup!$B$9,0,-1)))</f>
        <v>-1</v>
      </c>
      <c r="S3726" s="35" t="n">
        <f aca="false">IF(OR($A3726="",$Q3726=0,$R3726=-1),0,$Q3726*1000+$R3726*100+$K3726)</f>
        <v>0</v>
      </c>
      <c r="T3726" s="37" t="str">
        <f aca="false">IF($A3726="","",IF($B3726="","NO ACCOUNT",IF($Q3726=0,"UNMAPPED",IF($R3726=-1,"OUTSIDE FY RANGE","OK"))))</f>
        <v/>
      </c>
      <c r="U3726" s="40" t="str">
        <f aca="false">IF($A3726="","",$B3726&amp;"|"&amp;TEXT($A3726,"yyyymmdd")&amp;"|"&amp;TEXT($I3726,"0.00"))</f>
        <v/>
      </c>
      <c r="V3726" s="35" t="str">
        <f aca="false">IF($A3726="","",COUNTIF($U$8:$U$5007,$U3726))</f>
        <v/>
      </c>
    </row>
    <row r="3727" customFormat="false" ht="15" hidden="false" customHeight="false" outlineLevel="0" collapsed="false">
      <c r="A3727" s="31"/>
      <c r="B3727" s="32"/>
      <c r="C3727" s="32"/>
      <c r="D3727" s="32"/>
      <c r="E3727" s="32"/>
      <c r="F3727" s="32"/>
      <c r="G3727" s="33"/>
      <c r="H3727" s="33"/>
      <c r="I3727" s="34" t="str">
        <f aca="false">IF($A3727="","",$G3727-$H3727)</f>
        <v/>
      </c>
      <c r="J3727" s="35" t="str">
        <f aca="false">IF($A3727="","",IF(Setup!$B$6=1,YEAR($A3727),YEAR($A3727)+IF(MONTH($A3727)&gt;=Setup!$B$6,1,0)))</f>
        <v/>
      </c>
      <c r="K3727" s="35" t="str">
        <f aca="false">IF($A3727="","",MOD(MONTH($A3727)-Setup!$B$6+12,12)+1)</f>
        <v/>
      </c>
      <c r="L3727" s="36" t="str">
        <f aca="false">IF($A3727="","",TEXT($A3727,"MMM-YY"))</f>
        <v/>
      </c>
      <c r="M3727" s="37" t="str">
        <f aca="false">IF($A3727="","",IF($Q3727=0,"UNMAPPED",INDEX(COA_Mapping!$C$7:$C$256,$Q3727)))</f>
        <v/>
      </c>
      <c r="N3727" s="38" t="str">
        <f aca="false">IF($A3727="","",IF($Q3727=0,"",INDEX(COA_Mapping!$E$7:$E$256,$Q3727)))</f>
        <v/>
      </c>
      <c r="O3727" s="38" t="n">
        <f aca="false">IF($A3727="",1,IF($Q3727=0,1,INDEX(COA_Mapping!$F$7:$F$256,$Q3727)))</f>
        <v>1</v>
      </c>
      <c r="P3727" s="34" t="str">
        <f aca="false">IF($A3727="","",$I3727*$O3727)</f>
        <v/>
      </c>
      <c r="Q3727" s="39" t="n">
        <f aca="false">IF($B3727="",0,IFERROR(MATCH($B3727,COA_Mapping!$A$7:$A$256,0),0))</f>
        <v>0</v>
      </c>
      <c r="R3727" s="39" t="n">
        <f aca="false">IF($A3727="",-1,IF($J3727=Setup!$B$7,1,IF($J3727=Setup!$B$9,0,-1)))</f>
        <v>-1</v>
      </c>
      <c r="S3727" s="35" t="n">
        <f aca="false">IF(OR($A3727="",$Q3727=0,$R3727=-1),0,$Q3727*1000+$R3727*100+$K3727)</f>
        <v>0</v>
      </c>
      <c r="T3727" s="37" t="str">
        <f aca="false">IF($A3727="","",IF($B3727="","NO ACCOUNT",IF($Q3727=0,"UNMAPPED",IF($R3727=-1,"OUTSIDE FY RANGE","OK"))))</f>
        <v/>
      </c>
      <c r="U3727" s="40" t="str">
        <f aca="false">IF($A3727="","",$B3727&amp;"|"&amp;TEXT($A3727,"yyyymmdd")&amp;"|"&amp;TEXT($I3727,"0.00"))</f>
        <v/>
      </c>
      <c r="V3727" s="35" t="str">
        <f aca="false">IF($A3727="","",COUNTIF($U$8:$U$5007,$U3727))</f>
        <v/>
      </c>
    </row>
    <row r="3728" customFormat="false" ht="15" hidden="false" customHeight="false" outlineLevel="0" collapsed="false">
      <c r="A3728" s="31"/>
      <c r="B3728" s="32"/>
      <c r="C3728" s="32"/>
      <c r="D3728" s="32"/>
      <c r="E3728" s="32"/>
      <c r="F3728" s="32"/>
      <c r="G3728" s="33"/>
      <c r="H3728" s="33"/>
      <c r="I3728" s="34" t="str">
        <f aca="false">IF($A3728="","",$G3728-$H3728)</f>
        <v/>
      </c>
      <c r="J3728" s="35" t="str">
        <f aca="false">IF($A3728="","",IF(Setup!$B$6=1,YEAR($A3728),YEAR($A3728)+IF(MONTH($A3728)&gt;=Setup!$B$6,1,0)))</f>
        <v/>
      </c>
      <c r="K3728" s="35" t="str">
        <f aca="false">IF($A3728="","",MOD(MONTH($A3728)-Setup!$B$6+12,12)+1)</f>
        <v/>
      </c>
      <c r="L3728" s="36" t="str">
        <f aca="false">IF($A3728="","",TEXT($A3728,"MMM-YY"))</f>
        <v/>
      </c>
      <c r="M3728" s="37" t="str">
        <f aca="false">IF($A3728="","",IF($Q3728=0,"UNMAPPED",INDEX(COA_Mapping!$C$7:$C$256,$Q3728)))</f>
        <v/>
      </c>
      <c r="N3728" s="38" t="str">
        <f aca="false">IF($A3728="","",IF($Q3728=0,"",INDEX(COA_Mapping!$E$7:$E$256,$Q3728)))</f>
        <v/>
      </c>
      <c r="O3728" s="38" t="n">
        <f aca="false">IF($A3728="",1,IF($Q3728=0,1,INDEX(COA_Mapping!$F$7:$F$256,$Q3728)))</f>
        <v>1</v>
      </c>
      <c r="P3728" s="34" t="str">
        <f aca="false">IF($A3728="","",$I3728*$O3728)</f>
        <v/>
      </c>
      <c r="Q3728" s="39" t="n">
        <f aca="false">IF($B3728="",0,IFERROR(MATCH($B3728,COA_Mapping!$A$7:$A$256,0),0))</f>
        <v>0</v>
      </c>
      <c r="R3728" s="39" t="n">
        <f aca="false">IF($A3728="",-1,IF($J3728=Setup!$B$7,1,IF($J3728=Setup!$B$9,0,-1)))</f>
        <v>-1</v>
      </c>
      <c r="S3728" s="35" t="n">
        <f aca="false">IF(OR($A3728="",$Q3728=0,$R3728=-1),0,$Q3728*1000+$R3728*100+$K3728)</f>
        <v>0</v>
      </c>
      <c r="T3728" s="37" t="str">
        <f aca="false">IF($A3728="","",IF($B3728="","NO ACCOUNT",IF($Q3728=0,"UNMAPPED",IF($R3728=-1,"OUTSIDE FY RANGE","OK"))))</f>
        <v/>
      </c>
      <c r="U3728" s="40" t="str">
        <f aca="false">IF($A3728="","",$B3728&amp;"|"&amp;TEXT($A3728,"yyyymmdd")&amp;"|"&amp;TEXT($I3728,"0.00"))</f>
        <v/>
      </c>
      <c r="V3728" s="35" t="str">
        <f aca="false">IF($A3728="","",COUNTIF($U$8:$U$5007,$U3728))</f>
        <v/>
      </c>
    </row>
    <row r="3729" customFormat="false" ht="15" hidden="false" customHeight="false" outlineLevel="0" collapsed="false">
      <c r="A3729" s="31"/>
      <c r="B3729" s="32"/>
      <c r="C3729" s="32"/>
      <c r="D3729" s="32"/>
      <c r="E3729" s="32"/>
      <c r="F3729" s="32"/>
      <c r="G3729" s="33"/>
      <c r="H3729" s="33"/>
      <c r="I3729" s="34" t="str">
        <f aca="false">IF($A3729="","",$G3729-$H3729)</f>
        <v/>
      </c>
      <c r="J3729" s="35" t="str">
        <f aca="false">IF($A3729="","",IF(Setup!$B$6=1,YEAR($A3729),YEAR($A3729)+IF(MONTH($A3729)&gt;=Setup!$B$6,1,0)))</f>
        <v/>
      </c>
      <c r="K3729" s="35" t="str">
        <f aca="false">IF($A3729="","",MOD(MONTH($A3729)-Setup!$B$6+12,12)+1)</f>
        <v/>
      </c>
      <c r="L3729" s="36" t="str">
        <f aca="false">IF($A3729="","",TEXT($A3729,"MMM-YY"))</f>
        <v/>
      </c>
      <c r="M3729" s="37" t="str">
        <f aca="false">IF($A3729="","",IF($Q3729=0,"UNMAPPED",INDEX(COA_Mapping!$C$7:$C$256,$Q3729)))</f>
        <v/>
      </c>
      <c r="N3729" s="38" t="str">
        <f aca="false">IF($A3729="","",IF($Q3729=0,"",INDEX(COA_Mapping!$E$7:$E$256,$Q3729)))</f>
        <v/>
      </c>
      <c r="O3729" s="38" t="n">
        <f aca="false">IF($A3729="",1,IF($Q3729=0,1,INDEX(COA_Mapping!$F$7:$F$256,$Q3729)))</f>
        <v>1</v>
      </c>
      <c r="P3729" s="34" t="str">
        <f aca="false">IF($A3729="","",$I3729*$O3729)</f>
        <v/>
      </c>
      <c r="Q3729" s="39" t="n">
        <f aca="false">IF($B3729="",0,IFERROR(MATCH($B3729,COA_Mapping!$A$7:$A$256,0),0))</f>
        <v>0</v>
      </c>
      <c r="R3729" s="39" t="n">
        <f aca="false">IF($A3729="",-1,IF($J3729=Setup!$B$7,1,IF($J3729=Setup!$B$9,0,-1)))</f>
        <v>-1</v>
      </c>
      <c r="S3729" s="35" t="n">
        <f aca="false">IF(OR($A3729="",$Q3729=0,$R3729=-1),0,$Q3729*1000+$R3729*100+$K3729)</f>
        <v>0</v>
      </c>
      <c r="T3729" s="37" t="str">
        <f aca="false">IF($A3729="","",IF($B3729="","NO ACCOUNT",IF($Q3729=0,"UNMAPPED",IF($R3729=-1,"OUTSIDE FY RANGE","OK"))))</f>
        <v/>
      </c>
      <c r="U3729" s="40" t="str">
        <f aca="false">IF($A3729="","",$B3729&amp;"|"&amp;TEXT($A3729,"yyyymmdd")&amp;"|"&amp;TEXT($I3729,"0.00"))</f>
        <v/>
      </c>
      <c r="V3729" s="35" t="str">
        <f aca="false">IF($A3729="","",COUNTIF($U$8:$U$5007,$U3729))</f>
        <v/>
      </c>
    </row>
    <row r="3730" customFormat="false" ht="15" hidden="false" customHeight="false" outlineLevel="0" collapsed="false">
      <c r="A3730" s="31"/>
      <c r="B3730" s="32"/>
      <c r="C3730" s="32"/>
      <c r="D3730" s="32"/>
      <c r="E3730" s="32"/>
      <c r="F3730" s="32"/>
      <c r="G3730" s="33"/>
      <c r="H3730" s="33"/>
      <c r="I3730" s="34" t="str">
        <f aca="false">IF($A3730="","",$G3730-$H3730)</f>
        <v/>
      </c>
      <c r="J3730" s="35" t="str">
        <f aca="false">IF($A3730="","",IF(Setup!$B$6=1,YEAR($A3730),YEAR($A3730)+IF(MONTH($A3730)&gt;=Setup!$B$6,1,0)))</f>
        <v/>
      </c>
      <c r="K3730" s="35" t="str">
        <f aca="false">IF($A3730="","",MOD(MONTH($A3730)-Setup!$B$6+12,12)+1)</f>
        <v/>
      </c>
      <c r="L3730" s="36" t="str">
        <f aca="false">IF($A3730="","",TEXT($A3730,"MMM-YY"))</f>
        <v/>
      </c>
      <c r="M3730" s="37" t="str">
        <f aca="false">IF($A3730="","",IF($Q3730=0,"UNMAPPED",INDEX(COA_Mapping!$C$7:$C$256,$Q3730)))</f>
        <v/>
      </c>
      <c r="N3730" s="38" t="str">
        <f aca="false">IF($A3730="","",IF($Q3730=0,"",INDEX(COA_Mapping!$E$7:$E$256,$Q3730)))</f>
        <v/>
      </c>
      <c r="O3730" s="38" t="n">
        <f aca="false">IF($A3730="",1,IF($Q3730=0,1,INDEX(COA_Mapping!$F$7:$F$256,$Q3730)))</f>
        <v>1</v>
      </c>
      <c r="P3730" s="34" t="str">
        <f aca="false">IF($A3730="","",$I3730*$O3730)</f>
        <v/>
      </c>
      <c r="Q3730" s="39" t="n">
        <f aca="false">IF($B3730="",0,IFERROR(MATCH($B3730,COA_Mapping!$A$7:$A$256,0),0))</f>
        <v>0</v>
      </c>
      <c r="R3730" s="39" t="n">
        <f aca="false">IF($A3730="",-1,IF($J3730=Setup!$B$7,1,IF($J3730=Setup!$B$9,0,-1)))</f>
        <v>-1</v>
      </c>
      <c r="S3730" s="35" t="n">
        <f aca="false">IF(OR($A3730="",$Q3730=0,$R3730=-1),0,$Q3730*1000+$R3730*100+$K3730)</f>
        <v>0</v>
      </c>
      <c r="T3730" s="37" t="str">
        <f aca="false">IF($A3730="","",IF($B3730="","NO ACCOUNT",IF($Q3730=0,"UNMAPPED",IF($R3730=-1,"OUTSIDE FY RANGE","OK"))))</f>
        <v/>
      </c>
      <c r="U3730" s="40" t="str">
        <f aca="false">IF($A3730="","",$B3730&amp;"|"&amp;TEXT($A3730,"yyyymmdd")&amp;"|"&amp;TEXT($I3730,"0.00"))</f>
        <v/>
      </c>
      <c r="V3730" s="35" t="str">
        <f aca="false">IF($A3730="","",COUNTIF($U$8:$U$5007,$U3730))</f>
        <v/>
      </c>
    </row>
    <row r="3731" customFormat="false" ht="15" hidden="false" customHeight="false" outlineLevel="0" collapsed="false">
      <c r="A3731" s="31"/>
      <c r="B3731" s="32"/>
      <c r="C3731" s="32"/>
      <c r="D3731" s="32"/>
      <c r="E3731" s="32"/>
      <c r="F3731" s="32"/>
      <c r="G3731" s="33"/>
      <c r="H3731" s="33"/>
      <c r="I3731" s="34" t="str">
        <f aca="false">IF($A3731="","",$G3731-$H3731)</f>
        <v/>
      </c>
      <c r="J3731" s="35" t="str">
        <f aca="false">IF($A3731="","",IF(Setup!$B$6=1,YEAR($A3731),YEAR($A3731)+IF(MONTH($A3731)&gt;=Setup!$B$6,1,0)))</f>
        <v/>
      </c>
      <c r="K3731" s="35" t="str">
        <f aca="false">IF($A3731="","",MOD(MONTH($A3731)-Setup!$B$6+12,12)+1)</f>
        <v/>
      </c>
      <c r="L3731" s="36" t="str">
        <f aca="false">IF($A3731="","",TEXT($A3731,"MMM-YY"))</f>
        <v/>
      </c>
      <c r="M3731" s="37" t="str">
        <f aca="false">IF($A3731="","",IF($Q3731=0,"UNMAPPED",INDEX(COA_Mapping!$C$7:$C$256,$Q3731)))</f>
        <v/>
      </c>
      <c r="N3731" s="38" t="str">
        <f aca="false">IF($A3731="","",IF($Q3731=0,"",INDEX(COA_Mapping!$E$7:$E$256,$Q3731)))</f>
        <v/>
      </c>
      <c r="O3731" s="38" t="n">
        <f aca="false">IF($A3731="",1,IF($Q3731=0,1,INDEX(COA_Mapping!$F$7:$F$256,$Q3731)))</f>
        <v>1</v>
      </c>
      <c r="P3731" s="34" t="str">
        <f aca="false">IF($A3731="","",$I3731*$O3731)</f>
        <v/>
      </c>
      <c r="Q3731" s="39" t="n">
        <f aca="false">IF($B3731="",0,IFERROR(MATCH($B3731,COA_Mapping!$A$7:$A$256,0),0))</f>
        <v>0</v>
      </c>
      <c r="R3731" s="39" t="n">
        <f aca="false">IF($A3731="",-1,IF($J3731=Setup!$B$7,1,IF($J3731=Setup!$B$9,0,-1)))</f>
        <v>-1</v>
      </c>
      <c r="S3731" s="35" t="n">
        <f aca="false">IF(OR($A3731="",$Q3731=0,$R3731=-1),0,$Q3731*1000+$R3731*100+$K3731)</f>
        <v>0</v>
      </c>
      <c r="T3731" s="37" t="str">
        <f aca="false">IF($A3731="","",IF($B3731="","NO ACCOUNT",IF($Q3731=0,"UNMAPPED",IF($R3731=-1,"OUTSIDE FY RANGE","OK"))))</f>
        <v/>
      </c>
      <c r="U3731" s="40" t="str">
        <f aca="false">IF($A3731="","",$B3731&amp;"|"&amp;TEXT($A3731,"yyyymmdd")&amp;"|"&amp;TEXT($I3731,"0.00"))</f>
        <v/>
      </c>
      <c r="V3731" s="35" t="str">
        <f aca="false">IF($A3731="","",COUNTIF($U$8:$U$5007,$U3731))</f>
        <v/>
      </c>
    </row>
    <row r="3732" customFormat="false" ht="15" hidden="false" customHeight="false" outlineLevel="0" collapsed="false">
      <c r="A3732" s="31"/>
      <c r="B3732" s="32"/>
      <c r="C3732" s="32"/>
      <c r="D3732" s="32"/>
      <c r="E3732" s="32"/>
      <c r="F3732" s="32"/>
      <c r="G3732" s="33"/>
      <c r="H3732" s="33"/>
      <c r="I3732" s="34" t="str">
        <f aca="false">IF($A3732="","",$G3732-$H3732)</f>
        <v/>
      </c>
      <c r="J3732" s="35" t="str">
        <f aca="false">IF($A3732="","",IF(Setup!$B$6=1,YEAR($A3732),YEAR($A3732)+IF(MONTH($A3732)&gt;=Setup!$B$6,1,0)))</f>
        <v/>
      </c>
      <c r="K3732" s="35" t="str">
        <f aca="false">IF($A3732="","",MOD(MONTH($A3732)-Setup!$B$6+12,12)+1)</f>
        <v/>
      </c>
      <c r="L3732" s="36" t="str">
        <f aca="false">IF($A3732="","",TEXT($A3732,"MMM-YY"))</f>
        <v/>
      </c>
      <c r="M3732" s="37" t="str">
        <f aca="false">IF($A3732="","",IF($Q3732=0,"UNMAPPED",INDEX(COA_Mapping!$C$7:$C$256,$Q3732)))</f>
        <v/>
      </c>
      <c r="N3732" s="38" t="str">
        <f aca="false">IF($A3732="","",IF($Q3732=0,"",INDEX(COA_Mapping!$E$7:$E$256,$Q3732)))</f>
        <v/>
      </c>
      <c r="O3732" s="38" t="n">
        <f aca="false">IF($A3732="",1,IF($Q3732=0,1,INDEX(COA_Mapping!$F$7:$F$256,$Q3732)))</f>
        <v>1</v>
      </c>
      <c r="P3732" s="34" t="str">
        <f aca="false">IF($A3732="","",$I3732*$O3732)</f>
        <v/>
      </c>
      <c r="Q3732" s="39" t="n">
        <f aca="false">IF($B3732="",0,IFERROR(MATCH($B3732,COA_Mapping!$A$7:$A$256,0),0))</f>
        <v>0</v>
      </c>
      <c r="R3732" s="39" t="n">
        <f aca="false">IF($A3732="",-1,IF($J3732=Setup!$B$7,1,IF($J3732=Setup!$B$9,0,-1)))</f>
        <v>-1</v>
      </c>
      <c r="S3732" s="35" t="n">
        <f aca="false">IF(OR($A3732="",$Q3732=0,$R3732=-1),0,$Q3732*1000+$R3732*100+$K3732)</f>
        <v>0</v>
      </c>
      <c r="T3732" s="37" t="str">
        <f aca="false">IF($A3732="","",IF($B3732="","NO ACCOUNT",IF($Q3732=0,"UNMAPPED",IF($R3732=-1,"OUTSIDE FY RANGE","OK"))))</f>
        <v/>
      </c>
      <c r="U3732" s="40" t="str">
        <f aca="false">IF($A3732="","",$B3732&amp;"|"&amp;TEXT($A3732,"yyyymmdd")&amp;"|"&amp;TEXT($I3732,"0.00"))</f>
        <v/>
      </c>
      <c r="V3732" s="35" t="str">
        <f aca="false">IF($A3732="","",COUNTIF($U$8:$U$5007,$U3732))</f>
        <v/>
      </c>
    </row>
    <row r="3733" customFormat="false" ht="15" hidden="false" customHeight="false" outlineLevel="0" collapsed="false">
      <c r="A3733" s="31"/>
      <c r="B3733" s="32"/>
      <c r="C3733" s="32"/>
      <c r="D3733" s="32"/>
      <c r="E3733" s="32"/>
      <c r="F3733" s="32"/>
      <c r="G3733" s="33"/>
      <c r="H3733" s="33"/>
      <c r="I3733" s="34" t="str">
        <f aca="false">IF($A3733="","",$G3733-$H3733)</f>
        <v/>
      </c>
      <c r="J3733" s="35" t="str">
        <f aca="false">IF($A3733="","",IF(Setup!$B$6=1,YEAR($A3733),YEAR($A3733)+IF(MONTH($A3733)&gt;=Setup!$B$6,1,0)))</f>
        <v/>
      </c>
      <c r="K3733" s="35" t="str">
        <f aca="false">IF($A3733="","",MOD(MONTH($A3733)-Setup!$B$6+12,12)+1)</f>
        <v/>
      </c>
      <c r="L3733" s="36" t="str">
        <f aca="false">IF($A3733="","",TEXT($A3733,"MMM-YY"))</f>
        <v/>
      </c>
      <c r="M3733" s="37" t="str">
        <f aca="false">IF($A3733="","",IF($Q3733=0,"UNMAPPED",INDEX(COA_Mapping!$C$7:$C$256,$Q3733)))</f>
        <v/>
      </c>
      <c r="N3733" s="38" t="str">
        <f aca="false">IF($A3733="","",IF($Q3733=0,"",INDEX(COA_Mapping!$E$7:$E$256,$Q3733)))</f>
        <v/>
      </c>
      <c r="O3733" s="38" t="n">
        <f aca="false">IF($A3733="",1,IF($Q3733=0,1,INDEX(COA_Mapping!$F$7:$F$256,$Q3733)))</f>
        <v>1</v>
      </c>
      <c r="P3733" s="34" t="str">
        <f aca="false">IF($A3733="","",$I3733*$O3733)</f>
        <v/>
      </c>
      <c r="Q3733" s="39" t="n">
        <f aca="false">IF($B3733="",0,IFERROR(MATCH($B3733,COA_Mapping!$A$7:$A$256,0),0))</f>
        <v>0</v>
      </c>
      <c r="R3733" s="39" t="n">
        <f aca="false">IF($A3733="",-1,IF($J3733=Setup!$B$7,1,IF($J3733=Setup!$B$9,0,-1)))</f>
        <v>-1</v>
      </c>
      <c r="S3733" s="35" t="n">
        <f aca="false">IF(OR($A3733="",$Q3733=0,$R3733=-1),0,$Q3733*1000+$R3733*100+$K3733)</f>
        <v>0</v>
      </c>
      <c r="T3733" s="37" t="str">
        <f aca="false">IF($A3733="","",IF($B3733="","NO ACCOUNT",IF($Q3733=0,"UNMAPPED",IF($R3733=-1,"OUTSIDE FY RANGE","OK"))))</f>
        <v/>
      </c>
      <c r="U3733" s="40" t="str">
        <f aca="false">IF($A3733="","",$B3733&amp;"|"&amp;TEXT($A3733,"yyyymmdd")&amp;"|"&amp;TEXT($I3733,"0.00"))</f>
        <v/>
      </c>
      <c r="V3733" s="35" t="str">
        <f aca="false">IF($A3733="","",COUNTIF($U$8:$U$5007,$U3733))</f>
        <v/>
      </c>
    </row>
    <row r="3734" customFormat="false" ht="15" hidden="false" customHeight="false" outlineLevel="0" collapsed="false">
      <c r="A3734" s="31"/>
      <c r="B3734" s="32"/>
      <c r="C3734" s="32"/>
      <c r="D3734" s="32"/>
      <c r="E3734" s="32"/>
      <c r="F3734" s="32"/>
      <c r="G3734" s="33"/>
      <c r="H3734" s="33"/>
      <c r="I3734" s="34" t="str">
        <f aca="false">IF($A3734="","",$G3734-$H3734)</f>
        <v/>
      </c>
      <c r="J3734" s="35" t="str">
        <f aca="false">IF($A3734="","",IF(Setup!$B$6=1,YEAR($A3734),YEAR($A3734)+IF(MONTH($A3734)&gt;=Setup!$B$6,1,0)))</f>
        <v/>
      </c>
      <c r="K3734" s="35" t="str">
        <f aca="false">IF($A3734="","",MOD(MONTH($A3734)-Setup!$B$6+12,12)+1)</f>
        <v/>
      </c>
      <c r="L3734" s="36" t="str">
        <f aca="false">IF($A3734="","",TEXT($A3734,"MMM-YY"))</f>
        <v/>
      </c>
      <c r="M3734" s="37" t="str">
        <f aca="false">IF($A3734="","",IF($Q3734=0,"UNMAPPED",INDEX(COA_Mapping!$C$7:$C$256,$Q3734)))</f>
        <v/>
      </c>
      <c r="N3734" s="38" t="str">
        <f aca="false">IF($A3734="","",IF($Q3734=0,"",INDEX(COA_Mapping!$E$7:$E$256,$Q3734)))</f>
        <v/>
      </c>
      <c r="O3734" s="38" t="n">
        <f aca="false">IF($A3734="",1,IF($Q3734=0,1,INDEX(COA_Mapping!$F$7:$F$256,$Q3734)))</f>
        <v>1</v>
      </c>
      <c r="P3734" s="34" t="str">
        <f aca="false">IF($A3734="","",$I3734*$O3734)</f>
        <v/>
      </c>
      <c r="Q3734" s="39" t="n">
        <f aca="false">IF($B3734="",0,IFERROR(MATCH($B3734,COA_Mapping!$A$7:$A$256,0),0))</f>
        <v>0</v>
      </c>
      <c r="R3734" s="39" t="n">
        <f aca="false">IF($A3734="",-1,IF($J3734=Setup!$B$7,1,IF($J3734=Setup!$B$9,0,-1)))</f>
        <v>-1</v>
      </c>
      <c r="S3734" s="35" t="n">
        <f aca="false">IF(OR($A3734="",$Q3734=0,$R3734=-1),0,$Q3734*1000+$R3734*100+$K3734)</f>
        <v>0</v>
      </c>
      <c r="T3734" s="37" t="str">
        <f aca="false">IF($A3734="","",IF($B3734="","NO ACCOUNT",IF($Q3734=0,"UNMAPPED",IF($R3734=-1,"OUTSIDE FY RANGE","OK"))))</f>
        <v/>
      </c>
      <c r="U3734" s="40" t="str">
        <f aca="false">IF($A3734="","",$B3734&amp;"|"&amp;TEXT($A3734,"yyyymmdd")&amp;"|"&amp;TEXT($I3734,"0.00"))</f>
        <v/>
      </c>
      <c r="V3734" s="35" t="str">
        <f aca="false">IF($A3734="","",COUNTIF($U$8:$U$5007,$U3734))</f>
        <v/>
      </c>
    </row>
    <row r="3735" customFormat="false" ht="15" hidden="false" customHeight="false" outlineLevel="0" collapsed="false">
      <c r="A3735" s="31"/>
      <c r="B3735" s="32"/>
      <c r="C3735" s="32"/>
      <c r="D3735" s="32"/>
      <c r="E3735" s="32"/>
      <c r="F3735" s="32"/>
      <c r="G3735" s="33"/>
      <c r="H3735" s="33"/>
      <c r="I3735" s="34" t="str">
        <f aca="false">IF($A3735="","",$G3735-$H3735)</f>
        <v/>
      </c>
      <c r="J3735" s="35" t="str">
        <f aca="false">IF($A3735="","",IF(Setup!$B$6=1,YEAR($A3735),YEAR($A3735)+IF(MONTH($A3735)&gt;=Setup!$B$6,1,0)))</f>
        <v/>
      </c>
      <c r="K3735" s="35" t="str">
        <f aca="false">IF($A3735="","",MOD(MONTH($A3735)-Setup!$B$6+12,12)+1)</f>
        <v/>
      </c>
      <c r="L3735" s="36" t="str">
        <f aca="false">IF($A3735="","",TEXT($A3735,"MMM-YY"))</f>
        <v/>
      </c>
      <c r="M3735" s="37" t="str">
        <f aca="false">IF($A3735="","",IF($Q3735=0,"UNMAPPED",INDEX(COA_Mapping!$C$7:$C$256,$Q3735)))</f>
        <v/>
      </c>
      <c r="N3735" s="38" t="str">
        <f aca="false">IF($A3735="","",IF($Q3735=0,"",INDEX(COA_Mapping!$E$7:$E$256,$Q3735)))</f>
        <v/>
      </c>
      <c r="O3735" s="38" t="n">
        <f aca="false">IF($A3735="",1,IF($Q3735=0,1,INDEX(COA_Mapping!$F$7:$F$256,$Q3735)))</f>
        <v>1</v>
      </c>
      <c r="P3735" s="34" t="str">
        <f aca="false">IF($A3735="","",$I3735*$O3735)</f>
        <v/>
      </c>
      <c r="Q3735" s="39" t="n">
        <f aca="false">IF($B3735="",0,IFERROR(MATCH($B3735,COA_Mapping!$A$7:$A$256,0),0))</f>
        <v>0</v>
      </c>
      <c r="R3735" s="39" t="n">
        <f aca="false">IF($A3735="",-1,IF($J3735=Setup!$B$7,1,IF($J3735=Setup!$B$9,0,-1)))</f>
        <v>-1</v>
      </c>
      <c r="S3735" s="35" t="n">
        <f aca="false">IF(OR($A3735="",$Q3735=0,$R3735=-1),0,$Q3735*1000+$R3735*100+$K3735)</f>
        <v>0</v>
      </c>
      <c r="T3735" s="37" t="str">
        <f aca="false">IF($A3735="","",IF($B3735="","NO ACCOUNT",IF($Q3735=0,"UNMAPPED",IF($R3735=-1,"OUTSIDE FY RANGE","OK"))))</f>
        <v/>
      </c>
      <c r="U3735" s="40" t="str">
        <f aca="false">IF($A3735="","",$B3735&amp;"|"&amp;TEXT($A3735,"yyyymmdd")&amp;"|"&amp;TEXT($I3735,"0.00"))</f>
        <v/>
      </c>
      <c r="V3735" s="35" t="str">
        <f aca="false">IF($A3735="","",COUNTIF($U$8:$U$5007,$U3735))</f>
        <v/>
      </c>
    </row>
    <row r="3736" customFormat="false" ht="15" hidden="false" customHeight="false" outlineLevel="0" collapsed="false">
      <c r="A3736" s="31"/>
      <c r="B3736" s="32"/>
      <c r="C3736" s="32"/>
      <c r="D3736" s="32"/>
      <c r="E3736" s="32"/>
      <c r="F3736" s="32"/>
      <c r="G3736" s="33"/>
      <c r="H3736" s="33"/>
      <c r="I3736" s="34" t="str">
        <f aca="false">IF($A3736="","",$G3736-$H3736)</f>
        <v/>
      </c>
      <c r="J3736" s="35" t="str">
        <f aca="false">IF($A3736="","",IF(Setup!$B$6=1,YEAR($A3736),YEAR($A3736)+IF(MONTH($A3736)&gt;=Setup!$B$6,1,0)))</f>
        <v/>
      </c>
      <c r="K3736" s="35" t="str">
        <f aca="false">IF($A3736="","",MOD(MONTH($A3736)-Setup!$B$6+12,12)+1)</f>
        <v/>
      </c>
      <c r="L3736" s="36" t="str">
        <f aca="false">IF($A3736="","",TEXT($A3736,"MMM-YY"))</f>
        <v/>
      </c>
      <c r="M3736" s="37" t="str">
        <f aca="false">IF($A3736="","",IF($Q3736=0,"UNMAPPED",INDEX(COA_Mapping!$C$7:$C$256,$Q3736)))</f>
        <v/>
      </c>
      <c r="N3736" s="38" t="str">
        <f aca="false">IF($A3736="","",IF($Q3736=0,"",INDEX(COA_Mapping!$E$7:$E$256,$Q3736)))</f>
        <v/>
      </c>
      <c r="O3736" s="38" t="n">
        <f aca="false">IF($A3736="",1,IF($Q3736=0,1,INDEX(COA_Mapping!$F$7:$F$256,$Q3736)))</f>
        <v>1</v>
      </c>
      <c r="P3736" s="34" t="str">
        <f aca="false">IF($A3736="","",$I3736*$O3736)</f>
        <v/>
      </c>
      <c r="Q3736" s="39" t="n">
        <f aca="false">IF($B3736="",0,IFERROR(MATCH($B3736,COA_Mapping!$A$7:$A$256,0),0))</f>
        <v>0</v>
      </c>
      <c r="R3736" s="39" t="n">
        <f aca="false">IF($A3736="",-1,IF($J3736=Setup!$B$7,1,IF($J3736=Setup!$B$9,0,-1)))</f>
        <v>-1</v>
      </c>
      <c r="S3736" s="35" t="n">
        <f aca="false">IF(OR($A3736="",$Q3736=0,$R3736=-1),0,$Q3736*1000+$R3736*100+$K3736)</f>
        <v>0</v>
      </c>
      <c r="T3736" s="37" t="str">
        <f aca="false">IF($A3736="","",IF($B3736="","NO ACCOUNT",IF($Q3736=0,"UNMAPPED",IF($R3736=-1,"OUTSIDE FY RANGE","OK"))))</f>
        <v/>
      </c>
      <c r="U3736" s="40" t="str">
        <f aca="false">IF($A3736="","",$B3736&amp;"|"&amp;TEXT($A3736,"yyyymmdd")&amp;"|"&amp;TEXT($I3736,"0.00"))</f>
        <v/>
      </c>
      <c r="V3736" s="35" t="str">
        <f aca="false">IF($A3736="","",COUNTIF($U$8:$U$5007,$U3736))</f>
        <v/>
      </c>
    </row>
    <row r="3737" customFormat="false" ht="15" hidden="false" customHeight="false" outlineLevel="0" collapsed="false">
      <c r="A3737" s="31"/>
      <c r="B3737" s="32"/>
      <c r="C3737" s="32"/>
      <c r="D3737" s="32"/>
      <c r="E3737" s="32"/>
      <c r="F3737" s="32"/>
      <c r="G3737" s="33"/>
      <c r="H3737" s="33"/>
      <c r="I3737" s="34" t="str">
        <f aca="false">IF($A3737="","",$G3737-$H3737)</f>
        <v/>
      </c>
      <c r="J3737" s="35" t="str">
        <f aca="false">IF($A3737="","",IF(Setup!$B$6=1,YEAR($A3737),YEAR($A3737)+IF(MONTH($A3737)&gt;=Setup!$B$6,1,0)))</f>
        <v/>
      </c>
      <c r="K3737" s="35" t="str">
        <f aca="false">IF($A3737="","",MOD(MONTH($A3737)-Setup!$B$6+12,12)+1)</f>
        <v/>
      </c>
      <c r="L3737" s="36" t="str">
        <f aca="false">IF($A3737="","",TEXT($A3737,"MMM-YY"))</f>
        <v/>
      </c>
      <c r="M3737" s="37" t="str">
        <f aca="false">IF($A3737="","",IF($Q3737=0,"UNMAPPED",INDEX(COA_Mapping!$C$7:$C$256,$Q3737)))</f>
        <v/>
      </c>
      <c r="N3737" s="38" t="str">
        <f aca="false">IF($A3737="","",IF($Q3737=0,"",INDEX(COA_Mapping!$E$7:$E$256,$Q3737)))</f>
        <v/>
      </c>
      <c r="O3737" s="38" t="n">
        <f aca="false">IF($A3737="",1,IF($Q3737=0,1,INDEX(COA_Mapping!$F$7:$F$256,$Q3737)))</f>
        <v>1</v>
      </c>
      <c r="P3737" s="34" t="str">
        <f aca="false">IF($A3737="","",$I3737*$O3737)</f>
        <v/>
      </c>
      <c r="Q3737" s="39" t="n">
        <f aca="false">IF($B3737="",0,IFERROR(MATCH($B3737,COA_Mapping!$A$7:$A$256,0),0))</f>
        <v>0</v>
      </c>
      <c r="R3737" s="39" t="n">
        <f aca="false">IF($A3737="",-1,IF($J3737=Setup!$B$7,1,IF($J3737=Setup!$B$9,0,-1)))</f>
        <v>-1</v>
      </c>
      <c r="S3737" s="35" t="n">
        <f aca="false">IF(OR($A3737="",$Q3737=0,$R3737=-1),0,$Q3737*1000+$R3737*100+$K3737)</f>
        <v>0</v>
      </c>
      <c r="T3737" s="37" t="str">
        <f aca="false">IF($A3737="","",IF($B3737="","NO ACCOUNT",IF($Q3737=0,"UNMAPPED",IF($R3737=-1,"OUTSIDE FY RANGE","OK"))))</f>
        <v/>
      </c>
      <c r="U3737" s="40" t="str">
        <f aca="false">IF($A3737="","",$B3737&amp;"|"&amp;TEXT($A3737,"yyyymmdd")&amp;"|"&amp;TEXT($I3737,"0.00"))</f>
        <v/>
      </c>
      <c r="V3737" s="35" t="str">
        <f aca="false">IF($A3737="","",COUNTIF($U$8:$U$5007,$U3737))</f>
        <v/>
      </c>
    </row>
    <row r="3738" customFormat="false" ht="15" hidden="false" customHeight="false" outlineLevel="0" collapsed="false">
      <c r="A3738" s="31"/>
      <c r="B3738" s="32"/>
      <c r="C3738" s="32"/>
      <c r="D3738" s="32"/>
      <c r="E3738" s="32"/>
      <c r="F3738" s="32"/>
      <c r="G3738" s="33"/>
      <c r="H3738" s="33"/>
      <c r="I3738" s="34" t="str">
        <f aca="false">IF($A3738="","",$G3738-$H3738)</f>
        <v/>
      </c>
      <c r="J3738" s="35" t="str">
        <f aca="false">IF($A3738="","",IF(Setup!$B$6=1,YEAR($A3738),YEAR($A3738)+IF(MONTH($A3738)&gt;=Setup!$B$6,1,0)))</f>
        <v/>
      </c>
      <c r="K3738" s="35" t="str">
        <f aca="false">IF($A3738="","",MOD(MONTH($A3738)-Setup!$B$6+12,12)+1)</f>
        <v/>
      </c>
      <c r="L3738" s="36" t="str">
        <f aca="false">IF($A3738="","",TEXT($A3738,"MMM-YY"))</f>
        <v/>
      </c>
      <c r="M3738" s="37" t="str">
        <f aca="false">IF($A3738="","",IF($Q3738=0,"UNMAPPED",INDEX(COA_Mapping!$C$7:$C$256,$Q3738)))</f>
        <v/>
      </c>
      <c r="N3738" s="38" t="str">
        <f aca="false">IF($A3738="","",IF($Q3738=0,"",INDEX(COA_Mapping!$E$7:$E$256,$Q3738)))</f>
        <v/>
      </c>
      <c r="O3738" s="38" t="n">
        <f aca="false">IF($A3738="",1,IF($Q3738=0,1,INDEX(COA_Mapping!$F$7:$F$256,$Q3738)))</f>
        <v>1</v>
      </c>
      <c r="P3738" s="34" t="str">
        <f aca="false">IF($A3738="","",$I3738*$O3738)</f>
        <v/>
      </c>
      <c r="Q3738" s="39" t="n">
        <f aca="false">IF($B3738="",0,IFERROR(MATCH($B3738,COA_Mapping!$A$7:$A$256,0),0))</f>
        <v>0</v>
      </c>
      <c r="R3738" s="39" t="n">
        <f aca="false">IF($A3738="",-1,IF($J3738=Setup!$B$7,1,IF($J3738=Setup!$B$9,0,-1)))</f>
        <v>-1</v>
      </c>
      <c r="S3738" s="35" t="n">
        <f aca="false">IF(OR($A3738="",$Q3738=0,$R3738=-1),0,$Q3738*1000+$R3738*100+$K3738)</f>
        <v>0</v>
      </c>
      <c r="T3738" s="37" t="str">
        <f aca="false">IF($A3738="","",IF($B3738="","NO ACCOUNT",IF($Q3738=0,"UNMAPPED",IF($R3738=-1,"OUTSIDE FY RANGE","OK"))))</f>
        <v/>
      </c>
      <c r="U3738" s="40" t="str">
        <f aca="false">IF($A3738="","",$B3738&amp;"|"&amp;TEXT($A3738,"yyyymmdd")&amp;"|"&amp;TEXT($I3738,"0.00"))</f>
        <v/>
      </c>
      <c r="V3738" s="35" t="str">
        <f aca="false">IF($A3738="","",COUNTIF($U$8:$U$5007,$U3738))</f>
        <v/>
      </c>
    </row>
    <row r="3739" customFormat="false" ht="15" hidden="false" customHeight="false" outlineLevel="0" collapsed="false">
      <c r="A3739" s="31"/>
      <c r="B3739" s="32"/>
      <c r="C3739" s="32"/>
      <c r="D3739" s="32"/>
      <c r="E3739" s="32"/>
      <c r="F3739" s="32"/>
      <c r="G3739" s="33"/>
      <c r="H3739" s="33"/>
      <c r="I3739" s="34" t="str">
        <f aca="false">IF($A3739="","",$G3739-$H3739)</f>
        <v/>
      </c>
      <c r="J3739" s="35" t="str">
        <f aca="false">IF($A3739="","",IF(Setup!$B$6=1,YEAR($A3739),YEAR($A3739)+IF(MONTH($A3739)&gt;=Setup!$B$6,1,0)))</f>
        <v/>
      </c>
      <c r="K3739" s="35" t="str">
        <f aca="false">IF($A3739="","",MOD(MONTH($A3739)-Setup!$B$6+12,12)+1)</f>
        <v/>
      </c>
      <c r="L3739" s="36" t="str">
        <f aca="false">IF($A3739="","",TEXT($A3739,"MMM-YY"))</f>
        <v/>
      </c>
      <c r="M3739" s="37" t="str">
        <f aca="false">IF($A3739="","",IF($Q3739=0,"UNMAPPED",INDEX(COA_Mapping!$C$7:$C$256,$Q3739)))</f>
        <v/>
      </c>
      <c r="N3739" s="38" t="str">
        <f aca="false">IF($A3739="","",IF($Q3739=0,"",INDEX(COA_Mapping!$E$7:$E$256,$Q3739)))</f>
        <v/>
      </c>
      <c r="O3739" s="38" t="n">
        <f aca="false">IF($A3739="",1,IF($Q3739=0,1,INDEX(COA_Mapping!$F$7:$F$256,$Q3739)))</f>
        <v>1</v>
      </c>
      <c r="P3739" s="34" t="str">
        <f aca="false">IF($A3739="","",$I3739*$O3739)</f>
        <v/>
      </c>
      <c r="Q3739" s="39" t="n">
        <f aca="false">IF($B3739="",0,IFERROR(MATCH($B3739,COA_Mapping!$A$7:$A$256,0),0))</f>
        <v>0</v>
      </c>
      <c r="R3739" s="39" t="n">
        <f aca="false">IF($A3739="",-1,IF($J3739=Setup!$B$7,1,IF($J3739=Setup!$B$9,0,-1)))</f>
        <v>-1</v>
      </c>
      <c r="S3739" s="35" t="n">
        <f aca="false">IF(OR($A3739="",$Q3739=0,$R3739=-1),0,$Q3739*1000+$R3739*100+$K3739)</f>
        <v>0</v>
      </c>
      <c r="T3739" s="37" t="str">
        <f aca="false">IF($A3739="","",IF($B3739="","NO ACCOUNT",IF($Q3739=0,"UNMAPPED",IF($R3739=-1,"OUTSIDE FY RANGE","OK"))))</f>
        <v/>
      </c>
      <c r="U3739" s="40" t="str">
        <f aca="false">IF($A3739="","",$B3739&amp;"|"&amp;TEXT($A3739,"yyyymmdd")&amp;"|"&amp;TEXT($I3739,"0.00"))</f>
        <v/>
      </c>
      <c r="V3739" s="35" t="str">
        <f aca="false">IF($A3739="","",COUNTIF($U$8:$U$5007,$U3739))</f>
        <v/>
      </c>
    </row>
    <row r="3740" customFormat="false" ht="15" hidden="false" customHeight="false" outlineLevel="0" collapsed="false">
      <c r="A3740" s="31"/>
      <c r="B3740" s="32"/>
      <c r="C3740" s="32"/>
      <c r="D3740" s="32"/>
      <c r="E3740" s="32"/>
      <c r="F3740" s="32"/>
      <c r="G3740" s="33"/>
      <c r="H3740" s="33"/>
      <c r="I3740" s="34" t="str">
        <f aca="false">IF($A3740="","",$G3740-$H3740)</f>
        <v/>
      </c>
      <c r="J3740" s="35" t="str">
        <f aca="false">IF($A3740="","",IF(Setup!$B$6=1,YEAR($A3740),YEAR($A3740)+IF(MONTH($A3740)&gt;=Setup!$B$6,1,0)))</f>
        <v/>
      </c>
      <c r="K3740" s="35" t="str">
        <f aca="false">IF($A3740="","",MOD(MONTH($A3740)-Setup!$B$6+12,12)+1)</f>
        <v/>
      </c>
      <c r="L3740" s="36" t="str">
        <f aca="false">IF($A3740="","",TEXT($A3740,"MMM-YY"))</f>
        <v/>
      </c>
      <c r="M3740" s="37" t="str">
        <f aca="false">IF($A3740="","",IF($Q3740=0,"UNMAPPED",INDEX(COA_Mapping!$C$7:$C$256,$Q3740)))</f>
        <v/>
      </c>
      <c r="N3740" s="38" t="str">
        <f aca="false">IF($A3740="","",IF($Q3740=0,"",INDEX(COA_Mapping!$E$7:$E$256,$Q3740)))</f>
        <v/>
      </c>
      <c r="O3740" s="38" t="n">
        <f aca="false">IF($A3740="",1,IF($Q3740=0,1,INDEX(COA_Mapping!$F$7:$F$256,$Q3740)))</f>
        <v>1</v>
      </c>
      <c r="P3740" s="34" t="str">
        <f aca="false">IF($A3740="","",$I3740*$O3740)</f>
        <v/>
      </c>
      <c r="Q3740" s="39" t="n">
        <f aca="false">IF($B3740="",0,IFERROR(MATCH($B3740,COA_Mapping!$A$7:$A$256,0),0))</f>
        <v>0</v>
      </c>
      <c r="R3740" s="39" t="n">
        <f aca="false">IF($A3740="",-1,IF($J3740=Setup!$B$7,1,IF($J3740=Setup!$B$9,0,-1)))</f>
        <v>-1</v>
      </c>
      <c r="S3740" s="35" t="n">
        <f aca="false">IF(OR($A3740="",$Q3740=0,$R3740=-1),0,$Q3740*1000+$R3740*100+$K3740)</f>
        <v>0</v>
      </c>
      <c r="T3740" s="37" t="str">
        <f aca="false">IF($A3740="","",IF($B3740="","NO ACCOUNT",IF($Q3740=0,"UNMAPPED",IF($R3740=-1,"OUTSIDE FY RANGE","OK"))))</f>
        <v/>
      </c>
      <c r="U3740" s="40" t="str">
        <f aca="false">IF($A3740="","",$B3740&amp;"|"&amp;TEXT($A3740,"yyyymmdd")&amp;"|"&amp;TEXT($I3740,"0.00"))</f>
        <v/>
      </c>
      <c r="V3740" s="35" t="str">
        <f aca="false">IF($A3740="","",COUNTIF($U$8:$U$5007,$U3740))</f>
        <v/>
      </c>
    </row>
    <row r="3741" customFormat="false" ht="15" hidden="false" customHeight="false" outlineLevel="0" collapsed="false">
      <c r="A3741" s="31"/>
      <c r="B3741" s="32"/>
      <c r="C3741" s="32"/>
      <c r="D3741" s="32"/>
      <c r="E3741" s="32"/>
      <c r="F3741" s="32"/>
      <c r="G3741" s="33"/>
      <c r="H3741" s="33"/>
      <c r="I3741" s="34" t="str">
        <f aca="false">IF($A3741="","",$G3741-$H3741)</f>
        <v/>
      </c>
      <c r="J3741" s="35" t="str">
        <f aca="false">IF($A3741="","",IF(Setup!$B$6=1,YEAR($A3741),YEAR($A3741)+IF(MONTH($A3741)&gt;=Setup!$B$6,1,0)))</f>
        <v/>
      </c>
      <c r="K3741" s="35" t="str">
        <f aca="false">IF($A3741="","",MOD(MONTH($A3741)-Setup!$B$6+12,12)+1)</f>
        <v/>
      </c>
      <c r="L3741" s="36" t="str">
        <f aca="false">IF($A3741="","",TEXT($A3741,"MMM-YY"))</f>
        <v/>
      </c>
      <c r="M3741" s="37" t="str">
        <f aca="false">IF($A3741="","",IF($Q3741=0,"UNMAPPED",INDEX(COA_Mapping!$C$7:$C$256,$Q3741)))</f>
        <v/>
      </c>
      <c r="N3741" s="38" t="str">
        <f aca="false">IF($A3741="","",IF($Q3741=0,"",INDEX(COA_Mapping!$E$7:$E$256,$Q3741)))</f>
        <v/>
      </c>
      <c r="O3741" s="38" t="n">
        <f aca="false">IF($A3741="",1,IF($Q3741=0,1,INDEX(COA_Mapping!$F$7:$F$256,$Q3741)))</f>
        <v>1</v>
      </c>
      <c r="P3741" s="34" t="str">
        <f aca="false">IF($A3741="","",$I3741*$O3741)</f>
        <v/>
      </c>
      <c r="Q3741" s="39" t="n">
        <f aca="false">IF($B3741="",0,IFERROR(MATCH($B3741,COA_Mapping!$A$7:$A$256,0),0))</f>
        <v>0</v>
      </c>
      <c r="R3741" s="39" t="n">
        <f aca="false">IF($A3741="",-1,IF($J3741=Setup!$B$7,1,IF($J3741=Setup!$B$9,0,-1)))</f>
        <v>-1</v>
      </c>
      <c r="S3741" s="35" t="n">
        <f aca="false">IF(OR($A3741="",$Q3741=0,$R3741=-1),0,$Q3741*1000+$R3741*100+$K3741)</f>
        <v>0</v>
      </c>
      <c r="T3741" s="37" t="str">
        <f aca="false">IF($A3741="","",IF($B3741="","NO ACCOUNT",IF($Q3741=0,"UNMAPPED",IF($R3741=-1,"OUTSIDE FY RANGE","OK"))))</f>
        <v/>
      </c>
      <c r="U3741" s="40" t="str">
        <f aca="false">IF($A3741="","",$B3741&amp;"|"&amp;TEXT($A3741,"yyyymmdd")&amp;"|"&amp;TEXT($I3741,"0.00"))</f>
        <v/>
      </c>
      <c r="V3741" s="35" t="str">
        <f aca="false">IF($A3741="","",COUNTIF($U$8:$U$5007,$U3741))</f>
        <v/>
      </c>
    </row>
    <row r="3742" customFormat="false" ht="15" hidden="false" customHeight="false" outlineLevel="0" collapsed="false">
      <c r="A3742" s="31"/>
      <c r="B3742" s="32"/>
      <c r="C3742" s="32"/>
      <c r="D3742" s="32"/>
      <c r="E3742" s="32"/>
      <c r="F3742" s="32"/>
      <c r="G3742" s="33"/>
      <c r="H3742" s="33"/>
      <c r="I3742" s="34" t="str">
        <f aca="false">IF($A3742="","",$G3742-$H3742)</f>
        <v/>
      </c>
      <c r="J3742" s="35" t="str">
        <f aca="false">IF($A3742="","",IF(Setup!$B$6=1,YEAR($A3742),YEAR($A3742)+IF(MONTH($A3742)&gt;=Setup!$B$6,1,0)))</f>
        <v/>
      </c>
      <c r="K3742" s="35" t="str">
        <f aca="false">IF($A3742="","",MOD(MONTH($A3742)-Setup!$B$6+12,12)+1)</f>
        <v/>
      </c>
      <c r="L3742" s="36" t="str">
        <f aca="false">IF($A3742="","",TEXT($A3742,"MMM-YY"))</f>
        <v/>
      </c>
      <c r="M3742" s="37" t="str">
        <f aca="false">IF($A3742="","",IF($Q3742=0,"UNMAPPED",INDEX(COA_Mapping!$C$7:$C$256,$Q3742)))</f>
        <v/>
      </c>
      <c r="N3742" s="38" t="str">
        <f aca="false">IF($A3742="","",IF($Q3742=0,"",INDEX(COA_Mapping!$E$7:$E$256,$Q3742)))</f>
        <v/>
      </c>
      <c r="O3742" s="38" t="n">
        <f aca="false">IF($A3742="",1,IF($Q3742=0,1,INDEX(COA_Mapping!$F$7:$F$256,$Q3742)))</f>
        <v>1</v>
      </c>
      <c r="P3742" s="34" t="str">
        <f aca="false">IF($A3742="","",$I3742*$O3742)</f>
        <v/>
      </c>
      <c r="Q3742" s="39" t="n">
        <f aca="false">IF($B3742="",0,IFERROR(MATCH($B3742,COA_Mapping!$A$7:$A$256,0),0))</f>
        <v>0</v>
      </c>
      <c r="R3742" s="39" t="n">
        <f aca="false">IF($A3742="",-1,IF($J3742=Setup!$B$7,1,IF($J3742=Setup!$B$9,0,-1)))</f>
        <v>-1</v>
      </c>
      <c r="S3742" s="35" t="n">
        <f aca="false">IF(OR($A3742="",$Q3742=0,$R3742=-1),0,$Q3742*1000+$R3742*100+$K3742)</f>
        <v>0</v>
      </c>
      <c r="T3742" s="37" t="str">
        <f aca="false">IF($A3742="","",IF($B3742="","NO ACCOUNT",IF($Q3742=0,"UNMAPPED",IF($R3742=-1,"OUTSIDE FY RANGE","OK"))))</f>
        <v/>
      </c>
      <c r="U3742" s="40" t="str">
        <f aca="false">IF($A3742="","",$B3742&amp;"|"&amp;TEXT($A3742,"yyyymmdd")&amp;"|"&amp;TEXT($I3742,"0.00"))</f>
        <v/>
      </c>
      <c r="V3742" s="35" t="str">
        <f aca="false">IF($A3742="","",COUNTIF($U$8:$U$5007,$U3742))</f>
        <v/>
      </c>
    </row>
    <row r="3743" customFormat="false" ht="15" hidden="false" customHeight="false" outlineLevel="0" collapsed="false">
      <c r="A3743" s="31"/>
      <c r="B3743" s="32"/>
      <c r="C3743" s="32"/>
      <c r="D3743" s="32"/>
      <c r="E3743" s="32"/>
      <c r="F3743" s="32"/>
      <c r="G3743" s="33"/>
      <c r="H3743" s="33"/>
      <c r="I3743" s="34" t="str">
        <f aca="false">IF($A3743="","",$G3743-$H3743)</f>
        <v/>
      </c>
      <c r="J3743" s="35" t="str">
        <f aca="false">IF($A3743="","",IF(Setup!$B$6=1,YEAR($A3743),YEAR($A3743)+IF(MONTH($A3743)&gt;=Setup!$B$6,1,0)))</f>
        <v/>
      </c>
      <c r="K3743" s="35" t="str">
        <f aca="false">IF($A3743="","",MOD(MONTH($A3743)-Setup!$B$6+12,12)+1)</f>
        <v/>
      </c>
      <c r="L3743" s="36" t="str">
        <f aca="false">IF($A3743="","",TEXT($A3743,"MMM-YY"))</f>
        <v/>
      </c>
      <c r="M3743" s="37" t="str">
        <f aca="false">IF($A3743="","",IF($Q3743=0,"UNMAPPED",INDEX(COA_Mapping!$C$7:$C$256,$Q3743)))</f>
        <v/>
      </c>
      <c r="N3743" s="38" t="str">
        <f aca="false">IF($A3743="","",IF($Q3743=0,"",INDEX(COA_Mapping!$E$7:$E$256,$Q3743)))</f>
        <v/>
      </c>
      <c r="O3743" s="38" t="n">
        <f aca="false">IF($A3743="",1,IF($Q3743=0,1,INDEX(COA_Mapping!$F$7:$F$256,$Q3743)))</f>
        <v>1</v>
      </c>
      <c r="P3743" s="34" t="str">
        <f aca="false">IF($A3743="","",$I3743*$O3743)</f>
        <v/>
      </c>
      <c r="Q3743" s="39" t="n">
        <f aca="false">IF($B3743="",0,IFERROR(MATCH($B3743,COA_Mapping!$A$7:$A$256,0),0))</f>
        <v>0</v>
      </c>
      <c r="R3743" s="39" t="n">
        <f aca="false">IF($A3743="",-1,IF($J3743=Setup!$B$7,1,IF($J3743=Setup!$B$9,0,-1)))</f>
        <v>-1</v>
      </c>
      <c r="S3743" s="35" t="n">
        <f aca="false">IF(OR($A3743="",$Q3743=0,$R3743=-1),0,$Q3743*1000+$R3743*100+$K3743)</f>
        <v>0</v>
      </c>
      <c r="T3743" s="37" t="str">
        <f aca="false">IF($A3743="","",IF($B3743="","NO ACCOUNT",IF($Q3743=0,"UNMAPPED",IF($R3743=-1,"OUTSIDE FY RANGE","OK"))))</f>
        <v/>
      </c>
      <c r="U3743" s="40" t="str">
        <f aca="false">IF($A3743="","",$B3743&amp;"|"&amp;TEXT($A3743,"yyyymmdd")&amp;"|"&amp;TEXT($I3743,"0.00"))</f>
        <v/>
      </c>
      <c r="V3743" s="35" t="str">
        <f aca="false">IF($A3743="","",COUNTIF($U$8:$U$5007,$U3743))</f>
        <v/>
      </c>
    </row>
    <row r="3744" customFormat="false" ht="15" hidden="false" customHeight="false" outlineLevel="0" collapsed="false">
      <c r="A3744" s="31"/>
      <c r="B3744" s="32"/>
      <c r="C3744" s="32"/>
      <c r="D3744" s="32"/>
      <c r="E3744" s="32"/>
      <c r="F3744" s="32"/>
      <c r="G3744" s="33"/>
      <c r="H3744" s="33"/>
      <c r="I3744" s="34" t="str">
        <f aca="false">IF($A3744="","",$G3744-$H3744)</f>
        <v/>
      </c>
      <c r="J3744" s="35" t="str">
        <f aca="false">IF($A3744="","",IF(Setup!$B$6=1,YEAR($A3744),YEAR($A3744)+IF(MONTH($A3744)&gt;=Setup!$B$6,1,0)))</f>
        <v/>
      </c>
      <c r="K3744" s="35" t="str">
        <f aca="false">IF($A3744="","",MOD(MONTH($A3744)-Setup!$B$6+12,12)+1)</f>
        <v/>
      </c>
      <c r="L3744" s="36" t="str">
        <f aca="false">IF($A3744="","",TEXT($A3744,"MMM-YY"))</f>
        <v/>
      </c>
      <c r="M3744" s="37" t="str">
        <f aca="false">IF($A3744="","",IF($Q3744=0,"UNMAPPED",INDEX(COA_Mapping!$C$7:$C$256,$Q3744)))</f>
        <v/>
      </c>
      <c r="N3744" s="38" t="str">
        <f aca="false">IF($A3744="","",IF($Q3744=0,"",INDEX(COA_Mapping!$E$7:$E$256,$Q3744)))</f>
        <v/>
      </c>
      <c r="O3744" s="38" t="n">
        <f aca="false">IF($A3744="",1,IF($Q3744=0,1,INDEX(COA_Mapping!$F$7:$F$256,$Q3744)))</f>
        <v>1</v>
      </c>
      <c r="P3744" s="34" t="str">
        <f aca="false">IF($A3744="","",$I3744*$O3744)</f>
        <v/>
      </c>
      <c r="Q3744" s="39" t="n">
        <f aca="false">IF($B3744="",0,IFERROR(MATCH($B3744,COA_Mapping!$A$7:$A$256,0),0))</f>
        <v>0</v>
      </c>
      <c r="R3744" s="39" t="n">
        <f aca="false">IF($A3744="",-1,IF($J3744=Setup!$B$7,1,IF($J3744=Setup!$B$9,0,-1)))</f>
        <v>-1</v>
      </c>
      <c r="S3744" s="35" t="n">
        <f aca="false">IF(OR($A3744="",$Q3744=0,$R3744=-1),0,$Q3744*1000+$R3744*100+$K3744)</f>
        <v>0</v>
      </c>
      <c r="T3744" s="37" t="str">
        <f aca="false">IF($A3744="","",IF($B3744="","NO ACCOUNT",IF($Q3744=0,"UNMAPPED",IF($R3744=-1,"OUTSIDE FY RANGE","OK"))))</f>
        <v/>
      </c>
      <c r="U3744" s="40" t="str">
        <f aca="false">IF($A3744="","",$B3744&amp;"|"&amp;TEXT($A3744,"yyyymmdd")&amp;"|"&amp;TEXT($I3744,"0.00"))</f>
        <v/>
      </c>
      <c r="V3744" s="35" t="str">
        <f aca="false">IF($A3744="","",COUNTIF($U$8:$U$5007,$U3744))</f>
        <v/>
      </c>
    </row>
    <row r="3745" customFormat="false" ht="15" hidden="false" customHeight="false" outlineLevel="0" collapsed="false">
      <c r="A3745" s="31"/>
      <c r="B3745" s="32"/>
      <c r="C3745" s="32"/>
      <c r="D3745" s="32"/>
      <c r="E3745" s="32"/>
      <c r="F3745" s="32"/>
      <c r="G3745" s="33"/>
      <c r="H3745" s="33"/>
      <c r="I3745" s="34" t="str">
        <f aca="false">IF($A3745="","",$G3745-$H3745)</f>
        <v/>
      </c>
      <c r="J3745" s="35" t="str">
        <f aca="false">IF($A3745="","",IF(Setup!$B$6=1,YEAR($A3745),YEAR($A3745)+IF(MONTH($A3745)&gt;=Setup!$B$6,1,0)))</f>
        <v/>
      </c>
      <c r="K3745" s="35" t="str">
        <f aca="false">IF($A3745="","",MOD(MONTH($A3745)-Setup!$B$6+12,12)+1)</f>
        <v/>
      </c>
      <c r="L3745" s="36" t="str">
        <f aca="false">IF($A3745="","",TEXT($A3745,"MMM-YY"))</f>
        <v/>
      </c>
      <c r="M3745" s="37" t="str">
        <f aca="false">IF($A3745="","",IF($Q3745=0,"UNMAPPED",INDEX(COA_Mapping!$C$7:$C$256,$Q3745)))</f>
        <v/>
      </c>
      <c r="N3745" s="38" t="str">
        <f aca="false">IF($A3745="","",IF($Q3745=0,"",INDEX(COA_Mapping!$E$7:$E$256,$Q3745)))</f>
        <v/>
      </c>
      <c r="O3745" s="38" t="n">
        <f aca="false">IF($A3745="",1,IF($Q3745=0,1,INDEX(COA_Mapping!$F$7:$F$256,$Q3745)))</f>
        <v>1</v>
      </c>
      <c r="P3745" s="34" t="str">
        <f aca="false">IF($A3745="","",$I3745*$O3745)</f>
        <v/>
      </c>
      <c r="Q3745" s="39" t="n">
        <f aca="false">IF($B3745="",0,IFERROR(MATCH($B3745,COA_Mapping!$A$7:$A$256,0),0))</f>
        <v>0</v>
      </c>
      <c r="R3745" s="39" t="n">
        <f aca="false">IF($A3745="",-1,IF($J3745=Setup!$B$7,1,IF($J3745=Setup!$B$9,0,-1)))</f>
        <v>-1</v>
      </c>
      <c r="S3745" s="35" t="n">
        <f aca="false">IF(OR($A3745="",$Q3745=0,$R3745=-1),0,$Q3745*1000+$R3745*100+$K3745)</f>
        <v>0</v>
      </c>
      <c r="T3745" s="37" t="str">
        <f aca="false">IF($A3745="","",IF($B3745="","NO ACCOUNT",IF($Q3745=0,"UNMAPPED",IF($R3745=-1,"OUTSIDE FY RANGE","OK"))))</f>
        <v/>
      </c>
      <c r="U3745" s="40" t="str">
        <f aca="false">IF($A3745="","",$B3745&amp;"|"&amp;TEXT($A3745,"yyyymmdd")&amp;"|"&amp;TEXT($I3745,"0.00"))</f>
        <v/>
      </c>
      <c r="V3745" s="35" t="str">
        <f aca="false">IF($A3745="","",COUNTIF($U$8:$U$5007,$U3745))</f>
        <v/>
      </c>
    </row>
    <row r="3746" customFormat="false" ht="15" hidden="false" customHeight="false" outlineLevel="0" collapsed="false">
      <c r="A3746" s="31"/>
      <c r="B3746" s="32"/>
      <c r="C3746" s="32"/>
      <c r="D3746" s="32"/>
      <c r="E3746" s="32"/>
      <c r="F3746" s="32"/>
      <c r="G3746" s="33"/>
      <c r="H3746" s="33"/>
      <c r="I3746" s="34" t="str">
        <f aca="false">IF($A3746="","",$G3746-$H3746)</f>
        <v/>
      </c>
      <c r="J3746" s="35" t="str">
        <f aca="false">IF($A3746="","",IF(Setup!$B$6=1,YEAR($A3746),YEAR($A3746)+IF(MONTH($A3746)&gt;=Setup!$B$6,1,0)))</f>
        <v/>
      </c>
      <c r="K3746" s="35" t="str">
        <f aca="false">IF($A3746="","",MOD(MONTH($A3746)-Setup!$B$6+12,12)+1)</f>
        <v/>
      </c>
      <c r="L3746" s="36" t="str">
        <f aca="false">IF($A3746="","",TEXT($A3746,"MMM-YY"))</f>
        <v/>
      </c>
      <c r="M3746" s="37" t="str">
        <f aca="false">IF($A3746="","",IF($Q3746=0,"UNMAPPED",INDEX(COA_Mapping!$C$7:$C$256,$Q3746)))</f>
        <v/>
      </c>
      <c r="N3746" s="38" t="str">
        <f aca="false">IF($A3746="","",IF($Q3746=0,"",INDEX(COA_Mapping!$E$7:$E$256,$Q3746)))</f>
        <v/>
      </c>
      <c r="O3746" s="38" t="n">
        <f aca="false">IF($A3746="",1,IF($Q3746=0,1,INDEX(COA_Mapping!$F$7:$F$256,$Q3746)))</f>
        <v>1</v>
      </c>
      <c r="P3746" s="34" t="str">
        <f aca="false">IF($A3746="","",$I3746*$O3746)</f>
        <v/>
      </c>
      <c r="Q3746" s="39" t="n">
        <f aca="false">IF($B3746="",0,IFERROR(MATCH($B3746,COA_Mapping!$A$7:$A$256,0),0))</f>
        <v>0</v>
      </c>
      <c r="R3746" s="39" t="n">
        <f aca="false">IF($A3746="",-1,IF($J3746=Setup!$B$7,1,IF($J3746=Setup!$B$9,0,-1)))</f>
        <v>-1</v>
      </c>
      <c r="S3746" s="35" t="n">
        <f aca="false">IF(OR($A3746="",$Q3746=0,$R3746=-1),0,$Q3746*1000+$R3746*100+$K3746)</f>
        <v>0</v>
      </c>
      <c r="T3746" s="37" t="str">
        <f aca="false">IF($A3746="","",IF($B3746="","NO ACCOUNT",IF($Q3746=0,"UNMAPPED",IF($R3746=-1,"OUTSIDE FY RANGE","OK"))))</f>
        <v/>
      </c>
      <c r="U3746" s="40" t="str">
        <f aca="false">IF($A3746="","",$B3746&amp;"|"&amp;TEXT($A3746,"yyyymmdd")&amp;"|"&amp;TEXT($I3746,"0.00"))</f>
        <v/>
      </c>
      <c r="V3746" s="35" t="str">
        <f aca="false">IF($A3746="","",COUNTIF($U$8:$U$5007,$U3746))</f>
        <v/>
      </c>
    </row>
    <row r="3747" customFormat="false" ht="15" hidden="false" customHeight="false" outlineLevel="0" collapsed="false">
      <c r="A3747" s="31"/>
      <c r="B3747" s="32"/>
      <c r="C3747" s="32"/>
      <c r="D3747" s="32"/>
      <c r="E3747" s="32"/>
      <c r="F3747" s="32"/>
      <c r="G3747" s="33"/>
      <c r="H3747" s="33"/>
      <c r="I3747" s="34" t="str">
        <f aca="false">IF($A3747="","",$G3747-$H3747)</f>
        <v/>
      </c>
      <c r="J3747" s="35" t="str">
        <f aca="false">IF($A3747="","",IF(Setup!$B$6=1,YEAR($A3747),YEAR($A3747)+IF(MONTH($A3747)&gt;=Setup!$B$6,1,0)))</f>
        <v/>
      </c>
      <c r="K3747" s="35" t="str">
        <f aca="false">IF($A3747="","",MOD(MONTH($A3747)-Setup!$B$6+12,12)+1)</f>
        <v/>
      </c>
      <c r="L3747" s="36" t="str">
        <f aca="false">IF($A3747="","",TEXT($A3747,"MMM-YY"))</f>
        <v/>
      </c>
      <c r="M3747" s="37" t="str">
        <f aca="false">IF($A3747="","",IF($Q3747=0,"UNMAPPED",INDEX(COA_Mapping!$C$7:$C$256,$Q3747)))</f>
        <v/>
      </c>
      <c r="N3747" s="38" t="str">
        <f aca="false">IF($A3747="","",IF($Q3747=0,"",INDEX(COA_Mapping!$E$7:$E$256,$Q3747)))</f>
        <v/>
      </c>
      <c r="O3747" s="38" t="n">
        <f aca="false">IF($A3747="",1,IF($Q3747=0,1,INDEX(COA_Mapping!$F$7:$F$256,$Q3747)))</f>
        <v>1</v>
      </c>
      <c r="P3747" s="34" t="str">
        <f aca="false">IF($A3747="","",$I3747*$O3747)</f>
        <v/>
      </c>
      <c r="Q3747" s="39" t="n">
        <f aca="false">IF($B3747="",0,IFERROR(MATCH($B3747,COA_Mapping!$A$7:$A$256,0),0))</f>
        <v>0</v>
      </c>
      <c r="R3747" s="39" t="n">
        <f aca="false">IF($A3747="",-1,IF($J3747=Setup!$B$7,1,IF($J3747=Setup!$B$9,0,-1)))</f>
        <v>-1</v>
      </c>
      <c r="S3747" s="35" t="n">
        <f aca="false">IF(OR($A3747="",$Q3747=0,$R3747=-1),0,$Q3747*1000+$R3747*100+$K3747)</f>
        <v>0</v>
      </c>
      <c r="T3747" s="37" t="str">
        <f aca="false">IF($A3747="","",IF($B3747="","NO ACCOUNT",IF($Q3747=0,"UNMAPPED",IF($R3747=-1,"OUTSIDE FY RANGE","OK"))))</f>
        <v/>
      </c>
      <c r="U3747" s="40" t="str">
        <f aca="false">IF($A3747="","",$B3747&amp;"|"&amp;TEXT($A3747,"yyyymmdd")&amp;"|"&amp;TEXT($I3747,"0.00"))</f>
        <v/>
      </c>
      <c r="V3747" s="35" t="str">
        <f aca="false">IF($A3747="","",COUNTIF($U$8:$U$5007,$U3747))</f>
        <v/>
      </c>
    </row>
    <row r="3748" customFormat="false" ht="15" hidden="false" customHeight="false" outlineLevel="0" collapsed="false">
      <c r="A3748" s="31"/>
      <c r="B3748" s="32"/>
      <c r="C3748" s="32"/>
      <c r="D3748" s="32"/>
      <c r="E3748" s="32"/>
      <c r="F3748" s="32"/>
      <c r="G3748" s="33"/>
      <c r="H3748" s="33"/>
      <c r="I3748" s="34" t="str">
        <f aca="false">IF($A3748="","",$G3748-$H3748)</f>
        <v/>
      </c>
      <c r="J3748" s="35" t="str">
        <f aca="false">IF($A3748="","",IF(Setup!$B$6=1,YEAR($A3748),YEAR($A3748)+IF(MONTH($A3748)&gt;=Setup!$B$6,1,0)))</f>
        <v/>
      </c>
      <c r="K3748" s="35" t="str">
        <f aca="false">IF($A3748="","",MOD(MONTH($A3748)-Setup!$B$6+12,12)+1)</f>
        <v/>
      </c>
      <c r="L3748" s="36" t="str">
        <f aca="false">IF($A3748="","",TEXT($A3748,"MMM-YY"))</f>
        <v/>
      </c>
      <c r="M3748" s="37" t="str">
        <f aca="false">IF($A3748="","",IF($Q3748=0,"UNMAPPED",INDEX(COA_Mapping!$C$7:$C$256,$Q3748)))</f>
        <v/>
      </c>
      <c r="N3748" s="38" t="str">
        <f aca="false">IF($A3748="","",IF($Q3748=0,"",INDEX(COA_Mapping!$E$7:$E$256,$Q3748)))</f>
        <v/>
      </c>
      <c r="O3748" s="38" t="n">
        <f aca="false">IF($A3748="",1,IF($Q3748=0,1,INDEX(COA_Mapping!$F$7:$F$256,$Q3748)))</f>
        <v>1</v>
      </c>
      <c r="P3748" s="34" t="str">
        <f aca="false">IF($A3748="","",$I3748*$O3748)</f>
        <v/>
      </c>
      <c r="Q3748" s="39" t="n">
        <f aca="false">IF($B3748="",0,IFERROR(MATCH($B3748,COA_Mapping!$A$7:$A$256,0),0))</f>
        <v>0</v>
      </c>
      <c r="R3748" s="39" t="n">
        <f aca="false">IF($A3748="",-1,IF($J3748=Setup!$B$7,1,IF($J3748=Setup!$B$9,0,-1)))</f>
        <v>-1</v>
      </c>
      <c r="S3748" s="35" t="n">
        <f aca="false">IF(OR($A3748="",$Q3748=0,$R3748=-1),0,$Q3748*1000+$R3748*100+$K3748)</f>
        <v>0</v>
      </c>
      <c r="T3748" s="37" t="str">
        <f aca="false">IF($A3748="","",IF($B3748="","NO ACCOUNT",IF($Q3748=0,"UNMAPPED",IF($R3748=-1,"OUTSIDE FY RANGE","OK"))))</f>
        <v/>
      </c>
      <c r="U3748" s="40" t="str">
        <f aca="false">IF($A3748="","",$B3748&amp;"|"&amp;TEXT($A3748,"yyyymmdd")&amp;"|"&amp;TEXT($I3748,"0.00"))</f>
        <v/>
      </c>
      <c r="V3748" s="35" t="str">
        <f aca="false">IF($A3748="","",COUNTIF($U$8:$U$5007,$U3748))</f>
        <v/>
      </c>
    </row>
    <row r="3749" customFormat="false" ht="15" hidden="false" customHeight="false" outlineLevel="0" collapsed="false">
      <c r="A3749" s="31"/>
      <c r="B3749" s="32"/>
      <c r="C3749" s="32"/>
      <c r="D3749" s="32"/>
      <c r="E3749" s="32"/>
      <c r="F3749" s="32"/>
      <c r="G3749" s="33"/>
      <c r="H3749" s="33"/>
      <c r="I3749" s="34" t="str">
        <f aca="false">IF($A3749="","",$G3749-$H3749)</f>
        <v/>
      </c>
      <c r="J3749" s="35" t="str">
        <f aca="false">IF($A3749="","",IF(Setup!$B$6=1,YEAR($A3749),YEAR($A3749)+IF(MONTH($A3749)&gt;=Setup!$B$6,1,0)))</f>
        <v/>
      </c>
      <c r="K3749" s="35" t="str">
        <f aca="false">IF($A3749="","",MOD(MONTH($A3749)-Setup!$B$6+12,12)+1)</f>
        <v/>
      </c>
      <c r="L3749" s="36" t="str">
        <f aca="false">IF($A3749="","",TEXT($A3749,"MMM-YY"))</f>
        <v/>
      </c>
      <c r="M3749" s="37" t="str">
        <f aca="false">IF($A3749="","",IF($Q3749=0,"UNMAPPED",INDEX(COA_Mapping!$C$7:$C$256,$Q3749)))</f>
        <v/>
      </c>
      <c r="N3749" s="38" t="str">
        <f aca="false">IF($A3749="","",IF($Q3749=0,"",INDEX(COA_Mapping!$E$7:$E$256,$Q3749)))</f>
        <v/>
      </c>
      <c r="O3749" s="38" t="n">
        <f aca="false">IF($A3749="",1,IF($Q3749=0,1,INDEX(COA_Mapping!$F$7:$F$256,$Q3749)))</f>
        <v>1</v>
      </c>
      <c r="P3749" s="34" t="str">
        <f aca="false">IF($A3749="","",$I3749*$O3749)</f>
        <v/>
      </c>
      <c r="Q3749" s="39" t="n">
        <f aca="false">IF($B3749="",0,IFERROR(MATCH($B3749,COA_Mapping!$A$7:$A$256,0),0))</f>
        <v>0</v>
      </c>
      <c r="R3749" s="39" t="n">
        <f aca="false">IF($A3749="",-1,IF($J3749=Setup!$B$7,1,IF($J3749=Setup!$B$9,0,-1)))</f>
        <v>-1</v>
      </c>
      <c r="S3749" s="35" t="n">
        <f aca="false">IF(OR($A3749="",$Q3749=0,$R3749=-1),0,$Q3749*1000+$R3749*100+$K3749)</f>
        <v>0</v>
      </c>
      <c r="T3749" s="37" t="str">
        <f aca="false">IF($A3749="","",IF($B3749="","NO ACCOUNT",IF($Q3749=0,"UNMAPPED",IF($R3749=-1,"OUTSIDE FY RANGE","OK"))))</f>
        <v/>
      </c>
      <c r="U3749" s="40" t="str">
        <f aca="false">IF($A3749="","",$B3749&amp;"|"&amp;TEXT($A3749,"yyyymmdd")&amp;"|"&amp;TEXT($I3749,"0.00"))</f>
        <v/>
      </c>
      <c r="V3749" s="35" t="str">
        <f aca="false">IF($A3749="","",COUNTIF($U$8:$U$5007,$U3749))</f>
        <v/>
      </c>
    </row>
    <row r="3750" customFormat="false" ht="15" hidden="false" customHeight="false" outlineLevel="0" collapsed="false">
      <c r="A3750" s="31"/>
      <c r="B3750" s="32"/>
      <c r="C3750" s="32"/>
      <c r="D3750" s="32"/>
      <c r="E3750" s="32"/>
      <c r="F3750" s="32"/>
      <c r="G3750" s="33"/>
      <c r="H3750" s="33"/>
      <c r="I3750" s="34" t="str">
        <f aca="false">IF($A3750="","",$G3750-$H3750)</f>
        <v/>
      </c>
      <c r="J3750" s="35" t="str">
        <f aca="false">IF($A3750="","",IF(Setup!$B$6=1,YEAR($A3750),YEAR($A3750)+IF(MONTH($A3750)&gt;=Setup!$B$6,1,0)))</f>
        <v/>
      </c>
      <c r="K3750" s="35" t="str">
        <f aca="false">IF($A3750="","",MOD(MONTH($A3750)-Setup!$B$6+12,12)+1)</f>
        <v/>
      </c>
      <c r="L3750" s="36" t="str">
        <f aca="false">IF($A3750="","",TEXT($A3750,"MMM-YY"))</f>
        <v/>
      </c>
      <c r="M3750" s="37" t="str">
        <f aca="false">IF($A3750="","",IF($Q3750=0,"UNMAPPED",INDEX(COA_Mapping!$C$7:$C$256,$Q3750)))</f>
        <v/>
      </c>
      <c r="N3750" s="38" t="str">
        <f aca="false">IF($A3750="","",IF($Q3750=0,"",INDEX(COA_Mapping!$E$7:$E$256,$Q3750)))</f>
        <v/>
      </c>
      <c r="O3750" s="38" t="n">
        <f aca="false">IF($A3750="",1,IF($Q3750=0,1,INDEX(COA_Mapping!$F$7:$F$256,$Q3750)))</f>
        <v>1</v>
      </c>
      <c r="P3750" s="34" t="str">
        <f aca="false">IF($A3750="","",$I3750*$O3750)</f>
        <v/>
      </c>
      <c r="Q3750" s="39" t="n">
        <f aca="false">IF($B3750="",0,IFERROR(MATCH($B3750,COA_Mapping!$A$7:$A$256,0),0))</f>
        <v>0</v>
      </c>
      <c r="R3750" s="39" t="n">
        <f aca="false">IF($A3750="",-1,IF($J3750=Setup!$B$7,1,IF($J3750=Setup!$B$9,0,-1)))</f>
        <v>-1</v>
      </c>
      <c r="S3750" s="35" t="n">
        <f aca="false">IF(OR($A3750="",$Q3750=0,$R3750=-1),0,$Q3750*1000+$R3750*100+$K3750)</f>
        <v>0</v>
      </c>
      <c r="T3750" s="37" t="str">
        <f aca="false">IF($A3750="","",IF($B3750="","NO ACCOUNT",IF($Q3750=0,"UNMAPPED",IF($R3750=-1,"OUTSIDE FY RANGE","OK"))))</f>
        <v/>
      </c>
      <c r="U3750" s="40" t="str">
        <f aca="false">IF($A3750="","",$B3750&amp;"|"&amp;TEXT($A3750,"yyyymmdd")&amp;"|"&amp;TEXT($I3750,"0.00"))</f>
        <v/>
      </c>
      <c r="V3750" s="35" t="str">
        <f aca="false">IF($A3750="","",COUNTIF($U$8:$U$5007,$U3750))</f>
        <v/>
      </c>
    </row>
    <row r="3751" customFormat="false" ht="15" hidden="false" customHeight="false" outlineLevel="0" collapsed="false">
      <c r="A3751" s="31"/>
      <c r="B3751" s="32"/>
      <c r="C3751" s="32"/>
      <c r="D3751" s="32"/>
      <c r="E3751" s="32"/>
      <c r="F3751" s="32"/>
      <c r="G3751" s="33"/>
      <c r="H3751" s="33"/>
      <c r="I3751" s="34" t="str">
        <f aca="false">IF($A3751="","",$G3751-$H3751)</f>
        <v/>
      </c>
      <c r="J3751" s="35" t="str">
        <f aca="false">IF($A3751="","",IF(Setup!$B$6=1,YEAR($A3751),YEAR($A3751)+IF(MONTH($A3751)&gt;=Setup!$B$6,1,0)))</f>
        <v/>
      </c>
      <c r="K3751" s="35" t="str">
        <f aca="false">IF($A3751="","",MOD(MONTH($A3751)-Setup!$B$6+12,12)+1)</f>
        <v/>
      </c>
      <c r="L3751" s="36" t="str">
        <f aca="false">IF($A3751="","",TEXT($A3751,"MMM-YY"))</f>
        <v/>
      </c>
      <c r="M3751" s="37" t="str">
        <f aca="false">IF($A3751="","",IF($Q3751=0,"UNMAPPED",INDEX(COA_Mapping!$C$7:$C$256,$Q3751)))</f>
        <v/>
      </c>
      <c r="N3751" s="38" t="str">
        <f aca="false">IF($A3751="","",IF($Q3751=0,"",INDEX(COA_Mapping!$E$7:$E$256,$Q3751)))</f>
        <v/>
      </c>
      <c r="O3751" s="38" t="n">
        <f aca="false">IF($A3751="",1,IF($Q3751=0,1,INDEX(COA_Mapping!$F$7:$F$256,$Q3751)))</f>
        <v>1</v>
      </c>
      <c r="P3751" s="34" t="str">
        <f aca="false">IF($A3751="","",$I3751*$O3751)</f>
        <v/>
      </c>
      <c r="Q3751" s="39" t="n">
        <f aca="false">IF($B3751="",0,IFERROR(MATCH($B3751,COA_Mapping!$A$7:$A$256,0),0))</f>
        <v>0</v>
      </c>
      <c r="R3751" s="39" t="n">
        <f aca="false">IF($A3751="",-1,IF($J3751=Setup!$B$7,1,IF($J3751=Setup!$B$9,0,-1)))</f>
        <v>-1</v>
      </c>
      <c r="S3751" s="35" t="n">
        <f aca="false">IF(OR($A3751="",$Q3751=0,$R3751=-1),0,$Q3751*1000+$R3751*100+$K3751)</f>
        <v>0</v>
      </c>
      <c r="T3751" s="37" t="str">
        <f aca="false">IF($A3751="","",IF($B3751="","NO ACCOUNT",IF($Q3751=0,"UNMAPPED",IF($R3751=-1,"OUTSIDE FY RANGE","OK"))))</f>
        <v/>
      </c>
      <c r="U3751" s="40" t="str">
        <f aca="false">IF($A3751="","",$B3751&amp;"|"&amp;TEXT($A3751,"yyyymmdd")&amp;"|"&amp;TEXT($I3751,"0.00"))</f>
        <v/>
      </c>
      <c r="V3751" s="35" t="str">
        <f aca="false">IF($A3751="","",COUNTIF($U$8:$U$5007,$U3751))</f>
        <v/>
      </c>
    </row>
    <row r="3752" customFormat="false" ht="15" hidden="false" customHeight="false" outlineLevel="0" collapsed="false">
      <c r="A3752" s="31"/>
      <c r="B3752" s="32"/>
      <c r="C3752" s="32"/>
      <c r="D3752" s="32"/>
      <c r="E3752" s="32"/>
      <c r="F3752" s="32"/>
      <c r="G3752" s="33"/>
      <c r="H3752" s="33"/>
      <c r="I3752" s="34" t="str">
        <f aca="false">IF($A3752="","",$G3752-$H3752)</f>
        <v/>
      </c>
      <c r="J3752" s="35" t="str">
        <f aca="false">IF($A3752="","",IF(Setup!$B$6=1,YEAR($A3752),YEAR($A3752)+IF(MONTH($A3752)&gt;=Setup!$B$6,1,0)))</f>
        <v/>
      </c>
      <c r="K3752" s="35" t="str">
        <f aca="false">IF($A3752="","",MOD(MONTH($A3752)-Setup!$B$6+12,12)+1)</f>
        <v/>
      </c>
      <c r="L3752" s="36" t="str">
        <f aca="false">IF($A3752="","",TEXT($A3752,"MMM-YY"))</f>
        <v/>
      </c>
      <c r="M3752" s="37" t="str">
        <f aca="false">IF($A3752="","",IF($Q3752=0,"UNMAPPED",INDEX(COA_Mapping!$C$7:$C$256,$Q3752)))</f>
        <v/>
      </c>
      <c r="N3752" s="38" t="str">
        <f aca="false">IF($A3752="","",IF($Q3752=0,"",INDEX(COA_Mapping!$E$7:$E$256,$Q3752)))</f>
        <v/>
      </c>
      <c r="O3752" s="38" t="n">
        <f aca="false">IF($A3752="",1,IF($Q3752=0,1,INDEX(COA_Mapping!$F$7:$F$256,$Q3752)))</f>
        <v>1</v>
      </c>
      <c r="P3752" s="34" t="str">
        <f aca="false">IF($A3752="","",$I3752*$O3752)</f>
        <v/>
      </c>
      <c r="Q3752" s="39" t="n">
        <f aca="false">IF($B3752="",0,IFERROR(MATCH($B3752,COA_Mapping!$A$7:$A$256,0),0))</f>
        <v>0</v>
      </c>
      <c r="R3752" s="39" t="n">
        <f aca="false">IF($A3752="",-1,IF($J3752=Setup!$B$7,1,IF($J3752=Setup!$B$9,0,-1)))</f>
        <v>-1</v>
      </c>
      <c r="S3752" s="35" t="n">
        <f aca="false">IF(OR($A3752="",$Q3752=0,$R3752=-1),0,$Q3752*1000+$R3752*100+$K3752)</f>
        <v>0</v>
      </c>
      <c r="T3752" s="37" t="str">
        <f aca="false">IF($A3752="","",IF($B3752="","NO ACCOUNT",IF($Q3752=0,"UNMAPPED",IF($R3752=-1,"OUTSIDE FY RANGE","OK"))))</f>
        <v/>
      </c>
      <c r="U3752" s="40" t="str">
        <f aca="false">IF($A3752="","",$B3752&amp;"|"&amp;TEXT($A3752,"yyyymmdd")&amp;"|"&amp;TEXT($I3752,"0.00"))</f>
        <v/>
      </c>
      <c r="V3752" s="35" t="str">
        <f aca="false">IF($A3752="","",COUNTIF($U$8:$U$5007,$U3752))</f>
        <v/>
      </c>
    </row>
    <row r="3753" customFormat="false" ht="15" hidden="false" customHeight="false" outlineLevel="0" collapsed="false">
      <c r="A3753" s="31"/>
      <c r="B3753" s="32"/>
      <c r="C3753" s="32"/>
      <c r="D3753" s="32"/>
      <c r="E3753" s="32"/>
      <c r="F3753" s="32"/>
      <c r="G3753" s="33"/>
      <c r="H3753" s="33"/>
      <c r="I3753" s="34" t="str">
        <f aca="false">IF($A3753="","",$G3753-$H3753)</f>
        <v/>
      </c>
      <c r="J3753" s="35" t="str">
        <f aca="false">IF($A3753="","",IF(Setup!$B$6=1,YEAR($A3753),YEAR($A3753)+IF(MONTH($A3753)&gt;=Setup!$B$6,1,0)))</f>
        <v/>
      </c>
      <c r="K3753" s="35" t="str">
        <f aca="false">IF($A3753="","",MOD(MONTH($A3753)-Setup!$B$6+12,12)+1)</f>
        <v/>
      </c>
      <c r="L3753" s="36" t="str">
        <f aca="false">IF($A3753="","",TEXT($A3753,"MMM-YY"))</f>
        <v/>
      </c>
      <c r="M3753" s="37" t="str">
        <f aca="false">IF($A3753="","",IF($Q3753=0,"UNMAPPED",INDEX(COA_Mapping!$C$7:$C$256,$Q3753)))</f>
        <v/>
      </c>
      <c r="N3753" s="38" t="str">
        <f aca="false">IF($A3753="","",IF($Q3753=0,"",INDEX(COA_Mapping!$E$7:$E$256,$Q3753)))</f>
        <v/>
      </c>
      <c r="O3753" s="38" t="n">
        <f aca="false">IF($A3753="",1,IF($Q3753=0,1,INDEX(COA_Mapping!$F$7:$F$256,$Q3753)))</f>
        <v>1</v>
      </c>
      <c r="P3753" s="34" t="str">
        <f aca="false">IF($A3753="","",$I3753*$O3753)</f>
        <v/>
      </c>
      <c r="Q3753" s="39" t="n">
        <f aca="false">IF($B3753="",0,IFERROR(MATCH($B3753,COA_Mapping!$A$7:$A$256,0),0))</f>
        <v>0</v>
      </c>
      <c r="R3753" s="39" t="n">
        <f aca="false">IF($A3753="",-1,IF($J3753=Setup!$B$7,1,IF($J3753=Setup!$B$9,0,-1)))</f>
        <v>-1</v>
      </c>
      <c r="S3753" s="35" t="n">
        <f aca="false">IF(OR($A3753="",$Q3753=0,$R3753=-1),0,$Q3753*1000+$R3753*100+$K3753)</f>
        <v>0</v>
      </c>
      <c r="T3753" s="37" t="str">
        <f aca="false">IF($A3753="","",IF($B3753="","NO ACCOUNT",IF($Q3753=0,"UNMAPPED",IF($R3753=-1,"OUTSIDE FY RANGE","OK"))))</f>
        <v/>
      </c>
      <c r="U3753" s="40" t="str">
        <f aca="false">IF($A3753="","",$B3753&amp;"|"&amp;TEXT($A3753,"yyyymmdd")&amp;"|"&amp;TEXT($I3753,"0.00"))</f>
        <v/>
      </c>
      <c r="V3753" s="35" t="str">
        <f aca="false">IF($A3753="","",COUNTIF($U$8:$U$5007,$U3753))</f>
        <v/>
      </c>
    </row>
    <row r="3754" customFormat="false" ht="15" hidden="false" customHeight="false" outlineLevel="0" collapsed="false">
      <c r="A3754" s="31"/>
      <c r="B3754" s="32"/>
      <c r="C3754" s="32"/>
      <c r="D3754" s="32"/>
      <c r="E3754" s="32"/>
      <c r="F3754" s="32"/>
      <c r="G3754" s="33"/>
      <c r="H3754" s="33"/>
      <c r="I3754" s="34" t="str">
        <f aca="false">IF($A3754="","",$G3754-$H3754)</f>
        <v/>
      </c>
      <c r="J3754" s="35" t="str">
        <f aca="false">IF($A3754="","",IF(Setup!$B$6=1,YEAR($A3754),YEAR($A3754)+IF(MONTH($A3754)&gt;=Setup!$B$6,1,0)))</f>
        <v/>
      </c>
      <c r="K3754" s="35" t="str">
        <f aca="false">IF($A3754="","",MOD(MONTH($A3754)-Setup!$B$6+12,12)+1)</f>
        <v/>
      </c>
      <c r="L3754" s="36" t="str">
        <f aca="false">IF($A3754="","",TEXT($A3754,"MMM-YY"))</f>
        <v/>
      </c>
      <c r="M3754" s="37" t="str">
        <f aca="false">IF($A3754="","",IF($Q3754=0,"UNMAPPED",INDEX(COA_Mapping!$C$7:$C$256,$Q3754)))</f>
        <v/>
      </c>
      <c r="N3754" s="38" t="str">
        <f aca="false">IF($A3754="","",IF($Q3754=0,"",INDEX(COA_Mapping!$E$7:$E$256,$Q3754)))</f>
        <v/>
      </c>
      <c r="O3754" s="38" t="n">
        <f aca="false">IF($A3754="",1,IF($Q3754=0,1,INDEX(COA_Mapping!$F$7:$F$256,$Q3754)))</f>
        <v>1</v>
      </c>
      <c r="P3754" s="34" t="str">
        <f aca="false">IF($A3754="","",$I3754*$O3754)</f>
        <v/>
      </c>
      <c r="Q3754" s="39" t="n">
        <f aca="false">IF($B3754="",0,IFERROR(MATCH($B3754,COA_Mapping!$A$7:$A$256,0),0))</f>
        <v>0</v>
      </c>
      <c r="R3754" s="39" t="n">
        <f aca="false">IF($A3754="",-1,IF($J3754=Setup!$B$7,1,IF($J3754=Setup!$B$9,0,-1)))</f>
        <v>-1</v>
      </c>
      <c r="S3754" s="35" t="n">
        <f aca="false">IF(OR($A3754="",$Q3754=0,$R3754=-1),0,$Q3754*1000+$R3754*100+$K3754)</f>
        <v>0</v>
      </c>
      <c r="T3754" s="37" t="str">
        <f aca="false">IF($A3754="","",IF($B3754="","NO ACCOUNT",IF($Q3754=0,"UNMAPPED",IF($R3754=-1,"OUTSIDE FY RANGE","OK"))))</f>
        <v/>
      </c>
      <c r="U3754" s="40" t="str">
        <f aca="false">IF($A3754="","",$B3754&amp;"|"&amp;TEXT($A3754,"yyyymmdd")&amp;"|"&amp;TEXT($I3754,"0.00"))</f>
        <v/>
      </c>
      <c r="V3754" s="35" t="str">
        <f aca="false">IF($A3754="","",COUNTIF($U$8:$U$5007,$U3754))</f>
        <v/>
      </c>
    </row>
    <row r="3755" customFormat="false" ht="15" hidden="false" customHeight="false" outlineLevel="0" collapsed="false">
      <c r="A3755" s="31"/>
      <c r="B3755" s="32"/>
      <c r="C3755" s="32"/>
      <c r="D3755" s="32"/>
      <c r="E3755" s="32"/>
      <c r="F3755" s="32"/>
      <c r="G3755" s="33"/>
      <c r="H3755" s="33"/>
      <c r="I3755" s="34" t="str">
        <f aca="false">IF($A3755="","",$G3755-$H3755)</f>
        <v/>
      </c>
      <c r="J3755" s="35" t="str">
        <f aca="false">IF($A3755="","",IF(Setup!$B$6=1,YEAR($A3755),YEAR($A3755)+IF(MONTH($A3755)&gt;=Setup!$B$6,1,0)))</f>
        <v/>
      </c>
      <c r="K3755" s="35" t="str">
        <f aca="false">IF($A3755="","",MOD(MONTH($A3755)-Setup!$B$6+12,12)+1)</f>
        <v/>
      </c>
      <c r="L3755" s="36" t="str">
        <f aca="false">IF($A3755="","",TEXT($A3755,"MMM-YY"))</f>
        <v/>
      </c>
      <c r="M3755" s="37" t="str">
        <f aca="false">IF($A3755="","",IF($Q3755=0,"UNMAPPED",INDEX(COA_Mapping!$C$7:$C$256,$Q3755)))</f>
        <v/>
      </c>
      <c r="N3755" s="38" t="str">
        <f aca="false">IF($A3755="","",IF($Q3755=0,"",INDEX(COA_Mapping!$E$7:$E$256,$Q3755)))</f>
        <v/>
      </c>
      <c r="O3755" s="38" t="n">
        <f aca="false">IF($A3755="",1,IF($Q3755=0,1,INDEX(COA_Mapping!$F$7:$F$256,$Q3755)))</f>
        <v>1</v>
      </c>
      <c r="P3755" s="34" t="str">
        <f aca="false">IF($A3755="","",$I3755*$O3755)</f>
        <v/>
      </c>
      <c r="Q3755" s="39" t="n">
        <f aca="false">IF($B3755="",0,IFERROR(MATCH($B3755,COA_Mapping!$A$7:$A$256,0),0))</f>
        <v>0</v>
      </c>
      <c r="R3755" s="39" t="n">
        <f aca="false">IF($A3755="",-1,IF($J3755=Setup!$B$7,1,IF($J3755=Setup!$B$9,0,-1)))</f>
        <v>-1</v>
      </c>
      <c r="S3755" s="35" t="n">
        <f aca="false">IF(OR($A3755="",$Q3755=0,$R3755=-1),0,$Q3755*1000+$R3755*100+$K3755)</f>
        <v>0</v>
      </c>
      <c r="T3755" s="37" t="str">
        <f aca="false">IF($A3755="","",IF($B3755="","NO ACCOUNT",IF($Q3755=0,"UNMAPPED",IF($R3755=-1,"OUTSIDE FY RANGE","OK"))))</f>
        <v/>
      </c>
      <c r="U3755" s="40" t="str">
        <f aca="false">IF($A3755="","",$B3755&amp;"|"&amp;TEXT($A3755,"yyyymmdd")&amp;"|"&amp;TEXT($I3755,"0.00"))</f>
        <v/>
      </c>
      <c r="V3755" s="35" t="str">
        <f aca="false">IF($A3755="","",COUNTIF($U$8:$U$5007,$U3755))</f>
        <v/>
      </c>
    </row>
    <row r="3756" customFormat="false" ht="15" hidden="false" customHeight="false" outlineLevel="0" collapsed="false">
      <c r="A3756" s="31"/>
      <c r="B3756" s="32"/>
      <c r="C3756" s="32"/>
      <c r="D3756" s="32"/>
      <c r="E3756" s="32"/>
      <c r="F3756" s="32"/>
      <c r="G3756" s="33"/>
      <c r="H3756" s="33"/>
      <c r="I3756" s="34" t="str">
        <f aca="false">IF($A3756="","",$G3756-$H3756)</f>
        <v/>
      </c>
      <c r="J3756" s="35" t="str">
        <f aca="false">IF($A3756="","",IF(Setup!$B$6=1,YEAR($A3756),YEAR($A3756)+IF(MONTH($A3756)&gt;=Setup!$B$6,1,0)))</f>
        <v/>
      </c>
      <c r="K3756" s="35" t="str">
        <f aca="false">IF($A3756="","",MOD(MONTH($A3756)-Setup!$B$6+12,12)+1)</f>
        <v/>
      </c>
      <c r="L3756" s="36" t="str">
        <f aca="false">IF($A3756="","",TEXT($A3756,"MMM-YY"))</f>
        <v/>
      </c>
      <c r="M3756" s="37" t="str">
        <f aca="false">IF($A3756="","",IF($Q3756=0,"UNMAPPED",INDEX(COA_Mapping!$C$7:$C$256,$Q3756)))</f>
        <v/>
      </c>
      <c r="N3756" s="38" t="str">
        <f aca="false">IF($A3756="","",IF($Q3756=0,"",INDEX(COA_Mapping!$E$7:$E$256,$Q3756)))</f>
        <v/>
      </c>
      <c r="O3756" s="38" t="n">
        <f aca="false">IF($A3756="",1,IF($Q3756=0,1,INDEX(COA_Mapping!$F$7:$F$256,$Q3756)))</f>
        <v>1</v>
      </c>
      <c r="P3756" s="34" t="str">
        <f aca="false">IF($A3756="","",$I3756*$O3756)</f>
        <v/>
      </c>
      <c r="Q3756" s="39" t="n">
        <f aca="false">IF($B3756="",0,IFERROR(MATCH($B3756,COA_Mapping!$A$7:$A$256,0),0))</f>
        <v>0</v>
      </c>
      <c r="R3756" s="39" t="n">
        <f aca="false">IF($A3756="",-1,IF($J3756=Setup!$B$7,1,IF($J3756=Setup!$B$9,0,-1)))</f>
        <v>-1</v>
      </c>
      <c r="S3756" s="35" t="n">
        <f aca="false">IF(OR($A3756="",$Q3756=0,$R3756=-1),0,$Q3756*1000+$R3756*100+$K3756)</f>
        <v>0</v>
      </c>
      <c r="T3756" s="37" t="str">
        <f aca="false">IF($A3756="","",IF($B3756="","NO ACCOUNT",IF($Q3756=0,"UNMAPPED",IF($R3756=-1,"OUTSIDE FY RANGE","OK"))))</f>
        <v/>
      </c>
      <c r="U3756" s="40" t="str">
        <f aca="false">IF($A3756="","",$B3756&amp;"|"&amp;TEXT($A3756,"yyyymmdd")&amp;"|"&amp;TEXT($I3756,"0.00"))</f>
        <v/>
      </c>
      <c r="V3756" s="35" t="str">
        <f aca="false">IF($A3756="","",COUNTIF($U$8:$U$5007,$U3756))</f>
        <v/>
      </c>
    </row>
    <row r="3757" customFormat="false" ht="15" hidden="false" customHeight="false" outlineLevel="0" collapsed="false">
      <c r="A3757" s="31"/>
      <c r="B3757" s="32"/>
      <c r="C3757" s="32"/>
      <c r="D3757" s="32"/>
      <c r="E3757" s="32"/>
      <c r="F3757" s="32"/>
      <c r="G3757" s="33"/>
      <c r="H3757" s="33"/>
      <c r="I3757" s="34" t="str">
        <f aca="false">IF($A3757="","",$G3757-$H3757)</f>
        <v/>
      </c>
      <c r="J3757" s="35" t="str">
        <f aca="false">IF($A3757="","",IF(Setup!$B$6=1,YEAR($A3757),YEAR($A3757)+IF(MONTH($A3757)&gt;=Setup!$B$6,1,0)))</f>
        <v/>
      </c>
      <c r="K3757" s="35" t="str">
        <f aca="false">IF($A3757="","",MOD(MONTH($A3757)-Setup!$B$6+12,12)+1)</f>
        <v/>
      </c>
      <c r="L3757" s="36" t="str">
        <f aca="false">IF($A3757="","",TEXT($A3757,"MMM-YY"))</f>
        <v/>
      </c>
      <c r="M3757" s="37" t="str">
        <f aca="false">IF($A3757="","",IF($Q3757=0,"UNMAPPED",INDEX(COA_Mapping!$C$7:$C$256,$Q3757)))</f>
        <v/>
      </c>
      <c r="N3757" s="38" t="str">
        <f aca="false">IF($A3757="","",IF($Q3757=0,"",INDEX(COA_Mapping!$E$7:$E$256,$Q3757)))</f>
        <v/>
      </c>
      <c r="O3757" s="38" t="n">
        <f aca="false">IF($A3757="",1,IF($Q3757=0,1,INDEX(COA_Mapping!$F$7:$F$256,$Q3757)))</f>
        <v>1</v>
      </c>
      <c r="P3757" s="34" t="str">
        <f aca="false">IF($A3757="","",$I3757*$O3757)</f>
        <v/>
      </c>
      <c r="Q3757" s="39" t="n">
        <f aca="false">IF($B3757="",0,IFERROR(MATCH($B3757,COA_Mapping!$A$7:$A$256,0),0))</f>
        <v>0</v>
      </c>
      <c r="R3757" s="39" t="n">
        <f aca="false">IF($A3757="",-1,IF($J3757=Setup!$B$7,1,IF($J3757=Setup!$B$9,0,-1)))</f>
        <v>-1</v>
      </c>
      <c r="S3757" s="35" t="n">
        <f aca="false">IF(OR($A3757="",$Q3757=0,$R3757=-1),0,$Q3757*1000+$R3757*100+$K3757)</f>
        <v>0</v>
      </c>
      <c r="T3757" s="37" t="str">
        <f aca="false">IF($A3757="","",IF($B3757="","NO ACCOUNT",IF($Q3757=0,"UNMAPPED",IF($R3757=-1,"OUTSIDE FY RANGE","OK"))))</f>
        <v/>
      </c>
      <c r="U3757" s="40" t="str">
        <f aca="false">IF($A3757="","",$B3757&amp;"|"&amp;TEXT($A3757,"yyyymmdd")&amp;"|"&amp;TEXT($I3757,"0.00"))</f>
        <v/>
      </c>
      <c r="V3757" s="35" t="str">
        <f aca="false">IF($A3757="","",COUNTIF($U$8:$U$5007,$U3757))</f>
        <v/>
      </c>
    </row>
    <row r="3758" customFormat="false" ht="15" hidden="false" customHeight="false" outlineLevel="0" collapsed="false">
      <c r="A3758" s="31"/>
      <c r="B3758" s="32"/>
      <c r="C3758" s="32"/>
      <c r="D3758" s="32"/>
      <c r="E3758" s="32"/>
      <c r="F3758" s="32"/>
      <c r="G3758" s="33"/>
      <c r="H3758" s="33"/>
      <c r="I3758" s="34" t="str">
        <f aca="false">IF($A3758="","",$G3758-$H3758)</f>
        <v/>
      </c>
      <c r="J3758" s="35" t="str">
        <f aca="false">IF($A3758="","",IF(Setup!$B$6=1,YEAR($A3758),YEAR($A3758)+IF(MONTH($A3758)&gt;=Setup!$B$6,1,0)))</f>
        <v/>
      </c>
      <c r="K3758" s="35" t="str">
        <f aca="false">IF($A3758="","",MOD(MONTH($A3758)-Setup!$B$6+12,12)+1)</f>
        <v/>
      </c>
      <c r="L3758" s="36" t="str">
        <f aca="false">IF($A3758="","",TEXT($A3758,"MMM-YY"))</f>
        <v/>
      </c>
      <c r="M3758" s="37" t="str">
        <f aca="false">IF($A3758="","",IF($Q3758=0,"UNMAPPED",INDEX(COA_Mapping!$C$7:$C$256,$Q3758)))</f>
        <v/>
      </c>
      <c r="N3758" s="38" t="str">
        <f aca="false">IF($A3758="","",IF($Q3758=0,"",INDEX(COA_Mapping!$E$7:$E$256,$Q3758)))</f>
        <v/>
      </c>
      <c r="O3758" s="38" t="n">
        <f aca="false">IF($A3758="",1,IF($Q3758=0,1,INDEX(COA_Mapping!$F$7:$F$256,$Q3758)))</f>
        <v>1</v>
      </c>
      <c r="P3758" s="34" t="str">
        <f aca="false">IF($A3758="","",$I3758*$O3758)</f>
        <v/>
      </c>
      <c r="Q3758" s="39" t="n">
        <f aca="false">IF($B3758="",0,IFERROR(MATCH($B3758,COA_Mapping!$A$7:$A$256,0),0))</f>
        <v>0</v>
      </c>
      <c r="R3758" s="39" t="n">
        <f aca="false">IF($A3758="",-1,IF($J3758=Setup!$B$7,1,IF($J3758=Setup!$B$9,0,-1)))</f>
        <v>-1</v>
      </c>
      <c r="S3758" s="35" t="n">
        <f aca="false">IF(OR($A3758="",$Q3758=0,$R3758=-1),0,$Q3758*1000+$R3758*100+$K3758)</f>
        <v>0</v>
      </c>
      <c r="T3758" s="37" t="str">
        <f aca="false">IF($A3758="","",IF($B3758="","NO ACCOUNT",IF($Q3758=0,"UNMAPPED",IF($R3758=-1,"OUTSIDE FY RANGE","OK"))))</f>
        <v/>
      </c>
      <c r="U3758" s="40" t="str">
        <f aca="false">IF($A3758="","",$B3758&amp;"|"&amp;TEXT($A3758,"yyyymmdd")&amp;"|"&amp;TEXT($I3758,"0.00"))</f>
        <v/>
      </c>
      <c r="V3758" s="35" t="str">
        <f aca="false">IF($A3758="","",COUNTIF($U$8:$U$5007,$U3758))</f>
        <v/>
      </c>
    </row>
    <row r="3759" customFormat="false" ht="15" hidden="false" customHeight="false" outlineLevel="0" collapsed="false">
      <c r="A3759" s="31"/>
      <c r="B3759" s="32"/>
      <c r="C3759" s="32"/>
      <c r="D3759" s="32"/>
      <c r="E3759" s="32"/>
      <c r="F3759" s="32"/>
      <c r="G3759" s="33"/>
      <c r="H3759" s="33"/>
      <c r="I3759" s="34" t="str">
        <f aca="false">IF($A3759="","",$G3759-$H3759)</f>
        <v/>
      </c>
      <c r="J3759" s="35" t="str">
        <f aca="false">IF($A3759="","",IF(Setup!$B$6=1,YEAR($A3759),YEAR($A3759)+IF(MONTH($A3759)&gt;=Setup!$B$6,1,0)))</f>
        <v/>
      </c>
      <c r="K3759" s="35" t="str">
        <f aca="false">IF($A3759="","",MOD(MONTH($A3759)-Setup!$B$6+12,12)+1)</f>
        <v/>
      </c>
      <c r="L3759" s="36" t="str">
        <f aca="false">IF($A3759="","",TEXT($A3759,"MMM-YY"))</f>
        <v/>
      </c>
      <c r="M3759" s="37" t="str">
        <f aca="false">IF($A3759="","",IF($Q3759=0,"UNMAPPED",INDEX(COA_Mapping!$C$7:$C$256,$Q3759)))</f>
        <v/>
      </c>
      <c r="N3759" s="38" t="str">
        <f aca="false">IF($A3759="","",IF($Q3759=0,"",INDEX(COA_Mapping!$E$7:$E$256,$Q3759)))</f>
        <v/>
      </c>
      <c r="O3759" s="38" t="n">
        <f aca="false">IF($A3759="",1,IF($Q3759=0,1,INDEX(COA_Mapping!$F$7:$F$256,$Q3759)))</f>
        <v>1</v>
      </c>
      <c r="P3759" s="34" t="str">
        <f aca="false">IF($A3759="","",$I3759*$O3759)</f>
        <v/>
      </c>
      <c r="Q3759" s="39" t="n">
        <f aca="false">IF($B3759="",0,IFERROR(MATCH($B3759,COA_Mapping!$A$7:$A$256,0),0))</f>
        <v>0</v>
      </c>
      <c r="R3759" s="39" t="n">
        <f aca="false">IF($A3759="",-1,IF($J3759=Setup!$B$7,1,IF($J3759=Setup!$B$9,0,-1)))</f>
        <v>-1</v>
      </c>
      <c r="S3759" s="35" t="n">
        <f aca="false">IF(OR($A3759="",$Q3759=0,$R3759=-1),0,$Q3759*1000+$R3759*100+$K3759)</f>
        <v>0</v>
      </c>
      <c r="T3759" s="37" t="str">
        <f aca="false">IF($A3759="","",IF($B3759="","NO ACCOUNT",IF($Q3759=0,"UNMAPPED",IF($R3759=-1,"OUTSIDE FY RANGE","OK"))))</f>
        <v/>
      </c>
      <c r="U3759" s="40" t="str">
        <f aca="false">IF($A3759="","",$B3759&amp;"|"&amp;TEXT($A3759,"yyyymmdd")&amp;"|"&amp;TEXT($I3759,"0.00"))</f>
        <v/>
      </c>
      <c r="V3759" s="35" t="str">
        <f aca="false">IF($A3759="","",COUNTIF($U$8:$U$5007,$U3759))</f>
        <v/>
      </c>
    </row>
    <row r="3760" customFormat="false" ht="15" hidden="false" customHeight="false" outlineLevel="0" collapsed="false">
      <c r="A3760" s="31"/>
      <c r="B3760" s="32"/>
      <c r="C3760" s="32"/>
      <c r="D3760" s="32"/>
      <c r="E3760" s="32"/>
      <c r="F3760" s="32"/>
      <c r="G3760" s="33"/>
      <c r="H3760" s="33"/>
      <c r="I3760" s="34" t="str">
        <f aca="false">IF($A3760="","",$G3760-$H3760)</f>
        <v/>
      </c>
      <c r="J3760" s="35" t="str">
        <f aca="false">IF($A3760="","",IF(Setup!$B$6=1,YEAR($A3760),YEAR($A3760)+IF(MONTH($A3760)&gt;=Setup!$B$6,1,0)))</f>
        <v/>
      </c>
      <c r="K3760" s="35" t="str">
        <f aca="false">IF($A3760="","",MOD(MONTH($A3760)-Setup!$B$6+12,12)+1)</f>
        <v/>
      </c>
      <c r="L3760" s="36" t="str">
        <f aca="false">IF($A3760="","",TEXT($A3760,"MMM-YY"))</f>
        <v/>
      </c>
      <c r="M3760" s="37" t="str">
        <f aca="false">IF($A3760="","",IF($Q3760=0,"UNMAPPED",INDEX(COA_Mapping!$C$7:$C$256,$Q3760)))</f>
        <v/>
      </c>
      <c r="N3760" s="38" t="str">
        <f aca="false">IF($A3760="","",IF($Q3760=0,"",INDEX(COA_Mapping!$E$7:$E$256,$Q3760)))</f>
        <v/>
      </c>
      <c r="O3760" s="38" t="n">
        <f aca="false">IF($A3760="",1,IF($Q3760=0,1,INDEX(COA_Mapping!$F$7:$F$256,$Q3760)))</f>
        <v>1</v>
      </c>
      <c r="P3760" s="34" t="str">
        <f aca="false">IF($A3760="","",$I3760*$O3760)</f>
        <v/>
      </c>
      <c r="Q3760" s="39" t="n">
        <f aca="false">IF($B3760="",0,IFERROR(MATCH($B3760,COA_Mapping!$A$7:$A$256,0),0))</f>
        <v>0</v>
      </c>
      <c r="R3760" s="39" t="n">
        <f aca="false">IF($A3760="",-1,IF($J3760=Setup!$B$7,1,IF($J3760=Setup!$B$9,0,-1)))</f>
        <v>-1</v>
      </c>
      <c r="S3760" s="35" t="n">
        <f aca="false">IF(OR($A3760="",$Q3760=0,$R3760=-1),0,$Q3760*1000+$R3760*100+$K3760)</f>
        <v>0</v>
      </c>
      <c r="T3760" s="37" t="str">
        <f aca="false">IF($A3760="","",IF($B3760="","NO ACCOUNT",IF($Q3760=0,"UNMAPPED",IF($R3760=-1,"OUTSIDE FY RANGE","OK"))))</f>
        <v/>
      </c>
      <c r="U3760" s="40" t="str">
        <f aca="false">IF($A3760="","",$B3760&amp;"|"&amp;TEXT($A3760,"yyyymmdd")&amp;"|"&amp;TEXT($I3760,"0.00"))</f>
        <v/>
      </c>
      <c r="V3760" s="35" t="str">
        <f aca="false">IF($A3760="","",COUNTIF($U$8:$U$5007,$U3760))</f>
        <v/>
      </c>
    </row>
    <row r="3761" customFormat="false" ht="15" hidden="false" customHeight="false" outlineLevel="0" collapsed="false">
      <c r="A3761" s="31"/>
      <c r="B3761" s="32"/>
      <c r="C3761" s="32"/>
      <c r="D3761" s="32"/>
      <c r="E3761" s="32"/>
      <c r="F3761" s="32"/>
      <c r="G3761" s="33"/>
      <c r="H3761" s="33"/>
      <c r="I3761" s="34" t="str">
        <f aca="false">IF($A3761="","",$G3761-$H3761)</f>
        <v/>
      </c>
      <c r="J3761" s="35" t="str">
        <f aca="false">IF($A3761="","",IF(Setup!$B$6=1,YEAR($A3761),YEAR($A3761)+IF(MONTH($A3761)&gt;=Setup!$B$6,1,0)))</f>
        <v/>
      </c>
      <c r="K3761" s="35" t="str">
        <f aca="false">IF($A3761="","",MOD(MONTH($A3761)-Setup!$B$6+12,12)+1)</f>
        <v/>
      </c>
      <c r="L3761" s="36" t="str">
        <f aca="false">IF($A3761="","",TEXT($A3761,"MMM-YY"))</f>
        <v/>
      </c>
      <c r="M3761" s="37" t="str">
        <f aca="false">IF($A3761="","",IF($Q3761=0,"UNMAPPED",INDEX(COA_Mapping!$C$7:$C$256,$Q3761)))</f>
        <v/>
      </c>
      <c r="N3761" s="38" t="str">
        <f aca="false">IF($A3761="","",IF($Q3761=0,"",INDEX(COA_Mapping!$E$7:$E$256,$Q3761)))</f>
        <v/>
      </c>
      <c r="O3761" s="38" t="n">
        <f aca="false">IF($A3761="",1,IF($Q3761=0,1,INDEX(COA_Mapping!$F$7:$F$256,$Q3761)))</f>
        <v>1</v>
      </c>
      <c r="P3761" s="34" t="str">
        <f aca="false">IF($A3761="","",$I3761*$O3761)</f>
        <v/>
      </c>
      <c r="Q3761" s="39" t="n">
        <f aca="false">IF($B3761="",0,IFERROR(MATCH($B3761,COA_Mapping!$A$7:$A$256,0),0))</f>
        <v>0</v>
      </c>
      <c r="R3761" s="39" t="n">
        <f aca="false">IF($A3761="",-1,IF($J3761=Setup!$B$7,1,IF($J3761=Setup!$B$9,0,-1)))</f>
        <v>-1</v>
      </c>
      <c r="S3761" s="35" t="n">
        <f aca="false">IF(OR($A3761="",$Q3761=0,$R3761=-1),0,$Q3761*1000+$R3761*100+$K3761)</f>
        <v>0</v>
      </c>
      <c r="T3761" s="37" t="str">
        <f aca="false">IF($A3761="","",IF($B3761="","NO ACCOUNT",IF($Q3761=0,"UNMAPPED",IF($R3761=-1,"OUTSIDE FY RANGE","OK"))))</f>
        <v/>
      </c>
      <c r="U3761" s="40" t="str">
        <f aca="false">IF($A3761="","",$B3761&amp;"|"&amp;TEXT($A3761,"yyyymmdd")&amp;"|"&amp;TEXT($I3761,"0.00"))</f>
        <v/>
      </c>
      <c r="V3761" s="35" t="str">
        <f aca="false">IF($A3761="","",COUNTIF($U$8:$U$5007,$U3761))</f>
        <v/>
      </c>
    </row>
    <row r="3762" customFormat="false" ht="15" hidden="false" customHeight="false" outlineLevel="0" collapsed="false">
      <c r="A3762" s="31"/>
      <c r="B3762" s="32"/>
      <c r="C3762" s="32"/>
      <c r="D3762" s="32"/>
      <c r="E3762" s="32"/>
      <c r="F3762" s="32"/>
      <c r="G3762" s="33"/>
      <c r="H3762" s="33"/>
      <c r="I3762" s="34" t="str">
        <f aca="false">IF($A3762="","",$G3762-$H3762)</f>
        <v/>
      </c>
      <c r="J3762" s="35" t="str">
        <f aca="false">IF($A3762="","",IF(Setup!$B$6=1,YEAR($A3762),YEAR($A3762)+IF(MONTH($A3762)&gt;=Setup!$B$6,1,0)))</f>
        <v/>
      </c>
      <c r="K3762" s="35" t="str">
        <f aca="false">IF($A3762="","",MOD(MONTH($A3762)-Setup!$B$6+12,12)+1)</f>
        <v/>
      </c>
      <c r="L3762" s="36" t="str">
        <f aca="false">IF($A3762="","",TEXT($A3762,"MMM-YY"))</f>
        <v/>
      </c>
      <c r="M3762" s="37" t="str">
        <f aca="false">IF($A3762="","",IF($Q3762=0,"UNMAPPED",INDEX(COA_Mapping!$C$7:$C$256,$Q3762)))</f>
        <v/>
      </c>
      <c r="N3762" s="38" t="str">
        <f aca="false">IF($A3762="","",IF($Q3762=0,"",INDEX(COA_Mapping!$E$7:$E$256,$Q3762)))</f>
        <v/>
      </c>
      <c r="O3762" s="38" t="n">
        <f aca="false">IF($A3762="",1,IF($Q3762=0,1,INDEX(COA_Mapping!$F$7:$F$256,$Q3762)))</f>
        <v>1</v>
      </c>
      <c r="P3762" s="34" t="str">
        <f aca="false">IF($A3762="","",$I3762*$O3762)</f>
        <v/>
      </c>
      <c r="Q3762" s="39" t="n">
        <f aca="false">IF($B3762="",0,IFERROR(MATCH($B3762,COA_Mapping!$A$7:$A$256,0),0))</f>
        <v>0</v>
      </c>
      <c r="R3762" s="39" t="n">
        <f aca="false">IF($A3762="",-1,IF($J3762=Setup!$B$7,1,IF($J3762=Setup!$B$9,0,-1)))</f>
        <v>-1</v>
      </c>
      <c r="S3762" s="35" t="n">
        <f aca="false">IF(OR($A3762="",$Q3762=0,$R3762=-1),0,$Q3762*1000+$R3762*100+$K3762)</f>
        <v>0</v>
      </c>
      <c r="T3762" s="37" t="str">
        <f aca="false">IF($A3762="","",IF($B3762="","NO ACCOUNT",IF($Q3762=0,"UNMAPPED",IF($R3762=-1,"OUTSIDE FY RANGE","OK"))))</f>
        <v/>
      </c>
      <c r="U3762" s="40" t="str">
        <f aca="false">IF($A3762="","",$B3762&amp;"|"&amp;TEXT($A3762,"yyyymmdd")&amp;"|"&amp;TEXT($I3762,"0.00"))</f>
        <v/>
      </c>
      <c r="V3762" s="35" t="str">
        <f aca="false">IF($A3762="","",COUNTIF($U$8:$U$5007,$U3762))</f>
        <v/>
      </c>
    </row>
    <row r="3763" customFormat="false" ht="15" hidden="false" customHeight="false" outlineLevel="0" collapsed="false">
      <c r="A3763" s="31"/>
      <c r="B3763" s="32"/>
      <c r="C3763" s="32"/>
      <c r="D3763" s="32"/>
      <c r="E3763" s="32"/>
      <c r="F3763" s="32"/>
      <c r="G3763" s="33"/>
      <c r="H3763" s="33"/>
      <c r="I3763" s="34" t="str">
        <f aca="false">IF($A3763="","",$G3763-$H3763)</f>
        <v/>
      </c>
      <c r="J3763" s="35" t="str">
        <f aca="false">IF($A3763="","",IF(Setup!$B$6=1,YEAR($A3763),YEAR($A3763)+IF(MONTH($A3763)&gt;=Setup!$B$6,1,0)))</f>
        <v/>
      </c>
      <c r="K3763" s="35" t="str">
        <f aca="false">IF($A3763="","",MOD(MONTH($A3763)-Setup!$B$6+12,12)+1)</f>
        <v/>
      </c>
      <c r="L3763" s="36" t="str">
        <f aca="false">IF($A3763="","",TEXT($A3763,"MMM-YY"))</f>
        <v/>
      </c>
      <c r="M3763" s="37" t="str">
        <f aca="false">IF($A3763="","",IF($Q3763=0,"UNMAPPED",INDEX(COA_Mapping!$C$7:$C$256,$Q3763)))</f>
        <v/>
      </c>
      <c r="N3763" s="38" t="str">
        <f aca="false">IF($A3763="","",IF($Q3763=0,"",INDEX(COA_Mapping!$E$7:$E$256,$Q3763)))</f>
        <v/>
      </c>
      <c r="O3763" s="38" t="n">
        <f aca="false">IF($A3763="",1,IF($Q3763=0,1,INDEX(COA_Mapping!$F$7:$F$256,$Q3763)))</f>
        <v>1</v>
      </c>
      <c r="P3763" s="34" t="str">
        <f aca="false">IF($A3763="","",$I3763*$O3763)</f>
        <v/>
      </c>
      <c r="Q3763" s="39" t="n">
        <f aca="false">IF($B3763="",0,IFERROR(MATCH($B3763,COA_Mapping!$A$7:$A$256,0),0))</f>
        <v>0</v>
      </c>
      <c r="R3763" s="39" t="n">
        <f aca="false">IF($A3763="",-1,IF($J3763=Setup!$B$7,1,IF($J3763=Setup!$B$9,0,-1)))</f>
        <v>-1</v>
      </c>
      <c r="S3763" s="35" t="n">
        <f aca="false">IF(OR($A3763="",$Q3763=0,$R3763=-1),0,$Q3763*1000+$R3763*100+$K3763)</f>
        <v>0</v>
      </c>
      <c r="T3763" s="37" t="str">
        <f aca="false">IF($A3763="","",IF($B3763="","NO ACCOUNT",IF($Q3763=0,"UNMAPPED",IF($R3763=-1,"OUTSIDE FY RANGE","OK"))))</f>
        <v/>
      </c>
      <c r="U3763" s="40" t="str">
        <f aca="false">IF($A3763="","",$B3763&amp;"|"&amp;TEXT($A3763,"yyyymmdd")&amp;"|"&amp;TEXT($I3763,"0.00"))</f>
        <v/>
      </c>
      <c r="V3763" s="35" t="str">
        <f aca="false">IF($A3763="","",COUNTIF($U$8:$U$5007,$U3763))</f>
        <v/>
      </c>
    </row>
    <row r="3764" customFormat="false" ht="15" hidden="false" customHeight="false" outlineLevel="0" collapsed="false">
      <c r="A3764" s="31"/>
      <c r="B3764" s="32"/>
      <c r="C3764" s="32"/>
      <c r="D3764" s="32"/>
      <c r="E3764" s="32"/>
      <c r="F3764" s="32"/>
      <c r="G3764" s="33"/>
      <c r="H3764" s="33"/>
      <c r="I3764" s="34" t="str">
        <f aca="false">IF($A3764="","",$G3764-$H3764)</f>
        <v/>
      </c>
      <c r="J3764" s="35" t="str">
        <f aca="false">IF($A3764="","",IF(Setup!$B$6=1,YEAR($A3764),YEAR($A3764)+IF(MONTH($A3764)&gt;=Setup!$B$6,1,0)))</f>
        <v/>
      </c>
      <c r="K3764" s="35" t="str">
        <f aca="false">IF($A3764="","",MOD(MONTH($A3764)-Setup!$B$6+12,12)+1)</f>
        <v/>
      </c>
      <c r="L3764" s="36" t="str">
        <f aca="false">IF($A3764="","",TEXT($A3764,"MMM-YY"))</f>
        <v/>
      </c>
      <c r="M3764" s="37" t="str">
        <f aca="false">IF($A3764="","",IF($Q3764=0,"UNMAPPED",INDEX(COA_Mapping!$C$7:$C$256,$Q3764)))</f>
        <v/>
      </c>
      <c r="N3764" s="38" t="str">
        <f aca="false">IF($A3764="","",IF($Q3764=0,"",INDEX(COA_Mapping!$E$7:$E$256,$Q3764)))</f>
        <v/>
      </c>
      <c r="O3764" s="38" t="n">
        <f aca="false">IF($A3764="",1,IF($Q3764=0,1,INDEX(COA_Mapping!$F$7:$F$256,$Q3764)))</f>
        <v>1</v>
      </c>
      <c r="P3764" s="34" t="str">
        <f aca="false">IF($A3764="","",$I3764*$O3764)</f>
        <v/>
      </c>
      <c r="Q3764" s="39" t="n">
        <f aca="false">IF($B3764="",0,IFERROR(MATCH($B3764,COA_Mapping!$A$7:$A$256,0),0))</f>
        <v>0</v>
      </c>
      <c r="R3764" s="39" t="n">
        <f aca="false">IF($A3764="",-1,IF($J3764=Setup!$B$7,1,IF($J3764=Setup!$B$9,0,-1)))</f>
        <v>-1</v>
      </c>
      <c r="S3764" s="35" t="n">
        <f aca="false">IF(OR($A3764="",$Q3764=0,$R3764=-1),0,$Q3764*1000+$R3764*100+$K3764)</f>
        <v>0</v>
      </c>
      <c r="T3764" s="37" t="str">
        <f aca="false">IF($A3764="","",IF($B3764="","NO ACCOUNT",IF($Q3764=0,"UNMAPPED",IF($R3764=-1,"OUTSIDE FY RANGE","OK"))))</f>
        <v/>
      </c>
      <c r="U3764" s="40" t="str">
        <f aca="false">IF($A3764="","",$B3764&amp;"|"&amp;TEXT($A3764,"yyyymmdd")&amp;"|"&amp;TEXT($I3764,"0.00"))</f>
        <v/>
      </c>
      <c r="V3764" s="35" t="str">
        <f aca="false">IF($A3764="","",COUNTIF($U$8:$U$5007,$U3764))</f>
        <v/>
      </c>
    </row>
    <row r="3765" customFormat="false" ht="15" hidden="false" customHeight="false" outlineLevel="0" collapsed="false">
      <c r="A3765" s="31"/>
      <c r="B3765" s="32"/>
      <c r="C3765" s="32"/>
      <c r="D3765" s="32"/>
      <c r="E3765" s="32"/>
      <c r="F3765" s="32"/>
      <c r="G3765" s="33"/>
      <c r="H3765" s="33"/>
      <c r="I3765" s="34" t="str">
        <f aca="false">IF($A3765="","",$G3765-$H3765)</f>
        <v/>
      </c>
      <c r="J3765" s="35" t="str">
        <f aca="false">IF($A3765="","",IF(Setup!$B$6=1,YEAR($A3765),YEAR($A3765)+IF(MONTH($A3765)&gt;=Setup!$B$6,1,0)))</f>
        <v/>
      </c>
      <c r="K3765" s="35" t="str">
        <f aca="false">IF($A3765="","",MOD(MONTH($A3765)-Setup!$B$6+12,12)+1)</f>
        <v/>
      </c>
      <c r="L3765" s="36" t="str">
        <f aca="false">IF($A3765="","",TEXT($A3765,"MMM-YY"))</f>
        <v/>
      </c>
      <c r="M3765" s="37" t="str">
        <f aca="false">IF($A3765="","",IF($Q3765=0,"UNMAPPED",INDEX(COA_Mapping!$C$7:$C$256,$Q3765)))</f>
        <v/>
      </c>
      <c r="N3765" s="38" t="str">
        <f aca="false">IF($A3765="","",IF($Q3765=0,"",INDEX(COA_Mapping!$E$7:$E$256,$Q3765)))</f>
        <v/>
      </c>
      <c r="O3765" s="38" t="n">
        <f aca="false">IF($A3765="",1,IF($Q3765=0,1,INDEX(COA_Mapping!$F$7:$F$256,$Q3765)))</f>
        <v>1</v>
      </c>
      <c r="P3765" s="34" t="str">
        <f aca="false">IF($A3765="","",$I3765*$O3765)</f>
        <v/>
      </c>
      <c r="Q3765" s="39" t="n">
        <f aca="false">IF($B3765="",0,IFERROR(MATCH($B3765,COA_Mapping!$A$7:$A$256,0),0))</f>
        <v>0</v>
      </c>
      <c r="R3765" s="39" t="n">
        <f aca="false">IF($A3765="",-1,IF($J3765=Setup!$B$7,1,IF($J3765=Setup!$B$9,0,-1)))</f>
        <v>-1</v>
      </c>
      <c r="S3765" s="35" t="n">
        <f aca="false">IF(OR($A3765="",$Q3765=0,$R3765=-1),0,$Q3765*1000+$R3765*100+$K3765)</f>
        <v>0</v>
      </c>
      <c r="T3765" s="37" t="str">
        <f aca="false">IF($A3765="","",IF($B3765="","NO ACCOUNT",IF($Q3765=0,"UNMAPPED",IF($R3765=-1,"OUTSIDE FY RANGE","OK"))))</f>
        <v/>
      </c>
      <c r="U3765" s="40" t="str">
        <f aca="false">IF($A3765="","",$B3765&amp;"|"&amp;TEXT($A3765,"yyyymmdd")&amp;"|"&amp;TEXT($I3765,"0.00"))</f>
        <v/>
      </c>
      <c r="V3765" s="35" t="str">
        <f aca="false">IF($A3765="","",COUNTIF($U$8:$U$5007,$U3765))</f>
        <v/>
      </c>
    </row>
    <row r="3766" customFormat="false" ht="15" hidden="false" customHeight="false" outlineLevel="0" collapsed="false">
      <c r="A3766" s="31"/>
      <c r="B3766" s="32"/>
      <c r="C3766" s="32"/>
      <c r="D3766" s="32"/>
      <c r="E3766" s="32"/>
      <c r="F3766" s="32"/>
      <c r="G3766" s="33"/>
      <c r="H3766" s="33"/>
      <c r="I3766" s="34" t="str">
        <f aca="false">IF($A3766="","",$G3766-$H3766)</f>
        <v/>
      </c>
      <c r="J3766" s="35" t="str">
        <f aca="false">IF($A3766="","",IF(Setup!$B$6=1,YEAR($A3766),YEAR($A3766)+IF(MONTH($A3766)&gt;=Setup!$B$6,1,0)))</f>
        <v/>
      </c>
      <c r="K3766" s="35" t="str">
        <f aca="false">IF($A3766="","",MOD(MONTH($A3766)-Setup!$B$6+12,12)+1)</f>
        <v/>
      </c>
      <c r="L3766" s="36" t="str">
        <f aca="false">IF($A3766="","",TEXT($A3766,"MMM-YY"))</f>
        <v/>
      </c>
      <c r="M3766" s="37" t="str">
        <f aca="false">IF($A3766="","",IF($Q3766=0,"UNMAPPED",INDEX(COA_Mapping!$C$7:$C$256,$Q3766)))</f>
        <v/>
      </c>
      <c r="N3766" s="38" t="str">
        <f aca="false">IF($A3766="","",IF($Q3766=0,"",INDEX(COA_Mapping!$E$7:$E$256,$Q3766)))</f>
        <v/>
      </c>
      <c r="O3766" s="38" t="n">
        <f aca="false">IF($A3766="",1,IF($Q3766=0,1,INDEX(COA_Mapping!$F$7:$F$256,$Q3766)))</f>
        <v>1</v>
      </c>
      <c r="P3766" s="34" t="str">
        <f aca="false">IF($A3766="","",$I3766*$O3766)</f>
        <v/>
      </c>
      <c r="Q3766" s="39" t="n">
        <f aca="false">IF($B3766="",0,IFERROR(MATCH($B3766,COA_Mapping!$A$7:$A$256,0),0))</f>
        <v>0</v>
      </c>
      <c r="R3766" s="39" t="n">
        <f aca="false">IF($A3766="",-1,IF($J3766=Setup!$B$7,1,IF($J3766=Setup!$B$9,0,-1)))</f>
        <v>-1</v>
      </c>
      <c r="S3766" s="35" t="n">
        <f aca="false">IF(OR($A3766="",$Q3766=0,$R3766=-1),0,$Q3766*1000+$R3766*100+$K3766)</f>
        <v>0</v>
      </c>
      <c r="T3766" s="37" t="str">
        <f aca="false">IF($A3766="","",IF($B3766="","NO ACCOUNT",IF($Q3766=0,"UNMAPPED",IF($R3766=-1,"OUTSIDE FY RANGE","OK"))))</f>
        <v/>
      </c>
      <c r="U3766" s="40" t="str">
        <f aca="false">IF($A3766="","",$B3766&amp;"|"&amp;TEXT($A3766,"yyyymmdd")&amp;"|"&amp;TEXT($I3766,"0.00"))</f>
        <v/>
      </c>
      <c r="V3766" s="35" t="str">
        <f aca="false">IF($A3766="","",COUNTIF($U$8:$U$5007,$U3766))</f>
        <v/>
      </c>
    </row>
    <row r="3767" customFormat="false" ht="15" hidden="false" customHeight="false" outlineLevel="0" collapsed="false">
      <c r="A3767" s="31"/>
      <c r="B3767" s="32"/>
      <c r="C3767" s="32"/>
      <c r="D3767" s="32"/>
      <c r="E3767" s="32"/>
      <c r="F3767" s="32"/>
      <c r="G3767" s="33"/>
      <c r="H3767" s="33"/>
      <c r="I3767" s="34" t="str">
        <f aca="false">IF($A3767="","",$G3767-$H3767)</f>
        <v/>
      </c>
      <c r="J3767" s="35" t="str">
        <f aca="false">IF($A3767="","",IF(Setup!$B$6=1,YEAR($A3767),YEAR($A3767)+IF(MONTH($A3767)&gt;=Setup!$B$6,1,0)))</f>
        <v/>
      </c>
      <c r="K3767" s="35" t="str">
        <f aca="false">IF($A3767="","",MOD(MONTH($A3767)-Setup!$B$6+12,12)+1)</f>
        <v/>
      </c>
      <c r="L3767" s="36" t="str">
        <f aca="false">IF($A3767="","",TEXT($A3767,"MMM-YY"))</f>
        <v/>
      </c>
      <c r="M3767" s="37" t="str">
        <f aca="false">IF($A3767="","",IF($Q3767=0,"UNMAPPED",INDEX(COA_Mapping!$C$7:$C$256,$Q3767)))</f>
        <v/>
      </c>
      <c r="N3767" s="38" t="str">
        <f aca="false">IF($A3767="","",IF($Q3767=0,"",INDEX(COA_Mapping!$E$7:$E$256,$Q3767)))</f>
        <v/>
      </c>
      <c r="O3767" s="38" t="n">
        <f aca="false">IF($A3767="",1,IF($Q3767=0,1,INDEX(COA_Mapping!$F$7:$F$256,$Q3767)))</f>
        <v>1</v>
      </c>
      <c r="P3767" s="34" t="str">
        <f aca="false">IF($A3767="","",$I3767*$O3767)</f>
        <v/>
      </c>
      <c r="Q3767" s="39" t="n">
        <f aca="false">IF($B3767="",0,IFERROR(MATCH($B3767,COA_Mapping!$A$7:$A$256,0),0))</f>
        <v>0</v>
      </c>
      <c r="R3767" s="39" t="n">
        <f aca="false">IF($A3767="",-1,IF($J3767=Setup!$B$7,1,IF($J3767=Setup!$B$9,0,-1)))</f>
        <v>-1</v>
      </c>
      <c r="S3767" s="35" t="n">
        <f aca="false">IF(OR($A3767="",$Q3767=0,$R3767=-1),0,$Q3767*1000+$R3767*100+$K3767)</f>
        <v>0</v>
      </c>
      <c r="T3767" s="37" t="str">
        <f aca="false">IF($A3767="","",IF($B3767="","NO ACCOUNT",IF($Q3767=0,"UNMAPPED",IF($R3767=-1,"OUTSIDE FY RANGE","OK"))))</f>
        <v/>
      </c>
      <c r="U3767" s="40" t="str">
        <f aca="false">IF($A3767="","",$B3767&amp;"|"&amp;TEXT($A3767,"yyyymmdd")&amp;"|"&amp;TEXT($I3767,"0.00"))</f>
        <v/>
      </c>
      <c r="V3767" s="35" t="str">
        <f aca="false">IF($A3767="","",COUNTIF($U$8:$U$5007,$U3767))</f>
        <v/>
      </c>
    </row>
    <row r="3768" customFormat="false" ht="15" hidden="false" customHeight="false" outlineLevel="0" collapsed="false">
      <c r="A3768" s="31"/>
      <c r="B3768" s="32"/>
      <c r="C3768" s="32"/>
      <c r="D3768" s="32"/>
      <c r="E3768" s="32"/>
      <c r="F3768" s="32"/>
      <c r="G3768" s="33"/>
      <c r="H3768" s="33"/>
      <c r="I3768" s="34" t="str">
        <f aca="false">IF($A3768="","",$G3768-$H3768)</f>
        <v/>
      </c>
      <c r="J3768" s="35" t="str">
        <f aca="false">IF($A3768="","",IF(Setup!$B$6=1,YEAR($A3768),YEAR($A3768)+IF(MONTH($A3768)&gt;=Setup!$B$6,1,0)))</f>
        <v/>
      </c>
      <c r="K3768" s="35" t="str">
        <f aca="false">IF($A3768="","",MOD(MONTH($A3768)-Setup!$B$6+12,12)+1)</f>
        <v/>
      </c>
      <c r="L3768" s="36" t="str">
        <f aca="false">IF($A3768="","",TEXT($A3768,"MMM-YY"))</f>
        <v/>
      </c>
      <c r="M3768" s="37" t="str">
        <f aca="false">IF($A3768="","",IF($Q3768=0,"UNMAPPED",INDEX(COA_Mapping!$C$7:$C$256,$Q3768)))</f>
        <v/>
      </c>
      <c r="N3768" s="38" t="str">
        <f aca="false">IF($A3768="","",IF($Q3768=0,"",INDEX(COA_Mapping!$E$7:$E$256,$Q3768)))</f>
        <v/>
      </c>
      <c r="O3768" s="38" t="n">
        <f aca="false">IF($A3768="",1,IF($Q3768=0,1,INDEX(COA_Mapping!$F$7:$F$256,$Q3768)))</f>
        <v>1</v>
      </c>
      <c r="P3768" s="34" t="str">
        <f aca="false">IF($A3768="","",$I3768*$O3768)</f>
        <v/>
      </c>
      <c r="Q3768" s="39" t="n">
        <f aca="false">IF($B3768="",0,IFERROR(MATCH($B3768,COA_Mapping!$A$7:$A$256,0),0))</f>
        <v>0</v>
      </c>
      <c r="R3768" s="39" t="n">
        <f aca="false">IF($A3768="",-1,IF($J3768=Setup!$B$7,1,IF($J3768=Setup!$B$9,0,-1)))</f>
        <v>-1</v>
      </c>
      <c r="S3768" s="35" t="n">
        <f aca="false">IF(OR($A3768="",$Q3768=0,$R3768=-1),0,$Q3768*1000+$R3768*100+$K3768)</f>
        <v>0</v>
      </c>
      <c r="T3768" s="37" t="str">
        <f aca="false">IF($A3768="","",IF($B3768="","NO ACCOUNT",IF($Q3768=0,"UNMAPPED",IF($R3768=-1,"OUTSIDE FY RANGE","OK"))))</f>
        <v/>
      </c>
      <c r="U3768" s="40" t="str">
        <f aca="false">IF($A3768="","",$B3768&amp;"|"&amp;TEXT($A3768,"yyyymmdd")&amp;"|"&amp;TEXT($I3768,"0.00"))</f>
        <v/>
      </c>
      <c r="V3768" s="35" t="str">
        <f aca="false">IF($A3768="","",COUNTIF($U$8:$U$5007,$U3768))</f>
        <v/>
      </c>
    </row>
    <row r="3769" customFormat="false" ht="15" hidden="false" customHeight="false" outlineLevel="0" collapsed="false">
      <c r="A3769" s="31"/>
      <c r="B3769" s="32"/>
      <c r="C3769" s="32"/>
      <c r="D3769" s="32"/>
      <c r="E3769" s="32"/>
      <c r="F3769" s="32"/>
      <c r="G3769" s="33"/>
      <c r="H3769" s="33"/>
      <c r="I3769" s="34" t="str">
        <f aca="false">IF($A3769="","",$G3769-$H3769)</f>
        <v/>
      </c>
      <c r="J3769" s="35" t="str">
        <f aca="false">IF($A3769="","",IF(Setup!$B$6=1,YEAR($A3769),YEAR($A3769)+IF(MONTH($A3769)&gt;=Setup!$B$6,1,0)))</f>
        <v/>
      </c>
      <c r="K3769" s="35" t="str">
        <f aca="false">IF($A3769="","",MOD(MONTH($A3769)-Setup!$B$6+12,12)+1)</f>
        <v/>
      </c>
      <c r="L3769" s="36" t="str">
        <f aca="false">IF($A3769="","",TEXT($A3769,"MMM-YY"))</f>
        <v/>
      </c>
      <c r="M3769" s="37" t="str">
        <f aca="false">IF($A3769="","",IF($Q3769=0,"UNMAPPED",INDEX(COA_Mapping!$C$7:$C$256,$Q3769)))</f>
        <v/>
      </c>
      <c r="N3769" s="38" t="str">
        <f aca="false">IF($A3769="","",IF($Q3769=0,"",INDEX(COA_Mapping!$E$7:$E$256,$Q3769)))</f>
        <v/>
      </c>
      <c r="O3769" s="38" t="n">
        <f aca="false">IF($A3769="",1,IF($Q3769=0,1,INDEX(COA_Mapping!$F$7:$F$256,$Q3769)))</f>
        <v>1</v>
      </c>
      <c r="P3769" s="34" t="str">
        <f aca="false">IF($A3769="","",$I3769*$O3769)</f>
        <v/>
      </c>
      <c r="Q3769" s="39" t="n">
        <f aca="false">IF($B3769="",0,IFERROR(MATCH($B3769,COA_Mapping!$A$7:$A$256,0),0))</f>
        <v>0</v>
      </c>
      <c r="R3769" s="39" t="n">
        <f aca="false">IF($A3769="",-1,IF($J3769=Setup!$B$7,1,IF($J3769=Setup!$B$9,0,-1)))</f>
        <v>-1</v>
      </c>
      <c r="S3769" s="35" t="n">
        <f aca="false">IF(OR($A3769="",$Q3769=0,$R3769=-1),0,$Q3769*1000+$R3769*100+$K3769)</f>
        <v>0</v>
      </c>
      <c r="T3769" s="37" t="str">
        <f aca="false">IF($A3769="","",IF($B3769="","NO ACCOUNT",IF($Q3769=0,"UNMAPPED",IF($R3769=-1,"OUTSIDE FY RANGE","OK"))))</f>
        <v/>
      </c>
      <c r="U3769" s="40" t="str">
        <f aca="false">IF($A3769="","",$B3769&amp;"|"&amp;TEXT($A3769,"yyyymmdd")&amp;"|"&amp;TEXT($I3769,"0.00"))</f>
        <v/>
      </c>
      <c r="V3769" s="35" t="str">
        <f aca="false">IF($A3769="","",COUNTIF($U$8:$U$5007,$U3769))</f>
        <v/>
      </c>
    </row>
    <row r="3770" customFormat="false" ht="15" hidden="false" customHeight="false" outlineLevel="0" collapsed="false">
      <c r="A3770" s="31"/>
      <c r="B3770" s="32"/>
      <c r="C3770" s="32"/>
      <c r="D3770" s="32"/>
      <c r="E3770" s="32"/>
      <c r="F3770" s="32"/>
      <c r="G3770" s="33"/>
      <c r="H3770" s="33"/>
      <c r="I3770" s="34" t="str">
        <f aca="false">IF($A3770="","",$G3770-$H3770)</f>
        <v/>
      </c>
      <c r="J3770" s="35" t="str">
        <f aca="false">IF($A3770="","",IF(Setup!$B$6=1,YEAR($A3770),YEAR($A3770)+IF(MONTH($A3770)&gt;=Setup!$B$6,1,0)))</f>
        <v/>
      </c>
      <c r="K3770" s="35" t="str">
        <f aca="false">IF($A3770="","",MOD(MONTH($A3770)-Setup!$B$6+12,12)+1)</f>
        <v/>
      </c>
      <c r="L3770" s="36" t="str">
        <f aca="false">IF($A3770="","",TEXT($A3770,"MMM-YY"))</f>
        <v/>
      </c>
      <c r="M3770" s="37" t="str">
        <f aca="false">IF($A3770="","",IF($Q3770=0,"UNMAPPED",INDEX(COA_Mapping!$C$7:$C$256,$Q3770)))</f>
        <v/>
      </c>
      <c r="N3770" s="38" t="str">
        <f aca="false">IF($A3770="","",IF($Q3770=0,"",INDEX(COA_Mapping!$E$7:$E$256,$Q3770)))</f>
        <v/>
      </c>
      <c r="O3770" s="38" t="n">
        <f aca="false">IF($A3770="",1,IF($Q3770=0,1,INDEX(COA_Mapping!$F$7:$F$256,$Q3770)))</f>
        <v>1</v>
      </c>
      <c r="P3770" s="34" t="str">
        <f aca="false">IF($A3770="","",$I3770*$O3770)</f>
        <v/>
      </c>
      <c r="Q3770" s="39" t="n">
        <f aca="false">IF($B3770="",0,IFERROR(MATCH($B3770,COA_Mapping!$A$7:$A$256,0),0))</f>
        <v>0</v>
      </c>
      <c r="R3770" s="39" t="n">
        <f aca="false">IF($A3770="",-1,IF($J3770=Setup!$B$7,1,IF($J3770=Setup!$B$9,0,-1)))</f>
        <v>-1</v>
      </c>
      <c r="S3770" s="35" t="n">
        <f aca="false">IF(OR($A3770="",$Q3770=0,$R3770=-1),0,$Q3770*1000+$R3770*100+$K3770)</f>
        <v>0</v>
      </c>
      <c r="T3770" s="37" t="str">
        <f aca="false">IF($A3770="","",IF($B3770="","NO ACCOUNT",IF($Q3770=0,"UNMAPPED",IF($R3770=-1,"OUTSIDE FY RANGE","OK"))))</f>
        <v/>
      </c>
      <c r="U3770" s="40" t="str">
        <f aca="false">IF($A3770="","",$B3770&amp;"|"&amp;TEXT($A3770,"yyyymmdd")&amp;"|"&amp;TEXT($I3770,"0.00"))</f>
        <v/>
      </c>
      <c r="V3770" s="35" t="str">
        <f aca="false">IF($A3770="","",COUNTIF($U$8:$U$5007,$U3770))</f>
        <v/>
      </c>
    </row>
    <row r="3771" customFormat="false" ht="15" hidden="false" customHeight="false" outlineLevel="0" collapsed="false">
      <c r="A3771" s="31"/>
      <c r="B3771" s="32"/>
      <c r="C3771" s="32"/>
      <c r="D3771" s="32"/>
      <c r="E3771" s="32"/>
      <c r="F3771" s="32"/>
      <c r="G3771" s="33"/>
      <c r="H3771" s="33"/>
      <c r="I3771" s="34" t="str">
        <f aca="false">IF($A3771="","",$G3771-$H3771)</f>
        <v/>
      </c>
      <c r="J3771" s="35" t="str">
        <f aca="false">IF($A3771="","",IF(Setup!$B$6=1,YEAR($A3771),YEAR($A3771)+IF(MONTH($A3771)&gt;=Setup!$B$6,1,0)))</f>
        <v/>
      </c>
      <c r="K3771" s="35" t="str">
        <f aca="false">IF($A3771="","",MOD(MONTH($A3771)-Setup!$B$6+12,12)+1)</f>
        <v/>
      </c>
      <c r="L3771" s="36" t="str">
        <f aca="false">IF($A3771="","",TEXT($A3771,"MMM-YY"))</f>
        <v/>
      </c>
      <c r="M3771" s="37" t="str">
        <f aca="false">IF($A3771="","",IF($Q3771=0,"UNMAPPED",INDEX(COA_Mapping!$C$7:$C$256,$Q3771)))</f>
        <v/>
      </c>
      <c r="N3771" s="38" t="str">
        <f aca="false">IF($A3771="","",IF($Q3771=0,"",INDEX(COA_Mapping!$E$7:$E$256,$Q3771)))</f>
        <v/>
      </c>
      <c r="O3771" s="38" t="n">
        <f aca="false">IF($A3771="",1,IF($Q3771=0,1,INDEX(COA_Mapping!$F$7:$F$256,$Q3771)))</f>
        <v>1</v>
      </c>
      <c r="P3771" s="34" t="str">
        <f aca="false">IF($A3771="","",$I3771*$O3771)</f>
        <v/>
      </c>
      <c r="Q3771" s="39" t="n">
        <f aca="false">IF($B3771="",0,IFERROR(MATCH($B3771,COA_Mapping!$A$7:$A$256,0),0))</f>
        <v>0</v>
      </c>
      <c r="R3771" s="39" t="n">
        <f aca="false">IF($A3771="",-1,IF($J3771=Setup!$B$7,1,IF($J3771=Setup!$B$9,0,-1)))</f>
        <v>-1</v>
      </c>
      <c r="S3771" s="35" t="n">
        <f aca="false">IF(OR($A3771="",$Q3771=0,$R3771=-1),0,$Q3771*1000+$R3771*100+$K3771)</f>
        <v>0</v>
      </c>
      <c r="T3771" s="37" t="str">
        <f aca="false">IF($A3771="","",IF($B3771="","NO ACCOUNT",IF($Q3771=0,"UNMAPPED",IF($R3771=-1,"OUTSIDE FY RANGE","OK"))))</f>
        <v/>
      </c>
      <c r="U3771" s="40" t="str">
        <f aca="false">IF($A3771="","",$B3771&amp;"|"&amp;TEXT($A3771,"yyyymmdd")&amp;"|"&amp;TEXT($I3771,"0.00"))</f>
        <v/>
      </c>
      <c r="V3771" s="35" t="str">
        <f aca="false">IF($A3771="","",COUNTIF($U$8:$U$5007,$U3771))</f>
        <v/>
      </c>
    </row>
    <row r="3772" customFormat="false" ht="15" hidden="false" customHeight="false" outlineLevel="0" collapsed="false">
      <c r="A3772" s="31"/>
      <c r="B3772" s="32"/>
      <c r="C3772" s="32"/>
      <c r="D3772" s="32"/>
      <c r="E3772" s="32"/>
      <c r="F3772" s="32"/>
      <c r="G3772" s="33"/>
      <c r="H3772" s="33"/>
      <c r="I3772" s="34" t="str">
        <f aca="false">IF($A3772="","",$G3772-$H3772)</f>
        <v/>
      </c>
      <c r="J3772" s="35" t="str">
        <f aca="false">IF($A3772="","",IF(Setup!$B$6=1,YEAR($A3772),YEAR($A3772)+IF(MONTH($A3772)&gt;=Setup!$B$6,1,0)))</f>
        <v/>
      </c>
      <c r="K3772" s="35" t="str">
        <f aca="false">IF($A3772="","",MOD(MONTH($A3772)-Setup!$B$6+12,12)+1)</f>
        <v/>
      </c>
      <c r="L3772" s="36" t="str">
        <f aca="false">IF($A3772="","",TEXT($A3772,"MMM-YY"))</f>
        <v/>
      </c>
      <c r="M3772" s="37" t="str">
        <f aca="false">IF($A3772="","",IF($Q3772=0,"UNMAPPED",INDEX(COA_Mapping!$C$7:$C$256,$Q3772)))</f>
        <v/>
      </c>
      <c r="N3772" s="38" t="str">
        <f aca="false">IF($A3772="","",IF($Q3772=0,"",INDEX(COA_Mapping!$E$7:$E$256,$Q3772)))</f>
        <v/>
      </c>
      <c r="O3772" s="38" t="n">
        <f aca="false">IF($A3772="",1,IF($Q3772=0,1,INDEX(COA_Mapping!$F$7:$F$256,$Q3772)))</f>
        <v>1</v>
      </c>
      <c r="P3772" s="34" t="str">
        <f aca="false">IF($A3772="","",$I3772*$O3772)</f>
        <v/>
      </c>
      <c r="Q3772" s="39" t="n">
        <f aca="false">IF($B3772="",0,IFERROR(MATCH($B3772,COA_Mapping!$A$7:$A$256,0),0))</f>
        <v>0</v>
      </c>
      <c r="R3772" s="39" t="n">
        <f aca="false">IF($A3772="",-1,IF($J3772=Setup!$B$7,1,IF($J3772=Setup!$B$9,0,-1)))</f>
        <v>-1</v>
      </c>
      <c r="S3772" s="35" t="n">
        <f aca="false">IF(OR($A3772="",$Q3772=0,$R3772=-1),0,$Q3772*1000+$R3772*100+$K3772)</f>
        <v>0</v>
      </c>
      <c r="T3772" s="37" t="str">
        <f aca="false">IF($A3772="","",IF($B3772="","NO ACCOUNT",IF($Q3772=0,"UNMAPPED",IF($R3772=-1,"OUTSIDE FY RANGE","OK"))))</f>
        <v/>
      </c>
      <c r="U3772" s="40" t="str">
        <f aca="false">IF($A3772="","",$B3772&amp;"|"&amp;TEXT($A3772,"yyyymmdd")&amp;"|"&amp;TEXT($I3772,"0.00"))</f>
        <v/>
      </c>
      <c r="V3772" s="35" t="str">
        <f aca="false">IF($A3772="","",COUNTIF($U$8:$U$5007,$U3772))</f>
        <v/>
      </c>
    </row>
    <row r="3773" customFormat="false" ht="15" hidden="false" customHeight="false" outlineLevel="0" collapsed="false">
      <c r="A3773" s="31"/>
      <c r="B3773" s="32"/>
      <c r="C3773" s="32"/>
      <c r="D3773" s="32"/>
      <c r="E3773" s="32"/>
      <c r="F3773" s="32"/>
      <c r="G3773" s="33"/>
      <c r="H3773" s="33"/>
      <c r="I3773" s="34" t="str">
        <f aca="false">IF($A3773="","",$G3773-$H3773)</f>
        <v/>
      </c>
      <c r="J3773" s="35" t="str">
        <f aca="false">IF($A3773="","",IF(Setup!$B$6=1,YEAR($A3773),YEAR($A3773)+IF(MONTH($A3773)&gt;=Setup!$B$6,1,0)))</f>
        <v/>
      </c>
      <c r="K3773" s="35" t="str">
        <f aca="false">IF($A3773="","",MOD(MONTH($A3773)-Setup!$B$6+12,12)+1)</f>
        <v/>
      </c>
      <c r="L3773" s="36" t="str">
        <f aca="false">IF($A3773="","",TEXT($A3773,"MMM-YY"))</f>
        <v/>
      </c>
      <c r="M3773" s="37" t="str">
        <f aca="false">IF($A3773="","",IF($Q3773=0,"UNMAPPED",INDEX(COA_Mapping!$C$7:$C$256,$Q3773)))</f>
        <v/>
      </c>
      <c r="N3773" s="38" t="str">
        <f aca="false">IF($A3773="","",IF($Q3773=0,"",INDEX(COA_Mapping!$E$7:$E$256,$Q3773)))</f>
        <v/>
      </c>
      <c r="O3773" s="38" t="n">
        <f aca="false">IF($A3773="",1,IF($Q3773=0,1,INDEX(COA_Mapping!$F$7:$F$256,$Q3773)))</f>
        <v>1</v>
      </c>
      <c r="P3773" s="34" t="str">
        <f aca="false">IF($A3773="","",$I3773*$O3773)</f>
        <v/>
      </c>
      <c r="Q3773" s="39" t="n">
        <f aca="false">IF($B3773="",0,IFERROR(MATCH($B3773,COA_Mapping!$A$7:$A$256,0),0))</f>
        <v>0</v>
      </c>
      <c r="R3773" s="39" t="n">
        <f aca="false">IF($A3773="",-1,IF($J3773=Setup!$B$7,1,IF($J3773=Setup!$B$9,0,-1)))</f>
        <v>-1</v>
      </c>
      <c r="S3773" s="35" t="n">
        <f aca="false">IF(OR($A3773="",$Q3773=0,$R3773=-1),0,$Q3773*1000+$R3773*100+$K3773)</f>
        <v>0</v>
      </c>
      <c r="T3773" s="37" t="str">
        <f aca="false">IF($A3773="","",IF($B3773="","NO ACCOUNT",IF($Q3773=0,"UNMAPPED",IF($R3773=-1,"OUTSIDE FY RANGE","OK"))))</f>
        <v/>
      </c>
      <c r="U3773" s="40" t="str">
        <f aca="false">IF($A3773="","",$B3773&amp;"|"&amp;TEXT($A3773,"yyyymmdd")&amp;"|"&amp;TEXT($I3773,"0.00"))</f>
        <v/>
      </c>
      <c r="V3773" s="35" t="str">
        <f aca="false">IF($A3773="","",COUNTIF($U$8:$U$5007,$U3773))</f>
        <v/>
      </c>
    </row>
    <row r="3774" customFormat="false" ht="15" hidden="false" customHeight="false" outlineLevel="0" collapsed="false">
      <c r="A3774" s="31"/>
      <c r="B3774" s="32"/>
      <c r="C3774" s="32"/>
      <c r="D3774" s="32"/>
      <c r="E3774" s="32"/>
      <c r="F3774" s="32"/>
      <c r="G3774" s="33"/>
      <c r="H3774" s="33"/>
      <c r="I3774" s="34" t="str">
        <f aca="false">IF($A3774="","",$G3774-$H3774)</f>
        <v/>
      </c>
      <c r="J3774" s="35" t="str">
        <f aca="false">IF($A3774="","",IF(Setup!$B$6=1,YEAR($A3774),YEAR($A3774)+IF(MONTH($A3774)&gt;=Setup!$B$6,1,0)))</f>
        <v/>
      </c>
      <c r="K3774" s="35" t="str">
        <f aca="false">IF($A3774="","",MOD(MONTH($A3774)-Setup!$B$6+12,12)+1)</f>
        <v/>
      </c>
      <c r="L3774" s="36" t="str">
        <f aca="false">IF($A3774="","",TEXT($A3774,"MMM-YY"))</f>
        <v/>
      </c>
      <c r="M3774" s="37" t="str">
        <f aca="false">IF($A3774="","",IF($Q3774=0,"UNMAPPED",INDEX(COA_Mapping!$C$7:$C$256,$Q3774)))</f>
        <v/>
      </c>
      <c r="N3774" s="38" t="str">
        <f aca="false">IF($A3774="","",IF($Q3774=0,"",INDEX(COA_Mapping!$E$7:$E$256,$Q3774)))</f>
        <v/>
      </c>
      <c r="O3774" s="38" t="n">
        <f aca="false">IF($A3774="",1,IF($Q3774=0,1,INDEX(COA_Mapping!$F$7:$F$256,$Q3774)))</f>
        <v>1</v>
      </c>
      <c r="P3774" s="34" t="str">
        <f aca="false">IF($A3774="","",$I3774*$O3774)</f>
        <v/>
      </c>
      <c r="Q3774" s="39" t="n">
        <f aca="false">IF($B3774="",0,IFERROR(MATCH($B3774,COA_Mapping!$A$7:$A$256,0),0))</f>
        <v>0</v>
      </c>
      <c r="R3774" s="39" t="n">
        <f aca="false">IF($A3774="",-1,IF($J3774=Setup!$B$7,1,IF($J3774=Setup!$B$9,0,-1)))</f>
        <v>-1</v>
      </c>
      <c r="S3774" s="35" t="n">
        <f aca="false">IF(OR($A3774="",$Q3774=0,$R3774=-1),0,$Q3774*1000+$R3774*100+$K3774)</f>
        <v>0</v>
      </c>
      <c r="T3774" s="37" t="str">
        <f aca="false">IF($A3774="","",IF($B3774="","NO ACCOUNT",IF($Q3774=0,"UNMAPPED",IF($R3774=-1,"OUTSIDE FY RANGE","OK"))))</f>
        <v/>
      </c>
      <c r="U3774" s="40" t="str">
        <f aca="false">IF($A3774="","",$B3774&amp;"|"&amp;TEXT($A3774,"yyyymmdd")&amp;"|"&amp;TEXT($I3774,"0.00"))</f>
        <v/>
      </c>
      <c r="V3774" s="35" t="str">
        <f aca="false">IF($A3774="","",COUNTIF($U$8:$U$5007,$U3774))</f>
        <v/>
      </c>
    </row>
    <row r="3775" customFormat="false" ht="15" hidden="false" customHeight="false" outlineLevel="0" collapsed="false">
      <c r="A3775" s="31"/>
      <c r="B3775" s="32"/>
      <c r="C3775" s="32"/>
      <c r="D3775" s="32"/>
      <c r="E3775" s="32"/>
      <c r="F3775" s="32"/>
      <c r="G3775" s="33"/>
      <c r="H3775" s="33"/>
      <c r="I3775" s="34" t="str">
        <f aca="false">IF($A3775="","",$G3775-$H3775)</f>
        <v/>
      </c>
      <c r="J3775" s="35" t="str">
        <f aca="false">IF($A3775="","",IF(Setup!$B$6=1,YEAR($A3775),YEAR($A3775)+IF(MONTH($A3775)&gt;=Setup!$B$6,1,0)))</f>
        <v/>
      </c>
      <c r="K3775" s="35" t="str">
        <f aca="false">IF($A3775="","",MOD(MONTH($A3775)-Setup!$B$6+12,12)+1)</f>
        <v/>
      </c>
      <c r="L3775" s="36" t="str">
        <f aca="false">IF($A3775="","",TEXT($A3775,"MMM-YY"))</f>
        <v/>
      </c>
      <c r="M3775" s="37" t="str">
        <f aca="false">IF($A3775="","",IF($Q3775=0,"UNMAPPED",INDEX(COA_Mapping!$C$7:$C$256,$Q3775)))</f>
        <v/>
      </c>
      <c r="N3775" s="38" t="str">
        <f aca="false">IF($A3775="","",IF($Q3775=0,"",INDEX(COA_Mapping!$E$7:$E$256,$Q3775)))</f>
        <v/>
      </c>
      <c r="O3775" s="38" t="n">
        <f aca="false">IF($A3775="",1,IF($Q3775=0,1,INDEX(COA_Mapping!$F$7:$F$256,$Q3775)))</f>
        <v>1</v>
      </c>
      <c r="P3775" s="34" t="str">
        <f aca="false">IF($A3775="","",$I3775*$O3775)</f>
        <v/>
      </c>
      <c r="Q3775" s="39" t="n">
        <f aca="false">IF($B3775="",0,IFERROR(MATCH($B3775,COA_Mapping!$A$7:$A$256,0),0))</f>
        <v>0</v>
      </c>
      <c r="R3775" s="39" t="n">
        <f aca="false">IF($A3775="",-1,IF($J3775=Setup!$B$7,1,IF($J3775=Setup!$B$9,0,-1)))</f>
        <v>-1</v>
      </c>
      <c r="S3775" s="35" t="n">
        <f aca="false">IF(OR($A3775="",$Q3775=0,$R3775=-1),0,$Q3775*1000+$R3775*100+$K3775)</f>
        <v>0</v>
      </c>
      <c r="T3775" s="37" t="str">
        <f aca="false">IF($A3775="","",IF($B3775="","NO ACCOUNT",IF($Q3775=0,"UNMAPPED",IF($R3775=-1,"OUTSIDE FY RANGE","OK"))))</f>
        <v/>
      </c>
      <c r="U3775" s="40" t="str">
        <f aca="false">IF($A3775="","",$B3775&amp;"|"&amp;TEXT($A3775,"yyyymmdd")&amp;"|"&amp;TEXT($I3775,"0.00"))</f>
        <v/>
      </c>
      <c r="V3775" s="35" t="str">
        <f aca="false">IF($A3775="","",COUNTIF($U$8:$U$5007,$U3775))</f>
        <v/>
      </c>
    </row>
    <row r="3776" customFormat="false" ht="15" hidden="false" customHeight="false" outlineLevel="0" collapsed="false">
      <c r="A3776" s="31"/>
      <c r="B3776" s="32"/>
      <c r="C3776" s="32"/>
      <c r="D3776" s="32"/>
      <c r="E3776" s="32"/>
      <c r="F3776" s="32"/>
      <c r="G3776" s="33"/>
      <c r="H3776" s="33"/>
      <c r="I3776" s="34" t="str">
        <f aca="false">IF($A3776="","",$G3776-$H3776)</f>
        <v/>
      </c>
      <c r="J3776" s="35" t="str">
        <f aca="false">IF($A3776="","",IF(Setup!$B$6=1,YEAR($A3776),YEAR($A3776)+IF(MONTH($A3776)&gt;=Setup!$B$6,1,0)))</f>
        <v/>
      </c>
      <c r="K3776" s="35" t="str">
        <f aca="false">IF($A3776="","",MOD(MONTH($A3776)-Setup!$B$6+12,12)+1)</f>
        <v/>
      </c>
      <c r="L3776" s="36" t="str">
        <f aca="false">IF($A3776="","",TEXT($A3776,"MMM-YY"))</f>
        <v/>
      </c>
      <c r="M3776" s="37" t="str">
        <f aca="false">IF($A3776="","",IF($Q3776=0,"UNMAPPED",INDEX(COA_Mapping!$C$7:$C$256,$Q3776)))</f>
        <v/>
      </c>
      <c r="N3776" s="38" t="str">
        <f aca="false">IF($A3776="","",IF($Q3776=0,"",INDEX(COA_Mapping!$E$7:$E$256,$Q3776)))</f>
        <v/>
      </c>
      <c r="O3776" s="38" t="n">
        <f aca="false">IF($A3776="",1,IF($Q3776=0,1,INDEX(COA_Mapping!$F$7:$F$256,$Q3776)))</f>
        <v>1</v>
      </c>
      <c r="P3776" s="34" t="str">
        <f aca="false">IF($A3776="","",$I3776*$O3776)</f>
        <v/>
      </c>
      <c r="Q3776" s="39" t="n">
        <f aca="false">IF($B3776="",0,IFERROR(MATCH($B3776,COA_Mapping!$A$7:$A$256,0),0))</f>
        <v>0</v>
      </c>
      <c r="R3776" s="39" t="n">
        <f aca="false">IF($A3776="",-1,IF($J3776=Setup!$B$7,1,IF($J3776=Setup!$B$9,0,-1)))</f>
        <v>-1</v>
      </c>
      <c r="S3776" s="35" t="n">
        <f aca="false">IF(OR($A3776="",$Q3776=0,$R3776=-1),0,$Q3776*1000+$R3776*100+$K3776)</f>
        <v>0</v>
      </c>
      <c r="T3776" s="37" t="str">
        <f aca="false">IF($A3776="","",IF($B3776="","NO ACCOUNT",IF($Q3776=0,"UNMAPPED",IF($R3776=-1,"OUTSIDE FY RANGE","OK"))))</f>
        <v/>
      </c>
      <c r="U3776" s="40" t="str">
        <f aca="false">IF($A3776="","",$B3776&amp;"|"&amp;TEXT($A3776,"yyyymmdd")&amp;"|"&amp;TEXT($I3776,"0.00"))</f>
        <v/>
      </c>
      <c r="V3776" s="35" t="str">
        <f aca="false">IF($A3776="","",COUNTIF($U$8:$U$5007,$U3776))</f>
        <v/>
      </c>
    </row>
    <row r="3777" customFormat="false" ht="15" hidden="false" customHeight="false" outlineLevel="0" collapsed="false">
      <c r="A3777" s="31"/>
      <c r="B3777" s="32"/>
      <c r="C3777" s="32"/>
      <c r="D3777" s="32"/>
      <c r="E3777" s="32"/>
      <c r="F3777" s="32"/>
      <c r="G3777" s="33"/>
      <c r="H3777" s="33"/>
      <c r="I3777" s="34" t="str">
        <f aca="false">IF($A3777="","",$G3777-$H3777)</f>
        <v/>
      </c>
      <c r="J3777" s="35" t="str">
        <f aca="false">IF($A3777="","",IF(Setup!$B$6=1,YEAR($A3777),YEAR($A3777)+IF(MONTH($A3777)&gt;=Setup!$B$6,1,0)))</f>
        <v/>
      </c>
      <c r="K3777" s="35" t="str">
        <f aca="false">IF($A3777="","",MOD(MONTH($A3777)-Setup!$B$6+12,12)+1)</f>
        <v/>
      </c>
      <c r="L3777" s="36" t="str">
        <f aca="false">IF($A3777="","",TEXT($A3777,"MMM-YY"))</f>
        <v/>
      </c>
      <c r="M3777" s="37" t="str">
        <f aca="false">IF($A3777="","",IF($Q3777=0,"UNMAPPED",INDEX(COA_Mapping!$C$7:$C$256,$Q3777)))</f>
        <v/>
      </c>
      <c r="N3777" s="38" t="str">
        <f aca="false">IF($A3777="","",IF($Q3777=0,"",INDEX(COA_Mapping!$E$7:$E$256,$Q3777)))</f>
        <v/>
      </c>
      <c r="O3777" s="38" t="n">
        <f aca="false">IF($A3777="",1,IF($Q3777=0,1,INDEX(COA_Mapping!$F$7:$F$256,$Q3777)))</f>
        <v>1</v>
      </c>
      <c r="P3777" s="34" t="str">
        <f aca="false">IF($A3777="","",$I3777*$O3777)</f>
        <v/>
      </c>
      <c r="Q3777" s="39" t="n">
        <f aca="false">IF($B3777="",0,IFERROR(MATCH($B3777,COA_Mapping!$A$7:$A$256,0),0))</f>
        <v>0</v>
      </c>
      <c r="R3777" s="39" t="n">
        <f aca="false">IF($A3777="",-1,IF($J3777=Setup!$B$7,1,IF($J3777=Setup!$B$9,0,-1)))</f>
        <v>-1</v>
      </c>
      <c r="S3777" s="35" t="n">
        <f aca="false">IF(OR($A3777="",$Q3777=0,$R3777=-1),0,$Q3777*1000+$R3777*100+$K3777)</f>
        <v>0</v>
      </c>
      <c r="T3777" s="37" t="str">
        <f aca="false">IF($A3777="","",IF($B3777="","NO ACCOUNT",IF($Q3777=0,"UNMAPPED",IF($R3777=-1,"OUTSIDE FY RANGE","OK"))))</f>
        <v/>
      </c>
      <c r="U3777" s="40" t="str">
        <f aca="false">IF($A3777="","",$B3777&amp;"|"&amp;TEXT($A3777,"yyyymmdd")&amp;"|"&amp;TEXT($I3777,"0.00"))</f>
        <v/>
      </c>
      <c r="V3777" s="35" t="str">
        <f aca="false">IF($A3777="","",COUNTIF($U$8:$U$5007,$U3777))</f>
        <v/>
      </c>
    </row>
    <row r="3778" customFormat="false" ht="15" hidden="false" customHeight="false" outlineLevel="0" collapsed="false">
      <c r="A3778" s="31"/>
      <c r="B3778" s="32"/>
      <c r="C3778" s="32"/>
      <c r="D3778" s="32"/>
      <c r="E3778" s="32"/>
      <c r="F3778" s="32"/>
      <c r="G3778" s="33"/>
      <c r="H3778" s="33"/>
      <c r="I3778" s="34" t="str">
        <f aca="false">IF($A3778="","",$G3778-$H3778)</f>
        <v/>
      </c>
      <c r="J3778" s="35" t="str">
        <f aca="false">IF($A3778="","",IF(Setup!$B$6=1,YEAR($A3778),YEAR($A3778)+IF(MONTH($A3778)&gt;=Setup!$B$6,1,0)))</f>
        <v/>
      </c>
      <c r="K3778" s="35" t="str">
        <f aca="false">IF($A3778="","",MOD(MONTH($A3778)-Setup!$B$6+12,12)+1)</f>
        <v/>
      </c>
      <c r="L3778" s="36" t="str">
        <f aca="false">IF($A3778="","",TEXT($A3778,"MMM-YY"))</f>
        <v/>
      </c>
      <c r="M3778" s="37" t="str">
        <f aca="false">IF($A3778="","",IF($Q3778=0,"UNMAPPED",INDEX(COA_Mapping!$C$7:$C$256,$Q3778)))</f>
        <v/>
      </c>
      <c r="N3778" s="38" t="str">
        <f aca="false">IF($A3778="","",IF($Q3778=0,"",INDEX(COA_Mapping!$E$7:$E$256,$Q3778)))</f>
        <v/>
      </c>
      <c r="O3778" s="38" t="n">
        <f aca="false">IF($A3778="",1,IF($Q3778=0,1,INDEX(COA_Mapping!$F$7:$F$256,$Q3778)))</f>
        <v>1</v>
      </c>
      <c r="P3778" s="34" t="str">
        <f aca="false">IF($A3778="","",$I3778*$O3778)</f>
        <v/>
      </c>
      <c r="Q3778" s="39" t="n">
        <f aca="false">IF($B3778="",0,IFERROR(MATCH($B3778,COA_Mapping!$A$7:$A$256,0),0))</f>
        <v>0</v>
      </c>
      <c r="R3778" s="39" t="n">
        <f aca="false">IF($A3778="",-1,IF($J3778=Setup!$B$7,1,IF($J3778=Setup!$B$9,0,-1)))</f>
        <v>-1</v>
      </c>
      <c r="S3778" s="35" t="n">
        <f aca="false">IF(OR($A3778="",$Q3778=0,$R3778=-1),0,$Q3778*1000+$R3778*100+$K3778)</f>
        <v>0</v>
      </c>
      <c r="T3778" s="37" t="str">
        <f aca="false">IF($A3778="","",IF($B3778="","NO ACCOUNT",IF($Q3778=0,"UNMAPPED",IF($R3778=-1,"OUTSIDE FY RANGE","OK"))))</f>
        <v/>
      </c>
      <c r="U3778" s="40" t="str">
        <f aca="false">IF($A3778="","",$B3778&amp;"|"&amp;TEXT($A3778,"yyyymmdd")&amp;"|"&amp;TEXT($I3778,"0.00"))</f>
        <v/>
      </c>
      <c r="V3778" s="35" t="str">
        <f aca="false">IF($A3778="","",COUNTIF($U$8:$U$5007,$U3778))</f>
        <v/>
      </c>
    </row>
    <row r="3779" customFormat="false" ht="15" hidden="false" customHeight="false" outlineLevel="0" collapsed="false">
      <c r="A3779" s="31"/>
      <c r="B3779" s="32"/>
      <c r="C3779" s="32"/>
      <c r="D3779" s="32"/>
      <c r="E3779" s="32"/>
      <c r="F3779" s="32"/>
      <c r="G3779" s="33"/>
      <c r="H3779" s="33"/>
      <c r="I3779" s="34" t="str">
        <f aca="false">IF($A3779="","",$G3779-$H3779)</f>
        <v/>
      </c>
      <c r="J3779" s="35" t="str">
        <f aca="false">IF($A3779="","",IF(Setup!$B$6=1,YEAR($A3779),YEAR($A3779)+IF(MONTH($A3779)&gt;=Setup!$B$6,1,0)))</f>
        <v/>
      </c>
      <c r="K3779" s="35" t="str">
        <f aca="false">IF($A3779="","",MOD(MONTH($A3779)-Setup!$B$6+12,12)+1)</f>
        <v/>
      </c>
      <c r="L3779" s="36" t="str">
        <f aca="false">IF($A3779="","",TEXT($A3779,"MMM-YY"))</f>
        <v/>
      </c>
      <c r="M3779" s="37" t="str">
        <f aca="false">IF($A3779="","",IF($Q3779=0,"UNMAPPED",INDEX(COA_Mapping!$C$7:$C$256,$Q3779)))</f>
        <v/>
      </c>
      <c r="N3779" s="38" t="str">
        <f aca="false">IF($A3779="","",IF($Q3779=0,"",INDEX(COA_Mapping!$E$7:$E$256,$Q3779)))</f>
        <v/>
      </c>
      <c r="O3779" s="38" t="n">
        <f aca="false">IF($A3779="",1,IF($Q3779=0,1,INDEX(COA_Mapping!$F$7:$F$256,$Q3779)))</f>
        <v>1</v>
      </c>
      <c r="P3779" s="34" t="str">
        <f aca="false">IF($A3779="","",$I3779*$O3779)</f>
        <v/>
      </c>
      <c r="Q3779" s="39" t="n">
        <f aca="false">IF($B3779="",0,IFERROR(MATCH($B3779,COA_Mapping!$A$7:$A$256,0),0))</f>
        <v>0</v>
      </c>
      <c r="R3779" s="39" t="n">
        <f aca="false">IF($A3779="",-1,IF($J3779=Setup!$B$7,1,IF($J3779=Setup!$B$9,0,-1)))</f>
        <v>-1</v>
      </c>
      <c r="S3779" s="35" t="n">
        <f aca="false">IF(OR($A3779="",$Q3779=0,$R3779=-1),0,$Q3779*1000+$R3779*100+$K3779)</f>
        <v>0</v>
      </c>
      <c r="T3779" s="37" t="str">
        <f aca="false">IF($A3779="","",IF($B3779="","NO ACCOUNT",IF($Q3779=0,"UNMAPPED",IF($R3779=-1,"OUTSIDE FY RANGE","OK"))))</f>
        <v/>
      </c>
      <c r="U3779" s="40" t="str">
        <f aca="false">IF($A3779="","",$B3779&amp;"|"&amp;TEXT($A3779,"yyyymmdd")&amp;"|"&amp;TEXT($I3779,"0.00"))</f>
        <v/>
      </c>
      <c r="V3779" s="35" t="str">
        <f aca="false">IF($A3779="","",COUNTIF($U$8:$U$5007,$U3779))</f>
        <v/>
      </c>
    </row>
    <row r="3780" customFormat="false" ht="15" hidden="false" customHeight="false" outlineLevel="0" collapsed="false">
      <c r="A3780" s="31"/>
      <c r="B3780" s="32"/>
      <c r="C3780" s="32"/>
      <c r="D3780" s="32"/>
      <c r="E3780" s="32"/>
      <c r="F3780" s="32"/>
      <c r="G3780" s="33"/>
      <c r="H3780" s="33"/>
      <c r="I3780" s="34" t="str">
        <f aca="false">IF($A3780="","",$G3780-$H3780)</f>
        <v/>
      </c>
      <c r="J3780" s="35" t="str">
        <f aca="false">IF($A3780="","",IF(Setup!$B$6=1,YEAR($A3780),YEAR($A3780)+IF(MONTH($A3780)&gt;=Setup!$B$6,1,0)))</f>
        <v/>
      </c>
      <c r="K3780" s="35" t="str">
        <f aca="false">IF($A3780="","",MOD(MONTH($A3780)-Setup!$B$6+12,12)+1)</f>
        <v/>
      </c>
      <c r="L3780" s="36" t="str">
        <f aca="false">IF($A3780="","",TEXT($A3780,"MMM-YY"))</f>
        <v/>
      </c>
      <c r="M3780" s="37" t="str">
        <f aca="false">IF($A3780="","",IF($Q3780=0,"UNMAPPED",INDEX(COA_Mapping!$C$7:$C$256,$Q3780)))</f>
        <v/>
      </c>
      <c r="N3780" s="38" t="str">
        <f aca="false">IF($A3780="","",IF($Q3780=0,"",INDEX(COA_Mapping!$E$7:$E$256,$Q3780)))</f>
        <v/>
      </c>
      <c r="O3780" s="38" t="n">
        <f aca="false">IF($A3780="",1,IF($Q3780=0,1,INDEX(COA_Mapping!$F$7:$F$256,$Q3780)))</f>
        <v>1</v>
      </c>
      <c r="P3780" s="34" t="str">
        <f aca="false">IF($A3780="","",$I3780*$O3780)</f>
        <v/>
      </c>
      <c r="Q3780" s="39" t="n">
        <f aca="false">IF($B3780="",0,IFERROR(MATCH($B3780,COA_Mapping!$A$7:$A$256,0),0))</f>
        <v>0</v>
      </c>
      <c r="R3780" s="39" t="n">
        <f aca="false">IF($A3780="",-1,IF($J3780=Setup!$B$7,1,IF($J3780=Setup!$B$9,0,-1)))</f>
        <v>-1</v>
      </c>
      <c r="S3780" s="35" t="n">
        <f aca="false">IF(OR($A3780="",$Q3780=0,$R3780=-1),0,$Q3780*1000+$R3780*100+$K3780)</f>
        <v>0</v>
      </c>
      <c r="T3780" s="37" t="str">
        <f aca="false">IF($A3780="","",IF($B3780="","NO ACCOUNT",IF($Q3780=0,"UNMAPPED",IF($R3780=-1,"OUTSIDE FY RANGE","OK"))))</f>
        <v/>
      </c>
      <c r="U3780" s="40" t="str">
        <f aca="false">IF($A3780="","",$B3780&amp;"|"&amp;TEXT($A3780,"yyyymmdd")&amp;"|"&amp;TEXT($I3780,"0.00"))</f>
        <v/>
      </c>
      <c r="V3780" s="35" t="str">
        <f aca="false">IF($A3780="","",COUNTIF($U$8:$U$5007,$U3780))</f>
        <v/>
      </c>
    </row>
    <row r="3781" customFormat="false" ht="15" hidden="false" customHeight="false" outlineLevel="0" collapsed="false">
      <c r="A3781" s="31"/>
      <c r="B3781" s="32"/>
      <c r="C3781" s="32"/>
      <c r="D3781" s="32"/>
      <c r="E3781" s="32"/>
      <c r="F3781" s="32"/>
      <c r="G3781" s="33"/>
      <c r="H3781" s="33"/>
      <c r="I3781" s="34" t="str">
        <f aca="false">IF($A3781="","",$G3781-$H3781)</f>
        <v/>
      </c>
      <c r="J3781" s="35" t="str">
        <f aca="false">IF($A3781="","",IF(Setup!$B$6=1,YEAR($A3781),YEAR($A3781)+IF(MONTH($A3781)&gt;=Setup!$B$6,1,0)))</f>
        <v/>
      </c>
      <c r="K3781" s="35" t="str">
        <f aca="false">IF($A3781="","",MOD(MONTH($A3781)-Setup!$B$6+12,12)+1)</f>
        <v/>
      </c>
      <c r="L3781" s="36" t="str">
        <f aca="false">IF($A3781="","",TEXT($A3781,"MMM-YY"))</f>
        <v/>
      </c>
      <c r="M3781" s="37" t="str">
        <f aca="false">IF($A3781="","",IF($Q3781=0,"UNMAPPED",INDEX(COA_Mapping!$C$7:$C$256,$Q3781)))</f>
        <v/>
      </c>
      <c r="N3781" s="38" t="str">
        <f aca="false">IF($A3781="","",IF($Q3781=0,"",INDEX(COA_Mapping!$E$7:$E$256,$Q3781)))</f>
        <v/>
      </c>
      <c r="O3781" s="38" t="n">
        <f aca="false">IF($A3781="",1,IF($Q3781=0,1,INDEX(COA_Mapping!$F$7:$F$256,$Q3781)))</f>
        <v>1</v>
      </c>
      <c r="P3781" s="34" t="str">
        <f aca="false">IF($A3781="","",$I3781*$O3781)</f>
        <v/>
      </c>
      <c r="Q3781" s="39" t="n">
        <f aca="false">IF($B3781="",0,IFERROR(MATCH($B3781,COA_Mapping!$A$7:$A$256,0),0))</f>
        <v>0</v>
      </c>
      <c r="R3781" s="39" t="n">
        <f aca="false">IF($A3781="",-1,IF($J3781=Setup!$B$7,1,IF($J3781=Setup!$B$9,0,-1)))</f>
        <v>-1</v>
      </c>
      <c r="S3781" s="35" t="n">
        <f aca="false">IF(OR($A3781="",$Q3781=0,$R3781=-1),0,$Q3781*1000+$R3781*100+$K3781)</f>
        <v>0</v>
      </c>
      <c r="T3781" s="37" t="str">
        <f aca="false">IF($A3781="","",IF($B3781="","NO ACCOUNT",IF($Q3781=0,"UNMAPPED",IF($R3781=-1,"OUTSIDE FY RANGE","OK"))))</f>
        <v/>
      </c>
      <c r="U3781" s="40" t="str">
        <f aca="false">IF($A3781="","",$B3781&amp;"|"&amp;TEXT($A3781,"yyyymmdd")&amp;"|"&amp;TEXT($I3781,"0.00"))</f>
        <v/>
      </c>
      <c r="V3781" s="35" t="str">
        <f aca="false">IF($A3781="","",COUNTIF($U$8:$U$5007,$U3781))</f>
        <v/>
      </c>
    </row>
    <row r="3782" customFormat="false" ht="15" hidden="false" customHeight="false" outlineLevel="0" collapsed="false">
      <c r="A3782" s="31"/>
      <c r="B3782" s="32"/>
      <c r="C3782" s="32"/>
      <c r="D3782" s="32"/>
      <c r="E3782" s="32"/>
      <c r="F3782" s="32"/>
      <c r="G3782" s="33"/>
      <c r="H3782" s="33"/>
      <c r="I3782" s="34" t="str">
        <f aca="false">IF($A3782="","",$G3782-$H3782)</f>
        <v/>
      </c>
      <c r="J3782" s="35" t="str">
        <f aca="false">IF($A3782="","",IF(Setup!$B$6=1,YEAR($A3782),YEAR($A3782)+IF(MONTH($A3782)&gt;=Setup!$B$6,1,0)))</f>
        <v/>
      </c>
      <c r="K3782" s="35" t="str">
        <f aca="false">IF($A3782="","",MOD(MONTH($A3782)-Setup!$B$6+12,12)+1)</f>
        <v/>
      </c>
      <c r="L3782" s="36" t="str">
        <f aca="false">IF($A3782="","",TEXT($A3782,"MMM-YY"))</f>
        <v/>
      </c>
      <c r="M3782" s="37" t="str">
        <f aca="false">IF($A3782="","",IF($Q3782=0,"UNMAPPED",INDEX(COA_Mapping!$C$7:$C$256,$Q3782)))</f>
        <v/>
      </c>
      <c r="N3782" s="38" t="str">
        <f aca="false">IF($A3782="","",IF($Q3782=0,"",INDEX(COA_Mapping!$E$7:$E$256,$Q3782)))</f>
        <v/>
      </c>
      <c r="O3782" s="38" t="n">
        <f aca="false">IF($A3782="",1,IF($Q3782=0,1,INDEX(COA_Mapping!$F$7:$F$256,$Q3782)))</f>
        <v>1</v>
      </c>
      <c r="P3782" s="34" t="str">
        <f aca="false">IF($A3782="","",$I3782*$O3782)</f>
        <v/>
      </c>
      <c r="Q3782" s="39" t="n">
        <f aca="false">IF($B3782="",0,IFERROR(MATCH($B3782,COA_Mapping!$A$7:$A$256,0),0))</f>
        <v>0</v>
      </c>
      <c r="R3782" s="39" t="n">
        <f aca="false">IF($A3782="",-1,IF($J3782=Setup!$B$7,1,IF($J3782=Setup!$B$9,0,-1)))</f>
        <v>-1</v>
      </c>
      <c r="S3782" s="35" t="n">
        <f aca="false">IF(OR($A3782="",$Q3782=0,$R3782=-1),0,$Q3782*1000+$R3782*100+$K3782)</f>
        <v>0</v>
      </c>
      <c r="T3782" s="37" t="str">
        <f aca="false">IF($A3782="","",IF($B3782="","NO ACCOUNT",IF($Q3782=0,"UNMAPPED",IF($R3782=-1,"OUTSIDE FY RANGE","OK"))))</f>
        <v/>
      </c>
      <c r="U3782" s="40" t="str">
        <f aca="false">IF($A3782="","",$B3782&amp;"|"&amp;TEXT($A3782,"yyyymmdd")&amp;"|"&amp;TEXT($I3782,"0.00"))</f>
        <v/>
      </c>
      <c r="V3782" s="35" t="str">
        <f aca="false">IF($A3782="","",COUNTIF($U$8:$U$5007,$U3782))</f>
        <v/>
      </c>
    </row>
    <row r="3783" customFormat="false" ht="15" hidden="false" customHeight="false" outlineLevel="0" collapsed="false">
      <c r="A3783" s="31"/>
      <c r="B3783" s="32"/>
      <c r="C3783" s="32"/>
      <c r="D3783" s="32"/>
      <c r="E3783" s="32"/>
      <c r="F3783" s="32"/>
      <c r="G3783" s="33"/>
      <c r="H3783" s="33"/>
      <c r="I3783" s="34" t="str">
        <f aca="false">IF($A3783="","",$G3783-$H3783)</f>
        <v/>
      </c>
      <c r="J3783" s="35" t="str">
        <f aca="false">IF($A3783="","",IF(Setup!$B$6=1,YEAR($A3783),YEAR($A3783)+IF(MONTH($A3783)&gt;=Setup!$B$6,1,0)))</f>
        <v/>
      </c>
      <c r="K3783" s="35" t="str">
        <f aca="false">IF($A3783="","",MOD(MONTH($A3783)-Setup!$B$6+12,12)+1)</f>
        <v/>
      </c>
      <c r="L3783" s="36" t="str">
        <f aca="false">IF($A3783="","",TEXT($A3783,"MMM-YY"))</f>
        <v/>
      </c>
      <c r="M3783" s="37" t="str">
        <f aca="false">IF($A3783="","",IF($Q3783=0,"UNMAPPED",INDEX(COA_Mapping!$C$7:$C$256,$Q3783)))</f>
        <v/>
      </c>
      <c r="N3783" s="38" t="str">
        <f aca="false">IF($A3783="","",IF($Q3783=0,"",INDEX(COA_Mapping!$E$7:$E$256,$Q3783)))</f>
        <v/>
      </c>
      <c r="O3783" s="38" t="n">
        <f aca="false">IF($A3783="",1,IF($Q3783=0,1,INDEX(COA_Mapping!$F$7:$F$256,$Q3783)))</f>
        <v>1</v>
      </c>
      <c r="P3783" s="34" t="str">
        <f aca="false">IF($A3783="","",$I3783*$O3783)</f>
        <v/>
      </c>
      <c r="Q3783" s="39" t="n">
        <f aca="false">IF($B3783="",0,IFERROR(MATCH($B3783,COA_Mapping!$A$7:$A$256,0),0))</f>
        <v>0</v>
      </c>
      <c r="R3783" s="39" t="n">
        <f aca="false">IF($A3783="",-1,IF($J3783=Setup!$B$7,1,IF($J3783=Setup!$B$9,0,-1)))</f>
        <v>-1</v>
      </c>
      <c r="S3783" s="35" t="n">
        <f aca="false">IF(OR($A3783="",$Q3783=0,$R3783=-1),0,$Q3783*1000+$R3783*100+$K3783)</f>
        <v>0</v>
      </c>
      <c r="T3783" s="37" t="str">
        <f aca="false">IF($A3783="","",IF($B3783="","NO ACCOUNT",IF($Q3783=0,"UNMAPPED",IF($R3783=-1,"OUTSIDE FY RANGE","OK"))))</f>
        <v/>
      </c>
      <c r="U3783" s="40" t="str">
        <f aca="false">IF($A3783="","",$B3783&amp;"|"&amp;TEXT($A3783,"yyyymmdd")&amp;"|"&amp;TEXT($I3783,"0.00"))</f>
        <v/>
      </c>
      <c r="V3783" s="35" t="str">
        <f aca="false">IF($A3783="","",COUNTIF($U$8:$U$5007,$U3783))</f>
        <v/>
      </c>
    </row>
    <row r="3784" customFormat="false" ht="15" hidden="false" customHeight="false" outlineLevel="0" collapsed="false">
      <c r="A3784" s="31"/>
      <c r="B3784" s="32"/>
      <c r="C3784" s="32"/>
      <c r="D3784" s="32"/>
      <c r="E3784" s="32"/>
      <c r="F3784" s="32"/>
      <c r="G3784" s="33"/>
      <c r="H3784" s="33"/>
      <c r="I3784" s="34" t="str">
        <f aca="false">IF($A3784="","",$G3784-$H3784)</f>
        <v/>
      </c>
      <c r="J3784" s="35" t="str">
        <f aca="false">IF($A3784="","",IF(Setup!$B$6=1,YEAR($A3784),YEAR($A3784)+IF(MONTH($A3784)&gt;=Setup!$B$6,1,0)))</f>
        <v/>
      </c>
      <c r="K3784" s="35" t="str">
        <f aca="false">IF($A3784="","",MOD(MONTH($A3784)-Setup!$B$6+12,12)+1)</f>
        <v/>
      </c>
      <c r="L3784" s="36" t="str">
        <f aca="false">IF($A3784="","",TEXT($A3784,"MMM-YY"))</f>
        <v/>
      </c>
      <c r="M3784" s="37" t="str">
        <f aca="false">IF($A3784="","",IF($Q3784=0,"UNMAPPED",INDEX(COA_Mapping!$C$7:$C$256,$Q3784)))</f>
        <v/>
      </c>
      <c r="N3784" s="38" t="str">
        <f aca="false">IF($A3784="","",IF($Q3784=0,"",INDEX(COA_Mapping!$E$7:$E$256,$Q3784)))</f>
        <v/>
      </c>
      <c r="O3784" s="38" t="n">
        <f aca="false">IF($A3784="",1,IF($Q3784=0,1,INDEX(COA_Mapping!$F$7:$F$256,$Q3784)))</f>
        <v>1</v>
      </c>
      <c r="P3784" s="34" t="str">
        <f aca="false">IF($A3784="","",$I3784*$O3784)</f>
        <v/>
      </c>
      <c r="Q3784" s="39" t="n">
        <f aca="false">IF($B3784="",0,IFERROR(MATCH($B3784,COA_Mapping!$A$7:$A$256,0),0))</f>
        <v>0</v>
      </c>
      <c r="R3784" s="39" t="n">
        <f aca="false">IF($A3784="",-1,IF($J3784=Setup!$B$7,1,IF($J3784=Setup!$B$9,0,-1)))</f>
        <v>-1</v>
      </c>
      <c r="S3784" s="35" t="n">
        <f aca="false">IF(OR($A3784="",$Q3784=0,$R3784=-1),0,$Q3784*1000+$R3784*100+$K3784)</f>
        <v>0</v>
      </c>
      <c r="T3784" s="37" t="str">
        <f aca="false">IF($A3784="","",IF($B3784="","NO ACCOUNT",IF($Q3784=0,"UNMAPPED",IF($R3784=-1,"OUTSIDE FY RANGE","OK"))))</f>
        <v/>
      </c>
      <c r="U3784" s="40" t="str">
        <f aca="false">IF($A3784="","",$B3784&amp;"|"&amp;TEXT($A3784,"yyyymmdd")&amp;"|"&amp;TEXT($I3784,"0.00"))</f>
        <v/>
      </c>
      <c r="V3784" s="35" t="str">
        <f aca="false">IF($A3784="","",COUNTIF($U$8:$U$5007,$U3784))</f>
        <v/>
      </c>
    </row>
    <row r="3785" customFormat="false" ht="15" hidden="false" customHeight="false" outlineLevel="0" collapsed="false">
      <c r="A3785" s="31"/>
      <c r="B3785" s="32"/>
      <c r="C3785" s="32"/>
      <c r="D3785" s="32"/>
      <c r="E3785" s="32"/>
      <c r="F3785" s="32"/>
      <c r="G3785" s="33"/>
      <c r="H3785" s="33"/>
      <c r="I3785" s="34" t="str">
        <f aca="false">IF($A3785="","",$G3785-$H3785)</f>
        <v/>
      </c>
      <c r="J3785" s="35" t="str">
        <f aca="false">IF($A3785="","",IF(Setup!$B$6=1,YEAR($A3785),YEAR($A3785)+IF(MONTH($A3785)&gt;=Setup!$B$6,1,0)))</f>
        <v/>
      </c>
      <c r="K3785" s="35" t="str">
        <f aca="false">IF($A3785="","",MOD(MONTH($A3785)-Setup!$B$6+12,12)+1)</f>
        <v/>
      </c>
      <c r="L3785" s="36" t="str">
        <f aca="false">IF($A3785="","",TEXT($A3785,"MMM-YY"))</f>
        <v/>
      </c>
      <c r="M3785" s="37" t="str">
        <f aca="false">IF($A3785="","",IF($Q3785=0,"UNMAPPED",INDEX(COA_Mapping!$C$7:$C$256,$Q3785)))</f>
        <v/>
      </c>
      <c r="N3785" s="38" t="str">
        <f aca="false">IF($A3785="","",IF($Q3785=0,"",INDEX(COA_Mapping!$E$7:$E$256,$Q3785)))</f>
        <v/>
      </c>
      <c r="O3785" s="38" t="n">
        <f aca="false">IF($A3785="",1,IF($Q3785=0,1,INDEX(COA_Mapping!$F$7:$F$256,$Q3785)))</f>
        <v>1</v>
      </c>
      <c r="P3785" s="34" t="str">
        <f aca="false">IF($A3785="","",$I3785*$O3785)</f>
        <v/>
      </c>
      <c r="Q3785" s="39" t="n">
        <f aca="false">IF($B3785="",0,IFERROR(MATCH($B3785,COA_Mapping!$A$7:$A$256,0),0))</f>
        <v>0</v>
      </c>
      <c r="R3785" s="39" t="n">
        <f aca="false">IF($A3785="",-1,IF($J3785=Setup!$B$7,1,IF($J3785=Setup!$B$9,0,-1)))</f>
        <v>-1</v>
      </c>
      <c r="S3785" s="35" t="n">
        <f aca="false">IF(OR($A3785="",$Q3785=0,$R3785=-1),0,$Q3785*1000+$R3785*100+$K3785)</f>
        <v>0</v>
      </c>
      <c r="T3785" s="37" t="str">
        <f aca="false">IF($A3785="","",IF($B3785="","NO ACCOUNT",IF($Q3785=0,"UNMAPPED",IF($R3785=-1,"OUTSIDE FY RANGE","OK"))))</f>
        <v/>
      </c>
      <c r="U3785" s="40" t="str">
        <f aca="false">IF($A3785="","",$B3785&amp;"|"&amp;TEXT($A3785,"yyyymmdd")&amp;"|"&amp;TEXT($I3785,"0.00"))</f>
        <v/>
      </c>
      <c r="V3785" s="35" t="str">
        <f aca="false">IF($A3785="","",COUNTIF($U$8:$U$5007,$U3785))</f>
        <v/>
      </c>
    </row>
    <row r="3786" customFormat="false" ht="15" hidden="false" customHeight="false" outlineLevel="0" collapsed="false">
      <c r="A3786" s="31"/>
      <c r="B3786" s="32"/>
      <c r="C3786" s="32"/>
      <c r="D3786" s="32"/>
      <c r="E3786" s="32"/>
      <c r="F3786" s="32"/>
      <c r="G3786" s="33"/>
      <c r="H3786" s="33"/>
      <c r="I3786" s="34" t="str">
        <f aca="false">IF($A3786="","",$G3786-$H3786)</f>
        <v/>
      </c>
      <c r="J3786" s="35" t="str">
        <f aca="false">IF($A3786="","",IF(Setup!$B$6=1,YEAR($A3786),YEAR($A3786)+IF(MONTH($A3786)&gt;=Setup!$B$6,1,0)))</f>
        <v/>
      </c>
      <c r="K3786" s="35" t="str">
        <f aca="false">IF($A3786="","",MOD(MONTH($A3786)-Setup!$B$6+12,12)+1)</f>
        <v/>
      </c>
      <c r="L3786" s="36" t="str">
        <f aca="false">IF($A3786="","",TEXT($A3786,"MMM-YY"))</f>
        <v/>
      </c>
      <c r="M3786" s="37" t="str">
        <f aca="false">IF($A3786="","",IF($Q3786=0,"UNMAPPED",INDEX(COA_Mapping!$C$7:$C$256,$Q3786)))</f>
        <v/>
      </c>
      <c r="N3786" s="38" t="str">
        <f aca="false">IF($A3786="","",IF($Q3786=0,"",INDEX(COA_Mapping!$E$7:$E$256,$Q3786)))</f>
        <v/>
      </c>
      <c r="O3786" s="38" t="n">
        <f aca="false">IF($A3786="",1,IF($Q3786=0,1,INDEX(COA_Mapping!$F$7:$F$256,$Q3786)))</f>
        <v>1</v>
      </c>
      <c r="P3786" s="34" t="str">
        <f aca="false">IF($A3786="","",$I3786*$O3786)</f>
        <v/>
      </c>
      <c r="Q3786" s="39" t="n">
        <f aca="false">IF($B3786="",0,IFERROR(MATCH($B3786,COA_Mapping!$A$7:$A$256,0),0))</f>
        <v>0</v>
      </c>
      <c r="R3786" s="39" t="n">
        <f aca="false">IF($A3786="",-1,IF($J3786=Setup!$B$7,1,IF($J3786=Setup!$B$9,0,-1)))</f>
        <v>-1</v>
      </c>
      <c r="S3786" s="35" t="n">
        <f aca="false">IF(OR($A3786="",$Q3786=0,$R3786=-1),0,$Q3786*1000+$R3786*100+$K3786)</f>
        <v>0</v>
      </c>
      <c r="T3786" s="37" t="str">
        <f aca="false">IF($A3786="","",IF($B3786="","NO ACCOUNT",IF($Q3786=0,"UNMAPPED",IF($R3786=-1,"OUTSIDE FY RANGE","OK"))))</f>
        <v/>
      </c>
      <c r="U3786" s="40" t="str">
        <f aca="false">IF($A3786="","",$B3786&amp;"|"&amp;TEXT($A3786,"yyyymmdd")&amp;"|"&amp;TEXT($I3786,"0.00"))</f>
        <v/>
      </c>
      <c r="V3786" s="35" t="str">
        <f aca="false">IF($A3786="","",COUNTIF($U$8:$U$5007,$U3786))</f>
        <v/>
      </c>
    </row>
    <row r="3787" customFormat="false" ht="15" hidden="false" customHeight="false" outlineLevel="0" collapsed="false">
      <c r="A3787" s="31"/>
      <c r="B3787" s="32"/>
      <c r="C3787" s="32"/>
      <c r="D3787" s="32"/>
      <c r="E3787" s="32"/>
      <c r="F3787" s="32"/>
      <c r="G3787" s="33"/>
      <c r="H3787" s="33"/>
      <c r="I3787" s="34" t="str">
        <f aca="false">IF($A3787="","",$G3787-$H3787)</f>
        <v/>
      </c>
      <c r="J3787" s="35" t="str">
        <f aca="false">IF($A3787="","",IF(Setup!$B$6=1,YEAR($A3787),YEAR($A3787)+IF(MONTH($A3787)&gt;=Setup!$B$6,1,0)))</f>
        <v/>
      </c>
      <c r="K3787" s="35" t="str">
        <f aca="false">IF($A3787="","",MOD(MONTH($A3787)-Setup!$B$6+12,12)+1)</f>
        <v/>
      </c>
      <c r="L3787" s="36" t="str">
        <f aca="false">IF($A3787="","",TEXT($A3787,"MMM-YY"))</f>
        <v/>
      </c>
      <c r="M3787" s="37" t="str">
        <f aca="false">IF($A3787="","",IF($Q3787=0,"UNMAPPED",INDEX(COA_Mapping!$C$7:$C$256,$Q3787)))</f>
        <v/>
      </c>
      <c r="N3787" s="38" t="str">
        <f aca="false">IF($A3787="","",IF($Q3787=0,"",INDEX(COA_Mapping!$E$7:$E$256,$Q3787)))</f>
        <v/>
      </c>
      <c r="O3787" s="38" t="n">
        <f aca="false">IF($A3787="",1,IF($Q3787=0,1,INDEX(COA_Mapping!$F$7:$F$256,$Q3787)))</f>
        <v>1</v>
      </c>
      <c r="P3787" s="34" t="str">
        <f aca="false">IF($A3787="","",$I3787*$O3787)</f>
        <v/>
      </c>
      <c r="Q3787" s="39" t="n">
        <f aca="false">IF($B3787="",0,IFERROR(MATCH($B3787,COA_Mapping!$A$7:$A$256,0),0))</f>
        <v>0</v>
      </c>
      <c r="R3787" s="39" t="n">
        <f aca="false">IF($A3787="",-1,IF($J3787=Setup!$B$7,1,IF($J3787=Setup!$B$9,0,-1)))</f>
        <v>-1</v>
      </c>
      <c r="S3787" s="35" t="n">
        <f aca="false">IF(OR($A3787="",$Q3787=0,$R3787=-1),0,$Q3787*1000+$R3787*100+$K3787)</f>
        <v>0</v>
      </c>
      <c r="T3787" s="37" t="str">
        <f aca="false">IF($A3787="","",IF($B3787="","NO ACCOUNT",IF($Q3787=0,"UNMAPPED",IF($R3787=-1,"OUTSIDE FY RANGE","OK"))))</f>
        <v/>
      </c>
      <c r="U3787" s="40" t="str">
        <f aca="false">IF($A3787="","",$B3787&amp;"|"&amp;TEXT($A3787,"yyyymmdd")&amp;"|"&amp;TEXT($I3787,"0.00"))</f>
        <v/>
      </c>
      <c r="V3787" s="35" t="str">
        <f aca="false">IF($A3787="","",COUNTIF($U$8:$U$5007,$U3787))</f>
        <v/>
      </c>
    </row>
    <row r="3788" customFormat="false" ht="15" hidden="false" customHeight="false" outlineLevel="0" collapsed="false">
      <c r="A3788" s="31"/>
      <c r="B3788" s="32"/>
      <c r="C3788" s="32"/>
      <c r="D3788" s="32"/>
      <c r="E3788" s="32"/>
      <c r="F3788" s="32"/>
      <c r="G3788" s="33"/>
      <c r="H3788" s="33"/>
      <c r="I3788" s="34" t="str">
        <f aca="false">IF($A3788="","",$G3788-$H3788)</f>
        <v/>
      </c>
      <c r="J3788" s="35" t="str">
        <f aca="false">IF($A3788="","",IF(Setup!$B$6=1,YEAR($A3788),YEAR($A3788)+IF(MONTH($A3788)&gt;=Setup!$B$6,1,0)))</f>
        <v/>
      </c>
      <c r="K3788" s="35" t="str">
        <f aca="false">IF($A3788="","",MOD(MONTH($A3788)-Setup!$B$6+12,12)+1)</f>
        <v/>
      </c>
      <c r="L3788" s="36" t="str">
        <f aca="false">IF($A3788="","",TEXT($A3788,"MMM-YY"))</f>
        <v/>
      </c>
      <c r="M3788" s="37" t="str">
        <f aca="false">IF($A3788="","",IF($Q3788=0,"UNMAPPED",INDEX(COA_Mapping!$C$7:$C$256,$Q3788)))</f>
        <v/>
      </c>
      <c r="N3788" s="38" t="str">
        <f aca="false">IF($A3788="","",IF($Q3788=0,"",INDEX(COA_Mapping!$E$7:$E$256,$Q3788)))</f>
        <v/>
      </c>
      <c r="O3788" s="38" t="n">
        <f aca="false">IF($A3788="",1,IF($Q3788=0,1,INDEX(COA_Mapping!$F$7:$F$256,$Q3788)))</f>
        <v>1</v>
      </c>
      <c r="P3788" s="34" t="str">
        <f aca="false">IF($A3788="","",$I3788*$O3788)</f>
        <v/>
      </c>
      <c r="Q3788" s="39" t="n">
        <f aca="false">IF($B3788="",0,IFERROR(MATCH($B3788,COA_Mapping!$A$7:$A$256,0),0))</f>
        <v>0</v>
      </c>
      <c r="R3788" s="39" t="n">
        <f aca="false">IF($A3788="",-1,IF($J3788=Setup!$B$7,1,IF($J3788=Setup!$B$9,0,-1)))</f>
        <v>-1</v>
      </c>
      <c r="S3788" s="35" t="n">
        <f aca="false">IF(OR($A3788="",$Q3788=0,$R3788=-1),0,$Q3788*1000+$R3788*100+$K3788)</f>
        <v>0</v>
      </c>
      <c r="T3788" s="37" t="str">
        <f aca="false">IF($A3788="","",IF($B3788="","NO ACCOUNT",IF($Q3788=0,"UNMAPPED",IF($R3788=-1,"OUTSIDE FY RANGE","OK"))))</f>
        <v/>
      </c>
      <c r="U3788" s="40" t="str">
        <f aca="false">IF($A3788="","",$B3788&amp;"|"&amp;TEXT($A3788,"yyyymmdd")&amp;"|"&amp;TEXT($I3788,"0.00"))</f>
        <v/>
      </c>
      <c r="V3788" s="35" t="str">
        <f aca="false">IF($A3788="","",COUNTIF($U$8:$U$5007,$U3788))</f>
        <v/>
      </c>
    </row>
    <row r="3789" customFormat="false" ht="15" hidden="false" customHeight="false" outlineLevel="0" collapsed="false">
      <c r="A3789" s="31"/>
      <c r="B3789" s="32"/>
      <c r="C3789" s="32"/>
      <c r="D3789" s="32"/>
      <c r="E3789" s="32"/>
      <c r="F3789" s="32"/>
      <c r="G3789" s="33"/>
      <c r="H3789" s="33"/>
      <c r="I3789" s="34" t="str">
        <f aca="false">IF($A3789="","",$G3789-$H3789)</f>
        <v/>
      </c>
      <c r="J3789" s="35" t="str">
        <f aca="false">IF($A3789="","",IF(Setup!$B$6=1,YEAR($A3789),YEAR($A3789)+IF(MONTH($A3789)&gt;=Setup!$B$6,1,0)))</f>
        <v/>
      </c>
      <c r="K3789" s="35" t="str">
        <f aca="false">IF($A3789="","",MOD(MONTH($A3789)-Setup!$B$6+12,12)+1)</f>
        <v/>
      </c>
      <c r="L3789" s="36" t="str">
        <f aca="false">IF($A3789="","",TEXT($A3789,"MMM-YY"))</f>
        <v/>
      </c>
      <c r="M3789" s="37" t="str">
        <f aca="false">IF($A3789="","",IF($Q3789=0,"UNMAPPED",INDEX(COA_Mapping!$C$7:$C$256,$Q3789)))</f>
        <v/>
      </c>
      <c r="N3789" s="38" t="str">
        <f aca="false">IF($A3789="","",IF($Q3789=0,"",INDEX(COA_Mapping!$E$7:$E$256,$Q3789)))</f>
        <v/>
      </c>
      <c r="O3789" s="38" t="n">
        <f aca="false">IF($A3789="",1,IF($Q3789=0,1,INDEX(COA_Mapping!$F$7:$F$256,$Q3789)))</f>
        <v>1</v>
      </c>
      <c r="P3789" s="34" t="str">
        <f aca="false">IF($A3789="","",$I3789*$O3789)</f>
        <v/>
      </c>
      <c r="Q3789" s="39" t="n">
        <f aca="false">IF($B3789="",0,IFERROR(MATCH($B3789,COA_Mapping!$A$7:$A$256,0),0))</f>
        <v>0</v>
      </c>
      <c r="R3789" s="39" t="n">
        <f aca="false">IF($A3789="",-1,IF($J3789=Setup!$B$7,1,IF($J3789=Setup!$B$9,0,-1)))</f>
        <v>-1</v>
      </c>
      <c r="S3789" s="35" t="n">
        <f aca="false">IF(OR($A3789="",$Q3789=0,$R3789=-1),0,$Q3789*1000+$R3789*100+$K3789)</f>
        <v>0</v>
      </c>
      <c r="T3789" s="37" t="str">
        <f aca="false">IF($A3789="","",IF($B3789="","NO ACCOUNT",IF($Q3789=0,"UNMAPPED",IF($R3789=-1,"OUTSIDE FY RANGE","OK"))))</f>
        <v/>
      </c>
      <c r="U3789" s="40" t="str">
        <f aca="false">IF($A3789="","",$B3789&amp;"|"&amp;TEXT($A3789,"yyyymmdd")&amp;"|"&amp;TEXT($I3789,"0.00"))</f>
        <v/>
      </c>
      <c r="V3789" s="35" t="str">
        <f aca="false">IF($A3789="","",COUNTIF($U$8:$U$5007,$U3789))</f>
        <v/>
      </c>
    </row>
    <row r="3790" customFormat="false" ht="15" hidden="false" customHeight="false" outlineLevel="0" collapsed="false">
      <c r="A3790" s="31"/>
      <c r="B3790" s="32"/>
      <c r="C3790" s="32"/>
      <c r="D3790" s="32"/>
      <c r="E3790" s="32"/>
      <c r="F3790" s="32"/>
      <c r="G3790" s="33"/>
      <c r="H3790" s="33"/>
      <c r="I3790" s="34" t="str">
        <f aca="false">IF($A3790="","",$G3790-$H3790)</f>
        <v/>
      </c>
      <c r="J3790" s="35" t="str">
        <f aca="false">IF($A3790="","",IF(Setup!$B$6=1,YEAR($A3790),YEAR($A3790)+IF(MONTH($A3790)&gt;=Setup!$B$6,1,0)))</f>
        <v/>
      </c>
      <c r="K3790" s="35" t="str">
        <f aca="false">IF($A3790="","",MOD(MONTH($A3790)-Setup!$B$6+12,12)+1)</f>
        <v/>
      </c>
      <c r="L3790" s="36" t="str">
        <f aca="false">IF($A3790="","",TEXT($A3790,"MMM-YY"))</f>
        <v/>
      </c>
      <c r="M3790" s="37" t="str">
        <f aca="false">IF($A3790="","",IF($Q3790=0,"UNMAPPED",INDEX(COA_Mapping!$C$7:$C$256,$Q3790)))</f>
        <v/>
      </c>
      <c r="N3790" s="38" t="str">
        <f aca="false">IF($A3790="","",IF($Q3790=0,"",INDEX(COA_Mapping!$E$7:$E$256,$Q3790)))</f>
        <v/>
      </c>
      <c r="O3790" s="38" t="n">
        <f aca="false">IF($A3790="",1,IF($Q3790=0,1,INDEX(COA_Mapping!$F$7:$F$256,$Q3790)))</f>
        <v>1</v>
      </c>
      <c r="P3790" s="34" t="str">
        <f aca="false">IF($A3790="","",$I3790*$O3790)</f>
        <v/>
      </c>
      <c r="Q3790" s="39" t="n">
        <f aca="false">IF($B3790="",0,IFERROR(MATCH($B3790,COA_Mapping!$A$7:$A$256,0),0))</f>
        <v>0</v>
      </c>
      <c r="R3790" s="39" t="n">
        <f aca="false">IF($A3790="",-1,IF($J3790=Setup!$B$7,1,IF($J3790=Setup!$B$9,0,-1)))</f>
        <v>-1</v>
      </c>
      <c r="S3790" s="35" t="n">
        <f aca="false">IF(OR($A3790="",$Q3790=0,$R3790=-1),0,$Q3790*1000+$R3790*100+$K3790)</f>
        <v>0</v>
      </c>
      <c r="T3790" s="37" t="str">
        <f aca="false">IF($A3790="","",IF($B3790="","NO ACCOUNT",IF($Q3790=0,"UNMAPPED",IF($R3790=-1,"OUTSIDE FY RANGE","OK"))))</f>
        <v/>
      </c>
      <c r="U3790" s="40" t="str">
        <f aca="false">IF($A3790="","",$B3790&amp;"|"&amp;TEXT($A3790,"yyyymmdd")&amp;"|"&amp;TEXT($I3790,"0.00"))</f>
        <v/>
      </c>
      <c r="V3790" s="35" t="str">
        <f aca="false">IF($A3790="","",COUNTIF($U$8:$U$5007,$U3790))</f>
        <v/>
      </c>
    </row>
    <row r="3791" customFormat="false" ht="15" hidden="false" customHeight="false" outlineLevel="0" collapsed="false">
      <c r="A3791" s="31"/>
      <c r="B3791" s="32"/>
      <c r="C3791" s="32"/>
      <c r="D3791" s="32"/>
      <c r="E3791" s="32"/>
      <c r="F3791" s="32"/>
      <c r="G3791" s="33"/>
      <c r="H3791" s="33"/>
      <c r="I3791" s="34" t="str">
        <f aca="false">IF($A3791="","",$G3791-$H3791)</f>
        <v/>
      </c>
      <c r="J3791" s="35" t="str">
        <f aca="false">IF($A3791="","",IF(Setup!$B$6=1,YEAR($A3791),YEAR($A3791)+IF(MONTH($A3791)&gt;=Setup!$B$6,1,0)))</f>
        <v/>
      </c>
      <c r="K3791" s="35" t="str">
        <f aca="false">IF($A3791="","",MOD(MONTH($A3791)-Setup!$B$6+12,12)+1)</f>
        <v/>
      </c>
      <c r="L3791" s="36" t="str">
        <f aca="false">IF($A3791="","",TEXT($A3791,"MMM-YY"))</f>
        <v/>
      </c>
      <c r="M3791" s="37" t="str">
        <f aca="false">IF($A3791="","",IF($Q3791=0,"UNMAPPED",INDEX(COA_Mapping!$C$7:$C$256,$Q3791)))</f>
        <v/>
      </c>
      <c r="N3791" s="38" t="str">
        <f aca="false">IF($A3791="","",IF($Q3791=0,"",INDEX(COA_Mapping!$E$7:$E$256,$Q3791)))</f>
        <v/>
      </c>
      <c r="O3791" s="38" t="n">
        <f aca="false">IF($A3791="",1,IF($Q3791=0,1,INDEX(COA_Mapping!$F$7:$F$256,$Q3791)))</f>
        <v>1</v>
      </c>
      <c r="P3791" s="34" t="str">
        <f aca="false">IF($A3791="","",$I3791*$O3791)</f>
        <v/>
      </c>
      <c r="Q3791" s="39" t="n">
        <f aca="false">IF($B3791="",0,IFERROR(MATCH($B3791,COA_Mapping!$A$7:$A$256,0),0))</f>
        <v>0</v>
      </c>
      <c r="R3791" s="39" t="n">
        <f aca="false">IF($A3791="",-1,IF($J3791=Setup!$B$7,1,IF($J3791=Setup!$B$9,0,-1)))</f>
        <v>-1</v>
      </c>
      <c r="S3791" s="35" t="n">
        <f aca="false">IF(OR($A3791="",$Q3791=0,$R3791=-1),0,$Q3791*1000+$R3791*100+$K3791)</f>
        <v>0</v>
      </c>
      <c r="T3791" s="37" t="str">
        <f aca="false">IF($A3791="","",IF($B3791="","NO ACCOUNT",IF($Q3791=0,"UNMAPPED",IF($R3791=-1,"OUTSIDE FY RANGE","OK"))))</f>
        <v/>
      </c>
      <c r="U3791" s="40" t="str">
        <f aca="false">IF($A3791="","",$B3791&amp;"|"&amp;TEXT($A3791,"yyyymmdd")&amp;"|"&amp;TEXT($I3791,"0.00"))</f>
        <v/>
      </c>
      <c r="V3791" s="35" t="str">
        <f aca="false">IF($A3791="","",COUNTIF($U$8:$U$5007,$U3791))</f>
        <v/>
      </c>
    </row>
    <row r="3792" customFormat="false" ht="15" hidden="false" customHeight="false" outlineLevel="0" collapsed="false">
      <c r="A3792" s="31"/>
      <c r="B3792" s="32"/>
      <c r="C3792" s="32"/>
      <c r="D3792" s="32"/>
      <c r="E3792" s="32"/>
      <c r="F3792" s="32"/>
      <c r="G3792" s="33"/>
      <c r="H3792" s="33"/>
      <c r="I3792" s="34" t="str">
        <f aca="false">IF($A3792="","",$G3792-$H3792)</f>
        <v/>
      </c>
      <c r="J3792" s="35" t="str">
        <f aca="false">IF($A3792="","",IF(Setup!$B$6=1,YEAR($A3792),YEAR($A3792)+IF(MONTH($A3792)&gt;=Setup!$B$6,1,0)))</f>
        <v/>
      </c>
      <c r="K3792" s="35" t="str">
        <f aca="false">IF($A3792="","",MOD(MONTH($A3792)-Setup!$B$6+12,12)+1)</f>
        <v/>
      </c>
      <c r="L3792" s="36" t="str">
        <f aca="false">IF($A3792="","",TEXT($A3792,"MMM-YY"))</f>
        <v/>
      </c>
      <c r="M3792" s="37" t="str">
        <f aca="false">IF($A3792="","",IF($Q3792=0,"UNMAPPED",INDEX(COA_Mapping!$C$7:$C$256,$Q3792)))</f>
        <v/>
      </c>
      <c r="N3792" s="38" t="str">
        <f aca="false">IF($A3792="","",IF($Q3792=0,"",INDEX(COA_Mapping!$E$7:$E$256,$Q3792)))</f>
        <v/>
      </c>
      <c r="O3792" s="38" t="n">
        <f aca="false">IF($A3792="",1,IF($Q3792=0,1,INDEX(COA_Mapping!$F$7:$F$256,$Q3792)))</f>
        <v>1</v>
      </c>
      <c r="P3792" s="34" t="str">
        <f aca="false">IF($A3792="","",$I3792*$O3792)</f>
        <v/>
      </c>
      <c r="Q3792" s="39" t="n">
        <f aca="false">IF($B3792="",0,IFERROR(MATCH($B3792,COA_Mapping!$A$7:$A$256,0),0))</f>
        <v>0</v>
      </c>
      <c r="R3792" s="39" t="n">
        <f aca="false">IF($A3792="",-1,IF($J3792=Setup!$B$7,1,IF($J3792=Setup!$B$9,0,-1)))</f>
        <v>-1</v>
      </c>
      <c r="S3792" s="35" t="n">
        <f aca="false">IF(OR($A3792="",$Q3792=0,$R3792=-1),0,$Q3792*1000+$R3792*100+$K3792)</f>
        <v>0</v>
      </c>
      <c r="T3792" s="37" t="str">
        <f aca="false">IF($A3792="","",IF($B3792="","NO ACCOUNT",IF($Q3792=0,"UNMAPPED",IF($R3792=-1,"OUTSIDE FY RANGE","OK"))))</f>
        <v/>
      </c>
      <c r="U3792" s="40" t="str">
        <f aca="false">IF($A3792="","",$B3792&amp;"|"&amp;TEXT($A3792,"yyyymmdd")&amp;"|"&amp;TEXT($I3792,"0.00"))</f>
        <v/>
      </c>
      <c r="V3792" s="35" t="str">
        <f aca="false">IF($A3792="","",COUNTIF($U$8:$U$5007,$U3792))</f>
        <v/>
      </c>
    </row>
    <row r="3793" customFormat="false" ht="15" hidden="false" customHeight="false" outlineLevel="0" collapsed="false">
      <c r="A3793" s="31"/>
      <c r="B3793" s="32"/>
      <c r="C3793" s="32"/>
      <c r="D3793" s="32"/>
      <c r="E3793" s="32"/>
      <c r="F3793" s="32"/>
      <c r="G3793" s="33"/>
      <c r="H3793" s="33"/>
      <c r="I3793" s="34" t="str">
        <f aca="false">IF($A3793="","",$G3793-$H3793)</f>
        <v/>
      </c>
      <c r="J3793" s="35" t="str">
        <f aca="false">IF($A3793="","",IF(Setup!$B$6=1,YEAR($A3793),YEAR($A3793)+IF(MONTH($A3793)&gt;=Setup!$B$6,1,0)))</f>
        <v/>
      </c>
      <c r="K3793" s="35" t="str">
        <f aca="false">IF($A3793="","",MOD(MONTH($A3793)-Setup!$B$6+12,12)+1)</f>
        <v/>
      </c>
      <c r="L3793" s="36" t="str">
        <f aca="false">IF($A3793="","",TEXT($A3793,"MMM-YY"))</f>
        <v/>
      </c>
      <c r="M3793" s="37" t="str">
        <f aca="false">IF($A3793="","",IF($Q3793=0,"UNMAPPED",INDEX(COA_Mapping!$C$7:$C$256,$Q3793)))</f>
        <v/>
      </c>
      <c r="N3793" s="38" t="str">
        <f aca="false">IF($A3793="","",IF($Q3793=0,"",INDEX(COA_Mapping!$E$7:$E$256,$Q3793)))</f>
        <v/>
      </c>
      <c r="O3793" s="38" t="n">
        <f aca="false">IF($A3793="",1,IF($Q3793=0,1,INDEX(COA_Mapping!$F$7:$F$256,$Q3793)))</f>
        <v>1</v>
      </c>
      <c r="P3793" s="34" t="str">
        <f aca="false">IF($A3793="","",$I3793*$O3793)</f>
        <v/>
      </c>
      <c r="Q3793" s="39" t="n">
        <f aca="false">IF($B3793="",0,IFERROR(MATCH($B3793,COA_Mapping!$A$7:$A$256,0),0))</f>
        <v>0</v>
      </c>
      <c r="R3793" s="39" t="n">
        <f aca="false">IF($A3793="",-1,IF($J3793=Setup!$B$7,1,IF($J3793=Setup!$B$9,0,-1)))</f>
        <v>-1</v>
      </c>
      <c r="S3793" s="35" t="n">
        <f aca="false">IF(OR($A3793="",$Q3793=0,$R3793=-1),0,$Q3793*1000+$R3793*100+$K3793)</f>
        <v>0</v>
      </c>
      <c r="T3793" s="37" t="str">
        <f aca="false">IF($A3793="","",IF($B3793="","NO ACCOUNT",IF($Q3793=0,"UNMAPPED",IF($R3793=-1,"OUTSIDE FY RANGE","OK"))))</f>
        <v/>
      </c>
      <c r="U3793" s="40" t="str">
        <f aca="false">IF($A3793="","",$B3793&amp;"|"&amp;TEXT($A3793,"yyyymmdd")&amp;"|"&amp;TEXT($I3793,"0.00"))</f>
        <v/>
      </c>
      <c r="V3793" s="35" t="str">
        <f aca="false">IF($A3793="","",COUNTIF($U$8:$U$5007,$U3793))</f>
        <v/>
      </c>
    </row>
    <row r="3794" customFormat="false" ht="15" hidden="false" customHeight="false" outlineLevel="0" collapsed="false">
      <c r="A3794" s="31"/>
      <c r="B3794" s="32"/>
      <c r="C3794" s="32"/>
      <c r="D3794" s="32"/>
      <c r="E3794" s="32"/>
      <c r="F3794" s="32"/>
      <c r="G3794" s="33"/>
      <c r="H3794" s="33"/>
      <c r="I3794" s="34" t="str">
        <f aca="false">IF($A3794="","",$G3794-$H3794)</f>
        <v/>
      </c>
      <c r="J3794" s="35" t="str">
        <f aca="false">IF($A3794="","",IF(Setup!$B$6=1,YEAR($A3794),YEAR($A3794)+IF(MONTH($A3794)&gt;=Setup!$B$6,1,0)))</f>
        <v/>
      </c>
      <c r="K3794" s="35" t="str">
        <f aca="false">IF($A3794="","",MOD(MONTH($A3794)-Setup!$B$6+12,12)+1)</f>
        <v/>
      </c>
      <c r="L3794" s="36" t="str">
        <f aca="false">IF($A3794="","",TEXT($A3794,"MMM-YY"))</f>
        <v/>
      </c>
      <c r="M3794" s="37" t="str">
        <f aca="false">IF($A3794="","",IF($Q3794=0,"UNMAPPED",INDEX(COA_Mapping!$C$7:$C$256,$Q3794)))</f>
        <v/>
      </c>
      <c r="N3794" s="38" t="str">
        <f aca="false">IF($A3794="","",IF($Q3794=0,"",INDEX(COA_Mapping!$E$7:$E$256,$Q3794)))</f>
        <v/>
      </c>
      <c r="O3794" s="38" t="n">
        <f aca="false">IF($A3794="",1,IF($Q3794=0,1,INDEX(COA_Mapping!$F$7:$F$256,$Q3794)))</f>
        <v>1</v>
      </c>
      <c r="P3794" s="34" t="str">
        <f aca="false">IF($A3794="","",$I3794*$O3794)</f>
        <v/>
      </c>
      <c r="Q3794" s="39" t="n">
        <f aca="false">IF($B3794="",0,IFERROR(MATCH($B3794,COA_Mapping!$A$7:$A$256,0),0))</f>
        <v>0</v>
      </c>
      <c r="R3794" s="39" t="n">
        <f aca="false">IF($A3794="",-1,IF($J3794=Setup!$B$7,1,IF($J3794=Setup!$B$9,0,-1)))</f>
        <v>-1</v>
      </c>
      <c r="S3794" s="35" t="n">
        <f aca="false">IF(OR($A3794="",$Q3794=0,$R3794=-1),0,$Q3794*1000+$R3794*100+$K3794)</f>
        <v>0</v>
      </c>
      <c r="T3794" s="37" t="str">
        <f aca="false">IF($A3794="","",IF($B3794="","NO ACCOUNT",IF($Q3794=0,"UNMAPPED",IF($R3794=-1,"OUTSIDE FY RANGE","OK"))))</f>
        <v/>
      </c>
      <c r="U3794" s="40" t="str">
        <f aca="false">IF($A3794="","",$B3794&amp;"|"&amp;TEXT($A3794,"yyyymmdd")&amp;"|"&amp;TEXT($I3794,"0.00"))</f>
        <v/>
      </c>
      <c r="V3794" s="35" t="str">
        <f aca="false">IF($A3794="","",COUNTIF($U$8:$U$5007,$U3794))</f>
        <v/>
      </c>
    </row>
    <row r="3795" customFormat="false" ht="15" hidden="false" customHeight="false" outlineLevel="0" collapsed="false">
      <c r="A3795" s="31"/>
      <c r="B3795" s="32"/>
      <c r="C3795" s="32"/>
      <c r="D3795" s="32"/>
      <c r="E3795" s="32"/>
      <c r="F3795" s="32"/>
      <c r="G3795" s="33"/>
      <c r="H3795" s="33"/>
      <c r="I3795" s="34" t="str">
        <f aca="false">IF($A3795="","",$G3795-$H3795)</f>
        <v/>
      </c>
      <c r="J3795" s="35" t="str">
        <f aca="false">IF($A3795="","",IF(Setup!$B$6=1,YEAR($A3795),YEAR($A3795)+IF(MONTH($A3795)&gt;=Setup!$B$6,1,0)))</f>
        <v/>
      </c>
      <c r="K3795" s="35" t="str">
        <f aca="false">IF($A3795="","",MOD(MONTH($A3795)-Setup!$B$6+12,12)+1)</f>
        <v/>
      </c>
      <c r="L3795" s="36" t="str">
        <f aca="false">IF($A3795="","",TEXT($A3795,"MMM-YY"))</f>
        <v/>
      </c>
      <c r="M3795" s="37" t="str">
        <f aca="false">IF($A3795="","",IF($Q3795=0,"UNMAPPED",INDEX(COA_Mapping!$C$7:$C$256,$Q3795)))</f>
        <v/>
      </c>
      <c r="N3795" s="38" t="str">
        <f aca="false">IF($A3795="","",IF($Q3795=0,"",INDEX(COA_Mapping!$E$7:$E$256,$Q3795)))</f>
        <v/>
      </c>
      <c r="O3795" s="38" t="n">
        <f aca="false">IF($A3795="",1,IF($Q3795=0,1,INDEX(COA_Mapping!$F$7:$F$256,$Q3795)))</f>
        <v>1</v>
      </c>
      <c r="P3795" s="34" t="str">
        <f aca="false">IF($A3795="","",$I3795*$O3795)</f>
        <v/>
      </c>
      <c r="Q3795" s="39" t="n">
        <f aca="false">IF($B3795="",0,IFERROR(MATCH($B3795,COA_Mapping!$A$7:$A$256,0),0))</f>
        <v>0</v>
      </c>
      <c r="R3795" s="39" t="n">
        <f aca="false">IF($A3795="",-1,IF($J3795=Setup!$B$7,1,IF($J3795=Setup!$B$9,0,-1)))</f>
        <v>-1</v>
      </c>
      <c r="S3795" s="35" t="n">
        <f aca="false">IF(OR($A3795="",$Q3795=0,$R3795=-1),0,$Q3795*1000+$R3795*100+$K3795)</f>
        <v>0</v>
      </c>
      <c r="T3795" s="37" t="str">
        <f aca="false">IF($A3795="","",IF($B3795="","NO ACCOUNT",IF($Q3795=0,"UNMAPPED",IF($R3795=-1,"OUTSIDE FY RANGE","OK"))))</f>
        <v/>
      </c>
      <c r="U3795" s="40" t="str">
        <f aca="false">IF($A3795="","",$B3795&amp;"|"&amp;TEXT($A3795,"yyyymmdd")&amp;"|"&amp;TEXT($I3795,"0.00"))</f>
        <v/>
      </c>
      <c r="V3795" s="35" t="str">
        <f aca="false">IF($A3795="","",COUNTIF($U$8:$U$5007,$U3795))</f>
        <v/>
      </c>
    </row>
    <row r="3796" customFormat="false" ht="15" hidden="false" customHeight="false" outlineLevel="0" collapsed="false">
      <c r="A3796" s="31"/>
      <c r="B3796" s="32"/>
      <c r="C3796" s="32"/>
      <c r="D3796" s="32"/>
      <c r="E3796" s="32"/>
      <c r="F3796" s="32"/>
      <c r="G3796" s="33"/>
      <c r="H3796" s="33"/>
      <c r="I3796" s="34" t="str">
        <f aca="false">IF($A3796="","",$G3796-$H3796)</f>
        <v/>
      </c>
      <c r="J3796" s="35" t="str">
        <f aca="false">IF($A3796="","",IF(Setup!$B$6=1,YEAR($A3796),YEAR($A3796)+IF(MONTH($A3796)&gt;=Setup!$B$6,1,0)))</f>
        <v/>
      </c>
      <c r="K3796" s="35" t="str">
        <f aca="false">IF($A3796="","",MOD(MONTH($A3796)-Setup!$B$6+12,12)+1)</f>
        <v/>
      </c>
      <c r="L3796" s="36" t="str">
        <f aca="false">IF($A3796="","",TEXT($A3796,"MMM-YY"))</f>
        <v/>
      </c>
      <c r="M3796" s="37" t="str">
        <f aca="false">IF($A3796="","",IF($Q3796=0,"UNMAPPED",INDEX(COA_Mapping!$C$7:$C$256,$Q3796)))</f>
        <v/>
      </c>
      <c r="N3796" s="38" t="str">
        <f aca="false">IF($A3796="","",IF($Q3796=0,"",INDEX(COA_Mapping!$E$7:$E$256,$Q3796)))</f>
        <v/>
      </c>
      <c r="O3796" s="38" t="n">
        <f aca="false">IF($A3796="",1,IF($Q3796=0,1,INDEX(COA_Mapping!$F$7:$F$256,$Q3796)))</f>
        <v>1</v>
      </c>
      <c r="P3796" s="34" t="str">
        <f aca="false">IF($A3796="","",$I3796*$O3796)</f>
        <v/>
      </c>
      <c r="Q3796" s="39" t="n">
        <f aca="false">IF($B3796="",0,IFERROR(MATCH($B3796,COA_Mapping!$A$7:$A$256,0),0))</f>
        <v>0</v>
      </c>
      <c r="R3796" s="39" t="n">
        <f aca="false">IF($A3796="",-1,IF($J3796=Setup!$B$7,1,IF($J3796=Setup!$B$9,0,-1)))</f>
        <v>-1</v>
      </c>
      <c r="S3796" s="35" t="n">
        <f aca="false">IF(OR($A3796="",$Q3796=0,$R3796=-1),0,$Q3796*1000+$R3796*100+$K3796)</f>
        <v>0</v>
      </c>
      <c r="T3796" s="37" t="str">
        <f aca="false">IF($A3796="","",IF($B3796="","NO ACCOUNT",IF($Q3796=0,"UNMAPPED",IF($R3796=-1,"OUTSIDE FY RANGE","OK"))))</f>
        <v/>
      </c>
      <c r="U3796" s="40" t="str">
        <f aca="false">IF($A3796="","",$B3796&amp;"|"&amp;TEXT($A3796,"yyyymmdd")&amp;"|"&amp;TEXT($I3796,"0.00"))</f>
        <v/>
      </c>
      <c r="V3796" s="35" t="str">
        <f aca="false">IF($A3796="","",COUNTIF($U$8:$U$5007,$U3796))</f>
        <v/>
      </c>
    </row>
    <row r="3797" customFormat="false" ht="15" hidden="false" customHeight="false" outlineLevel="0" collapsed="false">
      <c r="A3797" s="31"/>
      <c r="B3797" s="32"/>
      <c r="C3797" s="32"/>
      <c r="D3797" s="32"/>
      <c r="E3797" s="32"/>
      <c r="F3797" s="32"/>
      <c r="G3797" s="33"/>
      <c r="H3797" s="33"/>
      <c r="I3797" s="34" t="str">
        <f aca="false">IF($A3797="","",$G3797-$H3797)</f>
        <v/>
      </c>
      <c r="J3797" s="35" t="str">
        <f aca="false">IF($A3797="","",IF(Setup!$B$6=1,YEAR($A3797),YEAR($A3797)+IF(MONTH($A3797)&gt;=Setup!$B$6,1,0)))</f>
        <v/>
      </c>
      <c r="K3797" s="35" t="str">
        <f aca="false">IF($A3797="","",MOD(MONTH($A3797)-Setup!$B$6+12,12)+1)</f>
        <v/>
      </c>
      <c r="L3797" s="36" t="str">
        <f aca="false">IF($A3797="","",TEXT($A3797,"MMM-YY"))</f>
        <v/>
      </c>
      <c r="M3797" s="37" t="str">
        <f aca="false">IF($A3797="","",IF($Q3797=0,"UNMAPPED",INDEX(COA_Mapping!$C$7:$C$256,$Q3797)))</f>
        <v/>
      </c>
      <c r="N3797" s="38" t="str">
        <f aca="false">IF($A3797="","",IF($Q3797=0,"",INDEX(COA_Mapping!$E$7:$E$256,$Q3797)))</f>
        <v/>
      </c>
      <c r="O3797" s="38" t="n">
        <f aca="false">IF($A3797="",1,IF($Q3797=0,1,INDEX(COA_Mapping!$F$7:$F$256,$Q3797)))</f>
        <v>1</v>
      </c>
      <c r="P3797" s="34" t="str">
        <f aca="false">IF($A3797="","",$I3797*$O3797)</f>
        <v/>
      </c>
      <c r="Q3797" s="39" t="n">
        <f aca="false">IF($B3797="",0,IFERROR(MATCH($B3797,COA_Mapping!$A$7:$A$256,0),0))</f>
        <v>0</v>
      </c>
      <c r="R3797" s="39" t="n">
        <f aca="false">IF($A3797="",-1,IF($J3797=Setup!$B$7,1,IF($J3797=Setup!$B$9,0,-1)))</f>
        <v>-1</v>
      </c>
      <c r="S3797" s="35" t="n">
        <f aca="false">IF(OR($A3797="",$Q3797=0,$R3797=-1),0,$Q3797*1000+$R3797*100+$K3797)</f>
        <v>0</v>
      </c>
      <c r="T3797" s="37" t="str">
        <f aca="false">IF($A3797="","",IF($B3797="","NO ACCOUNT",IF($Q3797=0,"UNMAPPED",IF($R3797=-1,"OUTSIDE FY RANGE","OK"))))</f>
        <v/>
      </c>
      <c r="U3797" s="40" t="str">
        <f aca="false">IF($A3797="","",$B3797&amp;"|"&amp;TEXT($A3797,"yyyymmdd")&amp;"|"&amp;TEXT($I3797,"0.00"))</f>
        <v/>
      </c>
      <c r="V3797" s="35" t="str">
        <f aca="false">IF($A3797="","",COUNTIF($U$8:$U$5007,$U3797))</f>
        <v/>
      </c>
    </row>
    <row r="3798" customFormat="false" ht="15" hidden="false" customHeight="false" outlineLevel="0" collapsed="false">
      <c r="A3798" s="31"/>
      <c r="B3798" s="32"/>
      <c r="C3798" s="32"/>
      <c r="D3798" s="32"/>
      <c r="E3798" s="32"/>
      <c r="F3798" s="32"/>
      <c r="G3798" s="33"/>
      <c r="H3798" s="33"/>
      <c r="I3798" s="34" t="str">
        <f aca="false">IF($A3798="","",$G3798-$H3798)</f>
        <v/>
      </c>
      <c r="J3798" s="35" t="str">
        <f aca="false">IF($A3798="","",IF(Setup!$B$6=1,YEAR($A3798),YEAR($A3798)+IF(MONTH($A3798)&gt;=Setup!$B$6,1,0)))</f>
        <v/>
      </c>
      <c r="K3798" s="35" t="str">
        <f aca="false">IF($A3798="","",MOD(MONTH($A3798)-Setup!$B$6+12,12)+1)</f>
        <v/>
      </c>
      <c r="L3798" s="36" t="str">
        <f aca="false">IF($A3798="","",TEXT($A3798,"MMM-YY"))</f>
        <v/>
      </c>
      <c r="M3798" s="37" t="str">
        <f aca="false">IF($A3798="","",IF($Q3798=0,"UNMAPPED",INDEX(COA_Mapping!$C$7:$C$256,$Q3798)))</f>
        <v/>
      </c>
      <c r="N3798" s="38" t="str">
        <f aca="false">IF($A3798="","",IF($Q3798=0,"",INDEX(COA_Mapping!$E$7:$E$256,$Q3798)))</f>
        <v/>
      </c>
      <c r="O3798" s="38" t="n">
        <f aca="false">IF($A3798="",1,IF($Q3798=0,1,INDEX(COA_Mapping!$F$7:$F$256,$Q3798)))</f>
        <v>1</v>
      </c>
      <c r="P3798" s="34" t="str">
        <f aca="false">IF($A3798="","",$I3798*$O3798)</f>
        <v/>
      </c>
      <c r="Q3798" s="39" t="n">
        <f aca="false">IF($B3798="",0,IFERROR(MATCH($B3798,COA_Mapping!$A$7:$A$256,0),0))</f>
        <v>0</v>
      </c>
      <c r="R3798" s="39" t="n">
        <f aca="false">IF($A3798="",-1,IF($J3798=Setup!$B$7,1,IF($J3798=Setup!$B$9,0,-1)))</f>
        <v>-1</v>
      </c>
      <c r="S3798" s="35" t="n">
        <f aca="false">IF(OR($A3798="",$Q3798=0,$R3798=-1),0,$Q3798*1000+$R3798*100+$K3798)</f>
        <v>0</v>
      </c>
      <c r="T3798" s="37" t="str">
        <f aca="false">IF($A3798="","",IF($B3798="","NO ACCOUNT",IF($Q3798=0,"UNMAPPED",IF($R3798=-1,"OUTSIDE FY RANGE","OK"))))</f>
        <v/>
      </c>
      <c r="U3798" s="40" t="str">
        <f aca="false">IF($A3798="","",$B3798&amp;"|"&amp;TEXT($A3798,"yyyymmdd")&amp;"|"&amp;TEXT($I3798,"0.00"))</f>
        <v/>
      </c>
      <c r="V3798" s="35" t="str">
        <f aca="false">IF($A3798="","",COUNTIF($U$8:$U$5007,$U3798))</f>
        <v/>
      </c>
    </row>
    <row r="3799" customFormat="false" ht="15" hidden="false" customHeight="false" outlineLevel="0" collapsed="false">
      <c r="A3799" s="31"/>
      <c r="B3799" s="32"/>
      <c r="C3799" s="32"/>
      <c r="D3799" s="32"/>
      <c r="E3799" s="32"/>
      <c r="F3799" s="32"/>
      <c r="G3799" s="33"/>
      <c r="H3799" s="33"/>
      <c r="I3799" s="34" t="str">
        <f aca="false">IF($A3799="","",$G3799-$H3799)</f>
        <v/>
      </c>
      <c r="J3799" s="35" t="str">
        <f aca="false">IF($A3799="","",IF(Setup!$B$6=1,YEAR($A3799),YEAR($A3799)+IF(MONTH($A3799)&gt;=Setup!$B$6,1,0)))</f>
        <v/>
      </c>
      <c r="K3799" s="35" t="str">
        <f aca="false">IF($A3799="","",MOD(MONTH($A3799)-Setup!$B$6+12,12)+1)</f>
        <v/>
      </c>
      <c r="L3799" s="36" t="str">
        <f aca="false">IF($A3799="","",TEXT($A3799,"MMM-YY"))</f>
        <v/>
      </c>
      <c r="M3799" s="37" t="str">
        <f aca="false">IF($A3799="","",IF($Q3799=0,"UNMAPPED",INDEX(COA_Mapping!$C$7:$C$256,$Q3799)))</f>
        <v/>
      </c>
      <c r="N3799" s="38" t="str">
        <f aca="false">IF($A3799="","",IF($Q3799=0,"",INDEX(COA_Mapping!$E$7:$E$256,$Q3799)))</f>
        <v/>
      </c>
      <c r="O3799" s="38" t="n">
        <f aca="false">IF($A3799="",1,IF($Q3799=0,1,INDEX(COA_Mapping!$F$7:$F$256,$Q3799)))</f>
        <v>1</v>
      </c>
      <c r="P3799" s="34" t="str">
        <f aca="false">IF($A3799="","",$I3799*$O3799)</f>
        <v/>
      </c>
      <c r="Q3799" s="39" t="n">
        <f aca="false">IF($B3799="",0,IFERROR(MATCH($B3799,COA_Mapping!$A$7:$A$256,0),0))</f>
        <v>0</v>
      </c>
      <c r="R3799" s="39" t="n">
        <f aca="false">IF($A3799="",-1,IF($J3799=Setup!$B$7,1,IF($J3799=Setup!$B$9,0,-1)))</f>
        <v>-1</v>
      </c>
      <c r="S3799" s="35" t="n">
        <f aca="false">IF(OR($A3799="",$Q3799=0,$R3799=-1),0,$Q3799*1000+$R3799*100+$K3799)</f>
        <v>0</v>
      </c>
      <c r="T3799" s="37" t="str">
        <f aca="false">IF($A3799="","",IF($B3799="","NO ACCOUNT",IF($Q3799=0,"UNMAPPED",IF($R3799=-1,"OUTSIDE FY RANGE","OK"))))</f>
        <v/>
      </c>
      <c r="U3799" s="40" t="str">
        <f aca="false">IF($A3799="","",$B3799&amp;"|"&amp;TEXT($A3799,"yyyymmdd")&amp;"|"&amp;TEXT($I3799,"0.00"))</f>
        <v/>
      </c>
      <c r="V3799" s="35" t="str">
        <f aca="false">IF($A3799="","",COUNTIF($U$8:$U$5007,$U3799))</f>
        <v/>
      </c>
    </row>
    <row r="3800" customFormat="false" ht="15" hidden="false" customHeight="false" outlineLevel="0" collapsed="false">
      <c r="A3800" s="31"/>
      <c r="B3800" s="32"/>
      <c r="C3800" s="32"/>
      <c r="D3800" s="32"/>
      <c r="E3800" s="32"/>
      <c r="F3800" s="32"/>
      <c r="G3800" s="33"/>
      <c r="H3800" s="33"/>
      <c r="I3800" s="34" t="str">
        <f aca="false">IF($A3800="","",$G3800-$H3800)</f>
        <v/>
      </c>
      <c r="J3800" s="35" t="str">
        <f aca="false">IF($A3800="","",IF(Setup!$B$6=1,YEAR($A3800),YEAR($A3800)+IF(MONTH($A3800)&gt;=Setup!$B$6,1,0)))</f>
        <v/>
      </c>
      <c r="K3800" s="35" t="str">
        <f aca="false">IF($A3800="","",MOD(MONTH($A3800)-Setup!$B$6+12,12)+1)</f>
        <v/>
      </c>
      <c r="L3800" s="36" t="str">
        <f aca="false">IF($A3800="","",TEXT($A3800,"MMM-YY"))</f>
        <v/>
      </c>
      <c r="M3800" s="37" t="str">
        <f aca="false">IF($A3800="","",IF($Q3800=0,"UNMAPPED",INDEX(COA_Mapping!$C$7:$C$256,$Q3800)))</f>
        <v/>
      </c>
      <c r="N3800" s="38" t="str">
        <f aca="false">IF($A3800="","",IF($Q3800=0,"",INDEX(COA_Mapping!$E$7:$E$256,$Q3800)))</f>
        <v/>
      </c>
      <c r="O3800" s="38" t="n">
        <f aca="false">IF($A3800="",1,IF($Q3800=0,1,INDEX(COA_Mapping!$F$7:$F$256,$Q3800)))</f>
        <v>1</v>
      </c>
      <c r="P3800" s="34" t="str">
        <f aca="false">IF($A3800="","",$I3800*$O3800)</f>
        <v/>
      </c>
      <c r="Q3800" s="39" t="n">
        <f aca="false">IF($B3800="",0,IFERROR(MATCH($B3800,COA_Mapping!$A$7:$A$256,0),0))</f>
        <v>0</v>
      </c>
      <c r="R3800" s="39" t="n">
        <f aca="false">IF($A3800="",-1,IF($J3800=Setup!$B$7,1,IF($J3800=Setup!$B$9,0,-1)))</f>
        <v>-1</v>
      </c>
      <c r="S3800" s="35" t="n">
        <f aca="false">IF(OR($A3800="",$Q3800=0,$R3800=-1),0,$Q3800*1000+$R3800*100+$K3800)</f>
        <v>0</v>
      </c>
      <c r="T3800" s="37" t="str">
        <f aca="false">IF($A3800="","",IF($B3800="","NO ACCOUNT",IF($Q3800=0,"UNMAPPED",IF($R3800=-1,"OUTSIDE FY RANGE","OK"))))</f>
        <v/>
      </c>
      <c r="U3800" s="40" t="str">
        <f aca="false">IF($A3800="","",$B3800&amp;"|"&amp;TEXT($A3800,"yyyymmdd")&amp;"|"&amp;TEXT($I3800,"0.00"))</f>
        <v/>
      </c>
      <c r="V3800" s="35" t="str">
        <f aca="false">IF($A3800="","",COUNTIF($U$8:$U$5007,$U3800))</f>
        <v/>
      </c>
    </row>
    <row r="3801" customFormat="false" ht="15" hidden="false" customHeight="false" outlineLevel="0" collapsed="false">
      <c r="A3801" s="31"/>
      <c r="B3801" s="32"/>
      <c r="C3801" s="32"/>
      <c r="D3801" s="32"/>
      <c r="E3801" s="32"/>
      <c r="F3801" s="32"/>
      <c r="G3801" s="33"/>
      <c r="H3801" s="33"/>
      <c r="I3801" s="34" t="str">
        <f aca="false">IF($A3801="","",$G3801-$H3801)</f>
        <v/>
      </c>
      <c r="J3801" s="35" t="str">
        <f aca="false">IF($A3801="","",IF(Setup!$B$6=1,YEAR($A3801),YEAR($A3801)+IF(MONTH($A3801)&gt;=Setup!$B$6,1,0)))</f>
        <v/>
      </c>
      <c r="K3801" s="35" t="str">
        <f aca="false">IF($A3801="","",MOD(MONTH($A3801)-Setup!$B$6+12,12)+1)</f>
        <v/>
      </c>
      <c r="L3801" s="36" t="str">
        <f aca="false">IF($A3801="","",TEXT($A3801,"MMM-YY"))</f>
        <v/>
      </c>
      <c r="M3801" s="37" t="str">
        <f aca="false">IF($A3801="","",IF($Q3801=0,"UNMAPPED",INDEX(COA_Mapping!$C$7:$C$256,$Q3801)))</f>
        <v/>
      </c>
      <c r="N3801" s="38" t="str">
        <f aca="false">IF($A3801="","",IF($Q3801=0,"",INDEX(COA_Mapping!$E$7:$E$256,$Q3801)))</f>
        <v/>
      </c>
      <c r="O3801" s="38" t="n">
        <f aca="false">IF($A3801="",1,IF($Q3801=0,1,INDEX(COA_Mapping!$F$7:$F$256,$Q3801)))</f>
        <v>1</v>
      </c>
      <c r="P3801" s="34" t="str">
        <f aca="false">IF($A3801="","",$I3801*$O3801)</f>
        <v/>
      </c>
      <c r="Q3801" s="39" t="n">
        <f aca="false">IF($B3801="",0,IFERROR(MATCH($B3801,COA_Mapping!$A$7:$A$256,0),0))</f>
        <v>0</v>
      </c>
      <c r="R3801" s="39" t="n">
        <f aca="false">IF($A3801="",-1,IF($J3801=Setup!$B$7,1,IF($J3801=Setup!$B$9,0,-1)))</f>
        <v>-1</v>
      </c>
      <c r="S3801" s="35" t="n">
        <f aca="false">IF(OR($A3801="",$Q3801=0,$R3801=-1),0,$Q3801*1000+$R3801*100+$K3801)</f>
        <v>0</v>
      </c>
      <c r="T3801" s="37" t="str">
        <f aca="false">IF($A3801="","",IF($B3801="","NO ACCOUNT",IF($Q3801=0,"UNMAPPED",IF($R3801=-1,"OUTSIDE FY RANGE","OK"))))</f>
        <v/>
      </c>
      <c r="U3801" s="40" t="str">
        <f aca="false">IF($A3801="","",$B3801&amp;"|"&amp;TEXT($A3801,"yyyymmdd")&amp;"|"&amp;TEXT($I3801,"0.00"))</f>
        <v/>
      </c>
      <c r="V3801" s="35" t="str">
        <f aca="false">IF($A3801="","",COUNTIF($U$8:$U$5007,$U3801))</f>
        <v/>
      </c>
    </row>
    <row r="3802" customFormat="false" ht="15" hidden="false" customHeight="false" outlineLevel="0" collapsed="false">
      <c r="A3802" s="31"/>
      <c r="B3802" s="32"/>
      <c r="C3802" s="32"/>
      <c r="D3802" s="32"/>
      <c r="E3802" s="32"/>
      <c r="F3802" s="32"/>
      <c r="G3802" s="33"/>
      <c r="H3802" s="33"/>
      <c r="I3802" s="34" t="str">
        <f aca="false">IF($A3802="","",$G3802-$H3802)</f>
        <v/>
      </c>
      <c r="J3802" s="35" t="str">
        <f aca="false">IF($A3802="","",IF(Setup!$B$6=1,YEAR($A3802),YEAR($A3802)+IF(MONTH($A3802)&gt;=Setup!$B$6,1,0)))</f>
        <v/>
      </c>
      <c r="K3802" s="35" t="str">
        <f aca="false">IF($A3802="","",MOD(MONTH($A3802)-Setup!$B$6+12,12)+1)</f>
        <v/>
      </c>
      <c r="L3802" s="36" t="str">
        <f aca="false">IF($A3802="","",TEXT($A3802,"MMM-YY"))</f>
        <v/>
      </c>
      <c r="M3802" s="37" t="str">
        <f aca="false">IF($A3802="","",IF($Q3802=0,"UNMAPPED",INDEX(COA_Mapping!$C$7:$C$256,$Q3802)))</f>
        <v/>
      </c>
      <c r="N3802" s="38" t="str">
        <f aca="false">IF($A3802="","",IF($Q3802=0,"",INDEX(COA_Mapping!$E$7:$E$256,$Q3802)))</f>
        <v/>
      </c>
      <c r="O3802" s="38" t="n">
        <f aca="false">IF($A3802="",1,IF($Q3802=0,1,INDEX(COA_Mapping!$F$7:$F$256,$Q3802)))</f>
        <v>1</v>
      </c>
      <c r="P3802" s="34" t="str">
        <f aca="false">IF($A3802="","",$I3802*$O3802)</f>
        <v/>
      </c>
      <c r="Q3802" s="39" t="n">
        <f aca="false">IF($B3802="",0,IFERROR(MATCH($B3802,COA_Mapping!$A$7:$A$256,0),0))</f>
        <v>0</v>
      </c>
      <c r="R3802" s="39" t="n">
        <f aca="false">IF($A3802="",-1,IF($J3802=Setup!$B$7,1,IF($J3802=Setup!$B$9,0,-1)))</f>
        <v>-1</v>
      </c>
      <c r="S3802" s="35" t="n">
        <f aca="false">IF(OR($A3802="",$Q3802=0,$R3802=-1),0,$Q3802*1000+$R3802*100+$K3802)</f>
        <v>0</v>
      </c>
      <c r="T3802" s="37" t="str">
        <f aca="false">IF($A3802="","",IF($B3802="","NO ACCOUNT",IF($Q3802=0,"UNMAPPED",IF($R3802=-1,"OUTSIDE FY RANGE","OK"))))</f>
        <v/>
      </c>
      <c r="U3802" s="40" t="str">
        <f aca="false">IF($A3802="","",$B3802&amp;"|"&amp;TEXT($A3802,"yyyymmdd")&amp;"|"&amp;TEXT($I3802,"0.00"))</f>
        <v/>
      </c>
      <c r="V3802" s="35" t="str">
        <f aca="false">IF($A3802="","",COUNTIF($U$8:$U$5007,$U3802))</f>
        <v/>
      </c>
    </row>
    <row r="3803" customFormat="false" ht="15" hidden="false" customHeight="false" outlineLevel="0" collapsed="false">
      <c r="A3803" s="31"/>
      <c r="B3803" s="32"/>
      <c r="C3803" s="32"/>
      <c r="D3803" s="32"/>
      <c r="E3803" s="32"/>
      <c r="F3803" s="32"/>
      <c r="G3803" s="33"/>
      <c r="H3803" s="33"/>
      <c r="I3803" s="34" t="str">
        <f aca="false">IF($A3803="","",$G3803-$H3803)</f>
        <v/>
      </c>
      <c r="J3803" s="35" t="str">
        <f aca="false">IF($A3803="","",IF(Setup!$B$6=1,YEAR($A3803),YEAR($A3803)+IF(MONTH($A3803)&gt;=Setup!$B$6,1,0)))</f>
        <v/>
      </c>
      <c r="K3803" s="35" t="str">
        <f aca="false">IF($A3803="","",MOD(MONTH($A3803)-Setup!$B$6+12,12)+1)</f>
        <v/>
      </c>
      <c r="L3803" s="36" t="str">
        <f aca="false">IF($A3803="","",TEXT($A3803,"MMM-YY"))</f>
        <v/>
      </c>
      <c r="M3803" s="37" t="str">
        <f aca="false">IF($A3803="","",IF($Q3803=0,"UNMAPPED",INDEX(COA_Mapping!$C$7:$C$256,$Q3803)))</f>
        <v/>
      </c>
      <c r="N3803" s="38" t="str">
        <f aca="false">IF($A3803="","",IF($Q3803=0,"",INDEX(COA_Mapping!$E$7:$E$256,$Q3803)))</f>
        <v/>
      </c>
      <c r="O3803" s="38" t="n">
        <f aca="false">IF($A3803="",1,IF($Q3803=0,1,INDEX(COA_Mapping!$F$7:$F$256,$Q3803)))</f>
        <v>1</v>
      </c>
      <c r="P3803" s="34" t="str">
        <f aca="false">IF($A3803="","",$I3803*$O3803)</f>
        <v/>
      </c>
      <c r="Q3803" s="39" t="n">
        <f aca="false">IF($B3803="",0,IFERROR(MATCH($B3803,COA_Mapping!$A$7:$A$256,0),0))</f>
        <v>0</v>
      </c>
      <c r="R3803" s="39" t="n">
        <f aca="false">IF($A3803="",-1,IF($J3803=Setup!$B$7,1,IF($J3803=Setup!$B$9,0,-1)))</f>
        <v>-1</v>
      </c>
      <c r="S3803" s="35" t="n">
        <f aca="false">IF(OR($A3803="",$Q3803=0,$R3803=-1),0,$Q3803*1000+$R3803*100+$K3803)</f>
        <v>0</v>
      </c>
      <c r="T3803" s="37" t="str">
        <f aca="false">IF($A3803="","",IF($B3803="","NO ACCOUNT",IF($Q3803=0,"UNMAPPED",IF($R3803=-1,"OUTSIDE FY RANGE","OK"))))</f>
        <v/>
      </c>
      <c r="U3803" s="40" t="str">
        <f aca="false">IF($A3803="","",$B3803&amp;"|"&amp;TEXT($A3803,"yyyymmdd")&amp;"|"&amp;TEXT($I3803,"0.00"))</f>
        <v/>
      </c>
      <c r="V3803" s="35" t="str">
        <f aca="false">IF($A3803="","",COUNTIF($U$8:$U$5007,$U3803))</f>
        <v/>
      </c>
    </row>
    <row r="3804" customFormat="false" ht="15" hidden="false" customHeight="false" outlineLevel="0" collapsed="false">
      <c r="A3804" s="31"/>
      <c r="B3804" s="32"/>
      <c r="C3804" s="32"/>
      <c r="D3804" s="32"/>
      <c r="E3804" s="32"/>
      <c r="F3804" s="32"/>
      <c r="G3804" s="33"/>
      <c r="H3804" s="33"/>
      <c r="I3804" s="34" t="str">
        <f aca="false">IF($A3804="","",$G3804-$H3804)</f>
        <v/>
      </c>
      <c r="J3804" s="35" t="str">
        <f aca="false">IF($A3804="","",IF(Setup!$B$6=1,YEAR($A3804),YEAR($A3804)+IF(MONTH($A3804)&gt;=Setup!$B$6,1,0)))</f>
        <v/>
      </c>
      <c r="K3804" s="35" t="str">
        <f aca="false">IF($A3804="","",MOD(MONTH($A3804)-Setup!$B$6+12,12)+1)</f>
        <v/>
      </c>
      <c r="L3804" s="36" t="str">
        <f aca="false">IF($A3804="","",TEXT($A3804,"MMM-YY"))</f>
        <v/>
      </c>
      <c r="M3804" s="37" t="str">
        <f aca="false">IF($A3804="","",IF($Q3804=0,"UNMAPPED",INDEX(COA_Mapping!$C$7:$C$256,$Q3804)))</f>
        <v/>
      </c>
      <c r="N3804" s="38" t="str">
        <f aca="false">IF($A3804="","",IF($Q3804=0,"",INDEX(COA_Mapping!$E$7:$E$256,$Q3804)))</f>
        <v/>
      </c>
      <c r="O3804" s="38" t="n">
        <f aca="false">IF($A3804="",1,IF($Q3804=0,1,INDEX(COA_Mapping!$F$7:$F$256,$Q3804)))</f>
        <v>1</v>
      </c>
      <c r="P3804" s="34" t="str">
        <f aca="false">IF($A3804="","",$I3804*$O3804)</f>
        <v/>
      </c>
      <c r="Q3804" s="39" t="n">
        <f aca="false">IF($B3804="",0,IFERROR(MATCH($B3804,COA_Mapping!$A$7:$A$256,0),0))</f>
        <v>0</v>
      </c>
      <c r="R3804" s="39" t="n">
        <f aca="false">IF($A3804="",-1,IF($J3804=Setup!$B$7,1,IF($J3804=Setup!$B$9,0,-1)))</f>
        <v>-1</v>
      </c>
      <c r="S3804" s="35" t="n">
        <f aca="false">IF(OR($A3804="",$Q3804=0,$R3804=-1),0,$Q3804*1000+$R3804*100+$K3804)</f>
        <v>0</v>
      </c>
      <c r="T3804" s="37" t="str">
        <f aca="false">IF($A3804="","",IF($B3804="","NO ACCOUNT",IF($Q3804=0,"UNMAPPED",IF($R3804=-1,"OUTSIDE FY RANGE","OK"))))</f>
        <v/>
      </c>
      <c r="U3804" s="40" t="str">
        <f aca="false">IF($A3804="","",$B3804&amp;"|"&amp;TEXT($A3804,"yyyymmdd")&amp;"|"&amp;TEXT($I3804,"0.00"))</f>
        <v/>
      </c>
      <c r="V3804" s="35" t="str">
        <f aca="false">IF($A3804="","",COUNTIF($U$8:$U$5007,$U3804))</f>
        <v/>
      </c>
    </row>
    <row r="3805" customFormat="false" ht="15" hidden="false" customHeight="false" outlineLevel="0" collapsed="false">
      <c r="A3805" s="31"/>
      <c r="B3805" s="32"/>
      <c r="C3805" s="32"/>
      <c r="D3805" s="32"/>
      <c r="E3805" s="32"/>
      <c r="F3805" s="32"/>
      <c r="G3805" s="33"/>
      <c r="H3805" s="33"/>
      <c r="I3805" s="34" t="str">
        <f aca="false">IF($A3805="","",$G3805-$H3805)</f>
        <v/>
      </c>
      <c r="J3805" s="35" t="str">
        <f aca="false">IF($A3805="","",IF(Setup!$B$6=1,YEAR($A3805),YEAR($A3805)+IF(MONTH($A3805)&gt;=Setup!$B$6,1,0)))</f>
        <v/>
      </c>
      <c r="K3805" s="35" t="str">
        <f aca="false">IF($A3805="","",MOD(MONTH($A3805)-Setup!$B$6+12,12)+1)</f>
        <v/>
      </c>
      <c r="L3805" s="36" t="str">
        <f aca="false">IF($A3805="","",TEXT($A3805,"MMM-YY"))</f>
        <v/>
      </c>
      <c r="M3805" s="37" t="str">
        <f aca="false">IF($A3805="","",IF($Q3805=0,"UNMAPPED",INDEX(COA_Mapping!$C$7:$C$256,$Q3805)))</f>
        <v/>
      </c>
      <c r="N3805" s="38" t="str">
        <f aca="false">IF($A3805="","",IF($Q3805=0,"",INDEX(COA_Mapping!$E$7:$E$256,$Q3805)))</f>
        <v/>
      </c>
      <c r="O3805" s="38" t="n">
        <f aca="false">IF($A3805="",1,IF($Q3805=0,1,INDEX(COA_Mapping!$F$7:$F$256,$Q3805)))</f>
        <v>1</v>
      </c>
      <c r="P3805" s="34" t="str">
        <f aca="false">IF($A3805="","",$I3805*$O3805)</f>
        <v/>
      </c>
      <c r="Q3805" s="39" t="n">
        <f aca="false">IF($B3805="",0,IFERROR(MATCH($B3805,COA_Mapping!$A$7:$A$256,0),0))</f>
        <v>0</v>
      </c>
      <c r="R3805" s="39" t="n">
        <f aca="false">IF($A3805="",-1,IF($J3805=Setup!$B$7,1,IF($J3805=Setup!$B$9,0,-1)))</f>
        <v>-1</v>
      </c>
      <c r="S3805" s="35" t="n">
        <f aca="false">IF(OR($A3805="",$Q3805=0,$R3805=-1),0,$Q3805*1000+$R3805*100+$K3805)</f>
        <v>0</v>
      </c>
      <c r="T3805" s="37" t="str">
        <f aca="false">IF($A3805="","",IF($B3805="","NO ACCOUNT",IF($Q3805=0,"UNMAPPED",IF($R3805=-1,"OUTSIDE FY RANGE","OK"))))</f>
        <v/>
      </c>
      <c r="U3805" s="40" t="str">
        <f aca="false">IF($A3805="","",$B3805&amp;"|"&amp;TEXT($A3805,"yyyymmdd")&amp;"|"&amp;TEXT($I3805,"0.00"))</f>
        <v/>
      </c>
      <c r="V3805" s="35" t="str">
        <f aca="false">IF($A3805="","",COUNTIF($U$8:$U$5007,$U3805))</f>
        <v/>
      </c>
    </row>
    <row r="3806" customFormat="false" ht="15" hidden="false" customHeight="false" outlineLevel="0" collapsed="false">
      <c r="A3806" s="31"/>
      <c r="B3806" s="32"/>
      <c r="C3806" s="32"/>
      <c r="D3806" s="32"/>
      <c r="E3806" s="32"/>
      <c r="F3806" s="32"/>
      <c r="G3806" s="33"/>
      <c r="H3806" s="33"/>
      <c r="I3806" s="34" t="str">
        <f aca="false">IF($A3806="","",$G3806-$H3806)</f>
        <v/>
      </c>
      <c r="J3806" s="35" t="str">
        <f aca="false">IF($A3806="","",IF(Setup!$B$6=1,YEAR($A3806),YEAR($A3806)+IF(MONTH($A3806)&gt;=Setup!$B$6,1,0)))</f>
        <v/>
      </c>
      <c r="K3806" s="35" t="str">
        <f aca="false">IF($A3806="","",MOD(MONTH($A3806)-Setup!$B$6+12,12)+1)</f>
        <v/>
      </c>
      <c r="L3806" s="36" t="str">
        <f aca="false">IF($A3806="","",TEXT($A3806,"MMM-YY"))</f>
        <v/>
      </c>
      <c r="M3806" s="37" t="str">
        <f aca="false">IF($A3806="","",IF($Q3806=0,"UNMAPPED",INDEX(COA_Mapping!$C$7:$C$256,$Q3806)))</f>
        <v/>
      </c>
      <c r="N3806" s="38" t="str">
        <f aca="false">IF($A3806="","",IF($Q3806=0,"",INDEX(COA_Mapping!$E$7:$E$256,$Q3806)))</f>
        <v/>
      </c>
      <c r="O3806" s="38" t="n">
        <f aca="false">IF($A3806="",1,IF($Q3806=0,1,INDEX(COA_Mapping!$F$7:$F$256,$Q3806)))</f>
        <v>1</v>
      </c>
      <c r="P3806" s="34" t="str">
        <f aca="false">IF($A3806="","",$I3806*$O3806)</f>
        <v/>
      </c>
      <c r="Q3806" s="39" t="n">
        <f aca="false">IF($B3806="",0,IFERROR(MATCH($B3806,COA_Mapping!$A$7:$A$256,0),0))</f>
        <v>0</v>
      </c>
      <c r="R3806" s="39" t="n">
        <f aca="false">IF($A3806="",-1,IF($J3806=Setup!$B$7,1,IF($J3806=Setup!$B$9,0,-1)))</f>
        <v>-1</v>
      </c>
      <c r="S3806" s="35" t="n">
        <f aca="false">IF(OR($A3806="",$Q3806=0,$R3806=-1),0,$Q3806*1000+$R3806*100+$K3806)</f>
        <v>0</v>
      </c>
      <c r="T3806" s="37" t="str">
        <f aca="false">IF($A3806="","",IF($B3806="","NO ACCOUNT",IF($Q3806=0,"UNMAPPED",IF($R3806=-1,"OUTSIDE FY RANGE","OK"))))</f>
        <v/>
      </c>
      <c r="U3806" s="40" t="str">
        <f aca="false">IF($A3806="","",$B3806&amp;"|"&amp;TEXT($A3806,"yyyymmdd")&amp;"|"&amp;TEXT($I3806,"0.00"))</f>
        <v/>
      </c>
      <c r="V3806" s="35" t="str">
        <f aca="false">IF($A3806="","",COUNTIF($U$8:$U$5007,$U3806))</f>
        <v/>
      </c>
    </row>
    <row r="3807" customFormat="false" ht="15" hidden="false" customHeight="false" outlineLevel="0" collapsed="false">
      <c r="A3807" s="31"/>
      <c r="B3807" s="32"/>
      <c r="C3807" s="32"/>
      <c r="D3807" s="32"/>
      <c r="E3807" s="32"/>
      <c r="F3807" s="32"/>
      <c r="G3807" s="33"/>
      <c r="H3807" s="33"/>
      <c r="I3807" s="34" t="str">
        <f aca="false">IF($A3807="","",$G3807-$H3807)</f>
        <v/>
      </c>
      <c r="J3807" s="35" t="str">
        <f aca="false">IF($A3807="","",IF(Setup!$B$6=1,YEAR($A3807),YEAR($A3807)+IF(MONTH($A3807)&gt;=Setup!$B$6,1,0)))</f>
        <v/>
      </c>
      <c r="K3807" s="35" t="str">
        <f aca="false">IF($A3807="","",MOD(MONTH($A3807)-Setup!$B$6+12,12)+1)</f>
        <v/>
      </c>
      <c r="L3807" s="36" t="str">
        <f aca="false">IF($A3807="","",TEXT($A3807,"MMM-YY"))</f>
        <v/>
      </c>
      <c r="M3807" s="37" t="str">
        <f aca="false">IF($A3807="","",IF($Q3807=0,"UNMAPPED",INDEX(COA_Mapping!$C$7:$C$256,$Q3807)))</f>
        <v/>
      </c>
      <c r="N3807" s="38" t="str">
        <f aca="false">IF($A3807="","",IF($Q3807=0,"",INDEX(COA_Mapping!$E$7:$E$256,$Q3807)))</f>
        <v/>
      </c>
      <c r="O3807" s="38" t="n">
        <f aca="false">IF($A3807="",1,IF($Q3807=0,1,INDEX(COA_Mapping!$F$7:$F$256,$Q3807)))</f>
        <v>1</v>
      </c>
      <c r="P3807" s="34" t="str">
        <f aca="false">IF($A3807="","",$I3807*$O3807)</f>
        <v/>
      </c>
      <c r="Q3807" s="39" t="n">
        <f aca="false">IF($B3807="",0,IFERROR(MATCH($B3807,COA_Mapping!$A$7:$A$256,0),0))</f>
        <v>0</v>
      </c>
      <c r="R3807" s="39" t="n">
        <f aca="false">IF($A3807="",-1,IF($J3807=Setup!$B$7,1,IF($J3807=Setup!$B$9,0,-1)))</f>
        <v>-1</v>
      </c>
      <c r="S3807" s="35" t="n">
        <f aca="false">IF(OR($A3807="",$Q3807=0,$R3807=-1),0,$Q3807*1000+$R3807*100+$K3807)</f>
        <v>0</v>
      </c>
      <c r="T3807" s="37" t="str">
        <f aca="false">IF($A3807="","",IF($B3807="","NO ACCOUNT",IF($Q3807=0,"UNMAPPED",IF($R3807=-1,"OUTSIDE FY RANGE","OK"))))</f>
        <v/>
      </c>
      <c r="U3807" s="40" t="str">
        <f aca="false">IF($A3807="","",$B3807&amp;"|"&amp;TEXT($A3807,"yyyymmdd")&amp;"|"&amp;TEXT($I3807,"0.00"))</f>
        <v/>
      </c>
      <c r="V3807" s="35" t="str">
        <f aca="false">IF($A3807="","",COUNTIF($U$8:$U$5007,$U3807))</f>
        <v/>
      </c>
    </row>
    <row r="3808" customFormat="false" ht="15" hidden="false" customHeight="false" outlineLevel="0" collapsed="false">
      <c r="A3808" s="31"/>
      <c r="B3808" s="32"/>
      <c r="C3808" s="32"/>
      <c r="D3808" s="32"/>
      <c r="E3808" s="32"/>
      <c r="F3808" s="32"/>
      <c r="G3808" s="33"/>
      <c r="H3808" s="33"/>
      <c r="I3808" s="34" t="str">
        <f aca="false">IF($A3808="","",$G3808-$H3808)</f>
        <v/>
      </c>
      <c r="J3808" s="35" t="str">
        <f aca="false">IF($A3808="","",IF(Setup!$B$6=1,YEAR($A3808),YEAR($A3808)+IF(MONTH($A3808)&gt;=Setup!$B$6,1,0)))</f>
        <v/>
      </c>
      <c r="K3808" s="35" t="str">
        <f aca="false">IF($A3808="","",MOD(MONTH($A3808)-Setup!$B$6+12,12)+1)</f>
        <v/>
      </c>
      <c r="L3808" s="36" t="str">
        <f aca="false">IF($A3808="","",TEXT($A3808,"MMM-YY"))</f>
        <v/>
      </c>
      <c r="M3808" s="37" t="str">
        <f aca="false">IF($A3808="","",IF($Q3808=0,"UNMAPPED",INDEX(COA_Mapping!$C$7:$C$256,$Q3808)))</f>
        <v/>
      </c>
      <c r="N3808" s="38" t="str">
        <f aca="false">IF($A3808="","",IF($Q3808=0,"",INDEX(COA_Mapping!$E$7:$E$256,$Q3808)))</f>
        <v/>
      </c>
      <c r="O3808" s="38" t="n">
        <f aca="false">IF($A3808="",1,IF($Q3808=0,1,INDEX(COA_Mapping!$F$7:$F$256,$Q3808)))</f>
        <v>1</v>
      </c>
      <c r="P3808" s="34" t="str">
        <f aca="false">IF($A3808="","",$I3808*$O3808)</f>
        <v/>
      </c>
      <c r="Q3808" s="39" t="n">
        <f aca="false">IF($B3808="",0,IFERROR(MATCH($B3808,COA_Mapping!$A$7:$A$256,0),0))</f>
        <v>0</v>
      </c>
      <c r="R3808" s="39" t="n">
        <f aca="false">IF($A3808="",-1,IF($J3808=Setup!$B$7,1,IF($J3808=Setup!$B$9,0,-1)))</f>
        <v>-1</v>
      </c>
      <c r="S3808" s="35" t="n">
        <f aca="false">IF(OR($A3808="",$Q3808=0,$R3808=-1),0,$Q3808*1000+$R3808*100+$K3808)</f>
        <v>0</v>
      </c>
      <c r="T3808" s="37" t="str">
        <f aca="false">IF($A3808="","",IF($B3808="","NO ACCOUNT",IF($Q3808=0,"UNMAPPED",IF($R3808=-1,"OUTSIDE FY RANGE","OK"))))</f>
        <v/>
      </c>
      <c r="U3808" s="40" t="str">
        <f aca="false">IF($A3808="","",$B3808&amp;"|"&amp;TEXT($A3808,"yyyymmdd")&amp;"|"&amp;TEXT($I3808,"0.00"))</f>
        <v/>
      </c>
      <c r="V3808" s="35" t="str">
        <f aca="false">IF($A3808="","",COUNTIF($U$8:$U$5007,$U3808))</f>
        <v/>
      </c>
    </row>
    <row r="3809" customFormat="false" ht="15" hidden="false" customHeight="false" outlineLevel="0" collapsed="false">
      <c r="A3809" s="31"/>
      <c r="B3809" s="32"/>
      <c r="C3809" s="32"/>
      <c r="D3809" s="32"/>
      <c r="E3809" s="32"/>
      <c r="F3809" s="32"/>
      <c r="G3809" s="33"/>
      <c r="H3809" s="33"/>
      <c r="I3809" s="34" t="str">
        <f aca="false">IF($A3809="","",$G3809-$H3809)</f>
        <v/>
      </c>
      <c r="J3809" s="35" t="str">
        <f aca="false">IF($A3809="","",IF(Setup!$B$6=1,YEAR($A3809),YEAR($A3809)+IF(MONTH($A3809)&gt;=Setup!$B$6,1,0)))</f>
        <v/>
      </c>
      <c r="K3809" s="35" t="str">
        <f aca="false">IF($A3809="","",MOD(MONTH($A3809)-Setup!$B$6+12,12)+1)</f>
        <v/>
      </c>
      <c r="L3809" s="36" t="str">
        <f aca="false">IF($A3809="","",TEXT($A3809,"MMM-YY"))</f>
        <v/>
      </c>
      <c r="M3809" s="37" t="str">
        <f aca="false">IF($A3809="","",IF($Q3809=0,"UNMAPPED",INDEX(COA_Mapping!$C$7:$C$256,$Q3809)))</f>
        <v/>
      </c>
      <c r="N3809" s="38" t="str">
        <f aca="false">IF($A3809="","",IF($Q3809=0,"",INDEX(COA_Mapping!$E$7:$E$256,$Q3809)))</f>
        <v/>
      </c>
      <c r="O3809" s="38" t="n">
        <f aca="false">IF($A3809="",1,IF($Q3809=0,1,INDEX(COA_Mapping!$F$7:$F$256,$Q3809)))</f>
        <v>1</v>
      </c>
      <c r="P3809" s="34" t="str">
        <f aca="false">IF($A3809="","",$I3809*$O3809)</f>
        <v/>
      </c>
      <c r="Q3809" s="39" t="n">
        <f aca="false">IF($B3809="",0,IFERROR(MATCH($B3809,COA_Mapping!$A$7:$A$256,0),0))</f>
        <v>0</v>
      </c>
      <c r="R3809" s="39" t="n">
        <f aca="false">IF($A3809="",-1,IF($J3809=Setup!$B$7,1,IF($J3809=Setup!$B$9,0,-1)))</f>
        <v>-1</v>
      </c>
      <c r="S3809" s="35" t="n">
        <f aca="false">IF(OR($A3809="",$Q3809=0,$R3809=-1),0,$Q3809*1000+$R3809*100+$K3809)</f>
        <v>0</v>
      </c>
      <c r="T3809" s="37" t="str">
        <f aca="false">IF($A3809="","",IF($B3809="","NO ACCOUNT",IF($Q3809=0,"UNMAPPED",IF($R3809=-1,"OUTSIDE FY RANGE","OK"))))</f>
        <v/>
      </c>
      <c r="U3809" s="40" t="str">
        <f aca="false">IF($A3809="","",$B3809&amp;"|"&amp;TEXT($A3809,"yyyymmdd")&amp;"|"&amp;TEXT($I3809,"0.00"))</f>
        <v/>
      </c>
      <c r="V3809" s="35" t="str">
        <f aca="false">IF($A3809="","",COUNTIF($U$8:$U$5007,$U3809))</f>
        <v/>
      </c>
    </row>
    <row r="3810" customFormat="false" ht="15" hidden="false" customHeight="false" outlineLevel="0" collapsed="false">
      <c r="A3810" s="31"/>
      <c r="B3810" s="32"/>
      <c r="C3810" s="32"/>
      <c r="D3810" s="32"/>
      <c r="E3810" s="32"/>
      <c r="F3810" s="32"/>
      <c r="G3810" s="33"/>
      <c r="H3810" s="33"/>
      <c r="I3810" s="34" t="str">
        <f aca="false">IF($A3810="","",$G3810-$H3810)</f>
        <v/>
      </c>
      <c r="J3810" s="35" t="str">
        <f aca="false">IF($A3810="","",IF(Setup!$B$6=1,YEAR($A3810),YEAR($A3810)+IF(MONTH($A3810)&gt;=Setup!$B$6,1,0)))</f>
        <v/>
      </c>
      <c r="K3810" s="35" t="str">
        <f aca="false">IF($A3810="","",MOD(MONTH($A3810)-Setup!$B$6+12,12)+1)</f>
        <v/>
      </c>
      <c r="L3810" s="36" t="str">
        <f aca="false">IF($A3810="","",TEXT($A3810,"MMM-YY"))</f>
        <v/>
      </c>
      <c r="M3810" s="37" t="str">
        <f aca="false">IF($A3810="","",IF($Q3810=0,"UNMAPPED",INDEX(COA_Mapping!$C$7:$C$256,$Q3810)))</f>
        <v/>
      </c>
      <c r="N3810" s="38" t="str">
        <f aca="false">IF($A3810="","",IF($Q3810=0,"",INDEX(COA_Mapping!$E$7:$E$256,$Q3810)))</f>
        <v/>
      </c>
      <c r="O3810" s="38" t="n">
        <f aca="false">IF($A3810="",1,IF($Q3810=0,1,INDEX(COA_Mapping!$F$7:$F$256,$Q3810)))</f>
        <v>1</v>
      </c>
      <c r="P3810" s="34" t="str">
        <f aca="false">IF($A3810="","",$I3810*$O3810)</f>
        <v/>
      </c>
      <c r="Q3810" s="39" t="n">
        <f aca="false">IF($B3810="",0,IFERROR(MATCH($B3810,COA_Mapping!$A$7:$A$256,0),0))</f>
        <v>0</v>
      </c>
      <c r="R3810" s="39" t="n">
        <f aca="false">IF($A3810="",-1,IF($J3810=Setup!$B$7,1,IF($J3810=Setup!$B$9,0,-1)))</f>
        <v>-1</v>
      </c>
      <c r="S3810" s="35" t="n">
        <f aca="false">IF(OR($A3810="",$Q3810=0,$R3810=-1),0,$Q3810*1000+$R3810*100+$K3810)</f>
        <v>0</v>
      </c>
      <c r="T3810" s="37" t="str">
        <f aca="false">IF($A3810="","",IF($B3810="","NO ACCOUNT",IF($Q3810=0,"UNMAPPED",IF($R3810=-1,"OUTSIDE FY RANGE","OK"))))</f>
        <v/>
      </c>
      <c r="U3810" s="40" t="str">
        <f aca="false">IF($A3810="","",$B3810&amp;"|"&amp;TEXT($A3810,"yyyymmdd")&amp;"|"&amp;TEXT($I3810,"0.00"))</f>
        <v/>
      </c>
      <c r="V3810" s="35" t="str">
        <f aca="false">IF($A3810="","",COUNTIF($U$8:$U$5007,$U3810))</f>
        <v/>
      </c>
    </row>
    <row r="3811" customFormat="false" ht="15" hidden="false" customHeight="false" outlineLevel="0" collapsed="false">
      <c r="A3811" s="31"/>
      <c r="B3811" s="32"/>
      <c r="C3811" s="32"/>
      <c r="D3811" s="32"/>
      <c r="E3811" s="32"/>
      <c r="F3811" s="32"/>
      <c r="G3811" s="33"/>
      <c r="H3811" s="33"/>
      <c r="I3811" s="34" t="str">
        <f aca="false">IF($A3811="","",$G3811-$H3811)</f>
        <v/>
      </c>
      <c r="J3811" s="35" t="str">
        <f aca="false">IF($A3811="","",IF(Setup!$B$6=1,YEAR($A3811),YEAR($A3811)+IF(MONTH($A3811)&gt;=Setup!$B$6,1,0)))</f>
        <v/>
      </c>
      <c r="K3811" s="35" t="str">
        <f aca="false">IF($A3811="","",MOD(MONTH($A3811)-Setup!$B$6+12,12)+1)</f>
        <v/>
      </c>
      <c r="L3811" s="36" t="str">
        <f aca="false">IF($A3811="","",TEXT($A3811,"MMM-YY"))</f>
        <v/>
      </c>
      <c r="M3811" s="37" t="str">
        <f aca="false">IF($A3811="","",IF($Q3811=0,"UNMAPPED",INDEX(COA_Mapping!$C$7:$C$256,$Q3811)))</f>
        <v/>
      </c>
      <c r="N3811" s="38" t="str">
        <f aca="false">IF($A3811="","",IF($Q3811=0,"",INDEX(COA_Mapping!$E$7:$E$256,$Q3811)))</f>
        <v/>
      </c>
      <c r="O3811" s="38" t="n">
        <f aca="false">IF($A3811="",1,IF($Q3811=0,1,INDEX(COA_Mapping!$F$7:$F$256,$Q3811)))</f>
        <v>1</v>
      </c>
      <c r="P3811" s="34" t="str">
        <f aca="false">IF($A3811="","",$I3811*$O3811)</f>
        <v/>
      </c>
      <c r="Q3811" s="39" t="n">
        <f aca="false">IF($B3811="",0,IFERROR(MATCH($B3811,COA_Mapping!$A$7:$A$256,0),0))</f>
        <v>0</v>
      </c>
      <c r="R3811" s="39" t="n">
        <f aca="false">IF($A3811="",-1,IF($J3811=Setup!$B$7,1,IF($J3811=Setup!$B$9,0,-1)))</f>
        <v>-1</v>
      </c>
      <c r="S3811" s="35" t="n">
        <f aca="false">IF(OR($A3811="",$Q3811=0,$R3811=-1),0,$Q3811*1000+$R3811*100+$K3811)</f>
        <v>0</v>
      </c>
      <c r="T3811" s="37" t="str">
        <f aca="false">IF($A3811="","",IF($B3811="","NO ACCOUNT",IF($Q3811=0,"UNMAPPED",IF($R3811=-1,"OUTSIDE FY RANGE","OK"))))</f>
        <v/>
      </c>
      <c r="U3811" s="40" t="str">
        <f aca="false">IF($A3811="","",$B3811&amp;"|"&amp;TEXT($A3811,"yyyymmdd")&amp;"|"&amp;TEXT($I3811,"0.00"))</f>
        <v/>
      </c>
      <c r="V3811" s="35" t="str">
        <f aca="false">IF($A3811="","",COUNTIF($U$8:$U$5007,$U3811))</f>
        <v/>
      </c>
    </row>
    <row r="3812" customFormat="false" ht="15" hidden="false" customHeight="false" outlineLevel="0" collapsed="false">
      <c r="A3812" s="31"/>
      <c r="B3812" s="32"/>
      <c r="C3812" s="32"/>
      <c r="D3812" s="32"/>
      <c r="E3812" s="32"/>
      <c r="F3812" s="32"/>
      <c r="G3812" s="33"/>
      <c r="H3812" s="33"/>
      <c r="I3812" s="34" t="str">
        <f aca="false">IF($A3812="","",$G3812-$H3812)</f>
        <v/>
      </c>
      <c r="J3812" s="35" t="str">
        <f aca="false">IF($A3812="","",IF(Setup!$B$6=1,YEAR($A3812),YEAR($A3812)+IF(MONTH($A3812)&gt;=Setup!$B$6,1,0)))</f>
        <v/>
      </c>
      <c r="K3812" s="35" t="str">
        <f aca="false">IF($A3812="","",MOD(MONTH($A3812)-Setup!$B$6+12,12)+1)</f>
        <v/>
      </c>
      <c r="L3812" s="36" t="str">
        <f aca="false">IF($A3812="","",TEXT($A3812,"MMM-YY"))</f>
        <v/>
      </c>
      <c r="M3812" s="37" t="str">
        <f aca="false">IF($A3812="","",IF($Q3812=0,"UNMAPPED",INDEX(COA_Mapping!$C$7:$C$256,$Q3812)))</f>
        <v/>
      </c>
      <c r="N3812" s="38" t="str">
        <f aca="false">IF($A3812="","",IF($Q3812=0,"",INDEX(COA_Mapping!$E$7:$E$256,$Q3812)))</f>
        <v/>
      </c>
      <c r="O3812" s="38" t="n">
        <f aca="false">IF($A3812="",1,IF($Q3812=0,1,INDEX(COA_Mapping!$F$7:$F$256,$Q3812)))</f>
        <v>1</v>
      </c>
      <c r="P3812" s="34" t="str">
        <f aca="false">IF($A3812="","",$I3812*$O3812)</f>
        <v/>
      </c>
      <c r="Q3812" s="39" t="n">
        <f aca="false">IF($B3812="",0,IFERROR(MATCH($B3812,COA_Mapping!$A$7:$A$256,0),0))</f>
        <v>0</v>
      </c>
      <c r="R3812" s="39" t="n">
        <f aca="false">IF($A3812="",-1,IF($J3812=Setup!$B$7,1,IF($J3812=Setup!$B$9,0,-1)))</f>
        <v>-1</v>
      </c>
      <c r="S3812" s="35" t="n">
        <f aca="false">IF(OR($A3812="",$Q3812=0,$R3812=-1),0,$Q3812*1000+$R3812*100+$K3812)</f>
        <v>0</v>
      </c>
      <c r="T3812" s="37" t="str">
        <f aca="false">IF($A3812="","",IF($B3812="","NO ACCOUNT",IF($Q3812=0,"UNMAPPED",IF($R3812=-1,"OUTSIDE FY RANGE","OK"))))</f>
        <v/>
      </c>
      <c r="U3812" s="40" t="str">
        <f aca="false">IF($A3812="","",$B3812&amp;"|"&amp;TEXT($A3812,"yyyymmdd")&amp;"|"&amp;TEXT($I3812,"0.00"))</f>
        <v/>
      </c>
      <c r="V3812" s="35" t="str">
        <f aca="false">IF($A3812="","",COUNTIF($U$8:$U$5007,$U3812))</f>
        <v/>
      </c>
    </row>
    <row r="3813" customFormat="false" ht="15" hidden="false" customHeight="false" outlineLevel="0" collapsed="false">
      <c r="A3813" s="31"/>
      <c r="B3813" s="32"/>
      <c r="C3813" s="32"/>
      <c r="D3813" s="32"/>
      <c r="E3813" s="32"/>
      <c r="F3813" s="32"/>
      <c r="G3813" s="33"/>
      <c r="H3813" s="33"/>
      <c r="I3813" s="34" t="str">
        <f aca="false">IF($A3813="","",$G3813-$H3813)</f>
        <v/>
      </c>
      <c r="J3813" s="35" t="str">
        <f aca="false">IF($A3813="","",IF(Setup!$B$6=1,YEAR($A3813),YEAR($A3813)+IF(MONTH($A3813)&gt;=Setup!$B$6,1,0)))</f>
        <v/>
      </c>
      <c r="K3813" s="35" t="str">
        <f aca="false">IF($A3813="","",MOD(MONTH($A3813)-Setup!$B$6+12,12)+1)</f>
        <v/>
      </c>
      <c r="L3813" s="36" t="str">
        <f aca="false">IF($A3813="","",TEXT($A3813,"MMM-YY"))</f>
        <v/>
      </c>
      <c r="M3813" s="37" t="str">
        <f aca="false">IF($A3813="","",IF($Q3813=0,"UNMAPPED",INDEX(COA_Mapping!$C$7:$C$256,$Q3813)))</f>
        <v/>
      </c>
      <c r="N3813" s="38" t="str">
        <f aca="false">IF($A3813="","",IF($Q3813=0,"",INDEX(COA_Mapping!$E$7:$E$256,$Q3813)))</f>
        <v/>
      </c>
      <c r="O3813" s="38" t="n">
        <f aca="false">IF($A3813="",1,IF($Q3813=0,1,INDEX(COA_Mapping!$F$7:$F$256,$Q3813)))</f>
        <v>1</v>
      </c>
      <c r="P3813" s="34" t="str">
        <f aca="false">IF($A3813="","",$I3813*$O3813)</f>
        <v/>
      </c>
      <c r="Q3813" s="39" t="n">
        <f aca="false">IF($B3813="",0,IFERROR(MATCH($B3813,COA_Mapping!$A$7:$A$256,0),0))</f>
        <v>0</v>
      </c>
      <c r="R3813" s="39" t="n">
        <f aca="false">IF($A3813="",-1,IF($J3813=Setup!$B$7,1,IF($J3813=Setup!$B$9,0,-1)))</f>
        <v>-1</v>
      </c>
      <c r="S3813" s="35" t="n">
        <f aca="false">IF(OR($A3813="",$Q3813=0,$R3813=-1),0,$Q3813*1000+$R3813*100+$K3813)</f>
        <v>0</v>
      </c>
      <c r="T3813" s="37" t="str">
        <f aca="false">IF($A3813="","",IF($B3813="","NO ACCOUNT",IF($Q3813=0,"UNMAPPED",IF($R3813=-1,"OUTSIDE FY RANGE","OK"))))</f>
        <v/>
      </c>
      <c r="U3813" s="40" t="str">
        <f aca="false">IF($A3813="","",$B3813&amp;"|"&amp;TEXT($A3813,"yyyymmdd")&amp;"|"&amp;TEXT($I3813,"0.00"))</f>
        <v/>
      </c>
      <c r="V3813" s="35" t="str">
        <f aca="false">IF($A3813="","",COUNTIF($U$8:$U$5007,$U3813))</f>
        <v/>
      </c>
    </row>
    <row r="3814" customFormat="false" ht="15" hidden="false" customHeight="false" outlineLevel="0" collapsed="false">
      <c r="A3814" s="31"/>
      <c r="B3814" s="32"/>
      <c r="C3814" s="32"/>
      <c r="D3814" s="32"/>
      <c r="E3814" s="32"/>
      <c r="F3814" s="32"/>
      <c r="G3814" s="33"/>
      <c r="H3814" s="33"/>
      <c r="I3814" s="34" t="str">
        <f aca="false">IF($A3814="","",$G3814-$H3814)</f>
        <v/>
      </c>
      <c r="J3814" s="35" t="str">
        <f aca="false">IF($A3814="","",IF(Setup!$B$6=1,YEAR($A3814),YEAR($A3814)+IF(MONTH($A3814)&gt;=Setup!$B$6,1,0)))</f>
        <v/>
      </c>
      <c r="K3814" s="35" t="str">
        <f aca="false">IF($A3814="","",MOD(MONTH($A3814)-Setup!$B$6+12,12)+1)</f>
        <v/>
      </c>
      <c r="L3814" s="36" t="str">
        <f aca="false">IF($A3814="","",TEXT($A3814,"MMM-YY"))</f>
        <v/>
      </c>
      <c r="M3814" s="37" t="str">
        <f aca="false">IF($A3814="","",IF($Q3814=0,"UNMAPPED",INDEX(COA_Mapping!$C$7:$C$256,$Q3814)))</f>
        <v/>
      </c>
      <c r="N3814" s="38" t="str">
        <f aca="false">IF($A3814="","",IF($Q3814=0,"",INDEX(COA_Mapping!$E$7:$E$256,$Q3814)))</f>
        <v/>
      </c>
      <c r="O3814" s="38" t="n">
        <f aca="false">IF($A3814="",1,IF($Q3814=0,1,INDEX(COA_Mapping!$F$7:$F$256,$Q3814)))</f>
        <v>1</v>
      </c>
      <c r="P3814" s="34" t="str">
        <f aca="false">IF($A3814="","",$I3814*$O3814)</f>
        <v/>
      </c>
      <c r="Q3814" s="39" t="n">
        <f aca="false">IF($B3814="",0,IFERROR(MATCH($B3814,COA_Mapping!$A$7:$A$256,0),0))</f>
        <v>0</v>
      </c>
      <c r="R3814" s="39" t="n">
        <f aca="false">IF($A3814="",-1,IF($J3814=Setup!$B$7,1,IF($J3814=Setup!$B$9,0,-1)))</f>
        <v>-1</v>
      </c>
      <c r="S3814" s="35" t="n">
        <f aca="false">IF(OR($A3814="",$Q3814=0,$R3814=-1),0,$Q3814*1000+$R3814*100+$K3814)</f>
        <v>0</v>
      </c>
      <c r="T3814" s="37" t="str">
        <f aca="false">IF($A3814="","",IF($B3814="","NO ACCOUNT",IF($Q3814=0,"UNMAPPED",IF($R3814=-1,"OUTSIDE FY RANGE","OK"))))</f>
        <v/>
      </c>
      <c r="U3814" s="40" t="str">
        <f aca="false">IF($A3814="","",$B3814&amp;"|"&amp;TEXT($A3814,"yyyymmdd")&amp;"|"&amp;TEXT($I3814,"0.00"))</f>
        <v/>
      </c>
      <c r="V3814" s="35" t="str">
        <f aca="false">IF($A3814="","",COUNTIF($U$8:$U$5007,$U3814))</f>
        <v/>
      </c>
    </row>
    <row r="3815" customFormat="false" ht="15" hidden="false" customHeight="false" outlineLevel="0" collapsed="false">
      <c r="A3815" s="31"/>
      <c r="B3815" s="32"/>
      <c r="C3815" s="32"/>
      <c r="D3815" s="32"/>
      <c r="E3815" s="32"/>
      <c r="F3815" s="32"/>
      <c r="G3815" s="33"/>
      <c r="H3815" s="33"/>
      <c r="I3815" s="34" t="str">
        <f aca="false">IF($A3815="","",$G3815-$H3815)</f>
        <v/>
      </c>
      <c r="J3815" s="35" t="str">
        <f aca="false">IF($A3815="","",IF(Setup!$B$6=1,YEAR($A3815),YEAR($A3815)+IF(MONTH($A3815)&gt;=Setup!$B$6,1,0)))</f>
        <v/>
      </c>
      <c r="K3815" s="35" t="str">
        <f aca="false">IF($A3815="","",MOD(MONTH($A3815)-Setup!$B$6+12,12)+1)</f>
        <v/>
      </c>
      <c r="L3815" s="36" t="str">
        <f aca="false">IF($A3815="","",TEXT($A3815,"MMM-YY"))</f>
        <v/>
      </c>
      <c r="M3815" s="37" t="str">
        <f aca="false">IF($A3815="","",IF($Q3815=0,"UNMAPPED",INDEX(COA_Mapping!$C$7:$C$256,$Q3815)))</f>
        <v/>
      </c>
      <c r="N3815" s="38" t="str">
        <f aca="false">IF($A3815="","",IF($Q3815=0,"",INDEX(COA_Mapping!$E$7:$E$256,$Q3815)))</f>
        <v/>
      </c>
      <c r="O3815" s="38" t="n">
        <f aca="false">IF($A3815="",1,IF($Q3815=0,1,INDEX(COA_Mapping!$F$7:$F$256,$Q3815)))</f>
        <v>1</v>
      </c>
      <c r="P3815" s="34" t="str">
        <f aca="false">IF($A3815="","",$I3815*$O3815)</f>
        <v/>
      </c>
      <c r="Q3815" s="39" t="n">
        <f aca="false">IF($B3815="",0,IFERROR(MATCH($B3815,COA_Mapping!$A$7:$A$256,0),0))</f>
        <v>0</v>
      </c>
      <c r="R3815" s="39" t="n">
        <f aca="false">IF($A3815="",-1,IF($J3815=Setup!$B$7,1,IF($J3815=Setup!$B$9,0,-1)))</f>
        <v>-1</v>
      </c>
      <c r="S3815" s="35" t="n">
        <f aca="false">IF(OR($A3815="",$Q3815=0,$R3815=-1),0,$Q3815*1000+$R3815*100+$K3815)</f>
        <v>0</v>
      </c>
      <c r="T3815" s="37" t="str">
        <f aca="false">IF($A3815="","",IF($B3815="","NO ACCOUNT",IF($Q3815=0,"UNMAPPED",IF($R3815=-1,"OUTSIDE FY RANGE","OK"))))</f>
        <v/>
      </c>
      <c r="U3815" s="40" t="str">
        <f aca="false">IF($A3815="","",$B3815&amp;"|"&amp;TEXT($A3815,"yyyymmdd")&amp;"|"&amp;TEXT($I3815,"0.00"))</f>
        <v/>
      </c>
      <c r="V3815" s="35" t="str">
        <f aca="false">IF($A3815="","",COUNTIF($U$8:$U$5007,$U3815))</f>
        <v/>
      </c>
    </row>
    <row r="3816" customFormat="false" ht="15" hidden="false" customHeight="false" outlineLevel="0" collapsed="false">
      <c r="A3816" s="31"/>
      <c r="B3816" s="32"/>
      <c r="C3816" s="32"/>
      <c r="D3816" s="32"/>
      <c r="E3816" s="32"/>
      <c r="F3816" s="32"/>
      <c r="G3816" s="33"/>
      <c r="H3816" s="33"/>
      <c r="I3816" s="34" t="str">
        <f aca="false">IF($A3816="","",$G3816-$H3816)</f>
        <v/>
      </c>
      <c r="J3816" s="35" t="str">
        <f aca="false">IF($A3816="","",IF(Setup!$B$6=1,YEAR($A3816),YEAR($A3816)+IF(MONTH($A3816)&gt;=Setup!$B$6,1,0)))</f>
        <v/>
      </c>
      <c r="K3816" s="35" t="str">
        <f aca="false">IF($A3816="","",MOD(MONTH($A3816)-Setup!$B$6+12,12)+1)</f>
        <v/>
      </c>
      <c r="L3816" s="36" t="str">
        <f aca="false">IF($A3816="","",TEXT($A3816,"MMM-YY"))</f>
        <v/>
      </c>
      <c r="M3816" s="37" t="str">
        <f aca="false">IF($A3816="","",IF($Q3816=0,"UNMAPPED",INDEX(COA_Mapping!$C$7:$C$256,$Q3816)))</f>
        <v/>
      </c>
      <c r="N3816" s="38" t="str">
        <f aca="false">IF($A3816="","",IF($Q3816=0,"",INDEX(COA_Mapping!$E$7:$E$256,$Q3816)))</f>
        <v/>
      </c>
      <c r="O3816" s="38" t="n">
        <f aca="false">IF($A3816="",1,IF($Q3816=0,1,INDEX(COA_Mapping!$F$7:$F$256,$Q3816)))</f>
        <v>1</v>
      </c>
      <c r="P3816" s="34" t="str">
        <f aca="false">IF($A3816="","",$I3816*$O3816)</f>
        <v/>
      </c>
      <c r="Q3816" s="39" t="n">
        <f aca="false">IF($B3816="",0,IFERROR(MATCH($B3816,COA_Mapping!$A$7:$A$256,0),0))</f>
        <v>0</v>
      </c>
      <c r="R3816" s="39" t="n">
        <f aca="false">IF($A3816="",-1,IF($J3816=Setup!$B$7,1,IF($J3816=Setup!$B$9,0,-1)))</f>
        <v>-1</v>
      </c>
      <c r="S3816" s="35" t="n">
        <f aca="false">IF(OR($A3816="",$Q3816=0,$R3816=-1),0,$Q3816*1000+$R3816*100+$K3816)</f>
        <v>0</v>
      </c>
      <c r="T3816" s="37" t="str">
        <f aca="false">IF($A3816="","",IF($B3816="","NO ACCOUNT",IF($Q3816=0,"UNMAPPED",IF($R3816=-1,"OUTSIDE FY RANGE","OK"))))</f>
        <v/>
      </c>
      <c r="U3816" s="40" t="str">
        <f aca="false">IF($A3816="","",$B3816&amp;"|"&amp;TEXT($A3816,"yyyymmdd")&amp;"|"&amp;TEXT($I3816,"0.00"))</f>
        <v/>
      </c>
      <c r="V3816" s="35" t="str">
        <f aca="false">IF($A3816="","",COUNTIF($U$8:$U$5007,$U3816))</f>
        <v/>
      </c>
    </row>
    <row r="3817" customFormat="false" ht="15" hidden="false" customHeight="false" outlineLevel="0" collapsed="false">
      <c r="A3817" s="31"/>
      <c r="B3817" s="32"/>
      <c r="C3817" s="32"/>
      <c r="D3817" s="32"/>
      <c r="E3817" s="32"/>
      <c r="F3817" s="32"/>
      <c r="G3817" s="33"/>
      <c r="H3817" s="33"/>
      <c r="I3817" s="34" t="str">
        <f aca="false">IF($A3817="","",$G3817-$H3817)</f>
        <v/>
      </c>
      <c r="J3817" s="35" t="str">
        <f aca="false">IF($A3817="","",IF(Setup!$B$6=1,YEAR($A3817),YEAR($A3817)+IF(MONTH($A3817)&gt;=Setup!$B$6,1,0)))</f>
        <v/>
      </c>
      <c r="K3817" s="35" t="str">
        <f aca="false">IF($A3817="","",MOD(MONTH($A3817)-Setup!$B$6+12,12)+1)</f>
        <v/>
      </c>
      <c r="L3817" s="36" t="str">
        <f aca="false">IF($A3817="","",TEXT($A3817,"MMM-YY"))</f>
        <v/>
      </c>
      <c r="M3817" s="37" t="str">
        <f aca="false">IF($A3817="","",IF($Q3817=0,"UNMAPPED",INDEX(COA_Mapping!$C$7:$C$256,$Q3817)))</f>
        <v/>
      </c>
      <c r="N3817" s="38" t="str">
        <f aca="false">IF($A3817="","",IF($Q3817=0,"",INDEX(COA_Mapping!$E$7:$E$256,$Q3817)))</f>
        <v/>
      </c>
      <c r="O3817" s="38" t="n">
        <f aca="false">IF($A3817="",1,IF($Q3817=0,1,INDEX(COA_Mapping!$F$7:$F$256,$Q3817)))</f>
        <v>1</v>
      </c>
      <c r="P3817" s="34" t="str">
        <f aca="false">IF($A3817="","",$I3817*$O3817)</f>
        <v/>
      </c>
      <c r="Q3817" s="39" t="n">
        <f aca="false">IF($B3817="",0,IFERROR(MATCH($B3817,COA_Mapping!$A$7:$A$256,0),0))</f>
        <v>0</v>
      </c>
      <c r="R3817" s="39" t="n">
        <f aca="false">IF($A3817="",-1,IF($J3817=Setup!$B$7,1,IF($J3817=Setup!$B$9,0,-1)))</f>
        <v>-1</v>
      </c>
      <c r="S3817" s="35" t="n">
        <f aca="false">IF(OR($A3817="",$Q3817=0,$R3817=-1),0,$Q3817*1000+$R3817*100+$K3817)</f>
        <v>0</v>
      </c>
      <c r="T3817" s="37" t="str">
        <f aca="false">IF($A3817="","",IF($B3817="","NO ACCOUNT",IF($Q3817=0,"UNMAPPED",IF($R3817=-1,"OUTSIDE FY RANGE","OK"))))</f>
        <v/>
      </c>
      <c r="U3817" s="40" t="str">
        <f aca="false">IF($A3817="","",$B3817&amp;"|"&amp;TEXT($A3817,"yyyymmdd")&amp;"|"&amp;TEXT($I3817,"0.00"))</f>
        <v/>
      </c>
      <c r="V3817" s="35" t="str">
        <f aca="false">IF($A3817="","",COUNTIF($U$8:$U$5007,$U3817))</f>
        <v/>
      </c>
    </row>
    <row r="3818" customFormat="false" ht="15" hidden="false" customHeight="false" outlineLevel="0" collapsed="false">
      <c r="A3818" s="31"/>
      <c r="B3818" s="32"/>
      <c r="C3818" s="32"/>
      <c r="D3818" s="32"/>
      <c r="E3818" s="32"/>
      <c r="F3818" s="32"/>
      <c r="G3818" s="33"/>
      <c r="H3818" s="33"/>
      <c r="I3818" s="34" t="str">
        <f aca="false">IF($A3818="","",$G3818-$H3818)</f>
        <v/>
      </c>
      <c r="J3818" s="35" t="str">
        <f aca="false">IF($A3818="","",IF(Setup!$B$6=1,YEAR($A3818),YEAR($A3818)+IF(MONTH($A3818)&gt;=Setup!$B$6,1,0)))</f>
        <v/>
      </c>
      <c r="K3818" s="35" t="str">
        <f aca="false">IF($A3818="","",MOD(MONTH($A3818)-Setup!$B$6+12,12)+1)</f>
        <v/>
      </c>
      <c r="L3818" s="36" t="str">
        <f aca="false">IF($A3818="","",TEXT($A3818,"MMM-YY"))</f>
        <v/>
      </c>
      <c r="M3818" s="37" t="str">
        <f aca="false">IF($A3818="","",IF($Q3818=0,"UNMAPPED",INDEX(COA_Mapping!$C$7:$C$256,$Q3818)))</f>
        <v/>
      </c>
      <c r="N3818" s="38" t="str">
        <f aca="false">IF($A3818="","",IF($Q3818=0,"",INDEX(COA_Mapping!$E$7:$E$256,$Q3818)))</f>
        <v/>
      </c>
      <c r="O3818" s="38" t="n">
        <f aca="false">IF($A3818="",1,IF($Q3818=0,1,INDEX(COA_Mapping!$F$7:$F$256,$Q3818)))</f>
        <v>1</v>
      </c>
      <c r="P3818" s="34" t="str">
        <f aca="false">IF($A3818="","",$I3818*$O3818)</f>
        <v/>
      </c>
      <c r="Q3818" s="39" t="n">
        <f aca="false">IF($B3818="",0,IFERROR(MATCH($B3818,COA_Mapping!$A$7:$A$256,0),0))</f>
        <v>0</v>
      </c>
      <c r="R3818" s="39" t="n">
        <f aca="false">IF($A3818="",-1,IF($J3818=Setup!$B$7,1,IF($J3818=Setup!$B$9,0,-1)))</f>
        <v>-1</v>
      </c>
      <c r="S3818" s="35" t="n">
        <f aca="false">IF(OR($A3818="",$Q3818=0,$R3818=-1),0,$Q3818*1000+$R3818*100+$K3818)</f>
        <v>0</v>
      </c>
      <c r="T3818" s="37" t="str">
        <f aca="false">IF($A3818="","",IF($B3818="","NO ACCOUNT",IF($Q3818=0,"UNMAPPED",IF($R3818=-1,"OUTSIDE FY RANGE","OK"))))</f>
        <v/>
      </c>
      <c r="U3818" s="40" t="str">
        <f aca="false">IF($A3818="","",$B3818&amp;"|"&amp;TEXT($A3818,"yyyymmdd")&amp;"|"&amp;TEXT($I3818,"0.00"))</f>
        <v/>
      </c>
      <c r="V3818" s="35" t="str">
        <f aca="false">IF($A3818="","",COUNTIF($U$8:$U$5007,$U3818))</f>
        <v/>
      </c>
    </row>
    <row r="3819" customFormat="false" ht="15" hidden="false" customHeight="false" outlineLevel="0" collapsed="false">
      <c r="A3819" s="31"/>
      <c r="B3819" s="32"/>
      <c r="C3819" s="32"/>
      <c r="D3819" s="32"/>
      <c r="E3819" s="32"/>
      <c r="F3819" s="32"/>
      <c r="G3819" s="33"/>
      <c r="H3819" s="33"/>
      <c r="I3819" s="34" t="str">
        <f aca="false">IF($A3819="","",$G3819-$H3819)</f>
        <v/>
      </c>
      <c r="J3819" s="35" t="str">
        <f aca="false">IF($A3819="","",IF(Setup!$B$6=1,YEAR($A3819),YEAR($A3819)+IF(MONTH($A3819)&gt;=Setup!$B$6,1,0)))</f>
        <v/>
      </c>
      <c r="K3819" s="35" t="str">
        <f aca="false">IF($A3819="","",MOD(MONTH($A3819)-Setup!$B$6+12,12)+1)</f>
        <v/>
      </c>
      <c r="L3819" s="36" t="str">
        <f aca="false">IF($A3819="","",TEXT($A3819,"MMM-YY"))</f>
        <v/>
      </c>
      <c r="M3819" s="37" t="str">
        <f aca="false">IF($A3819="","",IF($Q3819=0,"UNMAPPED",INDEX(COA_Mapping!$C$7:$C$256,$Q3819)))</f>
        <v/>
      </c>
      <c r="N3819" s="38" t="str">
        <f aca="false">IF($A3819="","",IF($Q3819=0,"",INDEX(COA_Mapping!$E$7:$E$256,$Q3819)))</f>
        <v/>
      </c>
      <c r="O3819" s="38" t="n">
        <f aca="false">IF($A3819="",1,IF($Q3819=0,1,INDEX(COA_Mapping!$F$7:$F$256,$Q3819)))</f>
        <v>1</v>
      </c>
      <c r="P3819" s="34" t="str">
        <f aca="false">IF($A3819="","",$I3819*$O3819)</f>
        <v/>
      </c>
      <c r="Q3819" s="39" t="n">
        <f aca="false">IF($B3819="",0,IFERROR(MATCH($B3819,COA_Mapping!$A$7:$A$256,0),0))</f>
        <v>0</v>
      </c>
      <c r="R3819" s="39" t="n">
        <f aca="false">IF($A3819="",-1,IF($J3819=Setup!$B$7,1,IF($J3819=Setup!$B$9,0,-1)))</f>
        <v>-1</v>
      </c>
      <c r="S3819" s="35" t="n">
        <f aca="false">IF(OR($A3819="",$Q3819=0,$R3819=-1),0,$Q3819*1000+$R3819*100+$K3819)</f>
        <v>0</v>
      </c>
      <c r="T3819" s="37" t="str">
        <f aca="false">IF($A3819="","",IF($B3819="","NO ACCOUNT",IF($Q3819=0,"UNMAPPED",IF($R3819=-1,"OUTSIDE FY RANGE","OK"))))</f>
        <v/>
      </c>
      <c r="U3819" s="40" t="str">
        <f aca="false">IF($A3819="","",$B3819&amp;"|"&amp;TEXT($A3819,"yyyymmdd")&amp;"|"&amp;TEXT($I3819,"0.00"))</f>
        <v/>
      </c>
      <c r="V3819" s="35" t="str">
        <f aca="false">IF($A3819="","",COUNTIF($U$8:$U$5007,$U3819))</f>
        <v/>
      </c>
    </row>
    <row r="3820" customFormat="false" ht="15" hidden="false" customHeight="false" outlineLevel="0" collapsed="false">
      <c r="A3820" s="31"/>
      <c r="B3820" s="32"/>
      <c r="C3820" s="32"/>
      <c r="D3820" s="32"/>
      <c r="E3820" s="32"/>
      <c r="F3820" s="32"/>
      <c r="G3820" s="33"/>
      <c r="H3820" s="33"/>
      <c r="I3820" s="34" t="str">
        <f aca="false">IF($A3820="","",$G3820-$H3820)</f>
        <v/>
      </c>
      <c r="J3820" s="35" t="str">
        <f aca="false">IF($A3820="","",IF(Setup!$B$6=1,YEAR($A3820),YEAR($A3820)+IF(MONTH($A3820)&gt;=Setup!$B$6,1,0)))</f>
        <v/>
      </c>
      <c r="K3820" s="35" t="str">
        <f aca="false">IF($A3820="","",MOD(MONTH($A3820)-Setup!$B$6+12,12)+1)</f>
        <v/>
      </c>
      <c r="L3820" s="36" t="str">
        <f aca="false">IF($A3820="","",TEXT($A3820,"MMM-YY"))</f>
        <v/>
      </c>
      <c r="M3820" s="37" t="str">
        <f aca="false">IF($A3820="","",IF($Q3820=0,"UNMAPPED",INDEX(COA_Mapping!$C$7:$C$256,$Q3820)))</f>
        <v/>
      </c>
      <c r="N3820" s="38" t="str">
        <f aca="false">IF($A3820="","",IF($Q3820=0,"",INDEX(COA_Mapping!$E$7:$E$256,$Q3820)))</f>
        <v/>
      </c>
      <c r="O3820" s="38" t="n">
        <f aca="false">IF($A3820="",1,IF($Q3820=0,1,INDEX(COA_Mapping!$F$7:$F$256,$Q3820)))</f>
        <v>1</v>
      </c>
      <c r="P3820" s="34" t="str">
        <f aca="false">IF($A3820="","",$I3820*$O3820)</f>
        <v/>
      </c>
      <c r="Q3820" s="39" t="n">
        <f aca="false">IF($B3820="",0,IFERROR(MATCH($B3820,COA_Mapping!$A$7:$A$256,0),0))</f>
        <v>0</v>
      </c>
      <c r="R3820" s="39" t="n">
        <f aca="false">IF($A3820="",-1,IF($J3820=Setup!$B$7,1,IF($J3820=Setup!$B$9,0,-1)))</f>
        <v>-1</v>
      </c>
      <c r="S3820" s="35" t="n">
        <f aca="false">IF(OR($A3820="",$Q3820=0,$R3820=-1),0,$Q3820*1000+$R3820*100+$K3820)</f>
        <v>0</v>
      </c>
      <c r="T3820" s="37" t="str">
        <f aca="false">IF($A3820="","",IF($B3820="","NO ACCOUNT",IF($Q3820=0,"UNMAPPED",IF($R3820=-1,"OUTSIDE FY RANGE","OK"))))</f>
        <v/>
      </c>
      <c r="U3820" s="40" t="str">
        <f aca="false">IF($A3820="","",$B3820&amp;"|"&amp;TEXT($A3820,"yyyymmdd")&amp;"|"&amp;TEXT($I3820,"0.00"))</f>
        <v/>
      </c>
      <c r="V3820" s="35" t="str">
        <f aca="false">IF($A3820="","",COUNTIF($U$8:$U$5007,$U3820))</f>
        <v/>
      </c>
    </row>
    <row r="3821" customFormat="false" ht="15" hidden="false" customHeight="false" outlineLevel="0" collapsed="false">
      <c r="A3821" s="31"/>
      <c r="B3821" s="32"/>
      <c r="C3821" s="32"/>
      <c r="D3821" s="32"/>
      <c r="E3821" s="32"/>
      <c r="F3821" s="32"/>
      <c r="G3821" s="33"/>
      <c r="H3821" s="33"/>
      <c r="I3821" s="34" t="str">
        <f aca="false">IF($A3821="","",$G3821-$H3821)</f>
        <v/>
      </c>
      <c r="J3821" s="35" t="str">
        <f aca="false">IF($A3821="","",IF(Setup!$B$6=1,YEAR($A3821),YEAR($A3821)+IF(MONTH($A3821)&gt;=Setup!$B$6,1,0)))</f>
        <v/>
      </c>
      <c r="K3821" s="35" t="str">
        <f aca="false">IF($A3821="","",MOD(MONTH($A3821)-Setup!$B$6+12,12)+1)</f>
        <v/>
      </c>
      <c r="L3821" s="36" t="str">
        <f aca="false">IF($A3821="","",TEXT($A3821,"MMM-YY"))</f>
        <v/>
      </c>
      <c r="M3821" s="37" t="str">
        <f aca="false">IF($A3821="","",IF($Q3821=0,"UNMAPPED",INDEX(COA_Mapping!$C$7:$C$256,$Q3821)))</f>
        <v/>
      </c>
      <c r="N3821" s="38" t="str">
        <f aca="false">IF($A3821="","",IF($Q3821=0,"",INDEX(COA_Mapping!$E$7:$E$256,$Q3821)))</f>
        <v/>
      </c>
      <c r="O3821" s="38" t="n">
        <f aca="false">IF($A3821="",1,IF($Q3821=0,1,INDEX(COA_Mapping!$F$7:$F$256,$Q3821)))</f>
        <v>1</v>
      </c>
      <c r="P3821" s="34" t="str">
        <f aca="false">IF($A3821="","",$I3821*$O3821)</f>
        <v/>
      </c>
      <c r="Q3821" s="39" t="n">
        <f aca="false">IF($B3821="",0,IFERROR(MATCH($B3821,COA_Mapping!$A$7:$A$256,0),0))</f>
        <v>0</v>
      </c>
      <c r="R3821" s="39" t="n">
        <f aca="false">IF($A3821="",-1,IF($J3821=Setup!$B$7,1,IF($J3821=Setup!$B$9,0,-1)))</f>
        <v>-1</v>
      </c>
      <c r="S3821" s="35" t="n">
        <f aca="false">IF(OR($A3821="",$Q3821=0,$R3821=-1),0,$Q3821*1000+$R3821*100+$K3821)</f>
        <v>0</v>
      </c>
      <c r="T3821" s="37" t="str">
        <f aca="false">IF($A3821="","",IF($B3821="","NO ACCOUNT",IF($Q3821=0,"UNMAPPED",IF($R3821=-1,"OUTSIDE FY RANGE","OK"))))</f>
        <v/>
      </c>
      <c r="U3821" s="40" t="str">
        <f aca="false">IF($A3821="","",$B3821&amp;"|"&amp;TEXT($A3821,"yyyymmdd")&amp;"|"&amp;TEXT($I3821,"0.00"))</f>
        <v/>
      </c>
      <c r="V3821" s="35" t="str">
        <f aca="false">IF($A3821="","",COUNTIF($U$8:$U$5007,$U3821))</f>
        <v/>
      </c>
    </row>
    <row r="3822" customFormat="false" ht="15" hidden="false" customHeight="false" outlineLevel="0" collapsed="false">
      <c r="A3822" s="31"/>
      <c r="B3822" s="32"/>
      <c r="C3822" s="32"/>
      <c r="D3822" s="32"/>
      <c r="E3822" s="32"/>
      <c r="F3822" s="32"/>
      <c r="G3822" s="33"/>
      <c r="H3822" s="33"/>
      <c r="I3822" s="34" t="str">
        <f aca="false">IF($A3822="","",$G3822-$H3822)</f>
        <v/>
      </c>
      <c r="J3822" s="35" t="str">
        <f aca="false">IF($A3822="","",IF(Setup!$B$6=1,YEAR($A3822),YEAR($A3822)+IF(MONTH($A3822)&gt;=Setup!$B$6,1,0)))</f>
        <v/>
      </c>
      <c r="K3822" s="35" t="str">
        <f aca="false">IF($A3822="","",MOD(MONTH($A3822)-Setup!$B$6+12,12)+1)</f>
        <v/>
      </c>
      <c r="L3822" s="36" t="str">
        <f aca="false">IF($A3822="","",TEXT($A3822,"MMM-YY"))</f>
        <v/>
      </c>
      <c r="M3822" s="37" t="str">
        <f aca="false">IF($A3822="","",IF($Q3822=0,"UNMAPPED",INDEX(COA_Mapping!$C$7:$C$256,$Q3822)))</f>
        <v/>
      </c>
      <c r="N3822" s="38" t="str">
        <f aca="false">IF($A3822="","",IF($Q3822=0,"",INDEX(COA_Mapping!$E$7:$E$256,$Q3822)))</f>
        <v/>
      </c>
      <c r="O3822" s="38" t="n">
        <f aca="false">IF($A3822="",1,IF($Q3822=0,1,INDEX(COA_Mapping!$F$7:$F$256,$Q3822)))</f>
        <v>1</v>
      </c>
      <c r="P3822" s="34" t="str">
        <f aca="false">IF($A3822="","",$I3822*$O3822)</f>
        <v/>
      </c>
      <c r="Q3822" s="39" t="n">
        <f aca="false">IF($B3822="",0,IFERROR(MATCH($B3822,COA_Mapping!$A$7:$A$256,0),0))</f>
        <v>0</v>
      </c>
      <c r="R3822" s="39" t="n">
        <f aca="false">IF($A3822="",-1,IF($J3822=Setup!$B$7,1,IF($J3822=Setup!$B$9,0,-1)))</f>
        <v>-1</v>
      </c>
      <c r="S3822" s="35" t="n">
        <f aca="false">IF(OR($A3822="",$Q3822=0,$R3822=-1),0,$Q3822*1000+$R3822*100+$K3822)</f>
        <v>0</v>
      </c>
      <c r="T3822" s="37" t="str">
        <f aca="false">IF($A3822="","",IF($B3822="","NO ACCOUNT",IF($Q3822=0,"UNMAPPED",IF($R3822=-1,"OUTSIDE FY RANGE","OK"))))</f>
        <v/>
      </c>
      <c r="U3822" s="40" t="str">
        <f aca="false">IF($A3822="","",$B3822&amp;"|"&amp;TEXT($A3822,"yyyymmdd")&amp;"|"&amp;TEXT($I3822,"0.00"))</f>
        <v/>
      </c>
      <c r="V3822" s="35" t="str">
        <f aca="false">IF($A3822="","",COUNTIF($U$8:$U$5007,$U3822))</f>
        <v/>
      </c>
    </row>
    <row r="3823" customFormat="false" ht="15" hidden="false" customHeight="false" outlineLevel="0" collapsed="false">
      <c r="A3823" s="31"/>
      <c r="B3823" s="32"/>
      <c r="C3823" s="32"/>
      <c r="D3823" s="32"/>
      <c r="E3823" s="32"/>
      <c r="F3823" s="32"/>
      <c r="G3823" s="33"/>
      <c r="H3823" s="33"/>
      <c r="I3823" s="34" t="str">
        <f aca="false">IF($A3823="","",$G3823-$H3823)</f>
        <v/>
      </c>
      <c r="J3823" s="35" t="str">
        <f aca="false">IF($A3823="","",IF(Setup!$B$6=1,YEAR($A3823),YEAR($A3823)+IF(MONTH($A3823)&gt;=Setup!$B$6,1,0)))</f>
        <v/>
      </c>
      <c r="K3823" s="35" t="str">
        <f aca="false">IF($A3823="","",MOD(MONTH($A3823)-Setup!$B$6+12,12)+1)</f>
        <v/>
      </c>
      <c r="L3823" s="36" t="str">
        <f aca="false">IF($A3823="","",TEXT($A3823,"MMM-YY"))</f>
        <v/>
      </c>
      <c r="M3823" s="37" t="str">
        <f aca="false">IF($A3823="","",IF($Q3823=0,"UNMAPPED",INDEX(COA_Mapping!$C$7:$C$256,$Q3823)))</f>
        <v/>
      </c>
      <c r="N3823" s="38" t="str">
        <f aca="false">IF($A3823="","",IF($Q3823=0,"",INDEX(COA_Mapping!$E$7:$E$256,$Q3823)))</f>
        <v/>
      </c>
      <c r="O3823" s="38" t="n">
        <f aca="false">IF($A3823="",1,IF($Q3823=0,1,INDEX(COA_Mapping!$F$7:$F$256,$Q3823)))</f>
        <v>1</v>
      </c>
      <c r="P3823" s="34" t="str">
        <f aca="false">IF($A3823="","",$I3823*$O3823)</f>
        <v/>
      </c>
      <c r="Q3823" s="39" t="n">
        <f aca="false">IF($B3823="",0,IFERROR(MATCH($B3823,COA_Mapping!$A$7:$A$256,0),0))</f>
        <v>0</v>
      </c>
      <c r="R3823" s="39" t="n">
        <f aca="false">IF($A3823="",-1,IF($J3823=Setup!$B$7,1,IF($J3823=Setup!$B$9,0,-1)))</f>
        <v>-1</v>
      </c>
      <c r="S3823" s="35" t="n">
        <f aca="false">IF(OR($A3823="",$Q3823=0,$R3823=-1),0,$Q3823*1000+$R3823*100+$K3823)</f>
        <v>0</v>
      </c>
      <c r="T3823" s="37" t="str">
        <f aca="false">IF($A3823="","",IF($B3823="","NO ACCOUNT",IF($Q3823=0,"UNMAPPED",IF($R3823=-1,"OUTSIDE FY RANGE","OK"))))</f>
        <v/>
      </c>
      <c r="U3823" s="40" t="str">
        <f aca="false">IF($A3823="","",$B3823&amp;"|"&amp;TEXT($A3823,"yyyymmdd")&amp;"|"&amp;TEXT($I3823,"0.00"))</f>
        <v/>
      </c>
      <c r="V3823" s="35" t="str">
        <f aca="false">IF($A3823="","",COUNTIF($U$8:$U$5007,$U3823))</f>
        <v/>
      </c>
    </row>
    <row r="3824" customFormat="false" ht="15" hidden="false" customHeight="false" outlineLevel="0" collapsed="false">
      <c r="A3824" s="31"/>
      <c r="B3824" s="32"/>
      <c r="C3824" s="32"/>
      <c r="D3824" s="32"/>
      <c r="E3824" s="32"/>
      <c r="F3824" s="32"/>
      <c r="G3824" s="33"/>
      <c r="H3824" s="33"/>
      <c r="I3824" s="34" t="str">
        <f aca="false">IF($A3824="","",$G3824-$H3824)</f>
        <v/>
      </c>
      <c r="J3824" s="35" t="str">
        <f aca="false">IF($A3824="","",IF(Setup!$B$6=1,YEAR($A3824),YEAR($A3824)+IF(MONTH($A3824)&gt;=Setup!$B$6,1,0)))</f>
        <v/>
      </c>
      <c r="K3824" s="35" t="str">
        <f aca="false">IF($A3824="","",MOD(MONTH($A3824)-Setup!$B$6+12,12)+1)</f>
        <v/>
      </c>
      <c r="L3824" s="36" t="str">
        <f aca="false">IF($A3824="","",TEXT($A3824,"MMM-YY"))</f>
        <v/>
      </c>
      <c r="M3824" s="37" t="str">
        <f aca="false">IF($A3824="","",IF($Q3824=0,"UNMAPPED",INDEX(COA_Mapping!$C$7:$C$256,$Q3824)))</f>
        <v/>
      </c>
      <c r="N3824" s="38" t="str">
        <f aca="false">IF($A3824="","",IF($Q3824=0,"",INDEX(COA_Mapping!$E$7:$E$256,$Q3824)))</f>
        <v/>
      </c>
      <c r="O3824" s="38" t="n">
        <f aca="false">IF($A3824="",1,IF($Q3824=0,1,INDEX(COA_Mapping!$F$7:$F$256,$Q3824)))</f>
        <v>1</v>
      </c>
      <c r="P3824" s="34" t="str">
        <f aca="false">IF($A3824="","",$I3824*$O3824)</f>
        <v/>
      </c>
      <c r="Q3824" s="39" t="n">
        <f aca="false">IF($B3824="",0,IFERROR(MATCH($B3824,COA_Mapping!$A$7:$A$256,0),0))</f>
        <v>0</v>
      </c>
      <c r="R3824" s="39" t="n">
        <f aca="false">IF($A3824="",-1,IF($J3824=Setup!$B$7,1,IF($J3824=Setup!$B$9,0,-1)))</f>
        <v>-1</v>
      </c>
      <c r="S3824" s="35" t="n">
        <f aca="false">IF(OR($A3824="",$Q3824=0,$R3824=-1),0,$Q3824*1000+$R3824*100+$K3824)</f>
        <v>0</v>
      </c>
      <c r="T3824" s="37" t="str">
        <f aca="false">IF($A3824="","",IF($B3824="","NO ACCOUNT",IF($Q3824=0,"UNMAPPED",IF($R3824=-1,"OUTSIDE FY RANGE","OK"))))</f>
        <v/>
      </c>
      <c r="U3824" s="40" t="str">
        <f aca="false">IF($A3824="","",$B3824&amp;"|"&amp;TEXT($A3824,"yyyymmdd")&amp;"|"&amp;TEXT($I3824,"0.00"))</f>
        <v/>
      </c>
      <c r="V3824" s="35" t="str">
        <f aca="false">IF($A3824="","",COUNTIF($U$8:$U$5007,$U3824))</f>
        <v/>
      </c>
    </row>
    <row r="3825" customFormat="false" ht="15" hidden="false" customHeight="false" outlineLevel="0" collapsed="false">
      <c r="A3825" s="31"/>
      <c r="B3825" s="32"/>
      <c r="C3825" s="32"/>
      <c r="D3825" s="32"/>
      <c r="E3825" s="32"/>
      <c r="F3825" s="32"/>
      <c r="G3825" s="33"/>
      <c r="H3825" s="33"/>
      <c r="I3825" s="34" t="str">
        <f aca="false">IF($A3825="","",$G3825-$H3825)</f>
        <v/>
      </c>
      <c r="J3825" s="35" t="str">
        <f aca="false">IF($A3825="","",IF(Setup!$B$6=1,YEAR($A3825),YEAR($A3825)+IF(MONTH($A3825)&gt;=Setup!$B$6,1,0)))</f>
        <v/>
      </c>
      <c r="K3825" s="35" t="str">
        <f aca="false">IF($A3825="","",MOD(MONTH($A3825)-Setup!$B$6+12,12)+1)</f>
        <v/>
      </c>
      <c r="L3825" s="36" t="str">
        <f aca="false">IF($A3825="","",TEXT($A3825,"MMM-YY"))</f>
        <v/>
      </c>
      <c r="M3825" s="37" t="str">
        <f aca="false">IF($A3825="","",IF($Q3825=0,"UNMAPPED",INDEX(COA_Mapping!$C$7:$C$256,$Q3825)))</f>
        <v/>
      </c>
      <c r="N3825" s="38" t="str">
        <f aca="false">IF($A3825="","",IF($Q3825=0,"",INDEX(COA_Mapping!$E$7:$E$256,$Q3825)))</f>
        <v/>
      </c>
      <c r="O3825" s="38" t="n">
        <f aca="false">IF($A3825="",1,IF($Q3825=0,1,INDEX(COA_Mapping!$F$7:$F$256,$Q3825)))</f>
        <v>1</v>
      </c>
      <c r="P3825" s="34" t="str">
        <f aca="false">IF($A3825="","",$I3825*$O3825)</f>
        <v/>
      </c>
      <c r="Q3825" s="39" t="n">
        <f aca="false">IF($B3825="",0,IFERROR(MATCH($B3825,COA_Mapping!$A$7:$A$256,0),0))</f>
        <v>0</v>
      </c>
      <c r="R3825" s="39" t="n">
        <f aca="false">IF($A3825="",-1,IF($J3825=Setup!$B$7,1,IF($J3825=Setup!$B$9,0,-1)))</f>
        <v>-1</v>
      </c>
      <c r="S3825" s="35" t="n">
        <f aca="false">IF(OR($A3825="",$Q3825=0,$R3825=-1),0,$Q3825*1000+$R3825*100+$K3825)</f>
        <v>0</v>
      </c>
      <c r="T3825" s="37" t="str">
        <f aca="false">IF($A3825="","",IF($B3825="","NO ACCOUNT",IF($Q3825=0,"UNMAPPED",IF($R3825=-1,"OUTSIDE FY RANGE","OK"))))</f>
        <v/>
      </c>
      <c r="U3825" s="40" t="str">
        <f aca="false">IF($A3825="","",$B3825&amp;"|"&amp;TEXT($A3825,"yyyymmdd")&amp;"|"&amp;TEXT($I3825,"0.00"))</f>
        <v/>
      </c>
      <c r="V3825" s="35" t="str">
        <f aca="false">IF($A3825="","",COUNTIF($U$8:$U$5007,$U3825))</f>
        <v/>
      </c>
    </row>
    <row r="3826" customFormat="false" ht="15" hidden="false" customHeight="false" outlineLevel="0" collapsed="false">
      <c r="A3826" s="31"/>
      <c r="B3826" s="32"/>
      <c r="C3826" s="32"/>
      <c r="D3826" s="32"/>
      <c r="E3826" s="32"/>
      <c r="F3826" s="32"/>
      <c r="G3826" s="33"/>
      <c r="H3826" s="33"/>
      <c r="I3826" s="34" t="str">
        <f aca="false">IF($A3826="","",$G3826-$H3826)</f>
        <v/>
      </c>
      <c r="J3826" s="35" t="str">
        <f aca="false">IF($A3826="","",IF(Setup!$B$6=1,YEAR($A3826),YEAR($A3826)+IF(MONTH($A3826)&gt;=Setup!$B$6,1,0)))</f>
        <v/>
      </c>
      <c r="K3826" s="35" t="str">
        <f aca="false">IF($A3826="","",MOD(MONTH($A3826)-Setup!$B$6+12,12)+1)</f>
        <v/>
      </c>
      <c r="L3826" s="36" t="str">
        <f aca="false">IF($A3826="","",TEXT($A3826,"MMM-YY"))</f>
        <v/>
      </c>
      <c r="M3826" s="37" t="str">
        <f aca="false">IF($A3826="","",IF($Q3826=0,"UNMAPPED",INDEX(COA_Mapping!$C$7:$C$256,$Q3826)))</f>
        <v/>
      </c>
      <c r="N3826" s="38" t="str">
        <f aca="false">IF($A3826="","",IF($Q3826=0,"",INDEX(COA_Mapping!$E$7:$E$256,$Q3826)))</f>
        <v/>
      </c>
      <c r="O3826" s="38" t="n">
        <f aca="false">IF($A3826="",1,IF($Q3826=0,1,INDEX(COA_Mapping!$F$7:$F$256,$Q3826)))</f>
        <v>1</v>
      </c>
      <c r="P3826" s="34" t="str">
        <f aca="false">IF($A3826="","",$I3826*$O3826)</f>
        <v/>
      </c>
      <c r="Q3826" s="39" t="n">
        <f aca="false">IF($B3826="",0,IFERROR(MATCH($B3826,COA_Mapping!$A$7:$A$256,0),0))</f>
        <v>0</v>
      </c>
      <c r="R3826" s="39" t="n">
        <f aca="false">IF($A3826="",-1,IF($J3826=Setup!$B$7,1,IF($J3826=Setup!$B$9,0,-1)))</f>
        <v>-1</v>
      </c>
      <c r="S3826" s="35" t="n">
        <f aca="false">IF(OR($A3826="",$Q3826=0,$R3826=-1),0,$Q3826*1000+$R3826*100+$K3826)</f>
        <v>0</v>
      </c>
      <c r="T3826" s="37" t="str">
        <f aca="false">IF($A3826="","",IF($B3826="","NO ACCOUNT",IF($Q3826=0,"UNMAPPED",IF($R3826=-1,"OUTSIDE FY RANGE","OK"))))</f>
        <v/>
      </c>
      <c r="U3826" s="40" t="str">
        <f aca="false">IF($A3826="","",$B3826&amp;"|"&amp;TEXT($A3826,"yyyymmdd")&amp;"|"&amp;TEXT($I3826,"0.00"))</f>
        <v/>
      </c>
      <c r="V3826" s="35" t="str">
        <f aca="false">IF($A3826="","",COUNTIF($U$8:$U$5007,$U3826))</f>
        <v/>
      </c>
    </row>
    <row r="3827" customFormat="false" ht="15" hidden="false" customHeight="false" outlineLevel="0" collapsed="false">
      <c r="A3827" s="31"/>
      <c r="B3827" s="32"/>
      <c r="C3827" s="32"/>
      <c r="D3827" s="32"/>
      <c r="E3827" s="32"/>
      <c r="F3827" s="32"/>
      <c r="G3827" s="33"/>
      <c r="H3827" s="33"/>
      <c r="I3827" s="34" t="str">
        <f aca="false">IF($A3827="","",$G3827-$H3827)</f>
        <v/>
      </c>
      <c r="J3827" s="35" t="str">
        <f aca="false">IF($A3827="","",IF(Setup!$B$6=1,YEAR($A3827),YEAR($A3827)+IF(MONTH($A3827)&gt;=Setup!$B$6,1,0)))</f>
        <v/>
      </c>
      <c r="K3827" s="35" t="str">
        <f aca="false">IF($A3827="","",MOD(MONTH($A3827)-Setup!$B$6+12,12)+1)</f>
        <v/>
      </c>
      <c r="L3827" s="36" t="str">
        <f aca="false">IF($A3827="","",TEXT($A3827,"MMM-YY"))</f>
        <v/>
      </c>
      <c r="M3827" s="37" t="str">
        <f aca="false">IF($A3827="","",IF($Q3827=0,"UNMAPPED",INDEX(COA_Mapping!$C$7:$C$256,$Q3827)))</f>
        <v/>
      </c>
      <c r="N3827" s="38" t="str">
        <f aca="false">IF($A3827="","",IF($Q3827=0,"",INDEX(COA_Mapping!$E$7:$E$256,$Q3827)))</f>
        <v/>
      </c>
      <c r="O3827" s="38" t="n">
        <f aca="false">IF($A3827="",1,IF($Q3827=0,1,INDEX(COA_Mapping!$F$7:$F$256,$Q3827)))</f>
        <v>1</v>
      </c>
      <c r="P3827" s="34" t="str">
        <f aca="false">IF($A3827="","",$I3827*$O3827)</f>
        <v/>
      </c>
      <c r="Q3827" s="39" t="n">
        <f aca="false">IF($B3827="",0,IFERROR(MATCH($B3827,COA_Mapping!$A$7:$A$256,0),0))</f>
        <v>0</v>
      </c>
      <c r="R3827" s="39" t="n">
        <f aca="false">IF($A3827="",-1,IF($J3827=Setup!$B$7,1,IF($J3827=Setup!$B$9,0,-1)))</f>
        <v>-1</v>
      </c>
      <c r="S3827" s="35" t="n">
        <f aca="false">IF(OR($A3827="",$Q3827=0,$R3827=-1),0,$Q3827*1000+$R3827*100+$K3827)</f>
        <v>0</v>
      </c>
      <c r="T3827" s="37" t="str">
        <f aca="false">IF($A3827="","",IF($B3827="","NO ACCOUNT",IF($Q3827=0,"UNMAPPED",IF($R3827=-1,"OUTSIDE FY RANGE","OK"))))</f>
        <v/>
      </c>
      <c r="U3827" s="40" t="str">
        <f aca="false">IF($A3827="","",$B3827&amp;"|"&amp;TEXT($A3827,"yyyymmdd")&amp;"|"&amp;TEXT($I3827,"0.00"))</f>
        <v/>
      </c>
      <c r="V3827" s="35" t="str">
        <f aca="false">IF($A3827="","",COUNTIF($U$8:$U$5007,$U3827))</f>
        <v/>
      </c>
    </row>
    <row r="3828" customFormat="false" ht="15" hidden="false" customHeight="false" outlineLevel="0" collapsed="false">
      <c r="A3828" s="31"/>
      <c r="B3828" s="32"/>
      <c r="C3828" s="32"/>
      <c r="D3828" s="32"/>
      <c r="E3828" s="32"/>
      <c r="F3828" s="32"/>
      <c r="G3828" s="33"/>
      <c r="H3828" s="33"/>
      <c r="I3828" s="34" t="str">
        <f aca="false">IF($A3828="","",$G3828-$H3828)</f>
        <v/>
      </c>
      <c r="J3828" s="35" t="str">
        <f aca="false">IF($A3828="","",IF(Setup!$B$6=1,YEAR($A3828),YEAR($A3828)+IF(MONTH($A3828)&gt;=Setup!$B$6,1,0)))</f>
        <v/>
      </c>
      <c r="K3828" s="35" t="str">
        <f aca="false">IF($A3828="","",MOD(MONTH($A3828)-Setup!$B$6+12,12)+1)</f>
        <v/>
      </c>
      <c r="L3828" s="36" t="str">
        <f aca="false">IF($A3828="","",TEXT($A3828,"MMM-YY"))</f>
        <v/>
      </c>
      <c r="M3828" s="37" t="str">
        <f aca="false">IF($A3828="","",IF($Q3828=0,"UNMAPPED",INDEX(COA_Mapping!$C$7:$C$256,$Q3828)))</f>
        <v/>
      </c>
      <c r="N3828" s="38" t="str">
        <f aca="false">IF($A3828="","",IF($Q3828=0,"",INDEX(COA_Mapping!$E$7:$E$256,$Q3828)))</f>
        <v/>
      </c>
      <c r="O3828" s="38" t="n">
        <f aca="false">IF($A3828="",1,IF($Q3828=0,1,INDEX(COA_Mapping!$F$7:$F$256,$Q3828)))</f>
        <v>1</v>
      </c>
      <c r="P3828" s="34" t="str">
        <f aca="false">IF($A3828="","",$I3828*$O3828)</f>
        <v/>
      </c>
      <c r="Q3828" s="39" t="n">
        <f aca="false">IF($B3828="",0,IFERROR(MATCH($B3828,COA_Mapping!$A$7:$A$256,0),0))</f>
        <v>0</v>
      </c>
      <c r="R3828" s="39" t="n">
        <f aca="false">IF($A3828="",-1,IF($J3828=Setup!$B$7,1,IF($J3828=Setup!$B$9,0,-1)))</f>
        <v>-1</v>
      </c>
      <c r="S3828" s="35" t="n">
        <f aca="false">IF(OR($A3828="",$Q3828=0,$R3828=-1),0,$Q3828*1000+$R3828*100+$K3828)</f>
        <v>0</v>
      </c>
      <c r="T3828" s="37" t="str">
        <f aca="false">IF($A3828="","",IF($B3828="","NO ACCOUNT",IF($Q3828=0,"UNMAPPED",IF($R3828=-1,"OUTSIDE FY RANGE","OK"))))</f>
        <v/>
      </c>
      <c r="U3828" s="40" t="str">
        <f aca="false">IF($A3828="","",$B3828&amp;"|"&amp;TEXT($A3828,"yyyymmdd")&amp;"|"&amp;TEXT($I3828,"0.00"))</f>
        <v/>
      </c>
      <c r="V3828" s="35" t="str">
        <f aca="false">IF($A3828="","",COUNTIF($U$8:$U$5007,$U3828))</f>
        <v/>
      </c>
    </row>
    <row r="3829" customFormat="false" ht="15" hidden="false" customHeight="false" outlineLevel="0" collapsed="false">
      <c r="A3829" s="31"/>
      <c r="B3829" s="32"/>
      <c r="C3829" s="32"/>
      <c r="D3829" s="32"/>
      <c r="E3829" s="32"/>
      <c r="F3829" s="32"/>
      <c r="G3829" s="33"/>
      <c r="H3829" s="33"/>
      <c r="I3829" s="34" t="str">
        <f aca="false">IF($A3829="","",$G3829-$H3829)</f>
        <v/>
      </c>
      <c r="J3829" s="35" t="str">
        <f aca="false">IF($A3829="","",IF(Setup!$B$6=1,YEAR($A3829),YEAR($A3829)+IF(MONTH($A3829)&gt;=Setup!$B$6,1,0)))</f>
        <v/>
      </c>
      <c r="K3829" s="35" t="str">
        <f aca="false">IF($A3829="","",MOD(MONTH($A3829)-Setup!$B$6+12,12)+1)</f>
        <v/>
      </c>
      <c r="L3829" s="36" t="str">
        <f aca="false">IF($A3829="","",TEXT($A3829,"MMM-YY"))</f>
        <v/>
      </c>
      <c r="M3829" s="37" t="str">
        <f aca="false">IF($A3829="","",IF($Q3829=0,"UNMAPPED",INDEX(COA_Mapping!$C$7:$C$256,$Q3829)))</f>
        <v/>
      </c>
      <c r="N3829" s="38" t="str">
        <f aca="false">IF($A3829="","",IF($Q3829=0,"",INDEX(COA_Mapping!$E$7:$E$256,$Q3829)))</f>
        <v/>
      </c>
      <c r="O3829" s="38" t="n">
        <f aca="false">IF($A3829="",1,IF($Q3829=0,1,INDEX(COA_Mapping!$F$7:$F$256,$Q3829)))</f>
        <v>1</v>
      </c>
      <c r="P3829" s="34" t="str">
        <f aca="false">IF($A3829="","",$I3829*$O3829)</f>
        <v/>
      </c>
      <c r="Q3829" s="39" t="n">
        <f aca="false">IF($B3829="",0,IFERROR(MATCH($B3829,COA_Mapping!$A$7:$A$256,0),0))</f>
        <v>0</v>
      </c>
      <c r="R3829" s="39" t="n">
        <f aca="false">IF($A3829="",-1,IF($J3829=Setup!$B$7,1,IF($J3829=Setup!$B$9,0,-1)))</f>
        <v>-1</v>
      </c>
      <c r="S3829" s="35" t="n">
        <f aca="false">IF(OR($A3829="",$Q3829=0,$R3829=-1),0,$Q3829*1000+$R3829*100+$K3829)</f>
        <v>0</v>
      </c>
      <c r="T3829" s="37" t="str">
        <f aca="false">IF($A3829="","",IF($B3829="","NO ACCOUNT",IF($Q3829=0,"UNMAPPED",IF($R3829=-1,"OUTSIDE FY RANGE","OK"))))</f>
        <v/>
      </c>
      <c r="U3829" s="40" t="str">
        <f aca="false">IF($A3829="","",$B3829&amp;"|"&amp;TEXT($A3829,"yyyymmdd")&amp;"|"&amp;TEXT($I3829,"0.00"))</f>
        <v/>
      </c>
      <c r="V3829" s="35" t="str">
        <f aca="false">IF($A3829="","",COUNTIF($U$8:$U$5007,$U3829))</f>
        <v/>
      </c>
    </row>
    <row r="3830" customFormat="false" ht="15" hidden="false" customHeight="false" outlineLevel="0" collapsed="false">
      <c r="A3830" s="31"/>
      <c r="B3830" s="32"/>
      <c r="C3830" s="32"/>
      <c r="D3830" s="32"/>
      <c r="E3830" s="32"/>
      <c r="F3830" s="32"/>
      <c r="G3830" s="33"/>
      <c r="H3830" s="33"/>
      <c r="I3830" s="34" t="str">
        <f aca="false">IF($A3830="","",$G3830-$H3830)</f>
        <v/>
      </c>
      <c r="J3830" s="35" t="str">
        <f aca="false">IF($A3830="","",IF(Setup!$B$6=1,YEAR($A3830),YEAR($A3830)+IF(MONTH($A3830)&gt;=Setup!$B$6,1,0)))</f>
        <v/>
      </c>
      <c r="K3830" s="35" t="str">
        <f aca="false">IF($A3830="","",MOD(MONTH($A3830)-Setup!$B$6+12,12)+1)</f>
        <v/>
      </c>
      <c r="L3830" s="36" t="str">
        <f aca="false">IF($A3830="","",TEXT($A3830,"MMM-YY"))</f>
        <v/>
      </c>
      <c r="M3830" s="37" t="str">
        <f aca="false">IF($A3830="","",IF($Q3830=0,"UNMAPPED",INDEX(COA_Mapping!$C$7:$C$256,$Q3830)))</f>
        <v/>
      </c>
      <c r="N3830" s="38" t="str">
        <f aca="false">IF($A3830="","",IF($Q3830=0,"",INDEX(COA_Mapping!$E$7:$E$256,$Q3830)))</f>
        <v/>
      </c>
      <c r="O3830" s="38" t="n">
        <f aca="false">IF($A3830="",1,IF($Q3830=0,1,INDEX(COA_Mapping!$F$7:$F$256,$Q3830)))</f>
        <v>1</v>
      </c>
      <c r="P3830" s="34" t="str">
        <f aca="false">IF($A3830="","",$I3830*$O3830)</f>
        <v/>
      </c>
      <c r="Q3830" s="39" t="n">
        <f aca="false">IF($B3830="",0,IFERROR(MATCH($B3830,COA_Mapping!$A$7:$A$256,0),0))</f>
        <v>0</v>
      </c>
      <c r="R3830" s="39" t="n">
        <f aca="false">IF($A3830="",-1,IF($J3830=Setup!$B$7,1,IF($J3830=Setup!$B$9,0,-1)))</f>
        <v>-1</v>
      </c>
      <c r="S3830" s="35" t="n">
        <f aca="false">IF(OR($A3830="",$Q3830=0,$R3830=-1),0,$Q3830*1000+$R3830*100+$K3830)</f>
        <v>0</v>
      </c>
      <c r="T3830" s="37" t="str">
        <f aca="false">IF($A3830="","",IF($B3830="","NO ACCOUNT",IF($Q3830=0,"UNMAPPED",IF($R3830=-1,"OUTSIDE FY RANGE","OK"))))</f>
        <v/>
      </c>
      <c r="U3830" s="40" t="str">
        <f aca="false">IF($A3830="","",$B3830&amp;"|"&amp;TEXT($A3830,"yyyymmdd")&amp;"|"&amp;TEXT($I3830,"0.00"))</f>
        <v/>
      </c>
      <c r="V3830" s="35" t="str">
        <f aca="false">IF($A3830="","",COUNTIF($U$8:$U$5007,$U3830))</f>
        <v/>
      </c>
    </row>
    <row r="3831" customFormat="false" ht="15" hidden="false" customHeight="false" outlineLevel="0" collapsed="false">
      <c r="A3831" s="31"/>
      <c r="B3831" s="32"/>
      <c r="C3831" s="32"/>
      <c r="D3831" s="32"/>
      <c r="E3831" s="32"/>
      <c r="F3831" s="32"/>
      <c r="G3831" s="33"/>
      <c r="H3831" s="33"/>
      <c r="I3831" s="34" t="str">
        <f aca="false">IF($A3831="","",$G3831-$H3831)</f>
        <v/>
      </c>
      <c r="J3831" s="35" t="str">
        <f aca="false">IF($A3831="","",IF(Setup!$B$6=1,YEAR($A3831),YEAR($A3831)+IF(MONTH($A3831)&gt;=Setup!$B$6,1,0)))</f>
        <v/>
      </c>
      <c r="K3831" s="35" t="str">
        <f aca="false">IF($A3831="","",MOD(MONTH($A3831)-Setup!$B$6+12,12)+1)</f>
        <v/>
      </c>
      <c r="L3831" s="36" t="str">
        <f aca="false">IF($A3831="","",TEXT($A3831,"MMM-YY"))</f>
        <v/>
      </c>
      <c r="M3831" s="37" t="str">
        <f aca="false">IF($A3831="","",IF($Q3831=0,"UNMAPPED",INDEX(COA_Mapping!$C$7:$C$256,$Q3831)))</f>
        <v/>
      </c>
      <c r="N3831" s="38" t="str">
        <f aca="false">IF($A3831="","",IF($Q3831=0,"",INDEX(COA_Mapping!$E$7:$E$256,$Q3831)))</f>
        <v/>
      </c>
      <c r="O3831" s="38" t="n">
        <f aca="false">IF($A3831="",1,IF($Q3831=0,1,INDEX(COA_Mapping!$F$7:$F$256,$Q3831)))</f>
        <v>1</v>
      </c>
      <c r="P3831" s="34" t="str">
        <f aca="false">IF($A3831="","",$I3831*$O3831)</f>
        <v/>
      </c>
      <c r="Q3831" s="39" t="n">
        <f aca="false">IF($B3831="",0,IFERROR(MATCH($B3831,COA_Mapping!$A$7:$A$256,0),0))</f>
        <v>0</v>
      </c>
      <c r="R3831" s="39" t="n">
        <f aca="false">IF($A3831="",-1,IF($J3831=Setup!$B$7,1,IF($J3831=Setup!$B$9,0,-1)))</f>
        <v>-1</v>
      </c>
      <c r="S3831" s="35" t="n">
        <f aca="false">IF(OR($A3831="",$Q3831=0,$R3831=-1),0,$Q3831*1000+$R3831*100+$K3831)</f>
        <v>0</v>
      </c>
      <c r="T3831" s="37" t="str">
        <f aca="false">IF($A3831="","",IF($B3831="","NO ACCOUNT",IF($Q3831=0,"UNMAPPED",IF($R3831=-1,"OUTSIDE FY RANGE","OK"))))</f>
        <v/>
      </c>
      <c r="U3831" s="40" t="str">
        <f aca="false">IF($A3831="","",$B3831&amp;"|"&amp;TEXT($A3831,"yyyymmdd")&amp;"|"&amp;TEXT($I3831,"0.00"))</f>
        <v/>
      </c>
      <c r="V3831" s="35" t="str">
        <f aca="false">IF($A3831="","",COUNTIF($U$8:$U$5007,$U3831))</f>
        <v/>
      </c>
    </row>
    <row r="3832" customFormat="false" ht="15" hidden="false" customHeight="false" outlineLevel="0" collapsed="false">
      <c r="A3832" s="31"/>
      <c r="B3832" s="32"/>
      <c r="C3832" s="32"/>
      <c r="D3832" s="32"/>
      <c r="E3832" s="32"/>
      <c r="F3832" s="32"/>
      <c r="G3832" s="33"/>
      <c r="H3832" s="33"/>
      <c r="I3832" s="34" t="str">
        <f aca="false">IF($A3832="","",$G3832-$H3832)</f>
        <v/>
      </c>
      <c r="J3832" s="35" t="str">
        <f aca="false">IF($A3832="","",IF(Setup!$B$6=1,YEAR($A3832),YEAR($A3832)+IF(MONTH($A3832)&gt;=Setup!$B$6,1,0)))</f>
        <v/>
      </c>
      <c r="K3832" s="35" t="str">
        <f aca="false">IF($A3832="","",MOD(MONTH($A3832)-Setup!$B$6+12,12)+1)</f>
        <v/>
      </c>
      <c r="L3832" s="36" t="str">
        <f aca="false">IF($A3832="","",TEXT($A3832,"MMM-YY"))</f>
        <v/>
      </c>
      <c r="M3832" s="37" t="str">
        <f aca="false">IF($A3832="","",IF($Q3832=0,"UNMAPPED",INDEX(COA_Mapping!$C$7:$C$256,$Q3832)))</f>
        <v/>
      </c>
      <c r="N3832" s="38" t="str">
        <f aca="false">IF($A3832="","",IF($Q3832=0,"",INDEX(COA_Mapping!$E$7:$E$256,$Q3832)))</f>
        <v/>
      </c>
      <c r="O3832" s="38" t="n">
        <f aca="false">IF($A3832="",1,IF($Q3832=0,1,INDEX(COA_Mapping!$F$7:$F$256,$Q3832)))</f>
        <v>1</v>
      </c>
      <c r="P3832" s="34" t="str">
        <f aca="false">IF($A3832="","",$I3832*$O3832)</f>
        <v/>
      </c>
      <c r="Q3832" s="39" t="n">
        <f aca="false">IF($B3832="",0,IFERROR(MATCH($B3832,COA_Mapping!$A$7:$A$256,0),0))</f>
        <v>0</v>
      </c>
      <c r="R3832" s="39" t="n">
        <f aca="false">IF($A3832="",-1,IF($J3832=Setup!$B$7,1,IF($J3832=Setup!$B$9,0,-1)))</f>
        <v>-1</v>
      </c>
      <c r="S3832" s="35" t="n">
        <f aca="false">IF(OR($A3832="",$Q3832=0,$R3832=-1),0,$Q3832*1000+$R3832*100+$K3832)</f>
        <v>0</v>
      </c>
      <c r="T3832" s="37" t="str">
        <f aca="false">IF($A3832="","",IF($B3832="","NO ACCOUNT",IF($Q3832=0,"UNMAPPED",IF($R3832=-1,"OUTSIDE FY RANGE","OK"))))</f>
        <v/>
      </c>
      <c r="U3832" s="40" t="str">
        <f aca="false">IF($A3832="","",$B3832&amp;"|"&amp;TEXT($A3832,"yyyymmdd")&amp;"|"&amp;TEXT($I3832,"0.00"))</f>
        <v/>
      </c>
      <c r="V3832" s="35" t="str">
        <f aca="false">IF($A3832="","",COUNTIF($U$8:$U$5007,$U3832))</f>
        <v/>
      </c>
    </row>
    <row r="3833" customFormat="false" ht="15" hidden="false" customHeight="false" outlineLevel="0" collapsed="false">
      <c r="A3833" s="31"/>
      <c r="B3833" s="32"/>
      <c r="C3833" s="32"/>
      <c r="D3833" s="32"/>
      <c r="E3833" s="32"/>
      <c r="F3833" s="32"/>
      <c r="G3833" s="33"/>
      <c r="H3833" s="33"/>
      <c r="I3833" s="34" t="str">
        <f aca="false">IF($A3833="","",$G3833-$H3833)</f>
        <v/>
      </c>
      <c r="J3833" s="35" t="str">
        <f aca="false">IF($A3833="","",IF(Setup!$B$6=1,YEAR($A3833),YEAR($A3833)+IF(MONTH($A3833)&gt;=Setup!$B$6,1,0)))</f>
        <v/>
      </c>
      <c r="K3833" s="35" t="str">
        <f aca="false">IF($A3833="","",MOD(MONTH($A3833)-Setup!$B$6+12,12)+1)</f>
        <v/>
      </c>
      <c r="L3833" s="36" t="str">
        <f aca="false">IF($A3833="","",TEXT($A3833,"MMM-YY"))</f>
        <v/>
      </c>
      <c r="M3833" s="37" t="str">
        <f aca="false">IF($A3833="","",IF($Q3833=0,"UNMAPPED",INDEX(COA_Mapping!$C$7:$C$256,$Q3833)))</f>
        <v/>
      </c>
      <c r="N3833" s="38" t="str">
        <f aca="false">IF($A3833="","",IF($Q3833=0,"",INDEX(COA_Mapping!$E$7:$E$256,$Q3833)))</f>
        <v/>
      </c>
      <c r="O3833" s="38" t="n">
        <f aca="false">IF($A3833="",1,IF($Q3833=0,1,INDEX(COA_Mapping!$F$7:$F$256,$Q3833)))</f>
        <v>1</v>
      </c>
      <c r="P3833" s="34" t="str">
        <f aca="false">IF($A3833="","",$I3833*$O3833)</f>
        <v/>
      </c>
      <c r="Q3833" s="39" t="n">
        <f aca="false">IF($B3833="",0,IFERROR(MATCH($B3833,COA_Mapping!$A$7:$A$256,0),0))</f>
        <v>0</v>
      </c>
      <c r="R3833" s="39" t="n">
        <f aca="false">IF($A3833="",-1,IF($J3833=Setup!$B$7,1,IF($J3833=Setup!$B$9,0,-1)))</f>
        <v>-1</v>
      </c>
      <c r="S3833" s="35" t="n">
        <f aca="false">IF(OR($A3833="",$Q3833=0,$R3833=-1),0,$Q3833*1000+$R3833*100+$K3833)</f>
        <v>0</v>
      </c>
      <c r="T3833" s="37" t="str">
        <f aca="false">IF($A3833="","",IF($B3833="","NO ACCOUNT",IF($Q3833=0,"UNMAPPED",IF($R3833=-1,"OUTSIDE FY RANGE","OK"))))</f>
        <v/>
      </c>
      <c r="U3833" s="40" t="str">
        <f aca="false">IF($A3833="","",$B3833&amp;"|"&amp;TEXT($A3833,"yyyymmdd")&amp;"|"&amp;TEXT($I3833,"0.00"))</f>
        <v/>
      </c>
      <c r="V3833" s="35" t="str">
        <f aca="false">IF($A3833="","",COUNTIF($U$8:$U$5007,$U3833))</f>
        <v/>
      </c>
    </row>
    <row r="3834" customFormat="false" ht="15" hidden="false" customHeight="false" outlineLevel="0" collapsed="false">
      <c r="A3834" s="31"/>
      <c r="B3834" s="32"/>
      <c r="C3834" s="32"/>
      <c r="D3834" s="32"/>
      <c r="E3834" s="32"/>
      <c r="F3834" s="32"/>
      <c r="G3834" s="33"/>
      <c r="H3834" s="33"/>
      <c r="I3834" s="34" t="str">
        <f aca="false">IF($A3834="","",$G3834-$H3834)</f>
        <v/>
      </c>
      <c r="J3834" s="35" t="str">
        <f aca="false">IF($A3834="","",IF(Setup!$B$6=1,YEAR($A3834),YEAR($A3834)+IF(MONTH($A3834)&gt;=Setup!$B$6,1,0)))</f>
        <v/>
      </c>
      <c r="K3834" s="35" t="str">
        <f aca="false">IF($A3834="","",MOD(MONTH($A3834)-Setup!$B$6+12,12)+1)</f>
        <v/>
      </c>
      <c r="L3834" s="36" t="str">
        <f aca="false">IF($A3834="","",TEXT($A3834,"MMM-YY"))</f>
        <v/>
      </c>
      <c r="M3834" s="37" t="str">
        <f aca="false">IF($A3834="","",IF($Q3834=0,"UNMAPPED",INDEX(COA_Mapping!$C$7:$C$256,$Q3834)))</f>
        <v/>
      </c>
      <c r="N3834" s="38" t="str">
        <f aca="false">IF($A3834="","",IF($Q3834=0,"",INDEX(COA_Mapping!$E$7:$E$256,$Q3834)))</f>
        <v/>
      </c>
      <c r="O3834" s="38" t="n">
        <f aca="false">IF($A3834="",1,IF($Q3834=0,1,INDEX(COA_Mapping!$F$7:$F$256,$Q3834)))</f>
        <v>1</v>
      </c>
      <c r="P3834" s="34" t="str">
        <f aca="false">IF($A3834="","",$I3834*$O3834)</f>
        <v/>
      </c>
      <c r="Q3834" s="39" t="n">
        <f aca="false">IF($B3834="",0,IFERROR(MATCH($B3834,COA_Mapping!$A$7:$A$256,0),0))</f>
        <v>0</v>
      </c>
      <c r="R3834" s="39" t="n">
        <f aca="false">IF($A3834="",-1,IF($J3834=Setup!$B$7,1,IF($J3834=Setup!$B$9,0,-1)))</f>
        <v>-1</v>
      </c>
      <c r="S3834" s="35" t="n">
        <f aca="false">IF(OR($A3834="",$Q3834=0,$R3834=-1),0,$Q3834*1000+$R3834*100+$K3834)</f>
        <v>0</v>
      </c>
      <c r="T3834" s="37" t="str">
        <f aca="false">IF($A3834="","",IF($B3834="","NO ACCOUNT",IF($Q3834=0,"UNMAPPED",IF($R3834=-1,"OUTSIDE FY RANGE","OK"))))</f>
        <v/>
      </c>
      <c r="U3834" s="40" t="str">
        <f aca="false">IF($A3834="","",$B3834&amp;"|"&amp;TEXT($A3834,"yyyymmdd")&amp;"|"&amp;TEXT($I3834,"0.00"))</f>
        <v/>
      </c>
      <c r="V3834" s="35" t="str">
        <f aca="false">IF($A3834="","",COUNTIF($U$8:$U$5007,$U3834))</f>
        <v/>
      </c>
    </row>
    <row r="3835" customFormat="false" ht="15" hidden="false" customHeight="false" outlineLevel="0" collapsed="false">
      <c r="A3835" s="31"/>
      <c r="B3835" s="32"/>
      <c r="C3835" s="32"/>
      <c r="D3835" s="32"/>
      <c r="E3835" s="32"/>
      <c r="F3835" s="32"/>
      <c r="G3835" s="33"/>
      <c r="H3835" s="33"/>
      <c r="I3835" s="34" t="str">
        <f aca="false">IF($A3835="","",$G3835-$H3835)</f>
        <v/>
      </c>
      <c r="J3835" s="35" t="str">
        <f aca="false">IF($A3835="","",IF(Setup!$B$6=1,YEAR($A3835),YEAR($A3835)+IF(MONTH($A3835)&gt;=Setup!$B$6,1,0)))</f>
        <v/>
      </c>
      <c r="K3835" s="35" t="str">
        <f aca="false">IF($A3835="","",MOD(MONTH($A3835)-Setup!$B$6+12,12)+1)</f>
        <v/>
      </c>
      <c r="L3835" s="36" t="str">
        <f aca="false">IF($A3835="","",TEXT($A3835,"MMM-YY"))</f>
        <v/>
      </c>
      <c r="M3835" s="37" t="str">
        <f aca="false">IF($A3835="","",IF($Q3835=0,"UNMAPPED",INDEX(COA_Mapping!$C$7:$C$256,$Q3835)))</f>
        <v/>
      </c>
      <c r="N3835" s="38" t="str">
        <f aca="false">IF($A3835="","",IF($Q3835=0,"",INDEX(COA_Mapping!$E$7:$E$256,$Q3835)))</f>
        <v/>
      </c>
      <c r="O3835" s="38" t="n">
        <f aca="false">IF($A3835="",1,IF($Q3835=0,1,INDEX(COA_Mapping!$F$7:$F$256,$Q3835)))</f>
        <v>1</v>
      </c>
      <c r="P3835" s="34" t="str">
        <f aca="false">IF($A3835="","",$I3835*$O3835)</f>
        <v/>
      </c>
      <c r="Q3835" s="39" t="n">
        <f aca="false">IF($B3835="",0,IFERROR(MATCH($B3835,COA_Mapping!$A$7:$A$256,0),0))</f>
        <v>0</v>
      </c>
      <c r="R3835" s="39" t="n">
        <f aca="false">IF($A3835="",-1,IF($J3835=Setup!$B$7,1,IF($J3835=Setup!$B$9,0,-1)))</f>
        <v>-1</v>
      </c>
      <c r="S3835" s="35" t="n">
        <f aca="false">IF(OR($A3835="",$Q3835=0,$R3835=-1),0,$Q3835*1000+$R3835*100+$K3835)</f>
        <v>0</v>
      </c>
      <c r="T3835" s="37" t="str">
        <f aca="false">IF($A3835="","",IF($B3835="","NO ACCOUNT",IF($Q3835=0,"UNMAPPED",IF($R3835=-1,"OUTSIDE FY RANGE","OK"))))</f>
        <v/>
      </c>
      <c r="U3835" s="40" t="str">
        <f aca="false">IF($A3835="","",$B3835&amp;"|"&amp;TEXT($A3835,"yyyymmdd")&amp;"|"&amp;TEXT($I3835,"0.00"))</f>
        <v/>
      </c>
      <c r="V3835" s="35" t="str">
        <f aca="false">IF($A3835="","",COUNTIF($U$8:$U$5007,$U3835))</f>
        <v/>
      </c>
    </row>
    <row r="3836" customFormat="false" ht="15" hidden="false" customHeight="false" outlineLevel="0" collapsed="false">
      <c r="A3836" s="31"/>
      <c r="B3836" s="32"/>
      <c r="C3836" s="32"/>
      <c r="D3836" s="32"/>
      <c r="E3836" s="32"/>
      <c r="F3836" s="32"/>
      <c r="G3836" s="33"/>
      <c r="H3836" s="33"/>
      <c r="I3836" s="34" t="str">
        <f aca="false">IF($A3836="","",$G3836-$H3836)</f>
        <v/>
      </c>
      <c r="J3836" s="35" t="str">
        <f aca="false">IF($A3836="","",IF(Setup!$B$6=1,YEAR($A3836),YEAR($A3836)+IF(MONTH($A3836)&gt;=Setup!$B$6,1,0)))</f>
        <v/>
      </c>
      <c r="K3836" s="35" t="str">
        <f aca="false">IF($A3836="","",MOD(MONTH($A3836)-Setup!$B$6+12,12)+1)</f>
        <v/>
      </c>
      <c r="L3836" s="36" t="str">
        <f aca="false">IF($A3836="","",TEXT($A3836,"MMM-YY"))</f>
        <v/>
      </c>
      <c r="M3836" s="37" t="str">
        <f aca="false">IF($A3836="","",IF($Q3836=0,"UNMAPPED",INDEX(COA_Mapping!$C$7:$C$256,$Q3836)))</f>
        <v/>
      </c>
      <c r="N3836" s="38" t="str">
        <f aca="false">IF($A3836="","",IF($Q3836=0,"",INDEX(COA_Mapping!$E$7:$E$256,$Q3836)))</f>
        <v/>
      </c>
      <c r="O3836" s="38" t="n">
        <f aca="false">IF($A3836="",1,IF($Q3836=0,1,INDEX(COA_Mapping!$F$7:$F$256,$Q3836)))</f>
        <v>1</v>
      </c>
      <c r="P3836" s="34" t="str">
        <f aca="false">IF($A3836="","",$I3836*$O3836)</f>
        <v/>
      </c>
      <c r="Q3836" s="39" t="n">
        <f aca="false">IF($B3836="",0,IFERROR(MATCH($B3836,COA_Mapping!$A$7:$A$256,0),0))</f>
        <v>0</v>
      </c>
      <c r="R3836" s="39" t="n">
        <f aca="false">IF($A3836="",-1,IF($J3836=Setup!$B$7,1,IF($J3836=Setup!$B$9,0,-1)))</f>
        <v>-1</v>
      </c>
      <c r="S3836" s="35" t="n">
        <f aca="false">IF(OR($A3836="",$Q3836=0,$R3836=-1),0,$Q3836*1000+$R3836*100+$K3836)</f>
        <v>0</v>
      </c>
      <c r="T3836" s="37" t="str">
        <f aca="false">IF($A3836="","",IF($B3836="","NO ACCOUNT",IF($Q3836=0,"UNMAPPED",IF($R3836=-1,"OUTSIDE FY RANGE","OK"))))</f>
        <v/>
      </c>
      <c r="U3836" s="40" t="str">
        <f aca="false">IF($A3836="","",$B3836&amp;"|"&amp;TEXT($A3836,"yyyymmdd")&amp;"|"&amp;TEXT($I3836,"0.00"))</f>
        <v/>
      </c>
      <c r="V3836" s="35" t="str">
        <f aca="false">IF($A3836="","",COUNTIF($U$8:$U$5007,$U3836))</f>
        <v/>
      </c>
    </row>
    <row r="3837" customFormat="false" ht="15" hidden="false" customHeight="false" outlineLevel="0" collapsed="false">
      <c r="A3837" s="31"/>
      <c r="B3837" s="32"/>
      <c r="C3837" s="32"/>
      <c r="D3837" s="32"/>
      <c r="E3837" s="32"/>
      <c r="F3837" s="32"/>
      <c r="G3837" s="33"/>
      <c r="H3837" s="33"/>
      <c r="I3837" s="34" t="str">
        <f aca="false">IF($A3837="","",$G3837-$H3837)</f>
        <v/>
      </c>
      <c r="J3837" s="35" t="str">
        <f aca="false">IF($A3837="","",IF(Setup!$B$6=1,YEAR($A3837),YEAR($A3837)+IF(MONTH($A3837)&gt;=Setup!$B$6,1,0)))</f>
        <v/>
      </c>
      <c r="K3837" s="35" t="str">
        <f aca="false">IF($A3837="","",MOD(MONTH($A3837)-Setup!$B$6+12,12)+1)</f>
        <v/>
      </c>
      <c r="L3837" s="36" t="str">
        <f aca="false">IF($A3837="","",TEXT($A3837,"MMM-YY"))</f>
        <v/>
      </c>
      <c r="M3837" s="37" t="str">
        <f aca="false">IF($A3837="","",IF($Q3837=0,"UNMAPPED",INDEX(COA_Mapping!$C$7:$C$256,$Q3837)))</f>
        <v/>
      </c>
      <c r="N3837" s="38" t="str">
        <f aca="false">IF($A3837="","",IF($Q3837=0,"",INDEX(COA_Mapping!$E$7:$E$256,$Q3837)))</f>
        <v/>
      </c>
      <c r="O3837" s="38" t="n">
        <f aca="false">IF($A3837="",1,IF($Q3837=0,1,INDEX(COA_Mapping!$F$7:$F$256,$Q3837)))</f>
        <v>1</v>
      </c>
      <c r="P3837" s="34" t="str">
        <f aca="false">IF($A3837="","",$I3837*$O3837)</f>
        <v/>
      </c>
      <c r="Q3837" s="39" t="n">
        <f aca="false">IF($B3837="",0,IFERROR(MATCH($B3837,COA_Mapping!$A$7:$A$256,0),0))</f>
        <v>0</v>
      </c>
      <c r="R3837" s="39" t="n">
        <f aca="false">IF($A3837="",-1,IF($J3837=Setup!$B$7,1,IF($J3837=Setup!$B$9,0,-1)))</f>
        <v>-1</v>
      </c>
      <c r="S3837" s="35" t="n">
        <f aca="false">IF(OR($A3837="",$Q3837=0,$R3837=-1),0,$Q3837*1000+$R3837*100+$K3837)</f>
        <v>0</v>
      </c>
      <c r="T3837" s="37" t="str">
        <f aca="false">IF($A3837="","",IF($B3837="","NO ACCOUNT",IF($Q3837=0,"UNMAPPED",IF($R3837=-1,"OUTSIDE FY RANGE","OK"))))</f>
        <v/>
      </c>
      <c r="U3837" s="40" t="str">
        <f aca="false">IF($A3837="","",$B3837&amp;"|"&amp;TEXT($A3837,"yyyymmdd")&amp;"|"&amp;TEXT($I3837,"0.00"))</f>
        <v/>
      </c>
      <c r="V3837" s="35" t="str">
        <f aca="false">IF($A3837="","",COUNTIF($U$8:$U$5007,$U3837))</f>
        <v/>
      </c>
    </row>
    <row r="3838" customFormat="false" ht="15" hidden="false" customHeight="false" outlineLevel="0" collapsed="false">
      <c r="A3838" s="31"/>
      <c r="B3838" s="32"/>
      <c r="C3838" s="32"/>
      <c r="D3838" s="32"/>
      <c r="E3838" s="32"/>
      <c r="F3838" s="32"/>
      <c r="G3838" s="33"/>
      <c r="H3838" s="33"/>
      <c r="I3838" s="34" t="str">
        <f aca="false">IF($A3838="","",$G3838-$H3838)</f>
        <v/>
      </c>
      <c r="J3838" s="35" t="str">
        <f aca="false">IF($A3838="","",IF(Setup!$B$6=1,YEAR($A3838),YEAR($A3838)+IF(MONTH($A3838)&gt;=Setup!$B$6,1,0)))</f>
        <v/>
      </c>
      <c r="K3838" s="35" t="str">
        <f aca="false">IF($A3838="","",MOD(MONTH($A3838)-Setup!$B$6+12,12)+1)</f>
        <v/>
      </c>
      <c r="L3838" s="36" t="str">
        <f aca="false">IF($A3838="","",TEXT($A3838,"MMM-YY"))</f>
        <v/>
      </c>
      <c r="M3838" s="37" t="str">
        <f aca="false">IF($A3838="","",IF($Q3838=0,"UNMAPPED",INDEX(COA_Mapping!$C$7:$C$256,$Q3838)))</f>
        <v/>
      </c>
      <c r="N3838" s="38" t="str">
        <f aca="false">IF($A3838="","",IF($Q3838=0,"",INDEX(COA_Mapping!$E$7:$E$256,$Q3838)))</f>
        <v/>
      </c>
      <c r="O3838" s="38" t="n">
        <f aca="false">IF($A3838="",1,IF($Q3838=0,1,INDEX(COA_Mapping!$F$7:$F$256,$Q3838)))</f>
        <v>1</v>
      </c>
      <c r="P3838" s="34" t="str">
        <f aca="false">IF($A3838="","",$I3838*$O3838)</f>
        <v/>
      </c>
      <c r="Q3838" s="39" t="n">
        <f aca="false">IF($B3838="",0,IFERROR(MATCH($B3838,COA_Mapping!$A$7:$A$256,0),0))</f>
        <v>0</v>
      </c>
      <c r="R3838" s="39" t="n">
        <f aca="false">IF($A3838="",-1,IF($J3838=Setup!$B$7,1,IF($J3838=Setup!$B$9,0,-1)))</f>
        <v>-1</v>
      </c>
      <c r="S3838" s="35" t="n">
        <f aca="false">IF(OR($A3838="",$Q3838=0,$R3838=-1),0,$Q3838*1000+$R3838*100+$K3838)</f>
        <v>0</v>
      </c>
      <c r="T3838" s="37" t="str">
        <f aca="false">IF($A3838="","",IF($B3838="","NO ACCOUNT",IF($Q3838=0,"UNMAPPED",IF($R3838=-1,"OUTSIDE FY RANGE","OK"))))</f>
        <v/>
      </c>
      <c r="U3838" s="40" t="str">
        <f aca="false">IF($A3838="","",$B3838&amp;"|"&amp;TEXT($A3838,"yyyymmdd")&amp;"|"&amp;TEXT($I3838,"0.00"))</f>
        <v/>
      </c>
      <c r="V3838" s="35" t="str">
        <f aca="false">IF($A3838="","",COUNTIF($U$8:$U$5007,$U3838))</f>
        <v/>
      </c>
    </row>
    <row r="3839" customFormat="false" ht="15" hidden="false" customHeight="false" outlineLevel="0" collapsed="false">
      <c r="A3839" s="31"/>
      <c r="B3839" s="32"/>
      <c r="C3839" s="32"/>
      <c r="D3839" s="32"/>
      <c r="E3839" s="32"/>
      <c r="F3839" s="32"/>
      <c r="G3839" s="33"/>
      <c r="H3839" s="33"/>
      <c r="I3839" s="34" t="str">
        <f aca="false">IF($A3839="","",$G3839-$H3839)</f>
        <v/>
      </c>
      <c r="J3839" s="35" t="str">
        <f aca="false">IF($A3839="","",IF(Setup!$B$6=1,YEAR($A3839),YEAR($A3839)+IF(MONTH($A3839)&gt;=Setup!$B$6,1,0)))</f>
        <v/>
      </c>
      <c r="K3839" s="35" t="str">
        <f aca="false">IF($A3839="","",MOD(MONTH($A3839)-Setup!$B$6+12,12)+1)</f>
        <v/>
      </c>
      <c r="L3839" s="36" t="str">
        <f aca="false">IF($A3839="","",TEXT($A3839,"MMM-YY"))</f>
        <v/>
      </c>
      <c r="M3839" s="37" t="str">
        <f aca="false">IF($A3839="","",IF($Q3839=0,"UNMAPPED",INDEX(COA_Mapping!$C$7:$C$256,$Q3839)))</f>
        <v/>
      </c>
      <c r="N3839" s="38" t="str">
        <f aca="false">IF($A3839="","",IF($Q3839=0,"",INDEX(COA_Mapping!$E$7:$E$256,$Q3839)))</f>
        <v/>
      </c>
      <c r="O3839" s="38" t="n">
        <f aca="false">IF($A3839="",1,IF($Q3839=0,1,INDEX(COA_Mapping!$F$7:$F$256,$Q3839)))</f>
        <v>1</v>
      </c>
      <c r="P3839" s="34" t="str">
        <f aca="false">IF($A3839="","",$I3839*$O3839)</f>
        <v/>
      </c>
      <c r="Q3839" s="39" t="n">
        <f aca="false">IF($B3839="",0,IFERROR(MATCH($B3839,COA_Mapping!$A$7:$A$256,0),0))</f>
        <v>0</v>
      </c>
      <c r="R3839" s="39" t="n">
        <f aca="false">IF($A3839="",-1,IF($J3839=Setup!$B$7,1,IF($J3839=Setup!$B$9,0,-1)))</f>
        <v>-1</v>
      </c>
      <c r="S3839" s="35" t="n">
        <f aca="false">IF(OR($A3839="",$Q3839=0,$R3839=-1),0,$Q3839*1000+$R3839*100+$K3839)</f>
        <v>0</v>
      </c>
      <c r="T3839" s="37" t="str">
        <f aca="false">IF($A3839="","",IF($B3839="","NO ACCOUNT",IF($Q3839=0,"UNMAPPED",IF($R3839=-1,"OUTSIDE FY RANGE","OK"))))</f>
        <v/>
      </c>
      <c r="U3839" s="40" t="str">
        <f aca="false">IF($A3839="","",$B3839&amp;"|"&amp;TEXT($A3839,"yyyymmdd")&amp;"|"&amp;TEXT($I3839,"0.00"))</f>
        <v/>
      </c>
      <c r="V3839" s="35" t="str">
        <f aca="false">IF($A3839="","",COUNTIF($U$8:$U$5007,$U3839))</f>
        <v/>
      </c>
    </row>
    <row r="3840" customFormat="false" ht="15" hidden="false" customHeight="false" outlineLevel="0" collapsed="false">
      <c r="A3840" s="31"/>
      <c r="B3840" s="32"/>
      <c r="C3840" s="32"/>
      <c r="D3840" s="32"/>
      <c r="E3840" s="32"/>
      <c r="F3840" s="32"/>
      <c r="G3840" s="33"/>
      <c r="H3840" s="33"/>
      <c r="I3840" s="34" t="str">
        <f aca="false">IF($A3840="","",$G3840-$H3840)</f>
        <v/>
      </c>
      <c r="J3840" s="35" t="str">
        <f aca="false">IF($A3840="","",IF(Setup!$B$6=1,YEAR($A3840),YEAR($A3840)+IF(MONTH($A3840)&gt;=Setup!$B$6,1,0)))</f>
        <v/>
      </c>
      <c r="K3840" s="35" t="str">
        <f aca="false">IF($A3840="","",MOD(MONTH($A3840)-Setup!$B$6+12,12)+1)</f>
        <v/>
      </c>
      <c r="L3840" s="36" t="str">
        <f aca="false">IF($A3840="","",TEXT($A3840,"MMM-YY"))</f>
        <v/>
      </c>
      <c r="M3840" s="37" t="str">
        <f aca="false">IF($A3840="","",IF($Q3840=0,"UNMAPPED",INDEX(COA_Mapping!$C$7:$C$256,$Q3840)))</f>
        <v/>
      </c>
      <c r="N3840" s="38" t="str">
        <f aca="false">IF($A3840="","",IF($Q3840=0,"",INDEX(COA_Mapping!$E$7:$E$256,$Q3840)))</f>
        <v/>
      </c>
      <c r="O3840" s="38" t="n">
        <f aca="false">IF($A3840="",1,IF($Q3840=0,1,INDEX(COA_Mapping!$F$7:$F$256,$Q3840)))</f>
        <v>1</v>
      </c>
      <c r="P3840" s="34" t="str">
        <f aca="false">IF($A3840="","",$I3840*$O3840)</f>
        <v/>
      </c>
      <c r="Q3840" s="39" t="n">
        <f aca="false">IF($B3840="",0,IFERROR(MATCH($B3840,COA_Mapping!$A$7:$A$256,0),0))</f>
        <v>0</v>
      </c>
      <c r="R3840" s="39" t="n">
        <f aca="false">IF($A3840="",-1,IF($J3840=Setup!$B$7,1,IF($J3840=Setup!$B$9,0,-1)))</f>
        <v>-1</v>
      </c>
      <c r="S3840" s="35" t="n">
        <f aca="false">IF(OR($A3840="",$Q3840=0,$R3840=-1),0,$Q3840*1000+$R3840*100+$K3840)</f>
        <v>0</v>
      </c>
      <c r="T3840" s="37" t="str">
        <f aca="false">IF($A3840="","",IF($B3840="","NO ACCOUNT",IF($Q3840=0,"UNMAPPED",IF($R3840=-1,"OUTSIDE FY RANGE","OK"))))</f>
        <v/>
      </c>
      <c r="U3840" s="40" t="str">
        <f aca="false">IF($A3840="","",$B3840&amp;"|"&amp;TEXT($A3840,"yyyymmdd")&amp;"|"&amp;TEXT($I3840,"0.00"))</f>
        <v/>
      </c>
      <c r="V3840" s="35" t="str">
        <f aca="false">IF($A3840="","",COUNTIF($U$8:$U$5007,$U3840))</f>
        <v/>
      </c>
    </row>
    <row r="3841" customFormat="false" ht="15" hidden="false" customHeight="false" outlineLevel="0" collapsed="false">
      <c r="A3841" s="31"/>
      <c r="B3841" s="32"/>
      <c r="C3841" s="32"/>
      <c r="D3841" s="32"/>
      <c r="E3841" s="32"/>
      <c r="F3841" s="32"/>
      <c r="G3841" s="33"/>
      <c r="H3841" s="33"/>
      <c r="I3841" s="34" t="str">
        <f aca="false">IF($A3841="","",$G3841-$H3841)</f>
        <v/>
      </c>
      <c r="J3841" s="35" t="str">
        <f aca="false">IF($A3841="","",IF(Setup!$B$6=1,YEAR($A3841),YEAR($A3841)+IF(MONTH($A3841)&gt;=Setup!$B$6,1,0)))</f>
        <v/>
      </c>
      <c r="K3841" s="35" t="str">
        <f aca="false">IF($A3841="","",MOD(MONTH($A3841)-Setup!$B$6+12,12)+1)</f>
        <v/>
      </c>
      <c r="L3841" s="36" t="str">
        <f aca="false">IF($A3841="","",TEXT($A3841,"MMM-YY"))</f>
        <v/>
      </c>
      <c r="M3841" s="37" t="str">
        <f aca="false">IF($A3841="","",IF($Q3841=0,"UNMAPPED",INDEX(COA_Mapping!$C$7:$C$256,$Q3841)))</f>
        <v/>
      </c>
      <c r="N3841" s="38" t="str">
        <f aca="false">IF($A3841="","",IF($Q3841=0,"",INDEX(COA_Mapping!$E$7:$E$256,$Q3841)))</f>
        <v/>
      </c>
      <c r="O3841" s="38" t="n">
        <f aca="false">IF($A3841="",1,IF($Q3841=0,1,INDEX(COA_Mapping!$F$7:$F$256,$Q3841)))</f>
        <v>1</v>
      </c>
      <c r="P3841" s="34" t="str">
        <f aca="false">IF($A3841="","",$I3841*$O3841)</f>
        <v/>
      </c>
      <c r="Q3841" s="39" t="n">
        <f aca="false">IF($B3841="",0,IFERROR(MATCH($B3841,COA_Mapping!$A$7:$A$256,0),0))</f>
        <v>0</v>
      </c>
      <c r="R3841" s="39" t="n">
        <f aca="false">IF($A3841="",-1,IF($J3841=Setup!$B$7,1,IF($J3841=Setup!$B$9,0,-1)))</f>
        <v>-1</v>
      </c>
      <c r="S3841" s="35" t="n">
        <f aca="false">IF(OR($A3841="",$Q3841=0,$R3841=-1),0,$Q3841*1000+$R3841*100+$K3841)</f>
        <v>0</v>
      </c>
      <c r="T3841" s="37" t="str">
        <f aca="false">IF($A3841="","",IF($B3841="","NO ACCOUNT",IF($Q3841=0,"UNMAPPED",IF($R3841=-1,"OUTSIDE FY RANGE","OK"))))</f>
        <v/>
      </c>
      <c r="U3841" s="40" t="str">
        <f aca="false">IF($A3841="","",$B3841&amp;"|"&amp;TEXT($A3841,"yyyymmdd")&amp;"|"&amp;TEXT($I3841,"0.00"))</f>
        <v/>
      </c>
      <c r="V3841" s="35" t="str">
        <f aca="false">IF($A3841="","",COUNTIF($U$8:$U$5007,$U3841))</f>
        <v/>
      </c>
    </row>
    <row r="3842" customFormat="false" ht="15" hidden="false" customHeight="false" outlineLevel="0" collapsed="false">
      <c r="A3842" s="31"/>
      <c r="B3842" s="32"/>
      <c r="C3842" s="32"/>
      <c r="D3842" s="32"/>
      <c r="E3842" s="32"/>
      <c r="F3842" s="32"/>
      <c r="G3842" s="33"/>
      <c r="H3842" s="33"/>
      <c r="I3842" s="34" t="str">
        <f aca="false">IF($A3842="","",$G3842-$H3842)</f>
        <v/>
      </c>
      <c r="J3842" s="35" t="str">
        <f aca="false">IF($A3842="","",IF(Setup!$B$6=1,YEAR($A3842),YEAR($A3842)+IF(MONTH($A3842)&gt;=Setup!$B$6,1,0)))</f>
        <v/>
      </c>
      <c r="K3842" s="35" t="str">
        <f aca="false">IF($A3842="","",MOD(MONTH($A3842)-Setup!$B$6+12,12)+1)</f>
        <v/>
      </c>
      <c r="L3842" s="36" t="str">
        <f aca="false">IF($A3842="","",TEXT($A3842,"MMM-YY"))</f>
        <v/>
      </c>
      <c r="M3842" s="37" t="str">
        <f aca="false">IF($A3842="","",IF($Q3842=0,"UNMAPPED",INDEX(COA_Mapping!$C$7:$C$256,$Q3842)))</f>
        <v/>
      </c>
      <c r="N3842" s="38" t="str">
        <f aca="false">IF($A3842="","",IF($Q3842=0,"",INDEX(COA_Mapping!$E$7:$E$256,$Q3842)))</f>
        <v/>
      </c>
      <c r="O3842" s="38" t="n">
        <f aca="false">IF($A3842="",1,IF($Q3842=0,1,INDEX(COA_Mapping!$F$7:$F$256,$Q3842)))</f>
        <v>1</v>
      </c>
      <c r="P3842" s="34" t="str">
        <f aca="false">IF($A3842="","",$I3842*$O3842)</f>
        <v/>
      </c>
      <c r="Q3842" s="39" t="n">
        <f aca="false">IF($B3842="",0,IFERROR(MATCH($B3842,COA_Mapping!$A$7:$A$256,0),0))</f>
        <v>0</v>
      </c>
      <c r="R3842" s="39" t="n">
        <f aca="false">IF($A3842="",-1,IF($J3842=Setup!$B$7,1,IF($J3842=Setup!$B$9,0,-1)))</f>
        <v>-1</v>
      </c>
      <c r="S3842" s="35" t="n">
        <f aca="false">IF(OR($A3842="",$Q3842=0,$R3842=-1),0,$Q3842*1000+$R3842*100+$K3842)</f>
        <v>0</v>
      </c>
      <c r="T3842" s="37" t="str">
        <f aca="false">IF($A3842="","",IF($B3842="","NO ACCOUNT",IF($Q3842=0,"UNMAPPED",IF($R3842=-1,"OUTSIDE FY RANGE","OK"))))</f>
        <v/>
      </c>
      <c r="U3842" s="40" t="str">
        <f aca="false">IF($A3842="","",$B3842&amp;"|"&amp;TEXT($A3842,"yyyymmdd")&amp;"|"&amp;TEXT($I3842,"0.00"))</f>
        <v/>
      </c>
      <c r="V3842" s="35" t="str">
        <f aca="false">IF($A3842="","",COUNTIF($U$8:$U$5007,$U3842))</f>
        <v/>
      </c>
    </row>
    <row r="3843" customFormat="false" ht="15" hidden="false" customHeight="false" outlineLevel="0" collapsed="false">
      <c r="A3843" s="31"/>
      <c r="B3843" s="32"/>
      <c r="C3843" s="32"/>
      <c r="D3843" s="32"/>
      <c r="E3843" s="32"/>
      <c r="F3843" s="32"/>
      <c r="G3843" s="33"/>
      <c r="H3843" s="33"/>
      <c r="I3843" s="34" t="str">
        <f aca="false">IF($A3843="","",$G3843-$H3843)</f>
        <v/>
      </c>
      <c r="J3843" s="35" t="str">
        <f aca="false">IF($A3843="","",IF(Setup!$B$6=1,YEAR($A3843),YEAR($A3843)+IF(MONTH($A3843)&gt;=Setup!$B$6,1,0)))</f>
        <v/>
      </c>
      <c r="K3843" s="35" t="str">
        <f aca="false">IF($A3843="","",MOD(MONTH($A3843)-Setup!$B$6+12,12)+1)</f>
        <v/>
      </c>
      <c r="L3843" s="36" t="str">
        <f aca="false">IF($A3843="","",TEXT($A3843,"MMM-YY"))</f>
        <v/>
      </c>
      <c r="M3843" s="37" t="str">
        <f aca="false">IF($A3843="","",IF($Q3843=0,"UNMAPPED",INDEX(COA_Mapping!$C$7:$C$256,$Q3843)))</f>
        <v/>
      </c>
      <c r="N3843" s="38" t="str">
        <f aca="false">IF($A3843="","",IF($Q3843=0,"",INDEX(COA_Mapping!$E$7:$E$256,$Q3843)))</f>
        <v/>
      </c>
      <c r="O3843" s="38" t="n">
        <f aca="false">IF($A3843="",1,IF($Q3843=0,1,INDEX(COA_Mapping!$F$7:$F$256,$Q3843)))</f>
        <v>1</v>
      </c>
      <c r="P3843" s="34" t="str">
        <f aca="false">IF($A3843="","",$I3843*$O3843)</f>
        <v/>
      </c>
      <c r="Q3843" s="39" t="n">
        <f aca="false">IF($B3843="",0,IFERROR(MATCH($B3843,COA_Mapping!$A$7:$A$256,0),0))</f>
        <v>0</v>
      </c>
      <c r="R3843" s="39" t="n">
        <f aca="false">IF($A3843="",-1,IF($J3843=Setup!$B$7,1,IF($J3843=Setup!$B$9,0,-1)))</f>
        <v>-1</v>
      </c>
      <c r="S3843" s="35" t="n">
        <f aca="false">IF(OR($A3843="",$Q3843=0,$R3843=-1),0,$Q3843*1000+$R3843*100+$K3843)</f>
        <v>0</v>
      </c>
      <c r="T3843" s="37" t="str">
        <f aca="false">IF($A3843="","",IF($B3843="","NO ACCOUNT",IF($Q3843=0,"UNMAPPED",IF($R3843=-1,"OUTSIDE FY RANGE","OK"))))</f>
        <v/>
      </c>
      <c r="U3843" s="40" t="str">
        <f aca="false">IF($A3843="","",$B3843&amp;"|"&amp;TEXT($A3843,"yyyymmdd")&amp;"|"&amp;TEXT($I3843,"0.00"))</f>
        <v/>
      </c>
      <c r="V3843" s="35" t="str">
        <f aca="false">IF($A3843="","",COUNTIF($U$8:$U$5007,$U3843))</f>
        <v/>
      </c>
    </row>
    <row r="3844" customFormat="false" ht="15" hidden="false" customHeight="false" outlineLevel="0" collapsed="false">
      <c r="A3844" s="31"/>
      <c r="B3844" s="32"/>
      <c r="C3844" s="32"/>
      <c r="D3844" s="32"/>
      <c r="E3844" s="32"/>
      <c r="F3844" s="32"/>
      <c r="G3844" s="33"/>
      <c r="H3844" s="33"/>
      <c r="I3844" s="34" t="str">
        <f aca="false">IF($A3844="","",$G3844-$H3844)</f>
        <v/>
      </c>
      <c r="J3844" s="35" t="str">
        <f aca="false">IF($A3844="","",IF(Setup!$B$6=1,YEAR($A3844),YEAR($A3844)+IF(MONTH($A3844)&gt;=Setup!$B$6,1,0)))</f>
        <v/>
      </c>
      <c r="K3844" s="35" t="str">
        <f aca="false">IF($A3844="","",MOD(MONTH($A3844)-Setup!$B$6+12,12)+1)</f>
        <v/>
      </c>
      <c r="L3844" s="36" t="str">
        <f aca="false">IF($A3844="","",TEXT($A3844,"MMM-YY"))</f>
        <v/>
      </c>
      <c r="M3844" s="37" t="str">
        <f aca="false">IF($A3844="","",IF($Q3844=0,"UNMAPPED",INDEX(COA_Mapping!$C$7:$C$256,$Q3844)))</f>
        <v/>
      </c>
      <c r="N3844" s="38" t="str">
        <f aca="false">IF($A3844="","",IF($Q3844=0,"",INDEX(COA_Mapping!$E$7:$E$256,$Q3844)))</f>
        <v/>
      </c>
      <c r="O3844" s="38" t="n">
        <f aca="false">IF($A3844="",1,IF($Q3844=0,1,INDEX(COA_Mapping!$F$7:$F$256,$Q3844)))</f>
        <v>1</v>
      </c>
      <c r="P3844" s="34" t="str">
        <f aca="false">IF($A3844="","",$I3844*$O3844)</f>
        <v/>
      </c>
      <c r="Q3844" s="39" t="n">
        <f aca="false">IF($B3844="",0,IFERROR(MATCH($B3844,COA_Mapping!$A$7:$A$256,0),0))</f>
        <v>0</v>
      </c>
      <c r="R3844" s="39" t="n">
        <f aca="false">IF($A3844="",-1,IF($J3844=Setup!$B$7,1,IF($J3844=Setup!$B$9,0,-1)))</f>
        <v>-1</v>
      </c>
      <c r="S3844" s="35" t="n">
        <f aca="false">IF(OR($A3844="",$Q3844=0,$R3844=-1),0,$Q3844*1000+$R3844*100+$K3844)</f>
        <v>0</v>
      </c>
      <c r="T3844" s="37" t="str">
        <f aca="false">IF($A3844="","",IF($B3844="","NO ACCOUNT",IF($Q3844=0,"UNMAPPED",IF($R3844=-1,"OUTSIDE FY RANGE","OK"))))</f>
        <v/>
      </c>
      <c r="U3844" s="40" t="str">
        <f aca="false">IF($A3844="","",$B3844&amp;"|"&amp;TEXT($A3844,"yyyymmdd")&amp;"|"&amp;TEXT($I3844,"0.00"))</f>
        <v/>
      </c>
      <c r="V3844" s="35" t="str">
        <f aca="false">IF($A3844="","",COUNTIF($U$8:$U$5007,$U3844))</f>
        <v/>
      </c>
    </row>
    <row r="3845" customFormat="false" ht="15" hidden="false" customHeight="false" outlineLevel="0" collapsed="false">
      <c r="A3845" s="31"/>
      <c r="B3845" s="32"/>
      <c r="C3845" s="32"/>
      <c r="D3845" s="32"/>
      <c r="E3845" s="32"/>
      <c r="F3845" s="32"/>
      <c r="G3845" s="33"/>
      <c r="H3845" s="33"/>
      <c r="I3845" s="34" t="str">
        <f aca="false">IF($A3845="","",$G3845-$H3845)</f>
        <v/>
      </c>
      <c r="J3845" s="35" t="str">
        <f aca="false">IF($A3845="","",IF(Setup!$B$6=1,YEAR($A3845),YEAR($A3845)+IF(MONTH($A3845)&gt;=Setup!$B$6,1,0)))</f>
        <v/>
      </c>
      <c r="K3845" s="35" t="str">
        <f aca="false">IF($A3845="","",MOD(MONTH($A3845)-Setup!$B$6+12,12)+1)</f>
        <v/>
      </c>
      <c r="L3845" s="36" t="str">
        <f aca="false">IF($A3845="","",TEXT($A3845,"MMM-YY"))</f>
        <v/>
      </c>
      <c r="M3845" s="37" t="str">
        <f aca="false">IF($A3845="","",IF($Q3845=0,"UNMAPPED",INDEX(COA_Mapping!$C$7:$C$256,$Q3845)))</f>
        <v/>
      </c>
      <c r="N3845" s="38" t="str">
        <f aca="false">IF($A3845="","",IF($Q3845=0,"",INDEX(COA_Mapping!$E$7:$E$256,$Q3845)))</f>
        <v/>
      </c>
      <c r="O3845" s="38" t="n">
        <f aca="false">IF($A3845="",1,IF($Q3845=0,1,INDEX(COA_Mapping!$F$7:$F$256,$Q3845)))</f>
        <v>1</v>
      </c>
      <c r="P3845" s="34" t="str">
        <f aca="false">IF($A3845="","",$I3845*$O3845)</f>
        <v/>
      </c>
      <c r="Q3845" s="39" t="n">
        <f aca="false">IF($B3845="",0,IFERROR(MATCH($B3845,COA_Mapping!$A$7:$A$256,0),0))</f>
        <v>0</v>
      </c>
      <c r="R3845" s="39" t="n">
        <f aca="false">IF($A3845="",-1,IF($J3845=Setup!$B$7,1,IF($J3845=Setup!$B$9,0,-1)))</f>
        <v>-1</v>
      </c>
      <c r="S3845" s="35" t="n">
        <f aca="false">IF(OR($A3845="",$Q3845=0,$R3845=-1),0,$Q3845*1000+$R3845*100+$K3845)</f>
        <v>0</v>
      </c>
      <c r="T3845" s="37" t="str">
        <f aca="false">IF($A3845="","",IF($B3845="","NO ACCOUNT",IF($Q3845=0,"UNMAPPED",IF($R3845=-1,"OUTSIDE FY RANGE","OK"))))</f>
        <v/>
      </c>
      <c r="U3845" s="40" t="str">
        <f aca="false">IF($A3845="","",$B3845&amp;"|"&amp;TEXT($A3845,"yyyymmdd")&amp;"|"&amp;TEXT($I3845,"0.00"))</f>
        <v/>
      </c>
      <c r="V3845" s="35" t="str">
        <f aca="false">IF($A3845="","",COUNTIF($U$8:$U$5007,$U3845))</f>
        <v/>
      </c>
    </row>
    <row r="3846" customFormat="false" ht="15" hidden="false" customHeight="false" outlineLevel="0" collapsed="false">
      <c r="A3846" s="31"/>
      <c r="B3846" s="32"/>
      <c r="C3846" s="32"/>
      <c r="D3846" s="32"/>
      <c r="E3846" s="32"/>
      <c r="F3846" s="32"/>
      <c r="G3846" s="33"/>
      <c r="H3846" s="33"/>
      <c r="I3846" s="34" t="str">
        <f aca="false">IF($A3846="","",$G3846-$H3846)</f>
        <v/>
      </c>
      <c r="J3846" s="35" t="str">
        <f aca="false">IF($A3846="","",IF(Setup!$B$6=1,YEAR($A3846),YEAR($A3846)+IF(MONTH($A3846)&gt;=Setup!$B$6,1,0)))</f>
        <v/>
      </c>
      <c r="K3846" s="35" t="str">
        <f aca="false">IF($A3846="","",MOD(MONTH($A3846)-Setup!$B$6+12,12)+1)</f>
        <v/>
      </c>
      <c r="L3846" s="36" t="str">
        <f aca="false">IF($A3846="","",TEXT($A3846,"MMM-YY"))</f>
        <v/>
      </c>
      <c r="M3846" s="37" t="str">
        <f aca="false">IF($A3846="","",IF($Q3846=0,"UNMAPPED",INDEX(COA_Mapping!$C$7:$C$256,$Q3846)))</f>
        <v/>
      </c>
      <c r="N3846" s="38" t="str">
        <f aca="false">IF($A3846="","",IF($Q3846=0,"",INDEX(COA_Mapping!$E$7:$E$256,$Q3846)))</f>
        <v/>
      </c>
      <c r="O3846" s="38" t="n">
        <f aca="false">IF($A3846="",1,IF($Q3846=0,1,INDEX(COA_Mapping!$F$7:$F$256,$Q3846)))</f>
        <v>1</v>
      </c>
      <c r="P3846" s="34" t="str">
        <f aca="false">IF($A3846="","",$I3846*$O3846)</f>
        <v/>
      </c>
      <c r="Q3846" s="39" t="n">
        <f aca="false">IF($B3846="",0,IFERROR(MATCH($B3846,COA_Mapping!$A$7:$A$256,0),0))</f>
        <v>0</v>
      </c>
      <c r="R3846" s="39" t="n">
        <f aca="false">IF($A3846="",-1,IF($J3846=Setup!$B$7,1,IF($J3846=Setup!$B$9,0,-1)))</f>
        <v>-1</v>
      </c>
      <c r="S3846" s="35" t="n">
        <f aca="false">IF(OR($A3846="",$Q3846=0,$R3846=-1),0,$Q3846*1000+$R3846*100+$K3846)</f>
        <v>0</v>
      </c>
      <c r="T3846" s="37" t="str">
        <f aca="false">IF($A3846="","",IF($B3846="","NO ACCOUNT",IF($Q3846=0,"UNMAPPED",IF($R3846=-1,"OUTSIDE FY RANGE","OK"))))</f>
        <v/>
      </c>
      <c r="U3846" s="40" t="str">
        <f aca="false">IF($A3846="","",$B3846&amp;"|"&amp;TEXT($A3846,"yyyymmdd")&amp;"|"&amp;TEXT($I3846,"0.00"))</f>
        <v/>
      </c>
      <c r="V3846" s="35" t="str">
        <f aca="false">IF($A3846="","",COUNTIF($U$8:$U$5007,$U3846))</f>
        <v/>
      </c>
    </row>
    <row r="3847" customFormat="false" ht="15" hidden="false" customHeight="false" outlineLevel="0" collapsed="false">
      <c r="A3847" s="31"/>
      <c r="B3847" s="32"/>
      <c r="C3847" s="32"/>
      <c r="D3847" s="32"/>
      <c r="E3847" s="32"/>
      <c r="F3847" s="32"/>
      <c r="G3847" s="33"/>
      <c r="H3847" s="33"/>
      <c r="I3847" s="34" t="str">
        <f aca="false">IF($A3847="","",$G3847-$H3847)</f>
        <v/>
      </c>
      <c r="J3847" s="35" t="str">
        <f aca="false">IF($A3847="","",IF(Setup!$B$6=1,YEAR($A3847),YEAR($A3847)+IF(MONTH($A3847)&gt;=Setup!$B$6,1,0)))</f>
        <v/>
      </c>
      <c r="K3847" s="35" t="str">
        <f aca="false">IF($A3847="","",MOD(MONTH($A3847)-Setup!$B$6+12,12)+1)</f>
        <v/>
      </c>
      <c r="L3847" s="36" t="str">
        <f aca="false">IF($A3847="","",TEXT($A3847,"MMM-YY"))</f>
        <v/>
      </c>
      <c r="M3847" s="37" t="str">
        <f aca="false">IF($A3847="","",IF($Q3847=0,"UNMAPPED",INDEX(COA_Mapping!$C$7:$C$256,$Q3847)))</f>
        <v/>
      </c>
      <c r="N3847" s="38" t="str">
        <f aca="false">IF($A3847="","",IF($Q3847=0,"",INDEX(COA_Mapping!$E$7:$E$256,$Q3847)))</f>
        <v/>
      </c>
      <c r="O3847" s="38" t="n">
        <f aca="false">IF($A3847="",1,IF($Q3847=0,1,INDEX(COA_Mapping!$F$7:$F$256,$Q3847)))</f>
        <v>1</v>
      </c>
      <c r="P3847" s="34" t="str">
        <f aca="false">IF($A3847="","",$I3847*$O3847)</f>
        <v/>
      </c>
      <c r="Q3847" s="39" t="n">
        <f aca="false">IF($B3847="",0,IFERROR(MATCH($B3847,COA_Mapping!$A$7:$A$256,0),0))</f>
        <v>0</v>
      </c>
      <c r="R3847" s="39" t="n">
        <f aca="false">IF($A3847="",-1,IF($J3847=Setup!$B$7,1,IF($J3847=Setup!$B$9,0,-1)))</f>
        <v>-1</v>
      </c>
      <c r="S3847" s="35" t="n">
        <f aca="false">IF(OR($A3847="",$Q3847=0,$R3847=-1),0,$Q3847*1000+$R3847*100+$K3847)</f>
        <v>0</v>
      </c>
      <c r="T3847" s="37" t="str">
        <f aca="false">IF($A3847="","",IF($B3847="","NO ACCOUNT",IF($Q3847=0,"UNMAPPED",IF($R3847=-1,"OUTSIDE FY RANGE","OK"))))</f>
        <v/>
      </c>
      <c r="U3847" s="40" t="str">
        <f aca="false">IF($A3847="","",$B3847&amp;"|"&amp;TEXT($A3847,"yyyymmdd")&amp;"|"&amp;TEXT($I3847,"0.00"))</f>
        <v/>
      </c>
      <c r="V3847" s="35" t="str">
        <f aca="false">IF($A3847="","",COUNTIF($U$8:$U$5007,$U3847))</f>
        <v/>
      </c>
    </row>
    <row r="3848" customFormat="false" ht="15" hidden="false" customHeight="false" outlineLevel="0" collapsed="false">
      <c r="A3848" s="31"/>
      <c r="B3848" s="32"/>
      <c r="C3848" s="32"/>
      <c r="D3848" s="32"/>
      <c r="E3848" s="32"/>
      <c r="F3848" s="32"/>
      <c r="G3848" s="33"/>
      <c r="H3848" s="33"/>
      <c r="I3848" s="34" t="str">
        <f aca="false">IF($A3848="","",$G3848-$H3848)</f>
        <v/>
      </c>
      <c r="J3848" s="35" t="str">
        <f aca="false">IF($A3848="","",IF(Setup!$B$6=1,YEAR($A3848),YEAR($A3848)+IF(MONTH($A3848)&gt;=Setup!$B$6,1,0)))</f>
        <v/>
      </c>
      <c r="K3848" s="35" t="str">
        <f aca="false">IF($A3848="","",MOD(MONTH($A3848)-Setup!$B$6+12,12)+1)</f>
        <v/>
      </c>
      <c r="L3848" s="36" t="str">
        <f aca="false">IF($A3848="","",TEXT($A3848,"MMM-YY"))</f>
        <v/>
      </c>
      <c r="M3848" s="37" t="str">
        <f aca="false">IF($A3848="","",IF($Q3848=0,"UNMAPPED",INDEX(COA_Mapping!$C$7:$C$256,$Q3848)))</f>
        <v/>
      </c>
      <c r="N3848" s="38" t="str">
        <f aca="false">IF($A3848="","",IF($Q3848=0,"",INDEX(COA_Mapping!$E$7:$E$256,$Q3848)))</f>
        <v/>
      </c>
      <c r="O3848" s="38" t="n">
        <f aca="false">IF($A3848="",1,IF($Q3848=0,1,INDEX(COA_Mapping!$F$7:$F$256,$Q3848)))</f>
        <v>1</v>
      </c>
      <c r="P3848" s="34" t="str">
        <f aca="false">IF($A3848="","",$I3848*$O3848)</f>
        <v/>
      </c>
      <c r="Q3848" s="39" t="n">
        <f aca="false">IF($B3848="",0,IFERROR(MATCH($B3848,COA_Mapping!$A$7:$A$256,0),0))</f>
        <v>0</v>
      </c>
      <c r="R3848" s="39" t="n">
        <f aca="false">IF($A3848="",-1,IF($J3848=Setup!$B$7,1,IF($J3848=Setup!$B$9,0,-1)))</f>
        <v>-1</v>
      </c>
      <c r="S3848" s="35" t="n">
        <f aca="false">IF(OR($A3848="",$Q3848=0,$R3848=-1),0,$Q3848*1000+$R3848*100+$K3848)</f>
        <v>0</v>
      </c>
      <c r="T3848" s="37" t="str">
        <f aca="false">IF($A3848="","",IF($B3848="","NO ACCOUNT",IF($Q3848=0,"UNMAPPED",IF($R3848=-1,"OUTSIDE FY RANGE","OK"))))</f>
        <v/>
      </c>
      <c r="U3848" s="40" t="str">
        <f aca="false">IF($A3848="","",$B3848&amp;"|"&amp;TEXT($A3848,"yyyymmdd")&amp;"|"&amp;TEXT($I3848,"0.00"))</f>
        <v/>
      </c>
      <c r="V3848" s="35" t="str">
        <f aca="false">IF($A3848="","",COUNTIF($U$8:$U$5007,$U3848))</f>
        <v/>
      </c>
    </row>
    <row r="3849" customFormat="false" ht="15" hidden="false" customHeight="false" outlineLevel="0" collapsed="false">
      <c r="A3849" s="31"/>
      <c r="B3849" s="32"/>
      <c r="C3849" s="32"/>
      <c r="D3849" s="32"/>
      <c r="E3849" s="32"/>
      <c r="F3849" s="32"/>
      <c r="G3849" s="33"/>
      <c r="H3849" s="33"/>
      <c r="I3849" s="34" t="str">
        <f aca="false">IF($A3849="","",$G3849-$H3849)</f>
        <v/>
      </c>
      <c r="J3849" s="35" t="str">
        <f aca="false">IF($A3849="","",IF(Setup!$B$6=1,YEAR($A3849),YEAR($A3849)+IF(MONTH($A3849)&gt;=Setup!$B$6,1,0)))</f>
        <v/>
      </c>
      <c r="K3849" s="35" t="str">
        <f aca="false">IF($A3849="","",MOD(MONTH($A3849)-Setup!$B$6+12,12)+1)</f>
        <v/>
      </c>
      <c r="L3849" s="36" t="str">
        <f aca="false">IF($A3849="","",TEXT($A3849,"MMM-YY"))</f>
        <v/>
      </c>
      <c r="M3849" s="37" t="str">
        <f aca="false">IF($A3849="","",IF($Q3849=0,"UNMAPPED",INDEX(COA_Mapping!$C$7:$C$256,$Q3849)))</f>
        <v/>
      </c>
      <c r="N3849" s="38" t="str">
        <f aca="false">IF($A3849="","",IF($Q3849=0,"",INDEX(COA_Mapping!$E$7:$E$256,$Q3849)))</f>
        <v/>
      </c>
      <c r="O3849" s="38" t="n">
        <f aca="false">IF($A3849="",1,IF($Q3849=0,1,INDEX(COA_Mapping!$F$7:$F$256,$Q3849)))</f>
        <v>1</v>
      </c>
      <c r="P3849" s="34" t="str">
        <f aca="false">IF($A3849="","",$I3849*$O3849)</f>
        <v/>
      </c>
      <c r="Q3849" s="39" t="n">
        <f aca="false">IF($B3849="",0,IFERROR(MATCH($B3849,COA_Mapping!$A$7:$A$256,0),0))</f>
        <v>0</v>
      </c>
      <c r="R3849" s="39" t="n">
        <f aca="false">IF($A3849="",-1,IF($J3849=Setup!$B$7,1,IF($J3849=Setup!$B$9,0,-1)))</f>
        <v>-1</v>
      </c>
      <c r="S3849" s="35" t="n">
        <f aca="false">IF(OR($A3849="",$Q3849=0,$R3849=-1),0,$Q3849*1000+$R3849*100+$K3849)</f>
        <v>0</v>
      </c>
      <c r="T3849" s="37" t="str">
        <f aca="false">IF($A3849="","",IF($B3849="","NO ACCOUNT",IF($Q3849=0,"UNMAPPED",IF($R3849=-1,"OUTSIDE FY RANGE","OK"))))</f>
        <v/>
      </c>
      <c r="U3849" s="40" t="str">
        <f aca="false">IF($A3849="","",$B3849&amp;"|"&amp;TEXT($A3849,"yyyymmdd")&amp;"|"&amp;TEXT($I3849,"0.00"))</f>
        <v/>
      </c>
      <c r="V3849" s="35" t="str">
        <f aca="false">IF($A3849="","",COUNTIF($U$8:$U$5007,$U3849))</f>
        <v/>
      </c>
    </row>
    <row r="3850" customFormat="false" ht="15" hidden="false" customHeight="false" outlineLevel="0" collapsed="false">
      <c r="A3850" s="31"/>
      <c r="B3850" s="32"/>
      <c r="C3850" s="32"/>
      <c r="D3850" s="32"/>
      <c r="E3850" s="32"/>
      <c r="F3850" s="32"/>
      <c r="G3850" s="33"/>
      <c r="H3850" s="33"/>
      <c r="I3850" s="34" t="str">
        <f aca="false">IF($A3850="","",$G3850-$H3850)</f>
        <v/>
      </c>
      <c r="J3850" s="35" t="str">
        <f aca="false">IF($A3850="","",IF(Setup!$B$6=1,YEAR($A3850),YEAR($A3850)+IF(MONTH($A3850)&gt;=Setup!$B$6,1,0)))</f>
        <v/>
      </c>
      <c r="K3850" s="35" t="str">
        <f aca="false">IF($A3850="","",MOD(MONTH($A3850)-Setup!$B$6+12,12)+1)</f>
        <v/>
      </c>
      <c r="L3850" s="36" t="str">
        <f aca="false">IF($A3850="","",TEXT($A3850,"MMM-YY"))</f>
        <v/>
      </c>
      <c r="M3850" s="37" t="str">
        <f aca="false">IF($A3850="","",IF($Q3850=0,"UNMAPPED",INDEX(COA_Mapping!$C$7:$C$256,$Q3850)))</f>
        <v/>
      </c>
      <c r="N3850" s="38" t="str">
        <f aca="false">IF($A3850="","",IF($Q3850=0,"",INDEX(COA_Mapping!$E$7:$E$256,$Q3850)))</f>
        <v/>
      </c>
      <c r="O3850" s="38" t="n">
        <f aca="false">IF($A3850="",1,IF($Q3850=0,1,INDEX(COA_Mapping!$F$7:$F$256,$Q3850)))</f>
        <v>1</v>
      </c>
      <c r="P3850" s="34" t="str">
        <f aca="false">IF($A3850="","",$I3850*$O3850)</f>
        <v/>
      </c>
      <c r="Q3850" s="39" t="n">
        <f aca="false">IF($B3850="",0,IFERROR(MATCH($B3850,COA_Mapping!$A$7:$A$256,0),0))</f>
        <v>0</v>
      </c>
      <c r="R3850" s="39" t="n">
        <f aca="false">IF($A3850="",-1,IF($J3850=Setup!$B$7,1,IF($J3850=Setup!$B$9,0,-1)))</f>
        <v>-1</v>
      </c>
      <c r="S3850" s="35" t="n">
        <f aca="false">IF(OR($A3850="",$Q3850=0,$R3850=-1),0,$Q3850*1000+$R3850*100+$K3850)</f>
        <v>0</v>
      </c>
      <c r="T3850" s="37" t="str">
        <f aca="false">IF($A3850="","",IF($B3850="","NO ACCOUNT",IF($Q3850=0,"UNMAPPED",IF($R3850=-1,"OUTSIDE FY RANGE","OK"))))</f>
        <v/>
      </c>
      <c r="U3850" s="40" t="str">
        <f aca="false">IF($A3850="","",$B3850&amp;"|"&amp;TEXT($A3850,"yyyymmdd")&amp;"|"&amp;TEXT($I3850,"0.00"))</f>
        <v/>
      </c>
      <c r="V3850" s="35" t="str">
        <f aca="false">IF($A3850="","",COUNTIF($U$8:$U$5007,$U3850))</f>
        <v/>
      </c>
    </row>
    <row r="3851" customFormat="false" ht="15" hidden="false" customHeight="false" outlineLevel="0" collapsed="false">
      <c r="A3851" s="31"/>
      <c r="B3851" s="32"/>
      <c r="C3851" s="32"/>
      <c r="D3851" s="32"/>
      <c r="E3851" s="32"/>
      <c r="F3851" s="32"/>
      <c r="G3851" s="33"/>
      <c r="H3851" s="33"/>
      <c r="I3851" s="34" t="str">
        <f aca="false">IF($A3851="","",$G3851-$H3851)</f>
        <v/>
      </c>
      <c r="J3851" s="35" t="str">
        <f aca="false">IF($A3851="","",IF(Setup!$B$6=1,YEAR($A3851),YEAR($A3851)+IF(MONTH($A3851)&gt;=Setup!$B$6,1,0)))</f>
        <v/>
      </c>
      <c r="K3851" s="35" t="str">
        <f aca="false">IF($A3851="","",MOD(MONTH($A3851)-Setup!$B$6+12,12)+1)</f>
        <v/>
      </c>
      <c r="L3851" s="36" t="str">
        <f aca="false">IF($A3851="","",TEXT($A3851,"MMM-YY"))</f>
        <v/>
      </c>
      <c r="M3851" s="37" t="str">
        <f aca="false">IF($A3851="","",IF($Q3851=0,"UNMAPPED",INDEX(COA_Mapping!$C$7:$C$256,$Q3851)))</f>
        <v/>
      </c>
      <c r="N3851" s="38" t="str">
        <f aca="false">IF($A3851="","",IF($Q3851=0,"",INDEX(COA_Mapping!$E$7:$E$256,$Q3851)))</f>
        <v/>
      </c>
      <c r="O3851" s="38" t="n">
        <f aca="false">IF($A3851="",1,IF($Q3851=0,1,INDEX(COA_Mapping!$F$7:$F$256,$Q3851)))</f>
        <v>1</v>
      </c>
      <c r="P3851" s="34" t="str">
        <f aca="false">IF($A3851="","",$I3851*$O3851)</f>
        <v/>
      </c>
      <c r="Q3851" s="39" t="n">
        <f aca="false">IF($B3851="",0,IFERROR(MATCH($B3851,COA_Mapping!$A$7:$A$256,0),0))</f>
        <v>0</v>
      </c>
      <c r="R3851" s="39" t="n">
        <f aca="false">IF($A3851="",-1,IF($J3851=Setup!$B$7,1,IF($J3851=Setup!$B$9,0,-1)))</f>
        <v>-1</v>
      </c>
      <c r="S3851" s="35" t="n">
        <f aca="false">IF(OR($A3851="",$Q3851=0,$R3851=-1),0,$Q3851*1000+$R3851*100+$K3851)</f>
        <v>0</v>
      </c>
      <c r="T3851" s="37" t="str">
        <f aca="false">IF($A3851="","",IF($B3851="","NO ACCOUNT",IF($Q3851=0,"UNMAPPED",IF($R3851=-1,"OUTSIDE FY RANGE","OK"))))</f>
        <v/>
      </c>
      <c r="U3851" s="40" t="str">
        <f aca="false">IF($A3851="","",$B3851&amp;"|"&amp;TEXT($A3851,"yyyymmdd")&amp;"|"&amp;TEXT($I3851,"0.00"))</f>
        <v/>
      </c>
      <c r="V3851" s="35" t="str">
        <f aca="false">IF($A3851="","",COUNTIF($U$8:$U$5007,$U3851))</f>
        <v/>
      </c>
    </row>
    <row r="3852" customFormat="false" ht="15" hidden="false" customHeight="false" outlineLevel="0" collapsed="false">
      <c r="A3852" s="31"/>
      <c r="B3852" s="32"/>
      <c r="C3852" s="32"/>
      <c r="D3852" s="32"/>
      <c r="E3852" s="32"/>
      <c r="F3852" s="32"/>
      <c r="G3852" s="33"/>
      <c r="H3852" s="33"/>
      <c r="I3852" s="34" t="str">
        <f aca="false">IF($A3852="","",$G3852-$H3852)</f>
        <v/>
      </c>
      <c r="J3852" s="35" t="str">
        <f aca="false">IF($A3852="","",IF(Setup!$B$6=1,YEAR($A3852),YEAR($A3852)+IF(MONTH($A3852)&gt;=Setup!$B$6,1,0)))</f>
        <v/>
      </c>
      <c r="K3852" s="35" t="str">
        <f aca="false">IF($A3852="","",MOD(MONTH($A3852)-Setup!$B$6+12,12)+1)</f>
        <v/>
      </c>
      <c r="L3852" s="36" t="str">
        <f aca="false">IF($A3852="","",TEXT($A3852,"MMM-YY"))</f>
        <v/>
      </c>
      <c r="M3852" s="37" t="str">
        <f aca="false">IF($A3852="","",IF($Q3852=0,"UNMAPPED",INDEX(COA_Mapping!$C$7:$C$256,$Q3852)))</f>
        <v/>
      </c>
      <c r="N3852" s="38" t="str">
        <f aca="false">IF($A3852="","",IF($Q3852=0,"",INDEX(COA_Mapping!$E$7:$E$256,$Q3852)))</f>
        <v/>
      </c>
      <c r="O3852" s="38" t="n">
        <f aca="false">IF($A3852="",1,IF($Q3852=0,1,INDEX(COA_Mapping!$F$7:$F$256,$Q3852)))</f>
        <v>1</v>
      </c>
      <c r="P3852" s="34" t="str">
        <f aca="false">IF($A3852="","",$I3852*$O3852)</f>
        <v/>
      </c>
      <c r="Q3852" s="39" t="n">
        <f aca="false">IF($B3852="",0,IFERROR(MATCH($B3852,COA_Mapping!$A$7:$A$256,0),0))</f>
        <v>0</v>
      </c>
      <c r="R3852" s="39" t="n">
        <f aca="false">IF($A3852="",-1,IF($J3852=Setup!$B$7,1,IF($J3852=Setup!$B$9,0,-1)))</f>
        <v>-1</v>
      </c>
      <c r="S3852" s="35" t="n">
        <f aca="false">IF(OR($A3852="",$Q3852=0,$R3852=-1),0,$Q3852*1000+$R3852*100+$K3852)</f>
        <v>0</v>
      </c>
      <c r="T3852" s="37" t="str">
        <f aca="false">IF($A3852="","",IF($B3852="","NO ACCOUNT",IF($Q3852=0,"UNMAPPED",IF($R3852=-1,"OUTSIDE FY RANGE","OK"))))</f>
        <v/>
      </c>
      <c r="U3852" s="40" t="str">
        <f aca="false">IF($A3852="","",$B3852&amp;"|"&amp;TEXT($A3852,"yyyymmdd")&amp;"|"&amp;TEXT($I3852,"0.00"))</f>
        <v/>
      </c>
      <c r="V3852" s="35" t="str">
        <f aca="false">IF($A3852="","",COUNTIF($U$8:$U$5007,$U3852))</f>
        <v/>
      </c>
    </row>
    <row r="3853" customFormat="false" ht="15" hidden="false" customHeight="false" outlineLevel="0" collapsed="false">
      <c r="A3853" s="31"/>
      <c r="B3853" s="32"/>
      <c r="C3853" s="32"/>
      <c r="D3853" s="32"/>
      <c r="E3853" s="32"/>
      <c r="F3853" s="32"/>
      <c r="G3853" s="33"/>
      <c r="H3853" s="33"/>
      <c r="I3853" s="34" t="str">
        <f aca="false">IF($A3853="","",$G3853-$H3853)</f>
        <v/>
      </c>
      <c r="J3853" s="35" t="str">
        <f aca="false">IF($A3853="","",IF(Setup!$B$6=1,YEAR($A3853),YEAR($A3853)+IF(MONTH($A3853)&gt;=Setup!$B$6,1,0)))</f>
        <v/>
      </c>
      <c r="K3853" s="35" t="str">
        <f aca="false">IF($A3853="","",MOD(MONTH($A3853)-Setup!$B$6+12,12)+1)</f>
        <v/>
      </c>
      <c r="L3853" s="36" t="str">
        <f aca="false">IF($A3853="","",TEXT($A3853,"MMM-YY"))</f>
        <v/>
      </c>
      <c r="M3853" s="37" t="str">
        <f aca="false">IF($A3853="","",IF($Q3853=0,"UNMAPPED",INDEX(COA_Mapping!$C$7:$C$256,$Q3853)))</f>
        <v/>
      </c>
      <c r="N3853" s="38" t="str">
        <f aca="false">IF($A3853="","",IF($Q3853=0,"",INDEX(COA_Mapping!$E$7:$E$256,$Q3853)))</f>
        <v/>
      </c>
      <c r="O3853" s="38" t="n">
        <f aca="false">IF($A3853="",1,IF($Q3853=0,1,INDEX(COA_Mapping!$F$7:$F$256,$Q3853)))</f>
        <v>1</v>
      </c>
      <c r="P3853" s="34" t="str">
        <f aca="false">IF($A3853="","",$I3853*$O3853)</f>
        <v/>
      </c>
      <c r="Q3853" s="39" t="n">
        <f aca="false">IF($B3853="",0,IFERROR(MATCH($B3853,COA_Mapping!$A$7:$A$256,0),0))</f>
        <v>0</v>
      </c>
      <c r="R3853" s="39" t="n">
        <f aca="false">IF($A3853="",-1,IF($J3853=Setup!$B$7,1,IF($J3853=Setup!$B$9,0,-1)))</f>
        <v>-1</v>
      </c>
      <c r="S3853" s="35" t="n">
        <f aca="false">IF(OR($A3853="",$Q3853=0,$R3853=-1),0,$Q3853*1000+$R3853*100+$K3853)</f>
        <v>0</v>
      </c>
      <c r="T3853" s="37" t="str">
        <f aca="false">IF($A3853="","",IF($B3853="","NO ACCOUNT",IF($Q3853=0,"UNMAPPED",IF($R3853=-1,"OUTSIDE FY RANGE","OK"))))</f>
        <v/>
      </c>
      <c r="U3853" s="40" t="str">
        <f aca="false">IF($A3853="","",$B3853&amp;"|"&amp;TEXT($A3853,"yyyymmdd")&amp;"|"&amp;TEXT($I3853,"0.00"))</f>
        <v/>
      </c>
      <c r="V3853" s="35" t="str">
        <f aca="false">IF($A3853="","",COUNTIF($U$8:$U$5007,$U3853))</f>
        <v/>
      </c>
    </row>
    <row r="3854" customFormat="false" ht="15" hidden="false" customHeight="false" outlineLevel="0" collapsed="false">
      <c r="A3854" s="31"/>
      <c r="B3854" s="32"/>
      <c r="C3854" s="32"/>
      <c r="D3854" s="32"/>
      <c r="E3854" s="32"/>
      <c r="F3854" s="32"/>
      <c r="G3854" s="33"/>
      <c r="H3854" s="33"/>
      <c r="I3854" s="34" t="str">
        <f aca="false">IF($A3854="","",$G3854-$H3854)</f>
        <v/>
      </c>
      <c r="J3854" s="35" t="str">
        <f aca="false">IF($A3854="","",IF(Setup!$B$6=1,YEAR($A3854),YEAR($A3854)+IF(MONTH($A3854)&gt;=Setup!$B$6,1,0)))</f>
        <v/>
      </c>
      <c r="K3854" s="35" t="str">
        <f aca="false">IF($A3854="","",MOD(MONTH($A3854)-Setup!$B$6+12,12)+1)</f>
        <v/>
      </c>
      <c r="L3854" s="36" t="str">
        <f aca="false">IF($A3854="","",TEXT($A3854,"MMM-YY"))</f>
        <v/>
      </c>
      <c r="M3854" s="37" t="str">
        <f aca="false">IF($A3854="","",IF($Q3854=0,"UNMAPPED",INDEX(COA_Mapping!$C$7:$C$256,$Q3854)))</f>
        <v/>
      </c>
      <c r="N3854" s="38" t="str">
        <f aca="false">IF($A3854="","",IF($Q3854=0,"",INDEX(COA_Mapping!$E$7:$E$256,$Q3854)))</f>
        <v/>
      </c>
      <c r="O3854" s="38" t="n">
        <f aca="false">IF($A3854="",1,IF($Q3854=0,1,INDEX(COA_Mapping!$F$7:$F$256,$Q3854)))</f>
        <v>1</v>
      </c>
      <c r="P3854" s="34" t="str">
        <f aca="false">IF($A3854="","",$I3854*$O3854)</f>
        <v/>
      </c>
      <c r="Q3854" s="39" t="n">
        <f aca="false">IF($B3854="",0,IFERROR(MATCH($B3854,COA_Mapping!$A$7:$A$256,0),0))</f>
        <v>0</v>
      </c>
      <c r="R3854" s="39" t="n">
        <f aca="false">IF($A3854="",-1,IF($J3854=Setup!$B$7,1,IF($J3854=Setup!$B$9,0,-1)))</f>
        <v>-1</v>
      </c>
      <c r="S3854" s="35" t="n">
        <f aca="false">IF(OR($A3854="",$Q3854=0,$R3854=-1),0,$Q3854*1000+$R3854*100+$K3854)</f>
        <v>0</v>
      </c>
      <c r="T3854" s="37" t="str">
        <f aca="false">IF($A3854="","",IF($B3854="","NO ACCOUNT",IF($Q3854=0,"UNMAPPED",IF($R3854=-1,"OUTSIDE FY RANGE","OK"))))</f>
        <v/>
      </c>
      <c r="U3854" s="40" t="str">
        <f aca="false">IF($A3854="","",$B3854&amp;"|"&amp;TEXT($A3854,"yyyymmdd")&amp;"|"&amp;TEXT($I3854,"0.00"))</f>
        <v/>
      </c>
      <c r="V3854" s="35" t="str">
        <f aca="false">IF($A3854="","",COUNTIF($U$8:$U$5007,$U3854))</f>
        <v/>
      </c>
    </row>
    <row r="3855" customFormat="false" ht="15" hidden="false" customHeight="false" outlineLevel="0" collapsed="false">
      <c r="A3855" s="31"/>
      <c r="B3855" s="32"/>
      <c r="C3855" s="32"/>
      <c r="D3855" s="32"/>
      <c r="E3855" s="32"/>
      <c r="F3855" s="32"/>
      <c r="G3855" s="33"/>
      <c r="H3855" s="33"/>
      <c r="I3855" s="34" t="str">
        <f aca="false">IF($A3855="","",$G3855-$H3855)</f>
        <v/>
      </c>
      <c r="J3855" s="35" t="str">
        <f aca="false">IF($A3855="","",IF(Setup!$B$6=1,YEAR($A3855),YEAR($A3855)+IF(MONTH($A3855)&gt;=Setup!$B$6,1,0)))</f>
        <v/>
      </c>
      <c r="K3855" s="35" t="str">
        <f aca="false">IF($A3855="","",MOD(MONTH($A3855)-Setup!$B$6+12,12)+1)</f>
        <v/>
      </c>
      <c r="L3855" s="36" t="str">
        <f aca="false">IF($A3855="","",TEXT($A3855,"MMM-YY"))</f>
        <v/>
      </c>
      <c r="M3855" s="37" t="str">
        <f aca="false">IF($A3855="","",IF($Q3855=0,"UNMAPPED",INDEX(COA_Mapping!$C$7:$C$256,$Q3855)))</f>
        <v/>
      </c>
      <c r="N3855" s="38" t="str">
        <f aca="false">IF($A3855="","",IF($Q3855=0,"",INDEX(COA_Mapping!$E$7:$E$256,$Q3855)))</f>
        <v/>
      </c>
      <c r="O3855" s="38" t="n">
        <f aca="false">IF($A3855="",1,IF($Q3855=0,1,INDEX(COA_Mapping!$F$7:$F$256,$Q3855)))</f>
        <v>1</v>
      </c>
      <c r="P3855" s="34" t="str">
        <f aca="false">IF($A3855="","",$I3855*$O3855)</f>
        <v/>
      </c>
      <c r="Q3855" s="39" t="n">
        <f aca="false">IF($B3855="",0,IFERROR(MATCH($B3855,COA_Mapping!$A$7:$A$256,0),0))</f>
        <v>0</v>
      </c>
      <c r="R3855" s="39" t="n">
        <f aca="false">IF($A3855="",-1,IF($J3855=Setup!$B$7,1,IF($J3855=Setup!$B$9,0,-1)))</f>
        <v>-1</v>
      </c>
      <c r="S3855" s="35" t="n">
        <f aca="false">IF(OR($A3855="",$Q3855=0,$R3855=-1),0,$Q3855*1000+$R3855*100+$K3855)</f>
        <v>0</v>
      </c>
      <c r="T3855" s="37" t="str">
        <f aca="false">IF($A3855="","",IF($B3855="","NO ACCOUNT",IF($Q3855=0,"UNMAPPED",IF($R3855=-1,"OUTSIDE FY RANGE","OK"))))</f>
        <v/>
      </c>
      <c r="U3855" s="40" t="str">
        <f aca="false">IF($A3855="","",$B3855&amp;"|"&amp;TEXT($A3855,"yyyymmdd")&amp;"|"&amp;TEXT($I3855,"0.00"))</f>
        <v/>
      </c>
      <c r="V3855" s="35" t="str">
        <f aca="false">IF($A3855="","",COUNTIF($U$8:$U$5007,$U3855))</f>
        <v/>
      </c>
    </row>
    <row r="3856" customFormat="false" ht="15" hidden="false" customHeight="false" outlineLevel="0" collapsed="false">
      <c r="A3856" s="31"/>
      <c r="B3856" s="32"/>
      <c r="C3856" s="32"/>
      <c r="D3856" s="32"/>
      <c r="E3856" s="32"/>
      <c r="F3856" s="32"/>
      <c r="G3856" s="33"/>
      <c r="H3856" s="33"/>
      <c r="I3856" s="34" t="str">
        <f aca="false">IF($A3856="","",$G3856-$H3856)</f>
        <v/>
      </c>
      <c r="J3856" s="35" t="str">
        <f aca="false">IF($A3856="","",IF(Setup!$B$6=1,YEAR($A3856),YEAR($A3856)+IF(MONTH($A3856)&gt;=Setup!$B$6,1,0)))</f>
        <v/>
      </c>
      <c r="K3856" s="35" t="str">
        <f aca="false">IF($A3856="","",MOD(MONTH($A3856)-Setup!$B$6+12,12)+1)</f>
        <v/>
      </c>
      <c r="L3856" s="36" t="str">
        <f aca="false">IF($A3856="","",TEXT($A3856,"MMM-YY"))</f>
        <v/>
      </c>
      <c r="M3856" s="37" t="str">
        <f aca="false">IF($A3856="","",IF($Q3856=0,"UNMAPPED",INDEX(COA_Mapping!$C$7:$C$256,$Q3856)))</f>
        <v/>
      </c>
      <c r="N3856" s="38" t="str">
        <f aca="false">IF($A3856="","",IF($Q3856=0,"",INDEX(COA_Mapping!$E$7:$E$256,$Q3856)))</f>
        <v/>
      </c>
      <c r="O3856" s="38" t="n">
        <f aca="false">IF($A3856="",1,IF($Q3856=0,1,INDEX(COA_Mapping!$F$7:$F$256,$Q3856)))</f>
        <v>1</v>
      </c>
      <c r="P3856" s="34" t="str">
        <f aca="false">IF($A3856="","",$I3856*$O3856)</f>
        <v/>
      </c>
      <c r="Q3856" s="39" t="n">
        <f aca="false">IF($B3856="",0,IFERROR(MATCH($B3856,COA_Mapping!$A$7:$A$256,0),0))</f>
        <v>0</v>
      </c>
      <c r="R3856" s="39" t="n">
        <f aca="false">IF($A3856="",-1,IF($J3856=Setup!$B$7,1,IF($J3856=Setup!$B$9,0,-1)))</f>
        <v>-1</v>
      </c>
      <c r="S3856" s="35" t="n">
        <f aca="false">IF(OR($A3856="",$Q3856=0,$R3856=-1),0,$Q3856*1000+$R3856*100+$K3856)</f>
        <v>0</v>
      </c>
      <c r="T3856" s="37" t="str">
        <f aca="false">IF($A3856="","",IF($B3856="","NO ACCOUNT",IF($Q3856=0,"UNMAPPED",IF($R3856=-1,"OUTSIDE FY RANGE","OK"))))</f>
        <v/>
      </c>
      <c r="U3856" s="40" t="str">
        <f aca="false">IF($A3856="","",$B3856&amp;"|"&amp;TEXT($A3856,"yyyymmdd")&amp;"|"&amp;TEXT($I3856,"0.00"))</f>
        <v/>
      </c>
      <c r="V3856" s="35" t="str">
        <f aca="false">IF($A3856="","",COUNTIF($U$8:$U$5007,$U3856))</f>
        <v/>
      </c>
    </row>
    <row r="3857" customFormat="false" ht="15" hidden="false" customHeight="false" outlineLevel="0" collapsed="false">
      <c r="A3857" s="31"/>
      <c r="B3857" s="32"/>
      <c r="C3857" s="32"/>
      <c r="D3857" s="32"/>
      <c r="E3857" s="32"/>
      <c r="F3857" s="32"/>
      <c r="G3857" s="33"/>
      <c r="H3857" s="33"/>
      <c r="I3857" s="34" t="str">
        <f aca="false">IF($A3857="","",$G3857-$H3857)</f>
        <v/>
      </c>
      <c r="J3857" s="35" t="str">
        <f aca="false">IF($A3857="","",IF(Setup!$B$6=1,YEAR($A3857),YEAR($A3857)+IF(MONTH($A3857)&gt;=Setup!$B$6,1,0)))</f>
        <v/>
      </c>
      <c r="K3857" s="35" t="str">
        <f aca="false">IF($A3857="","",MOD(MONTH($A3857)-Setup!$B$6+12,12)+1)</f>
        <v/>
      </c>
      <c r="L3857" s="36" t="str">
        <f aca="false">IF($A3857="","",TEXT($A3857,"MMM-YY"))</f>
        <v/>
      </c>
      <c r="M3857" s="37" t="str">
        <f aca="false">IF($A3857="","",IF($Q3857=0,"UNMAPPED",INDEX(COA_Mapping!$C$7:$C$256,$Q3857)))</f>
        <v/>
      </c>
      <c r="N3857" s="38" t="str">
        <f aca="false">IF($A3857="","",IF($Q3857=0,"",INDEX(COA_Mapping!$E$7:$E$256,$Q3857)))</f>
        <v/>
      </c>
      <c r="O3857" s="38" t="n">
        <f aca="false">IF($A3857="",1,IF($Q3857=0,1,INDEX(COA_Mapping!$F$7:$F$256,$Q3857)))</f>
        <v>1</v>
      </c>
      <c r="P3857" s="34" t="str">
        <f aca="false">IF($A3857="","",$I3857*$O3857)</f>
        <v/>
      </c>
      <c r="Q3857" s="39" t="n">
        <f aca="false">IF($B3857="",0,IFERROR(MATCH($B3857,COA_Mapping!$A$7:$A$256,0),0))</f>
        <v>0</v>
      </c>
      <c r="R3857" s="39" t="n">
        <f aca="false">IF($A3857="",-1,IF($J3857=Setup!$B$7,1,IF($J3857=Setup!$B$9,0,-1)))</f>
        <v>-1</v>
      </c>
      <c r="S3857" s="35" t="n">
        <f aca="false">IF(OR($A3857="",$Q3857=0,$R3857=-1),0,$Q3857*1000+$R3857*100+$K3857)</f>
        <v>0</v>
      </c>
      <c r="T3857" s="37" t="str">
        <f aca="false">IF($A3857="","",IF($B3857="","NO ACCOUNT",IF($Q3857=0,"UNMAPPED",IF($R3857=-1,"OUTSIDE FY RANGE","OK"))))</f>
        <v/>
      </c>
      <c r="U3857" s="40" t="str">
        <f aca="false">IF($A3857="","",$B3857&amp;"|"&amp;TEXT($A3857,"yyyymmdd")&amp;"|"&amp;TEXT($I3857,"0.00"))</f>
        <v/>
      </c>
      <c r="V3857" s="35" t="str">
        <f aca="false">IF($A3857="","",COUNTIF($U$8:$U$5007,$U3857))</f>
        <v/>
      </c>
    </row>
    <row r="3858" customFormat="false" ht="15" hidden="false" customHeight="false" outlineLevel="0" collapsed="false">
      <c r="A3858" s="31"/>
      <c r="B3858" s="32"/>
      <c r="C3858" s="32"/>
      <c r="D3858" s="32"/>
      <c r="E3858" s="32"/>
      <c r="F3858" s="32"/>
      <c r="G3858" s="33"/>
      <c r="H3858" s="33"/>
      <c r="I3858" s="34" t="str">
        <f aca="false">IF($A3858="","",$G3858-$H3858)</f>
        <v/>
      </c>
      <c r="J3858" s="35" t="str">
        <f aca="false">IF($A3858="","",IF(Setup!$B$6=1,YEAR($A3858),YEAR($A3858)+IF(MONTH($A3858)&gt;=Setup!$B$6,1,0)))</f>
        <v/>
      </c>
      <c r="K3858" s="35" t="str">
        <f aca="false">IF($A3858="","",MOD(MONTH($A3858)-Setup!$B$6+12,12)+1)</f>
        <v/>
      </c>
      <c r="L3858" s="36" t="str">
        <f aca="false">IF($A3858="","",TEXT($A3858,"MMM-YY"))</f>
        <v/>
      </c>
      <c r="M3858" s="37" t="str">
        <f aca="false">IF($A3858="","",IF($Q3858=0,"UNMAPPED",INDEX(COA_Mapping!$C$7:$C$256,$Q3858)))</f>
        <v/>
      </c>
      <c r="N3858" s="38" t="str">
        <f aca="false">IF($A3858="","",IF($Q3858=0,"",INDEX(COA_Mapping!$E$7:$E$256,$Q3858)))</f>
        <v/>
      </c>
      <c r="O3858" s="38" t="n">
        <f aca="false">IF($A3858="",1,IF($Q3858=0,1,INDEX(COA_Mapping!$F$7:$F$256,$Q3858)))</f>
        <v>1</v>
      </c>
      <c r="P3858" s="34" t="str">
        <f aca="false">IF($A3858="","",$I3858*$O3858)</f>
        <v/>
      </c>
      <c r="Q3858" s="39" t="n">
        <f aca="false">IF($B3858="",0,IFERROR(MATCH($B3858,COA_Mapping!$A$7:$A$256,0),0))</f>
        <v>0</v>
      </c>
      <c r="R3858" s="39" t="n">
        <f aca="false">IF($A3858="",-1,IF($J3858=Setup!$B$7,1,IF($J3858=Setup!$B$9,0,-1)))</f>
        <v>-1</v>
      </c>
      <c r="S3858" s="35" t="n">
        <f aca="false">IF(OR($A3858="",$Q3858=0,$R3858=-1),0,$Q3858*1000+$R3858*100+$K3858)</f>
        <v>0</v>
      </c>
      <c r="T3858" s="37" t="str">
        <f aca="false">IF($A3858="","",IF($B3858="","NO ACCOUNT",IF($Q3858=0,"UNMAPPED",IF($R3858=-1,"OUTSIDE FY RANGE","OK"))))</f>
        <v/>
      </c>
      <c r="U3858" s="40" t="str">
        <f aca="false">IF($A3858="","",$B3858&amp;"|"&amp;TEXT($A3858,"yyyymmdd")&amp;"|"&amp;TEXT($I3858,"0.00"))</f>
        <v/>
      </c>
      <c r="V3858" s="35" t="str">
        <f aca="false">IF($A3858="","",COUNTIF($U$8:$U$5007,$U3858))</f>
        <v/>
      </c>
    </row>
    <row r="3859" customFormat="false" ht="15" hidden="false" customHeight="false" outlineLevel="0" collapsed="false">
      <c r="A3859" s="31"/>
      <c r="B3859" s="32"/>
      <c r="C3859" s="32"/>
      <c r="D3859" s="32"/>
      <c r="E3859" s="32"/>
      <c r="F3859" s="32"/>
      <c r="G3859" s="33"/>
      <c r="H3859" s="33"/>
      <c r="I3859" s="34" t="str">
        <f aca="false">IF($A3859="","",$G3859-$H3859)</f>
        <v/>
      </c>
      <c r="J3859" s="35" t="str">
        <f aca="false">IF($A3859="","",IF(Setup!$B$6=1,YEAR($A3859),YEAR($A3859)+IF(MONTH($A3859)&gt;=Setup!$B$6,1,0)))</f>
        <v/>
      </c>
      <c r="K3859" s="35" t="str">
        <f aca="false">IF($A3859="","",MOD(MONTH($A3859)-Setup!$B$6+12,12)+1)</f>
        <v/>
      </c>
      <c r="L3859" s="36" t="str">
        <f aca="false">IF($A3859="","",TEXT($A3859,"MMM-YY"))</f>
        <v/>
      </c>
      <c r="M3859" s="37" t="str">
        <f aca="false">IF($A3859="","",IF($Q3859=0,"UNMAPPED",INDEX(COA_Mapping!$C$7:$C$256,$Q3859)))</f>
        <v/>
      </c>
      <c r="N3859" s="38" t="str">
        <f aca="false">IF($A3859="","",IF($Q3859=0,"",INDEX(COA_Mapping!$E$7:$E$256,$Q3859)))</f>
        <v/>
      </c>
      <c r="O3859" s="38" t="n">
        <f aca="false">IF($A3859="",1,IF($Q3859=0,1,INDEX(COA_Mapping!$F$7:$F$256,$Q3859)))</f>
        <v>1</v>
      </c>
      <c r="P3859" s="34" t="str">
        <f aca="false">IF($A3859="","",$I3859*$O3859)</f>
        <v/>
      </c>
      <c r="Q3859" s="39" t="n">
        <f aca="false">IF($B3859="",0,IFERROR(MATCH($B3859,COA_Mapping!$A$7:$A$256,0),0))</f>
        <v>0</v>
      </c>
      <c r="R3859" s="39" t="n">
        <f aca="false">IF($A3859="",-1,IF($J3859=Setup!$B$7,1,IF($J3859=Setup!$B$9,0,-1)))</f>
        <v>-1</v>
      </c>
      <c r="S3859" s="35" t="n">
        <f aca="false">IF(OR($A3859="",$Q3859=0,$R3859=-1),0,$Q3859*1000+$R3859*100+$K3859)</f>
        <v>0</v>
      </c>
      <c r="T3859" s="37" t="str">
        <f aca="false">IF($A3859="","",IF($B3859="","NO ACCOUNT",IF($Q3859=0,"UNMAPPED",IF($R3859=-1,"OUTSIDE FY RANGE","OK"))))</f>
        <v/>
      </c>
      <c r="U3859" s="40" t="str">
        <f aca="false">IF($A3859="","",$B3859&amp;"|"&amp;TEXT($A3859,"yyyymmdd")&amp;"|"&amp;TEXT($I3859,"0.00"))</f>
        <v/>
      </c>
      <c r="V3859" s="35" t="str">
        <f aca="false">IF($A3859="","",COUNTIF($U$8:$U$5007,$U3859))</f>
        <v/>
      </c>
    </row>
    <row r="3860" customFormat="false" ht="15" hidden="false" customHeight="false" outlineLevel="0" collapsed="false">
      <c r="A3860" s="31"/>
      <c r="B3860" s="32"/>
      <c r="C3860" s="32"/>
      <c r="D3860" s="32"/>
      <c r="E3860" s="32"/>
      <c r="F3860" s="32"/>
      <c r="G3860" s="33"/>
      <c r="H3860" s="33"/>
      <c r="I3860" s="34" t="str">
        <f aca="false">IF($A3860="","",$G3860-$H3860)</f>
        <v/>
      </c>
      <c r="J3860" s="35" t="str">
        <f aca="false">IF($A3860="","",IF(Setup!$B$6=1,YEAR($A3860),YEAR($A3860)+IF(MONTH($A3860)&gt;=Setup!$B$6,1,0)))</f>
        <v/>
      </c>
      <c r="K3860" s="35" t="str">
        <f aca="false">IF($A3860="","",MOD(MONTH($A3860)-Setup!$B$6+12,12)+1)</f>
        <v/>
      </c>
      <c r="L3860" s="36" t="str">
        <f aca="false">IF($A3860="","",TEXT($A3860,"MMM-YY"))</f>
        <v/>
      </c>
      <c r="M3860" s="37" t="str">
        <f aca="false">IF($A3860="","",IF($Q3860=0,"UNMAPPED",INDEX(COA_Mapping!$C$7:$C$256,$Q3860)))</f>
        <v/>
      </c>
      <c r="N3860" s="38" t="str">
        <f aca="false">IF($A3860="","",IF($Q3860=0,"",INDEX(COA_Mapping!$E$7:$E$256,$Q3860)))</f>
        <v/>
      </c>
      <c r="O3860" s="38" t="n">
        <f aca="false">IF($A3860="",1,IF($Q3860=0,1,INDEX(COA_Mapping!$F$7:$F$256,$Q3860)))</f>
        <v>1</v>
      </c>
      <c r="P3860" s="34" t="str">
        <f aca="false">IF($A3860="","",$I3860*$O3860)</f>
        <v/>
      </c>
      <c r="Q3860" s="39" t="n">
        <f aca="false">IF($B3860="",0,IFERROR(MATCH($B3860,COA_Mapping!$A$7:$A$256,0),0))</f>
        <v>0</v>
      </c>
      <c r="R3860" s="39" t="n">
        <f aca="false">IF($A3860="",-1,IF($J3860=Setup!$B$7,1,IF($J3860=Setup!$B$9,0,-1)))</f>
        <v>-1</v>
      </c>
      <c r="S3860" s="35" t="n">
        <f aca="false">IF(OR($A3860="",$Q3860=0,$R3860=-1),0,$Q3860*1000+$R3860*100+$K3860)</f>
        <v>0</v>
      </c>
      <c r="T3860" s="37" t="str">
        <f aca="false">IF($A3860="","",IF($B3860="","NO ACCOUNT",IF($Q3860=0,"UNMAPPED",IF($R3860=-1,"OUTSIDE FY RANGE","OK"))))</f>
        <v/>
      </c>
      <c r="U3860" s="40" t="str">
        <f aca="false">IF($A3860="","",$B3860&amp;"|"&amp;TEXT($A3860,"yyyymmdd")&amp;"|"&amp;TEXT($I3860,"0.00"))</f>
        <v/>
      </c>
      <c r="V3860" s="35" t="str">
        <f aca="false">IF($A3860="","",COUNTIF($U$8:$U$5007,$U3860))</f>
        <v/>
      </c>
    </row>
    <row r="3861" customFormat="false" ht="15" hidden="false" customHeight="false" outlineLevel="0" collapsed="false">
      <c r="A3861" s="31"/>
      <c r="B3861" s="32"/>
      <c r="C3861" s="32"/>
      <c r="D3861" s="32"/>
      <c r="E3861" s="32"/>
      <c r="F3861" s="32"/>
      <c r="G3861" s="33"/>
      <c r="H3861" s="33"/>
      <c r="I3861" s="34" t="str">
        <f aca="false">IF($A3861="","",$G3861-$H3861)</f>
        <v/>
      </c>
      <c r="J3861" s="35" t="str">
        <f aca="false">IF($A3861="","",IF(Setup!$B$6=1,YEAR($A3861),YEAR($A3861)+IF(MONTH($A3861)&gt;=Setup!$B$6,1,0)))</f>
        <v/>
      </c>
      <c r="K3861" s="35" t="str">
        <f aca="false">IF($A3861="","",MOD(MONTH($A3861)-Setup!$B$6+12,12)+1)</f>
        <v/>
      </c>
      <c r="L3861" s="36" t="str">
        <f aca="false">IF($A3861="","",TEXT($A3861,"MMM-YY"))</f>
        <v/>
      </c>
      <c r="M3861" s="37" t="str">
        <f aca="false">IF($A3861="","",IF($Q3861=0,"UNMAPPED",INDEX(COA_Mapping!$C$7:$C$256,$Q3861)))</f>
        <v/>
      </c>
      <c r="N3861" s="38" t="str">
        <f aca="false">IF($A3861="","",IF($Q3861=0,"",INDEX(COA_Mapping!$E$7:$E$256,$Q3861)))</f>
        <v/>
      </c>
      <c r="O3861" s="38" t="n">
        <f aca="false">IF($A3861="",1,IF($Q3861=0,1,INDEX(COA_Mapping!$F$7:$F$256,$Q3861)))</f>
        <v>1</v>
      </c>
      <c r="P3861" s="34" t="str">
        <f aca="false">IF($A3861="","",$I3861*$O3861)</f>
        <v/>
      </c>
      <c r="Q3861" s="39" t="n">
        <f aca="false">IF($B3861="",0,IFERROR(MATCH($B3861,COA_Mapping!$A$7:$A$256,0),0))</f>
        <v>0</v>
      </c>
      <c r="R3861" s="39" t="n">
        <f aca="false">IF($A3861="",-1,IF($J3861=Setup!$B$7,1,IF($J3861=Setup!$B$9,0,-1)))</f>
        <v>-1</v>
      </c>
      <c r="S3861" s="35" t="n">
        <f aca="false">IF(OR($A3861="",$Q3861=0,$R3861=-1),0,$Q3861*1000+$R3861*100+$K3861)</f>
        <v>0</v>
      </c>
      <c r="T3861" s="37" t="str">
        <f aca="false">IF($A3861="","",IF($B3861="","NO ACCOUNT",IF($Q3861=0,"UNMAPPED",IF($R3861=-1,"OUTSIDE FY RANGE","OK"))))</f>
        <v/>
      </c>
      <c r="U3861" s="40" t="str">
        <f aca="false">IF($A3861="","",$B3861&amp;"|"&amp;TEXT($A3861,"yyyymmdd")&amp;"|"&amp;TEXT($I3861,"0.00"))</f>
        <v/>
      </c>
      <c r="V3861" s="35" t="str">
        <f aca="false">IF($A3861="","",COUNTIF($U$8:$U$5007,$U3861))</f>
        <v/>
      </c>
    </row>
    <row r="3862" customFormat="false" ht="15" hidden="false" customHeight="false" outlineLevel="0" collapsed="false">
      <c r="A3862" s="31"/>
      <c r="B3862" s="32"/>
      <c r="C3862" s="32"/>
      <c r="D3862" s="32"/>
      <c r="E3862" s="32"/>
      <c r="F3862" s="32"/>
      <c r="G3862" s="33"/>
      <c r="H3862" s="33"/>
      <c r="I3862" s="34" t="str">
        <f aca="false">IF($A3862="","",$G3862-$H3862)</f>
        <v/>
      </c>
      <c r="J3862" s="35" t="str">
        <f aca="false">IF($A3862="","",IF(Setup!$B$6=1,YEAR($A3862),YEAR($A3862)+IF(MONTH($A3862)&gt;=Setup!$B$6,1,0)))</f>
        <v/>
      </c>
      <c r="K3862" s="35" t="str">
        <f aca="false">IF($A3862="","",MOD(MONTH($A3862)-Setup!$B$6+12,12)+1)</f>
        <v/>
      </c>
      <c r="L3862" s="36" t="str">
        <f aca="false">IF($A3862="","",TEXT($A3862,"MMM-YY"))</f>
        <v/>
      </c>
      <c r="M3862" s="37" t="str">
        <f aca="false">IF($A3862="","",IF($Q3862=0,"UNMAPPED",INDEX(COA_Mapping!$C$7:$C$256,$Q3862)))</f>
        <v/>
      </c>
      <c r="N3862" s="38" t="str">
        <f aca="false">IF($A3862="","",IF($Q3862=0,"",INDEX(COA_Mapping!$E$7:$E$256,$Q3862)))</f>
        <v/>
      </c>
      <c r="O3862" s="38" t="n">
        <f aca="false">IF($A3862="",1,IF($Q3862=0,1,INDEX(COA_Mapping!$F$7:$F$256,$Q3862)))</f>
        <v>1</v>
      </c>
      <c r="P3862" s="34" t="str">
        <f aca="false">IF($A3862="","",$I3862*$O3862)</f>
        <v/>
      </c>
      <c r="Q3862" s="39" t="n">
        <f aca="false">IF($B3862="",0,IFERROR(MATCH($B3862,COA_Mapping!$A$7:$A$256,0),0))</f>
        <v>0</v>
      </c>
      <c r="R3862" s="39" t="n">
        <f aca="false">IF($A3862="",-1,IF($J3862=Setup!$B$7,1,IF($J3862=Setup!$B$9,0,-1)))</f>
        <v>-1</v>
      </c>
      <c r="S3862" s="35" t="n">
        <f aca="false">IF(OR($A3862="",$Q3862=0,$R3862=-1),0,$Q3862*1000+$R3862*100+$K3862)</f>
        <v>0</v>
      </c>
      <c r="T3862" s="37" t="str">
        <f aca="false">IF($A3862="","",IF($B3862="","NO ACCOUNT",IF($Q3862=0,"UNMAPPED",IF($R3862=-1,"OUTSIDE FY RANGE","OK"))))</f>
        <v/>
      </c>
      <c r="U3862" s="40" t="str">
        <f aca="false">IF($A3862="","",$B3862&amp;"|"&amp;TEXT($A3862,"yyyymmdd")&amp;"|"&amp;TEXT($I3862,"0.00"))</f>
        <v/>
      </c>
      <c r="V3862" s="35" t="str">
        <f aca="false">IF($A3862="","",COUNTIF($U$8:$U$5007,$U3862))</f>
        <v/>
      </c>
    </row>
    <row r="3863" customFormat="false" ht="15" hidden="false" customHeight="false" outlineLevel="0" collapsed="false">
      <c r="A3863" s="31"/>
      <c r="B3863" s="32"/>
      <c r="C3863" s="32"/>
      <c r="D3863" s="32"/>
      <c r="E3863" s="32"/>
      <c r="F3863" s="32"/>
      <c r="G3863" s="33"/>
      <c r="H3863" s="33"/>
      <c r="I3863" s="34" t="str">
        <f aca="false">IF($A3863="","",$G3863-$H3863)</f>
        <v/>
      </c>
      <c r="J3863" s="35" t="str">
        <f aca="false">IF($A3863="","",IF(Setup!$B$6=1,YEAR($A3863),YEAR($A3863)+IF(MONTH($A3863)&gt;=Setup!$B$6,1,0)))</f>
        <v/>
      </c>
      <c r="K3863" s="35" t="str">
        <f aca="false">IF($A3863="","",MOD(MONTH($A3863)-Setup!$B$6+12,12)+1)</f>
        <v/>
      </c>
      <c r="L3863" s="36" t="str">
        <f aca="false">IF($A3863="","",TEXT($A3863,"MMM-YY"))</f>
        <v/>
      </c>
      <c r="M3863" s="37" t="str">
        <f aca="false">IF($A3863="","",IF($Q3863=0,"UNMAPPED",INDEX(COA_Mapping!$C$7:$C$256,$Q3863)))</f>
        <v/>
      </c>
      <c r="N3863" s="38" t="str">
        <f aca="false">IF($A3863="","",IF($Q3863=0,"",INDEX(COA_Mapping!$E$7:$E$256,$Q3863)))</f>
        <v/>
      </c>
      <c r="O3863" s="38" t="n">
        <f aca="false">IF($A3863="",1,IF($Q3863=0,1,INDEX(COA_Mapping!$F$7:$F$256,$Q3863)))</f>
        <v>1</v>
      </c>
      <c r="P3863" s="34" t="str">
        <f aca="false">IF($A3863="","",$I3863*$O3863)</f>
        <v/>
      </c>
      <c r="Q3863" s="39" t="n">
        <f aca="false">IF($B3863="",0,IFERROR(MATCH($B3863,COA_Mapping!$A$7:$A$256,0),0))</f>
        <v>0</v>
      </c>
      <c r="R3863" s="39" t="n">
        <f aca="false">IF($A3863="",-1,IF($J3863=Setup!$B$7,1,IF($J3863=Setup!$B$9,0,-1)))</f>
        <v>-1</v>
      </c>
      <c r="S3863" s="35" t="n">
        <f aca="false">IF(OR($A3863="",$Q3863=0,$R3863=-1),0,$Q3863*1000+$R3863*100+$K3863)</f>
        <v>0</v>
      </c>
      <c r="T3863" s="37" t="str">
        <f aca="false">IF($A3863="","",IF($B3863="","NO ACCOUNT",IF($Q3863=0,"UNMAPPED",IF($R3863=-1,"OUTSIDE FY RANGE","OK"))))</f>
        <v/>
      </c>
      <c r="U3863" s="40" t="str">
        <f aca="false">IF($A3863="","",$B3863&amp;"|"&amp;TEXT($A3863,"yyyymmdd")&amp;"|"&amp;TEXT($I3863,"0.00"))</f>
        <v/>
      </c>
      <c r="V3863" s="35" t="str">
        <f aca="false">IF($A3863="","",COUNTIF($U$8:$U$5007,$U3863))</f>
        <v/>
      </c>
    </row>
    <row r="3864" customFormat="false" ht="15" hidden="false" customHeight="false" outlineLevel="0" collapsed="false">
      <c r="A3864" s="31"/>
      <c r="B3864" s="32"/>
      <c r="C3864" s="32"/>
      <c r="D3864" s="32"/>
      <c r="E3864" s="32"/>
      <c r="F3864" s="32"/>
      <c r="G3864" s="33"/>
      <c r="H3864" s="33"/>
      <c r="I3864" s="34" t="str">
        <f aca="false">IF($A3864="","",$G3864-$H3864)</f>
        <v/>
      </c>
      <c r="J3864" s="35" t="str">
        <f aca="false">IF($A3864="","",IF(Setup!$B$6=1,YEAR($A3864),YEAR($A3864)+IF(MONTH($A3864)&gt;=Setup!$B$6,1,0)))</f>
        <v/>
      </c>
      <c r="K3864" s="35" t="str">
        <f aca="false">IF($A3864="","",MOD(MONTH($A3864)-Setup!$B$6+12,12)+1)</f>
        <v/>
      </c>
      <c r="L3864" s="36" t="str">
        <f aca="false">IF($A3864="","",TEXT($A3864,"MMM-YY"))</f>
        <v/>
      </c>
      <c r="M3864" s="37" t="str">
        <f aca="false">IF($A3864="","",IF($Q3864=0,"UNMAPPED",INDEX(COA_Mapping!$C$7:$C$256,$Q3864)))</f>
        <v/>
      </c>
      <c r="N3864" s="38" t="str">
        <f aca="false">IF($A3864="","",IF($Q3864=0,"",INDEX(COA_Mapping!$E$7:$E$256,$Q3864)))</f>
        <v/>
      </c>
      <c r="O3864" s="38" t="n">
        <f aca="false">IF($A3864="",1,IF($Q3864=0,1,INDEX(COA_Mapping!$F$7:$F$256,$Q3864)))</f>
        <v>1</v>
      </c>
      <c r="P3864" s="34" t="str">
        <f aca="false">IF($A3864="","",$I3864*$O3864)</f>
        <v/>
      </c>
      <c r="Q3864" s="39" t="n">
        <f aca="false">IF($B3864="",0,IFERROR(MATCH($B3864,COA_Mapping!$A$7:$A$256,0),0))</f>
        <v>0</v>
      </c>
      <c r="R3864" s="39" t="n">
        <f aca="false">IF($A3864="",-1,IF($J3864=Setup!$B$7,1,IF($J3864=Setup!$B$9,0,-1)))</f>
        <v>-1</v>
      </c>
      <c r="S3864" s="35" t="n">
        <f aca="false">IF(OR($A3864="",$Q3864=0,$R3864=-1),0,$Q3864*1000+$R3864*100+$K3864)</f>
        <v>0</v>
      </c>
      <c r="T3864" s="37" t="str">
        <f aca="false">IF($A3864="","",IF($B3864="","NO ACCOUNT",IF($Q3864=0,"UNMAPPED",IF($R3864=-1,"OUTSIDE FY RANGE","OK"))))</f>
        <v/>
      </c>
      <c r="U3864" s="40" t="str">
        <f aca="false">IF($A3864="","",$B3864&amp;"|"&amp;TEXT($A3864,"yyyymmdd")&amp;"|"&amp;TEXT($I3864,"0.00"))</f>
        <v/>
      </c>
      <c r="V3864" s="35" t="str">
        <f aca="false">IF($A3864="","",COUNTIF($U$8:$U$5007,$U3864))</f>
        <v/>
      </c>
    </row>
    <row r="3865" customFormat="false" ht="15" hidden="false" customHeight="false" outlineLevel="0" collapsed="false">
      <c r="A3865" s="31"/>
      <c r="B3865" s="32"/>
      <c r="C3865" s="32"/>
      <c r="D3865" s="32"/>
      <c r="E3865" s="32"/>
      <c r="F3865" s="32"/>
      <c r="G3865" s="33"/>
      <c r="H3865" s="33"/>
      <c r="I3865" s="34" t="str">
        <f aca="false">IF($A3865="","",$G3865-$H3865)</f>
        <v/>
      </c>
      <c r="J3865" s="35" t="str">
        <f aca="false">IF($A3865="","",IF(Setup!$B$6=1,YEAR($A3865),YEAR($A3865)+IF(MONTH($A3865)&gt;=Setup!$B$6,1,0)))</f>
        <v/>
      </c>
      <c r="K3865" s="35" t="str">
        <f aca="false">IF($A3865="","",MOD(MONTH($A3865)-Setup!$B$6+12,12)+1)</f>
        <v/>
      </c>
      <c r="L3865" s="36" t="str">
        <f aca="false">IF($A3865="","",TEXT($A3865,"MMM-YY"))</f>
        <v/>
      </c>
      <c r="M3865" s="37" t="str">
        <f aca="false">IF($A3865="","",IF($Q3865=0,"UNMAPPED",INDEX(COA_Mapping!$C$7:$C$256,$Q3865)))</f>
        <v/>
      </c>
      <c r="N3865" s="38" t="str">
        <f aca="false">IF($A3865="","",IF($Q3865=0,"",INDEX(COA_Mapping!$E$7:$E$256,$Q3865)))</f>
        <v/>
      </c>
      <c r="O3865" s="38" t="n">
        <f aca="false">IF($A3865="",1,IF($Q3865=0,1,INDEX(COA_Mapping!$F$7:$F$256,$Q3865)))</f>
        <v>1</v>
      </c>
      <c r="P3865" s="34" t="str">
        <f aca="false">IF($A3865="","",$I3865*$O3865)</f>
        <v/>
      </c>
      <c r="Q3865" s="39" t="n">
        <f aca="false">IF($B3865="",0,IFERROR(MATCH($B3865,COA_Mapping!$A$7:$A$256,0),0))</f>
        <v>0</v>
      </c>
      <c r="R3865" s="39" t="n">
        <f aca="false">IF($A3865="",-1,IF($J3865=Setup!$B$7,1,IF($J3865=Setup!$B$9,0,-1)))</f>
        <v>-1</v>
      </c>
      <c r="S3865" s="35" t="n">
        <f aca="false">IF(OR($A3865="",$Q3865=0,$R3865=-1),0,$Q3865*1000+$R3865*100+$K3865)</f>
        <v>0</v>
      </c>
      <c r="T3865" s="37" t="str">
        <f aca="false">IF($A3865="","",IF($B3865="","NO ACCOUNT",IF($Q3865=0,"UNMAPPED",IF($R3865=-1,"OUTSIDE FY RANGE","OK"))))</f>
        <v/>
      </c>
      <c r="U3865" s="40" t="str">
        <f aca="false">IF($A3865="","",$B3865&amp;"|"&amp;TEXT($A3865,"yyyymmdd")&amp;"|"&amp;TEXT($I3865,"0.00"))</f>
        <v/>
      </c>
      <c r="V3865" s="35" t="str">
        <f aca="false">IF($A3865="","",COUNTIF($U$8:$U$5007,$U3865))</f>
        <v/>
      </c>
    </row>
    <row r="3866" customFormat="false" ht="15" hidden="false" customHeight="false" outlineLevel="0" collapsed="false">
      <c r="A3866" s="31"/>
      <c r="B3866" s="32"/>
      <c r="C3866" s="32"/>
      <c r="D3866" s="32"/>
      <c r="E3866" s="32"/>
      <c r="F3866" s="32"/>
      <c r="G3866" s="33"/>
      <c r="H3866" s="33"/>
      <c r="I3866" s="34" t="str">
        <f aca="false">IF($A3866="","",$G3866-$H3866)</f>
        <v/>
      </c>
      <c r="J3866" s="35" t="str">
        <f aca="false">IF($A3866="","",IF(Setup!$B$6=1,YEAR($A3866),YEAR($A3866)+IF(MONTH($A3866)&gt;=Setup!$B$6,1,0)))</f>
        <v/>
      </c>
      <c r="K3866" s="35" t="str">
        <f aca="false">IF($A3866="","",MOD(MONTH($A3866)-Setup!$B$6+12,12)+1)</f>
        <v/>
      </c>
      <c r="L3866" s="36" t="str">
        <f aca="false">IF($A3866="","",TEXT($A3866,"MMM-YY"))</f>
        <v/>
      </c>
      <c r="M3866" s="37" t="str">
        <f aca="false">IF($A3866="","",IF($Q3866=0,"UNMAPPED",INDEX(COA_Mapping!$C$7:$C$256,$Q3866)))</f>
        <v/>
      </c>
      <c r="N3866" s="38" t="str">
        <f aca="false">IF($A3866="","",IF($Q3866=0,"",INDEX(COA_Mapping!$E$7:$E$256,$Q3866)))</f>
        <v/>
      </c>
      <c r="O3866" s="38" t="n">
        <f aca="false">IF($A3866="",1,IF($Q3866=0,1,INDEX(COA_Mapping!$F$7:$F$256,$Q3866)))</f>
        <v>1</v>
      </c>
      <c r="P3866" s="34" t="str">
        <f aca="false">IF($A3866="","",$I3866*$O3866)</f>
        <v/>
      </c>
      <c r="Q3866" s="39" t="n">
        <f aca="false">IF($B3866="",0,IFERROR(MATCH($B3866,COA_Mapping!$A$7:$A$256,0),0))</f>
        <v>0</v>
      </c>
      <c r="R3866" s="39" t="n">
        <f aca="false">IF($A3866="",-1,IF($J3866=Setup!$B$7,1,IF($J3866=Setup!$B$9,0,-1)))</f>
        <v>-1</v>
      </c>
      <c r="S3866" s="35" t="n">
        <f aca="false">IF(OR($A3866="",$Q3866=0,$R3866=-1),0,$Q3866*1000+$R3866*100+$K3866)</f>
        <v>0</v>
      </c>
      <c r="T3866" s="37" t="str">
        <f aca="false">IF($A3866="","",IF($B3866="","NO ACCOUNT",IF($Q3866=0,"UNMAPPED",IF($R3866=-1,"OUTSIDE FY RANGE","OK"))))</f>
        <v/>
      </c>
      <c r="U3866" s="40" t="str">
        <f aca="false">IF($A3866="","",$B3866&amp;"|"&amp;TEXT($A3866,"yyyymmdd")&amp;"|"&amp;TEXT($I3866,"0.00"))</f>
        <v/>
      </c>
      <c r="V3866" s="35" t="str">
        <f aca="false">IF($A3866="","",COUNTIF($U$8:$U$5007,$U3866))</f>
        <v/>
      </c>
    </row>
    <row r="3867" customFormat="false" ht="15" hidden="false" customHeight="false" outlineLevel="0" collapsed="false">
      <c r="A3867" s="31"/>
      <c r="B3867" s="32"/>
      <c r="C3867" s="32"/>
      <c r="D3867" s="32"/>
      <c r="E3867" s="32"/>
      <c r="F3867" s="32"/>
      <c r="G3867" s="33"/>
      <c r="H3867" s="33"/>
      <c r="I3867" s="34" t="str">
        <f aca="false">IF($A3867="","",$G3867-$H3867)</f>
        <v/>
      </c>
      <c r="J3867" s="35" t="str">
        <f aca="false">IF($A3867="","",IF(Setup!$B$6=1,YEAR($A3867),YEAR($A3867)+IF(MONTH($A3867)&gt;=Setup!$B$6,1,0)))</f>
        <v/>
      </c>
      <c r="K3867" s="35" t="str">
        <f aca="false">IF($A3867="","",MOD(MONTH($A3867)-Setup!$B$6+12,12)+1)</f>
        <v/>
      </c>
      <c r="L3867" s="36" t="str">
        <f aca="false">IF($A3867="","",TEXT($A3867,"MMM-YY"))</f>
        <v/>
      </c>
      <c r="M3867" s="37" t="str">
        <f aca="false">IF($A3867="","",IF($Q3867=0,"UNMAPPED",INDEX(COA_Mapping!$C$7:$C$256,$Q3867)))</f>
        <v/>
      </c>
      <c r="N3867" s="38" t="str">
        <f aca="false">IF($A3867="","",IF($Q3867=0,"",INDEX(COA_Mapping!$E$7:$E$256,$Q3867)))</f>
        <v/>
      </c>
      <c r="O3867" s="38" t="n">
        <f aca="false">IF($A3867="",1,IF($Q3867=0,1,INDEX(COA_Mapping!$F$7:$F$256,$Q3867)))</f>
        <v>1</v>
      </c>
      <c r="P3867" s="34" t="str">
        <f aca="false">IF($A3867="","",$I3867*$O3867)</f>
        <v/>
      </c>
      <c r="Q3867" s="39" t="n">
        <f aca="false">IF($B3867="",0,IFERROR(MATCH($B3867,COA_Mapping!$A$7:$A$256,0),0))</f>
        <v>0</v>
      </c>
      <c r="R3867" s="39" t="n">
        <f aca="false">IF($A3867="",-1,IF($J3867=Setup!$B$7,1,IF($J3867=Setup!$B$9,0,-1)))</f>
        <v>-1</v>
      </c>
      <c r="S3867" s="35" t="n">
        <f aca="false">IF(OR($A3867="",$Q3867=0,$R3867=-1),0,$Q3867*1000+$R3867*100+$K3867)</f>
        <v>0</v>
      </c>
      <c r="T3867" s="37" t="str">
        <f aca="false">IF($A3867="","",IF($B3867="","NO ACCOUNT",IF($Q3867=0,"UNMAPPED",IF($R3867=-1,"OUTSIDE FY RANGE","OK"))))</f>
        <v/>
      </c>
      <c r="U3867" s="40" t="str">
        <f aca="false">IF($A3867="","",$B3867&amp;"|"&amp;TEXT($A3867,"yyyymmdd")&amp;"|"&amp;TEXT($I3867,"0.00"))</f>
        <v/>
      </c>
      <c r="V3867" s="35" t="str">
        <f aca="false">IF($A3867="","",COUNTIF($U$8:$U$5007,$U3867))</f>
        <v/>
      </c>
    </row>
    <row r="3868" customFormat="false" ht="15" hidden="false" customHeight="false" outlineLevel="0" collapsed="false">
      <c r="A3868" s="31"/>
      <c r="B3868" s="32"/>
      <c r="C3868" s="32"/>
      <c r="D3868" s="32"/>
      <c r="E3868" s="32"/>
      <c r="F3868" s="32"/>
      <c r="G3868" s="33"/>
      <c r="H3868" s="33"/>
      <c r="I3868" s="34" t="str">
        <f aca="false">IF($A3868="","",$G3868-$H3868)</f>
        <v/>
      </c>
      <c r="J3868" s="35" t="str">
        <f aca="false">IF($A3868="","",IF(Setup!$B$6=1,YEAR($A3868),YEAR($A3868)+IF(MONTH($A3868)&gt;=Setup!$B$6,1,0)))</f>
        <v/>
      </c>
      <c r="K3868" s="35" t="str">
        <f aca="false">IF($A3868="","",MOD(MONTH($A3868)-Setup!$B$6+12,12)+1)</f>
        <v/>
      </c>
      <c r="L3868" s="36" t="str">
        <f aca="false">IF($A3868="","",TEXT($A3868,"MMM-YY"))</f>
        <v/>
      </c>
      <c r="M3868" s="37" t="str">
        <f aca="false">IF($A3868="","",IF($Q3868=0,"UNMAPPED",INDEX(COA_Mapping!$C$7:$C$256,$Q3868)))</f>
        <v/>
      </c>
      <c r="N3868" s="38" t="str">
        <f aca="false">IF($A3868="","",IF($Q3868=0,"",INDEX(COA_Mapping!$E$7:$E$256,$Q3868)))</f>
        <v/>
      </c>
      <c r="O3868" s="38" t="n">
        <f aca="false">IF($A3868="",1,IF($Q3868=0,1,INDEX(COA_Mapping!$F$7:$F$256,$Q3868)))</f>
        <v>1</v>
      </c>
      <c r="P3868" s="34" t="str">
        <f aca="false">IF($A3868="","",$I3868*$O3868)</f>
        <v/>
      </c>
      <c r="Q3868" s="39" t="n">
        <f aca="false">IF($B3868="",0,IFERROR(MATCH($B3868,COA_Mapping!$A$7:$A$256,0),0))</f>
        <v>0</v>
      </c>
      <c r="R3868" s="39" t="n">
        <f aca="false">IF($A3868="",-1,IF($J3868=Setup!$B$7,1,IF($J3868=Setup!$B$9,0,-1)))</f>
        <v>-1</v>
      </c>
      <c r="S3868" s="35" t="n">
        <f aca="false">IF(OR($A3868="",$Q3868=0,$R3868=-1),0,$Q3868*1000+$R3868*100+$K3868)</f>
        <v>0</v>
      </c>
      <c r="T3868" s="37" t="str">
        <f aca="false">IF($A3868="","",IF($B3868="","NO ACCOUNT",IF($Q3868=0,"UNMAPPED",IF($R3868=-1,"OUTSIDE FY RANGE","OK"))))</f>
        <v/>
      </c>
      <c r="U3868" s="40" t="str">
        <f aca="false">IF($A3868="","",$B3868&amp;"|"&amp;TEXT($A3868,"yyyymmdd")&amp;"|"&amp;TEXT($I3868,"0.00"))</f>
        <v/>
      </c>
      <c r="V3868" s="35" t="str">
        <f aca="false">IF($A3868="","",COUNTIF($U$8:$U$5007,$U3868))</f>
        <v/>
      </c>
    </row>
    <row r="3869" customFormat="false" ht="15" hidden="false" customHeight="false" outlineLevel="0" collapsed="false">
      <c r="A3869" s="31"/>
      <c r="B3869" s="32"/>
      <c r="C3869" s="32"/>
      <c r="D3869" s="32"/>
      <c r="E3869" s="32"/>
      <c r="F3869" s="32"/>
      <c r="G3869" s="33"/>
      <c r="H3869" s="33"/>
      <c r="I3869" s="34" t="str">
        <f aca="false">IF($A3869="","",$G3869-$H3869)</f>
        <v/>
      </c>
      <c r="J3869" s="35" t="str">
        <f aca="false">IF($A3869="","",IF(Setup!$B$6=1,YEAR($A3869),YEAR($A3869)+IF(MONTH($A3869)&gt;=Setup!$B$6,1,0)))</f>
        <v/>
      </c>
      <c r="K3869" s="35" t="str">
        <f aca="false">IF($A3869="","",MOD(MONTH($A3869)-Setup!$B$6+12,12)+1)</f>
        <v/>
      </c>
      <c r="L3869" s="36" t="str">
        <f aca="false">IF($A3869="","",TEXT($A3869,"MMM-YY"))</f>
        <v/>
      </c>
      <c r="M3869" s="37" t="str">
        <f aca="false">IF($A3869="","",IF($Q3869=0,"UNMAPPED",INDEX(COA_Mapping!$C$7:$C$256,$Q3869)))</f>
        <v/>
      </c>
      <c r="N3869" s="38" t="str">
        <f aca="false">IF($A3869="","",IF($Q3869=0,"",INDEX(COA_Mapping!$E$7:$E$256,$Q3869)))</f>
        <v/>
      </c>
      <c r="O3869" s="38" t="n">
        <f aca="false">IF($A3869="",1,IF($Q3869=0,1,INDEX(COA_Mapping!$F$7:$F$256,$Q3869)))</f>
        <v>1</v>
      </c>
      <c r="P3869" s="34" t="str">
        <f aca="false">IF($A3869="","",$I3869*$O3869)</f>
        <v/>
      </c>
      <c r="Q3869" s="39" t="n">
        <f aca="false">IF($B3869="",0,IFERROR(MATCH($B3869,COA_Mapping!$A$7:$A$256,0),0))</f>
        <v>0</v>
      </c>
      <c r="R3869" s="39" t="n">
        <f aca="false">IF($A3869="",-1,IF($J3869=Setup!$B$7,1,IF($J3869=Setup!$B$9,0,-1)))</f>
        <v>-1</v>
      </c>
      <c r="S3869" s="35" t="n">
        <f aca="false">IF(OR($A3869="",$Q3869=0,$R3869=-1),0,$Q3869*1000+$R3869*100+$K3869)</f>
        <v>0</v>
      </c>
      <c r="T3869" s="37" t="str">
        <f aca="false">IF($A3869="","",IF($B3869="","NO ACCOUNT",IF($Q3869=0,"UNMAPPED",IF($R3869=-1,"OUTSIDE FY RANGE","OK"))))</f>
        <v/>
      </c>
      <c r="U3869" s="40" t="str">
        <f aca="false">IF($A3869="","",$B3869&amp;"|"&amp;TEXT($A3869,"yyyymmdd")&amp;"|"&amp;TEXT($I3869,"0.00"))</f>
        <v/>
      </c>
      <c r="V3869" s="35" t="str">
        <f aca="false">IF($A3869="","",COUNTIF($U$8:$U$5007,$U3869))</f>
        <v/>
      </c>
    </row>
    <row r="3870" customFormat="false" ht="15" hidden="false" customHeight="false" outlineLevel="0" collapsed="false">
      <c r="A3870" s="31"/>
      <c r="B3870" s="32"/>
      <c r="C3870" s="32"/>
      <c r="D3870" s="32"/>
      <c r="E3870" s="32"/>
      <c r="F3870" s="32"/>
      <c r="G3870" s="33"/>
      <c r="H3870" s="33"/>
      <c r="I3870" s="34" t="str">
        <f aca="false">IF($A3870="","",$G3870-$H3870)</f>
        <v/>
      </c>
      <c r="J3870" s="35" t="str">
        <f aca="false">IF($A3870="","",IF(Setup!$B$6=1,YEAR($A3870),YEAR($A3870)+IF(MONTH($A3870)&gt;=Setup!$B$6,1,0)))</f>
        <v/>
      </c>
      <c r="K3870" s="35" t="str">
        <f aca="false">IF($A3870="","",MOD(MONTH($A3870)-Setup!$B$6+12,12)+1)</f>
        <v/>
      </c>
      <c r="L3870" s="36" t="str">
        <f aca="false">IF($A3870="","",TEXT($A3870,"MMM-YY"))</f>
        <v/>
      </c>
      <c r="M3870" s="37" t="str">
        <f aca="false">IF($A3870="","",IF($Q3870=0,"UNMAPPED",INDEX(COA_Mapping!$C$7:$C$256,$Q3870)))</f>
        <v/>
      </c>
      <c r="N3870" s="38" t="str">
        <f aca="false">IF($A3870="","",IF($Q3870=0,"",INDEX(COA_Mapping!$E$7:$E$256,$Q3870)))</f>
        <v/>
      </c>
      <c r="O3870" s="38" t="n">
        <f aca="false">IF($A3870="",1,IF($Q3870=0,1,INDEX(COA_Mapping!$F$7:$F$256,$Q3870)))</f>
        <v>1</v>
      </c>
      <c r="P3870" s="34" t="str">
        <f aca="false">IF($A3870="","",$I3870*$O3870)</f>
        <v/>
      </c>
      <c r="Q3870" s="39" t="n">
        <f aca="false">IF($B3870="",0,IFERROR(MATCH($B3870,COA_Mapping!$A$7:$A$256,0),0))</f>
        <v>0</v>
      </c>
      <c r="R3870" s="39" t="n">
        <f aca="false">IF($A3870="",-1,IF($J3870=Setup!$B$7,1,IF($J3870=Setup!$B$9,0,-1)))</f>
        <v>-1</v>
      </c>
      <c r="S3870" s="35" t="n">
        <f aca="false">IF(OR($A3870="",$Q3870=0,$R3870=-1),0,$Q3870*1000+$R3870*100+$K3870)</f>
        <v>0</v>
      </c>
      <c r="T3870" s="37" t="str">
        <f aca="false">IF($A3870="","",IF($B3870="","NO ACCOUNT",IF($Q3870=0,"UNMAPPED",IF($R3870=-1,"OUTSIDE FY RANGE","OK"))))</f>
        <v/>
      </c>
      <c r="U3870" s="40" t="str">
        <f aca="false">IF($A3870="","",$B3870&amp;"|"&amp;TEXT($A3870,"yyyymmdd")&amp;"|"&amp;TEXT($I3870,"0.00"))</f>
        <v/>
      </c>
      <c r="V3870" s="35" t="str">
        <f aca="false">IF($A3870="","",COUNTIF($U$8:$U$5007,$U3870))</f>
        <v/>
      </c>
    </row>
    <row r="3871" customFormat="false" ht="15" hidden="false" customHeight="false" outlineLevel="0" collapsed="false">
      <c r="A3871" s="31"/>
      <c r="B3871" s="32"/>
      <c r="C3871" s="32"/>
      <c r="D3871" s="32"/>
      <c r="E3871" s="32"/>
      <c r="F3871" s="32"/>
      <c r="G3871" s="33"/>
      <c r="H3871" s="33"/>
      <c r="I3871" s="34" t="str">
        <f aca="false">IF($A3871="","",$G3871-$H3871)</f>
        <v/>
      </c>
      <c r="J3871" s="35" t="str">
        <f aca="false">IF($A3871="","",IF(Setup!$B$6=1,YEAR($A3871),YEAR($A3871)+IF(MONTH($A3871)&gt;=Setup!$B$6,1,0)))</f>
        <v/>
      </c>
      <c r="K3871" s="35" t="str">
        <f aca="false">IF($A3871="","",MOD(MONTH($A3871)-Setup!$B$6+12,12)+1)</f>
        <v/>
      </c>
      <c r="L3871" s="36" t="str">
        <f aca="false">IF($A3871="","",TEXT($A3871,"MMM-YY"))</f>
        <v/>
      </c>
      <c r="M3871" s="37" t="str">
        <f aca="false">IF($A3871="","",IF($Q3871=0,"UNMAPPED",INDEX(COA_Mapping!$C$7:$C$256,$Q3871)))</f>
        <v/>
      </c>
      <c r="N3871" s="38" t="str">
        <f aca="false">IF($A3871="","",IF($Q3871=0,"",INDEX(COA_Mapping!$E$7:$E$256,$Q3871)))</f>
        <v/>
      </c>
      <c r="O3871" s="38" t="n">
        <f aca="false">IF($A3871="",1,IF($Q3871=0,1,INDEX(COA_Mapping!$F$7:$F$256,$Q3871)))</f>
        <v>1</v>
      </c>
      <c r="P3871" s="34" t="str">
        <f aca="false">IF($A3871="","",$I3871*$O3871)</f>
        <v/>
      </c>
      <c r="Q3871" s="39" t="n">
        <f aca="false">IF($B3871="",0,IFERROR(MATCH($B3871,COA_Mapping!$A$7:$A$256,0),0))</f>
        <v>0</v>
      </c>
      <c r="R3871" s="39" t="n">
        <f aca="false">IF($A3871="",-1,IF($J3871=Setup!$B$7,1,IF($J3871=Setup!$B$9,0,-1)))</f>
        <v>-1</v>
      </c>
      <c r="S3871" s="35" t="n">
        <f aca="false">IF(OR($A3871="",$Q3871=0,$R3871=-1),0,$Q3871*1000+$R3871*100+$K3871)</f>
        <v>0</v>
      </c>
      <c r="T3871" s="37" t="str">
        <f aca="false">IF($A3871="","",IF($B3871="","NO ACCOUNT",IF($Q3871=0,"UNMAPPED",IF($R3871=-1,"OUTSIDE FY RANGE","OK"))))</f>
        <v/>
      </c>
      <c r="U3871" s="40" t="str">
        <f aca="false">IF($A3871="","",$B3871&amp;"|"&amp;TEXT($A3871,"yyyymmdd")&amp;"|"&amp;TEXT($I3871,"0.00"))</f>
        <v/>
      </c>
      <c r="V3871" s="35" t="str">
        <f aca="false">IF($A3871="","",COUNTIF($U$8:$U$5007,$U3871))</f>
        <v/>
      </c>
    </row>
    <row r="3872" customFormat="false" ht="15" hidden="false" customHeight="false" outlineLevel="0" collapsed="false">
      <c r="A3872" s="31"/>
      <c r="B3872" s="32"/>
      <c r="C3872" s="32"/>
      <c r="D3872" s="32"/>
      <c r="E3872" s="32"/>
      <c r="F3872" s="32"/>
      <c r="G3872" s="33"/>
      <c r="H3872" s="33"/>
      <c r="I3872" s="34" t="str">
        <f aca="false">IF($A3872="","",$G3872-$H3872)</f>
        <v/>
      </c>
      <c r="J3872" s="35" t="str">
        <f aca="false">IF($A3872="","",IF(Setup!$B$6=1,YEAR($A3872),YEAR($A3872)+IF(MONTH($A3872)&gt;=Setup!$B$6,1,0)))</f>
        <v/>
      </c>
      <c r="K3872" s="35" t="str">
        <f aca="false">IF($A3872="","",MOD(MONTH($A3872)-Setup!$B$6+12,12)+1)</f>
        <v/>
      </c>
      <c r="L3872" s="36" t="str">
        <f aca="false">IF($A3872="","",TEXT($A3872,"MMM-YY"))</f>
        <v/>
      </c>
      <c r="M3872" s="37" t="str">
        <f aca="false">IF($A3872="","",IF($Q3872=0,"UNMAPPED",INDEX(COA_Mapping!$C$7:$C$256,$Q3872)))</f>
        <v/>
      </c>
      <c r="N3872" s="38" t="str">
        <f aca="false">IF($A3872="","",IF($Q3872=0,"",INDEX(COA_Mapping!$E$7:$E$256,$Q3872)))</f>
        <v/>
      </c>
      <c r="O3872" s="38" t="n">
        <f aca="false">IF($A3872="",1,IF($Q3872=0,1,INDEX(COA_Mapping!$F$7:$F$256,$Q3872)))</f>
        <v>1</v>
      </c>
      <c r="P3872" s="34" t="str">
        <f aca="false">IF($A3872="","",$I3872*$O3872)</f>
        <v/>
      </c>
      <c r="Q3872" s="39" t="n">
        <f aca="false">IF($B3872="",0,IFERROR(MATCH($B3872,COA_Mapping!$A$7:$A$256,0),0))</f>
        <v>0</v>
      </c>
      <c r="R3872" s="39" t="n">
        <f aca="false">IF($A3872="",-1,IF($J3872=Setup!$B$7,1,IF($J3872=Setup!$B$9,0,-1)))</f>
        <v>-1</v>
      </c>
      <c r="S3872" s="35" t="n">
        <f aca="false">IF(OR($A3872="",$Q3872=0,$R3872=-1),0,$Q3872*1000+$R3872*100+$K3872)</f>
        <v>0</v>
      </c>
      <c r="T3872" s="37" t="str">
        <f aca="false">IF($A3872="","",IF($B3872="","NO ACCOUNT",IF($Q3872=0,"UNMAPPED",IF($R3872=-1,"OUTSIDE FY RANGE","OK"))))</f>
        <v/>
      </c>
      <c r="U3872" s="40" t="str">
        <f aca="false">IF($A3872="","",$B3872&amp;"|"&amp;TEXT($A3872,"yyyymmdd")&amp;"|"&amp;TEXT($I3872,"0.00"))</f>
        <v/>
      </c>
      <c r="V3872" s="35" t="str">
        <f aca="false">IF($A3872="","",COUNTIF($U$8:$U$5007,$U3872))</f>
        <v/>
      </c>
    </row>
    <row r="3873" customFormat="false" ht="15" hidden="false" customHeight="false" outlineLevel="0" collapsed="false">
      <c r="A3873" s="31"/>
      <c r="B3873" s="32"/>
      <c r="C3873" s="32"/>
      <c r="D3873" s="32"/>
      <c r="E3873" s="32"/>
      <c r="F3873" s="32"/>
      <c r="G3873" s="33"/>
      <c r="H3873" s="33"/>
      <c r="I3873" s="34" t="str">
        <f aca="false">IF($A3873="","",$G3873-$H3873)</f>
        <v/>
      </c>
      <c r="J3873" s="35" t="str">
        <f aca="false">IF($A3873="","",IF(Setup!$B$6=1,YEAR($A3873),YEAR($A3873)+IF(MONTH($A3873)&gt;=Setup!$B$6,1,0)))</f>
        <v/>
      </c>
      <c r="K3873" s="35" t="str">
        <f aca="false">IF($A3873="","",MOD(MONTH($A3873)-Setup!$B$6+12,12)+1)</f>
        <v/>
      </c>
      <c r="L3873" s="36" t="str">
        <f aca="false">IF($A3873="","",TEXT($A3873,"MMM-YY"))</f>
        <v/>
      </c>
      <c r="M3873" s="37" t="str">
        <f aca="false">IF($A3873="","",IF($Q3873=0,"UNMAPPED",INDEX(COA_Mapping!$C$7:$C$256,$Q3873)))</f>
        <v/>
      </c>
      <c r="N3873" s="38" t="str">
        <f aca="false">IF($A3873="","",IF($Q3873=0,"",INDEX(COA_Mapping!$E$7:$E$256,$Q3873)))</f>
        <v/>
      </c>
      <c r="O3873" s="38" t="n">
        <f aca="false">IF($A3873="",1,IF($Q3873=0,1,INDEX(COA_Mapping!$F$7:$F$256,$Q3873)))</f>
        <v>1</v>
      </c>
      <c r="P3873" s="34" t="str">
        <f aca="false">IF($A3873="","",$I3873*$O3873)</f>
        <v/>
      </c>
      <c r="Q3873" s="39" t="n">
        <f aca="false">IF($B3873="",0,IFERROR(MATCH($B3873,COA_Mapping!$A$7:$A$256,0),0))</f>
        <v>0</v>
      </c>
      <c r="R3873" s="39" t="n">
        <f aca="false">IF($A3873="",-1,IF($J3873=Setup!$B$7,1,IF($J3873=Setup!$B$9,0,-1)))</f>
        <v>-1</v>
      </c>
      <c r="S3873" s="35" t="n">
        <f aca="false">IF(OR($A3873="",$Q3873=0,$R3873=-1),0,$Q3873*1000+$R3873*100+$K3873)</f>
        <v>0</v>
      </c>
      <c r="T3873" s="37" t="str">
        <f aca="false">IF($A3873="","",IF($B3873="","NO ACCOUNT",IF($Q3873=0,"UNMAPPED",IF($R3873=-1,"OUTSIDE FY RANGE","OK"))))</f>
        <v/>
      </c>
      <c r="U3873" s="40" t="str">
        <f aca="false">IF($A3873="","",$B3873&amp;"|"&amp;TEXT($A3873,"yyyymmdd")&amp;"|"&amp;TEXT($I3873,"0.00"))</f>
        <v/>
      </c>
      <c r="V3873" s="35" t="str">
        <f aca="false">IF($A3873="","",COUNTIF($U$8:$U$5007,$U3873))</f>
        <v/>
      </c>
    </row>
    <row r="3874" customFormat="false" ht="15" hidden="false" customHeight="false" outlineLevel="0" collapsed="false">
      <c r="A3874" s="31"/>
      <c r="B3874" s="32"/>
      <c r="C3874" s="32"/>
      <c r="D3874" s="32"/>
      <c r="E3874" s="32"/>
      <c r="F3874" s="32"/>
      <c r="G3874" s="33"/>
      <c r="H3874" s="33"/>
      <c r="I3874" s="34" t="str">
        <f aca="false">IF($A3874="","",$G3874-$H3874)</f>
        <v/>
      </c>
      <c r="J3874" s="35" t="str">
        <f aca="false">IF($A3874="","",IF(Setup!$B$6=1,YEAR($A3874),YEAR($A3874)+IF(MONTH($A3874)&gt;=Setup!$B$6,1,0)))</f>
        <v/>
      </c>
      <c r="K3874" s="35" t="str">
        <f aca="false">IF($A3874="","",MOD(MONTH($A3874)-Setup!$B$6+12,12)+1)</f>
        <v/>
      </c>
      <c r="L3874" s="36" t="str">
        <f aca="false">IF($A3874="","",TEXT($A3874,"MMM-YY"))</f>
        <v/>
      </c>
      <c r="M3874" s="37" t="str">
        <f aca="false">IF($A3874="","",IF($Q3874=0,"UNMAPPED",INDEX(COA_Mapping!$C$7:$C$256,$Q3874)))</f>
        <v/>
      </c>
      <c r="N3874" s="38" t="str">
        <f aca="false">IF($A3874="","",IF($Q3874=0,"",INDEX(COA_Mapping!$E$7:$E$256,$Q3874)))</f>
        <v/>
      </c>
      <c r="O3874" s="38" t="n">
        <f aca="false">IF($A3874="",1,IF($Q3874=0,1,INDEX(COA_Mapping!$F$7:$F$256,$Q3874)))</f>
        <v>1</v>
      </c>
      <c r="P3874" s="34" t="str">
        <f aca="false">IF($A3874="","",$I3874*$O3874)</f>
        <v/>
      </c>
      <c r="Q3874" s="39" t="n">
        <f aca="false">IF($B3874="",0,IFERROR(MATCH($B3874,COA_Mapping!$A$7:$A$256,0),0))</f>
        <v>0</v>
      </c>
      <c r="R3874" s="39" t="n">
        <f aca="false">IF($A3874="",-1,IF($J3874=Setup!$B$7,1,IF($J3874=Setup!$B$9,0,-1)))</f>
        <v>-1</v>
      </c>
      <c r="S3874" s="35" t="n">
        <f aca="false">IF(OR($A3874="",$Q3874=0,$R3874=-1),0,$Q3874*1000+$R3874*100+$K3874)</f>
        <v>0</v>
      </c>
      <c r="T3874" s="37" t="str">
        <f aca="false">IF($A3874="","",IF($B3874="","NO ACCOUNT",IF($Q3874=0,"UNMAPPED",IF($R3874=-1,"OUTSIDE FY RANGE","OK"))))</f>
        <v/>
      </c>
      <c r="U3874" s="40" t="str">
        <f aca="false">IF($A3874="","",$B3874&amp;"|"&amp;TEXT($A3874,"yyyymmdd")&amp;"|"&amp;TEXT($I3874,"0.00"))</f>
        <v/>
      </c>
      <c r="V3874" s="35" t="str">
        <f aca="false">IF($A3874="","",COUNTIF($U$8:$U$5007,$U3874))</f>
        <v/>
      </c>
    </row>
    <row r="3875" customFormat="false" ht="15" hidden="false" customHeight="false" outlineLevel="0" collapsed="false">
      <c r="A3875" s="31"/>
      <c r="B3875" s="32"/>
      <c r="C3875" s="32"/>
      <c r="D3875" s="32"/>
      <c r="E3875" s="32"/>
      <c r="F3875" s="32"/>
      <c r="G3875" s="33"/>
      <c r="H3875" s="33"/>
      <c r="I3875" s="34" t="str">
        <f aca="false">IF($A3875="","",$G3875-$H3875)</f>
        <v/>
      </c>
      <c r="J3875" s="35" t="str">
        <f aca="false">IF($A3875="","",IF(Setup!$B$6=1,YEAR($A3875),YEAR($A3875)+IF(MONTH($A3875)&gt;=Setup!$B$6,1,0)))</f>
        <v/>
      </c>
      <c r="K3875" s="35" t="str">
        <f aca="false">IF($A3875="","",MOD(MONTH($A3875)-Setup!$B$6+12,12)+1)</f>
        <v/>
      </c>
      <c r="L3875" s="36" t="str">
        <f aca="false">IF($A3875="","",TEXT($A3875,"MMM-YY"))</f>
        <v/>
      </c>
      <c r="M3875" s="37" t="str">
        <f aca="false">IF($A3875="","",IF($Q3875=0,"UNMAPPED",INDEX(COA_Mapping!$C$7:$C$256,$Q3875)))</f>
        <v/>
      </c>
      <c r="N3875" s="38" t="str">
        <f aca="false">IF($A3875="","",IF($Q3875=0,"",INDEX(COA_Mapping!$E$7:$E$256,$Q3875)))</f>
        <v/>
      </c>
      <c r="O3875" s="38" t="n">
        <f aca="false">IF($A3875="",1,IF($Q3875=0,1,INDEX(COA_Mapping!$F$7:$F$256,$Q3875)))</f>
        <v>1</v>
      </c>
      <c r="P3875" s="34" t="str">
        <f aca="false">IF($A3875="","",$I3875*$O3875)</f>
        <v/>
      </c>
      <c r="Q3875" s="39" t="n">
        <f aca="false">IF($B3875="",0,IFERROR(MATCH($B3875,COA_Mapping!$A$7:$A$256,0),0))</f>
        <v>0</v>
      </c>
      <c r="R3875" s="39" t="n">
        <f aca="false">IF($A3875="",-1,IF($J3875=Setup!$B$7,1,IF($J3875=Setup!$B$9,0,-1)))</f>
        <v>-1</v>
      </c>
      <c r="S3875" s="35" t="n">
        <f aca="false">IF(OR($A3875="",$Q3875=0,$R3875=-1),0,$Q3875*1000+$R3875*100+$K3875)</f>
        <v>0</v>
      </c>
      <c r="T3875" s="37" t="str">
        <f aca="false">IF($A3875="","",IF($B3875="","NO ACCOUNT",IF($Q3875=0,"UNMAPPED",IF($R3875=-1,"OUTSIDE FY RANGE","OK"))))</f>
        <v/>
      </c>
      <c r="U3875" s="40" t="str">
        <f aca="false">IF($A3875="","",$B3875&amp;"|"&amp;TEXT($A3875,"yyyymmdd")&amp;"|"&amp;TEXT($I3875,"0.00"))</f>
        <v/>
      </c>
      <c r="V3875" s="35" t="str">
        <f aca="false">IF($A3875="","",COUNTIF($U$8:$U$5007,$U3875))</f>
        <v/>
      </c>
    </row>
    <row r="3876" customFormat="false" ht="15" hidden="false" customHeight="false" outlineLevel="0" collapsed="false">
      <c r="A3876" s="31"/>
      <c r="B3876" s="32"/>
      <c r="C3876" s="32"/>
      <c r="D3876" s="32"/>
      <c r="E3876" s="32"/>
      <c r="F3876" s="32"/>
      <c r="G3876" s="33"/>
      <c r="H3876" s="33"/>
      <c r="I3876" s="34" t="str">
        <f aca="false">IF($A3876="","",$G3876-$H3876)</f>
        <v/>
      </c>
      <c r="J3876" s="35" t="str">
        <f aca="false">IF($A3876="","",IF(Setup!$B$6=1,YEAR($A3876),YEAR($A3876)+IF(MONTH($A3876)&gt;=Setup!$B$6,1,0)))</f>
        <v/>
      </c>
      <c r="K3876" s="35" t="str">
        <f aca="false">IF($A3876="","",MOD(MONTH($A3876)-Setup!$B$6+12,12)+1)</f>
        <v/>
      </c>
      <c r="L3876" s="36" t="str">
        <f aca="false">IF($A3876="","",TEXT($A3876,"MMM-YY"))</f>
        <v/>
      </c>
      <c r="M3876" s="37" t="str">
        <f aca="false">IF($A3876="","",IF($Q3876=0,"UNMAPPED",INDEX(COA_Mapping!$C$7:$C$256,$Q3876)))</f>
        <v/>
      </c>
      <c r="N3876" s="38" t="str">
        <f aca="false">IF($A3876="","",IF($Q3876=0,"",INDEX(COA_Mapping!$E$7:$E$256,$Q3876)))</f>
        <v/>
      </c>
      <c r="O3876" s="38" t="n">
        <f aca="false">IF($A3876="",1,IF($Q3876=0,1,INDEX(COA_Mapping!$F$7:$F$256,$Q3876)))</f>
        <v>1</v>
      </c>
      <c r="P3876" s="34" t="str">
        <f aca="false">IF($A3876="","",$I3876*$O3876)</f>
        <v/>
      </c>
      <c r="Q3876" s="39" t="n">
        <f aca="false">IF($B3876="",0,IFERROR(MATCH($B3876,COA_Mapping!$A$7:$A$256,0),0))</f>
        <v>0</v>
      </c>
      <c r="R3876" s="39" t="n">
        <f aca="false">IF($A3876="",-1,IF($J3876=Setup!$B$7,1,IF($J3876=Setup!$B$9,0,-1)))</f>
        <v>-1</v>
      </c>
      <c r="S3876" s="35" t="n">
        <f aca="false">IF(OR($A3876="",$Q3876=0,$R3876=-1),0,$Q3876*1000+$R3876*100+$K3876)</f>
        <v>0</v>
      </c>
      <c r="T3876" s="37" t="str">
        <f aca="false">IF($A3876="","",IF($B3876="","NO ACCOUNT",IF($Q3876=0,"UNMAPPED",IF($R3876=-1,"OUTSIDE FY RANGE","OK"))))</f>
        <v/>
      </c>
      <c r="U3876" s="40" t="str">
        <f aca="false">IF($A3876="","",$B3876&amp;"|"&amp;TEXT($A3876,"yyyymmdd")&amp;"|"&amp;TEXT($I3876,"0.00"))</f>
        <v/>
      </c>
      <c r="V3876" s="35" t="str">
        <f aca="false">IF($A3876="","",COUNTIF($U$8:$U$5007,$U3876))</f>
        <v/>
      </c>
    </row>
    <row r="3877" customFormat="false" ht="15" hidden="false" customHeight="false" outlineLevel="0" collapsed="false">
      <c r="A3877" s="31"/>
      <c r="B3877" s="32"/>
      <c r="C3877" s="32"/>
      <c r="D3877" s="32"/>
      <c r="E3877" s="32"/>
      <c r="F3877" s="32"/>
      <c r="G3877" s="33"/>
      <c r="H3877" s="33"/>
      <c r="I3877" s="34" t="str">
        <f aca="false">IF($A3877="","",$G3877-$H3877)</f>
        <v/>
      </c>
      <c r="J3877" s="35" t="str">
        <f aca="false">IF($A3877="","",IF(Setup!$B$6=1,YEAR($A3877),YEAR($A3877)+IF(MONTH($A3877)&gt;=Setup!$B$6,1,0)))</f>
        <v/>
      </c>
      <c r="K3877" s="35" t="str">
        <f aca="false">IF($A3877="","",MOD(MONTH($A3877)-Setup!$B$6+12,12)+1)</f>
        <v/>
      </c>
      <c r="L3877" s="36" t="str">
        <f aca="false">IF($A3877="","",TEXT($A3877,"MMM-YY"))</f>
        <v/>
      </c>
      <c r="M3877" s="37" t="str">
        <f aca="false">IF($A3877="","",IF($Q3877=0,"UNMAPPED",INDEX(COA_Mapping!$C$7:$C$256,$Q3877)))</f>
        <v/>
      </c>
      <c r="N3877" s="38" t="str">
        <f aca="false">IF($A3877="","",IF($Q3877=0,"",INDEX(COA_Mapping!$E$7:$E$256,$Q3877)))</f>
        <v/>
      </c>
      <c r="O3877" s="38" t="n">
        <f aca="false">IF($A3877="",1,IF($Q3877=0,1,INDEX(COA_Mapping!$F$7:$F$256,$Q3877)))</f>
        <v>1</v>
      </c>
      <c r="P3877" s="34" t="str">
        <f aca="false">IF($A3877="","",$I3877*$O3877)</f>
        <v/>
      </c>
      <c r="Q3877" s="39" t="n">
        <f aca="false">IF($B3877="",0,IFERROR(MATCH($B3877,COA_Mapping!$A$7:$A$256,0),0))</f>
        <v>0</v>
      </c>
      <c r="R3877" s="39" t="n">
        <f aca="false">IF($A3877="",-1,IF($J3877=Setup!$B$7,1,IF($J3877=Setup!$B$9,0,-1)))</f>
        <v>-1</v>
      </c>
      <c r="S3877" s="35" t="n">
        <f aca="false">IF(OR($A3877="",$Q3877=0,$R3877=-1),0,$Q3877*1000+$R3877*100+$K3877)</f>
        <v>0</v>
      </c>
      <c r="T3877" s="37" t="str">
        <f aca="false">IF($A3877="","",IF($B3877="","NO ACCOUNT",IF($Q3877=0,"UNMAPPED",IF($R3877=-1,"OUTSIDE FY RANGE","OK"))))</f>
        <v/>
      </c>
      <c r="U3877" s="40" t="str">
        <f aca="false">IF($A3877="","",$B3877&amp;"|"&amp;TEXT($A3877,"yyyymmdd")&amp;"|"&amp;TEXT($I3877,"0.00"))</f>
        <v/>
      </c>
      <c r="V3877" s="35" t="str">
        <f aca="false">IF($A3877="","",COUNTIF($U$8:$U$5007,$U3877))</f>
        <v/>
      </c>
    </row>
    <row r="3878" customFormat="false" ht="15" hidden="false" customHeight="false" outlineLevel="0" collapsed="false">
      <c r="A3878" s="31"/>
      <c r="B3878" s="32"/>
      <c r="C3878" s="32"/>
      <c r="D3878" s="32"/>
      <c r="E3878" s="32"/>
      <c r="F3878" s="32"/>
      <c r="G3878" s="33"/>
      <c r="H3878" s="33"/>
      <c r="I3878" s="34" t="str">
        <f aca="false">IF($A3878="","",$G3878-$H3878)</f>
        <v/>
      </c>
      <c r="J3878" s="35" t="str">
        <f aca="false">IF($A3878="","",IF(Setup!$B$6=1,YEAR($A3878),YEAR($A3878)+IF(MONTH($A3878)&gt;=Setup!$B$6,1,0)))</f>
        <v/>
      </c>
      <c r="K3878" s="35" t="str">
        <f aca="false">IF($A3878="","",MOD(MONTH($A3878)-Setup!$B$6+12,12)+1)</f>
        <v/>
      </c>
      <c r="L3878" s="36" t="str">
        <f aca="false">IF($A3878="","",TEXT($A3878,"MMM-YY"))</f>
        <v/>
      </c>
      <c r="M3878" s="37" t="str">
        <f aca="false">IF($A3878="","",IF($Q3878=0,"UNMAPPED",INDEX(COA_Mapping!$C$7:$C$256,$Q3878)))</f>
        <v/>
      </c>
      <c r="N3878" s="38" t="str">
        <f aca="false">IF($A3878="","",IF($Q3878=0,"",INDEX(COA_Mapping!$E$7:$E$256,$Q3878)))</f>
        <v/>
      </c>
      <c r="O3878" s="38" t="n">
        <f aca="false">IF($A3878="",1,IF($Q3878=0,1,INDEX(COA_Mapping!$F$7:$F$256,$Q3878)))</f>
        <v>1</v>
      </c>
      <c r="P3878" s="34" t="str">
        <f aca="false">IF($A3878="","",$I3878*$O3878)</f>
        <v/>
      </c>
      <c r="Q3878" s="39" t="n">
        <f aca="false">IF($B3878="",0,IFERROR(MATCH($B3878,COA_Mapping!$A$7:$A$256,0),0))</f>
        <v>0</v>
      </c>
      <c r="R3878" s="39" t="n">
        <f aca="false">IF($A3878="",-1,IF($J3878=Setup!$B$7,1,IF($J3878=Setup!$B$9,0,-1)))</f>
        <v>-1</v>
      </c>
      <c r="S3878" s="35" t="n">
        <f aca="false">IF(OR($A3878="",$Q3878=0,$R3878=-1),0,$Q3878*1000+$R3878*100+$K3878)</f>
        <v>0</v>
      </c>
      <c r="T3878" s="37" t="str">
        <f aca="false">IF($A3878="","",IF($B3878="","NO ACCOUNT",IF($Q3878=0,"UNMAPPED",IF($R3878=-1,"OUTSIDE FY RANGE","OK"))))</f>
        <v/>
      </c>
      <c r="U3878" s="40" t="str">
        <f aca="false">IF($A3878="","",$B3878&amp;"|"&amp;TEXT($A3878,"yyyymmdd")&amp;"|"&amp;TEXT($I3878,"0.00"))</f>
        <v/>
      </c>
      <c r="V3878" s="35" t="str">
        <f aca="false">IF($A3878="","",COUNTIF($U$8:$U$5007,$U3878))</f>
        <v/>
      </c>
    </row>
    <row r="3879" customFormat="false" ht="15" hidden="false" customHeight="false" outlineLevel="0" collapsed="false">
      <c r="A3879" s="31"/>
      <c r="B3879" s="32"/>
      <c r="C3879" s="32"/>
      <c r="D3879" s="32"/>
      <c r="E3879" s="32"/>
      <c r="F3879" s="32"/>
      <c r="G3879" s="33"/>
      <c r="H3879" s="33"/>
      <c r="I3879" s="34" t="str">
        <f aca="false">IF($A3879="","",$G3879-$H3879)</f>
        <v/>
      </c>
      <c r="J3879" s="35" t="str">
        <f aca="false">IF($A3879="","",IF(Setup!$B$6=1,YEAR($A3879),YEAR($A3879)+IF(MONTH($A3879)&gt;=Setup!$B$6,1,0)))</f>
        <v/>
      </c>
      <c r="K3879" s="35" t="str">
        <f aca="false">IF($A3879="","",MOD(MONTH($A3879)-Setup!$B$6+12,12)+1)</f>
        <v/>
      </c>
      <c r="L3879" s="36" t="str">
        <f aca="false">IF($A3879="","",TEXT($A3879,"MMM-YY"))</f>
        <v/>
      </c>
      <c r="M3879" s="37" t="str">
        <f aca="false">IF($A3879="","",IF($Q3879=0,"UNMAPPED",INDEX(COA_Mapping!$C$7:$C$256,$Q3879)))</f>
        <v/>
      </c>
      <c r="N3879" s="38" t="str">
        <f aca="false">IF($A3879="","",IF($Q3879=0,"",INDEX(COA_Mapping!$E$7:$E$256,$Q3879)))</f>
        <v/>
      </c>
      <c r="O3879" s="38" t="n">
        <f aca="false">IF($A3879="",1,IF($Q3879=0,1,INDEX(COA_Mapping!$F$7:$F$256,$Q3879)))</f>
        <v>1</v>
      </c>
      <c r="P3879" s="34" t="str">
        <f aca="false">IF($A3879="","",$I3879*$O3879)</f>
        <v/>
      </c>
      <c r="Q3879" s="39" t="n">
        <f aca="false">IF($B3879="",0,IFERROR(MATCH($B3879,COA_Mapping!$A$7:$A$256,0),0))</f>
        <v>0</v>
      </c>
      <c r="R3879" s="39" t="n">
        <f aca="false">IF($A3879="",-1,IF($J3879=Setup!$B$7,1,IF($J3879=Setup!$B$9,0,-1)))</f>
        <v>-1</v>
      </c>
      <c r="S3879" s="35" t="n">
        <f aca="false">IF(OR($A3879="",$Q3879=0,$R3879=-1),0,$Q3879*1000+$R3879*100+$K3879)</f>
        <v>0</v>
      </c>
      <c r="T3879" s="37" t="str">
        <f aca="false">IF($A3879="","",IF($B3879="","NO ACCOUNT",IF($Q3879=0,"UNMAPPED",IF($R3879=-1,"OUTSIDE FY RANGE","OK"))))</f>
        <v/>
      </c>
      <c r="U3879" s="40" t="str">
        <f aca="false">IF($A3879="","",$B3879&amp;"|"&amp;TEXT($A3879,"yyyymmdd")&amp;"|"&amp;TEXT($I3879,"0.00"))</f>
        <v/>
      </c>
      <c r="V3879" s="35" t="str">
        <f aca="false">IF($A3879="","",COUNTIF($U$8:$U$5007,$U3879))</f>
        <v/>
      </c>
    </row>
    <row r="3880" customFormat="false" ht="15" hidden="false" customHeight="false" outlineLevel="0" collapsed="false">
      <c r="A3880" s="31"/>
      <c r="B3880" s="32"/>
      <c r="C3880" s="32"/>
      <c r="D3880" s="32"/>
      <c r="E3880" s="32"/>
      <c r="F3880" s="32"/>
      <c r="G3880" s="33"/>
      <c r="H3880" s="33"/>
      <c r="I3880" s="34" t="str">
        <f aca="false">IF($A3880="","",$G3880-$H3880)</f>
        <v/>
      </c>
      <c r="J3880" s="35" t="str">
        <f aca="false">IF($A3880="","",IF(Setup!$B$6=1,YEAR($A3880),YEAR($A3880)+IF(MONTH($A3880)&gt;=Setup!$B$6,1,0)))</f>
        <v/>
      </c>
      <c r="K3880" s="35" t="str">
        <f aca="false">IF($A3880="","",MOD(MONTH($A3880)-Setup!$B$6+12,12)+1)</f>
        <v/>
      </c>
      <c r="L3880" s="36" t="str">
        <f aca="false">IF($A3880="","",TEXT($A3880,"MMM-YY"))</f>
        <v/>
      </c>
      <c r="M3880" s="37" t="str">
        <f aca="false">IF($A3880="","",IF($Q3880=0,"UNMAPPED",INDEX(COA_Mapping!$C$7:$C$256,$Q3880)))</f>
        <v/>
      </c>
      <c r="N3880" s="38" t="str">
        <f aca="false">IF($A3880="","",IF($Q3880=0,"",INDEX(COA_Mapping!$E$7:$E$256,$Q3880)))</f>
        <v/>
      </c>
      <c r="O3880" s="38" t="n">
        <f aca="false">IF($A3880="",1,IF($Q3880=0,1,INDEX(COA_Mapping!$F$7:$F$256,$Q3880)))</f>
        <v>1</v>
      </c>
      <c r="P3880" s="34" t="str">
        <f aca="false">IF($A3880="","",$I3880*$O3880)</f>
        <v/>
      </c>
      <c r="Q3880" s="39" t="n">
        <f aca="false">IF($B3880="",0,IFERROR(MATCH($B3880,COA_Mapping!$A$7:$A$256,0),0))</f>
        <v>0</v>
      </c>
      <c r="R3880" s="39" t="n">
        <f aca="false">IF($A3880="",-1,IF($J3880=Setup!$B$7,1,IF($J3880=Setup!$B$9,0,-1)))</f>
        <v>-1</v>
      </c>
      <c r="S3880" s="35" t="n">
        <f aca="false">IF(OR($A3880="",$Q3880=0,$R3880=-1),0,$Q3880*1000+$R3880*100+$K3880)</f>
        <v>0</v>
      </c>
      <c r="T3880" s="37" t="str">
        <f aca="false">IF($A3880="","",IF($B3880="","NO ACCOUNT",IF($Q3880=0,"UNMAPPED",IF($R3880=-1,"OUTSIDE FY RANGE","OK"))))</f>
        <v/>
      </c>
      <c r="U3880" s="40" t="str">
        <f aca="false">IF($A3880="","",$B3880&amp;"|"&amp;TEXT($A3880,"yyyymmdd")&amp;"|"&amp;TEXT($I3880,"0.00"))</f>
        <v/>
      </c>
      <c r="V3880" s="35" t="str">
        <f aca="false">IF($A3880="","",COUNTIF($U$8:$U$5007,$U3880))</f>
        <v/>
      </c>
    </row>
    <row r="3881" customFormat="false" ht="15" hidden="false" customHeight="false" outlineLevel="0" collapsed="false">
      <c r="A3881" s="31"/>
      <c r="B3881" s="32"/>
      <c r="C3881" s="32"/>
      <c r="D3881" s="32"/>
      <c r="E3881" s="32"/>
      <c r="F3881" s="32"/>
      <c r="G3881" s="33"/>
      <c r="H3881" s="33"/>
      <c r="I3881" s="34" t="str">
        <f aca="false">IF($A3881="","",$G3881-$H3881)</f>
        <v/>
      </c>
      <c r="J3881" s="35" t="str">
        <f aca="false">IF($A3881="","",IF(Setup!$B$6=1,YEAR($A3881),YEAR($A3881)+IF(MONTH($A3881)&gt;=Setup!$B$6,1,0)))</f>
        <v/>
      </c>
      <c r="K3881" s="35" t="str">
        <f aca="false">IF($A3881="","",MOD(MONTH($A3881)-Setup!$B$6+12,12)+1)</f>
        <v/>
      </c>
      <c r="L3881" s="36" t="str">
        <f aca="false">IF($A3881="","",TEXT($A3881,"MMM-YY"))</f>
        <v/>
      </c>
      <c r="M3881" s="37" t="str">
        <f aca="false">IF($A3881="","",IF($Q3881=0,"UNMAPPED",INDEX(COA_Mapping!$C$7:$C$256,$Q3881)))</f>
        <v/>
      </c>
      <c r="N3881" s="38" t="str">
        <f aca="false">IF($A3881="","",IF($Q3881=0,"",INDEX(COA_Mapping!$E$7:$E$256,$Q3881)))</f>
        <v/>
      </c>
      <c r="O3881" s="38" t="n">
        <f aca="false">IF($A3881="",1,IF($Q3881=0,1,INDEX(COA_Mapping!$F$7:$F$256,$Q3881)))</f>
        <v>1</v>
      </c>
      <c r="P3881" s="34" t="str">
        <f aca="false">IF($A3881="","",$I3881*$O3881)</f>
        <v/>
      </c>
      <c r="Q3881" s="39" t="n">
        <f aca="false">IF($B3881="",0,IFERROR(MATCH($B3881,COA_Mapping!$A$7:$A$256,0),0))</f>
        <v>0</v>
      </c>
      <c r="R3881" s="39" t="n">
        <f aca="false">IF($A3881="",-1,IF($J3881=Setup!$B$7,1,IF($J3881=Setup!$B$9,0,-1)))</f>
        <v>-1</v>
      </c>
      <c r="S3881" s="35" t="n">
        <f aca="false">IF(OR($A3881="",$Q3881=0,$R3881=-1),0,$Q3881*1000+$R3881*100+$K3881)</f>
        <v>0</v>
      </c>
      <c r="T3881" s="37" t="str">
        <f aca="false">IF($A3881="","",IF($B3881="","NO ACCOUNT",IF($Q3881=0,"UNMAPPED",IF($R3881=-1,"OUTSIDE FY RANGE","OK"))))</f>
        <v/>
      </c>
      <c r="U3881" s="40" t="str">
        <f aca="false">IF($A3881="","",$B3881&amp;"|"&amp;TEXT($A3881,"yyyymmdd")&amp;"|"&amp;TEXT($I3881,"0.00"))</f>
        <v/>
      </c>
      <c r="V3881" s="35" t="str">
        <f aca="false">IF($A3881="","",COUNTIF($U$8:$U$5007,$U3881))</f>
        <v/>
      </c>
    </row>
    <row r="3882" customFormat="false" ht="15" hidden="false" customHeight="false" outlineLevel="0" collapsed="false">
      <c r="A3882" s="31"/>
      <c r="B3882" s="32"/>
      <c r="C3882" s="32"/>
      <c r="D3882" s="32"/>
      <c r="E3882" s="32"/>
      <c r="F3882" s="32"/>
      <c r="G3882" s="33"/>
      <c r="H3882" s="33"/>
      <c r="I3882" s="34" t="str">
        <f aca="false">IF($A3882="","",$G3882-$H3882)</f>
        <v/>
      </c>
      <c r="J3882" s="35" t="str">
        <f aca="false">IF($A3882="","",IF(Setup!$B$6=1,YEAR($A3882),YEAR($A3882)+IF(MONTH($A3882)&gt;=Setup!$B$6,1,0)))</f>
        <v/>
      </c>
      <c r="K3882" s="35" t="str">
        <f aca="false">IF($A3882="","",MOD(MONTH($A3882)-Setup!$B$6+12,12)+1)</f>
        <v/>
      </c>
      <c r="L3882" s="36" t="str">
        <f aca="false">IF($A3882="","",TEXT($A3882,"MMM-YY"))</f>
        <v/>
      </c>
      <c r="M3882" s="37" t="str">
        <f aca="false">IF($A3882="","",IF($Q3882=0,"UNMAPPED",INDEX(COA_Mapping!$C$7:$C$256,$Q3882)))</f>
        <v/>
      </c>
      <c r="N3882" s="38" t="str">
        <f aca="false">IF($A3882="","",IF($Q3882=0,"",INDEX(COA_Mapping!$E$7:$E$256,$Q3882)))</f>
        <v/>
      </c>
      <c r="O3882" s="38" t="n">
        <f aca="false">IF($A3882="",1,IF($Q3882=0,1,INDEX(COA_Mapping!$F$7:$F$256,$Q3882)))</f>
        <v>1</v>
      </c>
      <c r="P3882" s="34" t="str">
        <f aca="false">IF($A3882="","",$I3882*$O3882)</f>
        <v/>
      </c>
      <c r="Q3882" s="39" t="n">
        <f aca="false">IF($B3882="",0,IFERROR(MATCH($B3882,COA_Mapping!$A$7:$A$256,0),0))</f>
        <v>0</v>
      </c>
      <c r="R3882" s="39" t="n">
        <f aca="false">IF($A3882="",-1,IF($J3882=Setup!$B$7,1,IF($J3882=Setup!$B$9,0,-1)))</f>
        <v>-1</v>
      </c>
      <c r="S3882" s="35" t="n">
        <f aca="false">IF(OR($A3882="",$Q3882=0,$R3882=-1),0,$Q3882*1000+$R3882*100+$K3882)</f>
        <v>0</v>
      </c>
      <c r="T3882" s="37" t="str">
        <f aca="false">IF($A3882="","",IF($B3882="","NO ACCOUNT",IF($Q3882=0,"UNMAPPED",IF($R3882=-1,"OUTSIDE FY RANGE","OK"))))</f>
        <v/>
      </c>
      <c r="U3882" s="40" t="str">
        <f aca="false">IF($A3882="","",$B3882&amp;"|"&amp;TEXT($A3882,"yyyymmdd")&amp;"|"&amp;TEXT($I3882,"0.00"))</f>
        <v/>
      </c>
      <c r="V3882" s="35" t="str">
        <f aca="false">IF($A3882="","",COUNTIF($U$8:$U$5007,$U3882))</f>
        <v/>
      </c>
    </row>
    <row r="3883" customFormat="false" ht="15" hidden="false" customHeight="false" outlineLevel="0" collapsed="false">
      <c r="A3883" s="31"/>
      <c r="B3883" s="32"/>
      <c r="C3883" s="32"/>
      <c r="D3883" s="32"/>
      <c r="E3883" s="32"/>
      <c r="F3883" s="32"/>
      <c r="G3883" s="33"/>
      <c r="H3883" s="33"/>
      <c r="I3883" s="34" t="str">
        <f aca="false">IF($A3883="","",$G3883-$H3883)</f>
        <v/>
      </c>
      <c r="J3883" s="35" t="str">
        <f aca="false">IF($A3883="","",IF(Setup!$B$6=1,YEAR($A3883),YEAR($A3883)+IF(MONTH($A3883)&gt;=Setup!$B$6,1,0)))</f>
        <v/>
      </c>
      <c r="K3883" s="35" t="str">
        <f aca="false">IF($A3883="","",MOD(MONTH($A3883)-Setup!$B$6+12,12)+1)</f>
        <v/>
      </c>
      <c r="L3883" s="36" t="str">
        <f aca="false">IF($A3883="","",TEXT($A3883,"MMM-YY"))</f>
        <v/>
      </c>
      <c r="M3883" s="37" t="str">
        <f aca="false">IF($A3883="","",IF($Q3883=0,"UNMAPPED",INDEX(COA_Mapping!$C$7:$C$256,$Q3883)))</f>
        <v/>
      </c>
      <c r="N3883" s="38" t="str">
        <f aca="false">IF($A3883="","",IF($Q3883=0,"",INDEX(COA_Mapping!$E$7:$E$256,$Q3883)))</f>
        <v/>
      </c>
      <c r="O3883" s="38" t="n">
        <f aca="false">IF($A3883="",1,IF($Q3883=0,1,INDEX(COA_Mapping!$F$7:$F$256,$Q3883)))</f>
        <v>1</v>
      </c>
      <c r="P3883" s="34" t="str">
        <f aca="false">IF($A3883="","",$I3883*$O3883)</f>
        <v/>
      </c>
      <c r="Q3883" s="39" t="n">
        <f aca="false">IF($B3883="",0,IFERROR(MATCH($B3883,COA_Mapping!$A$7:$A$256,0),0))</f>
        <v>0</v>
      </c>
      <c r="R3883" s="39" t="n">
        <f aca="false">IF($A3883="",-1,IF($J3883=Setup!$B$7,1,IF($J3883=Setup!$B$9,0,-1)))</f>
        <v>-1</v>
      </c>
      <c r="S3883" s="35" t="n">
        <f aca="false">IF(OR($A3883="",$Q3883=0,$R3883=-1),0,$Q3883*1000+$R3883*100+$K3883)</f>
        <v>0</v>
      </c>
      <c r="T3883" s="37" t="str">
        <f aca="false">IF($A3883="","",IF($B3883="","NO ACCOUNT",IF($Q3883=0,"UNMAPPED",IF($R3883=-1,"OUTSIDE FY RANGE","OK"))))</f>
        <v/>
      </c>
      <c r="U3883" s="40" t="str">
        <f aca="false">IF($A3883="","",$B3883&amp;"|"&amp;TEXT($A3883,"yyyymmdd")&amp;"|"&amp;TEXT($I3883,"0.00"))</f>
        <v/>
      </c>
      <c r="V3883" s="35" t="str">
        <f aca="false">IF($A3883="","",COUNTIF($U$8:$U$5007,$U3883))</f>
        <v/>
      </c>
    </row>
    <row r="3884" customFormat="false" ht="15" hidden="false" customHeight="false" outlineLevel="0" collapsed="false">
      <c r="A3884" s="31"/>
      <c r="B3884" s="32"/>
      <c r="C3884" s="32"/>
      <c r="D3884" s="32"/>
      <c r="E3884" s="32"/>
      <c r="F3884" s="32"/>
      <c r="G3884" s="33"/>
      <c r="H3884" s="33"/>
      <c r="I3884" s="34" t="str">
        <f aca="false">IF($A3884="","",$G3884-$H3884)</f>
        <v/>
      </c>
      <c r="J3884" s="35" t="str">
        <f aca="false">IF($A3884="","",IF(Setup!$B$6=1,YEAR($A3884),YEAR($A3884)+IF(MONTH($A3884)&gt;=Setup!$B$6,1,0)))</f>
        <v/>
      </c>
      <c r="K3884" s="35" t="str">
        <f aca="false">IF($A3884="","",MOD(MONTH($A3884)-Setup!$B$6+12,12)+1)</f>
        <v/>
      </c>
      <c r="L3884" s="36" t="str">
        <f aca="false">IF($A3884="","",TEXT($A3884,"MMM-YY"))</f>
        <v/>
      </c>
      <c r="M3884" s="37" t="str">
        <f aca="false">IF($A3884="","",IF($Q3884=0,"UNMAPPED",INDEX(COA_Mapping!$C$7:$C$256,$Q3884)))</f>
        <v/>
      </c>
      <c r="N3884" s="38" t="str">
        <f aca="false">IF($A3884="","",IF($Q3884=0,"",INDEX(COA_Mapping!$E$7:$E$256,$Q3884)))</f>
        <v/>
      </c>
      <c r="O3884" s="38" t="n">
        <f aca="false">IF($A3884="",1,IF($Q3884=0,1,INDEX(COA_Mapping!$F$7:$F$256,$Q3884)))</f>
        <v>1</v>
      </c>
      <c r="P3884" s="34" t="str">
        <f aca="false">IF($A3884="","",$I3884*$O3884)</f>
        <v/>
      </c>
      <c r="Q3884" s="39" t="n">
        <f aca="false">IF($B3884="",0,IFERROR(MATCH($B3884,COA_Mapping!$A$7:$A$256,0),0))</f>
        <v>0</v>
      </c>
      <c r="R3884" s="39" t="n">
        <f aca="false">IF($A3884="",-1,IF($J3884=Setup!$B$7,1,IF($J3884=Setup!$B$9,0,-1)))</f>
        <v>-1</v>
      </c>
      <c r="S3884" s="35" t="n">
        <f aca="false">IF(OR($A3884="",$Q3884=0,$R3884=-1),0,$Q3884*1000+$R3884*100+$K3884)</f>
        <v>0</v>
      </c>
      <c r="T3884" s="37" t="str">
        <f aca="false">IF($A3884="","",IF($B3884="","NO ACCOUNT",IF($Q3884=0,"UNMAPPED",IF($R3884=-1,"OUTSIDE FY RANGE","OK"))))</f>
        <v/>
      </c>
      <c r="U3884" s="40" t="str">
        <f aca="false">IF($A3884="","",$B3884&amp;"|"&amp;TEXT($A3884,"yyyymmdd")&amp;"|"&amp;TEXT($I3884,"0.00"))</f>
        <v/>
      </c>
      <c r="V3884" s="35" t="str">
        <f aca="false">IF($A3884="","",COUNTIF($U$8:$U$5007,$U3884))</f>
        <v/>
      </c>
    </row>
    <row r="3885" customFormat="false" ht="15" hidden="false" customHeight="false" outlineLevel="0" collapsed="false">
      <c r="A3885" s="31"/>
      <c r="B3885" s="32"/>
      <c r="C3885" s="32"/>
      <c r="D3885" s="32"/>
      <c r="E3885" s="32"/>
      <c r="F3885" s="32"/>
      <c r="G3885" s="33"/>
      <c r="H3885" s="33"/>
      <c r="I3885" s="34" t="str">
        <f aca="false">IF($A3885="","",$G3885-$H3885)</f>
        <v/>
      </c>
      <c r="J3885" s="35" t="str">
        <f aca="false">IF($A3885="","",IF(Setup!$B$6=1,YEAR($A3885),YEAR($A3885)+IF(MONTH($A3885)&gt;=Setup!$B$6,1,0)))</f>
        <v/>
      </c>
      <c r="K3885" s="35" t="str">
        <f aca="false">IF($A3885="","",MOD(MONTH($A3885)-Setup!$B$6+12,12)+1)</f>
        <v/>
      </c>
      <c r="L3885" s="36" t="str">
        <f aca="false">IF($A3885="","",TEXT($A3885,"MMM-YY"))</f>
        <v/>
      </c>
      <c r="M3885" s="37" t="str">
        <f aca="false">IF($A3885="","",IF($Q3885=0,"UNMAPPED",INDEX(COA_Mapping!$C$7:$C$256,$Q3885)))</f>
        <v/>
      </c>
      <c r="N3885" s="38" t="str">
        <f aca="false">IF($A3885="","",IF($Q3885=0,"",INDEX(COA_Mapping!$E$7:$E$256,$Q3885)))</f>
        <v/>
      </c>
      <c r="O3885" s="38" t="n">
        <f aca="false">IF($A3885="",1,IF($Q3885=0,1,INDEX(COA_Mapping!$F$7:$F$256,$Q3885)))</f>
        <v>1</v>
      </c>
      <c r="P3885" s="34" t="str">
        <f aca="false">IF($A3885="","",$I3885*$O3885)</f>
        <v/>
      </c>
      <c r="Q3885" s="39" t="n">
        <f aca="false">IF($B3885="",0,IFERROR(MATCH($B3885,COA_Mapping!$A$7:$A$256,0),0))</f>
        <v>0</v>
      </c>
      <c r="R3885" s="39" t="n">
        <f aca="false">IF($A3885="",-1,IF($J3885=Setup!$B$7,1,IF($J3885=Setup!$B$9,0,-1)))</f>
        <v>-1</v>
      </c>
      <c r="S3885" s="35" t="n">
        <f aca="false">IF(OR($A3885="",$Q3885=0,$R3885=-1),0,$Q3885*1000+$R3885*100+$K3885)</f>
        <v>0</v>
      </c>
      <c r="T3885" s="37" t="str">
        <f aca="false">IF($A3885="","",IF($B3885="","NO ACCOUNT",IF($Q3885=0,"UNMAPPED",IF($R3885=-1,"OUTSIDE FY RANGE","OK"))))</f>
        <v/>
      </c>
      <c r="U3885" s="40" t="str">
        <f aca="false">IF($A3885="","",$B3885&amp;"|"&amp;TEXT($A3885,"yyyymmdd")&amp;"|"&amp;TEXT($I3885,"0.00"))</f>
        <v/>
      </c>
      <c r="V3885" s="35" t="str">
        <f aca="false">IF($A3885="","",COUNTIF($U$8:$U$5007,$U3885))</f>
        <v/>
      </c>
    </row>
    <row r="3886" customFormat="false" ht="15" hidden="false" customHeight="false" outlineLevel="0" collapsed="false">
      <c r="A3886" s="31"/>
      <c r="B3886" s="32"/>
      <c r="C3886" s="32"/>
      <c r="D3886" s="32"/>
      <c r="E3886" s="32"/>
      <c r="F3886" s="32"/>
      <c r="G3886" s="33"/>
      <c r="H3886" s="33"/>
      <c r="I3886" s="34" t="str">
        <f aca="false">IF($A3886="","",$G3886-$H3886)</f>
        <v/>
      </c>
      <c r="J3886" s="35" t="str">
        <f aca="false">IF($A3886="","",IF(Setup!$B$6=1,YEAR($A3886),YEAR($A3886)+IF(MONTH($A3886)&gt;=Setup!$B$6,1,0)))</f>
        <v/>
      </c>
      <c r="K3886" s="35" t="str">
        <f aca="false">IF($A3886="","",MOD(MONTH($A3886)-Setup!$B$6+12,12)+1)</f>
        <v/>
      </c>
      <c r="L3886" s="36" t="str">
        <f aca="false">IF($A3886="","",TEXT($A3886,"MMM-YY"))</f>
        <v/>
      </c>
      <c r="M3886" s="37" t="str">
        <f aca="false">IF($A3886="","",IF($Q3886=0,"UNMAPPED",INDEX(COA_Mapping!$C$7:$C$256,$Q3886)))</f>
        <v/>
      </c>
      <c r="N3886" s="38" t="str">
        <f aca="false">IF($A3886="","",IF($Q3886=0,"",INDEX(COA_Mapping!$E$7:$E$256,$Q3886)))</f>
        <v/>
      </c>
      <c r="O3886" s="38" t="n">
        <f aca="false">IF($A3886="",1,IF($Q3886=0,1,INDEX(COA_Mapping!$F$7:$F$256,$Q3886)))</f>
        <v>1</v>
      </c>
      <c r="P3886" s="34" t="str">
        <f aca="false">IF($A3886="","",$I3886*$O3886)</f>
        <v/>
      </c>
      <c r="Q3886" s="39" t="n">
        <f aca="false">IF($B3886="",0,IFERROR(MATCH($B3886,COA_Mapping!$A$7:$A$256,0),0))</f>
        <v>0</v>
      </c>
      <c r="R3886" s="39" t="n">
        <f aca="false">IF($A3886="",-1,IF($J3886=Setup!$B$7,1,IF($J3886=Setup!$B$9,0,-1)))</f>
        <v>-1</v>
      </c>
      <c r="S3886" s="35" t="n">
        <f aca="false">IF(OR($A3886="",$Q3886=0,$R3886=-1),0,$Q3886*1000+$R3886*100+$K3886)</f>
        <v>0</v>
      </c>
      <c r="T3886" s="37" t="str">
        <f aca="false">IF($A3886="","",IF($B3886="","NO ACCOUNT",IF($Q3886=0,"UNMAPPED",IF($R3886=-1,"OUTSIDE FY RANGE","OK"))))</f>
        <v/>
      </c>
      <c r="U3886" s="40" t="str">
        <f aca="false">IF($A3886="","",$B3886&amp;"|"&amp;TEXT($A3886,"yyyymmdd")&amp;"|"&amp;TEXT($I3886,"0.00"))</f>
        <v/>
      </c>
      <c r="V3886" s="35" t="str">
        <f aca="false">IF($A3886="","",COUNTIF($U$8:$U$5007,$U3886))</f>
        <v/>
      </c>
    </row>
    <row r="3887" customFormat="false" ht="15" hidden="false" customHeight="false" outlineLevel="0" collapsed="false">
      <c r="A3887" s="31"/>
      <c r="B3887" s="32"/>
      <c r="C3887" s="32"/>
      <c r="D3887" s="32"/>
      <c r="E3887" s="32"/>
      <c r="F3887" s="32"/>
      <c r="G3887" s="33"/>
      <c r="H3887" s="33"/>
      <c r="I3887" s="34" t="str">
        <f aca="false">IF($A3887="","",$G3887-$H3887)</f>
        <v/>
      </c>
      <c r="J3887" s="35" t="str">
        <f aca="false">IF($A3887="","",IF(Setup!$B$6=1,YEAR($A3887),YEAR($A3887)+IF(MONTH($A3887)&gt;=Setup!$B$6,1,0)))</f>
        <v/>
      </c>
      <c r="K3887" s="35" t="str">
        <f aca="false">IF($A3887="","",MOD(MONTH($A3887)-Setup!$B$6+12,12)+1)</f>
        <v/>
      </c>
      <c r="L3887" s="36" t="str">
        <f aca="false">IF($A3887="","",TEXT($A3887,"MMM-YY"))</f>
        <v/>
      </c>
      <c r="M3887" s="37" t="str">
        <f aca="false">IF($A3887="","",IF($Q3887=0,"UNMAPPED",INDEX(COA_Mapping!$C$7:$C$256,$Q3887)))</f>
        <v/>
      </c>
      <c r="N3887" s="38" t="str">
        <f aca="false">IF($A3887="","",IF($Q3887=0,"",INDEX(COA_Mapping!$E$7:$E$256,$Q3887)))</f>
        <v/>
      </c>
      <c r="O3887" s="38" t="n">
        <f aca="false">IF($A3887="",1,IF($Q3887=0,1,INDEX(COA_Mapping!$F$7:$F$256,$Q3887)))</f>
        <v>1</v>
      </c>
      <c r="P3887" s="34" t="str">
        <f aca="false">IF($A3887="","",$I3887*$O3887)</f>
        <v/>
      </c>
      <c r="Q3887" s="39" t="n">
        <f aca="false">IF($B3887="",0,IFERROR(MATCH($B3887,COA_Mapping!$A$7:$A$256,0),0))</f>
        <v>0</v>
      </c>
      <c r="R3887" s="39" t="n">
        <f aca="false">IF($A3887="",-1,IF($J3887=Setup!$B$7,1,IF($J3887=Setup!$B$9,0,-1)))</f>
        <v>-1</v>
      </c>
      <c r="S3887" s="35" t="n">
        <f aca="false">IF(OR($A3887="",$Q3887=0,$R3887=-1),0,$Q3887*1000+$R3887*100+$K3887)</f>
        <v>0</v>
      </c>
      <c r="T3887" s="37" t="str">
        <f aca="false">IF($A3887="","",IF($B3887="","NO ACCOUNT",IF($Q3887=0,"UNMAPPED",IF($R3887=-1,"OUTSIDE FY RANGE","OK"))))</f>
        <v/>
      </c>
      <c r="U3887" s="40" t="str">
        <f aca="false">IF($A3887="","",$B3887&amp;"|"&amp;TEXT($A3887,"yyyymmdd")&amp;"|"&amp;TEXT($I3887,"0.00"))</f>
        <v/>
      </c>
      <c r="V3887" s="35" t="str">
        <f aca="false">IF($A3887="","",COUNTIF($U$8:$U$5007,$U3887))</f>
        <v/>
      </c>
    </row>
    <row r="3888" customFormat="false" ht="15" hidden="false" customHeight="false" outlineLevel="0" collapsed="false">
      <c r="A3888" s="31"/>
      <c r="B3888" s="32"/>
      <c r="C3888" s="32"/>
      <c r="D3888" s="32"/>
      <c r="E3888" s="32"/>
      <c r="F3888" s="32"/>
      <c r="G3888" s="33"/>
      <c r="H3888" s="33"/>
      <c r="I3888" s="34" t="str">
        <f aca="false">IF($A3888="","",$G3888-$H3888)</f>
        <v/>
      </c>
      <c r="J3888" s="35" t="str">
        <f aca="false">IF($A3888="","",IF(Setup!$B$6=1,YEAR($A3888),YEAR($A3888)+IF(MONTH($A3888)&gt;=Setup!$B$6,1,0)))</f>
        <v/>
      </c>
      <c r="K3888" s="35" t="str">
        <f aca="false">IF($A3888="","",MOD(MONTH($A3888)-Setup!$B$6+12,12)+1)</f>
        <v/>
      </c>
      <c r="L3888" s="36" t="str">
        <f aca="false">IF($A3888="","",TEXT($A3888,"MMM-YY"))</f>
        <v/>
      </c>
      <c r="M3888" s="37" t="str">
        <f aca="false">IF($A3888="","",IF($Q3888=0,"UNMAPPED",INDEX(COA_Mapping!$C$7:$C$256,$Q3888)))</f>
        <v/>
      </c>
      <c r="N3888" s="38" t="str">
        <f aca="false">IF($A3888="","",IF($Q3888=0,"",INDEX(COA_Mapping!$E$7:$E$256,$Q3888)))</f>
        <v/>
      </c>
      <c r="O3888" s="38" t="n">
        <f aca="false">IF($A3888="",1,IF($Q3888=0,1,INDEX(COA_Mapping!$F$7:$F$256,$Q3888)))</f>
        <v>1</v>
      </c>
      <c r="P3888" s="34" t="str">
        <f aca="false">IF($A3888="","",$I3888*$O3888)</f>
        <v/>
      </c>
      <c r="Q3888" s="39" t="n">
        <f aca="false">IF($B3888="",0,IFERROR(MATCH($B3888,COA_Mapping!$A$7:$A$256,0),0))</f>
        <v>0</v>
      </c>
      <c r="R3888" s="39" t="n">
        <f aca="false">IF($A3888="",-1,IF($J3888=Setup!$B$7,1,IF($J3888=Setup!$B$9,0,-1)))</f>
        <v>-1</v>
      </c>
      <c r="S3888" s="35" t="n">
        <f aca="false">IF(OR($A3888="",$Q3888=0,$R3888=-1),0,$Q3888*1000+$R3888*100+$K3888)</f>
        <v>0</v>
      </c>
      <c r="T3888" s="37" t="str">
        <f aca="false">IF($A3888="","",IF($B3888="","NO ACCOUNT",IF($Q3888=0,"UNMAPPED",IF($R3888=-1,"OUTSIDE FY RANGE","OK"))))</f>
        <v/>
      </c>
      <c r="U3888" s="40" t="str">
        <f aca="false">IF($A3888="","",$B3888&amp;"|"&amp;TEXT($A3888,"yyyymmdd")&amp;"|"&amp;TEXT($I3888,"0.00"))</f>
        <v/>
      </c>
      <c r="V3888" s="35" t="str">
        <f aca="false">IF($A3888="","",COUNTIF($U$8:$U$5007,$U3888))</f>
        <v/>
      </c>
    </row>
    <row r="3889" customFormat="false" ht="15" hidden="false" customHeight="false" outlineLevel="0" collapsed="false">
      <c r="A3889" s="31"/>
      <c r="B3889" s="32"/>
      <c r="C3889" s="32"/>
      <c r="D3889" s="32"/>
      <c r="E3889" s="32"/>
      <c r="F3889" s="32"/>
      <c r="G3889" s="33"/>
      <c r="H3889" s="33"/>
      <c r="I3889" s="34" t="str">
        <f aca="false">IF($A3889="","",$G3889-$H3889)</f>
        <v/>
      </c>
      <c r="J3889" s="35" t="str">
        <f aca="false">IF($A3889="","",IF(Setup!$B$6=1,YEAR($A3889),YEAR($A3889)+IF(MONTH($A3889)&gt;=Setup!$B$6,1,0)))</f>
        <v/>
      </c>
      <c r="K3889" s="35" t="str">
        <f aca="false">IF($A3889="","",MOD(MONTH($A3889)-Setup!$B$6+12,12)+1)</f>
        <v/>
      </c>
      <c r="L3889" s="36" t="str">
        <f aca="false">IF($A3889="","",TEXT($A3889,"MMM-YY"))</f>
        <v/>
      </c>
      <c r="M3889" s="37" t="str">
        <f aca="false">IF($A3889="","",IF($Q3889=0,"UNMAPPED",INDEX(COA_Mapping!$C$7:$C$256,$Q3889)))</f>
        <v/>
      </c>
      <c r="N3889" s="38" t="str">
        <f aca="false">IF($A3889="","",IF($Q3889=0,"",INDEX(COA_Mapping!$E$7:$E$256,$Q3889)))</f>
        <v/>
      </c>
      <c r="O3889" s="38" t="n">
        <f aca="false">IF($A3889="",1,IF($Q3889=0,1,INDEX(COA_Mapping!$F$7:$F$256,$Q3889)))</f>
        <v>1</v>
      </c>
      <c r="P3889" s="34" t="str">
        <f aca="false">IF($A3889="","",$I3889*$O3889)</f>
        <v/>
      </c>
      <c r="Q3889" s="39" t="n">
        <f aca="false">IF($B3889="",0,IFERROR(MATCH($B3889,COA_Mapping!$A$7:$A$256,0),0))</f>
        <v>0</v>
      </c>
      <c r="R3889" s="39" t="n">
        <f aca="false">IF($A3889="",-1,IF($J3889=Setup!$B$7,1,IF($J3889=Setup!$B$9,0,-1)))</f>
        <v>-1</v>
      </c>
      <c r="S3889" s="35" t="n">
        <f aca="false">IF(OR($A3889="",$Q3889=0,$R3889=-1),0,$Q3889*1000+$R3889*100+$K3889)</f>
        <v>0</v>
      </c>
      <c r="T3889" s="37" t="str">
        <f aca="false">IF($A3889="","",IF($B3889="","NO ACCOUNT",IF($Q3889=0,"UNMAPPED",IF($R3889=-1,"OUTSIDE FY RANGE","OK"))))</f>
        <v/>
      </c>
      <c r="U3889" s="40" t="str">
        <f aca="false">IF($A3889="","",$B3889&amp;"|"&amp;TEXT($A3889,"yyyymmdd")&amp;"|"&amp;TEXT($I3889,"0.00"))</f>
        <v/>
      </c>
      <c r="V3889" s="35" t="str">
        <f aca="false">IF($A3889="","",COUNTIF($U$8:$U$5007,$U3889))</f>
        <v/>
      </c>
    </row>
    <row r="3890" customFormat="false" ht="15" hidden="false" customHeight="false" outlineLevel="0" collapsed="false">
      <c r="A3890" s="31"/>
      <c r="B3890" s="32"/>
      <c r="C3890" s="32"/>
      <c r="D3890" s="32"/>
      <c r="E3890" s="32"/>
      <c r="F3890" s="32"/>
      <c r="G3890" s="33"/>
      <c r="H3890" s="33"/>
      <c r="I3890" s="34" t="str">
        <f aca="false">IF($A3890="","",$G3890-$H3890)</f>
        <v/>
      </c>
      <c r="J3890" s="35" t="str">
        <f aca="false">IF($A3890="","",IF(Setup!$B$6=1,YEAR($A3890),YEAR($A3890)+IF(MONTH($A3890)&gt;=Setup!$B$6,1,0)))</f>
        <v/>
      </c>
      <c r="K3890" s="35" t="str">
        <f aca="false">IF($A3890="","",MOD(MONTH($A3890)-Setup!$B$6+12,12)+1)</f>
        <v/>
      </c>
      <c r="L3890" s="36" t="str">
        <f aca="false">IF($A3890="","",TEXT($A3890,"MMM-YY"))</f>
        <v/>
      </c>
      <c r="M3890" s="37" t="str">
        <f aca="false">IF($A3890="","",IF($Q3890=0,"UNMAPPED",INDEX(COA_Mapping!$C$7:$C$256,$Q3890)))</f>
        <v/>
      </c>
      <c r="N3890" s="38" t="str">
        <f aca="false">IF($A3890="","",IF($Q3890=0,"",INDEX(COA_Mapping!$E$7:$E$256,$Q3890)))</f>
        <v/>
      </c>
      <c r="O3890" s="38" t="n">
        <f aca="false">IF($A3890="",1,IF($Q3890=0,1,INDEX(COA_Mapping!$F$7:$F$256,$Q3890)))</f>
        <v>1</v>
      </c>
      <c r="P3890" s="34" t="str">
        <f aca="false">IF($A3890="","",$I3890*$O3890)</f>
        <v/>
      </c>
      <c r="Q3890" s="39" t="n">
        <f aca="false">IF($B3890="",0,IFERROR(MATCH($B3890,COA_Mapping!$A$7:$A$256,0),0))</f>
        <v>0</v>
      </c>
      <c r="R3890" s="39" t="n">
        <f aca="false">IF($A3890="",-1,IF($J3890=Setup!$B$7,1,IF($J3890=Setup!$B$9,0,-1)))</f>
        <v>-1</v>
      </c>
      <c r="S3890" s="35" t="n">
        <f aca="false">IF(OR($A3890="",$Q3890=0,$R3890=-1),0,$Q3890*1000+$R3890*100+$K3890)</f>
        <v>0</v>
      </c>
      <c r="T3890" s="37" t="str">
        <f aca="false">IF($A3890="","",IF($B3890="","NO ACCOUNT",IF($Q3890=0,"UNMAPPED",IF($R3890=-1,"OUTSIDE FY RANGE","OK"))))</f>
        <v/>
      </c>
      <c r="U3890" s="40" t="str">
        <f aca="false">IF($A3890="","",$B3890&amp;"|"&amp;TEXT($A3890,"yyyymmdd")&amp;"|"&amp;TEXT($I3890,"0.00"))</f>
        <v/>
      </c>
      <c r="V3890" s="35" t="str">
        <f aca="false">IF($A3890="","",COUNTIF($U$8:$U$5007,$U3890))</f>
        <v/>
      </c>
    </row>
    <row r="3891" customFormat="false" ht="15" hidden="false" customHeight="false" outlineLevel="0" collapsed="false">
      <c r="A3891" s="31"/>
      <c r="B3891" s="32"/>
      <c r="C3891" s="32"/>
      <c r="D3891" s="32"/>
      <c r="E3891" s="32"/>
      <c r="F3891" s="32"/>
      <c r="G3891" s="33"/>
      <c r="H3891" s="33"/>
      <c r="I3891" s="34" t="str">
        <f aca="false">IF($A3891="","",$G3891-$H3891)</f>
        <v/>
      </c>
      <c r="J3891" s="35" t="str">
        <f aca="false">IF($A3891="","",IF(Setup!$B$6=1,YEAR($A3891),YEAR($A3891)+IF(MONTH($A3891)&gt;=Setup!$B$6,1,0)))</f>
        <v/>
      </c>
      <c r="K3891" s="35" t="str">
        <f aca="false">IF($A3891="","",MOD(MONTH($A3891)-Setup!$B$6+12,12)+1)</f>
        <v/>
      </c>
      <c r="L3891" s="36" t="str">
        <f aca="false">IF($A3891="","",TEXT($A3891,"MMM-YY"))</f>
        <v/>
      </c>
      <c r="M3891" s="37" t="str">
        <f aca="false">IF($A3891="","",IF($Q3891=0,"UNMAPPED",INDEX(COA_Mapping!$C$7:$C$256,$Q3891)))</f>
        <v/>
      </c>
      <c r="N3891" s="38" t="str">
        <f aca="false">IF($A3891="","",IF($Q3891=0,"",INDEX(COA_Mapping!$E$7:$E$256,$Q3891)))</f>
        <v/>
      </c>
      <c r="O3891" s="38" t="n">
        <f aca="false">IF($A3891="",1,IF($Q3891=0,1,INDEX(COA_Mapping!$F$7:$F$256,$Q3891)))</f>
        <v>1</v>
      </c>
      <c r="P3891" s="34" t="str">
        <f aca="false">IF($A3891="","",$I3891*$O3891)</f>
        <v/>
      </c>
      <c r="Q3891" s="39" t="n">
        <f aca="false">IF($B3891="",0,IFERROR(MATCH($B3891,COA_Mapping!$A$7:$A$256,0),0))</f>
        <v>0</v>
      </c>
      <c r="R3891" s="39" t="n">
        <f aca="false">IF($A3891="",-1,IF($J3891=Setup!$B$7,1,IF($J3891=Setup!$B$9,0,-1)))</f>
        <v>-1</v>
      </c>
      <c r="S3891" s="35" t="n">
        <f aca="false">IF(OR($A3891="",$Q3891=0,$R3891=-1),0,$Q3891*1000+$R3891*100+$K3891)</f>
        <v>0</v>
      </c>
      <c r="T3891" s="37" t="str">
        <f aca="false">IF($A3891="","",IF($B3891="","NO ACCOUNT",IF($Q3891=0,"UNMAPPED",IF($R3891=-1,"OUTSIDE FY RANGE","OK"))))</f>
        <v/>
      </c>
      <c r="U3891" s="40" t="str">
        <f aca="false">IF($A3891="","",$B3891&amp;"|"&amp;TEXT($A3891,"yyyymmdd")&amp;"|"&amp;TEXT($I3891,"0.00"))</f>
        <v/>
      </c>
      <c r="V3891" s="35" t="str">
        <f aca="false">IF($A3891="","",COUNTIF($U$8:$U$5007,$U3891))</f>
        <v/>
      </c>
    </row>
    <row r="3892" customFormat="false" ht="15" hidden="false" customHeight="false" outlineLevel="0" collapsed="false">
      <c r="A3892" s="31"/>
      <c r="B3892" s="32"/>
      <c r="C3892" s="32"/>
      <c r="D3892" s="32"/>
      <c r="E3892" s="32"/>
      <c r="F3892" s="32"/>
      <c r="G3892" s="33"/>
      <c r="H3892" s="33"/>
      <c r="I3892" s="34" t="str">
        <f aca="false">IF($A3892="","",$G3892-$H3892)</f>
        <v/>
      </c>
      <c r="J3892" s="35" t="str">
        <f aca="false">IF($A3892="","",IF(Setup!$B$6=1,YEAR($A3892),YEAR($A3892)+IF(MONTH($A3892)&gt;=Setup!$B$6,1,0)))</f>
        <v/>
      </c>
      <c r="K3892" s="35" t="str">
        <f aca="false">IF($A3892="","",MOD(MONTH($A3892)-Setup!$B$6+12,12)+1)</f>
        <v/>
      </c>
      <c r="L3892" s="36" t="str">
        <f aca="false">IF($A3892="","",TEXT($A3892,"MMM-YY"))</f>
        <v/>
      </c>
      <c r="M3892" s="37" t="str">
        <f aca="false">IF($A3892="","",IF($Q3892=0,"UNMAPPED",INDEX(COA_Mapping!$C$7:$C$256,$Q3892)))</f>
        <v/>
      </c>
      <c r="N3892" s="38" t="str">
        <f aca="false">IF($A3892="","",IF($Q3892=0,"",INDEX(COA_Mapping!$E$7:$E$256,$Q3892)))</f>
        <v/>
      </c>
      <c r="O3892" s="38" t="n">
        <f aca="false">IF($A3892="",1,IF($Q3892=0,1,INDEX(COA_Mapping!$F$7:$F$256,$Q3892)))</f>
        <v>1</v>
      </c>
      <c r="P3892" s="34" t="str">
        <f aca="false">IF($A3892="","",$I3892*$O3892)</f>
        <v/>
      </c>
      <c r="Q3892" s="39" t="n">
        <f aca="false">IF($B3892="",0,IFERROR(MATCH($B3892,COA_Mapping!$A$7:$A$256,0),0))</f>
        <v>0</v>
      </c>
      <c r="R3892" s="39" t="n">
        <f aca="false">IF($A3892="",-1,IF($J3892=Setup!$B$7,1,IF($J3892=Setup!$B$9,0,-1)))</f>
        <v>-1</v>
      </c>
      <c r="S3892" s="35" t="n">
        <f aca="false">IF(OR($A3892="",$Q3892=0,$R3892=-1),0,$Q3892*1000+$R3892*100+$K3892)</f>
        <v>0</v>
      </c>
      <c r="T3892" s="37" t="str">
        <f aca="false">IF($A3892="","",IF($B3892="","NO ACCOUNT",IF($Q3892=0,"UNMAPPED",IF($R3892=-1,"OUTSIDE FY RANGE","OK"))))</f>
        <v/>
      </c>
      <c r="U3892" s="40" t="str">
        <f aca="false">IF($A3892="","",$B3892&amp;"|"&amp;TEXT($A3892,"yyyymmdd")&amp;"|"&amp;TEXT($I3892,"0.00"))</f>
        <v/>
      </c>
      <c r="V3892" s="35" t="str">
        <f aca="false">IF($A3892="","",COUNTIF($U$8:$U$5007,$U3892))</f>
        <v/>
      </c>
    </row>
    <row r="3893" customFormat="false" ht="15" hidden="false" customHeight="false" outlineLevel="0" collapsed="false">
      <c r="A3893" s="31"/>
      <c r="B3893" s="32"/>
      <c r="C3893" s="32"/>
      <c r="D3893" s="32"/>
      <c r="E3893" s="32"/>
      <c r="F3893" s="32"/>
      <c r="G3893" s="33"/>
      <c r="H3893" s="33"/>
      <c r="I3893" s="34" t="str">
        <f aca="false">IF($A3893="","",$G3893-$H3893)</f>
        <v/>
      </c>
      <c r="J3893" s="35" t="str">
        <f aca="false">IF($A3893="","",IF(Setup!$B$6=1,YEAR($A3893),YEAR($A3893)+IF(MONTH($A3893)&gt;=Setup!$B$6,1,0)))</f>
        <v/>
      </c>
      <c r="K3893" s="35" t="str">
        <f aca="false">IF($A3893="","",MOD(MONTH($A3893)-Setup!$B$6+12,12)+1)</f>
        <v/>
      </c>
      <c r="L3893" s="36" t="str">
        <f aca="false">IF($A3893="","",TEXT($A3893,"MMM-YY"))</f>
        <v/>
      </c>
      <c r="M3893" s="37" t="str">
        <f aca="false">IF($A3893="","",IF($Q3893=0,"UNMAPPED",INDEX(COA_Mapping!$C$7:$C$256,$Q3893)))</f>
        <v/>
      </c>
      <c r="N3893" s="38" t="str">
        <f aca="false">IF($A3893="","",IF($Q3893=0,"",INDEX(COA_Mapping!$E$7:$E$256,$Q3893)))</f>
        <v/>
      </c>
      <c r="O3893" s="38" t="n">
        <f aca="false">IF($A3893="",1,IF($Q3893=0,1,INDEX(COA_Mapping!$F$7:$F$256,$Q3893)))</f>
        <v>1</v>
      </c>
      <c r="P3893" s="34" t="str">
        <f aca="false">IF($A3893="","",$I3893*$O3893)</f>
        <v/>
      </c>
      <c r="Q3893" s="39" t="n">
        <f aca="false">IF($B3893="",0,IFERROR(MATCH($B3893,COA_Mapping!$A$7:$A$256,0),0))</f>
        <v>0</v>
      </c>
      <c r="R3893" s="39" t="n">
        <f aca="false">IF($A3893="",-1,IF($J3893=Setup!$B$7,1,IF($J3893=Setup!$B$9,0,-1)))</f>
        <v>-1</v>
      </c>
      <c r="S3893" s="35" t="n">
        <f aca="false">IF(OR($A3893="",$Q3893=0,$R3893=-1),0,$Q3893*1000+$R3893*100+$K3893)</f>
        <v>0</v>
      </c>
      <c r="T3893" s="37" t="str">
        <f aca="false">IF($A3893="","",IF($B3893="","NO ACCOUNT",IF($Q3893=0,"UNMAPPED",IF($R3893=-1,"OUTSIDE FY RANGE","OK"))))</f>
        <v/>
      </c>
      <c r="U3893" s="40" t="str">
        <f aca="false">IF($A3893="","",$B3893&amp;"|"&amp;TEXT($A3893,"yyyymmdd")&amp;"|"&amp;TEXT($I3893,"0.00"))</f>
        <v/>
      </c>
      <c r="V3893" s="35" t="str">
        <f aca="false">IF($A3893="","",COUNTIF($U$8:$U$5007,$U3893))</f>
        <v/>
      </c>
    </row>
    <row r="3894" customFormat="false" ht="15" hidden="false" customHeight="false" outlineLevel="0" collapsed="false">
      <c r="A3894" s="31"/>
      <c r="B3894" s="32"/>
      <c r="C3894" s="32"/>
      <c r="D3894" s="32"/>
      <c r="E3894" s="32"/>
      <c r="F3894" s="32"/>
      <c r="G3894" s="33"/>
      <c r="H3894" s="33"/>
      <c r="I3894" s="34" t="str">
        <f aca="false">IF($A3894="","",$G3894-$H3894)</f>
        <v/>
      </c>
      <c r="J3894" s="35" t="str">
        <f aca="false">IF($A3894="","",IF(Setup!$B$6=1,YEAR($A3894),YEAR($A3894)+IF(MONTH($A3894)&gt;=Setup!$B$6,1,0)))</f>
        <v/>
      </c>
      <c r="K3894" s="35" t="str">
        <f aca="false">IF($A3894="","",MOD(MONTH($A3894)-Setup!$B$6+12,12)+1)</f>
        <v/>
      </c>
      <c r="L3894" s="36" t="str">
        <f aca="false">IF($A3894="","",TEXT($A3894,"MMM-YY"))</f>
        <v/>
      </c>
      <c r="M3894" s="37" t="str">
        <f aca="false">IF($A3894="","",IF($Q3894=0,"UNMAPPED",INDEX(COA_Mapping!$C$7:$C$256,$Q3894)))</f>
        <v/>
      </c>
      <c r="N3894" s="38" t="str">
        <f aca="false">IF($A3894="","",IF($Q3894=0,"",INDEX(COA_Mapping!$E$7:$E$256,$Q3894)))</f>
        <v/>
      </c>
      <c r="O3894" s="38" t="n">
        <f aca="false">IF($A3894="",1,IF($Q3894=0,1,INDEX(COA_Mapping!$F$7:$F$256,$Q3894)))</f>
        <v>1</v>
      </c>
      <c r="P3894" s="34" t="str">
        <f aca="false">IF($A3894="","",$I3894*$O3894)</f>
        <v/>
      </c>
      <c r="Q3894" s="39" t="n">
        <f aca="false">IF($B3894="",0,IFERROR(MATCH($B3894,COA_Mapping!$A$7:$A$256,0),0))</f>
        <v>0</v>
      </c>
      <c r="R3894" s="39" t="n">
        <f aca="false">IF($A3894="",-1,IF($J3894=Setup!$B$7,1,IF($J3894=Setup!$B$9,0,-1)))</f>
        <v>-1</v>
      </c>
      <c r="S3894" s="35" t="n">
        <f aca="false">IF(OR($A3894="",$Q3894=0,$R3894=-1),0,$Q3894*1000+$R3894*100+$K3894)</f>
        <v>0</v>
      </c>
      <c r="T3894" s="37" t="str">
        <f aca="false">IF($A3894="","",IF($B3894="","NO ACCOUNT",IF($Q3894=0,"UNMAPPED",IF($R3894=-1,"OUTSIDE FY RANGE","OK"))))</f>
        <v/>
      </c>
      <c r="U3894" s="40" t="str">
        <f aca="false">IF($A3894="","",$B3894&amp;"|"&amp;TEXT($A3894,"yyyymmdd")&amp;"|"&amp;TEXT($I3894,"0.00"))</f>
        <v/>
      </c>
      <c r="V3894" s="35" t="str">
        <f aca="false">IF($A3894="","",COUNTIF($U$8:$U$5007,$U3894))</f>
        <v/>
      </c>
    </row>
    <row r="3895" customFormat="false" ht="15" hidden="false" customHeight="false" outlineLevel="0" collapsed="false">
      <c r="A3895" s="31"/>
      <c r="B3895" s="32"/>
      <c r="C3895" s="32"/>
      <c r="D3895" s="32"/>
      <c r="E3895" s="32"/>
      <c r="F3895" s="32"/>
      <c r="G3895" s="33"/>
      <c r="H3895" s="33"/>
      <c r="I3895" s="34" t="str">
        <f aca="false">IF($A3895="","",$G3895-$H3895)</f>
        <v/>
      </c>
      <c r="J3895" s="35" t="str">
        <f aca="false">IF($A3895="","",IF(Setup!$B$6=1,YEAR($A3895),YEAR($A3895)+IF(MONTH($A3895)&gt;=Setup!$B$6,1,0)))</f>
        <v/>
      </c>
      <c r="K3895" s="35" t="str">
        <f aca="false">IF($A3895="","",MOD(MONTH($A3895)-Setup!$B$6+12,12)+1)</f>
        <v/>
      </c>
      <c r="L3895" s="36" t="str">
        <f aca="false">IF($A3895="","",TEXT($A3895,"MMM-YY"))</f>
        <v/>
      </c>
      <c r="M3895" s="37" t="str">
        <f aca="false">IF($A3895="","",IF($Q3895=0,"UNMAPPED",INDEX(COA_Mapping!$C$7:$C$256,$Q3895)))</f>
        <v/>
      </c>
      <c r="N3895" s="38" t="str">
        <f aca="false">IF($A3895="","",IF($Q3895=0,"",INDEX(COA_Mapping!$E$7:$E$256,$Q3895)))</f>
        <v/>
      </c>
      <c r="O3895" s="38" t="n">
        <f aca="false">IF($A3895="",1,IF($Q3895=0,1,INDEX(COA_Mapping!$F$7:$F$256,$Q3895)))</f>
        <v>1</v>
      </c>
      <c r="P3895" s="34" t="str">
        <f aca="false">IF($A3895="","",$I3895*$O3895)</f>
        <v/>
      </c>
      <c r="Q3895" s="39" t="n">
        <f aca="false">IF($B3895="",0,IFERROR(MATCH($B3895,COA_Mapping!$A$7:$A$256,0),0))</f>
        <v>0</v>
      </c>
      <c r="R3895" s="39" t="n">
        <f aca="false">IF($A3895="",-1,IF($J3895=Setup!$B$7,1,IF($J3895=Setup!$B$9,0,-1)))</f>
        <v>-1</v>
      </c>
      <c r="S3895" s="35" t="n">
        <f aca="false">IF(OR($A3895="",$Q3895=0,$R3895=-1),0,$Q3895*1000+$R3895*100+$K3895)</f>
        <v>0</v>
      </c>
      <c r="T3895" s="37" t="str">
        <f aca="false">IF($A3895="","",IF($B3895="","NO ACCOUNT",IF($Q3895=0,"UNMAPPED",IF($R3895=-1,"OUTSIDE FY RANGE","OK"))))</f>
        <v/>
      </c>
      <c r="U3895" s="40" t="str">
        <f aca="false">IF($A3895="","",$B3895&amp;"|"&amp;TEXT($A3895,"yyyymmdd")&amp;"|"&amp;TEXT($I3895,"0.00"))</f>
        <v/>
      </c>
      <c r="V3895" s="35" t="str">
        <f aca="false">IF($A3895="","",COUNTIF($U$8:$U$5007,$U3895))</f>
        <v/>
      </c>
    </row>
    <row r="3896" customFormat="false" ht="15" hidden="false" customHeight="false" outlineLevel="0" collapsed="false">
      <c r="A3896" s="31"/>
      <c r="B3896" s="32"/>
      <c r="C3896" s="32"/>
      <c r="D3896" s="32"/>
      <c r="E3896" s="32"/>
      <c r="F3896" s="32"/>
      <c r="G3896" s="33"/>
      <c r="H3896" s="33"/>
      <c r="I3896" s="34" t="str">
        <f aca="false">IF($A3896="","",$G3896-$H3896)</f>
        <v/>
      </c>
      <c r="J3896" s="35" t="str">
        <f aca="false">IF($A3896="","",IF(Setup!$B$6=1,YEAR($A3896),YEAR($A3896)+IF(MONTH($A3896)&gt;=Setup!$B$6,1,0)))</f>
        <v/>
      </c>
      <c r="K3896" s="35" t="str">
        <f aca="false">IF($A3896="","",MOD(MONTH($A3896)-Setup!$B$6+12,12)+1)</f>
        <v/>
      </c>
      <c r="L3896" s="36" t="str">
        <f aca="false">IF($A3896="","",TEXT($A3896,"MMM-YY"))</f>
        <v/>
      </c>
      <c r="M3896" s="37" t="str">
        <f aca="false">IF($A3896="","",IF($Q3896=0,"UNMAPPED",INDEX(COA_Mapping!$C$7:$C$256,$Q3896)))</f>
        <v/>
      </c>
      <c r="N3896" s="38" t="str">
        <f aca="false">IF($A3896="","",IF($Q3896=0,"",INDEX(COA_Mapping!$E$7:$E$256,$Q3896)))</f>
        <v/>
      </c>
      <c r="O3896" s="38" t="n">
        <f aca="false">IF($A3896="",1,IF($Q3896=0,1,INDEX(COA_Mapping!$F$7:$F$256,$Q3896)))</f>
        <v>1</v>
      </c>
      <c r="P3896" s="34" t="str">
        <f aca="false">IF($A3896="","",$I3896*$O3896)</f>
        <v/>
      </c>
      <c r="Q3896" s="39" t="n">
        <f aca="false">IF($B3896="",0,IFERROR(MATCH($B3896,COA_Mapping!$A$7:$A$256,0),0))</f>
        <v>0</v>
      </c>
      <c r="R3896" s="39" t="n">
        <f aca="false">IF($A3896="",-1,IF($J3896=Setup!$B$7,1,IF($J3896=Setup!$B$9,0,-1)))</f>
        <v>-1</v>
      </c>
      <c r="S3896" s="35" t="n">
        <f aca="false">IF(OR($A3896="",$Q3896=0,$R3896=-1),0,$Q3896*1000+$R3896*100+$K3896)</f>
        <v>0</v>
      </c>
      <c r="T3896" s="37" t="str">
        <f aca="false">IF($A3896="","",IF($B3896="","NO ACCOUNT",IF($Q3896=0,"UNMAPPED",IF($R3896=-1,"OUTSIDE FY RANGE","OK"))))</f>
        <v/>
      </c>
      <c r="U3896" s="40" t="str">
        <f aca="false">IF($A3896="","",$B3896&amp;"|"&amp;TEXT($A3896,"yyyymmdd")&amp;"|"&amp;TEXT($I3896,"0.00"))</f>
        <v/>
      </c>
      <c r="V3896" s="35" t="str">
        <f aca="false">IF($A3896="","",COUNTIF($U$8:$U$5007,$U3896))</f>
        <v/>
      </c>
    </row>
    <row r="3897" customFormat="false" ht="15" hidden="false" customHeight="false" outlineLevel="0" collapsed="false">
      <c r="A3897" s="31"/>
      <c r="B3897" s="32"/>
      <c r="C3897" s="32"/>
      <c r="D3897" s="32"/>
      <c r="E3897" s="32"/>
      <c r="F3897" s="32"/>
      <c r="G3897" s="33"/>
      <c r="H3897" s="33"/>
      <c r="I3897" s="34" t="str">
        <f aca="false">IF($A3897="","",$G3897-$H3897)</f>
        <v/>
      </c>
      <c r="J3897" s="35" t="str">
        <f aca="false">IF($A3897="","",IF(Setup!$B$6=1,YEAR($A3897),YEAR($A3897)+IF(MONTH($A3897)&gt;=Setup!$B$6,1,0)))</f>
        <v/>
      </c>
      <c r="K3897" s="35" t="str">
        <f aca="false">IF($A3897="","",MOD(MONTH($A3897)-Setup!$B$6+12,12)+1)</f>
        <v/>
      </c>
      <c r="L3897" s="36" t="str">
        <f aca="false">IF($A3897="","",TEXT($A3897,"MMM-YY"))</f>
        <v/>
      </c>
      <c r="M3897" s="37" t="str">
        <f aca="false">IF($A3897="","",IF($Q3897=0,"UNMAPPED",INDEX(COA_Mapping!$C$7:$C$256,$Q3897)))</f>
        <v/>
      </c>
      <c r="N3897" s="38" t="str">
        <f aca="false">IF($A3897="","",IF($Q3897=0,"",INDEX(COA_Mapping!$E$7:$E$256,$Q3897)))</f>
        <v/>
      </c>
      <c r="O3897" s="38" t="n">
        <f aca="false">IF($A3897="",1,IF($Q3897=0,1,INDEX(COA_Mapping!$F$7:$F$256,$Q3897)))</f>
        <v>1</v>
      </c>
      <c r="P3897" s="34" t="str">
        <f aca="false">IF($A3897="","",$I3897*$O3897)</f>
        <v/>
      </c>
      <c r="Q3897" s="39" t="n">
        <f aca="false">IF($B3897="",0,IFERROR(MATCH($B3897,COA_Mapping!$A$7:$A$256,0),0))</f>
        <v>0</v>
      </c>
      <c r="R3897" s="39" t="n">
        <f aca="false">IF($A3897="",-1,IF($J3897=Setup!$B$7,1,IF($J3897=Setup!$B$9,0,-1)))</f>
        <v>-1</v>
      </c>
      <c r="S3897" s="35" t="n">
        <f aca="false">IF(OR($A3897="",$Q3897=0,$R3897=-1),0,$Q3897*1000+$R3897*100+$K3897)</f>
        <v>0</v>
      </c>
      <c r="T3897" s="37" t="str">
        <f aca="false">IF($A3897="","",IF($B3897="","NO ACCOUNT",IF($Q3897=0,"UNMAPPED",IF($R3897=-1,"OUTSIDE FY RANGE","OK"))))</f>
        <v/>
      </c>
      <c r="U3897" s="40" t="str">
        <f aca="false">IF($A3897="","",$B3897&amp;"|"&amp;TEXT($A3897,"yyyymmdd")&amp;"|"&amp;TEXT($I3897,"0.00"))</f>
        <v/>
      </c>
      <c r="V3897" s="35" t="str">
        <f aca="false">IF($A3897="","",COUNTIF($U$8:$U$5007,$U3897))</f>
        <v/>
      </c>
    </row>
    <row r="3898" customFormat="false" ht="15" hidden="false" customHeight="false" outlineLevel="0" collapsed="false">
      <c r="A3898" s="31"/>
      <c r="B3898" s="32"/>
      <c r="C3898" s="32"/>
      <c r="D3898" s="32"/>
      <c r="E3898" s="32"/>
      <c r="F3898" s="32"/>
      <c r="G3898" s="33"/>
      <c r="H3898" s="33"/>
      <c r="I3898" s="34" t="str">
        <f aca="false">IF($A3898="","",$G3898-$H3898)</f>
        <v/>
      </c>
      <c r="J3898" s="35" t="str">
        <f aca="false">IF($A3898="","",IF(Setup!$B$6=1,YEAR($A3898),YEAR($A3898)+IF(MONTH($A3898)&gt;=Setup!$B$6,1,0)))</f>
        <v/>
      </c>
      <c r="K3898" s="35" t="str">
        <f aca="false">IF($A3898="","",MOD(MONTH($A3898)-Setup!$B$6+12,12)+1)</f>
        <v/>
      </c>
      <c r="L3898" s="36" t="str">
        <f aca="false">IF($A3898="","",TEXT($A3898,"MMM-YY"))</f>
        <v/>
      </c>
      <c r="M3898" s="37" t="str">
        <f aca="false">IF($A3898="","",IF($Q3898=0,"UNMAPPED",INDEX(COA_Mapping!$C$7:$C$256,$Q3898)))</f>
        <v/>
      </c>
      <c r="N3898" s="38" t="str">
        <f aca="false">IF($A3898="","",IF($Q3898=0,"",INDEX(COA_Mapping!$E$7:$E$256,$Q3898)))</f>
        <v/>
      </c>
      <c r="O3898" s="38" t="n">
        <f aca="false">IF($A3898="",1,IF($Q3898=0,1,INDEX(COA_Mapping!$F$7:$F$256,$Q3898)))</f>
        <v>1</v>
      </c>
      <c r="P3898" s="34" t="str">
        <f aca="false">IF($A3898="","",$I3898*$O3898)</f>
        <v/>
      </c>
      <c r="Q3898" s="39" t="n">
        <f aca="false">IF($B3898="",0,IFERROR(MATCH($B3898,COA_Mapping!$A$7:$A$256,0),0))</f>
        <v>0</v>
      </c>
      <c r="R3898" s="39" t="n">
        <f aca="false">IF($A3898="",-1,IF($J3898=Setup!$B$7,1,IF($J3898=Setup!$B$9,0,-1)))</f>
        <v>-1</v>
      </c>
      <c r="S3898" s="35" t="n">
        <f aca="false">IF(OR($A3898="",$Q3898=0,$R3898=-1),0,$Q3898*1000+$R3898*100+$K3898)</f>
        <v>0</v>
      </c>
      <c r="T3898" s="37" t="str">
        <f aca="false">IF($A3898="","",IF($B3898="","NO ACCOUNT",IF($Q3898=0,"UNMAPPED",IF($R3898=-1,"OUTSIDE FY RANGE","OK"))))</f>
        <v/>
      </c>
      <c r="U3898" s="40" t="str">
        <f aca="false">IF($A3898="","",$B3898&amp;"|"&amp;TEXT($A3898,"yyyymmdd")&amp;"|"&amp;TEXT($I3898,"0.00"))</f>
        <v/>
      </c>
      <c r="V3898" s="35" t="str">
        <f aca="false">IF($A3898="","",COUNTIF($U$8:$U$5007,$U3898))</f>
        <v/>
      </c>
    </row>
    <row r="3899" customFormat="false" ht="15" hidden="false" customHeight="false" outlineLevel="0" collapsed="false">
      <c r="A3899" s="31"/>
      <c r="B3899" s="32"/>
      <c r="C3899" s="32"/>
      <c r="D3899" s="32"/>
      <c r="E3899" s="32"/>
      <c r="F3899" s="32"/>
      <c r="G3899" s="33"/>
      <c r="H3899" s="33"/>
      <c r="I3899" s="34" t="str">
        <f aca="false">IF($A3899="","",$G3899-$H3899)</f>
        <v/>
      </c>
      <c r="J3899" s="35" t="str">
        <f aca="false">IF($A3899="","",IF(Setup!$B$6=1,YEAR($A3899),YEAR($A3899)+IF(MONTH($A3899)&gt;=Setup!$B$6,1,0)))</f>
        <v/>
      </c>
      <c r="K3899" s="35" t="str">
        <f aca="false">IF($A3899="","",MOD(MONTH($A3899)-Setup!$B$6+12,12)+1)</f>
        <v/>
      </c>
      <c r="L3899" s="36" t="str">
        <f aca="false">IF($A3899="","",TEXT($A3899,"MMM-YY"))</f>
        <v/>
      </c>
      <c r="M3899" s="37" t="str">
        <f aca="false">IF($A3899="","",IF($Q3899=0,"UNMAPPED",INDEX(COA_Mapping!$C$7:$C$256,$Q3899)))</f>
        <v/>
      </c>
      <c r="N3899" s="38" t="str">
        <f aca="false">IF($A3899="","",IF($Q3899=0,"",INDEX(COA_Mapping!$E$7:$E$256,$Q3899)))</f>
        <v/>
      </c>
      <c r="O3899" s="38" t="n">
        <f aca="false">IF($A3899="",1,IF($Q3899=0,1,INDEX(COA_Mapping!$F$7:$F$256,$Q3899)))</f>
        <v>1</v>
      </c>
      <c r="P3899" s="34" t="str">
        <f aca="false">IF($A3899="","",$I3899*$O3899)</f>
        <v/>
      </c>
      <c r="Q3899" s="39" t="n">
        <f aca="false">IF($B3899="",0,IFERROR(MATCH($B3899,COA_Mapping!$A$7:$A$256,0),0))</f>
        <v>0</v>
      </c>
      <c r="R3899" s="39" t="n">
        <f aca="false">IF($A3899="",-1,IF($J3899=Setup!$B$7,1,IF($J3899=Setup!$B$9,0,-1)))</f>
        <v>-1</v>
      </c>
      <c r="S3899" s="35" t="n">
        <f aca="false">IF(OR($A3899="",$Q3899=0,$R3899=-1),0,$Q3899*1000+$R3899*100+$K3899)</f>
        <v>0</v>
      </c>
      <c r="T3899" s="37" t="str">
        <f aca="false">IF($A3899="","",IF($B3899="","NO ACCOUNT",IF($Q3899=0,"UNMAPPED",IF($R3899=-1,"OUTSIDE FY RANGE","OK"))))</f>
        <v/>
      </c>
      <c r="U3899" s="40" t="str">
        <f aca="false">IF($A3899="","",$B3899&amp;"|"&amp;TEXT($A3899,"yyyymmdd")&amp;"|"&amp;TEXT($I3899,"0.00"))</f>
        <v/>
      </c>
      <c r="V3899" s="35" t="str">
        <f aca="false">IF($A3899="","",COUNTIF($U$8:$U$5007,$U3899))</f>
        <v/>
      </c>
    </row>
    <row r="3900" customFormat="false" ht="15" hidden="false" customHeight="false" outlineLevel="0" collapsed="false">
      <c r="A3900" s="31"/>
      <c r="B3900" s="32"/>
      <c r="C3900" s="32"/>
      <c r="D3900" s="32"/>
      <c r="E3900" s="32"/>
      <c r="F3900" s="32"/>
      <c r="G3900" s="33"/>
      <c r="H3900" s="33"/>
      <c r="I3900" s="34" t="str">
        <f aca="false">IF($A3900="","",$G3900-$H3900)</f>
        <v/>
      </c>
      <c r="J3900" s="35" t="str">
        <f aca="false">IF($A3900="","",IF(Setup!$B$6=1,YEAR($A3900),YEAR($A3900)+IF(MONTH($A3900)&gt;=Setup!$B$6,1,0)))</f>
        <v/>
      </c>
      <c r="K3900" s="35" t="str">
        <f aca="false">IF($A3900="","",MOD(MONTH($A3900)-Setup!$B$6+12,12)+1)</f>
        <v/>
      </c>
      <c r="L3900" s="36" t="str">
        <f aca="false">IF($A3900="","",TEXT($A3900,"MMM-YY"))</f>
        <v/>
      </c>
      <c r="M3900" s="37" t="str">
        <f aca="false">IF($A3900="","",IF($Q3900=0,"UNMAPPED",INDEX(COA_Mapping!$C$7:$C$256,$Q3900)))</f>
        <v/>
      </c>
      <c r="N3900" s="38" t="str">
        <f aca="false">IF($A3900="","",IF($Q3900=0,"",INDEX(COA_Mapping!$E$7:$E$256,$Q3900)))</f>
        <v/>
      </c>
      <c r="O3900" s="38" t="n">
        <f aca="false">IF($A3900="",1,IF($Q3900=0,1,INDEX(COA_Mapping!$F$7:$F$256,$Q3900)))</f>
        <v>1</v>
      </c>
      <c r="P3900" s="34" t="str">
        <f aca="false">IF($A3900="","",$I3900*$O3900)</f>
        <v/>
      </c>
      <c r="Q3900" s="39" t="n">
        <f aca="false">IF($B3900="",0,IFERROR(MATCH($B3900,COA_Mapping!$A$7:$A$256,0),0))</f>
        <v>0</v>
      </c>
      <c r="R3900" s="39" t="n">
        <f aca="false">IF($A3900="",-1,IF($J3900=Setup!$B$7,1,IF($J3900=Setup!$B$9,0,-1)))</f>
        <v>-1</v>
      </c>
      <c r="S3900" s="35" t="n">
        <f aca="false">IF(OR($A3900="",$Q3900=0,$R3900=-1),0,$Q3900*1000+$R3900*100+$K3900)</f>
        <v>0</v>
      </c>
      <c r="T3900" s="37" t="str">
        <f aca="false">IF($A3900="","",IF($B3900="","NO ACCOUNT",IF($Q3900=0,"UNMAPPED",IF($R3900=-1,"OUTSIDE FY RANGE","OK"))))</f>
        <v/>
      </c>
      <c r="U3900" s="40" t="str">
        <f aca="false">IF($A3900="","",$B3900&amp;"|"&amp;TEXT($A3900,"yyyymmdd")&amp;"|"&amp;TEXT($I3900,"0.00"))</f>
        <v/>
      </c>
      <c r="V3900" s="35" t="str">
        <f aca="false">IF($A3900="","",COUNTIF($U$8:$U$5007,$U3900))</f>
        <v/>
      </c>
    </row>
    <row r="3901" customFormat="false" ht="15" hidden="false" customHeight="false" outlineLevel="0" collapsed="false">
      <c r="A3901" s="31"/>
      <c r="B3901" s="32"/>
      <c r="C3901" s="32"/>
      <c r="D3901" s="32"/>
      <c r="E3901" s="32"/>
      <c r="F3901" s="32"/>
      <c r="G3901" s="33"/>
      <c r="H3901" s="33"/>
      <c r="I3901" s="34" t="str">
        <f aca="false">IF($A3901="","",$G3901-$H3901)</f>
        <v/>
      </c>
      <c r="J3901" s="35" t="str">
        <f aca="false">IF($A3901="","",IF(Setup!$B$6=1,YEAR($A3901),YEAR($A3901)+IF(MONTH($A3901)&gt;=Setup!$B$6,1,0)))</f>
        <v/>
      </c>
      <c r="K3901" s="35" t="str">
        <f aca="false">IF($A3901="","",MOD(MONTH($A3901)-Setup!$B$6+12,12)+1)</f>
        <v/>
      </c>
      <c r="L3901" s="36" t="str">
        <f aca="false">IF($A3901="","",TEXT($A3901,"MMM-YY"))</f>
        <v/>
      </c>
      <c r="M3901" s="37" t="str">
        <f aca="false">IF($A3901="","",IF($Q3901=0,"UNMAPPED",INDEX(COA_Mapping!$C$7:$C$256,$Q3901)))</f>
        <v/>
      </c>
      <c r="N3901" s="38" t="str">
        <f aca="false">IF($A3901="","",IF($Q3901=0,"",INDEX(COA_Mapping!$E$7:$E$256,$Q3901)))</f>
        <v/>
      </c>
      <c r="O3901" s="38" t="n">
        <f aca="false">IF($A3901="",1,IF($Q3901=0,1,INDEX(COA_Mapping!$F$7:$F$256,$Q3901)))</f>
        <v>1</v>
      </c>
      <c r="P3901" s="34" t="str">
        <f aca="false">IF($A3901="","",$I3901*$O3901)</f>
        <v/>
      </c>
      <c r="Q3901" s="39" t="n">
        <f aca="false">IF($B3901="",0,IFERROR(MATCH($B3901,COA_Mapping!$A$7:$A$256,0),0))</f>
        <v>0</v>
      </c>
      <c r="R3901" s="39" t="n">
        <f aca="false">IF($A3901="",-1,IF($J3901=Setup!$B$7,1,IF($J3901=Setup!$B$9,0,-1)))</f>
        <v>-1</v>
      </c>
      <c r="S3901" s="35" t="n">
        <f aca="false">IF(OR($A3901="",$Q3901=0,$R3901=-1),0,$Q3901*1000+$R3901*100+$K3901)</f>
        <v>0</v>
      </c>
      <c r="T3901" s="37" t="str">
        <f aca="false">IF($A3901="","",IF($B3901="","NO ACCOUNT",IF($Q3901=0,"UNMAPPED",IF($R3901=-1,"OUTSIDE FY RANGE","OK"))))</f>
        <v/>
      </c>
      <c r="U3901" s="40" t="str">
        <f aca="false">IF($A3901="","",$B3901&amp;"|"&amp;TEXT($A3901,"yyyymmdd")&amp;"|"&amp;TEXT($I3901,"0.00"))</f>
        <v/>
      </c>
      <c r="V3901" s="35" t="str">
        <f aca="false">IF($A3901="","",COUNTIF($U$8:$U$5007,$U3901))</f>
        <v/>
      </c>
    </row>
    <row r="3902" customFormat="false" ht="15" hidden="false" customHeight="false" outlineLevel="0" collapsed="false">
      <c r="A3902" s="31"/>
      <c r="B3902" s="32"/>
      <c r="C3902" s="32"/>
      <c r="D3902" s="32"/>
      <c r="E3902" s="32"/>
      <c r="F3902" s="32"/>
      <c r="G3902" s="33"/>
      <c r="H3902" s="33"/>
      <c r="I3902" s="34" t="str">
        <f aca="false">IF($A3902="","",$G3902-$H3902)</f>
        <v/>
      </c>
      <c r="J3902" s="35" t="str">
        <f aca="false">IF($A3902="","",IF(Setup!$B$6=1,YEAR($A3902),YEAR($A3902)+IF(MONTH($A3902)&gt;=Setup!$B$6,1,0)))</f>
        <v/>
      </c>
      <c r="K3902" s="35" t="str">
        <f aca="false">IF($A3902="","",MOD(MONTH($A3902)-Setup!$B$6+12,12)+1)</f>
        <v/>
      </c>
      <c r="L3902" s="36" t="str">
        <f aca="false">IF($A3902="","",TEXT($A3902,"MMM-YY"))</f>
        <v/>
      </c>
      <c r="M3902" s="37" t="str">
        <f aca="false">IF($A3902="","",IF($Q3902=0,"UNMAPPED",INDEX(COA_Mapping!$C$7:$C$256,$Q3902)))</f>
        <v/>
      </c>
      <c r="N3902" s="38" t="str">
        <f aca="false">IF($A3902="","",IF($Q3902=0,"",INDEX(COA_Mapping!$E$7:$E$256,$Q3902)))</f>
        <v/>
      </c>
      <c r="O3902" s="38" t="n">
        <f aca="false">IF($A3902="",1,IF($Q3902=0,1,INDEX(COA_Mapping!$F$7:$F$256,$Q3902)))</f>
        <v>1</v>
      </c>
      <c r="P3902" s="34" t="str">
        <f aca="false">IF($A3902="","",$I3902*$O3902)</f>
        <v/>
      </c>
      <c r="Q3902" s="39" t="n">
        <f aca="false">IF($B3902="",0,IFERROR(MATCH($B3902,COA_Mapping!$A$7:$A$256,0),0))</f>
        <v>0</v>
      </c>
      <c r="R3902" s="39" t="n">
        <f aca="false">IF($A3902="",-1,IF($J3902=Setup!$B$7,1,IF($J3902=Setup!$B$9,0,-1)))</f>
        <v>-1</v>
      </c>
      <c r="S3902" s="35" t="n">
        <f aca="false">IF(OR($A3902="",$Q3902=0,$R3902=-1),0,$Q3902*1000+$R3902*100+$K3902)</f>
        <v>0</v>
      </c>
      <c r="T3902" s="37" t="str">
        <f aca="false">IF($A3902="","",IF($B3902="","NO ACCOUNT",IF($Q3902=0,"UNMAPPED",IF($R3902=-1,"OUTSIDE FY RANGE","OK"))))</f>
        <v/>
      </c>
      <c r="U3902" s="40" t="str">
        <f aca="false">IF($A3902="","",$B3902&amp;"|"&amp;TEXT($A3902,"yyyymmdd")&amp;"|"&amp;TEXT($I3902,"0.00"))</f>
        <v/>
      </c>
      <c r="V3902" s="35" t="str">
        <f aca="false">IF($A3902="","",COUNTIF($U$8:$U$5007,$U3902))</f>
        <v/>
      </c>
    </row>
    <row r="3903" customFormat="false" ht="15" hidden="false" customHeight="false" outlineLevel="0" collapsed="false">
      <c r="A3903" s="31"/>
      <c r="B3903" s="32"/>
      <c r="C3903" s="32"/>
      <c r="D3903" s="32"/>
      <c r="E3903" s="32"/>
      <c r="F3903" s="32"/>
      <c r="G3903" s="33"/>
      <c r="H3903" s="33"/>
      <c r="I3903" s="34" t="str">
        <f aca="false">IF($A3903="","",$G3903-$H3903)</f>
        <v/>
      </c>
      <c r="J3903" s="35" t="str">
        <f aca="false">IF($A3903="","",IF(Setup!$B$6=1,YEAR($A3903),YEAR($A3903)+IF(MONTH($A3903)&gt;=Setup!$B$6,1,0)))</f>
        <v/>
      </c>
      <c r="K3903" s="35" t="str">
        <f aca="false">IF($A3903="","",MOD(MONTH($A3903)-Setup!$B$6+12,12)+1)</f>
        <v/>
      </c>
      <c r="L3903" s="36" t="str">
        <f aca="false">IF($A3903="","",TEXT($A3903,"MMM-YY"))</f>
        <v/>
      </c>
      <c r="M3903" s="37" t="str">
        <f aca="false">IF($A3903="","",IF($Q3903=0,"UNMAPPED",INDEX(COA_Mapping!$C$7:$C$256,$Q3903)))</f>
        <v/>
      </c>
      <c r="N3903" s="38" t="str">
        <f aca="false">IF($A3903="","",IF($Q3903=0,"",INDEX(COA_Mapping!$E$7:$E$256,$Q3903)))</f>
        <v/>
      </c>
      <c r="O3903" s="38" t="n">
        <f aca="false">IF($A3903="",1,IF($Q3903=0,1,INDEX(COA_Mapping!$F$7:$F$256,$Q3903)))</f>
        <v>1</v>
      </c>
      <c r="P3903" s="34" t="str">
        <f aca="false">IF($A3903="","",$I3903*$O3903)</f>
        <v/>
      </c>
      <c r="Q3903" s="39" t="n">
        <f aca="false">IF($B3903="",0,IFERROR(MATCH($B3903,COA_Mapping!$A$7:$A$256,0),0))</f>
        <v>0</v>
      </c>
      <c r="R3903" s="39" t="n">
        <f aca="false">IF($A3903="",-1,IF($J3903=Setup!$B$7,1,IF($J3903=Setup!$B$9,0,-1)))</f>
        <v>-1</v>
      </c>
      <c r="S3903" s="35" t="n">
        <f aca="false">IF(OR($A3903="",$Q3903=0,$R3903=-1),0,$Q3903*1000+$R3903*100+$K3903)</f>
        <v>0</v>
      </c>
      <c r="T3903" s="37" t="str">
        <f aca="false">IF($A3903="","",IF($B3903="","NO ACCOUNT",IF($Q3903=0,"UNMAPPED",IF($R3903=-1,"OUTSIDE FY RANGE","OK"))))</f>
        <v/>
      </c>
      <c r="U3903" s="40" t="str">
        <f aca="false">IF($A3903="","",$B3903&amp;"|"&amp;TEXT($A3903,"yyyymmdd")&amp;"|"&amp;TEXT($I3903,"0.00"))</f>
        <v/>
      </c>
      <c r="V3903" s="35" t="str">
        <f aca="false">IF($A3903="","",COUNTIF($U$8:$U$5007,$U3903))</f>
        <v/>
      </c>
    </row>
    <row r="3904" customFormat="false" ht="15" hidden="false" customHeight="false" outlineLevel="0" collapsed="false">
      <c r="A3904" s="31"/>
      <c r="B3904" s="32"/>
      <c r="C3904" s="32"/>
      <c r="D3904" s="32"/>
      <c r="E3904" s="32"/>
      <c r="F3904" s="32"/>
      <c r="G3904" s="33"/>
      <c r="H3904" s="33"/>
      <c r="I3904" s="34" t="str">
        <f aca="false">IF($A3904="","",$G3904-$H3904)</f>
        <v/>
      </c>
      <c r="J3904" s="35" t="str">
        <f aca="false">IF($A3904="","",IF(Setup!$B$6=1,YEAR($A3904),YEAR($A3904)+IF(MONTH($A3904)&gt;=Setup!$B$6,1,0)))</f>
        <v/>
      </c>
      <c r="K3904" s="35" t="str">
        <f aca="false">IF($A3904="","",MOD(MONTH($A3904)-Setup!$B$6+12,12)+1)</f>
        <v/>
      </c>
      <c r="L3904" s="36" t="str">
        <f aca="false">IF($A3904="","",TEXT($A3904,"MMM-YY"))</f>
        <v/>
      </c>
      <c r="M3904" s="37" t="str">
        <f aca="false">IF($A3904="","",IF($Q3904=0,"UNMAPPED",INDEX(COA_Mapping!$C$7:$C$256,$Q3904)))</f>
        <v/>
      </c>
      <c r="N3904" s="38" t="str">
        <f aca="false">IF($A3904="","",IF($Q3904=0,"",INDEX(COA_Mapping!$E$7:$E$256,$Q3904)))</f>
        <v/>
      </c>
      <c r="O3904" s="38" t="n">
        <f aca="false">IF($A3904="",1,IF($Q3904=0,1,INDEX(COA_Mapping!$F$7:$F$256,$Q3904)))</f>
        <v>1</v>
      </c>
      <c r="P3904" s="34" t="str">
        <f aca="false">IF($A3904="","",$I3904*$O3904)</f>
        <v/>
      </c>
      <c r="Q3904" s="39" t="n">
        <f aca="false">IF($B3904="",0,IFERROR(MATCH($B3904,COA_Mapping!$A$7:$A$256,0),0))</f>
        <v>0</v>
      </c>
      <c r="R3904" s="39" t="n">
        <f aca="false">IF($A3904="",-1,IF($J3904=Setup!$B$7,1,IF($J3904=Setup!$B$9,0,-1)))</f>
        <v>-1</v>
      </c>
      <c r="S3904" s="35" t="n">
        <f aca="false">IF(OR($A3904="",$Q3904=0,$R3904=-1),0,$Q3904*1000+$R3904*100+$K3904)</f>
        <v>0</v>
      </c>
      <c r="T3904" s="37" t="str">
        <f aca="false">IF($A3904="","",IF($B3904="","NO ACCOUNT",IF($Q3904=0,"UNMAPPED",IF($R3904=-1,"OUTSIDE FY RANGE","OK"))))</f>
        <v/>
      </c>
      <c r="U3904" s="40" t="str">
        <f aca="false">IF($A3904="","",$B3904&amp;"|"&amp;TEXT($A3904,"yyyymmdd")&amp;"|"&amp;TEXT($I3904,"0.00"))</f>
        <v/>
      </c>
      <c r="V3904" s="35" t="str">
        <f aca="false">IF($A3904="","",COUNTIF($U$8:$U$5007,$U3904))</f>
        <v/>
      </c>
    </row>
    <row r="3905" customFormat="false" ht="15" hidden="false" customHeight="false" outlineLevel="0" collapsed="false">
      <c r="A3905" s="31"/>
      <c r="B3905" s="32"/>
      <c r="C3905" s="32"/>
      <c r="D3905" s="32"/>
      <c r="E3905" s="32"/>
      <c r="F3905" s="32"/>
      <c r="G3905" s="33"/>
      <c r="H3905" s="33"/>
      <c r="I3905" s="34" t="str">
        <f aca="false">IF($A3905="","",$G3905-$H3905)</f>
        <v/>
      </c>
      <c r="J3905" s="35" t="str">
        <f aca="false">IF($A3905="","",IF(Setup!$B$6=1,YEAR($A3905),YEAR($A3905)+IF(MONTH($A3905)&gt;=Setup!$B$6,1,0)))</f>
        <v/>
      </c>
      <c r="K3905" s="35" t="str">
        <f aca="false">IF($A3905="","",MOD(MONTH($A3905)-Setup!$B$6+12,12)+1)</f>
        <v/>
      </c>
      <c r="L3905" s="36" t="str">
        <f aca="false">IF($A3905="","",TEXT($A3905,"MMM-YY"))</f>
        <v/>
      </c>
      <c r="M3905" s="37" t="str">
        <f aca="false">IF($A3905="","",IF($Q3905=0,"UNMAPPED",INDEX(COA_Mapping!$C$7:$C$256,$Q3905)))</f>
        <v/>
      </c>
      <c r="N3905" s="38" t="str">
        <f aca="false">IF($A3905="","",IF($Q3905=0,"",INDEX(COA_Mapping!$E$7:$E$256,$Q3905)))</f>
        <v/>
      </c>
      <c r="O3905" s="38" t="n">
        <f aca="false">IF($A3905="",1,IF($Q3905=0,1,INDEX(COA_Mapping!$F$7:$F$256,$Q3905)))</f>
        <v>1</v>
      </c>
      <c r="P3905" s="34" t="str">
        <f aca="false">IF($A3905="","",$I3905*$O3905)</f>
        <v/>
      </c>
      <c r="Q3905" s="39" t="n">
        <f aca="false">IF($B3905="",0,IFERROR(MATCH($B3905,COA_Mapping!$A$7:$A$256,0),0))</f>
        <v>0</v>
      </c>
      <c r="R3905" s="39" t="n">
        <f aca="false">IF($A3905="",-1,IF($J3905=Setup!$B$7,1,IF($J3905=Setup!$B$9,0,-1)))</f>
        <v>-1</v>
      </c>
      <c r="S3905" s="35" t="n">
        <f aca="false">IF(OR($A3905="",$Q3905=0,$R3905=-1),0,$Q3905*1000+$R3905*100+$K3905)</f>
        <v>0</v>
      </c>
      <c r="T3905" s="37" t="str">
        <f aca="false">IF($A3905="","",IF($B3905="","NO ACCOUNT",IF($Q3905=0,"UNMAPPED",IF($R3905=-1,"OUTSIDE FY RANGE","OK"))))</f>
        <v/>
      </c>
      <c r="U3905" s="40" t="str">
        <f aca="false">IF($A3905="","",$B3905&amp;"|"&amp;TEXT($A3905,"yyyymmdd")&amp;"|"&amp;TEXT($I3905,"0.00"))</f>
        <v/>
      </c>
      <c r="V3905" s="35" t="str">
        <f aca="false">IF($A3905="","",COUNTIF($U$8:$U$5007,$U3905))</f>
        <v/>
      </c>
    </row>
    <row r="3906" customFormat="false" ht="15" hidden="false" customHeight="false" outlineLevel="0" collapsed="false">
      <c r="A3906" s="31"/>
      <c r="B3906" s="32"/>
      <c r="C3906" s="32"/>
      <c r="D3906" s="32"/>
      <c r="E3906" s="32"/>
      <c r="F3906" s="32"/>
      <c r="G3906" s="33"/>
      <c r="H3906" s="33"/>
      <c r="I3906" s="34" t="str">
        <f aca="false">IF($A3906="","",$G3906-$H3906)</f>
        <v/>
      </c>
      <c r="J3906" s="35" t="str">
        <f aca="false">IF($A3906="","",IF(Setup!$B$6=1,YEAR($A3906),YEAR($A3906)+IF(MONTH($A3906)&gt;=Setup!$B$6,1,0)))</f>
        <v/>
      </c>
      <c r="K3906" s="35" t="str">
        <f aca="false">IF($A3906="","",MOD(MONTH($A3906)-Setup!$B$6+12,12)+1)</f>
        <v/>
      </c>
      <c r="L3906" s="36" t="str">
        <f aca="false">IF($A3906="","",TEXT($A3906,"MMM-YY"))</f>
        <v/>
      </c>
      <c r="M3906" s="37" t="str">
        <f aca="false">IF($A3906="","",IF($Q3906=0,"UNMAPPED",INDEX(COA_Mapping!$C$7:$C$256,$Q3906)))</f>
        <v/>
      </c>
      <c r="N3906" s="38" t="str">
        <f aca="false">IF($A3906="","",IF($Q3906=0,"",INDEX(COA_Mapping!$E$7:$E$256,$Q3906)))</f>
        <v/>
      </c>
      <c r="O3906" s="38" t="n">
        <f aca="false">IF($A3906="",1,IF($Q3906=0,1,INDEX(COA_Mapping!$F$7:$F$256,$Q3906)))</f>
        <v>1</v>
      </c>
      <c r="P3906" s="34" t="str">
        <f aca="false">IF($A3906="","",$I3906*$O3906)</f>
        <v/>
      </c>
      <c r="Q3906" s="39" t="n">
        <f aca="false">IF($B3906="",0,IFERROR(MATCH($B3906,COA_Mapping!$A$7:$A$256,0),0))</f>
        <v>0</v>
      </c>
      <c r="R3906" s="39" t="n">
        <f aca="false">IF($A3906="",-1,IF($J3906=Setup!$B$7,1,IF($J3906=Setup!$B$9,0,-1)))</f>
        <v>-1</v>
      </c>
      <c r="S3906" s="35" t="n">
        <f aca="false">IF(OR($A3906="",$Q3906=0,$R3906=-1),0,$Q3906*1000+$R3906*100+$K3906)</f>
        <v>0</v>
      </c>
      <c r="T3906" s="37" t="str">
        <f aca="false">IF($A3906="","",IF($B3906="","NO ACCOUNT",IF($Q3906=0,"UNMAPPED",IF($R3906=-1,"OUTSIDE FY RANGE","OK"))))</f>
        <v/>
      </c>
      <c r="U3906" s="40" t="str">
        <f aca="false">IF($A3906="","",$B3906&amp;"|"&amp;TEXT($A3906,"yyyymmdd")&amp;"|"&amp;TEXT($I3906,"0.00"))</f>
        <v/>
      </c>
      <c r="V3906" s="35" t="str">
        <f aca="false">IF($A3906="","",COUNTIF($U$8:$U$5007,$U3906))</f>
        <v/>
      </c>
    </row>
    <row r="3907" customFormat="false" ht="15" hidden="false" customHeight="false" outlineLevel="0" collapsed="false">
      <c r="A3907" s="31"/>
      <c r="B3907" s="32"/>
      <c r="C3907" s="32"/>
      <c r="D3907" s="32"/>
      <c r="E3907" s="32"/>
      <c r="F3907" s="32"/>
      <c r="G3907" s="33"/>
      <c r="H3907" s="33"/>
      <c r="I3907" s="34" t="str">
        <f aca="false">IF($A3907="","",$G3907-$H3907)</f>
        <v/>
      </c>
      <c r="J3907" s="35" t="str">
        <f aca="false">IF($A3907="","",IF(Setup!$B$6=1,YEAR($A3907),YEAR($A3907)+IF(MONTH($A3907)&gt;=Setup!$B$6,1,0)))</f>
        <v/>
      </c>
      <c r="K3907" s="35" t="str">
        <f aca="false">IF($A3907="","",MOD(MONTH($A3907)-Setup!$B$6+12,12)+1)</f>
        <v/>
      </c>
      <c r="L3907" s="36" t="str">
        <f aca="false">IF($A3907="","",TEXT($A3907,"MMM-YY"))</f>
        <v/>
      </c>
      <c r="M3907" s="37" t="str">
        <f aca="false">IF($A3907="","",IF($Q3907=0,"UNMAPPED",INDEX(COA_Mapping!$C$7:$C$256,$Q3907)))</f>
        <v/>
      </c>
      <c r="N3907" s="38" t="str">
        <f aca="false">IF($A3907="","",IF($Q3907=0,"",INDEX(COA_Mapping!$E$7:$E$256,$Q3907)))</f>
        <v/>
      </c>
      <c r="O3907" s="38" t="n">
        <f aca="false">IF($A3907="",1,IF($Q3907=0,1,INDEX(COA_Mapping!$F$7:$F$256,$Q3907)))</f>
        <v>1</v>
      </c>
      <c r="P3907" s="34" t="str">
        <f aca="false">IF($A3907="","",$I3907*$O3907)</f>
        <v/>
      </c>
      <c r="Q3907" s="39" t="n">
        <f aca="false">IF($B3907="",0,IFERROR(MATCH($B3907,COA_Mapping!$A$7:$A$256,0),0))</f>
        <v>0</v>
      </c>
      <c r="R3907" s="39" t="n">
        <f aca="false">IF($A3907="",-1,IF($J3907=Setup!$B$7,1,IF($J3907=Setup!$B$9,0,-1)))</f>
        <v>-1</v>
      </c>
      <c r="S3907" s="35" t="n">
        <f aca="false">IF(OR($A3907="",$Q3907=0,$R3907=-1),0,$Q3907*1000+$R3907*100+$K3907)</f>
        <v>0</v>
      </c>
      <c r="T3907" s="37" t="str">
        <f aca="false">IF($A3907="","",IF($B3907="","NO ACCOUNT",IF($Q3907=0,"UNMAPPED",IF($R3907=-1,"OUTSIDE FY RANGE","OK"))))</f>
        <v/>
      </c>
      <c r="U3907" s="40" t="str">
        <f aca="false">IF($A3907="","",$B3907&amp;"|"&amp;TEXT($A3907,"yyyymmdd")&amp;"|"&amp;TEXT($I3907,"0.00"))</f>
        <v/>
      </c>
      <c r="V3907" s="35" t="str">
        <f aca="false">IF($A3907="","",COUNTIF($U$8:$U$5007,$U3907))</f>
        <v/>
      </c>
    </row>
    <row r="3908" customFormat="false" ht="15" hidden="false" customHeight="false" outlineLevel="0" collapsed="false">
      <c r="A3908" s="31"/>
      <c r="B3908" s="32"/>
      <c r="C3908" s="32"/>
      <c r="D3908" s="32"/>
      <c r="E3908" s="32"/>
      <c r="F3908" s="32"/>
      <c r="G3908" s="33"/>
      <c r="H3908" s="33"/>
      <c r="I3908" s="34" t="str">
        <f aca="false">IF($A3908="","",$G3908-$H3908)</f>
        <v/>
      </c>
      <c r="J3908" s="35" t="str">
        <f aca="false">IF($A3908="","",IF(Setup!$B$6=1,YEAR($A3908),YEAR($A3908)+IF(MONTH($A3908)&gt;=Setup!$B$6,1,0)))</f>
        <v/>
      </c>
      <c r="K3908" s="35" t="str">
        <f aca="false">IF($A3908="","",MOD(MONTH($A3908)-Setup!$B$6+12,12)+1)</f>
        <v/>
      </c>
      <c r="L3908" s="36" t="str">
        <f aca="false">IF($A3908="","",TEXT($A3908,"MMM-YY"))</f>
        <v/>
      </c>
      <c r="M3908" s="37" t="str">
        <f aca="false">IF($A3908="","",IF($Q3908=0,"UNMAPPED",INDEX(COA_Mapping!$C$7:$C$256,$Q3908)))</f>
        <v/>
      </c>
      <c r="N3908" s="38" t="str">
        <f aca="false">IF($A3908="","",IF($Q3908=0,"",INDEX(COA_Mapping!$E$7:$E$256,$Q3908)))</f>
        <v/>
      </c>
      <c r="O3908" s="38" t="n">
        <f aca="false">IF($A3908="",1,IF($Q3908=0,1,INDEX(COA_Mapping!$F$7:$F$256,$Q3908)))</f>
        <v>1</v>
      </c>
      <c r="P3908" s="34" t="str">
        <f aca="false">IF($A3908="","",$I3908*$O3908)</f>
        <v/>
      </c>
      <c r="Q3908" s="39" t="n">
        <f aca="false">IF($B3908="",0,IFERROR(MATCH($B3908,COA_Mapping!$A$7:$A$256,0),0))</f>
        <v>0</v>
      </c>
      <c r="R3908" s="39" t="n">
        <f aca="false">IF($A3908="",-1,IF($J3908=Setup!$B$7,1,IF($J3908=Setup!$B$9,0,-1)))</f>
        <v>-1</v>
      </c>
      <c r="S3908" s="35" t="n">
        <f aca="false">IF(OR($A3908="",$Q3908=0,$R3908=-1),0,$Q3908*1000+$R3908*100+$K3908)</f>
        <v>0</v>
      </c>
      <c r="T3908" s="37" t="str">
        <f aca="false">IF($A3908="","",IF($B3908="","NO ACCOUNT",IF($Q3908=0,"UNMAPPED",IF($R3908=-1,"OUTSIDE FY RANGE","OK"))))</f>
        <v/>
      </c>
      <c r="U3908" s="40" t="str">
        <f aca="false">IF($A3908="","",$B3908&amp;"|"&amp;TEXT($A3908,"yyyymmdd")&amp;"|"&amp;TEXT($I3908,"0.00"))</f>
        <v/>
      </c>
      <c r="V3908" s="35" t="str">
        <f aca="false">IF($A3908="","",COUNTIF($U$8:$U$5007,$U3908))</f>
        <v/>
      </c>
    </row>
    <row r="3909" customFormat="false" ht="15" hidden="false" customHeight="false" outlineLevel="0" collapsed="false">
      <c r="A3909" s="31"/>
      <c r="B3909" s="32"/>
      <c r="C3909" s="32"/>
      <c r="D3909" s="32"/>
      <c r="E3909" s="32"/>
      <c r="F3909" s="32"/>
      <c r="G3909" s="33"/>
      <c r="H3909" s="33"/>
      <c r="I3909" s="34" t="str">
        <f aca="false">IF($A3909="","",$G3909-$H3909)</f>
        <v/>
      </c>
      <c r="J3909" s="35" t="str">
        <f aca="false">IF($A3909="","",IF(Setup!$B$6=1,YEAR($A3909),YEAR($A3909)+IF(MONTH($A3909)&gt;=Setup!$B$6,1,0)))</f>
        <v/>
      </c>
      <c r="K3909" s="35" t="str">
        <f aca="false">IF($A3909="","",MOD(MONTH($A3909)-Setup!$B$6+12,12)+1)</f>
        <v/>
      </c>
      <c r="L3909" s="36" t="str">
        <f aca="false">IF($A3909="","",TEXT($A3909,"MMM-YY"))</f>
        <v/>
      </c>
      <c r="M3909" s="37" t="str">
        <f aca="false">IF($A3909="","",IF($Q3909=0,"UNMAPPED",INDEX(COA_Mapping!$C$7:$C$256,$Q3909)))</f>
        <v/>
      </c>
      <c r="N3909" s="38" t="str">
        <f aca="false">IF($A3909="","",IF($Q3909=0,"",INDEX(COA_Mapping!$E$7:$E$256,$Q3909)))</f>
        <v/>
      </c>
      <c r="O3909" s="38" t="n">
        <f aca="false">IF($A3909="",1,IF($Q3909=0,1,INDEX(COA_Mapping!$F$7:$F$256,$Q3909)))</f>
        <v>1</v>
      </c>
      <c r="P3909" s="34" t="str">
        <f aca="false">IF($A3909="","",$I3909*$O3909)</f>
        <v/>
      </c>
      <c r="Q3909" s="39" t="n">
        <f aca="false">IF($B3909="",0,IFERROR(MATCH($B3909,COA_Mapping!$A$7:$A$256,0),0))</f>
        <v>0</v>
      </c>
      <c r="R3909" s="39" t="n">
        <f aca="false">IF($A3909="",-1,IF($J3909=Setup!$B$7,1,IF($J3909=Setup!$B$9,0,-1)))</f>
        <v>-1</v>
      </c>
      <c r="S3909" s="35" t="n">
        <f aca="false">IF(OR($A3909="",$Q3909=0,$R3909=-1),0,$Q3909*1000+$R3909*100+$K3909)</f>
        <v>0</v>
      </c>
      <c r="T3909" s="37" t="str">
        <f aca="false">IF($A3909="","",IF($B3909="","NO ACCOUNT",IF($Q3909=0,"UNMAPPED",IF($R3909=-1,"OUTSIDE FY RANGE","OK"))))</f>
        <v/>
      </c>
      <c r="U3909" s="40" t="str">
        <f aca="false">IF($A3909="","",$B3909&amp;"|"&amp;TEXT($A3909,"yyyymmdd")&amp;"|"&amp;TEXT($I3909,"0.00"))</f>
        <v/>
      </c>
      <c r="V3909" s="35" t="str">
        <f aca="false">IF($A3909="","",COUNTIF($U$8:$U$5007,$U3909))</f>
        <v/>
      </c>
    </row>
    <row r="3910" customFormat="false" ht="15" hidden="false" customHeight="false" outlineLevel="0" collapsed="false">
      <c r="A3910" s="31"/>
      <c r="B3910" s="32"/>
      <c r="C3910" s="32"/>
      <c r="D3910" s="32"/>
      <c r="E3910" s="32"/>
      <c r="F3910" s="32"/>
      <c r="G3910" s="33"/>
      <c r="H3910" s="33"/>
      <c r="I3910" s="34" t="str">
        <f aca="false">IF($A3910="","",$G3910-$H3910)</f>
        <v/>
      </c>
      <c r="J3910" s="35" t="str">
        <f aca="false">IF($A3910="","",IF(Setup!$B$6=1,YEAR($A3910),YEAR($A3910)+IF(MONTH($A3910)&gt;=Setup!$B$6,1,0)))</f>
        <v/>
      </c>
      <c r="K3910" s="35" t="str">
        <f aca="false">IF($A3910="","",MOD(MONTH($A3910)-Setup!$B$6+12,12)+1)</f>
        <v/>
      </c>
      <c r="L3910" s="36" t="str">
        <f aca="false">IF($A3910="","",TEXT($A3910,"MMM-YY"))</f>
        <v/>
      </c>
      <c r="M3910" s="37" t="str">
        <f aca="false">IF($A3910="","",IF($Q3910=0,"UNMAPPED",INDEX(COA_Mapping!$C$7:$C$256,$Q3910)))</f>
        <v/>
      </c>
      <c r="N3910" s="38" t="str">
        <f aca="false">IF($A3910="","",IF($Q3910=0,"",INDEX(COA_Mapping!$E$7:$E$256,$Q3910)))</f>
        <v/>
      </c>
      <c r="O3910" s="38" t="n">
        <f aca="false">IF($A3910="",1,IF($Q3910=0,1,INDEX(COA_Mapping!$F$7:$F$256,$Q3910)))</f>
        <v>1</v>
      </c>
      <c r="P3910" s="34" t="str">
        <f aca="false">IF($A3910="","",$I3910*$O3910)</f>
        <v/>
      </c>
      <c r="Q3910" s="39" t="n">
        <f aca="false">IF($B3910="",0,IFERROR(MATCH($B3910,COA_Mapping!$A$7:$A$256,0),0))</f>
        <v>0</v>
      </c>
      <c r="R3910" s="39" t="n">
        <f aca="false">IF($A3910="",-1,IF($J3910=Setup!$B$7,1,IF($J3910=Setup!$B$9,0,-1)))</f>
        <v>-1</v>
      </c>
      <c r="S3910" s="35" t="n">
        <f aca="false">IF(OR($A3910="",$Q3910=0,$R3910=-1),0,$Q3910*1000+$R3910*100+$K3910)</f>
        <v>0</v>
      </c>
      <c r="T3910" s="37" t="str">
        <f aca="false">IF($A3910="","",IF($B3910="","NO ACCOUNT",IF($Q3910=0,"UNMAPPED",IF($R3910=-1,"OUTSIDE FY RANGE","OK"))))</f>
        <v/>
      </c>
      <c r="U3910" s="40" t="str">
        <f aca="false">IF($A3910="","",$B3910&amp;"|"&amp;TEXT($A3910,"yyyymmdd")&amp;"|"&amp;TEXT($I3910,"0.00"))</f>
        <v/>
      </c>
      <c r="V3910" s="35" t="str">
        <f aca="false">IF($A3910="","",COUNTIF($U$8:$U$5007,$U3910))</f>
        <v/>
      </c>
    </row>
    <row r="3911" customFormat="false" ht="15" hidden="false" customHeight="false" outlineLevel="0" collapsed="false">
      <c r="A3911" s="31"/>
      <c r="B3911" s="32"/>
      <c r="C3911" s="32"/>
      <c r="D3911" s="32"/>
      <c r="E3911" s="32"/>
      <c r="F3911" s="32"/>
      <c r="G3911" s="33"/>
      <c r="H3911" s="33"/>
      <c r="I3911" s="34" t="str">
        <f aca="false">IF($A3911="","",$G3911-$H3911)</f>
        <v/>
      </c>
      <c r="J3911" s="35" t="str">
        <f aca="false">IF($A3911="","",IF(Setup!$B$6=1,YEAR($A3911),YEAR($A3911)+IF(MONTH($A3911)&gt;=Setup!$B$6,1,0)))</f>
        <v/>
      </c>
      <c r="K3911" s="35" t="str">
        <f aca="false">IF($A3911="","",MOD(MONTH($A3911)-Setup!$B$6+12,12)+1)</f>
        <v/>
      </c>
      <c r="L3911" s="36" t="str">
        <f aca="false">IF($A3911="","",TEXT($A3911,"MMM-YY"))</f>
        <v/>
      </c>
      <c r="M3911" s="37" t="str">
        <f aca="false">IF($A3911="","",IF($Q3911=0,"UNMAPPED",INDEX(COA_Mapping!$C$7:$C$256,$Q3911)))</f>
        <v/>
      </c>
      <c r="N3911" s="38" t="str">
        <f aca="false">IF($A3911="","",IF($Q3911=0,"",INDEX(COA_Mapping!$E$7:$E$256,$Q3911)))</f>
        <v/>
      </c>
      <c r="O3911" s="38" t="n">
        <f aca="false">IF($A3911="",1,IF($Q3911=0,1,INDEX(COA_Mapping!$F$7:$F$256,$Q3911)))</f>
        <v>1</v>
      </c>
      <c r="P3911" s="34" t="str">
        <f aca="false">IF($A3911="","",$I3911*$O3911)</f>
        <v/>
      </c>
      <c r="Q3911" s="39" t="n">
        <f aca="false">IF($B3911="",0,IFERROR(MATCH($B3911,COA_Mapping!$A$7:$A$256,0),0))</f>
        <v>0</v>
      </c>
      <c r="R3911" s="39" t="n">
        <f aca="false">IF($A3911="",-1,IF($J3911=Setup!$B$7,1,IF($J3911=Setup!$B$9,0,-1)))</f>
        <v>-1</v>
      </c>
      <c r="S3911" s="35" t="n">
        <f aca="false">IF(OR($A3911="",$Q3911=0,$R3911=-1),0,$Q3911*1000+$R3911*100+$K3911)</f>
        <v>0</v>
      </c>
      <c r="T3911" s="37" t="str">
        <f aca="false">IF($A3911="","",IF($B3911="","NO ACCOUNT",IF($Q3911=0,"UNMAPPED",IF($R3911=-1,"OUTSIDE FY RANGE","OK"))))</f>
        <v/>
      </c>
      <c r="U3911" s="40" t="str">
        <f aca="false">IF($A3911="","",$B3911&amp;"|"&amp;TEXT($A3911,"yyyymmdd")&amp;"|"&amp;TEXT($I3911,"0.00"))</f>
        <v/>
      </c>
      <c r="V3911" s="35" t="str">
        <f aca="false">IF($A3911="","",COUNTIF($U$8:$U$5007,$U3911))</f>
        <v/>
      </c>
    </row>
    <row r="3912" customFormat="false" ht="15" hidden="false" customHeight="false" outlineLevel="0" collapsed="false">
      <c r="A3912" s="31"/>
      <c r="B3912" s="32"/>
      <c r="C3912" s="32"/>
      <c r="D3912" s="32"/>
      <c r="E3912" s="32"/>
      <c r="F3912" s="32"/>
      <c r="G3912" s="33"/>
      <c r="H3912" s="33"/>
      <c r="I3912" s="34" t="str">
        <f aca="false">IF($A3912="","",$G3912-$H3912)</f>
        <v/>
      </c>
      <c r="J3912" s="35" t="str">
        <f aca="false">IF($A3912="","",IF(Setup!$B$6=1,YEAR($A3912),YEAR($A3912)+IF(MONTH($A3912)&gt;=Setup!$B$6,1,0)))</f>
        <v/>
      </c>
      <c r="K3912" s="35" t="str">
        <f aca="false">IF($A3912="","",MOD(MONTH($A3912)-Setup!$B$6+12,12)+1)</f>
        <v/>
      </c>
      <c r="L3912" s="36" t="str">
        <f aca="false">IF($A3912="","",TEXT($A3912,"MMM-YY"))</f>
        <v/>
      </c>
      <c r="M3912" s="37" t="str">
        <f aca="false">IF($A3912="","",IF($Q3912=0,"UNMAPPED",INDEX(COA_Mapping!$C$7:$C$256,$Q3912)))</f>
        <v/>
      </c>
      <c r="N3912" s="38" t="str">
        <f aca="false">IF($A3912="","",IF($Q3912=0,"",INDEX(COA_Mapping!$E$7:$E$256,$Q3912)))</f>
        <v/>
      </c>
      <c r="O3912" s="38" t="n">
        <f aca="false">IF($A3912="",1,IF($Q3912=0,1,INDEX(COA_Mapping!$F$7:$F$256,$Q3912)))</f>
        <v>1</v>
      </c>
      <c r="P3912" s="34" t="str">
        <f aca="false">IF($A3912="","",$I3912*$O3912)</f>
        <v/>
      </c>
      <c r="Q3912" s="39" t="n">
        <f aca="false">IF($B3912="",0,IFERROR(MATCH($B3912,COA_Mapping!$A$7:$A$256,0),0))</f>
        <v>0</v>
      </c>
      <c r="R3912" s="39" t="n">
        <f aca="false">IF($A3912="",-1,IF($J3912=Setup!$B$7,1,IF($J3912=Setup!$B$9,0,-1)))</f>
        <v>-1</v>
      </c>
      <c r="S3912" s="35" t="n">
        <f aca="false">IF(OR($A3912="",$Q3912=0,$R3912=-1),0,$Q3912*1000+$R3912*100+$K3912)</f>
        <v>0</v>
      </c>
      <c r="T3912" s="37" t="str">
        <f aca="false">IF($A3912="","",IF($B3912="","NO ACCOUNT",IF($Q3912=0,"UNMAPPED",IF($R3912=-1,"OUTSIDE FY RANGE","OK"))))</f>
        <v/>
      </c>
      <c r="U3912" s="40" t="str">
        <f aca="false">IF($A3912="","",$B3912&amp;"|"&amp;TEXT($A3912,"yyyymmdd")&amp;"|"&amp;TEXT($I3912,"0.00"))</f>
        <v/>
      </c>
      <c r="V3912" s="35" t="str">
        <f aca="false">IF($A3912="","",COUNTIF($U$8:$U$5007,$U3912))</f>
        <v/>
      </c>
    </row>
    <row r="3913" customFormat="false" ht="15" hidden="false" customHeight="false" outlineLevel="0" collapsed="false">
      <c r="A3913" s="31"/>
      <c r="B3913" s="32"/>
      <c r="C3913" s="32"/>
      <c r="D3913" s="32"/>
      <c r="E3913" s="32"/>
      <c r="F3913" s="32"/>
      <c r="G3913" s="33"/>
      <c r="H3913" s="33"/>
      <c r="I3913" s="34" t="str">
        <f aca="false">IF($A3913="","",$G3913-$H3913)</f>
        <v/>
      </c>
      <c r="J3913" s="35" t="str">
        <f aca="false">IF($A3913="","",IF(Setup!$B$6=1,YEAR($A3913),YEAR($A3913)+IF(MONTH($A3913)&gt;=Setup!$B$6,1,0)))</f>
        <v/>
      </c>
      <c r="K3913" s="35" t="str">
        <f aca="false">IF($A3913="","",MOD(MONTH($A3913)-Setup!$B$6+12,12)+1)</f>
        <v/>
      </c>
      <c r="L3913" s="36" t="str">
        <f aca="false">IF($A3913="","",TEXT($A3913,"MMM-YY"))</f>
        <v/>
      </c>
      <c r="M3913" s="37" t="str">
        <f aca="false">IF($A3913="","",IF($Q3913=0,"UNMAPPED",INDEX(COA_Mapping!$C$7:$C$256,$Q3913)))</f>
        <v/>
      </c>
      <c r="N3913" s="38" t="str">
        <f aca="false">IF($A3913="","",IF($Q3913=0,"",INDEX(COA_Mapping!$E$7:$E$256,$Q3913)))</f>
        <v/>
      </c>
      <c r="O3913" s="38" t="n">
        <f aca="false">IF($A3913="",1,IF($Q3913=0,1,INDEX(COA_Mapping!$F$7:$F$256,$Q3913)))</f>
        <v>1</v>
      </c>
      <c r="P3913" s="34" t="str">
        <f aca="false">IF($A3913="","",$I3913*$O3913)</f>
        <v/>
      </c>
      <c r="Q3913" s="39" t="n">
        <f aca="false">IF($B3913="",0,IFERROR(MATCH($B3913,COA_Mapping!$A$7:$A$256,0),0))</f>
        <v>0</v>
      </c>
      <c r="R3913" s="39" t="n">
        <f aca="false">IF($A3913="",-1,IF($J3913=Setup!$B$7,1,IF($J3913=Setup!$B$9,0,-1)))</f>
        <v>-1</v>
      </c>
      <c r="S3913" s="35" t="n">
        <f aca="false">IF(OR($A3913="",$Q3913=0,$R3913=-1),0,$Q3913*1000+$R3913*100+$K3913)</f>
        <v>0</v>
      </c>
      <c r="T3913" s="37" t="str">
        <f aca="false">IF($A3913="","",IF($B3913="","NO ACCOUNT",IF($Q3913=0,"UNMAPPED",IF($R3913=-1,"OUTSIDE FY RANGE","OK"))))</f>
        <v/>
      </c>
      <c r="U3913" s="40" t="str">
        <f aca="false">IF($A3913="","",$B3913&amp;"|"&amp;TEXT($A3913,"yyyymmdd")&amp;"|"&amp;TEXT($I3913,"0.00"))</f>
        <v/>
      </c>
      <c r="V3913" s="35" t="str">
        <f aca="false">IF($A3913="","",COUNTIF($U$8:$U$5007,$U3913))</f>
        <v/>
      </c>
    </row>
    <row r="3914" customFormat="false" ht="15" hidden="false" customHeight="false" outlineLevel="0" collapsed="false">
      <c r="A3914" s="31"/>
      <c r="B3914" s="32"/>
      <c r="C3914" s="32"/>
      <c r="D3914" s="32"/>
      <c r="E3914" s="32"/>
      <c r="F3914" s="32"/>
      <c r="G3914" s="33"/>
      <c r="H3914" s="33"/>
      <c r="I3914" s="34" t="str">
        <f aca="false">IF($A3914="","",$G3914-$H3914)</f>
        <v/>
      </c>
      <c r="J3914" s="35" t="str">
        <f aca="false">IF($A3914="","",IF(Setup!$B$6=1,YEAR($A3914),YEAR($A3914)+IF(MONTH($A3914)&gt;=Setup!$B$6,1,0)))</f>
        <v/>
      </c>
      <c r="K3914" s="35" t="str">
        <f aca="false">IF($A3914="","",MOD(MONTH($A3914)-Setup!$B$6+12,12)+1)</f>
        <v/>
      </c>
      <c r="L3914" s="36" t="str">
        <f aca="false">IF($A3914="","",TEXT($A3914,"MMM-YY"))</f>
        <v/>
      </c>
      <c r="M3914" s="37" t="str">
        <f aca="false">IF($A3914="","",IF($Q3914=0,"UNMAPPED",INDEX(COA_Mapping!$C$7:$C$256,$Q3914)))</f>
        <v/>
      </c>
      <c r="N3914" s="38" t="str">
        <f aca="false">IF($A3914="","",IF($Q3914=0,"",INDEX(COA_Mapping!$E$7:$E$256,$Q3914)))</f>
        <v/>
      </c>
      <c r="O3914" s="38" t="n">
        <f aca="false">IF($A3914="",1,IF($Q3914=0,1,INDEX(COA_Mapping!$F$7:$F$256,$Q3914)))</f>
        <v>1</v>
      </c>
      <c r="P3914" s="34" t="str">
        <f aca="false">IF($A3914="","",$I3914*$O3914)</f>
        <v/>
      </c>
      <c r="Q3914" s="39" t="n">
        <f aca="false">IF($B3914="",0,IFERROR(MATCH($B3914,COA_Mapping!$A$7:$A$256,0),0))</f>
        <v>0</v>
      </c>
      <c r="R3914" s="39" t="n">
        <f aca="false">IF($A3914="",-1,IF($J3914=Setup!$B$7,1,IF($J3914=Setup!$B$9,0,-1)))</f>
        <v>-1</v>
      </c>
      <c r="S3914" s="35" t="n">
        <f aca="false">IF(OR($A3914="",$Q3914=0,$R3914=-1),0,$Q3914*1000+$R3914*100+$K3914)</f>
        <v>0</v>
      </c>
      <c r="T3914" s="37" t="str">
        <f aca="false">IF($A3914="","",IF($B3914="","NO ACCOUNT",IF($Q3914=0,"UNMAPPED",IF($R3914=-1,"OUTSIDE FY RANGE","OK"))))</f>
        <v/>
      </c>
      <c r="U3914" s="40" t="str">
        <f aca="false">IF($A3914="","",$B3914&amp;"|"&amp;TEXT($A3914,"yyyymmdd")&amp;"|"&amp;TEXT($I3914,"0.00"))</f>
        <v/>
      </c>
      <c r="V3914" s="35" t="str">
        <f aca="false">IF($A3914="","",COUNTIF($U$8:$U$5007,$U3914))</f>
        <v/>
      </c>
    </row>
    <row r="3915" customFormat="false" ht="15" hidden="false" customHeight="false" outlineLevel="0" collapsed="false">
      <c r="A3915" s="31"/>
      <c r="B3915" s="32"/>
      <c r="C3915" s="32"/>
      <c r="D3915" s="32"/>
      <c r="E3915" s="32"/>
      <c r="F3915" s="32"/>
      <c r="G3915" s="33"/>
      <c r="H3915" s="33"/>
      <c r="I3915" s="34" t="str">
        <f aca="false">IF($A3915="","",$G3915-$H3915)</f>
        <v/>
      </c>
      <c r="J3915" s="35" t="str">
        <f aca="false">IF($A3915="","",IF(Setup!$B$6=1,YEAR($A3915),YEAR($A3915)+IF(MONTH($A3915)&gt;=Setup!$B$6,1,0)))</f>
        <v/>
      </c>
      <c r="K3915" s="35" t="str">
        <f aca="false">IF($A3915="","",MOD(MONTH($A3915)-Setup!$B$6+12,12)+1)</f>
        <v/>
      </c>
      <c r="L3915" s="36" t="str">
        <f aca="false">IF($A3915="","",TEXT($A3915,"MMM-YY"))</f>
        <v/>
      </c>
      <c r="M3915" s="37" t="str">
        <f aca="false">IF($A3915="","",IF($Q3915=0,"UNMAPPED",INDEX(COA_Mapping!$C$7:$C$256,$Q3915)))</f>
        <v/>
      </c>
      <c r="N3915" s="38" t="str">
        <f aca="false">IF($A3915="","",IF($Q3915=0,"",INDEX(COA_Mapping!$E$7:$E$256,$Q3915)))</f>
        <v/>
      </c>
      <c r="O3915" s="38" t="n">
        <f aca="false">IF($A3915="",1,IF($Q3915=0,1,INDEX(COA_Mapping!$F$7:$F$256,$Q3915)))</f>
        <v>1</v>
      </c>
      <c r="P3915" s="34" t="str">
        <f aca="false">IF($A3915="","",$I3915*$O3915)</f>
        <v/>
      </c>
      <c r="Q3915" s="39" t="n">
        <f aca="false">IF($B3915="",0,IFERROR(MATCH($B3915,COA_Mapping!$A$7:$A$256,0),0))</f>
        <v>0</v>
      </c>
      <c r="R3915" s="39" t="n">
        <f aca="false">IF($A3915="",-1,IF($J3915=Setup!$B$7,1,IF($J3915=Setup!$B$9,0,-1)))</f>
        <v>-1</v>
      </c>
      <c r="S3915" s="35" t="n">
        <f aca="false">IF(OR($A3915="",$Q3915=0,$R3915=-1),0,$Q3915*1000+$R3915*100+$K3915)</f>
        <v>0</v>
      </c>
      <c r="T3915" s="37" t="str">
        <f aca="false">IF($A3915="","",IF($B3915="","NO ACCOUNT",IF($Q3915=0,"UNMAPPED",IF($R3915=-1,"OUTSIDE FY RANGE","OK"))))</f>
        <v/>
      </c>
      <c r="U3915" s="40" t="str">
        <f aca="false">IF($A3915="","",$B3915&amp;"|"&amp;TEXT($A3915,"yyyymmdd")&amp;"|"&amp;TEXT($I3915,"0.00"))</f>
        <v/>
      </c>
      <c r="V3915" s="35" t="str">
        <f aca="false">IF($A3915="","",COUNTIF($U$8:$U$5007,$U3915))</f>
        <v/>
      </c>
    </row>
    <row r="3916" customFormat="false" ht="15" hidden="false" customHeight="false" outlineLevel="0" collapsed="false">
      <c r="A3916" s="31"/>
      <c r="B3916" s="32"/>
      <c r="C3916" s="32"/>
      <c r="D3916" s="32"/>
      <c r="E3916" s="32"/>
      <c r="F3916" s="32"/>
      <c r="G3916" s="33"/>
      <c r="H3916" s="33"/>
      <c r="I3916" s="34" t="str">
        <f aca="false">IF($A3916="","",$G3916-$H3916)</f>
        <v/>
      </c>
      <c r="J3916" s="35" t="str">
        <f aca="false">IF($A3916="","",IF(Setup!$B$6=1,YEAR($A3916),YEAR($A3916)+IF(MONTH($A3916)&gt;=Setup!$B$6,1,0)))</f>
        <v/>
      </c>
      <c r="K3916" s="35" t="str">
        <f aca="false">IF($A3916="","",MOD(MONTH($A3916)-Setup!$B$6+12,12)+1)</f>
        <v/>
      </c>
      <c r="L3916" s="36" t="str">
        <f aca="false">IF($A3916="","",TEXT($A3916,"MMM-YY"))</f>
        <v/>
      </c>
      <c r="M3916" s="37" t="str">
        <f aca="false">IF($A3916="","",IF($Q3916=0,"UNMAPPED",INDEX(COA_Mapping!$C$7:$C$256,$Q3916)))</f>
        <v/>
      </c>
      <c r="N3916" s="38" t="str">
        <f aca="false">IF($A3916="","",IF($Q3916=0,"",INDEX(COA_Mapping!$E$7:$E$256,$Q3916)))</f>
        <v/>
      </c>
      <c r="O3916" s="38" t="n">
        <f aca="false">IF($A3916="",1,IF($Q3916=0,1,INDEX(COA_Mapping!$F$7:$F$256,$Q3916)))</f>
        <v>1</v>
      </c>
      <c r="P3916" s="34" t="str">
        <f aca="false">IF($A3916="","",$I3916*$O3916)</f>
        <v/>
      </c>
      <c r="Q3916" s="39" t="n">
        <f aca="false">IF($B3916="",0,IFERROR(MATCH($B3916,COA_Mapping!$A$7:$A$256,0),0))</f>
        <v>0</v>
      </c>
      <c r="R3916" s="39" t="n">
        <f aca="false">IF($A3916="",-1,IF($J3916=Setup!$B$7,1,IF($J3916=Setup!$B$9,0,-1)))</f>
        <v>-1</v>
      </c>
      <c r="S3916" s="35" t="n">
        <f aca="false">IF(OR($A3916="",$Q3916=0,$R3916=-1),0,$Q3916*1000+$R3916*100+$K3916)</f>
        <v>0</v>
      </c>
      <c r="T3916" s="37" t="str">
        <f aca="false">IF($A3916="","",IF($B3916="","NO ACCOUNT",IF($Q3916=0,"UNMAPPED",IF($R3916=-1,"OUTSIDE FY RANGE","OK"))))</f>
        <v/>
      </c>
      <c r="U3916" s="40" t="str">
        <f aca="false">IF($A3916="","",$B3916&amp;"|"&amp;TEXT($A3916,"yyyymmdd")&amp;"|"&amp;TEXT($I3916,"0.00"))</f>
        <v/>
      </c>
      <c r="V3916" s="35" t="str">
        <f aca="false">IF($A3916="","",COUNTIF($U$8:$U$5007,$U3916))</f>
        <v/>
      </c>
    </row>
    <row r="3917" customFormat="false" ht="15" hidden="false" customHeight="false" outlineLevel="0" collapsed="false">
      <c r="A3917" s="31"/>
      <c r="B3917" s="32"/>
      <c r="C3917" s="32"/>
      <c r="D3917" s="32"/>
      <c r="E3917" s="32"/>
      <c r="F3917" s="32"/>
      <c r="G3917" s="33"/>
      <c r="H3917" s="33"/>
      <c r="I3917" s="34" t="str">
        <f aca="false">IF($A3917="","",$G3917-$H3917)</f>
        <v/>
      </c>
      <c r="J3917" s="35" t="str">
        <f aca="false">IF($A3917="","",IF(Setup!$B$6=1,YEAR($A3917),YEAR($A3917)+IF(MONTH($A3917)&gt;=Setup!$B$6,1,0)))</f>
        <v/>
      </c>
      <c r="K3917" s="35" t="str">
        <f aca="false">IF($A3917="","",MOD(MONTH($A3917)-Setup!$B$6+12,12)+1)</f>
        <v/>
      </c>
      <c r="L3917" s="36" t="str">
        <f aca="false">IF($A3917="","",TEXT($A3917,"MMM-YY"))</f>
        <v/>
      </c>
      <c r="M3917" s="37" t="str">
        <f aca="false">IF($A3917="","",IF($Q3917=0,"UNMAPPED",INDEX(COA_Mapping!$C$7:$C$256,$Q3917)))</f>
        <v/>
      </c>
      <c r="N3917" s="38" t="str">
        <f aca="false">IF($A3917="","",IF($Q3917=0,"",INDEX(COA_Mapping!$E$7:$E$256,$Q3917)))</f>
        <v/>
      </c>
      <c r="O3917" s="38" t="n">
        <f aca="false">IF($A3917="",1,IF($Q3917=0,1,INDEX(COA_Mapping!$F$7:$F$256,$Q3917)))</f>
        <v>1</v>
      </c>
      <c r="P3917" s="34" t="str">
        <f aca="false">IF($A3917="","",$I3917*$O3917)</f>
        <v/>
      </c>
      <c r="Q3917" s="39" t="n">
        <f aca="false">IF($B3917="",0,IFERROR(MATCH($B3917,COA_Mapping!$A$7:$A$256,0),0))</f>
        <v>0</v>
      </c>
      <c r="R3917" s="39" t="n">
        <f aca="false">IF($A3917="",-1,IF($J3917=Setup!$B$7,1,IF($J3917=Setup!$B$9,0,-1)))</f>
        <v>-1</v>
      </c>
      <c r="S3917" s="35" t="n">
        <f aca="false">IF(OR($A3917="",$Q3917=0,$R3917=-1),0,$Q3917*1000+$R3917*100+$K3917)</f>
        <v>0</v>
      </c>
      <c r="T3917" s="37" t="str">
        <f aca="false">IF($A3917="","",IF($B3917="","NO ACCOUNT",IF($Q3917=0,"UNMAPPED",IF($R3917=-1,"OUTSIDE FY RANGE","OK"))))</f>
        <v/>
      </c>
      <c r="U3917" s="40" t="str">
        <f aca="false">IF($A3917="","",$B3917&amp;"|"&amp;TEXT($A3917,"yyyymmdd")&amp;"|"&amp;TEXT($I3917,"0.00"))</f>
        <v/>
      </c>
      <c r="V3917" s="35" t="str">
        <f aca="false">IF($A3917="","",COUNTIF($U$8:$U$5007,$U3917))</f>
        <v/>
      </c>
    </row>
    <row r="3918" customFormat="false" ht="15" hidden="false" customHeight="false" outlineLevel="0" collapsed="false">
      <c r="A3918" s="31"/>
      <c r="B3918" s="32"/>
      <c r="C3918" s="32"/>
      <c r="D3918" s="32"/>
      <c r="E3918" s="32"/>
      <c r="F3918" s="32"/>
      <c r="G3918" s="33"/>
      <c r="H3918" s="33"/>
      <c r="I3918" s="34" t="str">
        <f aca="false">IF($A3918="","",$G3918-$H3918)</f>
        <v/>
      </c>
      <c r="J3918" s="35" t="str">
        <f aca="false">IF($A3918="","",IF(Setup!$B$6=1,YEAR($A3918),YEAR($A3918)+IF(MONTH($A3918)&gt;=Setup!$B$6,1,0)))</f>
        <v/>
      </c>
      <c r="K3918" s="35" t="str">
        <f aca="false">IF($A3918="","",MOD(MONTH($A3918)-Setup!$B$6+12,12)+1)</f>
        <v/>
      </c>
      <c r="L3918" s="36" t="str">
        <f aca="false">IF($A3918="","",TEXT($A3918,"MMM-YY"))</f>
        <v/>
      </c>
      <c r="M3918" s="37" t="str">
        <f aca="false">IF($A3918="","",IF($Q3918=0,"UNMAPPED",INDEX(COA_Mapping!$C$7:$C$256,$Q3918)))</f>
        <v/>
      </c>
      <c r="N3918" s="38" t="str">
        <f aca="false">IF($A3918="","",IF($Q3918=0,"",INDEX(COA_Mapping!$E$7:$E$256,$Q3918)))</f>
        <v/>
      </c>
      <c r="O3918" s="38" t="n">
        <f aca="false">IF($A3918="",1,IF($Q3918=0,1,INDEX(COA_Mapping!$F$7:$F$256,$Q3918)))</f>
        <v>1</v>
      </c>
      <c r="P3918" s="34" t="str">
        <f aca="false">IF($A3918="","",$I3918*$O3918)</f>
        <v/>
      </c>
      <c r="Q3918" s="39" t="n">
        <f aca="false">IF($B3918="",0,IFERROR(MATCH($B3918,COA_Mapping!$A$7:$A$256,0),0))</f>
        <v>0</v>
      </c>
      <c r="R3918" s="39" t="n">
        <f aca="false">IF($A3918="",-1,IF($J3918=Setup!$B$7,1,IF($J3918=Setup!$B$9,0,-1)))</f>
        <v>-1</v>
      </c>
      <c r="S3918" s="35" t="n">
        <f aca="false">IF(OR($A3918="",$Q3918=0,$R3918=-1),0,$Q3918*1000+$R3918*100+$K3918)</f>
        <v>0</v>
      </c>
      <c r="T3918" s="37" t="str">
        <f aca="false">IF($A3918="","",IF($B3918="","NO ACCOUNT",IF($Q3918=0,"UNMAPPED",IF($R3918=-1,"OUTSIDE FY RANGE","OK"))))</f>
        <v/>
      </c>
      <c r="U3918" s="40" t="str">
        <f aca="false">IF($A3918="","",$B3918&amp;"|"&amp;TEXT($A3918,"yyyymmdd")&amp;"|"&amp;TEXT($I3918,"0.00"))</f>
        <v/>
      </c>
      <c r="V3918" s="35" t="str">
        <f aca="false">IF($A3918="","",COUNTIF($U$8:$U$5007,$U3918))</f>
        <v/>
      </c>
    </row>
    <row r="3919" customFormat="false" ht="15" hidden="false" customHeight="false" outlineLevel="0" collapsed="false">
      <c r="A3919" s="31"/>
      <c r="B3919" s="32"/>
      <c r="C3919" s="32"/>
      <c r="D3919" s="32"/>
      <c r="E3919" s="32"/>
      <c r="F3919" s="32"/>
      <c r="G3919" s="33"/>
      <c r="H3919" s="33"/>
      <c r="I3919" s="34" t="str">
        <f aca="false">IF($A3919="","",$G3919-$H3919)</f>
        <v/>
      </c>
      <c r="J3919" s="35" t="str">
        <f aca="false">IF($A3919="","",IF(Setup!$B$6=1,YEAR($A3919),YEAR($A3919)+IF(MONTH($A3919)&gt;=Setup!$B$6,1,0)))</f>
        <v/>
      </c>
      <c r="K3919" s="35" t="str">
        <f aca="false">IF($A3919="","",MOD(MONTH($A3919)-Setup!$B$6+12,12)+1)</f>
        <v/>
      </c>
      <c r="L3919" s="36" t="str">
        <f aca="false">IF($A3919="","",TEXT($A3919,"MMM-YY"))</f>
        <v/>
      </c>
      <c r="M3919" s="37" t="str">
        <f aca="false">IF($A3919="","",IF($Q3919=0,"UNMAPPED",INDEX(COA_Mapping!$C$7:$C$256,$Q3919)))</f>
        <v/>
      </c>
      <c r="N3919" s="38" t="str">
        <f aca="false">IF($A3919="","",IF($Q3919=0,"",INDEX(COA_Mapping!$E$7:$E$256,$Q3919)))</f>
        <v/>
      </c>
      <c r="O3919" s="38" t="n">
        <f aca="false">IF($A3919="",1,IF($Q3919=0,1,INDEX(COA_Mapping!$F$7:$F$256,$Q3919)))</f>
        <v>1</v>
      </c>
      <c r="P3919" s="34" t="str">
        <f aca="false">IF($A3919="","",$I3919*$O3919)</f>
        <v/>
      </c>
      <c r="Q3919" s="39" t="n">
        <f aca="false">IF($B3919="",0,IFERROR(MATCH($B3919,COA_Mapping!$A$7:$A$256,0),0))</f>
        <v>0</v>
      </c>
      <c r="R3919" s="39" t="n">
        <f aca="false">IF($A3919="",-1,IF($J3919=Setup!$B$7,1,IF($J3919=Setup!$B$9,0,-1)))</f>
        <v>-1</v>
      </c>
      <c r="S3919" s="35" t="n">
        <f aca="false">IF(OR($A3919="",$Q3919=0,$R3919=-1),0,$Q3919*1000+$R3919*100+$K3919)</f>
        <v>0</v>
      </c>
      <c r="T3919" s="37" t="str">
        <f aca="false">IF($A3919="","",IF($B3919="","NO ACCOUNT",IF($Q3919=0,"UNMAPPED",IF($R3919=-1,"OUTSIDE FY RANGE","OK"))))</f>
        <v/>
      </c>
      <c r="U3919" s="40" t="str">
        <f aca="false">IF($A3919="","",$B3919&amp;"|"&amp;TEXT($A3919,"yyyymmdd")&amp;"|"&amp;TEXT($I3919,"0.00"))</f>
        <v/>
      </c>
      <c r="V3919" s="35" t="str">
        <f aca="false">IF($A3919="","",COUNTIF($U$8:$U$5007,$U3919))</f>
        <v/>
      </c>
    </row>
    <row r="3920" customFormat="false" ht="15" hidden="false" customHeight="false" outlineLevel="0" collapsed="false">
      <c r="A3920" s="31"/>
      <c r="B3920" s="32"/>
      <c r="C3920" s="32"/>
      <c r="D3920" s="32"/>
      <c r="E3920" s="32"/>
      <c r="F3920" s="32"/>
      <c r="G3920" s="33"/>
      <c r="H3920" s="33"/>
      <c r="I3920" s="34" t="str">
        <f aca="false">IF($A3920="","",$G3920-$H3920)</f>
        <v/>
      </c>
      <c r="J3920" s="35" t="str">
        <f aca="false">IF($A3920="","",IF(Setup!$B$6=1,YEAR($A3920),YEAR($A3920)+IF(MONTH($A3920)&gt;=Setup!$B$6,1,0)))</f>
        <v/>
      </c>
      <c r="K3920" s="35" t="str">
        <f aca="false">IF($A3920="","",MOD(MONTH($A3920)-Setup!$B$6+12,12)+1)</f>
        <v/>
      </c>
      <c r="L3920" s="36" t="str">
        <f aca="false">IF($A3920="","",TEXT($A3920,"MMM-YY"))</f>
        <v/>
      </c>
      <c r="M3920" s="37" t="str">
        <f aca="false">IF($A3920="","",IF($Q3920=0,"UNMAPPED",INDEX(COA_Mapping!$C$7:$C$256,$Q3920)))</f>
        <v/>
      </c>
      <c r="N3920" s="38" t="str">
        <f aca="false">IF($A3920="","",IF($Q3920=0,"",INDEX(COA_Mapping!$E$7:$E$256,$Q3920)))</f>
        <v/>
      </c>
      <c r="O3920" s="38" t="n">
        <f aca="false">IF($A3920="",1,IF($Q3920=0,1,INDEX(COA_Mapping!$F$7:$F$256,$Q3920)))</f>
        <v>1</v>
      </c>
      <c r="P3920" s="34" t="str">
        <f aca="false">IF($A3920="","",$I3920*$O3920)</f>
        <v/>
      </c>
      <c r="Q3920" s="39" t="n">
        <f aca="false">IF($B3920="",0,IFERROR(MATCH($B3920,COA_Mapping!$A$7:$A$256,0),0))</f>
        <v>0</v>
      </c>
      <c r="R3920" s="39" t="n">
        <f aca="false">IF($A3920="",-1,IF($J3920=Setup!$B$7,1,IF($J3920=Setup!$B$9,0,-1)))</f>
        <v>-1</v>
      </c>
      <c r="S3920" s="35" t="n">
        <f aca="false">IF(OR($A3920="",$Q3920=0,$R3920=-1),0,$Q3920*1000+$R3920*100+$K3920)</f>
        <v>0</v>
      </c>
      <c r="T3920" s="37" t="str">
        <f aca="false">IF($A3920="","",IF($B3920="","NO ACCOUNT",IF($Q3920=0,"UNMAPPED",IF($R3920=-1,"OUTSIDE FY RANGE","OK"))))</f>
        <v/>
      </c>
      <c r="U3920" s="40" t="str">
        <f aca="false">IF($A3920="","",$B3920&amp;"|"&amp;TEXT($A3920,"yyyymmdd")&amp;"|"&amp;TEXT($I3920,"0.00"))</f>
        <v/>
      </c>
      <c r="V3920" s="35" t="str">
        <f aca="false">IF($A3920="","",COUNTIF($U$8:$U$5007,$U3920))</f>
        <v/>
      </c>
    </row>
    <row r="3921" customFormat="false" ht="15" hidden="false" customHeight="false" outlineLevel="0" collapsed="false">
      <c r="A3921" s="31"/>
      <c r="B3921" s="32"/>
      <c r="C3921" s="32"/>
      <c r="D3921" s="32"/>
      <c r="E3921" s="32"/>
      <c r="F3921" s="32"/>
      <c r="G3921" s="33"/>
      <c r="H3921" s="33"/>
      <c r="I3921" s="34" t="str">
        <f aca="false">IF($A3921="","",$G3921-$H3921)</f>
        <v/>
      </c>
      <c r="J3921" s="35" t="str">
        <f aca="false">IF($A3921="","",IF(Setup!$B$6=1,YEAR($A3921),YEAR($A3921)+IF(MONTH($A3921)&gt;=Setup!$B$6,1,0)))</f>
        <v/>
      </c>
      <c r="K3921" s="35" t="str">
        <f aca="false">IF($A3921="","",MOD(MONTH($A3921)-Setup!$B$6+12,12)+1)</f>
        <v/>
      </c>
      <c r="L3921" s="36" t="str">
        <f aca="false">IF($A3921="","",TEXT($A3921,"MMM-YY"))</f>
        <v/>
      </c>
      <c r="M3921" s="37" t="str">
        <f aca="false">IF($A3921="","",IF($Q3921=0,"UNMAPPED",INDEX(COA_Mapping!$C$7:$C$256,$Q3921)))</f>
        <v/>
      </c>
      <c r="N3921" s="38" t="str">
        <f aca="false">IF($A3921="","",IF($Q3921=0,"",INDEX(COA_Mapping!$E$7:$E$256,$Q3921)))</f>
        <v/>
      </c>
      <c r="O3921" s="38" t="n">
        <f aca="false">IF($A3921="",1,IF($Q3921=0,1,INDEX(COA_Mapping!$F$7:$F$256,$Q3921)))</f>
        <v>1</v>
      </c>
      <c r="P3921" s="34" t="str">
        <f aca="false">IF($A3921="","",$I3921*$O3921)</f>
        <v/>
      </c>
      <c r="Q3921" s="39" t="n">
        <f aca="false">IF($B3921="",0,IFERROR(MATCH($B3921,COA_Mapping!$A$7:$A$256,0),0))</f>
        <v>0</v>
      </c>
      <c r="R3921" s="39" t="n">
        <f aca="false">IF($A3921="",-1,IF($J3921=Setup!$B$7,1,IF($J3921=Setup!$B$9,0,-1)))</f>
        <v>-1</v>
      </c>
      <c r="S3921" s="35" t="n">
        <f aca="false">IF(OR($A3921="",$Q3921=0,$R3921=-1),0,$Q3921*1000+$R3921*100+$K3921)</f>
        <v>0</v>
      </c>
      <c r="T3921" s="37" t="str">
        <f aca="false">IF($A3921="","",IF($B3921="","NO ACCOUNT",IF($Q3921=0,"UNMAPPED",IF($R3921=-1,"OUTSIDE FY RANGE","OK"))))</f>
        <v/>
      </c>
      <c r="U3921" s="40" t="str">
        <f aca="false">IF($A3921="","",$B3921&amp;"|"&amp;TEXT($A3921,"yyyymmdd")&amp;"|"&amp;TEXT($I3921,"0.00"))</f>
        <v/>
      </c>
      <c r="V3921" s="35" t="str">
        <f aca="false">IF($A3921="","",COUNTIF($U$8:$U$5007,$U3921))</f>
        <v/>
      </c>
    </row>
    <row r="3922" customFormat="false" ht="15" hidden="false" customHeight="false" outlineLevel="0" collapsed="false">
      <c r="A3922" s="31"/>
      <c r="B3922" s="32"/>
      <c r="C3922" s="32"/>
      <c r="D3922" s="32"/>
      <c r="E3922" s="32"/>
      <c r="F3922" s="32"/>
      <c r="G3922" s="33"/>
      <c r="H3922" s="33"/>
      <c r="I3922" s="34" t="str">
        <f aca="false">IF($A3922="","",$G3922-$H3922)</f>
        <v/>
      </c>
      <c r="J3922" s="35" t="str">
        <f aca="false">IF($A3922="","",IF(Setup!$B$6=1,YEAR($A3922),YEAR($A3922)+IF(MONTH($A3922)&gt;=Setup!$B$6,1,0)))</f>
        <v/>
      </c>
      <c r="K3922" s="35" t="str">
        <f aca="false">IF($A3922="","",MOD(MONTH($A3922)-Setup!$B$6+12,12)+1)</f>
        <v/>
      </c>
      <c r="L3922" s="36" t="str">
        <f aca="false">IF($A3922="","",TEXT($A3922,"MMM-YY"))</f>
        <v/>
      </c>
      <c r="M3922" s="37" t="str">
        <f aca="false">IF($A3922="","",IF($Q3922=0,"UNMAPPED",INDEX(COA_Mapping!$C$7:$C$256,$Q3922)))</f>
        <v/>
      </c>
      <c r="N3922" s="38" t="str">
        <f aca="false">IF($A3922="","",IF($Q3922=0,"",INDEX(COA_Mapping!$E$7:$E$256,$Q3922)))</f>
        <v/>
      </c>
      <c r="O3922" s="38" t="n">
        <f aca="false">IF($A3922="",1,IF($Q3922=0,1,INDEX(COA_Mapping!$F$7:$F$256,$Q3922)))</f>
        <v>1</v>
      </c>
      <c r="P3922" s="34" t="str">
        <f aca="false">IF($A3922="","",$I3922*$O3922)</f>
        <v/>
      </c>
      <c r="Q3922" s="39" t="n">
        <f aca="false">IF($B3922="",0,IFERROR(MATCH($B3922,COA_Mapping!$A$7:$A$256,0),0))</f>
        <v>0</v>
      </c>
      <c r="R3922" s="39" t="n">
        <f aca="false">IF($A3922="",-1,IF($J3922=Setup!$B$7,1,IF($J3922=Setup!$B$9,0,-1)))</f>
        <v>-1</v>
      </c>
      <c r="S3922" s="35" t="n">
        <f aca="false">IF(OR($A3922="",$Q3922=0,$R3922=-1),0,$Q3922*1000+$R3922*100+$K3922)</f>
        <v>0</v>
      </c>
      <c r="T3922" s="37" t="str">
        <f aca="false">IF($A3922="","",IF($B3922="","NO ACCOUNT",IF($Q3922=0,"UNMAPPED",IF($R3922=-1,"OUTSIDE FY RANGE","OK"))))</f>
        <v/>
      </c>
      <c r="U3922" s="40" t="str">
        <f aca="false">IF($A3922="","",$B3922&amp;"|"&amp;TEXT($A3922,"yyyymmdd")&amp;"|"&amp;TEXT($I3922,"0.00"))</f>
        <v/>
      </c>
      <c r="V3922" s="35" t="str">
        <f aca="false">IF($A3922="","",COUNTIF($U$8:$U$5007,$U3922))</f>
        <v/>
      </c>
    </row>
    <row r="3923" customFormat="false" ht="15" hidden="false" customHeight="false" outlineLevel="0" collapsed="false">
      <c r="A3923" s="31"/>
      <c r="B3923" s="32"/>
      <c r="C3923" s="32"/>
      <c r="D3923" s="32"/>
      <c r="E3923" s="32"/>
      <c r="F3923" s="32"/>
      <c r="G3923" s="33"/>
      <c r="H3923" s="33"/>
      <c r="I3923" s="34" t="str">
        <f aca="false">IF($A3923="","",$G3923-$H3923)</f>
        <v/>
      </c>
      <c r="J3923" s="35" t="str">
        <f aca="false">IF($A3923="","",IF(Setup!$B$6=1,YEAR($A3923),YEAR($A3923)+IF(MONTH($A3923)&gt;=Setup!$B$6,1,0)))</f>
        <v/>
      </c>
      <c r="K3923" s="35" t="str">
        <f aca="false">IF($A3923="","",MOD(MONTH($A3923)-Setup!$B$6+12,12)+1)</f>
        <v/>
      </c>
      <c r="L3923" s="36" t="str">
        <f aca="false">IF($A3923="","",TEXT($A3923,"MMM-YY"))</f>
        <v/>
      </c>
      <c r="M3923" s="37" t="str">
        <f aca="false">IF($A3923="","",IF($Q3923=0,"UNMAPPED",INDEX(COA_Mapping!$C$7:$C$256,$Q3923)))</f>
        <v/>
      </c>
      <c r="N3923" s="38" t="str">
        <f aca="false">IF($A3923="","",IF($Q3923=0,"",INDEX(COA_Mapping!$E$7:$E$256,$Q3923)))</f>
        <v/>
      </c>
      <c r="O3923" s="38" t="n">
        <f aca="false">IF($A3923="",1,IF($Q3923=0,1,INDEX(COA_Mapping!$F$7:$F$256,$Q3923)))</f>
        <v>1</v>
      </c>
      <c r="P3923" s="34" t="str">
        <f aca="false">IF($A3923="","",$I3923*$O3923)</f>
        <v/>
      </c>
      <c r="Q3923" s="39" t="n">
        <f aca="false">IF($B3923="",0,IFERROR(MATCH($B3923,COA_Mapping!$A$7:$A$256,0),0))</f>
        <v>0</v>
      </c>
      <c r="R3923" s="39" t="n">
        <f aca="false">IF($A3923="",-1,IF($J3923=Setup!$B$7,1,IF($J3923=Setup!$B$9,0,-1)))</f>
        <v>-1</v>
      </c>
      <c r="S3923" s="35" t="n">
        <f aca="false">IF(OR($A3923="",$Q3923=0,$R3923=-1),0,$Q3923*1000+$R3923*100+$K3923)</f>
        <v>0</v>
      </c>
      <c r="T3923" s="37" t="str">
        <f aca="false">IF($A3923="","",IF($B3923="","NO ACCOUNT",IF($Q3923=0,"UNMAPPED",IF($R3923=-1,"OUTSIDE FY RANGE","OK"))))</f>
        <v/>
      </c>
      <c r="U3923" s="40" t="str">
        <f aca="false">IF($A3923="","",$B3923&amp;"|"&amp;TEXT($A3923,"yyyymmdd")&amp;"|"&amp;TEXT($I3923,"0.00"))</f>
        <v/>
      </c>
      <c r="V3923" s="35" t="str">
        <f aca="false">IF($A3923="","",COUNTIF($U$8:$U$5007,$U3923))</f>
        <v/>
      </c>
    </row>
    <row r="3924" customFormat="false" ht="15" hidden="false" customHeight="false" outlineLevel="0" collapsed="false">
      <c r="A3924" s="31"/>
      <c r="B3924" s="32"/>
      <c r="C3924" s="32"/>
      <c r="D3924" s="32"/>
      <c r="E3924" s="32"/>
      <c r="F3924" s="32"/>
      <c r="G3924" s="33"/>
      <c r="H3924" s="33"/>
      <c r="I3924" s="34" t="str">
        <f aca="false">IF($A3924="","",$G3924-$H3924)</f>
        <v/>
      </c>
      <c r="J3924" s="35" t="str">
        <f aca="false">IF($A3924="","",IF(Setup!$B$6=1,YEAR($A3924),YEAR($A3924)+IF(MONTH($A3924)&gt;=Setup!$B$6,1,0)))</f>
        <v/>
      </c>
      <c r="K3924" s="35" t="str">
        <f aca="false">IF($A3924="","",MOD(MONTH($A3924)-Setup!$B$6+12,12)+1)</f>
        <v/>
      </c>
      <c r="L3924" s="36" t="str">
        <f aca="false">IF($A3924="","",TEXT($A3924,"MMM-YY"))</f>
        <v/>
      </c>
      <c r="M3924" s="37" t="str">
        <f aca="false">IF($A3924="","",IF($Q3924=0,"UNMAPPED",INDEX(COA_Mapping!$C$7:$C$256,$Q3924)))</f>
        <v/>
      </c>
      <c r="N3924" s="38" t="str">
        <f aca="false">IF($A3924="","",IF($Q3924=0,"",INDEX(COA_Mapping!$E$7:$E$256,$Q3924)))</f>
        <v/>
      </c>
      <c r="O3924" s="38" t="n">
        <f aca="false">IF($A3924="",1,IF($Q3924=0,1,INDEX(COA_Mapping!$F$7:$F$256,$Q3924)))</f>
        <v>1</v>
      </c>
      <c r="P3924" s="34" t="str">
        <f aca="false">IF($A3924="","",$I3924*$O3924)</f>
        <v/>
      </c>
      <c r="Q3924" s="39" t="n">
        <f aca="false">IF($B3924="",0,IFERROR(MATCH($B3924,COA_Mapping!$A$7:$A$256,0),0))</f>
        <v>0</v>
      </c>
      <c r="R3924" s="39" t="n">
        <f aca="false">IF($A3924="",-1,IF($J3924=Setup!$B$7,1,IF($J3924=Setup!$B$9,0,-1)))</f>
        <v>-1</v>
      </c>
      <c r="S3924" s="35" t="n">
        <f aca="false">IF(OR($A3924="",$Q3924=0,$R3924=-1),0,$Q3924*1000+$R3924*100+$K3924)</f>
        <v>0</v>
      </c>
      <c r="T3924" s="37" t="str">
        <f aca="false">IF($A3924="","",IF($B3924="","NO ACCOUNT",IF($Q3924=0,"UNMAPPED",IF($R3924=-1,"OUTSIDE FY RANGE","OK"))))</f>
        <v/>
      </c>
      <c r="U3924" s="40" t="str">
        <f aca="false">IF($A3924="","",$B3924&amp;"|"&amp;TEXT($A3924,"yyyymmdd")&amp;"|"&amp;TEXT($I3924,"0.00"))</f>
        <v/>
      </c>
      <c r="V3924" s="35" t="str">
        <f aca="false">IF($A3924="","",COUNTIF($U$8:$U$5007,$U3924))</f>
        <v/>
      </c>
    </row>
    <row r="3925" customFormat="false" ht="15" hidden="false" customHeight="false" outlineLevel="0" collapsed="false">
      <c r="A3925" s="31"/>
      <c r="B3925" s="32"/>
      <c r="C3925" s="32"/>
      <c r="D3925" s="32"/>
      <c r="E3925" s="32"/>
      <c r="F3925" s="32"/>
      <c r="G3925" s="33"/>
      <c r="H3925" s="33"/>
      <c r="I3925" s="34" t="str">
        <f aca="false">IF($A3925="","",$G3925-$H3925)</f>
        <v/>
      </c>
      <c r="J3925" s="35" t="str">
        <f aca="false">IF($A3925="","",IF(Setup!$B$6=1,YEAR($A3925),YEAR($A3925)+IF(MONTH($A3925)&gt;=Setup!$B$6,1,0)))</f>
        <v/>
      </c>
      <c r="K3925" s="35" t="str">
        <f aca="false">IF($A3925="","",MOD(MONTH($A3925)-Setup!$B$6+12,12)+1)</f>
        <v/>
      </c>
      <c r="L3925" s="36" t="str">
        <f aca="false">IF($A3925="","",TEXT($A3925,"MMM-YY"))</f>
        <v/>
      </c>
      <c r="M3925" s="37" t="str">
        <f aca="false">IF($A3925="","",IF($Q3925=0,"UNMAPPED",INDEX(COA_Mapping!$C$7:$C$256,$Q3925)))</f>
        <v/>
      </c>
      <c r="N3925" s="38" t="str">
        <f aca="false">IF($A3925="","",IF($Q3925=0,"",INDEX(COA_Mapping!$E$7:$E$256,$Q3925)))</f>
        <v/>
      </c>
      <c r="O3925" s="38" t="n">
        <f aca="false">IF($A3925="",1,IF($Q3925=0,1,INDEX(COA_Mapping!$F$7:$F$256,$Q3925)))</f>
        <v>1</v>
      </c>
      <c r="P3925" s="34" t="str">
        <f aca="false">IF($A3925="","",$I3925*$O3925)</f>
        <v/>
      </c>
      <c r="Q3925" s="39" t="n">
        <f aca="false">IF($B3925="",0,IFERROR(MATCH($B3925,COA_Mapping!$A$7:$A$256,0),0))</f>
        <v>0</v>
      </c>
      <c r="R3925" s="39" t="n">
        <f aca="false">IF($A3925="",-1,IF($J3925=Setup!$B$7,1,IF($J3925=Setup!$B$9,0,-1)))</f>
        <v>-1</v>
      </c>
      <c r="S3925" s="35" t="n">
        <f aca="false">IF(OR($A3925="",$Q3925=0,$R3925=-1),0,$Q3925*1000+$R3925*100+$K3925)</f>
        <v>0</v>
      </c>
      <c r="T3925" s="37" t="str">
        <f aca="false">IF($A3925="","",IF($B3925="","NO ACCOUNT",IF($Q3925=0,"UNMAPPED",IF($R3925=-1,"OUTSIDE FY RANGE","OK"))))</f>
        <v/>
      </c>
      <c r="U3925" s="40" t="str">
        <f aca="false">IF($A3925="","",$B3925&amp;"|"&amp;TEXT($A3925,"yyyymmdd")&amp;"|"&amp;TEXT($I3925,"0.00"))</f>
        <v/>
      </c>
      <c r="V3925" s="35" t="str">
        <f aca="false">IF($A3925="","",COUNTIF($U$8:$U$5007,$U3925))</f>
        <v/>
      </c>
    </row>
    <row r="3926" customFormat="false" ht="15" hidden="false" customHeight="false" outlineLevel="0" collapsed="false">
      <c r="A3926" s="31"/>
      <c r="B3926" s="32"/>
      <c r="C3926" s="32"/>
      <c r="D3926" s="32"/>
      <c r="E3926" s="32"/>
      <c r="F3926" s="32"/>
      <c r="G3926" s="33"/>
      <c r="H3926" s="33"/>
      <c r="I3926" s="34" t="str">
        <f aca="false">IF($A3926="","",$G3926-$H3926)</f>
        <v/>
      </c>
      <c r="J3926" s="35" t="str">
        <f aca="false">IF($A3926="","",IF(Setup!$B$6=1,YEAR($A3926),YEAR($A3926)+IF(MONTH($A3926)&gt;=Setup!$B$6,1,0)))</f>
        <v/>
      </c>
      <c r="K3926" s="35" t="str">
        <f aca="false">IF($A3926="","",MOD(MONTH($A3926)-Setup!$B$6+12,12)+1)</f>
        <v/>
      </c>
      <c r="L3926" s="36" t="str">
        <f aca="false">IF($A3926="","",TEXT($A3926,"MMM-YY"))</f>
        <v/>
      </c>
      <c r="M3926" s="37" t="str">
        <f aca="false">IF($A3926="","",IF($Q3926=0,"UNMAPPED",INDEX(COA_Mapping!$C$7:$C$256,$Q3926)))</f>
        <v/>
      </c>
      <c r="N3926" s="38" t="str">
        <f aca="false">IF($A3926="","",IF($Q3926=0,"",INDEX(COA_Mapping!$E$7:$E$256,$Q3926)))</f>
        <v/>
      </c>
      <c r="O3926" s="38" t="n">
        <f aca="false">IF($A3926="",1,IF($Q3926=0,1,INDEX(COA_Mapping!$F$7:$F$256,$Q3926)))</f>
        <v>1</v>
      </c>
      <c r="P3926" s="34" t="str">
        <f aca="false">IF($A3926="","",$I3926*$O3926)</f>
        <v/>
      </c>
      <c r="Q3926" s="39" t="n">
        <f aca="false">IF($B3926="",0,IFERROR(MATCH($B3926,COA_Mapping!$A$7:$A$256,0),0))</f>
        <v>0</v>
      </c>
      <c r="R3926" s="39" t="n">
        <f aca="false">IF($A3926="",-1,IF($J3926=Setup!$B$7,1,IF($J3926=Setup!$B$9,0,-1)))</f>
        <v>-1</v>
      </c>
      <c r="S3926" s="35" t="n">
        <f aca="false">IF(OR($A3926="",$Q3926=0,$R3926=-1),0,$Q3926*1000+$R3926*100+$K3926)</f>
        <v>0</v>
      </c>
      <c r="T3926" s="37" t="str">
        <f aca="false">IF($A3926="","",IF($B3926="","NO ACCOUNT",IF($Q3926=0,"UNMAPPED",IF($R3926=-1,"OUTSIDE FY RANGE","OK"))))</f>
        <v/>
      </c>
      <c r="U3926" s="40" t="str">
        <f aca="false">IF($A3926="","",$B3926&amp;"|"&amp;TEXT($A3926,"yyyymmdd")&amp;"|"&amp;TEXT($I3926,"0.00"))</f>
        <v/>
      </c>
      <c r="V3926" s="35" t="str">
        <f aca="false">IF($A3926="","",COUNTIF($U$8:$U$5007,$U3926))</f>
        <v/>
      </c>
    </row>
    <row r="3927" customFormat="false" ht="15" hidden="false" customHeight="false" outlineLevel="0" collapsed="false">
      <c r="A3927" s="31"/>
      <c r="B3927" s="32"/>
      <c r="C3927" s="32"/>
      <c r="D3927" s="32"/>
      <c r="E3927" s="32"/>
      <c r="F3927" s="32"/>
      <c r="G3927" s="33"/>
      <c r="H3927" s="33"/>
      <c r="I3927" s="34" t="str">
        <f aca="false">IF($A3927="","",$G3927-$H3927)</f>
        <v/>
      </c>
      <c r="J3927" s="35" t="str">
        <f aca="false">IF($A3927="","",IF(Setup!$B$6=1,YEAR($A3927),YEAR($A3927)+IF(MONTH($A3927)&gt;=Setup!$B$6,1,0)))</f>
        <v/>
      </c>
      <c r="K3927" s="35" t="str">
        <f aca="false">IF($A3927="","",MOD(MONTH($A3927)-Setup!$B$6+12,12)+1)</f>
        <v/>
      </c>
      <c r="L3927" s="36" t="str">
        <f aca="false">IF($A3927="","",TEXT($A3927,"MMM-YY"))</f>
        <v/>
      </c>
      <c r="M3927" s="37" t="str">
        <f aca="false">IF($A3927="","",IF($Q3927=0,"UNMAPPED",INDEX(COA_Mapping!$C$7:$C$256,$Q3927)))</f>
        <v/>
      </c>
      <c r="N3927" s="38" t="str">
        <f aca="false">IF($A3927="","",IF($Q3927=0,"",INDEX(COA_Mapping!$E$7:$E$256,$Q3927)))</f>
        <v/>
      </c>
      <c r="O3927" s="38" t="n">
        <f aca="false">IF($A3927="",1,IF($Q3927=0,1,INDEX(COA_Mapping!$F$7:$F$256,$Q3927)))</f>
        <v>1</v>
      </c>
      <c r="P3927" s="34" t="str">
        <f aca="false">IF($A3927="","",$I3927*$O3927)</f>
        <v/>
      </c>
      <c r="Q3927" s="39" t="n">
        <f aca="false">IF($B3927="",0,IFERROR(MATCH($B3927,COA_Mapping!$A$7:$A$256,0),0))</f>
        <v>0</v>
      </c>
      <c r="R3927" s="39" t="n">
        <f aca="false">IF($A3927="",-1,IF($J3927=Setup!$B$7,1,IF($J3927=Setup!$B$9,0,-1)))</f>
        <v>-1</v>
      </c>
      <c r="S3927" s="35" t="n">
        <f aca="false">IF(OR($A3927="",$Q3927=0,$R3927=-1),0,$Q3927*1000+$R3927*100+$K3927)</f>
        <v>0</v>
      </c>
      <c r="T3927" s="37" t="str">
        <f aca="false">IF($A3927="","",IF($B3927="","NO ACCOUNT",IF($Q3927=0,"UNMAPPED",IF($R3927=-1,"OUTSIDE FY RANGE","OK"))))</f>
        <v/>
      </c>
      <c r="U3927" s="40" t="str">
        <f aca="false">IF($A3927="","",$B3927&amp;"|"&amp;TEXT($A3927,"yyyymmdd")&amp;"|"&amp;TEXT($I3927,"0.00"))</f>
        <v/>
      </c>
      <c r="V3927" s="35" t="str">
        <f aca="false">IF($A3927="","",COUNTIF($U$8:$U$5007,$U3927))</f>
        <v/>
      </c>
    </row>
    <row r="3928" customFormat="false" ht="15" hidden="false" customHeight="false" outlineLevel="0" collapsed="false">
      <c r="A3928" s="31"/>
      <c r="B3928" s="32"/>
      <c r="C3928" s="32"/>
      <c r="D3928" s="32"/>
      <c r="E3928" s="32"/>
      <c r="F3928" s="32"/>
      <c r="G3928" s="33"/>
      <c r="H3928" s="33"/>
      <c r="I3928" s="34" t="str">
        <f aca="false">IF($A3928="","",$G3928-$H3928)</f>
        <v/>
      </c>
      <c r="J3928" s="35" t="str">
        <f aca="false">IF($A3928="","",IF(Setup!$B$6=1,YEAR($A3928),YEAR($A3928)+IF(MONTH($A3928)&gt;=Setup!$B$6,1,0)))</f>
        <v/>
      </c>
      <c r="K3928" s="35" t="str">
        <f aca="false">IF($A3928="","",MOD(MONTH($A3928)-Setup!$B$6+12,12)+1)</f>
        <v/>
      </c>
      <c r="L3928" s="36" t="str">
        <f aca="false">IF($A3928="","",TEXT($A3928,"MMM-YY"))</f>
        <v/>
      </c>
      <c r="M3928" s="37" t="str">
        <f aca="false">IF($A3928="","",IF($Q3928=0,"UNMAPPED",INDEX(COA_Mapping!$C$7:$C$256,$Q3928)))</f>
        <v/>
      </c>
      <c r="N3928" s="38" t="str">
        <f aca="false">IF($A3928="","",IF($Q3928=0,"",INDEX(COA_Mapping!$E$7:$E$256,$Q3928)))</f>
        <v/>
      </c>
      <c r="O3928" s="38" t="n">
        <f aca="false">IF($A3928="",1,IF($Q3928=0,1,INDEX(COA_Mapping!$F$7:$F$256,$Q3928)))</f>
        <v>1</v>
      </c>
      <c r="P3928" s="34" t="str">
        <f aca="false">IF($A3928="","",$I3928*$O3928)</f>
        <v/>
      </c>
      <c r="Q3928" s="39" t="n">
        <f aca="false">IF($B3928="",0,IFERROR(MATCH($B3928,COA_Mapping!$A$7:$A$256,0),0))</f>
        <v>0</v>
      </c>
      <c r="R3928" s="39" t="n">
        <f aca="false">IF($A3928="",-1,IF($J3928=Setup!$B$7,1,IF($J3928=Setup!$B$9,0,-1)))</f>
        <v>-1</v>
      </c>
      <c r="S3928" s="35" t="n">
        <f aca="false">IF(OR($A3928="",$Q3928=0,$R3928=-1),0,$Q3928*1000+$R3928*100+$K3928)</f>
        <v>0</v>
      </c>
      <c r="T3928" s="37" t="str">
        <f aca="false">IF($A3928="","",IF($B3928="","NO ACCOUNT",IF($Q3928=0,"UNMAPPED",IF($R3928=-1,"OUTSIDE FY RANGE","OK"))))</f>
        <v/>
      </c>
      <c r="U3928" s="40" t="str">
        <f aca="false">IF($A3928="","",$B3928&amp;"|"&amp;TEXT($A3928,"yyyymmdd")&amp;"|"&amp;TEXT($I3928,"0.00"))</f>
        <v/>
      </c>
      <c r="V3928" s="35" t="str">
        <f aca="false">IF($A3928="","",COUNTIF($U$8:$U$5007,$U3928))</f>
        <v/>
      </c>
    </row>
    <row r="3929" customFormat="false" ht="15" hidden="false" customHeight="false" outlineLevel="0" collapsed="false">
      <c r="A3929" s="31"/>
      <c r="B3929" s="32"/>
      <c r="C3929" s="32"/>
      <c r="D3929" s="32"/>
      <c r="E3929" s="32"/>
      <c r="F3929" s="32"/>
      <c r="G3929" s="33"/>
      <c r="H3929" s="33"/>
      <c r="I3929" s="34" t="str">
        <f aca="false">IF($A3929="","",$G3929-$H3929)</f>
        <v/>
      </c>
      <c r="J3929" s="35" t="str">
        <f aca="false">IF($A3929="","",IF(Setup!$B$6=1,YEAR($A3929),YEAR($A3929)+IF(MONTH($A3929)&gt;=Setup!$B$6,1,0)))</f>
        <v/>
      </c>
      <c r="K3929" s="35" t="str">
        <f aca="false">IF($A3929="","",MOD(MONTH($A3929)-Setup!$B$6+12,12)+1)</f>
        <v/>
      </c>
      <c r="L3929" s="36" t="str">
        <f aca="false">IF($A3929="","",TEXT($A3929,"MMM-YY"))</f>
        <v/>
      </c>
      <c r="M3929" s="37" t="str">
        <f aca="false">IF($A3929="","",IF($Q3929=0,"UNMAPPED",INDEX(COA_Mapping!$C$7:$C$256,$Q3929)))</f>
        <v/>
      </c>
      <c r="N3929" s="38" t="str">
        <f aca="false">IF($A3929="","",IF($Q3929=0,"",INDEX(COA_Mapping!$E$7:$E$256,$Q3929)))</f>
        <v/>
      </c>
      <c r="O3929" s="38" t="n">
        <f aca="false">IF($A3929="",1,IF($Q3929=0,1,INDEX(COA_Mapping!$F$7:$F$256,$Q3929)))</f>
        <v>1</v>
      </c>
      <c r="P3929" s="34" t="str">
        <f aca="false">IF($A3929="","",$I3929*$O3929)</f>
        <v/>
      </c>
      <c r="Q3929" s="39" t="n">
        <f aca="false">IF($B3929="",0,IFERROR(MATCH($B3929,COA_Mapping!$A$7:$A$256,0),0))</f>
        <v>0</v>
      </c>
      <c r="R3929" s="39" t="n">
        <f aca="false">IF($A3929="",-1,IF($J3929=Setup!$B$7,1,IF($J3929=Setup!$B$9,0,-1)))</f>
        <v>-1</v>
      </c>
      <c r="S3929" s="35" t="n">
        <f aca="false">IF(OR($A3929="",$Q3929=0,$R3929=-1),0,$Q3929*1000+$R3929*100+$K3929)</f>
        <v>0</v>
      </c>
      <c r="T3929" s="37" t="str">
        <f aca="false">IF($A3929="","",IF($B3929="","NO ACCOUNT",IF($Q3929=0,"UNMAPPED",IF($R3929=-1,"OUTSIDE FY RANGE","OK"))))</f>
        <v/>
      </c>
      <c r="U3929" s="40" t="str">
        <f aca="false">IF($A3929="","",$B3929&amp;"|"&amp;TEXT($A3929,"yyyymmdd")&amp;"|"&amp;TEXT($I3929,"0.00"))</f>
        <v/>
      </c>
      <c r="V3929" s="35" t="str">
        <f aca="false">IF($A3929="","",COUNTIF($U$8:$U$5007,$U3929))</f>
        <v/>
      </c>
    </row>
    <row r="3930" customFormat="false" ht="15" hidden="false" customHeight="false" outlineLevel="0" collapsed="false">
      <c r="A3930" s="31"/>
      <c r="B3930" s="32"/>
      <c r="C3930" s="32"/>
      <c r="D3930" s="32"/>
      <c r="E3930" s="32"/>
      <c r="F3930" s="32"/>
      <c r="G3930" s="33"/>
      <c r="H3930" s="33"/>
      <c r="I3930" s="34" t="str">
        <f aca="false">IF($A3930="","",$G3930-$H3930)</f>
        <v/>
      </c>
      <c r="J3930" s="35" t="str">
        <f aca="false">IF($A3930="","",IF(Setup!$B$6=1,YEAR($A3930),YEAR($A3930)+IF(MONTH($A3930)&gt;=Setup!$B$6,1,0)))</f>
        <v/>
      </c>
      <c r="K3930" s="35" t="str">
        <f aca="false">IF($A3930="","",MOD(MONTH($A3930)-Setup!$B$6+12,12)+1)</f>
        <v/>
      </c>
      <c r="L3930" s="36" t="str">
        <f aca="false">IF($A3930="","",TEXT($A3930,"MMM-YY"))</f>
        <v/>
      </c>
      <c r="M3930" s="37" t="str">
        <f aca="false">IF($A3930="","",IF($Q3930=0,"UNMAPPED",INDEX(COA_Mapping!$C$7:$C$256,$Q3930)))</f>
        <v/>
      </c>
      <c r="N3930" s="38" t="str">
        <f aca="false">IF($A3930="","",IF($Q3930=0,"",INDEX(COA_Mapping!$E$7:$E$256,$Q3930)))</f>
        <v/>
      </c>
      <c r="O3930" s="38" t="n">
        <f aca="false">IF($A3930="",1,IF($Q3930=0,1,INDEX(COA_Mapping!$F$7:$F$256,$Q3930)))</f>
        <v>1</v>
      </c>
      <c r="P3930" s="34" t="str">
        <f aca="false">IF($A3930="","",$I3930*$O3930)</f>
        <v/>
      </c>
      <c r="Q3930" s="39" t="n">
        <f aca="false">IF($B3930="",0,IFERROR(MATCH($B3930,COA_Mapping!$A$7:$A$256,0),0))</f>
        <v>0</v>
      </c>
      <c r="R3930" s="39" t="n">
        <f aca="false">IF($A3930="",-1,IF($J3930=Setup!$B$7,1,IF($J3930=Setup!$B$9,0,-1)))</f>
        <v>-1</v>
      </c>
      <c r="S3930" s="35" t="n">
        <f aca="false">IF(OR($A3930="",$Q3930=0,$R3930=-1),0,$Q3930*1000+$R3930*100+$K3930)</f>
        <v>0</v>
      </c>
      <c r="T3930" s="37" t="str">
        <f aca="false">IF($A3930="","",IF($B3930="","NO ACCOUNT",IF($Q3930=0,"UNMAPPED",IF($R3930=-1,"OUTSIDE FY RANGE","OK"))))</f>
        <v/>
      </c>
      <c r="U3930" s="40" t="str">
        <f aca="false">IF($A3930="","",$B3930&amp;"|"&amp;TEXT($A3930,"yyyymmdd")&amp;"|"&amp;TEXT($I3930,"0.00"))</f>
        <v/>
      </c>
      <c r="V3930" s="35" t="str">
        <f aca="false">IF($A3930="","",COUNTIF($U$8:$U$5007,$U3930))</f>
        <v/>
      </c>
    </row>
    <row r="3931" customFormat="false" ht="15" hidden="false" customHeight="false" outlineLevel="0" collapsed="false">
      <c r="A3931" s="31"/>
      <c r="B3931" s="32"/>
      <c r="C3931" s="32"/>
      <c r="D3931" s="32"/>
      <c r="E3931" s="32"/>
      <c r="F3931" s="32"/>
      <c r="G3931" s="33"/>
      <c r="H3931" s="33"/>
      <c r="I3931" s="34" t="str">
        <f aca="false">IF($A3931="","",$G3931-$H3931)</f>
        <v/>
      </c>
      <c r="J3931" s="35" t="str">
        <f aca="false">IF($A3931="","",IF(Setup!$B$6=1,YEAR($A3931),YEAR($A3931)+IF(MONTH($A3931)&gt;=Setup!$B$6,1,0)))</f>
        <v/>
      </c>
      <c r="K3931" s="35" t="str">
        <f aca="false">IF($A3931="","",MOD(MONTH($A3931)-Setup!$B$6+12,12)+1)</f>
        <v/>
      </c>
      <c r="L3931" s="36" t="str">
        <f aca="false">IF($A3931="","",TEXT($A3931,"MMM-YY"))</f>
        <v/>
      </c>
      <c r="M3931" s="37" t="str">
        <f aca="false">IF($A3931="","",IF($Q3931=0,"UNMAPPED",INDEX(COA_Mapping!$C$7:$C$256,$Q3931)))</f>
        <v/>
      </c>
      <c r="N3931" s="38" t="str">
        <f aca="false">IF($A3931="","",IF($Q3931=0,"",INDEX(COA_Mapping!$E$7:$E$256,$Q3931)))</f>
        <v/>
      </c>
      <c r="O3931" s="38" t="n">
        <f aca="false">IF($A3931="",1,IF($Q3931=0,1,INDEX(COA_Mapping!$F$7:$F$256,$Q3931)))</f>
        <v>1</v>
      </c>
      <c r="P3931" s="34" t="str">
        <f aca="false">IF($A3931="","",$I3931*$O3931)</f>
        <v/>
      </c>
      <c r="Q3931" s="39" t="n">
        <f aca="false">IF($B3931="",0,IFERROR(MATCH($B3931,COA_Mapping!$A$7:$A$256,0),0))</f>
        <v>0</v>
      </c>
      <c r="R3931" s="39" t="n">
        <f aca="false">IF($A3931="",-1,IF($J3931=Setup!$B$7,1,IF($J3931=Setup!$B$9,0,-1)))</f>
        <v>-1</v>
      </c>
      <c r="S3931" s="35" t="n">
        <f aca="false">IF(OR($A3931="",$Q3931=0,$R3931=-1),0,$Q3931*1000+$R3931*100+$K3931)</f>
        <v>0</v>
      </c>
      <c r="T3931" s="37" t="str">
        <f aca="false">IF($A3931="","",IF($B3931="","NO ACCOUNT",IF($Q3931=0,"UNMAPPED",IF($R3931=-1,"OUTSIDE FY RANGE","OK"))))</f>
        <v/>
      </c>
      <c r="U3931" s="40" t="str">
        <f aca="false">IF($A3931="","",$B3931&amp;"|"&amp;TEXT($A3931,"yyyymmdd")&amp;"|"&amp;TEXT($I3931,"0.00"))</f>
        <v/>
      </c>
      <c r="V3931" s="35" t="str">
        <f aca="false">IF($A3931="","",COUNTIF($U$8:$U$5007,$U3931))</f>
        <v/>
      </c>
    </row>
    <row r="3932" customFormat="false" ht="15" hidden="false" customHeight="false" outlineLevel="0" collapsed="false">
      <c r="A3932" s="31"/>
      <c r="B3932" s="32"/>
      <c r="C3932" s="32"/>
      <c r="D3932" s="32"/>
      <c r="E3932" s="32"/>
      <c r="F3932" s="32"/>
      <c r="G3932" s="33"/>
      <c r="H3932" s="33"/>
      <c r="I3932" s="34" t="str">
        <f aca="false">IF($A3932="","",$G3932-$H3932)</f>
        <v/>
      </c>
      <c r="J3932" s="35" t="str">
        <f aca="false">IF($A3932="","",IF(Setup!$B$6=1,YEAR($A3932),YEAR($A3932)+IF(MONTH($A3932)&gt;=Setup!$B$6,1,0)))</f>
        <v/>
      </c>
      <c r="K3932" s="35" t="str">
        <f aca="false">IF($A3932="","",MOD(MONTH($A3932)-Setup!$B$6+12,12)+1)</f>
        <v/>
      </c>
      <c r="L3932" s="36" t="str">
        <f aca="false">IF($A3932="","",TEXT($A3932,"MMM-YY"))</f>
        <v/>
      </c>
      <c r="M3932" s="37" t="str">
        <f aca="false">IF($A3932="","",IF($Q3932=0,"UNMAPPED",INDEX(COA_Mapping!$C$7:$C$256,$Q3932)))</f>
        <v/>
      </c>
      <c r="N3932" s="38" t="str">
        <f aca="false">IF($A3932="","",IF($Q3932=0,"",INDEX(COA_Mapping!$E$7:$E$256,$Q3932)))</f>
        <v/>
      </c>
      <c r="O3932" s="38" t="n">
        <f aca="false">IF($A3932="",1,IF($Q3932=0,1,INDEX(COA_Mapping!$F$7:$F$256,$Q3932)))</f>
        <v>1</v>
      </c>
      <c r="P3932" s="34" t="str">
        <f aca="false">IF($A3932="","",$I3932*$O3932)</f>
        <v/>
      </c>
      <c r="Q3932" s="39" t="n">
        <f aca="false">IF($B3932="",0,IFERROR(MATCH($B3932,COA_Mapping!$A$7:$A$256,0),0))</f>
        <v>0</v>
      </c>
      <c r="R3932" s="39" t="n">
        <f aca="false">IF($A3932="",-1,IF($J3932=Setup!$B$7,1,IF($J3932=Setup!$B$9,0,-1)))</f>
        <v>-1</v>
      </c>
      <c r="S3932" s="35" t="n">
        <f aca="false">IF(OR($A3932="",$Q3932=0,$R3932=-1),0,$Q3932*1000+$R3932*100+$K3932)</f>
        <v>0</v>
      </c>
      <c r="T3932" s="37" t="str">
        <f aca="false">IF($A3932="","",IF($B3932="","NO ACCOUNT",IF($Q3932=0,"UNMAPPED",IF($R3932=-1,"OUTSIDE FY RANGE","OK"))))</f>
        <v/>
      </c>
      <c r="U3932" s="40" t="str">
        <f aca="false">IF($A3932="","",$B3932&amp;"|"&amp;TEXT($A3932,"yyyymmdd")&amp;"|"&amp;TEXT($I3932,"0.00"))</f>
        <v/>
      </c>
      <c r="V3932" s="35" t="str">
        <f aca="false">IF($A3932="","",COUNTIF($U$8:$U$5007,$U3932))</f>
        <v/>
      </c>
    </row>
    <row r="3933" customFormat="false" ht="15" hidden="false" customHeight="false" outlineLevel="0" collapsed="false">
      <c r="A3933" s="31"/>
      <c r="B3933" s="32"/>
      <c r="C3933" s="32"/>
      <c r="D3933" s="32"/>
      <c r="E3933" s="32"/>
      <c r="F3933" s="32"/>
      <c r="G3933" s="33"/>
      <c r="H3933" s="33"/>
      <c r="I3933" s="34" t="str">
        <f aca="false">IF($A3933="","",$G3933-$H3933)</f>
        <v/>
      </c>
      <c r="J3933" s="35" t="str">
        <f aca="false">IF($A3933="","",IF(Setup!$B$6=1,YEAR($A3933),YEAR($A3933)+IF(MONTH($A3933)&gt;=Setup!$B$6,1,0)))</f>
        <v/>
      </c>
      <c r="K3933" s="35" t="str">
        <f aca="false">IF($A3933="","",MOD(MONTH($A3933)-Setup!$B$6+12,12)+1)</f>
        <v/>
      </c>
      <c r="L3933" s="36" t="str">
        <f aca="false">IF($A3933="","",TEXT($A3933,"MMM-YY"))</f>
        <v/>
      </c>
      <c r="M3933" s="37" t="str">
        <f aca="false">IF($A3933="","",IF($Q3933=0,"UNMAPPED",INDEX(COA_Mapping!$C$7:$C$256,$Q3933)))</f>
        <v/>
      </c>
      <c r="N3933" s="38" t="str">
        <f aca="false">IF($A3933="","",IF($Q3933=0,"",INDEX(COA_Mapping!$E$7:$E$256,$Q3933)))</f>
        <v/>
      </c>
      <c r="O3933" s="38" t="n">
        <f aca="false">IF($A3933="",1,IF($Q3933=0,1,INDEX(COA_Mapping!$F$7:$F$256,$Q3933)))</f>
        <v>1</v>
      </c>
      <c r="P3933" s="34" t="str">
        <f aca="false">IF($A3933="","",$I3933*$O3933)</f>
        <v/>
      </c>
      <c r="Q3933" s="39" t="n">
        <f aca="false">IF($B3933="",0,IFERROR(MATCH($B3933,COA_Mapping!$A$7:$A$256,0),0))</f>
        <v>0</v>
      </c>
      <c r="R3933" s="39" t="n">
        <f aca="false">IF($A3933="",-1,IF($J3933=Setup!$B$7,1,IF($J3933=Setup!$B$9,0,-1)))</f>
        <v>-1</v>
      </c>
      <c r="S3933" s="35" t="n">
        <f aca="false">IF(OR($A3933="",$Q3933=0,$R3933=-1),0,$Q3933*1000+$R3933*100+$K3933)</f>
        <v>0</v>
      </c>
      <c r="T3933" s="37" t="str">
        <f aca="false">IF($A3933="","",IF($B3933="","NO ACCOUNT",IF($Q3933=0,"UNMAPPED",IF($R3933=-1,"OUTSIDE FY RANGE","OK"))))</f>
        <v/>
      </c>
      <c r="U3933" s="40" t="str">
        <f aca="false">IF($A3933="","",$B3933&amp;"|"&amp;TEXT($A3933,"yyyymmdd")&amp;"|"&amp;TEXT($I3933,"0.00"))</f>
        <v/>
      </c>
      <c r="V3933" s="35" t="str">
        <f aca="false">IF($A3933="","",COUNTIF($U$8:$U$5007,$U3933))</f>
        <v/>
      </c>
    </row>
    <row r="3934" customFormat="false" ht="15" hidden="false" customHeight="false" outlineLevel="0" collapsed="false">
      <c r="A3934" s="31"/>
      <c r="B3934" s="32"/>
      <c r="C3934" s="32"/>
      <c r="D3934" s="32"/>
      <c r="E3934" s="32"/>
      <c r="F3934" s="32"/>
      <c r="G3934" s="33"/>
      <c r="H3934" s="33"/>
      <c r="I3934" s="34" t="str">
        <f aca="false">IF($A3934="","",$G3934-$H3934)</f>
        <v/>
      </c>
      <c r="J3934" s="35" t="str">
        <f aca="false">IF($A3934="","",IF(Setup!$B$6=1,YEAR($A3934),YEAR($A3934)+IF(MONTH($A3934)&gt;=Setup!$B$6,1,0)))</f>
        <v/>
      </c>
      <c r="K3934" s="35" t="str">
        <f aca="false">IF($A3934="","",MOD(MONTH($A3934)-Setup!$B$6+12,12)+1)</f>
        <v/>
      </c>
      <c r="L3934" s="36" t="str">
        <f aca="false">IF($A3934="","",TEXT($A3934,"MMM-YY"))</f>
        <v/>
      </c>
      <c r="M3934" s="37" t="str">
        <f aca="false">IF($A3934="","",IF($Q3934=0,"UNMAPPED",INDEX(COA_Mapping!$C$7:$C$256,$Q3934)))</f>
        <v/>
      </c>
      <c r="N3934" s="38" t="str">
        <f aca="false">IF($A3934="","",IF($Q3934=0,"",INDEX(COA_Mapping!$E$7:$E$256,$Q3934)))</f>
        <v/>
      </c>
      <c r="O3934" s="38" t="n">
        <f aca="false">IF($A3934="",1,IF($Q3934=0,1,INDEX(COA_Mapping!$F$7:$F$256,$Q3934)))</f>
        <v>1</v>
      </c>
      <c r="P3934" s="34" t="str">
        <f aca="false">IF($A3934="","",$I3934*$O3934)</f>
        <v/>
      </c>
      <c r="Q3934" s="39" t="n">
        <f aca="false">IF($B3934="",0,IFERROR(MATCH($B3934,COA_Mapping!$A$7:$A$256,0),0))</f>
        <v>0</v>
      </c>
      <c r="R3934" s="39" t="n">
        <f aca="false">IF($A3934="",-1,IF($J3934=Setup!$B$7,1,IF($J3934=Setup!$B$9,0,-1)))</f>
        <v>-1</v>
      </c>
      <c r="S3934" s="35" t="n">
        <f aca="false">IF(OR($A3934="",$Q3934=0,$R3934=-1),0,$Q3934*1000+$R3934*100+$K3934)</f>
        <v>0</v>
      </c>
      <c r="T3934" s="37" t="str">
        <f aca="false">IF($A3934="","",IF($B3934="","NO ACCOUNT",IF($Q3934=0,"UNMAPPED",IF($R3934=-1,"OUTSIDE FY RANGE","OK"))))</f>
        <v/>
      </c>
      <c r="U3934" s="40" t="str">
        <f aca="false">IF($A3934="","",$B3934&amp;"|"&amp;TEXT($A3934,"yyyymmdd")&amp;"|"&amp;TEXT($I3934,"0.00"))</f>
        <v/>
      </c>
      <c r="V3934" s="35" t="str">
        <f aca="false">IF($A3934="","",COUNTIF($U$8:$U$5007,$U3934))</f>
        <v/>
      </c>
    </row>
    <row r="3935" customFormat="false" ht="15" hidden="false" customHeight="false" outlineLevel="0" collapsed="false">
      <c r="A3935" s="31"/>
      <c r="B3935" s="32"/>
      <c r="C3935" s="32"/>
      <c r="D3935" s="32"/>
      <c r="E3935" s="32"/>
      <c r="F3935" s="32"/>
      <c r="G3935" s="33"/>
      <c r="H3935" s="33"/>
      <c r="I3935" s="34" t="str">
        <f aca="false">IF($A3935="","",$G3935-$H3935)</f>
        <v/>
      </c>
      <c r="J3935" s="35" t="str">
        <f aca="false">IF($A3935="","",IF(Setup!$B$6=1,YEAR($A3935),YEAR($A3935)+IF(MONTH($A3935)&gt;=Setup!$B$6,1,0)))</f>
        <v/>
      </c>
      <c r="K3935" s="35" t="str">
        <f aca="false">IF($A3935="","",MOD(MONTH($A3935)-Setup!$B$6+12,12)+1)</f>
        <v/>
      </c>
      <c r="L3935" s="36" t="str">
        <f aca="false">IF($A3935="","",TEXT($A3935,"MMM-YY"))</f>
        <v/>
      </c>
      <c r="M3935" s="37" t="str">
        <f aca="false">IF($A3935="","",IF($Q3935=0,"UNMAPPED",INDEX(COA_Mapping!$C$7:$C$256,$Q3935)))</f>
        <v/>
      </c>
      <c r="N3935" s="38" t="str">
        <f aca="false">IF($A3935="","",IF($Q3935=0,"",INDEX(COA_Mapping!$E$7:$E$256,$Q3935)))</f>
        <v/>
      </c>
      <c r="O3935" s="38" t="n">
        <f aca="false">IF($A3935="",1,IF($Q3935=0,1,INDEX(COA_Mapping!$F$7:$F$256,$Q3935)))</f>
        <v>1</v>
      </c>
      <c r="P3935" s="34" t="str">
        <f aca="false">IF($A3935="","",$I3935*$O3935)</f>
        <v/>
      </c>
      <c r="Q3935" s="39" t="n">
        <f aca="false">IF($B3935="",0,IFERROR(MATCH($B3935,COA_Mapping!$A$7:$A$256,0),0))</f>
        <v>0</v>
      </c>
      <c r="R3935" s="39" t="n">
        <f aca="false">IF($A3935="",-1,IF($J3935=Setup!$B$7,1,IF($J3935=Setup!$B$9,0,-1)))</f>
        <v>-1</v>
      </c>
      <c r="S3935" s="35" t="n">
        <f aca="false">IF(OR($A3935="",$Q3935=0,$R3935=-1),0,$Q3935*1000+$R3935*100+$K3935)</f>
        <v>0</v>
      </c>
      <c r="T3935" s="37" t="str">
        <f aca="false">IF($A3935="","",IF($B3935="","NO ACCOUNT",IF($Q3935=0,"UNMAPPED",IF($R3935=-1,"OUTSIDE FY RANGE","OK"))))</f>
        <v/>
      </c>
      <c r="U3935" s="40" t="str">
        <f aca="false">IF($A3935="","",$B3935&amp;"|"&amp;TEXT($A3935,"yyyymmdd")&amp;"|"&amp;TEXT($I3935,"0.00"))</f>
        <v/>
      </c>
      <c r="V3935" s="35" t="str">
        <f aca="false">IF($A3935="","",COUNTIF($U$8:$U$5007,$U3935))</f>
        <v/>
      </c>
    </row>
    <row r="3936" customFormat="false" ht="15" hidden="false" customHeight="false" outlineLevel="0" collapsed="false">
      <c r="A3936" s="31"/>
      <c r="B3936" s="32"/>
      <c r="C3936" s="32"/>
      <c r="D3936" s="32"/>
      <c r="E3936" s="32"/>
      <c r="F3936" s="32"/>
      <c r="G3936" s="33"/>
      <c r="H3936" s="33"/>
      <c r="I3936" s="34" t="str">
        <f aca="false">IF($A3936="","",$G3936-$H3936)</f>
        <v/>
      </c>
      <c r="J3936" s="35" t="str">
        <f aca="false">IF($A3936="","",IF(Setup!$B$6=1,YEAR($A3936),YEAR($A3936)+IF(MONTH($A3936)&gt;=Setup!$B$6,1,0)))</f>
        <v/>
      </c>
      <c r="K3936" s="35" t="str">
        <f aca="false">IF($A3936="","",MOD(MONTH($A3936)-Setup!$B$6+12,12)+1)</f>
        <v/>
      </c>
      <c r="L3936" s="36" t="str">
        <f aca="false">IF($A3936="","",TEXT($A3936,"MMM-YY"))</f>
        <v/>
      </c>
      <c r="M3936" s="37" t="str">
        <f aca="false">IF($A3936="","",IF($Q3936=0,"UNMAPPED",INDEX(COA_Mapping!$C$7:$C$256,$Q3936)))</f>
        <v/>
      </c>
      <c r="N3936" s="38" t="str">
        <f aca="false">IF($A3936="","",IF($Q3936=0,"",INDEX(COA_Mapping!$E$7:$E$256,$Q3936)))</f>
        <v/>
      </c>
      <c r="O3936" s="38" t="n">
        <f aca="false">IF($A3936="",1,IF($Q3936=0,1,INDEX(COA_Mapping!$F$7:$F$256,$Q3936)))</f>
        <v>1</v>
      </c>
      <c r="P3936" s="34" t="str">
        <f aca="false">IF($A3936="","",$I3936*$O3936)</f>
        <v/>
      </c>
      <c r="Q3936" s="39" t="n">
        <f aca="false">IF($B3936="",0,IFERROR(MATCH($B3936,COA_Mapping!$A$7:$A$256,0),0))</f>
        <v>0</v>
      </c>
      <c r="R3936" s="39" t="n">
        <f aca="false">IF($A3936="",-1,IF($J3936=Setup!$B$7,1,IF($J3936=Setup!$B$9,0,-1)))</f>
        <v>-1</v>
      </c>
      <c r="S3936" s="35" t="n">
        <f aca="false">IF(OR($A3936="",$Q3936=0,$R3936=-1),0,$Q3936*1000+$R3936*100+$K3936)</f>
        <v>0</v>
      </c>
      <c r="T3936" s="37" t="str">
        <f aca="false">IF($A3936="","",IF($B3936="","NO ACCOUNT",IF($Q3936=0,"UNMAPPED",IF($R3936=-1,"OUTSIDE FY RANGE","OK"))))</f>
        <v/>
      </c>
      <c r="U3936" s="40" t="str">
        <f aca="false">IF($A3936="","",$B3936&amp;"|"&amp;TEXT($A3936,"yyyymmdd")&amp;"|"&amp;TEXT($I3936,"0.00"))</f>
        <v/>
      </c>
      <c r="V3936" s="35" t="str">
        <f aca="false">IF($A3936="","",COUNTIF($U$8:$U$5007,$U3936))</f>
        <v/>
      </c>
    </row>
    <row r="3937" customFormat="false" ht="15" hidden="false" customHeight="false" outlineLevel="0" collapsed="false">
      <c r="A3937" s="31"/>
      <c r="B3937" s="32"/>
      <c r="C3937" s="32"/>
      <c r="D3937" s="32"/>
      <c r="E3937" s="32"/>
      <c r="F3937" s="32"/>
      <c r="G3937" s="33"/>
      <c r="H3937" s="33"/>
      <c r="I3937" s="34" t="str">
        <f aca="false">IF($A3937="","",$G3937-$H3937)</f>
        <v/>
      </c>
      <c r="J3937" s="35" t="str">
        <f aca="false">IF($A3937="","",IF(Setup!$B$6=1,YEAR($A3937),YEAR($A3937)+IF(MONTH($A3937)&gt;=Setup!$B$6,1,0)))</f>
        <v/>
      </c>
      <c r="K3937" s="35" t="str">
        <f aca="false">IF($A3937="","",MOD(MONTH($A3937)-Setup!$B$6+12,12)+1)</f>
        <v/>
      </c>
      <c r="L3937" s="36" t="str">
        <f aca="false">IF($A3937="","",TEXT($A3937,"MMM-YY"))</f>
        <v/>
      </c>
      <c r="M3937" s="37" t="str">
        <f aca="false">IF($A3937="","",IF($Q3937=0,"UNMAPPED",INDEX(COA_Mapping!$C$7:$C$256,$Q3937)))</f>
        <v/>
      </c>
      <c r="N3937" s="38" t="str">
        <f aca="false">IF($A3937="","",IF($Q3937=0,"",INDEX(COA_Mapping!$E$7:$E$256,$Q3937)))</f>
        <v/>
      </c>
      <c r="O3937" s="38" t="n">
        <f aca="false">IF($A3937="",1,IF($Q3937=0,1,INDEX(COA_Mapping!$F$7:$F$256,$Q3937)))</f>
        <v>1</v>
      </c>
      <c r="P3937" s="34" t="str">
        <f aca="false">IF($A3937="","",$I3937*$O3937)</f>
        <v/>
      </c>
      <c r="Q3937" s="39" t="n">
        <f aca="false">IF($B3937="",0,IFERROR(MATCH($B3937,COA_Mapping!$A$7:$A$256,0),0))</f>
        <v>0</v>
      </c>
      <c r="R3937" s="39" t="n">
        <f aca="false">IF($A3937="",-1,IF($J3937=Setup!$B$7,1,IF($J3937=Setup!$B$9,0,-1)))</f>
        <v>-1</v>
      </c>
      <c r="S3937" s="35" t="n">
        <f aca="false">IF(OR($A3937="",$Q3937=0,$R3937=-1),0,$Q3937*1000+$R3937*100+$K3937)</f>
        <v>0</v>
      </c>
      <c r="T3937" s="37" t="str">
        <f aca="false">IF($A3937="","",IF($B3937="","NO ACCOUNT",IF($Q3937=0,"UNMAPPED",IF($R3937=-1,"OUTSIDE FY RANGE","OK"))))</f>
        <v/>
      </c>
      <c r="U3937" s="40" t="str">
        <f aca="false">IF($A3937="","",$B3937&amp;"|"&amp;TEXT($A3937,"yyyymmdd")&amp;"|"&amp;TEXT($I3937,"0.00"))</f>
        <v/>
      </c>
      <c r="V3937" s="35" t="str">
        <f aca="false">IF($A3937="","",COUNTIF($U$8:$U$5007,$U3937))</f>
        <v/>
      </c>
    </row>
    <row r="3938" customFormat="false" ht="15" hidden="false" customHeight="false" outlineLevel="0" collapsed="false">
      <c r="A3938" s="31"/>
      <c r="B3938" s="32"/>
      <c r="C3938" s="32"/>
      <c r="D3938" s="32"/>
      <c r="E3938" s="32"/>
      <c r="F3938" s="32"/>
      <c r="G3938" s="33"/>
      <c r="H3938" s="33"/>
      <c r="I3938" s="34" t="str">
        <f aca="false">IF($A3938="","",$G3938-$H3938)</f>
        <v/>
      </c>
      <c r="J3938" s="35" t="str">
        <f aca="false">IF($A3938="","",IF(Setup!$B$6=1,YEAR($A3938),YEAR($A3938)+IF(MONTH($A3938)&gt;=Setup!$B$6,1,0)))</f>
        <v/>
      </c>
      <c r="K3938" s="35" t="str">
        <f aca="false">IF($A3938="","",MOD(MONTH($A3938)-Setup!$B$6+12,12)+1)</f>
        <v/>
      </c>
      <c r="L3938" s="36" t="str">
        <f aca="false">IF($A3938="","",TEXT($A3938,"MMM-YY"))</f>
        <v/>
      </c>
      <c r="M3938" s="37" t="str">
        <f aca="false">IF($A3938="","",IF($Q3938=0,"UNMAPPED",INDEX(COA_Mapping!$C$7:$C$256,$Q3938)))</f>
        <v/>
      </c>
      <c r="N3938" s="38" t="str">
        <f aca="false">IF($A3938="","",IF($Q3938=0,"",INDEX(COA_Mapping!$E$7:$E$256,$Q3938)))</f>
        <v/>
      </c>
      <c r="O3938" s="38" t="n">
        <f aca="false">IF($A3938="",1,IF($Q3938=0,1,INDEX(COA_Mapping!$F$7:$F$256,$Q3938)))</f>
        <v>1</v>
      </c>
      <c r="P3938" s="34" t="str">
        <f aca="false">IF($A3938="","",$I3938*$O3938)</f>
        <v/>
      </c>
      <c r="Q3938" s="39" t="n">
        <f aca="false">IF($B3938="",0,IFERROR(MATCH($B3938,COA_Mapping!$A$7:$A$256,0),0))</f>
        <v>0</v>
      </c>
      <c r="R3938" s="39" t="n">
        <f aca="false">IF($A3938="",-1,IF($J3938=Setup!$B$7,1,IF($J3938=Setup!$B$9,0,-1)))</f>
        <v>-1</v>
      </c>
      <c r="S3938" s="35" t="n">
        <f aca="false">IF(OR($A3938="",$Q3938=0,$R3938=-1),0,$Q3938*1000+$R3938*100+$K3938)</f>
        <v>0</v>
      </c>
      <c r="T3938" s="37" t="str">
        <f aca="false">IF($A3938="","",IF($B3938="","NO ACCOUNT",IF($Q3938=0,"UNMAPPED",IF($R3938=-1,"OUTSIDE FY RANGE","OK"))))</f>
        <v/>
      </c>
      <c r="U3938" s="40" t="str">
        <f aca="false">IF($A3938="","",$B3938&amp;"|"&amp;TEXT($A3938,"yyyymmdd")&amp;"|"&amp;TEXT($I3938,"0.00"))</f>
        <v/>
      </c>
      <c r="V3938" s="35" t="str">
        <f aca="false">IF($A3938="","",COUNTIF($U$8:$U$5007,$U3938))</f>
        <v/>
      </c>
    </row>
    <row r="3939" customFormat="false" ht="15" hidden="false" customHeight="false" outlineLevel="0" collapsed="false">
      <c r="A3939" s="31"/>
      <c r="B3939" s="32"/>
      <c r="C3939" s="32"/>
      <c r="D3939" s="32"/>
      <c r="E3939" s="32"/>
      <c r="F3939" s="32"/>
      <c r="G3939" s="33"/>
      <c r="H3939" s="33"/>
      <c r="I3939" s="34" t="str">
        <f aca="false">IF($A3939="","",$G3939-$H3939)</f>
        <v/>
      </c>
      <c r="J3939" s="35" t="str">
        <f aca="false">IF($A3939="","",IF(Setup!$B$6=1,YEAR($A3939),YEAR($A3939)+IF(MONTH($A3939)&gt;=Setup!$B$6,1,0)))</f>
        <v/>
      </c>
      <c r="K3939" s="35" t="str">
        <f aca="false">IF($A3939="","",MOD(MONTH($A3939)-Setup!$B$6+12,12)+1)</f>
        <v/>
      </c>
      <c r="L3939" s="36" t="str">
        <f aca="false">IF($A3939="","",TEXT($A3939,"MMM-YY"))</f>
        <v/>
      </c>
      <c r="M3939" s="37" t="str">
        <f aca="false">IF($A3939="","",IF($Q3939=0,"UNMAPPED",INDEX(COA_Mapping!$C$7:$C$256,$Q3939)))</f>
        <v/>
      </c>
      <c r="N3939" s="38" t="str">
        <f aca="false">IF($A3939="","",IF($Q3939=0,"",INDEX(COA_Mapping!$E$7:$E$256,$Q3939)))</f>
        <v/>
      </c>
      <c r="O3939" s="38" t="n">
        <f aca="false">IF($A3939="",1,IF($Q3939=0,1,INDEX(COA_Mapping!$F$7:$F$256,$Q3939)))</f>
        <v>1</v>
      </c>
      <c r="P3939" s="34" t="str">
        <f aca="false">IF($A3939="","",$I3939*$O3939)</f>
        <v/>
      </c>
      <c r="Q3939" s="39" t="n">
        <f aca="false">IF($B3939="",0,IFERROR(MATCH($B3939,COA_Mapping!$A$7:$A$256,0),0))</f>
        <v>0</v>
      </c>
      <c r="R3939" s="39" t="n">
        <f aca="false">IF($A3939="",-1,IF($J3939=Setup!$B$7,1,IF($J3939=Setup!$B$9,0,-1)))</f>
        <v>-1</v>
      </c>
      <c r="S3939" s="35" t="n">
        <f aca="false">IF(OR($A3939="",$Q3939=0,$R3939=-1),0,$Q3939*1000+$R3939*100+$K3939)</f>
        <v>0</v>
      </c>
      <c r="T3939" s="37" t="str">
        <f aca="false">IF($A3939="","",IF($B3939="","NO ACCOUNT",IF($Q3939=0,"UNMAPPED",IF($R3939=-1,"OUTSIDE FY RANGE","OK"))))</f>
        <v/>
      </c>
      <c r="U3939" s="40" t="str">
        <f aca="false">IF($A3939="","",$B3939&amp;"|"&amp;TEXT($A3939,"yyyymmdd")&amp;"|"&amp;TEXT($I3939,"0.00"))</f>
        <v/>
      </c>
      <c r="V3939" s="35" t="str">
        <f aca="false">IF($A3939="","",COUNTIF($U$8:$U$5007,$U3939))</f>
        <v/>
      </c>
    </row>
    <row r="3940" customFormat="false" ht="15" hidden="false" customHeight="false" outlineLevel="0" collapsed="false">
      <c r="A3940" s="31"/>
      <c r="B3940" s="32"/>
      <c r="C3940" s="32"/>
      <c r="D3940" s="32"/>
      <c r="E3940" s="32"/>
      <c r="F3940" s="32"/>
      <c r="G3940" s="33"/>
      <c r="H3940" s="33"/>
      <c r="I3940" s="34" t="str">
        <f aca="false">IF($A3940="","",$G3940-$H3940)</f>
        <v/>
      </c>
      <c r="J3940" s="35" t="str">
        <f aca="false">IF($A3940="","",IF(Setup!$B$6=1,YEAR($A3940),YEAR($A3940)+IF(MONTH($A3940)&gt;=Setup!$B$6,1,0)))</f>
        <v/>
      </c>
      <c r="K3940" s="35" t="str">
        <f aca="false">IF($A3940="","",MOD(MONTH($A3940)-Setup!$B$6+12,12)+1)</f>
        <v/>
      </c>
      <c r="L3940" s="36" t="str">
        <f aca="false">IF($A3940="","",TEXT($A3940,"MMM-YY"))</f>
        <v/>
      </c>
      <c r="M3940" s="37" t="str">
        <f aca="false">IF($A3940="","",IF($Q3940=0,"UNMAPPED",INDEX(COA_Mapping!$C$7:$C$256,$Q3940)))</f>
        <v/>
      </c>
      <c r="N3940" s="38" t="str">
        <f aca="false">IF($A3940="","",IF($Q3940=0,"",INDEX(COA_Mapping!$E$7:$E$256,$Q3940)))</f>
        <v/>
      </c>
      <c r="O3940" s="38" t="n">
        <f aca="false">IF($A3940="",1,IF($Q3940=0,1,INDEX(COA_Mapping!$F$7:$F$256,$Q3940)))</f>
        <v>1</v>
      </c>
      <c r="P3940" s="34" t="str">
        <f aca="false">IF($A3940="","",$I3940*$O3940)</f>
        <v/>
      </c>
      <c r="Q3940" s="39" t="n">
        <f aca="false">IF($B3940="",0,IFERROR(MATCH($B3940,COA_Mapping!$A$7:$A$256,0),0))</f>
        <v>0</v>
      </c>
      <c r="R3940" s="39" t="n">
        <f aca="false">IF($A3940="",-1,IF($J3940=Setup!$B$7,1,IF($J3940=Setup!$B$9,0,-1)))</f>
        <v>-1</v>
      </c>
      <c r="S3940" s="35" t="n">
        <f aca="false">IF(OR($A3940="",$Q3940=0,$R3940=-1),0,$Q3940*1000+$R3940*100+$K3940)</f>
        <v>0</v>
      </c>
      <c r="T3940" s="37" t="str">
        <f aca="false">IF($A3940="","",IF($B3940="","NO ACCOUNT",IF($Q3940=0,"UNMAPPED",IF($R3940=-1,"OUTSIDE FY RANGE","OK"))))</f>
        <v/>
      </c>
      <c r="U3940" s="40" t="str">
        <f aca="false">IF($A3940="","",$B3940&amp;"|"&amp;TEXT($A3940,"yyyymmdd")&amp;"|"&amp;TEXT($I3940,"0.00"))</f>
        <v/>
      </c>
      <c r="V3940" s="35" t="str">
        <f aca="false">IF($A3940="","",COUNTIF($U$8:$U$5007,$U3940))</f>
        <v/>
      </c>
    </row>
    <row r="3941" customFormat="false" ht="15" hidden="false" customHeight="false" outlineLevel="0" collapsed="false">
      <c r="A3941" s="31"/>
      <c r="B3941" s="32"/>
      <c r="C3941" s="32"/>
      <c r="D3941" s="32"/>
      <c r="E3941" s="32"/>
      <c r="F3941" s="32"/>
      <c r="G3941" s="33"/>
      <c r="H3941" s="33"/>
      <c r="I3941" s="34" t="str">
        <f aca="false">IF($A3941="","",$G3941-$H3941)</f>
        <v/>
      </c>
      <c r="J3941" s="35" t="str">
        <f aca="false">IF($A3941="","",IF(Setup!$B$6=1,YEAR($A3941),YEAR($A3941)+IF(MONTH($A3941)&gt;=Setup!$B$6,1,0)))</f>
        <v/>
      </c>
      <c r="K3941" s="35" t="str">
        <f aca="false">IF($A3941="","",MOD(MONTH($A3941)-Setup!$B$6+12,12)+1)</f>
        <v/>
      </c>
      <c r="L3941" s="36" t="str">
        <f aca="false">IF($A3941="","",TEXT($A3941,"MMM-YY"))</f>
        <v/>
      </c>
      <c r="M3941" s="37" t="str">
        <f aca="false">IF($A3941="","",IF($Q3941=0,"UNMAPPED",INDEX(COA_Mapping!$C$7:$C$256,$Q3941)))</f>
        <v/>
      </c>
      <c r="N3941" s="38" t="str">
        <f aca="false">IF($A3941="","",IF($Q3941=0,"",INDEX(COA_Mapping!$E$7:$E$256,$Q3941)))</f>
        <v/>
      </c>
      <c r="O3941" s="38" t="n">
        <f aca="false">IF($A3941="",1,IF($Q3941=0,1,INDEX(COA_Mapping!$F$7:$F$256,$Q3941)))</f>
        <v>1</v>
      </c>
      <c r="P3941" s="34" t="str">
        <f aca="false">IF($A3941="","",$I3941*$O3941)</f>
        <v/>
      </c>
      <c r="Q3941" s="39" t="n">
        <f aca="false">IF($B3941="",0,IFERROR(MATCH($B3941,COA_Mapping!$A$7:$A$256,0),0))</f>
        <v>0</v>
      </c>
      <c r="R3941" s="39" t="n">
        <f aca="false">IF($A3941="",-1,IF($J3941=Setup!$B$7,1,IF($J3941=Setup!$B$9,0,-1)))</f>
        <v>-1</v>
      </c>
      <c r="S3941" s="35" t="n">
        <f aca="false">IF(OR($A3941="",$Q3941=0,$R3941=-1),0,$Q3941*1000+$R3941*100+$K3941)</f>
        <v>0</v>
      </c>
      <c r="T3941" s="37" t="str">
        <f aca="false">IF($A3941="","",IF($B3941="","NO ACCOUNT",IF($Q3941=0,"UNMAPPED",IF($R3941=-1,"OUTSIDE FY RANGE","OK"))))</f>
        <v/>
      </c>
      <c r="U3941" s="40" t="str">
        <f aca="false">IF($A3941="","",$B3941&amp;"|"&amp;TEXT($A3941,"yyyymmdd")&amp;"|"&amp;TEXT($I3941,"0.00"))</f>
        <v/>
      </c>
      <c r="V3941" s="35" t="str">
        <f aca="false">IF($A3941="","",COUNTIF($U$8:$U$5007,$U3941))</f>
        <v/>
      </c>
    </row>
    <row r="3942" customFormat="false" ht="15" hidden="false" customHeight="false" outlineLevel="0" collapsed="false">
      <c r="A3942" s="31"/>
      <c r="B3942" s="32"/>
      <c r="C3942" s="32"/>
      <c r="D3942" s="32"/>
      <c r="E3942" s="32"/>
      <c r="F3942" s="32"/>
      <c r="G3942" s="33"/>
      <c r="H3942" s="33"/>
      <c r="I3942" s="34" t="str">
        <f aca="false">IF($A3942="","",$G3942-$H3942)</f>
        <v/>
      </c>
      <c r="J3942" s="35" t="str">
        <f aca="false">IF($A3942="","",IF(Setup!$B$6=1,YEAR($A3942),YEAR($A3942)+IF(MONTH($A3942)&gt;=Setup!$B$6,1,0)))</f>
        <v/>
      </c>
      <c r="K3942" s="35" t="str">
        <f aca="false">IF($A3942="","",MOD(MONTH($A3942)-Setup!$B$6+12,12)+1)</f>
        <v/>
      </c>
      <c r="L3942" s="36" t="str">
        <f aca="false">IF($A3942="","",TEXT($A3942,"MMM-YY"))</f>
        <v/>
      </c>
      <c r="M3942" s="37" t="str">
        <f aca="false">IF($A3942="","",IF($Q3942=0,"UNMAPPED",INDEX(COA_Mapping!$C$7:$C$256,$Q3942)))</f>
        <v/>
      </c>
      <c r="N3942" s="38" t="str">
        <f aca="false">IF($A3942="","",IF($Q3942=0,"",INDEX(COA_Mapping!$E$7:$E$256,$Q3942)))</f>
        <v/>
      </c>
      <c r="O3942" s="38" t="n">
        <f aca="false">IF($A3942="",1,IF($Q3942=0,1,INDEX(COA_Mapping!$F$7:$F$256,$Q3942)))</f>
        <v>1</v>
      </c>
      <c r="P3942" s="34" t="str">
        <f aca="false">IF($A3942="","",$I3942*$O3942)</f>
        <v/>
      </c>
      <c r="Q3942" s="39" t="n">
        <f aca="false">IF($B3942="",0,IFERROR(MATCH($B3942,COA_Mapping!$A$7:$A$256,0),0))</f>
        <v>0</v>
      </c>
      <c r="R3942" s="39" t="n">
        <f aca="false">IF($A3942="",-1,IF($J3942=Setup!$B$7,1,IF($J3942=Setup!$B$9,0,-1)))</f>
        <v>-1</v>
      </c>
      <c r="S3942" s="35" t="n">
        <f aca="false">IF(OR($A3942="",$Q3942=0,$R3942=-1),0,$Q3942*1000+$R3942*100+$K3942)</f>
        <v>0</v>
      </c>
      <c r="T3942" s="37" t="str">
        <f aca="false">IF($A3942="","",IF($B3942="","NO ACCOUNT",IF($Q3942=0,"UNMAPPED",IF($R3942=-1,"OUTSIDE FY RANGE","OK"))))</f>
        <v/>
      </c>
      <c r="U3942" s="40" t="str">
        <f aca="false">IF($A3942="","",$B3942&amp;"|"&amp;TEXT($A3942,"yyyymmdd")&amp;"|"&amp;TEXT($I3942,"0.00"))</f>
        <v/>
      </c>
      <c r="V3942" s="35" t="str">
        <f aca="false">IF($A3942="","",COUNTIF($U$8:$U$5007,$U3942))</f>
        <v/>
      </c>
    </row>
    <row r="3943" customFormat="false" ht="15" hidden="false" customHeight="false" outlineLevel="0" collapsed="false">
      <c r="A3943" s="31"/>
      <c r="B3943" s="32"/>
      <c r="C3943" s="32"/>
      <c r="D3943" s="32"/>
      <c r="E3943" s="32"/>
      <c r="F3943" s="32"/>
      <c r="G3943" s="33"/>
      <c r="H3943" s="33"/>
      <c r="I3943" s="34" t="str">
        <f aca="false">IF($A3943="","",$G3943-$H3943)</f>
        <v/>
      </c>
      <c r="J3943" s="35" t="str">
        <f aca="false">IF($A3943="","",IF(Setup!$B$6=1,YEAR($A3943),YEAR($A3943)+IF(MONTH($A3943)&gt;=Setup!$B$6,1,0)))</f>
        <v/>
      </c>
      <c r="K3943" s="35" t="str">
        <f aca="false">IF($A3943="","",MOD(MONTH($A3943)-Setup!$B$6+12,12)+1)</f>
        <v/>
      </c>
      <c r="L3943" s="36" t="str">
        <f aca="false">IF($A3943="","",TEXT($A3943,"MMM-YY"))</f>
        <v/>
      </c>
      <c r="M3943" s="37" t="str">
        <f aca="false">IF($A3943="","",IF($Q3943=0,"UNMAPPED",INDEX(COA_Mapping!$C$7:$C$256,$Q3943)))</f>
        <v/>
      </c>
      <c r="N3943" s="38" t="str">
        <f aca="false">IF($A3943="","",IF($Q3943=0,"",INDEX(COA_Mapping!$E$7:$E$256,$Q3943)))</f>
        <v/>
      </c>
      <c r="O3943" s="38" t="n">
        <f aca="false">IF($A3943="",1,IF($Q3943=0,1,INDEX(COA_Mapping!$F$7:$F$256,$Q3943)))</f>
        <v>1</v>
      </c>
      <c r="P3943" s="34" t="str">
        <f aca="false">IF($A3943="","",$I3943*$O3943)</f>
        <v/>
      </c>
      <c r="Q3943" s="39" t="n">
        <f aca="false">IF($B3943="",0,IFERROR(MATCH($B3943,COA_Mapping!$A$7:$A$256,0),0))</f>
        <v>0</v>
      </c>
      <c r="R3943" s="39" t="n">
        <f aca="false">IF($A3943="",-1,IF($J3943=Setup!$B$7,1,IF($J3943=Setup!$B$9,0,-1)))</f>
        <v>-1</v>
      </c>
      <c r="S3943" s="35" t="n">
        <f aca="false">IF(OR($A3943="",$Q3943=0,$R3943=-1),0,$Q3943*1000+$R3943*100+$K3943)</f>
        <v>0</v>
      </c>
      <c r="T3943" s="37" t="str">
        <f aca="false">IF($A3943="","",IF($B3943="","NO ACCOUNT",IF($Q3943=0,"UNMAPPED",IF($R3943=-1,"OUTSIDE FY RANGE","OK"))))</f>
        <v/>
      </c>
      <c r="U3943" s="40" t="str">
        <f aca="false">IF($A3943="","",$B3943&amp;"|"&amp;TEXT($A3943,"yyyymmdd")&amp;"|"&amp;TEXT($I3943,"0.00"))</f>
        <v/>
      </c>
      <c r="V3943" s="35" t="str">
        <f aca="false">IF($A3943="","",COUNTIF($U$8:$U$5007,$U3943))</f>
        <v/>
      </c>
    </row>
    <row r="3944" customFormat="false" ht="15" hidden="false" customHeight="false" outlineLevel="0" collapsed="false">
      <c r="A3944" s="31"/>
      <c r="B3944" s="32"/>
      <c r="C3944" s="32"/>
      <c r="D3944" s="32"/>
      <c r="E3944" s="32"/>
      <c r="F3944" s="32"/>
      <c r="G3944" s="33"/>
      <c r="H3944" s="33"/>
      <c r="I3944" s="34" t="str">
        <f aca="false">IF($A3944="","",$G3944-$H3944)</f>
        <v/>
      </c>
      <c r="J3944" s="35" t="str">
        <f aca="false">IF($A3944="","",IF(Setup!$B$6=1,YEAR($A3944),YEAR($A3944)+IF(MONTH($A3944)&gt;=Setup!$B$6,1,0)))</f>
        <v/>
      </c>
      <c r="K3944" s="35" t="str">
        <f aca="false">IF($A3944="","",MOD(MONTH($A3944)-Setup!$B$6+12,12)+1)</f>
        <v/>
      </c>
      <c r="L3944" s="36" t="str">
        <f aca="false">IF($A3944="","",TEXT($A3944,"MMM-YY"))</f>
        <v/>
      </c>
      <c r="M3944" s="37" t="str">
        <f aca="false">IF($A3944="","",IF($Q3944=0,"UNMAPPED",INDEX(COA_Mapping!$C$7:$C$256,$Q3944)))</f>
        <v/>
      </c>
      <c r="N3944" s="38" t="str">
        <f aca="false">IF($A3944="","",IF($Q3944=0,"",INDEX(COA_Mapping!$E$7:$E$256,$Q3944)))</f>
        <v/>
      </c>
      <c r="O3944" s="38" t="n">
        <f aca="false">IF($A3944="",1,IF($Q3944=0,1,INDEX(COA_Mapping!$F$7:$F$256,$Q3944)))</f>
        <v>1</v>
      </c>
      <c r="P3944" s="34" t="str">
        <f aca="false">IF($A3944="","",$I3944*$O3944)</f>
        <v/>
      </c>
      <c r="Q3944" s="39" t="n">
        <f aca="false">IF($B3944="",0,IFERROR(MATCH($B3944,COA_Mapping!$A$7:$A$256,0),0))</f>
        <v>0</v>
      </c>
      <c r="R3944" s="39" t="n">
        <f aca="false">IF($A3944="",-1,IF($J3944=Setup!$B$7,1,IF($J3944=Setup!$B$9,0,-1)))</f>
        <v>-1</v>
      </c>
      <c r="S3944" s="35" t="n">
        <f aca="false">IF(OR($A3944="",$Q3944=0,$R3944=-1),0,$Q3944*1000+$R3944*100+$K3944)</f>
        <v>0</v>
      </c>
      <c r="T3944" s="37" t="str">
        <f aca="false">IF($A3944="","",IF($B3944="","NO ACCOUNT",IF($Q3944=0,"UNMAPPED",IF($R3944=-1,"OUTSIDE FY RANGE","OK"))))</f>
        <v/>
      </c>
      <c r="U3944" s="40" t="str">
        <f aca="false">IF($A3944="","",$B3944&amp;"|"&amp;TEXT($A3944,"yyyymmdd")&amp;"|"&amp;TEXT($I3944,"0.00"))</f>
        <v/>
      </c>
      <c r="V3944" s="35" t="str">
        <f aca="false">IF($A3944="","",COUNTIF($U$8:$U$5007,$U3944))</f>
        <v/>
      </c>
    </row>
    <row r="3945" customFormat="false" ht="15" hidden="false" customHeight="false" outlineLevel="0" collapsed="false">
      <c r="A3945" s="31"/>
      <c r="B3945" s="32"/>
      <c r="C3945" s="32"/>
      <c r="D3945" s="32"/>
      <c r="E3945" s="32"/>
      <c r="F3945" s="32"/>
      <c r="G3945" s="33"/>
      <c r="H3945" s="33"/>
      <c r="I3945" s="34" t="str">
        <f aca="false">IF($A3945="","",$G3945-$H3945)</f>
        <v/>
      </c>
      <c r="J3945" s="35" t="str">
        <f aca="false">IF($A3945="","",IF(Setup!$B$6=1,YEAR($A3945),YEAR($A3945)+IF(MONTH($A3945)&gt;=Setup!$B$6,1,0)))</f>
        <v/>
      </c>
      <c r="K3945" s="35" t="str">
        <f aca="false">IF($A3945="","",MOD(MONTH($A3945)-Setup!$B$6+12,12)+1)</f>
        <v/>
      </c>
      <c r="L3945" s="36" t="str">
        <f aca="false">IF($A3945="","",TEXT($A3945,"MMM-YY"))</f>
        <v/>
      </c>
      <c r="M3945" s="37" t="str">
        <f aca="false">IF($A3945="","",IF($Q3945=0,"UNMAPPED",INDEX(COA_Mapping!$C$7:$C$256,$Q3945)))</f>
        <v/>
      </c>
      <c r="N3945" s="38" t="str">
        <f aca="false">IF($A3945="","",IF($Q3945=0,"",INDEX(COA_Mapping!$E$7:$E$256,$Q3945)))</f>
        <v/>
      </c>
      <c r="O3945" s="38" t="n">
        <f aca="false">IF($A3945="",1,IF($Q3945=0,1,INDEX(COA_Mapping!$F$7:$F$256,$Q3945)))</f>
        <v>1</v>
      </c>
      <c r="P3945" s="34" t="str">
        <f aca="false">IF($A3945="","",$I3945*$O3945)</f>
        <v/>
      </c>
      <c r="Q3945" s="39" t="n">
        <f aca="false">IF($B3945="",0,IFERROR(MATCH($B3945,COA_Mapping!$A$7:$A$256,0),0))</f>
        <v>0</v>
      </c>
      <c r="R3945" s="39" t="n">
        <f aca="false">IF($A3945="",-1,IF($J3945=Setup!$B$7,1,IF($J3945=Setup!$B$9,0,-1)))</f>
        <v>-1</v>
      </c>
      <c r="S3945" s="35" t="n">
        <f aca="false">IF(OR($A3945="",$Q3945=0,$R3945=-1),0,$Q3945*1000+$R3945*100+$K3945)</f>
        <v>0</v>
      </c>
      <c r="T3945" s="37" t="str">
        <f aca="false">IF($A3945="","",IF($B3945="","NO ACCOUNT",IF($Q3945=0,"UNMAPPED",IF($R3945=-1,"OUTSIDE FY RANGE","OK"))))</f>
        <v/>
      </c>
      <c r="U3945" s="40" t="str">
        <f aca="false">IF($A3945="","",$B3945&amp;"|"&amp;TEXT($A3945,"yyyymmdd")&amp;"|"&amp;TEXT($I3945,"0.00"))</f>
        <v/>
      </c>
      <c r="V3945" s="35" t="str">
        <f aca="false">IF($A3945="","",COUNTIF($U$8:$U$5007,$U3945))</f>
        <v/>
      </c>
    </row>
    <row r="3946" customFormat="false" ht="15" hidden="false" customHeight="false" outlineLevel="0" collapsed="false">
      <c r="A3946" s="31"/>
      <c r="B3946" s="32"/>
      <c r="C3946" s="32"/>
      <c r="D3946" s="32"/>
      <c r="E3946" s="32"/>
      <c r="F3946" s="32"/>
      <c r="G3946" s="33"/>
      <c r="H3946" s="33"/>
      <c r="I3946" s="34" t="str">
        <f aca="false">IF($A3946="","",$G3946-$H3946)</f>
        <v/>
      </c>
      <c r="J3946" s="35" t="str">
        <f aca="false">IF($A3946="","",IF(Setup!$B$6=1,YEAR($A3946),YEAR($A3946)+IF(MONTH($A3946)&gt;=Setup!$B$6,1,0)))</f>
        <v/>
      </c>
      <c r="K3946" s="35" t="str">
        <f aca="false">IF($A3946="","",MOD(MONTH($A3946)-Setup!$B$6+12,12)+1)</f>
        <v/>
      </c>
      <c r="L3946" s="36" t="str">
        <f aca="false">IF($A3946="","",TEXT($A3946,"MMM-YY"))</f>
        <v/>
      </c>
      <c r="M3946" s="37" t="str">
        <f aca="false">IF($A3946="","",IF($Q3946=0,"UNMAPPED",INDEX(COA_Mapping!$C$7:$C$256,$Q3946)))</f>
        <v/>
      </c>
      <c r="N3946" s="38" t="str">
        <f aca="false">IF($A3946="","",IF($Q3946=0,"",INDEX(COA_Mapping!$E$7:$E$256,$Q3946)))</f>
        <v/>
      </c>
      <c r="O3946" s="38" t="n">
        <f aca="false">IF($A3946="",1,IF($Q3946=0,1,INDEX(COA_Mapping!$F$7:$F$256,$Q3946)))</f>
        <v>1</v>
      </c>
      <c r="P3946" s="34" t="str">
        <f aca="false">IF($A3946="","",$I3946*$O3946)</f>
        <v/>
      </c>
      <c r="Q3946" s="39" t="n">
        <f aca="false">IF($B3946="",0,IFERROR(MATCH($B3946,COA_Mapping!$A$7:$A$256,0),0))</f>
        <v>0</v>
      </c>
      <c r="R3946" s="39" t="n">
        <f aca="false">IF($A3946="",-1,IF($J3946=Setup!$B$7,1,IF($J3946=Setup!$B$9,0,-1)))</f>
        <v>-1</v>
      </c>
      <c r="S3946" s="35" t="n">
        <f aca="false">IF(OR($A3946="",$Q3946=0,$R3946=-1),0,$Q3946*1000+$R3946*100+$K3946)</f>
        <v>0</v>
      </c>
      <c r="T3946" s="37" t="str">
        <f aca="false">IF($A3946="","",IF($B3946="","NO ACCOUNT",IF($Q3946=0,"UNMAPPED",IF($R3946=-1,"OUTSIDE FY RANGE","OK"))))</f>
        <v/>
      </c>
      <c r="U3946" s="40" t="str">
        <f aca="false">IF($A3946="","",$B3946&amp;"|"&amp;TEXT($A3946,"yyyymmdd")&amp;"|"&amp;TEXT($I3946,"0.00"))</f>
        <v/>
      </c>
      <c r="V3946" s="35" t="str">
        <f aca="false">IF($A3946="","",COUNTIF($U$8:$U$5007,$U3946))</f>
        <v/>
      </c>
    </row>
    <row r="3947" customFormat="false" ht="15" hidden="false" customHeight="false" outlineLevel="0" collapsed="false">
      <c r="A3947" s="31"/>
      <c r="B3947" s="32"/>
      <c r="C3947" s="32"/>
      <c r="D3947" s="32"/>
      <c r="E3947" s="32"/>
      <c r="F3947" s="32"/>
      <c r="G3947" s="33"/>
      <c r="H3947" s="33"/>
      <c r="I3947" s="34" t="str">
        <f aca="false">IF($A3947="","",$G3947-$H3947)</f>
        <v/>
      </c>
      <c r="J3947" s="35" t="str">
        <f aca="false">IF($A3947="","",IF(Setup!$B$6=1,YEAR($A3947),YEAR($A3947)+IF(MONTH($A3947)&gt;=Setup!$B$6,1,0)))</f>
        <v/>
      </c>
      <c r="K3947" s="35" t="str">
        <f aca="false">IF($A3947="","",MOD(MONTH($A3947)-Setup!$B$6+12,12)+1)</f>
        <v/>
      </c>
      <c r="L3947" s="36" t="str">
        <f aca="false">IF($A3947="","",TEXT($A3947,"MMM-YY"))</f>
        <v/>
      </c>
      <c r="M3947" s="37" t="str">
        <f aca="false">IF($A3947="","",IF($Q3947=0,"UNMAPPED",INDEX(COA_Mapping!$C$7:$C$256,$Q3947)))</f>
        <v/>
      </c>
      <c r="N3947" s="38" t="str">
        <f aca="false">IF($A3947="","",IF($Q3947=0,"",INDEX(COA_Mapping!$E$7:$E$256,$Q3947)))</f>
        <v/>
      </c>
      <c r="O3947" s="38" t="n">
        <f aca="false">IF($A3947="",1,IF($Q3947=0,1,INDEX(COA_Mapping!$F$7:$F$256,$Q3947)))</f>
        <v>1</v>
      </c>
      <c r="P3947" s="34" t="str">
        <f aca="false">IF($A3947="","",$I3947*$O3947)</f>
        <v/>
      </c>
      <c r="Q3947" s="39" t="n">
        <f aca="false">IF($B3947="",0,IFERROR(MATCH($B3947,COA_Mapping!$A$7:$A$256,0),0))</f>
        <v>0</v>
      </c>
      <c r="R3947" s="39" t="n">
        <f aca="false">IF($A3947="",-1,IF($J3947=Setup!$B$7,1,IF($J3947=Setup!$B$9,0,-1)))</f>
        <v>-1</v>
      </c>
      <c r="S3947" s="35" t="n">
        <f aca="false">IF(OR($A3947="",$Q3947=0,$R3947=-1),0,$Q3947*1000+$R3947*100+$K3947)</f>
        <v>0</v>
      </c>
      <c r="T3947" s="37" t="str">
        <f aca="false">IF($A3947="","",IF($B3947="","NO ACCOUNT",IF($Q3947=0,"UNMAPPED",IF($R3947=-1,"OUTSIDE FY RANGE","OK"))))</f>
        <v/>
      </c>
      <c r="U3947" s="40" t="str">
        <f aca="false">IF($A3947="","",$B3947&amp;"|"&amp;TEXT($A3947,"yyyymmdd")&amp;"|"&amp;TEXT($I3947,"0.00"))</f>
        <v/>
      </c>
      <c r="V3947" s="35" t="str">
        <f aca="false">IF($A3947="","",COUNTIF($U$8:$U$5007,$U3947))</f>
        <v/>
      </c>
    </row>
    <row r="3948" customFormat="false" ht="15" hidden="false" customHeight="false" outlineLevel="0" collapsed="false">
      <c r="A3948" s="31"/>
      <c r="B3948" s="32"/>
      <c r="C3948" s="32"/>
      <c r="D3948" s="32"/>
      <c r="E3948" s="32"/>
      <c r="F3948" s="32"/>
      <c r="G3948" s="33"/>
      <c r="H3948" s="33"/>
      <c r="I3948" s="34" t="str">
        <f aca="false">IF($A3948="","",$G3948-$H3948)</f>
        <v/>
      </c>
      <c r="J3948" s="35" t="str">
        <f aca="false">IF($A3948="","",IF(Setup!$B$6=1,YEAR($A3948),YEAR($A3948)+IF(MONTH($A3948)&gt;=Setup!$B$6,1,0)))</f>
        <v/>
      </c>
      <c r="K3948" s="35" t="str">
        <f aca="false">IF($A3948="","",MOD(MONTH($A3948)-Setup!$B$6+12,12)+1)</f>
        <v/>
      </c>
      <c r="L3948" s="36" t="str">
        <f aca="false">IF($A3948="","",TEXT($A3948,"MMM-YY"))</f>
        <v/>
      </c>
      <c r="M3948" s="37" t="str">
        <f aca="false">IF($A3948="","",IF($Q3948=0,"UNMAPPED",INDEX(COA_Mapping!$C$7:$C$256,$Q3948)))</f>
        <v/>
      </c>
      <c r="N3948" s="38" t="str">
        <f aca="false">IF($A3948="","",IF($Q3948=0,"",INDEX(COA_Mapping!$E$7:$E$256,$Q3948)))</f>
        <v/>
      </c>
      <c r="O3948" s="38" t="n">
        <f aca="false">IF($A3948="",1,IF($Q3948=0,1,INDEX(COA_Mapping!$F$7:$F$256,$Q3948)))</f>
        <v>1</v>
      </c>
      <c r="P3948" s="34" t="str">
        <f aca="false">IF($A3948="","",$I3948*$O3948)</f>
        <v/>
      </c>
      <c r="Q3948" s="39" t="n">
        <f aca="false">IF($B3948="",0,IFERROR(MATCH($B3948,COA_Mapping!$A$7:$A$256,0),0))</f>
        <v>0</v>
      </c>
      <c r="R3948" s="39" t="n">
        <f aca="false">IF($A3948="",-1,IF($J3948=Setup!$B$7,1,IF($J3948=Setup!$B$9,0,-1)))</f>
        <v>-1</v>
      </c>
      <c r="S3948" s="35" t="n">
        <f aca="false">IF(OR($A3948="",$Q3948=0,$R3948=-1),0,$Q3948*1000+$R3948*100+$K3948)</f>
        <v>0</v>
      </c>
      <c r="T3948" s="37" t="str">
        <f aca="false">IF($A3948="","",IF($B3948="","NO ACCOUNT",IF($Q3948=0,"UNMAPPED",IF($R3948=-1,"OUTSIDE FY RANGE","OK"))))</f>
        <v/>
      </c>
      <c r="U3948" s="40" t="str">
        <f aca="false">IF($A3948="","",$B3948&amp;"|"&amp;TEXT($A3948,"yyyymmdd")&amp;"|"&amp;TEXT($I3948,"0.00"))</f>
        <v/>
      </c>
      <c r="V3948" s="35" t="str">
        <f aca="false">IF($A3948="","",COUNTIF($U$8:$U$5007,$U3948))</f>
        <v/>
      </c>
    </row>
    <row r="3949" customFormat="false" ht="15" hidden="false" customHeight="false" outlineLevel="0" collapsed="false">
      <c r="A3949" s="31"/>
      <c r="B3949" s="32"/>
      <c r="C3949" s="32"/>
      <c r="D3949" s="32"/>
      <c r="E3949" s="32"/>
      <c r="F3949" s="32"/>
      <c r="G3949" s="33"/>
      <c r="H3949" s="33"/>
      <c r="I3949" s="34" t="str">
        <f aca="false">IF($A3949="","",$G3949-$H3949)</f>
        <v/>
      </c>
      <c r="J3949" s="35" t="str">
        <f aca="false">IF($A3949="","",IF(Setup!$B$6=1,YEAR($A3949),YEAR($A3949)+IF(MONTH($A3949)&gt;=Setup!$B$6,1,0)))</f>
        <v/>
      </c>
      <c r="K3949" s="35" t="str">
        <f aca="false">IF($A3949="","",MOD(MONTH($A3949)-Setup!$B$6+12,12)+1)</f>
        <v/>
      </c>
      <c r="L3949" s="36" t="str">
        <f aca="false">IF($A3949="","",TEXT($A3949,"MMM-YY"))</f>
        <v/>
      </c>
      <c r="M3949" s="37" t="str">
        <f aca="false">IF($A3949="","",IF($Q3949=0,"UNMAPPED",INDEX(COA_Mapping!$C$7:$C$256,$Q3949)))</f>
        <v/>
      </c>
      <c r="N3949" s="38" t="str">
        <f aca="false">IF($A3949="","",IF($Q3949=0,"",INDEX(COA_Mapping!$E$7:$E$256,$Q3949)))</f>
        <v/>
      </c>
      <c r="O3949" s="38" t="n">
        <f aca="false">IF($A3949="",1,IF($Q3949=0,1,INDEX(COA_Mapping!$F$7:$F$256,$Q3949)))</f>
        <v>1</v>
      </c>
      <c r="P3949" s="34" t="str">
        <f aca="false">IF($A3949="","",$I3949*$O3949)</f>
        <v/>
      </c>
      <c r="Q3949" s="39" t="n">
        <f aca="false">IF($B3949="",0,IFERROR(MATCH($B3949,COA_Mapping!$A$7:$A$256,0),0))</f>
        <v>0</v>
      </c>
      <c r="R3949" s="39" t="n">
        <f aca="false">IF($A3949="",-1,IF($J3949=Setup!$B$7,1,IF($J3949=Setup!$B$9,0,-1)))</f>
        <v>-1</v>
      </c>
      <c r="S3949" s="35" t="n">
        <f aca="false">IF(OR($A3949="",$Q3949=0,$R3949=-1),0,$Q3949*1000+$R3949*100+$K3949)</f>
        <v>0</v>
      </c>
      <c r="T3949" s="37" t="str">
        <f aca="false">IF($A3949="","",IF($B3949="","NO ACCOUNT",IF($Q3949=0,"UNMAPPED",IF($R3949=-1,"OUTSIDE FY RANGE","OK"))))</f>
        <v/>
      </c>
      <c r="U3949" s="40" t="str">
        <f aca="false">IF($A3949="","",$B3949&amp;"|"&amp;TEXT($A3949,"yyyymmdd")&amp;"|"&amp;TEXT($I3949,"0.00"))</f>
        <v/>
      </c>
      <c r="V3949" s="35" t="str">
        <f aca="false">IF($A3949="","",COUNTIF($U$8:$U$5007,$U3949))</f>
        <v/>
      </c>
    </row>
    <row r="3950" customFormat="false" ht="15" hidden="false" customHeight="false" outlineLevel="0" collapsed="false">
      <c r="A3950" s="31"/>
      <c r="B3950" s="32"/>
      <c r="C3950" s="32"/>
      <c r="D3950" s="32"/>
      <c r="E3950" s="32"/>
      <c r="F3950" s="32"/>
      <c r="G3950" s="33"/>
      <c r="H3950" s="33"/>
      <c r="I3950" s="34" t="str">
        <f aca="false">IF($A3950="","",$G3950-$H3950)</f>
        <v/>
      </c>
      <c r="J3950" s="35" t="str">
        <f aca="false">IF($A3950="","",IF(Setup!$B$6=1,YEAR($A3950),YEAR($A3950)+IF(MONTH($A3950)&gt;=Setup!$B$6,1,0)))</f>
        <v/>
      </c>
      <c r="K3950" s="35" t="str">
        <f aca="false">IF($A3950="","",MOD(MONTH($A3950)-Setup!$B$6+12,12)+1)</f>
        <v/>
      </c>
      <c r="L3950" s="36" t="str">
        <f aca="false">IF($A3950="","",TEXT($A3950,"MMM-YY"))</f>
        <v/>
      </c>
      <c r="M3950" s="37" t="str">
        <f aca="false">IF($A3950="","",IF($Q3950=0,"UNMAPPED",INDEX(COA_Mapping!$C$7:$C$256,$Q3950)))</f>
        <v/>
      </c>
      <c r="N3950" s="38" t="str">
        <f aca="false">IF($A3950="","",IF($Q3950=0,"",INDEX(COA_Mapping!$E$7:$E$256,$Q3950)))</f>
        <v/>
      </c>
      <c r="O3950" s="38" t="n">
        <f aca="false">IF($A3950="",1,IF($Q3950=0,1,INDEX(COA_Mapping!$F$7:$F$256,$Q3950)))</f>
        <v>1</v>
      </c>
      <c r="P3950" s="34" t="str">
        <f aca="false">IF($A3950="","",$I3950*$O3950)</f>
        <v/>
      </c>
      <c r="Q3950" s="39" t="n">
        <f aca="false">IF($B3950="",0,IFERROR(MATCH($B3950,COA_Mapping!$A$7:$A$256,0),0))</f>
        <v>0</v>
      </c>
      <c r="R3950" s="39" t="n">
        <f aca="false">IF($A3950="",-1,IF($J3950=Setup!$B$7,1,IF($J3950=Setup!$B$9,0,-1)))</f>
        <v>-1</v>
      </c>
      <c r="S3950" s="35" t="n">
        <f aca="false">IF(OR($A3950="",$Q3950=0,$R3950=-1),0,$Q3950*1000+$R3950*100+$K3950)</f>
        <v>0</v>
      </c>
      <c r="T3950" s="37" t="str">
        <f aca="false">IF($A3950="","",IF($B3950="","NO ACCOUNT",IF($Q3950=0,"UNMAPPED",IF($R3950=-1,"OUTSIDE FY RANGE","OK"))))</f>
        <v/>
      </c>
      <c r="U3950" s="40" t="str">
        <f aca="false">IF($A3950="","",$B3950&amp;"|"&amp;TEXT($A3950,"yyyymmdd")&amp;"|"&amp;TEXT($I3950,"0.00"))</f>
        <v/>
      </c>
      <c r="V3950" s="35" t="str">
        <f aca="false">IF($A3950="","",COUNTIF($U$8:$U$5007,$U3950))</f>
        <v/>
      </c>
    </row>
    <row r="3951" customFormat="false" ht="15" hidden="false" customHeight="false" outlineLevel="0" collapsed="false">
      <c r="A3951" s="31"/>
      <c r="B3951" s="32"/>
      <c r="C3951" s="32"/>
      <c r="D3951" s="32"/>
      <c r="E3951" s="32"/>
      <c r="F3951" s="32"/>
      <c r="G3951" s="33"/>
      <c r="H3951" s="33"/>
      <c r="I3951" s="34" t="str">
        <f aca="false">IF($A3951="","",$G3951-$H3951)</f>
        <v/>
      </c>
      <c r="J3951" s="35" t="str">
        <f aca="false">IF($A3951="","",IF(Setup!$B$6=1,YEAR($A3951),YEAR($A3951)+IF(MONTH($A3951)&gt;=Setup!$B$6,1,0)))</f>
        <v/>
      </c>
      <c r="K3951" s="35" t="str">
        <f aca="false">IF($A3951="","",MOD(MONTH($A3951)-Setup!$B$6+12,12)+1)</f>
        <v/>
      </c>
      <c r="L3951" s="36" t="str">
        <f aca="false">IF($A3951="","",TEXT($A3951,"MMM-YY"))</f>
        <v/>
      </c>
      <c r="M3951" s="37" t="str">
        <f aca="false">IF($A3951="","",IF($Q3951=0,"UNMAPPED",INDEX(COA_Mapping!$C$7:$C$256,$Q3951)))</f>
        <v/>
      </c>
      <c r="N3951" s="38" t="str">
        <f aca="false">IF($A3951="","",IF($Q3951=0,"",INDEX(COA_Mapping!$E$7:$E$256,$Q3951)))</f>
        <v/>
      </c>
      <c r="O3951" s="38" t="n">
        <f aca="false">IF($A3951="",1,IF($Q3951=0,1,INDEX(COA_Mapping!$F$7:$F$256,$Q3951)))</f>
        <v>1</v>
      </c>
      <c r="P3951" s="34" t="str">
        <f aca="false">IF($A3951="","",$I3951*$O3951)</f>
        <v/>
      </c>
      <c r="Q3951" s="39" t="n">
        <f aca="false">IF($B3951="",0,IFERROR(MATCH($B3951,COA_Mapping!$A$7:$A$256,0),0))</f>
        <v>0</v>
      </c>
      <c r="R3951" s="39" t="n">
        <f aca="false">IF($A3951="",-1,IF($J3951=Setup!$B$7,1,IF($J3951=Setup!$B$9,0,-1)))</f>
        <v>-1</v>
      </c>
      <c r="S3951" s="35" t="n">
        <f aca="false">IF(OR($A3951="",$Q3951=0,$R3951=-1),0,$Q3951*1000+$R3951*100+$K3951)</f>
        <v>0</v>
      </c>
      <c r="T3951" s="37" t="str">
        <f aca="false">IF($A3951="","",IF($B3951="","NO ACCOUNT",IF($Q3951=0,"UNMAPPED",IF($R3951=-1,"OUTSIDE FY RANGE","OK"))))</f>
        <v/>
      </c>
      <c r="U3951" s="40" t="str">
        <f aca="false">IF($A3951="","",$B3951&amp;"|"&amp;TEXT($A3951,"yyyymmdd")&amp;"|"&amp;TEXT($I3951,"0.00"))</f>
        <v/>
      </c>
      <c r="V3951" s="35" t="str">
        <f aca="false">IF($A3951="","",COUNTIF($U$8:$U$5007,$U3951))</f>
        <v/>
      </c>
    </row>
    <row r="3952" customFormat="false" ht="15" hidden="false" customHeight="false" outlineLevel="0" collapsed="false">
      <c r="A3952" s="31"/>
      <c r="B3952" s="32"/>
      <c r="C3952" s="32"/>
      <c r="D3952" s="32"/>
      <c r="E3952" s="32"/>
      <c r="F3952" s="32"/>
      <c r="G3952" s="33"/>
      <c r="H3952" s="33"/>
      <c r="I3952" s="34" t="str">
        <f aca="false">IF($A3952="","",$G3952-$H3952)</f>
        <v/>
      </c>
      <c r="J3952" s="35" t="str">
        <f aca="false">IF($A3952="","",IF(Setup!$B$6=1,YEAR($A3952),YEAR($A3952)+IF(MONTH($A3952)&gt;=Setup!$B$6,1,0)))</f>
        <v/>
      </c>
      <c r="K3952" s="35" t="str">
        <f aca="false">IF($A3952="","",MOD(MONTH($A3952)-Setup!$B$6+12,12)+1)</f>
        <v/>
      </c>
      <c r="L3952" s="36" t="str">
        <f aca="false">IF($A3952="","",TEXT($A3952,"MMM-YY"))</f>
        <v/>
      </c>
      <c r="M3952" s="37" t="str">
        <f aca="false">IF($A3952="","",IF($Q3952=0,"UNMAPPED",INDEX(COA_Mapping!$C$7:$C$256,$Q3952)))</f>
        <v/>
      </c>
      <c r="N3952" s="38" t="str">
        <f aca="false">IF($A3952="","",IF($Q3952=0,"",INDEX(COA_Mapping!$E$7:$E$256,$Q3952)))</f>
        <v/>
      </c>
      <c r="O3952" s="38" t="n">
        <f aca="false">IF($A3952="",1,IF($Q3952=0,1,INDEX(COA_Mapping!$F$7:$F$256,$Q3952)))</f>
        <v>1</v>
      </c>
      <c r="P3952" s="34" t="str">
        <f aca="false">IF($A3952="","",$I3952*$O3952)</f>
        <v/>
      </c>
      <c r="Q3952" s="39" t="n">
        <f aca="false">IF($B3952="",0,IFERROR(MATCH($B3952,COA_Mapping!$A$7:$A$256,0),0))</f>
        <v>0</v>
      </c>
      <c r="R3952" s="39" t="n">
        <f aca="false">IF($A3952="",-1,IF($J3952=Setup!$B$7,1,IF($J3952=Setup!$B$9,0,-1)))</f>
        <v>-1</v>
      </c>
      <c r="S3952" s="35" t="n">
        <f aca="false">IF(OR($A3952="",$Q3952=0,$R3952=-1),0,$Q3952*1000+$R3952*100+$K3952)</f>
        <v>0</v>
      </c>
      <c r="T3952" s="37" t="str">
        <f aca="false">IF($A3952="","",IF($B3952="","NO ACCOUNT",IF($Q3952=0,"UNMAPPED",IF($R3952=-1,"OUTSIDE FY RANGE","OK"))))</f>
        <v/>
      </c>
      <c r="U3952" s="40" t="str">
        <f aca="false">IF($A3952="","",$B3952&amp;"|"&amp;TEXT($A3952,"yyyymmdd")&amp;"|"&amp;TEXT($I3952,"0.00"))</f>
        <v/>
      </c>
      <c r="V3952" s="35" t="str">
        <f aca="false">IF($A3952="","",COUNTIF($U$8:$U$5007,$U3952))</f>
        <v/>
      </c>
    </row>
    <row r="3953" customFormat="false" ht="15" hidden="false" customHeight="false" outlineLevel="0" collapsed="false">
      <c r="A3953" s="31"/>
      <c r="B3953" s="32"/>
      <c r="C3953" s="32"/>
      <c r="D3953" s="32"/>
      <c r="E3953" s="32"/>
      <c r="F3953" s="32"/>
      <c r="G3953" s="33"/>
      <c r="H3953" s="33"/>
      <c r="I3953" s="34" t="str">
        <f aca="false">IF($A3953="","",$G3953-$H3953)</f>
        <v/>
      </c>
      <c r="J3953" s="35" t="str">
        <f aca="false">IF($A3953="","",IF(Setup!$B$6=1,YEAR($A3953),YEAR($A3953)+IF(MONTH($A3953)&gt;=Setup!$B$6,1,0)))</f>
        <v/>
      </c>
      <c r="K3953" s="35" t="str">
        <f aca="false">IF($A3953="","",MOD(MONTH($A3953)-Setup!$B$6+12,12)+1)</f>
        <v/>
      </c>
      <c r="L3953" s="36" t="str">
        <f aca="false">IF($A3953="","",TEXT($A3953,"MMM-YY"))</f>
        <v/>
      </c>
      <c r="M3953" s="37" t="str">
        <f aca="false">IF($A3953="","",IF($Q3953=0,"UNMAPPED",INDEX(COA_Mapping!$C$7:$C$256,$Q3953)))</f>
        <v/>
      </c>
      <c r="N3953" s="38" t="str">
        <f aca="false">IF($A3953="","",IF($Q3953=0,"",INDEX(COA_Mapping!$E$7:$E$256,$Q3953)))</f>
        <v/>
      </c>
      <c r="O3953" s="38" t="n">
        <f aca="false">IF($A3953="",1,IF($Q3953=0,1,INDEX(COA_Mapping!$F$7:$F$256,$Q3953)))</f>
        <v>1</v>
      </c>
      <c r="P3953" s="34" t="str">
        <f aca="false">IF($A3953="","",$I3953*$O3953)</f>
        <v/>
      </c>
      <c r="Q3953" s="39" t="n">
        <f aca="false">IF($B3953="",0,IFERROR(MATCH($B3953,COA_Mapping!$A$7:$A$256,0),0))</f>
        <v>0</v>
      </c>
      <c r="R3953" s="39" t="n">
        <f aca="false">IF($A3953="",-1,IF($J3953=Setup!$B$7,1,IF($J3953=Setup!$B$9,0,-1)))</f>
        <v>-1</v>
      </c>
      <c r="S3953" s="35" t="n">
        <f aca="false">IF(OR($A3953="",$Q3953=0,$R3953=-1),0,$Q3953*1000+$R3953*100+$K3953)</f>
        <v>0</v>
      </c>
      <c r="T3953" s="37" t="str">
        <f aca="false">IF($A3953="","",IF($B3953="","NO ACCOUNT",IF($Q3953=0,"UNMAPPED",IF($R3953=-1,"OUTSIDE FY RANGE","OK"))))</f>
        <v/>
      </c>
      <c r="U3953" s="40" t="str">
        <f aca="false">IF($A3953="","",$B3953&amp;"|"&amp;TEXT($A3953,"yyyymmdd")&amp;"|"&amp;TEXT($I3953,"0.00"))</f>
        <v/>
      </c>
      <c r="V3953" s="35" t="str">
        <f aca="false">IF($A3953="","",COUNTIF($U$8:$U$5007,$U3953))</f>
        <v/>
      </c>
    </row>
    <row r="3954" customFormat="false" ht="15" hidden="false" customHeight="false" outlineLevel="0" collapsed="false">
      <c r="A3954" s="31"/>
      <c r="B3954" s="32"/>
      <c r="C3954" s="32"/>
      <c r="D3954" s="32"/>
      <c r="E3954" s="32"/>
      <c r="F3954" s="32"/>
      <c r="G3954" s="33"/>
      <c r="H3954" s="33"/>
      <c r="I3954" s="34" t="str">
        <f aca="false">IF($A3954="","",$G3954-$H3954)</f>
        <v/>
      </c>
      <c r="J3954" s="35" t="str">
        <f aca="false">IF($A3954="","",IF(Setup!$B$6=1,YEAR($A3954),YEAR($A3954)+IF(MONTH($A3954)&gt;=Setup!$B$6,1,0)))</f>
        <v/>
      </c>
      <c r="K3954" s="35" t="str">
        <f aca="false">IF($A3954="","",MOD(MONTH($A3954)-Setup!$B$6+12,12)+1)</f>
        <v/>
      </c>
      <c r="L3954" s="36" t="str">
        <f aca="false">IF($A3954="","",TEXT($A3954,"MMM-YY"))</f>
        <v/>
      </c>
      <c r="M3954" s="37" t="str">
        <f aca="false">IF($A3954="","",IF($Q3954=0,"UNMAPPED",INDEX(COA_Mapping!$C$7:$C$256,$Q3954)))</f>
        <v/>
      </c>
      <c r="N3954" s="38" t="str">
        <f aca="false">IF($A3954="","",IF($Q3954=0,"",INDEX(COA_Mapping!$E$7:$E$256,$Q3954)))</f>
        <v/>
      </c>
      <c r="O3954" s="38" t="n">
        <f aca="false">IF($A3954="",1,IF($Q3954=0,1,INDEX(COA_Mapping!$F$7:$F$256,$Q3954)))</f>
        <v>1</v>
      </c>
      <c r="P3954" s="34" t="str">
        <f aca="false">IF($A3954="","",$I3954*$O3954)</f>
        <v/>
      </c>
      <c r="Q3954" s="39" t="n">
        <f aca="false">IF($B3954="",0,IFERROR(MATCH($B3954,COA_Mapping!$A$7:$A$256,0),0))</f>
        <v>0</v>
      </c>
      <c r="R3954" s="39" t="n">
        <f aca="false">IF($A3954="",-1,IF($J3954=Setup!$B$7,1,IF($J3954=Setup!$B$9,0,-1)))</f>
        <v>-1</v>
      </c>
      <c r="S3954" s="35" t="n">
        <f aca="false">IF(OR($A3954="",$Q3954=0,$R3954=-1),0,$Q3954*1000+$R3954*100+$K3954)</f>
        <v>0</v>
      </c>
      <c r="T3954" s="37" t="str">
        <f aca="false">IF($A3954="","",IF($B3954="","NO ACCOUNT",IF($Q3954=0,"UNMAPPED",IF($R3954=-1,"OUTSIDE FY RANGE","OK"))))</f>
        <v/>
      </c>
      <c r="U3954" s="40" t="str">
        <f aca="false">IF($A3954="","",$B3954&amp;"|"&amp;TEXT($A3954,"yyyymmdd")&amp;"|"&amp;TEXT($I3954,"0.00"))</f>
        <v/>
      </c>
      <c r="V3954" s="35" t="str">
        <f aca="false">IF($A3954="","",COUNTIF($U$8:$U$5007,$U3954))</f>
        <v/>
      </c>
    </row>
    <row r="3955" customFormat="false" ht="15" hidden="false" customHeight="false" outlineLevel="0" collapsed="false">
      <c r="A3955" s="31"/>
      <c r="B3955" s="32"/>
      <c r="C3955" s="32"/>
      <c r="D3955" s="32"/>
      <c r="E3955" s="32"/>
      <c r="F3955" s="32"/>
      <c r="G3955" s="33"/>
      <c r="H3955" s="33"/>
      <c r="I3955" s="34" t="str">
        <f aca="false">IF($A3955="","",$G3955-$H3955)</f>
        <v/>
      </c>
      <c r="J3955" s="35" t="str">
        <f aca="false">IF($A3955="","",IF(Setup!$B$6=1,YEAR($A3955),YEAR($A3955)+IF(MONTH($A3955)&gt;=Setup!$B$6,1,0)))</f>
        <v/>
      </c>
      <c r="K3955" s="35" t="str">
        <f aca="false">IF($A3955="","",MOD(MONTH($A3955)-Setup!$B$6+12,12)+1)</f>
        <v/>
      </c>
      <c r="L3955" s="36" t="str">
        <f aca="false">IF($A3955="","",TEXT($A3955,"MMM-YY"))</f>
        <v/>
      </c>
      <c r="M3955" s="37" t="str">
        <f aca="false">IF($A3955="","",IF($Q3955=0,"UNMAPPED",INDEX(COA_Mapping!$C$7:$C$256,$Q3955)))</f>
        <v/>
      </c>
      <c r="N3955" s="38" t="str">
        <f aca="false">IF($A3955="","",IF($Q3955=0,"",INDEX(COA_Mapping!$E$7:$E$256,$Q3955)))</f>
        <v/>
      </c>
      <c r="O3955" s="38" t="n">
        <f aca="false">IF($A3955="",1,IF($Q3955=0,1,INDEX(COA_Mapping!$F$7:$F$256,$Q3955)))</f>
        <v>1</v>
      </c>
      <c r="P3955" s="34" t="str">
        <f aca="false">IF($A3955="","",$I3955*$O3955)</f>
        <v/>
      </c>
      <c r="Q3955" s="39" t="n">
        <f aca="false">IF($B3955="",0,IFERROR(MATCH($B3955,COA_Mapping!$A$7:$A$256,0),0))</f>
        <v>0</v>
      </c>
      <c r="R3955" s="39" t="n">
        <f aca="false">IF($A3955="",-1,IF($J3955=Setup!$B$7,1,IF($J3955=Setup!$B$9,0,-1)))</f>
        <v>-1</v>
      </c>
      <c r="S3955" s="35" t="n">
        <f aca="false">IF(OR($A3955="",$Q3955=0,$R3955=-1),0,$Q3955*1000+$R3955*100+$K3955)</f>
        <v>0</v>
      </c>
      <c r="T3955" s="37" t="str">
        <f aca="false">IF($A3955="","",IF($B3955="","NO ACCOUNT",IF($Q3955=0,"UNMAPPED",IF($R3955=-1,"OUTSIDE FY RANGE","OK"))))</f>
        <v/>
      </c>
      <c r="U3955" s="40" t="str">
        <f aca="false">IF($A3955="","",$B3955&amp;"|"&amp;TEXT($A3955,"yyyymmdd")&amp;"|"&amp;TEXT($I3955,"0.00"))</f>
        <v/>
      </c>
      <c r="V3955" s="35" t="str">
        <f aca="false">IF($A3955="","",COUNTIF($U$8:$U$5007,$U3955))</f>
        <v/>
      </c>
    </row>
    <row r="3956" customFormat="false" ht="15" hidden="false" customHeight="false" outlineLevel="0" collapsed="false">
      <c r="A3956" s="31"/>
      <c r="B3956" s="32"/>
      <c r="C3956" s="32"/>
      <c r="D3956" s="32"/>
      <c r="E3956" s="32"/>
      <c r="F3956" s="32"/>
      <c r="G3956" s="33"/>
      <c r="H3956" s="33"/>
      <c r="I3956" s="34" t="str">
        <f aca="false">IF($A3956="","",$G3956-$H3956)</f>
        <v/>
      </c>
      <c r="J3956" s="35" t="str">
        <f aca="false">IF($A3956="","",IF(Setup!$B$6=1,YEAR($A3956),YEAR($A3956)+IF(MONTH($A3956)&gt;=Setup!$B$6,1,0)))</f>
        <v/>
      </c>
      <c r="K3956" s="35" t="str">
        <f aca="false">IF($A3956="","",MOD(MONTH($A3956)-Setup!$B$6+12,12)+1)</f>
        <v/>
      </c>
      <c r="L3956" s="36" t="str">
        <f aca="false">IF($A3956="","",TEXT($A3956,"MMM-YY"))</f>
        <v/>
      </c>
      <c r="M3956" s="37" t="str">
        <f aca="false">IF($A3956="","",IF($Q3956=0,"UNMAPPED",INDEX(COA_Mapping!$C$7:$C$256,$Q3956)))</f>
        <v/>
      </c>
      <c r="N3956" s="38" t="str">
        <f aca="false">IF($A3956="","",IF($Q3956=0,"",INDEX(COA_Mapping!$E$7:$E$256,$Q3956)))</f>
        <v/>
      </c>
      <c r="O3956" s="38" t="n">
        <f aca="false">IF($A3956="",1,IF($Q3956=0,1,INDEX(COA_Mapping!$F$7:$F$256,$Q3956)))</f>
        <v>1</v>
      </c>
      <c r="P3956" s="34" t="str">
        <f aca="false">IF($A3956="","",$I3956*$O3956)</f>
        <v/>
      </c>
      <c r="Q3956" s="39" t="n">
        <f aca="false">IF($B3956="",0,IFERROR(MATCH($B3956,COA_Mapping!$A$7:$A$256,0),0))</f>
        <v>0</v>
      </c>
      <c r="R3956" s="39" t="n">
        <f aca="false">IF($A3956="",-1,IF($J3956=Setup!$B$7,1,IF($J3956=Setup!$B$9,0,-1)))</f>
        <v>-1</v>
      </c>
      <c r="S3956" s="35" t="n">
        <f aca="false">IF(OR($A3956="",$Q3956=0,$R3956=-1),0,$Q3956*1000+$R3956*100+$K3956)</f>
        <v>0</v>
      </c>
      <c r="T3956" s="37" t="str">
        <f aca="false">IF($A3956="","",IF($B3956="","NO ACCOUNT",IF($Q3956=0,"UNMAPPED",IF($R3956=-1,"OUTSIDE FY RANGE","OK"))))</f>
        <v/>
      </c>
      <c r="U3956" s="40" t="str">
        <f aca="false">IF($A3956="","",$B3956&amp;"|"&amp;TEXT($A3956,"yyyymmdd")&amp;"|"&amp;TEXT($I3956,"0.00"))</f>
        <v/>
      </c>
      <c r="V3956" s="35" t="str">
        <f aca="false">IF($A3956="","",COUNTIF($U$8:$U$5007,$U3956))</f>
        <v/>
      </c>
    </row>
    <row r="3957" customFormat="false" ht="15" hidden="false" customHeight="false" outlineLevel="0" collapsed="false">
      <c r="A3957" s="31"/>
      <c r="B3957" s="32"/>
      <c r="C3957" s="32"/>
      <c r="D3957" s="32"/>
      <c r="E3957" s="32"/>
      <c r="F3957" s="32"/>
      <c r="G3957" s="33"/>
      <c r="H3957" s="33"/>
      <c r="I3957" s="34" t="str">
        <f aca="false">IF($A3957="","",$G3957-$H3957)</f>
        <v/>
      </c>
      <c r="J3957" s="35" t="str">
        <f aca="false">IF($A3957="","",IF(Setup!$B$6=1,YEAR($A3957),YEAR($A3957)+IF(MONTH($A3957)&gt;=Setup!$B$6,1,0)))</f>
        <v/>
      </c>
      <c r="K3957" s="35" t="str">
        <f aca="false">IF($A3957="","",MOD(MONTH($A3957)-Setup!$B$6+12,12)+1)</f>
        <v/>
      </c>
      <c r="L3957" s="36" t="str">
        <f aca="false">IF($A3957="","",TEXT($A3957,"MMM-YY"))</f>
        <v/>
      </c>
      <c r="M3957" s="37" t="str">
        <f aca="false">IF($A3957="","",IF($Q3957=0,"UNMAPPED",INDEX(COA_Mapping!$C$7:$C$256,$Q3957)))</f>
        <v/>
      </c>
      <c r="N3957" s="38" t="str">
        <f aca="false">IF($A3957="","",IF($Q3957=0,"",INDEX(COA_Mapping!$E$7:$E$256,$Q3957)))</f>
        <v/>
      </c>
      <c r="O3957" s="38" t="n">
        <f aca="false">IF($A3957="",1,IF($Q3957=0,1,INDEX(COA_Mapping!$F$7:$F$256,$Q3957)))</f>
        <v>1</v>
      </c>
      <c r="P3957" s="34" t="str">
        <f aca="false">IF($A3957="","",$I3957*$O3957)</f>
        <v/>
      </c>
      <c r="Q3957" s="39" t="n">
        <f aca="false">IF($B3957="",0,IFERROR(MATCH($B3957,COA_Mapping!$A$7:$A$256,0),0))</f>
        <v>0</v>
      </c>
      <c r="R3957" s="39" t="n">
        <f aca="false">IF($A3957="",-1,IF($J3957=Setup!$B$7,1,IF($J3957=Setup!$B$9,0,-1)))</f>
        <v>-1</v>
      </c>
      <c r="S3957" s="35" t="n">
        <f aca="false">IF(OR($A3957="",$Q3957=0,$R3957=-1),0,$Q3957*1000+$R3957*100+$K3957)</f>
        <v>0</v>
      </c>
      <c r="T3957" s="37" t="str">
        <f aca="false">IF($A3957="","",IF($B3957="","NO ACCOUNT",IF($Q3957=0,"UNMAPPED",IF($R3957=-1,"OUTSIDE FY RANGE","OK"))))</f>
        <v/>
      </c>
      <c r="U3957" s="40" t="str">
        <f aca="false">IF($A3957="","",$B3957&amp;"|"&amp;TEXT($A3957,"yyyymmdd")&amp;"|"&amp;TEXT($I3957,"0.00"))</f>
        <v/>
      </c>
      <c r="V3957" s="35" t="str">
        <f aca="false">IF($A3957="","",COUNTIF($U$8:$U$5007,$U3957))</f>
        <v/>
      </c>
    </row>
    <row r="3958" customFormat="false" ht="15" hidden="false" customHeight="false" outlineLevel="0" collapsed="false">
      <c r="A3958" s="31"/>
      <c r="B3958" s="32"/>
      <c r="C3958" s="32"/>
      <c r="D3958" s="32"/>
      <c r="E3958" s="32"/>
      <c r="F3958" s="32"/>
      <c r="G3958" s="33"/>
      <c r="H3958" s="33"/>
      <c r="I3958" s="34" t="str">
        <f aca="false">IF($A3958="","",$G3958-$H3958)</f>
        <v/>
      </c>
      <c r="J3958" s="35" t="str">
        <f aca="false">IF($A3958="","",IF(Setup!$B$6=1,YEAR($A3958),YEAR($A3958)+IF(MONTH($A3958)&gt;=Setup!$B$6,1,0)))</f>
        <v/>
      </c>
      <c r="K3958" s="35" t="str">
        <f aca="false">IF($A3958="","",MOD(MONTH($A3958)-Setup!$B$6+12,12)+1)</f>
        <v/>
      </c>
      <c r="L3958" s="36" t="str">
        <f aca="false">IF($A3958="","",TEXT($A3958,"MMM-YY"))</f>
        <v/>
      </c>
      <c r="M3958" s="37" t="str">
        <f aca="false">IF($A3958="","",IF($Q3958=0,"UNMAPPED",INDEX(COA_Mapping!$C$7:$C$256,$Q3958)))</f>
        <v/>
      </c>
      <c r="N3958" s="38" t="str">
        <f aca="false">IF($A3958="","",IF($Q3958=0,"",INDEX(COA_Mapping!$E$7:$E$256,$Q3958)))</f>
        <v/>
      </c>
      <c r="O3958" s="38" t="n">
        <f aca="false">IF($A3958="",1,IF($Q3958=0,1,INDEX(COA_Mapping!$F$7:$F$256,$Q3958)))</f>
        <v>1</v>
      </c>
      <c r="P3958" s="34" t="str">
        <f aca="false">IF($A3958="","",$I3958*$O3958)</f>
        <v/>
      </c>
      <c r="Q3958" s="39" t="n">
        <f aca="false">IF($B3958="",0,IFERROR(MATCH($B3958,COA_Mapping!$A$7:$A$256,0),0))</f>
        <v>0</v>
      </c>
      <c r="R3958" s="39" t="n">
        <f aca="false">IF($A3958="",-1,IF($J3958=Setup!$B$7,1,IF($J3958=Setup!$B$9,0,-1)))</f>
        <v>-1</v>
      </c>
      <c r="S3958" s="35" t="n">
        <f aca="false">IF(OR($A3958="",$Q3958=0,$R3958=-1),0,$Q3958*1000+$R3958*100+$K3958)</f>
        <v>0</v>
      </c>
      <c r="T3958" s="37" t="str">
        <f aca="false">IF($A3958="","",IF($B3958="","NO ACCOUNT",IF($Q3958=0,"UNMAPPED",IF($R3958=-1,"OUTSIDE FY RANGE","OK"))))</f>
        <v/>
      </c>
      <c r="U3958" s="40" t="str">
        <f aca="false">IF($A3958="","",$B3958&amp;"|"&amp;TEXT($A3958,"yyyymmdd")&amp;"|"&amp;TEXT($I3958,"0.00"))</f>
        <v/>
      </c>
      <c r="V3958" s="35" t="str">
        <f aca="false">IF($A3958="","",COUNTIF($U$8:$U$5007,$U3958))</f>
        <v/>
      </c>
    </row>
    <row r="3959" customFormat="false" ht="15" hidden="false" customHeight="false" outlineLevel="0" collapsed="false">
      <c r="A3959" s="31"/>
      <c r="B3959" s="32"/>
      <c r="C3959" s="32"/>
      <c r="D3959" s="32"/>
      <c r="E3959" s="32"/>
      <c r="F3959" s="32"/>
      <c r="G3959" s="33"/>
      <c r="H3959" s="33"/>
      <c r="I3959" s="34" t="str">
        <f aca="false">IF($A3959="","",$G3959-$H3959)</f>
        <v/>
      </c>
      <c r="J3959" s="35" t="str">
        <f aca="false">IF($A3959="","",IF(Setup!$B$6=1,YEAR($A3959),YEAR($A3959)+IF(MONTH($A3959)&gt;=Setup!$B$6,1,0)))</f>
        <v/>
      </c>
      <c r="K3959" s="35" t="str">
        <f aca="false">IF($A3959="","",MOD(MONTH($A3959)-Setup!$B$6+12,12)+1)</f>
        <v/>
      </c>
      <c r="L3959" s="36" t="str">
        <f aca="false">IF($A3959="","",TEXT($A3959,"MMM-YY"))</f>
        <v/>
      </c>
      <c r="M3959" s="37" t="str">
        <f aca="false">IF($A3959="","",IF($Q3959=0,"UNMAPPED",INDEX(COA_Mapping!$C$7:$C$256,$Q3959)))</f>
        <v/>
      </c>
      <c r="N3959" s="38" t="str">
        <f aca="false">IF($A3959="","",IF($Q3959=0,"",INDEX(COA_Mapping!$E$7:$E$256,$Q3959)))</f>
        <v/>
      </c>
      <c r="O3959" s="38" t="n">
        <f aca="false">IF($A3959="",1,IF($Q3959=0,1,INDEX(COA_Mapping!$F$7:$F$256,$Q3959)))</f>
        <v>1</v>
      </c>
      <c r="P3959" s="34" t="str">
        <f aca="false">IF($A3959="","",$I3959*$O3959)</f>
        <v/>
      </c>
      <c r="Q3959" s="39" t="n">
        <f aca="false">IF($B3959="",0,IFERROR(MATCH($B3959,COA_Mapping!$A$7:$A$256,0),0))</f>
        <v>0</v>
      </c>
      <c r="R3959" s="39" t="n">
        <f aca="false">IF($A3959="",-1,IF($J3959=Setup!$B$7,1,IF($J3959=Setup!$B$9,0,-1)))</f>
        <v>-1</v>
      </c>
      <c r="S3959" s="35" t="n">
        <f aca="false">IF(OR($A3959="",$Q3959=0,$R3959=-1),0,$Q3959*1000+$R3959*100+$K3959)</f>
        <v>0</v>
      </c>
      <c r="T3959" s="37" t="str">
        <f aca="false">IF($A3959="","",IF($B3959="","NO ACCOUNT",IF($Q3959=0,"UNMAPPED",IF($R3959=-1,"OUTSIDE FY RANGE","OK"))))</f>
        <v/>
      </c>
      <c r="U3959" s="40" t="str">
        <f aca="false">IF($A3959="","",$B3959&amp;"|"&amp;TEXT($A3959,"yyyymmdd")&amp;"|"&amp;TEXT($I3959,"0.00"))</f>
        <v/>
      </c>
      <c r="V3959" s="35" t="str">
        <f aca="false">IF($A3959="","",COUNTIF($U$8:$U$5007,$U3959))</f>
        <v/>
      </c>
    </row>
    <row r="3960" customFormat="false" ht="15" hidden="false" customHeight="false" outlineLevel="0" collapsed="false">
      <c r="A3960" s="31"/>
      <c r="B3960" s="32"/>
      <c r="C3960" s="32"/>
      <c r="D3960" s="32"/>
      <c r="E3960" s="32"/>
      <c r="F3960" s="32"/>
      <c r="G3960" s="33"/>
      <c r="H3960" s="33"/>
      <c r="I3960" s="34" t="str">
        <f aca="false">IF($A3960="","",$G3960-$H3960)</f>
        <v/>
      </c>
      <c r="J3960" s="35" t="str">
        <f aca="false">IF($A3960="","",IF(Setup!$B$6=1,YEAR($A3960),YEAR($A3960)+IF(MONTH($A3960)&gt;=Setup!$B$6,1,0)))</f>
        <v/>
      </c>
      <c r="K3960" s="35" t="str">
        <f aca="false">IF($A3960="","",MOD(MONTH($A3960)-Setup!$B$6+12,12)+1)</f>
        <v/>
      </c>
      <c r="L3960" s="36" t="str">
        <f aca="false">IF($A3960="","",TEXT($A3960,"MMM-YY"))</f>
        <v/>
      </c>
      <c r="M3960" s="37" t="str">
        <f aca="false">IF($A3960="","",IF($Q3960=0,"UNMAPPED",INDEX(COA_Mapping!$C$7:$C$256,$Q3960)))</f>
        <v/>
      </c>
      <c r="N3960" s="38" t="str">
        <f aca="false">IF($A3960="","",IF($Q3960=0,"",INDEX(COA_Mapping!$E$7:$E$256,$Q3960)))</f>
        <v/>
      </c>
      <c r="O3960" s="38" t="n">
        <f aca="false">IF($A3960="",1,IF($Q3960=0,1,INDEX(COA_Mapping!$F$7:$F$256,$Q3960)))</f>
        <v>1</v>
      </c>
      <c r="P3960" s="34" t="str">
        <f aca="false">IF($A3960="","",$I3960*$O3960)</f>
        <v/>
      </c>
      <c r="Q3960" s="39" t="n">
        <f aca="false">IF($B3960="",0,IFERROR(MATCH($B3960,COA_Mapping!$A$7:$A$256,0),0))</f>
        <v>0</v>
      </c>
      <c r="R3960" s="39" t="n">
        <f aca="false">IF($A3960="",-1,IF($J3960=Setup!$B$7,1,IF($J3960=Setup!$B$9,0,-1)))</f>
        <v>-1</v>
      </c>
      <c r="S3960" s="35" t="n">
        <f aca="false">IF(OR($A3960="",$Q3960=0,$R3960=-1),0,$Q3960*1000+$R3960*100+$K3960)</f>
        <v>0</v>
      </c>
      <c r="T3960" s="37" t="str">
        <f aca="false">IF($A3960="","",IF($B3960="","NO ACCOUNT",IF($Q3960=0,"UNMAPPED",IF($R3960=-1,"OUTSIDE FY RANGE","OK"))))</f>
        <v/>
      </c>
      <c r="U3960" s="40" t="str">
        <f aca="false">IF($A3960="","",$B3960&amp;"|"&amp;TEXT($A3960,"yyyymmdd")&amp;"|"&amp;TEXT($I3960,"0.00"))</f>
        <v/>
      </c>
      <c r="V3960" s="35" t="str">
        <f aca="false">IF($A3960="","",COUNTIF($U$8:$U$5007,$U3960))</f>
        <v/>
      </c>
    </row>
    <row r="3961" customFormat="false" ht="15" hidden="false" customHeight="false" outlineLevel="0" collapsed="false">
      <c r="A3961" s="31"/>
      <c r="B3961" s="32"/>
      <c r="C3961" s="32"/>
      <c r="D3961" s="32"/>
      <c r="E3961" s="32"/>
      <c r="F3961" s="32"/>
      <c r="G3961" s="33"/>
      <c r="H3961" s="33"/>
      <c r="I3961" s="34" t="str">
        <f aca="false">IF($A3961="","",$G3961-$H3961)</f>
        <v/>
      </c>
      <c r="J3961" s="35" t="str">
        <f aca="false">IF($A3961="","",IF(Setup!$B$6=1,YEAR($A3961),YEAR($A3961)+IF(MONTH($A3961)&gt;=Setup!$B$6,1,0)))</f>
        <v/>
      </c>
      <c r="K3961" s="35" t="str">
        <f aca="false">IF($A3961="","",MOD(MONTH($A3961)-Setup!$B$6+12,12)+1)</f>
        <v/>
      </c>
      <c r="L3961" s="36" t="str">
        <f aca="false">IF($A3961="","",TEXT($A3961,"MMM-YY"))</f>
        <v/>
      </c>
      <c r="M3961" s="37" t="str">
        <f aca="false">IF($A3961="","",IF($Q3961=0,"UNMAPPED",INDEX(COA_Mapping!$C$7:$C$256,$Q3961)))</f>
        <v/>
      </c>
      <c r="N3961" s="38" t="str">
        <f aca="false">IF($A3961="","",IF($Q3961=0,"",INDEX(COA_Mapping!$E$7:$E$256,$Q3961)))</f>
        <v/>
      </c>
      <c r="O3961" s="38" t="n">
        <f aca="false">IF($A3961="",1,IF($Q3961=0,1,INDEX(COA_Mapping!$F$7:$F$256,$Q3961)))</f>
        <v>1</v>
      </c>
      <c r="P3961" s="34" t="str">
        <f aca="false">IF($A3961="","",$I3961*$O3961)</f>
        <v/>
      </c>
      <c r="Q3961" s="39" t="n">
        <f aca="false">IF($B3961="",0,IFERROR(MATCH($B3961,COA_Mapping!$A$7:$A$256,0),0))</f>
        <v>0</v>
      </c>
      <c r="R3961" s="39" t="n">
        <f aca="false">IF($A3961="",-1,IF($J3961=Setup!$B$7,1,IF($J3961=Setup!$B$9,0,-1)))</f>
        <v>-1</v>
      </c>
      <c r="S3961" s="35" t="n">
        <f aca="false">IF(OR($A3961="",$Q3961=0,$R3961=-1),0,$Q3961*1000+$R3961*100+$K3961)</f>
        <v>0</v>
      </c>
      <c r="T3961" s="37" t="str">
        <f aca="false">IF($A3961="","",IF($B3961="","NO ACCOUNT",IF($Q3961=0,"UNMAPPED",IF($R3961=-1,"OUTSIDE FY RANGE","OK"))))</f>
        <v/>
      </c>
      <c r="U3961" s="40" t="str">
        <f aca="false">IF($A3961="","",$B3961&amp;"|"&amp;TEXT($A3961,"yyyymmdd")&amp;"|"&amp;TEXT($I3961,"0.00"))</f>
        <v/>
      </c>
      <c r="V3961" s="35" t="str">
        <f aca="false">IF($A3961="","",COUNTIF($U$8:$U$5007,$U3961))</f>
        <v/>
      </c>
    </row>
    <row r="3962" customFormat="false" ht="15" hidden="false" customHeight="false" outlineLevel="0" collapsed="false">
      <c r="A3962" s="31"/>
      <c r="B3962" s="32"/>
      <c r="C3962" s="32"/>
      <c r="D3962" s="32"/>
      <c r="E3962" s="32"/>
      <c r="F3962" s="32"/>
      <c r="G3962" s="33"/>
      <c r="H3962" s="33"/>
      <c r="I3962" s="34" t="str">
        <f aca="false">IF($A3962="","",$G3962-$H3962)</f>
        <v/>
      </c>
      <c r="J3962" s="35" t="str">
        <f aca="false">IF($A3962="","",IF(Setup!$B$6=1,YEAR($A3962),YEAR($A3962)+IF(MONTH($A3962)&gt;=Setup!$B$6,1,0)))</f>
        <v/>
      </c>
      <c r="K3962" s="35" t="str">
        <f aca="false">IF($A3962="","",MOD(MONTH($A3962)-Setup!$B$6+12,12)+1)</f>
        <v/>
      </c>
      <c r="L3962" s="36" t="str">
        <f aca="false">IF($A3962="","",TEXT($A3962,"MMM-YY"))</f>
        <v/>
      </c>
      <c r="M3962" s="37" t="str">
        <f aca="false">IF($A3962="","",IF($Q3962=0,"UNMAPPED",INDEX(COA_Mapping!$C$7:$C$256,$Q3962)))</f>
        <v/>
      </c>
      <c r="N3962" s="38" t="str">
        <f aca="false">IF($A3962="","",IF($Q3962=0,"",INDEX(COA_Mapping!$E$7:$E$256,$Q3962)))</f>
        <v/>
      </c>
      <c r="O3962" s="38" t="n">
        <f aca="false">IF($A3962="",1,IF($Q3962=0,1,INDEX(COA_Mapping!$F$7:$F$256,$Q3962)))</f>
        <v>1</v>
      </c>
      <c r="P3962" s="34" t="str">
        <f aca="false">IF($A3962="","",$I3962*$O3962)</f>
        <v/>
      </c>
      <c r="Q3962" s="39" t="n">
        <f aca="false">IF($B3962="",0,IFERROR(MATCH($B3962,COA_Mapping!$A$7:$A$256,0),0))</f>
        <v>0</v>
      </c>
      <c r="R3962" s="39" t="n">
        <f aca="false">IF($A3962="",-1,IF($J3962=Setup!$B$7,1,IF($J3962=Setup!$B$9,0,-1)))</f>
        <v>-1</v>
      </c>
      <c r="S3962" s="35" t="n">
        <f aca="false">IF(OR($A3962="",$Q3962=0,$R3962=-1),0,$Q3962*1000+$R3962*100+$K3962)</f>
        <v>0</v>
      </c>
      <c r="T3962" s="37" t="str">
        <f aca="false">IF($A3962="","",IF($B3962="","NO ACCOUNT",IF($Q3962=0,"UNMAPPED",IF($R3962=-1,"OUTSIDE FY RANGE","OK"))))</f>
        <v/>
      </c>
      <c r="U3962" s="40" t="str">
        <f aca="false">IF($A3962="","",$B3962&amp;"|"&amp;TEXT($A3962,"yyyymmdd")&amp;"|"&amp;TEXT($I3962,"0.00"))</f>
        <v/>
      </c>
      <c r="V3962" s="35" t="str">
        <f aca="false">IF($A3962="","",COUNTIF($U$8:$U$5007,$U3962))</f>
        <v/>
      </c>
    </row>
    <row r="3963" customFormat="false" ht="15" hidden="false" customHeight="false" outlineLevel="0" collapsed="false">
      <c r="A3963" s="31"/>
      <c r="B3963" s="32"/>
      <c r="C3963" s="32"/>
      <c r="D3963" s="32"/>
      <c r="E3963" s="32"/>
      <c r="F3963" s="32"/>
      <c r="G3963" s="33"/>
      <c r="H3963" s="33"/>
      <c r="I3963" s="34" t="str">
        <f aca="false">IF($A3963="","",$G3963-$H3963)</f>
        <v/>
      </c>
      <c r="J3963" s="35" t="str">
        <f aca="false">IF($A3963="","",IF(Setup!$B$6=1,YEAR($A3963),YEAR($A3963)+IF(MONTH($A3963)&gt;=Setup!$B$6,1,0)))</f>
        <v/>
      </c>
      <c r="K3963" s="35" t="str">
        <f aca="false">IF($A3963="","",MOD(MONTH($A3963)-Setup!$B$6+12,12)+1)</f>
        <v/>
      </c>
      <c r="L3963" s="36" t="str">
        <f aca="false">IF($A3963="","",TEXT($A3963,"MMM-YY"))</f>
        <v/>
      </c>
      <c r="M3963" s="37" t="str">
        <f aca="false">IF($A3963="","",IF($Q3963=0,"UNMAPPED",INDEX(COA_Mapping!$C$7:$C$256,$Q3963)))</f>
        <v/>
      </c>
      <c r="N3963" s="38" t="str">
        <f aca="false">IF($A3963="","",IF($Q3963=0,"",INDEX(COA_Mapping!$E$7:$E$256,$Q3963)))</f>
        <v/>
      </c>
      <c r="O3963" s="38" t="n">
        <f aca="false">IF($A3963="",1,IF($Q3963=0,1,INDEX(COA_Mapping!$F$7:$F$256,$Q3963)))</f>
        <v>1</v>
      </c>
      <c r="P3963" s="34" t="str">
        <f aca="false">IF($A3963="","",$I3963*$O3963)</f>
        <v/>
      </c>
      <c r="Q3963" s="39" t="n">
        <f aca="false">IF($B3963="",0,IFERROR(MATCH($B3963,COA_Mapping!$A$7:$A$256,0),0))</f>
        <v>0</v>
      </c>
      <c r="R3963" s="39" t="n">
        <f aca="false">IF($A3963="",-1,IF($J3963=Setup!$B$7,1,IF($J3963=Setup!$B$9,0,-1)))</f>
        <v>-1</v>
      </c>
      <c r="S3963" s="35" t="n">
        <f aca="false">IF(OR($A3963="",$Q3963=0,$R3963=-1),0,$Q3963*1000+$R3963*100+$K3963)</f>
        <v>0</v>
      </c>
      <c r="T3963" s="37" t="str">
        <f aca="false">IF($A3963="","",IF($B3963="","NO ACCOUNT",IF($Q3963=0,"UNMAPPED",IF($R3963=-1,"OUTSIDE FY RANGE","OK"))))</f>
        <v/>
      </c>
      <c r="U3963" s="40" t="str">
        <f aca="false">IF($A3963="","",$B3963&amp;"|"&amp;TEXT($A3963,"yyyymmdd")&amp;"|"&amp;TEXT($I3963,"0.00"))</f>
        <v/>
      </c>
      <c r="V3963" s="35" t="str">
        <f aca="false">IF($A3963="","",COUNTIF($U$8:$U$5007,$U3963))</f>
        <v/>
      </c>
    </row>
    <row r="3964" customFormat="false" ht="15" hidden="false" customHeight="false" outlineLevel="0" collapsed="false">
      <c r="A3964" s="31"/>
      <c r="B3964" s="32"/>
      <c r="C3964" s="32"/>
      <c r="D3964" s="32"/>
      <c r="E3964" s="32"/>
      <c r="F3964" s="32"/>
      <c r="G3964" s="33"/>
      <c r="H3964" s="33"/>
      <c r="I3964" s="34" t="str">
        <f aca="false">IF($A3964="","",$G3964-$H3964)</f>
        <v/>
      </c>
      <c r="J3964" s="35" t="str">
        <f aca="false">IF($A3964="","",IF(Setup!$B$6=1,YEAR($A3964),YEAR($A3964)+IF(MONTH($A3964)&gt;=Setup!$B$6,1,0)))</f>
        <v/>
      </c>
      <c r="K3964" s="35" t="str">
        <f aca="false">IF($A3964="","",MOD(MONTH($A3964)-Setup!$B$6+12,12)+1)</f>
        <v/>
      </c>
      <c r="L3964" s="36" t="str">
        <f aca="false">IF($A3964="","",TEXT($A3964,"MMM-YY"))</f>
        <v/>
      </c>
      <c r="M3964" s="37" t="str">
        <f aca="false">IF($A3964="","",IF($Q3964=0,"UNMAPPED",INDEX(COA_Mapping!$C$7:$C$256,$Q3964)))</f>
        <v/>
      </c>
      <c r="N3964" s="38" t="str">
        <f aca="false">IF($A3964="","",IF($Q3964=0,"",INDEX(COA_Mapping!$E$7:$E$256,$Q3964)))</f>
        <v/>
      </c>
      <c r="O3964" s="38" t="n">
        <f aca="false">IF($A3964="",1,IF($Q3964=0,1,INDEX(COA_Mapping!$F$7:$F$256,$Q3964)))</f>
        <v>1</v>
      </c>
      <c r="P3964" s="34" t="str">
        <f aca="false">IF($A3964="","",$I3964*$O3964)</f>
        <v/>
      </c>
      <c r="Q3964" s="39" t="n">
        <f aca="false">IF($B3964="",0,IFERROR(MATCH($B3964,COA_Mapping!$A$7:$A$256,0),0))</f>
        <v>0</v>
      </c>
      <c r="R3964" s="39" t="n">
        <f aca="false">IF($A3964="",-1,IF($J3964=Setup!$B$7,1,IF($J3964=Setup!$B$9,0,-1)))</f>
        <v>-1</v>
      </c>
      <c r="S3964" s="35" t="n">
        <f aca="false">IF(OR($A3964="",$Q3964=0,$R3964=-1),0,$Q3964*1000+$R3964*100+$K3964)</f>
        <v>0</v>
      </c>
      <c r="T3964" s="37" t="str">
        <f aca="false">IF($A3964="","",IF($B3964="","NO ACCOUNT",IF($Q3964=0,"UNMAPPED",IF($R3964=-1,"OUTSIDE FY RANGE","OK"))))</f>
        <v/>
      </c>
      <c r="U3964" s="40" t="str">
        <f aca="false">IF($A3964="","",$B3964&amp;"|"&amp;TEXT($A3964,"yyyymmdd")&amp;"|"&amp;TEXT($I3964,"0.00"))</f>
        <v/>
      </c>
      <c r="V3964" s="35" t="str">
        <f aca="false">IF($A3964="","",COUNTIF($U$8:$U$5007,$U3964))</f>
        <v/>
      </c>
    </row>
    <row r="3965" customFormat="false" ht="15" hidden="false" customHeight="false" outlineLevel="0" collapsed="false">
      <c r="A3965" s="31"/>
      <c r="B3965" s="32"/>
      <c r="C3965" s="32"/>
      <c r="D3965" s="32"/>
      <c r="E3965" s="32"/>
      <c r="F3965" s="32"/>
      <c r="G3965" s="33"/>
      <c r="H3965" s="33"/>
      <c r="I3965" s="34" t="str">
        <f aca="false">IF($A3965="","",$G3965-$H3965)</f>
        <v/>
      </c>
      <c r="J3965" s="35" t="str">
        <f aca="false">IF($A3965="","",IF(Setup!$B$6=1,YEAR($A3965),YEAR($A3965)+IF(MONTH($A3965)&gt;=Setup!$B$6,1,0)))</f>
        <v/>
      </c>
      <c r="K3965" s="35" t="str">
        <f aca="false">IF($A3965="","",MOD(MONTH($A3965)-Setup!$B$6+12,12)+1)</f>
        <v/>
      </c>
      <c r="L3965" s="36" t="str">
        <f aca="false">IF($A3965="","",TEXT($A3965,"MMM-YY"))</f>
        <v/>
      </c>
      <c r="M3965" s="37" t="str">
        <f aca="false">IF($A3965="","",IF($Q3965=0,"UNMAPPED",INDEX(COA_Mapping!$C$7:$C$256,$Q3965)))</f>
        <v/>
      </c>
      <c r="N3965" s="38" t="str">
        <f aca="false">IF($A3965="","",IF($Q3965=0,"",INDEX(COA_Mapping!$E$7:$E$256,$Q3965)))</f>
        <v/>
      </c>
      <c r="O3965" s="38" t="n">
        <f aca="false">IF($A3965="",1,IF($Q3965=0,1,INDEX(COA_Mapping!$F$7:$F$256,$Q3965)))</f>
        <v>1</v>
      </c>
      <c r="P3965" s="34" t="str">
        <f aca="false">IF($A3965="","",$I3965*$O3965)</f>
        <v/>
      </c>
      <c r="Q3965" s="39" t="n">
        <f aca="false">IF($B3965="",0,IFERROR(MATCH($B3965,COA_Mapping!$A$7:$A$256,0),0))</f>
        <v>0</v>
      </c>
      <c r="R3965" s="39" t="n">
        <f aca="false">IF($A3965="",-1,IF($J3965=Setup!$B$7,1,IF($J3965=Setup!$B$9,0,-1)))</f>
        <v>-1</v>
      </c>
      <c r="S3965" s="35" t="n">
        <f aca="false">IF(OR($A3965="",$Q3965=0,$R3965=-1),0,$Q3965*1000+$R3965*100+$K3965)</f>
        <v>0</v>
      </c>
      <c r="T3965" s="37" t="str">
        <f aca="false">IF($A3965="","",IF($B3965="","NO ACCOUNT",IF($Q3965=0,"UNMAPPED",IF($R3965=-1,"OUTSIDE FY RANGE","OK"))))</f>
        <v/>
      </c>
      <c r="U3965" s="40" t="str">
        <f aca="false">IF($A3965="","",$B3965&amp;"|"&amp;TEXT($A3965,"yyyymmdd")&amp;"|"&amp;TEXT($I3965,"0.00"))</f>
        <v/>
      </c>
      <c r="V3965" s="35" t="str">
        <f aca="false">IF($A3965="","",COUNTIF($U$8:$U$5007,$U3965))</f>
        <v/>
      </c>
    </row>
    <row r="3966" customFormat="false" ht="15" hidden="false" customHeight="false" outlineLevel="0" collapsed="false">
      <c r="A3966" s="31"/>
      <c r="B3966" s="32"/>
      <c r="C3966" s="32"/>
      <c r="D3966" s="32"/>
      <c r="E3966" s="32"/>
      <c r="F3966" s="32"/>
      <c r="G3966" s="33"/>
      <c r="H3966" s="33"/>
      <c r="I3966" s="34" t="str">
        <f aca="false">IF($A3966="","",$G3966-$H3966)</f>
        <v/>
      </c>
      <c r="J3966" s="35" t="str">
        <f aca="false">IF($A3966="","",IF(Setup!$B$6=1,YEAR($A3966),YEAR($A3966)+IF(MONTH($A3966)&gt;=Setup!$B$6,1,0)))</f>
        <v/>
      </c>
      <c r="K3966" s="35" t="str">
        <f aca="false">IF($A3966="","",MOD(MONTH($A3966)-Setup!$B$6+12,12)+1)</f>
        <v/>
      </c>
      <c r="L3966" s="36" t="str">
        <f aca="false">IF($A3966="","",TEXT($A3966,"MMM-YY"))</f>
        <v/>
      </c>
      <c r="M3966" s="37" t="str">
        <f aca="false">IF($A3966="","",IF($Q3966=0,"UNMAPPED",INDEX(COA_Mapping!$C$7:$C$256,$Q3966)))</f>
        <v/>
      </c>
      <c r="N3966" s="38" t="str">
        <f aca="false">IF($A3966="","",IF($Q3966=0,"",INDEX(COA_Mapping!$E$7:$E$256,$Q3966)))</f>
        <v/>
      </c>
      <c r="O3966" s="38" t="n">
        <f aca="false">IF($A3966="",1,IF($Q3966=0,1,INDEX(COA_Mapping!$F$7:$F$256,$Q3966)))</f>
        <v>1</v>
      </c>
      <c r="P3966" s="34" t="str">
        <f aca="false">IF($A3966="","",$I3966*$O3966)</f>
        <v/>
      </c>
      <c r="Q3966" s="39" t="n">
        <f aca="false">IF($B3966="",0,IFERROR(MATCH($B3966,COA_Mapping!$A$7:$A$256,0),0))</f>
        <v>0</v>
      </c>
      <c r="R3966" s="39" t="n">
        <f aca="false">IF($A3966="",-1,IF($J3966=Setup!$B$7,1,IF($J3966=Setup!$B$9,0,-1)))</f>
        <v>-1</v>
      </c>
      <c r="S3966" s="35" t="n">
        <f aca="false">IF(OR($A3966="",$Q3966=0,$R3966=-1),0,$Q3966*1000+$R3966*100+$K3966)</f>
        <v>0</v>
      </c>
      <c r="T3966" s="37" t="str">
        <f aca="false">IF($A3966="","",IF($B3966="","NO ACCOUNT",IF($Q3966=0,"UNMAPPED",IF($R3966=-1,"OUTSIDE FY RANGE","OK"))))</f>
        <v/>
      </c>
      <c r="U3966" s="40" t="str">
        <f aca="false">IF($A3966="","",$B3966&amp;"|"&amp;TEXT($A3966,"yyyymmdd")&amp;"|"&amp;TEXT($I3966,"0.00"))</f>
        <v/>
      </c>
      <c r="V3966" s="35" t="str">
        <f aca="false">IF($A3966="","",COUNTIF($U$8:$U$5007,$U3966))</f>
        <v/>
      </c>
    </row>
    <row r="3967" customFormat="false" ht="15" hidden="false" customHeight="false" outlineLevel="0" collapsed="false">
      <c r="A3967" s="31"/>
      <c r="B3967" s="32"/>
      <c r="C3967" s="32"/>
      <c r="D3967" s="32"/>
      <c r="E3967" s="32"/>
      <c r="F3967" s="32"/>
      <c r="G3967" s="33"/>
      <c r="H3967" s="33"/>
      <c r="I3967" s="34" t="str">
        <f aca="false">IF($A3967="","",$G3967-$H3967)</f>
        <v/>
      </c>
      <c r="J3967" s="35" t="str">
        <f aca="false">IF($A3967="","",IF(Setup!$B$6=1,YEAR($A3967),YEAR($A3967)+IF(MONTH($A3967)&gt;=Setup!$B$6,1,0)))</f>
        <v/>
      </c>
      <c r="K3967" s="35" t="str">
        <f aca="false">IF($A3967="","",MOD(MONTH($A3967)-Setup!$B$6+12,12)+1)</f>
        <v/>
      </c>
      <c r="L3967" s="36" t="str">
        <f aca="false">IF($A3967="","",TEXT($A3967,"MMM-YY"))</f>
        <v/>
      </c>
      <c r="M3967" s="37" t="str">
        <f aca="false">IF($A3967="","",IF($Q3967=0,"UNMAPPED",INDEX(COA_Mapping!$C$7:$C$256,$Q3967)))</f>
        <v/>
      </c>
      <c r="N3967" s="38" t="str">
        <f aca="false">IF($A3967="","",IF($Q3967=0,"",INDEX(COA_Mapping!$E$7:$E$256,$Q3967)))</f>
        <v/>
      </c>
      <c r="O3967" s="38" t="n">
        <f aca="false">IF($A3967="",1,IF($Q3967=0,1,INDEX(COA_Mapping!$F$7:$F$256,$Q3967)))</f>
        <v>1</v>
      </c>
      <c r="P3967" s="34" t="str">
        <f aca="false">IF($A3967="","",$I3967*$O3967)</f>
        <v/>
      </c>
      <c r="Q3967" s="39" t="n">
        <f aca="false">IF($B3967="",0,IFERROR(MATCH($B3967,COA_Mapping!$A$7:$A$256,0),0))</f>
        <v>0</v>
      </c>
      <c r="R3967" s="39" t="n">
        <f aca="false">IF($A3967="",-1,IF($J3967=Setup!$B$7,1,IF($J3967=Setup!$B$9,0,-1)))</f>
        <v>-1</v>
      </c>
      <c r="S3967" s="35" t="n">
        <f aca="false">IF(OR($A3967="",$Q3967=0,$R3967=-1),0,$Q3967*1000+$R3967*100+$K3967)</f>
        <v>0</v>
      </c>
      <c r="T3967" s="37" t="str">
        <f aca="false">IF($A3967="","",IF($B3967="","NO ACCOUNT",IF($Q3967=0,"UNMAPPED",IF($R3967=-1,"OUTSIDE FY RANGE","OK"))))</f>
        <v/>
      </c>
      <c r="U3967" s="40" t="str">
        <f aca="false">IF($A3967="","",$B3967&amp;"|"&amp;TEXT($A3967,"yyyymmdd")&amp;"|"&amp;TEXT($I3967,"0.00"))</f>
        <v/>
      </c>
      <c r="V3967" s="35" t="str">
        <f aca="false">IF($A3967="","",COUNTIF($U$8:$U$5007,$U3967))</f>
        <v/>
      </c>
    </row>
    <row r="3968" customFormat="false" ht="15" hidden="false" customHeight="false" outlineLevel="0" collapsed="false">
      <c r="A3968" s="31"/>
      <c r="B3968" s="32"/>
      <c r="C3968" s="32"/>
      <c r="D3968" s="32"/>
      <c r="E3968" s="32"/>
      <c r="F3968" s="32"/>
      <c r="G3968" s="33"/>
      <c r="H3968" s="33"/>
      <c r="I3968" s="34" t="str">
        <f aca="false">IF($A3968="","",$G3968-$H3968)</f>
        <v/>
      </c>
      <c r="J3968" s="35" t="str">
        <f aca="false">IF($A3968="","",IF(Setup!$B$6=1,YEAR($A3968),YEAR($A3968)+IF(MONTH($A3968)&gt;=Setup!$B$6,1,0)))</f>
        <v/>
      </c>
      <c r="K3968" s="35" t="str">
        <f aca="false">IF($A3968="","",MOD(MONTH($A3968)-Setup!$B$6+12,12)+1)</f>
        <v/>
      </c>
      <c r="L3968" s="36" t="str">
        <f aca="false">IF($A3968="","",TEXT($A3968,"MMM-YY"))</f>
        <v/>
      </c>
      <c r="M3968" s="37" t="str">
        <f aca="false">IF($A3968="","",IF($Q3968=0,"UNMAPPED",INDEX(COA_Mapping!$C$7:$C$256,$Q3968)))</f>
        <v/>
      </c>
      <c r="N3968" s="38" t="str">
        <f aca="false">IF($A3968="","",IF($Q3968=0,"",INDEX(COA_Mapping!$E$7:$E$256,$Q3968)))</f>
        <v/>
      </c>
      <c r="O3968" s="38" t="n">
        <f aca="false">IF($A3968="",1,IF($Q3968=0,1,INDEX(COA_Mapping!$F$7:$F$256,$Q3968)))</f>
        <v>1</v>
      </c>
      <c r="P3968" s="34" t="str">
        <f aca="false">IF($A3968="","",$I3968*$O3968)</f>
        <v/>
      </c>
      <c r="Q3968" s="39" t="n">
        <f aca="false">IF($B3968="",0,IFERROR(MATCH($B3968,COA_Mapping!$A$7:$A$256,0),0))</f>
        <v>0</v>
      </c>
      <c r="R3968" s="39" t="n">
        <f aca="false">IF($A3968="",-1,IF($J3968=Setup!$B$7,1,IF($J3968=Setup!$B$9,0,-1)))</f>
        <v>-1</v>
      </c>
      <c r="S3968" s="35" t="n">
        <f aca="false">IF(OR($A3968="",$Q3968=0,$R3968=-1),0,$Q3968*1000+$R3968*100+$K3968)</f>
        <v>0</v>
      </c>
      <c r="T3968" s="37" t="str">
        <f aca="false">IF($A3968="","",IF($B3968="","NO ACCOUNT",IF($Q3968=0,"UNMAPPED",IF($R3968=-1,"OUTSIDE FY RANGE","OK"))))</f>
        <v/>
      </c>
      <c r="U3968" s="40" t="str">
        <f aca="false">IF($A3968="","",$B3968&amp;"|"&amp;TEXT($A3968,"yyyymmdd")&amp;"|"&amp;TEXT($I3968,"0.00"))</f>
        <v/>
      </c>
      <c r="V3968" s="35" t="str">
        <f aca="false">IF($A3968="","",COUNTIF($U$8:$U$5007,$U3968))</f>
        <v/>
      </c>
    </row>
    <row r="3969" customFormat="false" ht="15" hidden="false" customHeight="false" outlineLevel="0" collapsed="false">
      <c r="A3969" s="31"/>
      <c r="B3969" s="32"/>
      <c r="C3969" s="32"/>
      <c r="D3969" s="32"/>
      <c r="E3969" s="32"/>
      <c r="F3969" s="32"/>
      <c r="G3969" s="33"/>
      <c r="H3969" s="33"/>
      <c r="I3969" s="34" t="str">
        <f aca="false">IF($A3969="","",$G3969-$H3969)</f>
        <v/>
      </c>
      <c r="J3969" s="35" t="str">
        <f aca="false">IF($A3969="","",IF(Setup!$B$6=1,YEAR($A3969),YEAR($A3969)+IF(MONTH($A3969)&gt;=Setup!$B$6,1,0)))</f>
        <v/>
      </c>
      <c r="K3969" s="35" t="str">
        <f aca="false">IF($A3969="","",MOD(MONTH($A3969)-Setup!$B$6+12,12)+1)</f>
        <v/>
      </c>
      <c r="L3969" s="36" t="str">
        <f aca="false">IF($A3969="","",TEXT($A3969,"MMM-YY"))</f>
        <v/>
      </c>
      <c r="M3969" s="37" t="str">
        <f aca="false">IF($A3969="","",IF($Q3969=0,"UNMAPPED",INDEX(COA_Mapping!$C$7:$C$256,$Q3969)))</f>
        <v/>
      </c>
      <c r="N3969" s="38" t="str">
        <f aca="false">IF($A3969="","",IF($Q3969=0,"",INDEX(COA_Mapping!$E$7:$E$256,$Q3969)))</f>
        <v/>
      </c>
      <c r="O3969" s="38" t="n">
        <f aca="false">IF($A3969="",1,IF($Q3969=0,1,INDEX(COA_Mapping!$F$7:$F$256,$Q3969)))</f>
        <v>1</v>
      </c>
      <c r="P3969" s="34" t="str">
        <f aca="false">IF($A3969="","",$I3969*$O3969)</f>
        <v/>
      </c>
      <c r="Q3969" s="39" t="n">
        <f aca="false">IF($B3969="",0,IFERROR(MATCH($B3969,COA_Mapping!$A$7:$A$256,0),0))</f>
        <v>0</v>
      </c>
      <c r="R3969" s="39" t="n">
        <f aca="false">IF($A3969="",-1,IF($J3969=Setup!$B$7,1,IF($J3969=Setup!$B$9,0,-1)))</f>
        <v>-1</v>
      </c>
      <c r="S3969" s="35" t="n">
        <f aca="false">IF(OR($A3969="",$Q3969=0,$R3969=-1),0,$Q3969*1000+$R3969*100+$K3969)</f>
        <v>0</v>
      </c>
      <c r="T3969" s="37" t="str">
        <f aca="false">IF($A3969="","",IF($B3969="","NO ACCOUNT",IF($Q3969=0,"UNMAPPED",IF($R3969=-1,"OUTSIDE FY RANGE","OK"))))</f>
        <v/>
      </c>
      <c r="U3969" s="40" t="str">
        <f aca="false">IF($A3969="","",$B3969&amp;"|"&amp;TEXT($A3969,"yyyymmdd")&amp;"|"&amp;TEXT($I3969,"0.00"))</f>
        <v/>
      </c>
      <c r="V3969" s="35" t="str">
        <f aca="false">IF($A3969="","",COUNTIF($U$8:$U$5007,$U3969))</f>
        <v/>
      </c>
    </row>
    <row r="3970" customFormat="false" ht="15" hidden="false" customHeight="false" outlineLevel="0" collapsed="false">
      <c r="A3970" s="31"/>
      <c r="B3970" s="32"/>
      <c r="C3970" s="32"/>
      <c r="D3970" s="32"/>
      <c r="E3970" s="32"/>
      <c r="F3970" s="32"/>
      <c r="G3970" s="33"/>
      <c r="H3970" s="33"/>
      <c r="I3970" s="34" t="str">
        <f aca="false">IF($A3970="","",$G3970-$H3970)</f>
        <v/>
      </c>
      <c r="J3970" s="35" t="str">
        <f aca="false">IF($A3970="","",IF(Setup!$B$6=1,YEAR($A3970),YEAR($A3970)+IF(MONTH($A3970)&gt;=Setup!$B$6,1,0)))</f>
        <v/>
      </c>
      <c r="K3970" s="35" t="str">
        <f aca="false">IF($A3970="","",MOD(MONTH($A3970)-Setup!$B$6+12,12)+1)</f>
        <v/>
      </c>
      <c r="L3970" s="36" t="str">
        <f aca="false">IF($A3970="","",TEXT($A3970,"MMM-YY"))</f>
        <v/>
      </c>
      <c r="M3970" s="37" t="str">
        <f aca="false">IF($A3970="","",IF($Q3970=0,"UNMAPPED",INDEX(COA_Mapping!$C$7:$C$256,$Q3970)))</f>
        <v/>
      </c>
      <c r="N3970" s="38" t="str">
        <f aca="false">IF($A3970="","",IF($Q3970=0,"",INDEX(COA_Mapping!$E$7:$E$256,$Q3970)))</f>
        <v/>
      </c>
      <c r="O3970" s="38" t="n">
        <f aca="false">IF($A3970="",1,IF($Q3970=0,1,INDEX(COA_Mapping!$F$7:$F$256,$Q3970)))</f>
        <v>1</v>
      </c>
      <c r="P3970" s="34" t="str">
        <f aca="false">IF($A3970="","",$I3970*$O3970)</f>
        <v/>
      </c>
      <c r="Q3970" s="39" t="n">
        <f aca="false">IF($B3970="",0,IFERROR(MATCH($B3970,COA_Mapping!$A$7:$A$256,0),0))</f>
        <v>0</v>
      </c>
      <c r="R3970" s="39" t="n">
        <f aca="false">IF($A3970="",-1,IF($J3970=Setup!$B$7,1,IF($J3970=Setup!$B$9,0,-1)))</f>
        <v>-1</v>
      </c>
      <c r="S3970" s="35" t="n">
        <f aca="false">IF(OR($A3970="",$Q3970=0,$R3970=-1),0,$Q3970*1000+$R3970*100+$K3970)</f>
        <v>0</v>
      </c>
      <c r="T3970" s="37" t="str">
        <f aca="false">IF($A3970="","",IF($B3970="","NO ACCOUNT",IF($Q3970=0,"UNMAPPED",IF($R3970=-1,"OUTSIDE FY RANGE","OK"))))</f>
        <v/>
      </c>
      <c r="U3970" s="40" t="str">
        <f aca="false">IF($A3970="","",$B3970&amp;"|"&amp;TEXT($A3970,"yyyymmdd")&amp;"|"&amp;TEXT($I3970,"0.00"))</f>
        <v/>
      </c>
      <c r="V3970" s="35" t="str">
        <f aca="false">IF($A3970="","",COUNTIF($U$8:$U$5007,$U3970))</f>
        <v/>
      </c>
    </row>
    <row r="3971" customFormat="false" ht="15" hidden="false" customHeight="false" outlineLevel="0" collapsed="false">
      <c r="A3971" s="31"/>
      <c r="B3971" s="32"/>
      <c r="C3971" s="32"/>
      <c r="D3971" s="32"/>
      <c r="E3971" s="32"/>
      <c r="F3971" s="32"/>
      <c r="G3971" s="33"/>
      <c r="H3971" s="33"/>
      <c r="I3971" s="34" t="str">
        <f aca="false">IF($A3971="","",$G3971-$H3971)</f>
        <v/>
      </c>
      <c r="J3971" s="35" t="str">
        <f aca="false">IF($A3971="","",IF(Setup!$B$6=1,YEAR($A3971),YEAR($A3971)+IF(MONTH($A3971)&gt;=Setup!$B$6,1,0)))</f>
        <v/>
      </c>
      <c r="K3971" s="35" t="str">
        <f aca="false">IF($A3971="","",MOD(MONTH($A3971)-Setup!$B$6+12,12)+1)</f>
        <v/>
      </c>
      <c r="L3971" s="36" t="str">
        <f aca="false">IF($A3971="","",TEXT($A3971,"MMM-YY"))</f>
        <v/>
      </c>
      <c r="M3971" s="37" t="str">
        <f aca="false">IF($A3971="","",IF($Q3971=0,"UNMAPPED",INDEX(COA_Mapping!$C$7:$C$256,$Q3971)))</f>
        <v/>
      </c>
      <c r="N3971" s="38" t="str">
        <f aca="false">IF($A3971="","",IF($Q3971=0,"",INDEX(COA_Mapping!$E$7:$E$256,$Q3971)))</f>
        <v/>
      </c>
      <c r="O3971" s="38" t="n">
        <f aca="false">IF($A3971="",1,IF($Q3971=0,1,INDEX(COA_Mapping!$F$7:$F$256,$Q3971)))</f>
        <v>1</v>
      </c>
      <c r="P3971" s="34" t="str">
        <f aca="false">IF($A3971="","",$I3971*$O3971)</f>
        <v/>
      </c>
      <c r="Q3971" s="39" t="n">
        <f aca="false">IF($B3971="",0,IFERROR(MATCH($B3971,COA_Mapping!$A$7:$A$256,0),0))</f>
        <v>0</v>
      </c>
      <c r="R3971" s="39" t="n">
        <f aca="false">IF($A3971="",-1,IF($J3971=Setup!$B$7,1,IF($J3971=Setup!$B$9,0,-1)))</f>
        <v>-1</v>
      </c>
      <c r="S3971" s="35" t="n">
        <f aca="false">IF(OR($A3971="",$Q3971=0,$R3971=-1),0,$Q3971*1000+$R3971*100+$K3971)</f>
        <v>0</v>
      </c>
      <c r="T3971" s="37" t="str">
        <f aca="false">IF($A3971="","",IF($B3971="","NO ACCOUNT",IF($Q3971=0,"UNMAPPED",IF($R3971=-1,"OUTSIDE FY RANGE","OK"))))</f>
        <v/>
      </c>
      <c r="U3971" s="40" t="str">
        <f aca="false">IF($A3971="","",$B3971&amp;"|"&amp;TEXT($A3971,"yyyymmdd")&amp;"|"&amp;TEXT($I3971,"0.00"))</f>
        <v/>
      </c>
      <c r="V3971" s="35" t="str">
        <f aca="false">IF($A3971="","",COUNTIF($U$8:$U$5007,$U3971))</f>
        <v/>
      </c>
    </row>
    <row r="3972" customFormat="false" ht="15" hidden="false" customHeight="false" outlineLevel="0" collapsed="false">
      <c r="A3972" s="31"/>
      <c r="B3972" s="32"/>
      <c r="C3972" s="32"/>
      <c r="D3972" s="32"/>
      <c r="E3972" s="32"/>
      <c r="F3972" s="32"/>
      <c r="G3972" s="33"/>
      <c r="H3972" s="33"/>
      <c r="I3972" s="34" t="str">
        <f aca="false">IF($A3972="","",$G3972-$H3972)</f>
        <v/>
      </c>
      <c r="J3972" s="35" t="str">
        <f aca="false">IF($A3972="","",IF(Setup!$B$6=1,YEAR($A3972),YEAR($A3972)+IF(MONTH($A3972)&gt;=Setup!$B$6,1,0)))</f>
        <v/>
      </c>
      <c r="K3972" s="35" t="str">
        <f aca="false">IF($A3972="","",MOD(MONTH($A3972)-Setup!$B$6+12,12)+1)</f>
        <v/>
      </c>
      <c r="L3972" s="36" t="str">
        <f aca="false">IF($A3972="","",TEXT($A3972,"MMM-YY"))</f>
        <v/>
      </c>
      <c r="M3972" s="37" t="str">
        <f aca="false">IF($A3972="","",IF($Q3972=0,"UNMAPPED",INDEX(COA_Mapping!$C$7:$C$256,$Q3972)))</f>
        <v/>
      </c>
      <c r="N3972" s="38" t="str">
        <f aca="false">IF($A3972="","",IF($Q3972=0,"",INDEX(COA_Mapping!$E$7:$E$256,$Q3972)))</f>
        <v/>
      </c>
      <c r="O3972" s="38" t="n">
        <f aca="false">IF($A3972="",1,IF($Q3972=0,1,INDEX(COA_Mapping!$F$7:$F$256,$Q3972)))</f>
        <v>1</v>
      </c>
      <c r="P3972" s="34" t="str">
        <f aca="false">IF($A3972="","",$I3972*$O3972)</f>
        <v/>
      </c>
      <c r="Q3972" s="39" t="n">
        <f aca="false">IF($B3972="",0,IFERROR(MATCH($B3972,COA_Mapping!$A$7:$A$256,0),0))</f>
        <v>0</v>
      </c>
      <c r="R3972" s="39" t="n">
        <f aca="false">IF($A3972="",-1,IF($J3972=Setup!$B$7,1,IF($J3972=Setup!$B$9,0,-1)))</f>
        <v>-1</v>
      </c>
      <c r="S3972" s="35" t="n">
        <f aca="false">IF(OR($A3972="",$Q3972=0,$R3972=-1),0,$Q3972*1000+$R3972*100+$K3972)</f>
        <v>0</v>
      </c>
      <c r="T3972" s="37" t="str">
        <f aca="false">IF($A3972="","",IF($B3972="","NO ACCOUNT",IF($Q3972=0,"UNMAPPED",IF($R3972=-1,"OUTSIDE FY RANGE","OK"))))</f>
        <v/>
      </c>
      <c r="U3972" s="40" t="str">
        <f aca="false">IF($A3972="","",$B3972&amp;"|"&amp;TEXT($A3972,"yyyymmdd")&amp;"|"&amp;TEXT($I3972,"0.00"))</f>
        <v/>
      </c>
      <c r="V3972" s="35" t="str">
        <f aca="false">IF($A3972="","",COUNTIF($U$8:$U$5007,$U3972))</f>
        <v/>
      </c>
    </row>
    <row r="3973" customFormat="false" ht="15" hidden="false" customHeight="false" outlineLevel="0" collapsed="false">
      <c r="A3973" s="31"/>
      <c r="B3973" s="32"/>
      <c r="C3973" s="32"/>
      <c r="D3973" s="32"/>
      <c r="E3973" s="32"/>
      <c r="F3973" s="32"/>
      <c r="G3973" s="33"/>
      <c r="H3973" s="33"/>
      <c r="I3973" s="34" t="str">
        <f aca="false">IF($A3973="","",$G3973-$H3973)</f>
        <v/>
      </c>
      <c r="J3973" s="35" t="str">
        <f aca="false">IF($A3973="","",IF(Setup!$B$6=1,YEAR($A3973),YEAR($A3973)+IF(MONTH($A3973)&gt;=Setup!$B$6,1,0)))</f>
        <v/>
      </c>
      <c r="K3973" s="35" t="str">
        <f aca="false">IF($A3973="","",MOD(MONTH($A3973)-Setup!$B$6+12,12)+1)</f>
        <v/>
      </c>
      <c r="L3973" s="36" t="str">
        <f aca="false">IF($A3973="","",TEXT($A3973,"MMM-YY"))</f>
        <v/>
      </c>
      <c r="M3973" s="37" t="str">
        <f aca="false">IF($A3973="","",IF($Q3973=0,"UNMAPPED",INDEX(COA_Mapping!$C$7:$C$256,$Q3973)))</f>
        <v/>
      </c>
      <c r="N3973" s="38" t="str">
        <f aca="false">IF($A3973="","",IF($Q3973=0,"",INDEX(COA_Mapping!$E$7:$E$256,$Q3973)))</f>
        <v/>
      </c>
      <c r="O3973" s="38" t="n">
        <f aca="false">IF($A3973="",1,IF($Q3973=0,1,INDEX(COA_Mapping!$F$7:$F$256,$Q3973)))</f>
        <v>1</v>
      </c>
      <c r="P3973" s="34" t="str">
        <f aca="false">IF($A3973="","",$I3973*$O3973)</f>
        <v/>
      </c>
      <c r="Q3973" s="39" t="n">
        <f aca="false">IF($B3973="",0,IFERROR(MATCH($B3973,COA_Mapping!$A$7:$A$256,0),0))</f>
        <v>0</v>
      </c>
      <c r="R3973" s="39" t="n">
        <f aca="false">IF($A3973="",-1,IF($J3973=Setup!$B$7,1,IF($J3973=Setup!$B$9,0,-1)))</f>
        <v>-1</v>
      </c>
      <c r="S3973" s="35" t="n">
        <f aca="false">IF(OR($A3973="",$Q3973=0,$R3973=-1),0,$Q3973*1000+$R3973*100+$K3973)</f>
        <v>0</v>
      </c>
      <c r="T3973" s="37" t="str">
        <f aca="false">IF($A3973="","",IF($B3973="","NO ACCOUNT",IF($Q3973=0,"UNMAPPED",IF($R3973=-1,"OUTSIDE FY RANGE","OK"))))</f>
        <v/>
      </c>
      <c r="U3973" s="40" t="str">
        <f aca="false">IF($A3973="","",$B3973&amp;"|"&amp;TEXT($A3973,"yyyymmdd")&amp;"|"&amp;TEXT($I3973,"0.00"))</f>
        <v/>
      </c>
      <c r="V3973" s="35" t="str">
        <f aca="false">IF($A3973="","",COUNTIF($U$8:$U$5007,$U3973))</f>
        <v/>
      </c>
    </row>
    <row r="3974" customFormat="false" ht="15" hidden="false" customHeight="false" outlineLevel="0" collapsed="false">
      <c r="A3974" s="31"/>
      <c r="B3974" s="32"/>
      <c r="C3974" s="32"/>
      <c r="D3974" s="32"/>
      <c r="E3974" s="32"/>
      <c r="F3974" s="32"/>
      <c r="G3974" s="33"/>
      <c r="H3974" s="33"/>
      <c r="I3974" s="34" t="str">
        <f aca="false">IF($A3974="","",$G3974-$H3974)</f>
        <v/>
      </c>
      <c r="J3974" s="35" t="str">
        <f aca="false">IF($A3974="","",IF(Setup!$B$6=1,YEAR($A3974),YEAR($A3974)+IF(MONTH($A3974)&gt;=Setup!$B$6,1,0)))</f>
        <v/>
      </c>
      <c r="K3974" s="35" t="str">
        <f aca="false">IF($A3974="","",MOD(MONTH($A3974)-Setup!$B$6+12,12)+1)</f>
        <v/>
      </c>
      <c r="L3974" s="36" t="str">
        <f aca="false">IF($A3974="","",TEXT($A3974,"MMM-YY"))</f>
        <v/>
      </c>
      <c r="M3974" s="37" t="str">
        <f aca="false">IF($A3974="","",IF($Q3974=0,"UNMAPPED",INDEX(COA_Mapping!$C$7:$C$256,$Q3974)))</f>
        <v/>
      </c>
      <c r="N3974" s="38" t="str">
        <f aca="false">IF($A3974="","",IF($Q3974=0,"",INDEX(COA_Mapping!$E$7:$E$256,$Q3974)))</f>
        <v/>
      </c>
      <c r="O3974" s="38" t="n">
        <f aca="false">IF($A3974="",1,IF($Q3974=0,1,INDEX(COA_Mapping!$F$7:$F$256,$Q3974)))</f>
        <v>1</v>
      </c>
      <c r="P3974" s="34" t="str">
        <f aca="false">IF($A3974="","",$I3974*$O3974)</f>
        <v/>
      </c>
      <c r="Q3974" s="39" t="n">
        <f aca="false">IF($B3974="",0,IFERROR(MATCH($B3974,COA_Mapping!$A$7:$A$256,0),0))</f>
        <v>0</v>
      </c>
      <c r="R3974" s="39" t="n">
        <f aca="false">IF($A3974="",-1,IF($J3974=Setup!$B$7,1,IF($J3974=Setup!$B$9,0,-1)))</f>
        <v>-1</v>
      </c>
      <c r="S3974" s="35" t="n">
        <f aca="false">IF(OR($A3974="",$Q3974=0,$R3974=-1),0,$Q3974*1000+$R3974*100+$K3974)</f>
        <v>0</v>
      </c>
      <c r="T3974" s="37" t="str">
        <f aca="false">IF($A3974="","",IF($B3974="","NO ACCOUNT",IF($Q3974=0,"UNMAPPED",IF($R3974=-1,"OUTSIDE FY RANGE","OK"))))</f>
        <v/>
      </c>
      <c r="U3974" s="40" t="str">
        <f aca="false">IF($A3974="","",$B3974&amp;"|"&amp;TEXT($A3974,"yyyymmdd")&amp;"|"&amp;TEXT($I3974,"0.00"))</f>
        <v/>
      </c>
      <c r="V3974" s="35" t="str">
        <f aca="false">IF($A3974="","",COUNTIF($U$8:$U$5007,$U3974))</f>
        <v/>
      </c>
    </row>
    <row r="3975" customFormat="false" ht="15" hidden="false" customHeight="false" outlineLevel="0" collapsed="false">
      <c r="A3975" s="31"/>
      <c r="B3975" s="32"/>
      <c r="C3975" s="32"/>
      <c r="D3975" s="32"/>
      <c r="E3975" s="32"/>
      <c r="F3975" s="32"/>
      <c r="G3975" s="33"/>
      <c r="H3975" s="33"/>
      <c r="I3975" s="34" t="str">
        <f aca="false">IF($A3975="","",$G3975-$H3975)</f>
        <v/>
      </c>
      <c r="J3975" s="35" t="str">
        <f aca="false">IF($A3975="","",IF(Setup!$B$6=1,YEAR($A3975),YEAR($A3975)+IF(MONTH($A3975)&gt;=Setup!$B$6,1,0)))</f>
        <v/>
      </c>
      <c r="K3975" s="35" t="str">
        <f aca="false">IF($A3975="","",MOD(MONTH($A3975)-Setup!$B$6+12,12)+1)</f>
        <v/>
      </c>
      <c r="L3975" s="36" t="str">
        <f aca="false">IF($A3975="","",TEXT($A3975,"MMM-YY"))</f>
        <v/>
      </c>
      <c r="M3975" s="37" t="str">
        <f aca="false">IF($A3975="","",IF($Q3975=0,"UNMAPPED",INDEX(COA_Mapping!$C$7:$C$256,$Q3975)))</f>
        <v/>
      </c>
      <c r="N3975" s="38" t="str">
        <f aca="false">IF($A3975="","",IF($Q3975=0,"",INDEX(COA_Mapping!$E$7:$E$256,$Q3975)))</f>
        <v/>
      </c>
      <c r="O3975" s="38" t="n">
        <f aca="false">IF($A3975="",1,IF($Q3975=0,1,INDEX(COA_Mapping!$F$7:$F$256,$Q3975)))</f>
        <v>1</v>
      </c>
      <c r="P3975" s="34" t="str">
        <f aca="false">IF($A3975="","",$I3975*$O3975)</f>
        <v/>
      </c>
      <c r="Q3975" s="39" t="n">
        <f aca="false">IF($B3975="",0,IFERROR(MATCH($B3975,COA_Mapping!$A$7:$A$256,0),0))</f>
        <v>0</v>
      </c>
      <c r="R3975" s="39" t="n">
        <f aca="false">IF($A3975="",-1,IF($J3975=Setup!$B$7,1,IF($J3975=Setup!$B$9,0,-1)))</f>
        <v>-1</v>
      </c>
      <c r="S3975" s="35" t="n">
        <f aca="false">IF(OR($A3975="",$Q3975=0,$R3975=-1),0,$Q3975*1000+$R3975*100+$K3975)</f>
        <v>0</v>
      </c>
      <c r="T3975" s="37" t="str">
        <f aca="false">IF($A3975="","",IF($B3975="","NO ACCOUNT",IF($Q3975=0,"UNMAPPED",IF($R3975=-1,"OUTSIDE FY RANGE","OK"))))</f>
        <v/>
      </c>
      <c r="U3975" s="40" t="str">
        <f aca="false">IF($A3975="","",$B3975&amp;"|"&amp;TEXT($A3975,"yyyymmdd")&amp;"|"&amp;TEXT($I3975,"0.00"))</f>
        <v/>
      </c>
      <c r="V3975" s="35" t="str">
        <f aca="false">IF($A3975="","",COUNTIF($U$8:$U$5007,$U3975))</f>
        <v/>
      </c>
    </row>
    <row r="3976" customFormat="false" ht="15" hidden="false" customHeight="false" outlineLevel="0" collapsed="false">
      <c r="A3976" s="31"/>
      <c r="B3976" s="32"/>
      <c r="C3976" s="32"/>
      <c r="D3976" s="32"/>
      <c r="E3976" s="32"/>
      <c r="F3976" s="32"/>
      <c r="G3976" s="33"/>
      <c r="H3976" s="33"/>
      <c r="I3976" s="34" t="str">
        <f aca="false">IF($A3976="","",$G3976-$H3976)</f>
        <v/>
      </c>
      <c r="J3976" s="35" t="str">
        <f aca="false">IF($A3976="","",IF(Setup!$B$6=1,YEAR($A3976),YEAR($A3976)+IF(MONTH($A3976)&gt;=Setup!$B$6,1,0)))</f>
        <v/>
      </c>
      <c r="K3976" s="35" t="str">
        <f aca="false">IF($A3976="","",MOD(MONTH($A3976)-Setup!$B$6+12,12)+1)</f>
        <v/>
      </c>
      <c r="L3976" s="36" t="str">
        <f aca="false">IF($A3976="","",TEXT($A3976,"MMM-YY"))</f>
        <v/>
      </c>
      <c r="M3976" s="37" t="str">
        <f aca="false">IF($A3976="","",IF($Q3976=0,"UNMAPPED",INDEX(COA_Mapping!$C$7:$C$256,$Q3976)))</f>
        <v/>
      </c>
      <c r="N3976" s="38" t="str">
        <f aca="false">IF($A3976="","",IF($Q3976=0,"",INDEX(COA_Mapping!$E$7:$E$256,$Q3976)))</f>
        <v/>
      </c>
      <c r="O3976" s="38" t="n">
        <f aca="false">IF($A3976="",1,IF($Q3976=0,1,INDEX(COA_Mapping!$F$7:$F$256,$Q3976)))</f>
        <v>1</v>
      </c>
      <c r="P3976" s="34" t="str">
        <f aca="false">IF($A3976="","",$I3976*$O3976)</f>
        <v/>
      </c>
      <c r="Q3976" s="39" t="n">
        <f aca="false">IF($B3976="",0,IFERROR(MATCH($B3976,COA_Mapping!$A$7:$A$256,0),0))</f>
        <v>0</v>
      </c>
      <c r="R3976" s="39" t="n">
        <f aca="false">IF($A3976="",-1,IF($J3976=Setup!$B$7,1,IF($J3976=Setup!$B$9,0,-1)))</f>
        <v>-1</v>
      </c>
      <c r="S3976" s="35" t="n">
        <f aca="false">IF(OR($A3976="",$Q3976=0,$R3976=-1),0,$Q3976*1000+$R3976*100+$K3976)</f>
        <v>0</v>
      </c>
      <c r="T3976" s="37" t="str">
        <f aca="false">IF($A3976="","",IF($B3976="","NO ACCOUNT",IF($Q3976=0,"UNMAPPED",IF($R3976=-1,"OUTSIDE FY RANGE","OK"))))</f>
        <v/>
      </c>
      <c r="U3976" s="40" t="str">
        <f aca="false">IF($A3976="","",$B3976&amp;"|"&amp;TEXT($A3976,"yyyymmdd")&amp;"|"&amp;TEXT($I3976,"0.00"))</f>
        <v/>
      </c>
      <c r="V3976" s="35" t="str">
        <f aca="false">IF($A3976="","",COUNTIF($U$8:$U$5007,$U3976))</f>
        <v/>
      </c>
    </row>
    <row r="3977" customFormat="false" ht="15" hidden="false" customHeight="false" outlineLevel="0" collapsed="false">
      <c r="A3977" s="31"/>
      <c r="B3977" s="32"/>
      <c r="C3977" s="32"/>
      <c r="D3977" s="32"/>
      <c r="E3977" s="32"/>
      <c r="F3977" s="32"/>
      <c r="G3977" s="33"/>
      <c r="H3977" s="33"/>
      <c r="I3977" s="34" t="str">
        <f aca="false">IF($A3977="","",$G3977-$H3977)</f>
        <v/>
      </c>
      <c r="J3977" s="35" t="str">
        <f aca="false">IF($A3977="","",IF(Setup!$B$6=1,YEAR($A3977),YEAR($A3977)+IF(MONTH($A3977)&gt;=Setup!$B$6,1,0)))</f>
        <v/>
      </c>
      <c r="K3977" s="35" t="str">
        <f aca="false">IF($A3977="","",MOD(MONTH($A3977)-Setup!$B$6+12,12)+1)</f>
        <v/>
      </c>
      <c r="L3977" s="36" t="str">
        <f aca="false">IF($A3977="","",TEXT($A3977,"MMM-YY"))</f>
        <v/>
      </c>
      <c r="M3977" s="37" t="str">
        <f aca="false">IF($A3977="","",IF($Q3977=0,"UNMAPPED",INDEX(COA_Mapping!$C$7:$C$256,$Q3977)))</f>
        <v/>
      </c>
      <c r="N3977" s="38" t="str">
        <f aca="false">IF($A3977="","",IF($Q3977=0,"",INDEX(COA_Mapping!$E$7:$E$256,$Q3977)))</f>
        <v/>
      </c>
      <c r="O3977" s="38" t="n">
        <f aca="false">IF($A3977="",1,IF($Q3977=0,1,INDEX(COA_Mapping!$F$7:$F$256,$Q3977)))</f>
        <v>1</v>
      </c>
      <c r="P3977" s="34" t="str">
        <f aca="false">IF($A3977="","",$I3977*$O3977)</f>
        <v/>
      </c>
      <c r="Q3977" s="39" t="n">
        <f aca="false">IF($B3977="",0,IFERROR(MATCH($B3977,COA_Mapping!$A$7:$A$256,0),0))</f>
        <v>0</v>
      </c>
      <c r="R3977" s="39" t="n">
        <f aca="false">IF($A3977="",-1,IF($J3977=Setup!$B$7,1,IF($J3977=Setup!$B$9,0,-1)))</f>
        <v>-1</v>
      </c>
      <c r="S3977" s="35" t="n">
        <f aca="false">IF(OR($A3977="",$Q3977=0,$R3977=-1),0,$Q3977*1000+$R3977*100+$K3977)</f>
        <v>0</v>
      </c>
      <c r="T3977" s="37" t="str">
        <f aca="false">IF($A3977="","",IF($B3977="","NO ACCOUNT",IF($Q3977=0,"UNMAPPED",IF($R3977=-1,"OUTSIDE FY RANGE","OK"))))</f>
        <v/>
      </c>
      <c r="U3977" s="40" t="str">
        <f aca="false">IF($A3977="","",$B3977&amp;"|"&amp;TEXT($A3977,"yyyymmdd")&amp;"|"&amp;TEXT($I3977,"0.00"))</f>
        <v/>
      </c>
      <c r="V3977" s="35" t="str">
        <f aca="false">IF($A3977="","",COUNTIF($U$8:$U$5007,$U3977))</f>
        <v/>
      </c>
    </row>
    <row r="3978" customFormat="false" ht="15" hidden="false" customHeight="false" outlineLevel="0" collapsed="false">
      <c r="A3978" s="31"/>
      <c r="B3978" s="32"/>
      <c r="C3978" s="32"/>
      <c r="D3978" s="32"/>
      <c r="E3978" s="32"/>
      <c r="F3978" s="32"/>
      <c r="G3978" s="33"/>
      <c r="H3978" s="33"/>
      <c r="I3978" s="34" t="str">
        <f aca="false">IF($A3978="","",$G3978-$H3978)</f>
        <v/>
      </c>
      <c r="J3978" s="35" t="str">
        <f aca="false">IF($A3978="","",IF(Setup!$B$6=1,YEAR($A3978),YEAR($A3978)+IF(MONTH($A3978)&gt;=Setup!$B$6,1,0)))</f>
        <v/>
      </c>
      <c r="K3978" s="35" t="str">
        <f aca="false">IF($A3978="","",MOD(MONTH($A3978)-Setup!$B$6+12,12)+1)</f>
        <v/>
      </c>
      <c r="L3978" s="36" t="str">
        <f aca="false">IF($A3978="","",TEXT($A3978,"MMM-YY"))</f>
        <v/>
      </c>
      <c r="M3978" s="37" t="str">
        <f aca="false">IF($A3978="","",IF($Q3978=0,"UNMAPPED",INDEX(COA_Mapping!$C$7:$C$256,$Q3978)))</f>
        <v/>
      </c>
      <c r="N3978" s="38" t="str">
        <f aca="false">IF($A3978="","",IF($Q3978=0,"",INDEX(COA_Mapping!$E$7:$E$256,$Q3978)))</f>
        <v/>
      </c>
      <c r="O3978" s="38" t="n">
        <f aca="false">IF($A3978="",1,IF($Q3978=0,1,INDEX(COA_Mapping!$F$7:$F$256,$Q3978)))</f>
        <v>1</v>
      </c>
      <c r="P3978" s="34" t="str">
        <f aca="false">IF($A3978="","",$I3978*$O3978)</f>
        <v/>
      </c>
      <c r="Q3978" s="39" t="n">
        <f aca="false">IF($B3978="",0,IFERROR(MATCH($B3978,COA_Mapping!$A$7:$A$256,0),0))</f>
        <v>0</v>
      </c>
      <c r="R3978" s="39" t="n">
        <f aca="false">IF($A3978="",-1,IF($J3978=Setup!$B$7,1,IF($J3978=Setup!$B$9,0,-1)))</f>
        <v>-1</v>
      </c>
      <c r="S3978" s="35" t="n">
        <f aca="false">IF(OR($A3978="",$Q3978=0,$R3978=-1),0,$Q3978*1000+$R3978*100+$K3978)</f>
        <v>0</v>
      </c>
      <c r="T3978" s="37" t="str">
        <f aca="false">IF($A3978="","",IF($B3978="","NO ACCOUNT",IF($Q3978=0,"UNMAPPED",IF($R3978=-1,"OUTSIDE FY RANGE","OK"))))</f>
        <v/>
      </c>
      <c r="U3978" s="40" t="str">
        <f aca="false">IF($A3978="","",$B3978&amp;"|"&amp;TEXT($A3978,"yyyymmdd")&amp;"|"&amp;TEXT($I3978,"0.00"))</f>
        <v/>
      </c>
      <c r="V3978" s="35" t="str">
        <f aca="false">IF($A3978="","",COUNTIF($U$8:$U$5007,$U3978))</f>
        <v/>
      </c>
    </row>
    <row r="3979" customFormat="false" ht="15" hidden="false" customHeight="false" outlineLevel="0" collapsed="false">
      <c r="A3979" s="31"/>
      <c r="B3979" s="32"/>
      <c r="C3979" s="32"/>
      <c r="D3979" s="32"/>
      <c r="E3979" s="32"/>
      <c r="F3979" s="32"/>
      <c r="G3979" s="33"/>
      <c r="H3979" s="33"/>
      <c r="I3979" s="34" t="str">
        <f aca="false">IF($A3979="","",$G3979-$H3979)</f>
        <v/>
      </c>
      <c r="J3979" s="35" t="str">
        <f aca="false">IF($A3979="","",IF(Setup!$B$6=1,YEAR($A3979),YEAR($A3979)+IF(MONTH($A3979)&gt;=Setup!$B$6,1,0)))</f>
        <v/>
      </c>
      <c r="K3979" s="35" t="str">
        <f aca="false">IF($A3979="","",MOD(MONTH($A3979)-Setup!$B$6+12,12)+1)</f>
        <v/>
      </c>
      <c r="L3979" s="36" t="str">
        <f aca="false">IF($A3979="","",TEXT($A3979,"MMM-YY"))</f>
        <v/>
      </c>
      <c r="M3979" s="37" t="str">
        <f aca="false">IF($A3979="","",IF($Q3979=0,"UNMAPPED",INDEX(COA_Mapping!$C$7:$C$256,$Q3979)))</f>
        <v/>
      </c>
      <c r="N3979" s="38" t="str">
        <f aca="false">IF($A3979="","",IF($Q3979=0,"",INDEX(COA_Mapping!$E$7:$E$256,$Q3979)))</f>
        <v/>
      </c>
      <c r="O3979" s="38" t="n">
        <f aca="false">IF($A3979="",1,IF($Q3979=0,1,INDEX(COA_Mapping!$F$7:$F$256,$Q3979)))</f>
        <v>1</v>
      </c>
      <c r="P3979" s="34" t="str">
        <f aca="false">IF($A3979="","",$I3979*$O3979)</f>
        <v/>
      </c>
      <c r="Q3979" s="39" t="n">
        <f aca="false">IF($B3979="",0,IFERROR(MATCH($B3979,COA_Mapping!$A$7:$A$256,0),0))</f>
        <v>0</v>
      </c>
      <c r="R3979" s="39" t="n">
        <f aca="false">IF($A3979="",-1,IF($J3979=Setup!$B$7,1,IF($J3979=Setup!$B$9,0,-1)))</f>
        <v>-1</v>
      </c>
      <c r="S3979" s="35" t="n">
        <f aca="false">IF(OR($A3979="",$Q3979=0,$R3979=-1),0,$Q3979*1000+$R3979*100+$K3979)</f>
        <v>0</v>
      </c>
      <c r="T3979" s="37" t="str">
        <f aca="false">IF($A3979="","",IF($B3979="","NO ACCOUNT",IF($Q3979=0,"UNMAPPED",IF($R3979=-1,"OUTSIDE FY RANGE","OK"))))</f>
        <v/>
      </c>
      <c r="U3979" s="40" t="str">
        <f aca="false">IF($A3979="","",$B3979&amp;"|"&amp;TEXT($A3979,"yyyymmdd")&amp;"|"&amp;TEXT($I3979,"0.00"))</f>
        <v/>
      </c>
      <c r="V3979" s="35" t="str">
        <f aca="false">IF($A3979="","",COUNTIF($U$8:$U$5007,$U3979))</f>
        <v/>
      </c>
    </row>
    <row r="3980" customFormat="false" ht="15" hidden="false" customHeight="false" outlineLevel="0" collapsed="false">
      <c r="A3980" s="31"/>
      <c r="B3980" s="32"/>
      <c r="C3980" s="32"/>
      <c r="D3980" s="32"/>
      <c r="E3980" s="32"/>
      <c r="F3980" s="32"/>
      <c r="G3980" s="33"/>
      <c r="H3980" s="33"/>
      <c r="I3980" s="34" t="str">
        <f aca="false">IF($A3980="","",$G3980-$H3980)</f>
        <v/>
      </c>
      <c r="J3980" s="35" t="str">
        <f aca="false">IF($A3980="","",IF(Setup!$B$6=1,YEAR($A3980),YEAR($A3980)+IF(MONTH($A3980)&gt;=Setup!$B$6,1,0)))</f>
        <v/>
      </c>
      <c r="K3980" s="35" t="str">
        <f aca="false">IF($A3980="","",MOD(MONTH($A3980)-Setup!$B$6+12,12)+1)</f>
        <v/>
      </c>
      <c r="L3980" s="36" t="str">
        <f aca="false">IF($A3980="","",TEXT($A3980,"MMM-YY"))</f>
        <v/>
      </c>
      <c r="M3980" s="37" t="str">
        <f aca="false">IF($A3980="","",IF($Q3980=0,"UNMAPPED",INDEX(COA_Mapping!$C$7:$C$256,$Q3980)))</f>
        <v/>
      </c>
      <c r="N3980" s="38" t="str">
        <f aca="false">IF($A3980="","",IF($Q3980=0,"",INDEX(COA_Mapping!$E$7:$E$256,$Q3980)))</f>
        <v/>
      </c>
      <c r="O3980" s="38" t="n">
        <f aca="false">IF($A3980="",1,IF($Q3980=0,1,INDEX(COA_Mapping!$F$7:$F$256,$Q3980)))</f>
        <v>1</v>
      </c>
      <c r="P3980" s="34" t="str">
        <f aca="false">IF($A3980="","",$I3980*$O3980)</f>
        <v/>
      </c>
      <c r="Q3980" s="39" t="n">
        <f aca="false">IF($B3980="",0,IFERROR(MATCH($B3980,COA_Mapping!$A$7:$A$256,0),0))</f>
        <v>0</v>
      </c>
      <c r="R3980" s="39" t="n">
        <f aca="false">IF($A3980="",-1,IF($J3980=Setup!$B$7,1,IF($J3980=Setup!$B$9,0,-1)))</f>
        <v>-1</v>
      </c>
      <c r="S3980" s="35" t="n">
        <f aca="false">IF(OR($A3980="",$Q3980=0,$R3980=-1),0,$Q3980*1000+$R3980*100+$K3980)</f>
        <v>0</v>
      </c>
      <c r="T3980" s="37" t="str">
        <f aca="false">IF($A3980="","",IF($B3980="","NO ACCOUNT",IF($Q3980=0,"UNMAPPED",IF($R3980=-1,"OUTSIDE FY RANGE","OK"))))</f>
        <v/>
      </c>
      <c r="U3980" s="40" t="str">
        <f aca="false">IF($A3980="","",$B3980&amp;"|"&amp;TEXT($A3980,"yyyymmdd")&amp;"|"&amp;TEXT($I3980,"0.00"))</f>
        <v/>
      </c>
      <c r="V3980" s="35" t="str">
        <f aca="false">IF($A3980="","",COUNTIF($U$8:$U$5007,$U3980))</f>
        <v/>
      </c>
    </row>
    <row r="3981" customFormat="false" ht="15" hidden="false" customHeight="false" outlineLevel="0" collapsed="false">
      <c r="A3981" s="31"/>
      <c r="B3981" s="32"/>
      <c r="C3981" s="32"/>
      <c r="D3981" s="32"/>
      <c r="E3981" s="32"/>
      <c r="F3981" s="32"/>
      <c r="G3981" s="33"/>
      <c r="H3981" s="33"/>
      <c r="I3981" s="34" t="str">
        <f aca="false">IF($A3981="","",$G3981-$H3981)</f>
        <v/>
      </c>
      <c r="J3981" s="35" t="str">
        <f aca="false">IF($A3981="","",IF(Setup!$B$6=1,YEAR($A3981),YEAR($A3981)+IF(MONTH($A3981)&gt;=Setup!$B$6,1,0)))</f>
        <v/>
      </c>
      <c r="K3981" s="35" t="str">
        <f aca="false">IF($A3981="","",MOD(MONTH($A3981)-Setup!$B$6+12,12)+1)</f>
        <v/>
      </c>
      <c r="L3981" s="36" t="str">
        <f aca="false">IF($A3981="","",TEXT($A3981,"MMM-YY"))</f>
        <v/>
      </c>
      <c r="M3981" s="37" t="str">
        <f aca="false">IF($A3981="","",IF($Q3981=0,"UNMAPPED",INDEX(COA_Mapping!$C$7:$C$256,$Q3981)))</f>
        <v/>
      </c>
      <c r="N3981" s="38" t="str">
        <f aca="false">IF($A3981="","",IF($Q3981=0,"",INDEX(COA_Mapping!$E$7:$E$256,$Q3981)))</f>
        <v/>
      </c>
      <c r="O3981" s="38" t="n">
        <f aca="false">IF($A3981="",1,IF($Q3981=0,1,INDEX(COA_Mapping!$F$7:$F$256,$Q3981)))</f>
        <v>1</v>
      </c>
      <c r="P3981" s="34" t="str">
        <f aca="false">IF($A3981="","",$I3981*$O3981)</f>
        <v/>
      </c>
      <c r="Q3981" s="39" t="n">
        <f aca="false">IF($B3981="",0,IFERROR(MATCH($B3981,COA_Mapping!$A$7:$A$256,0),0))</f>
        <v>0</v>
      </c>
      <c r="R3981" s="39" t="n">
        <f aca="false">IF($A3981="",-1,IF($J3981=Setup!$B$7,1,IF($J3981=Setup!$B$9,0,-1)))</f>
        <v>-1</v>
      </c>
      <c r="S3981" s="35" t="n">
        <f aca="false">IF(OR($A3981="",$Q3981=0,$R3981=-1),0,$Q3981*1000+$R3981*100+$K3981)</f>
        <v>0</v>
      </c>
      <c r="T3981" s="37" t="str">
        <f aca="false">IF($A3981="","",IF($B3981="","NO ACCOUNT",IF($Q3981=0,"UNMAPPED",IF($R3981=-1,"OUTSIDE FY RANGE","OK"))))</f>
        <v/>
      </c>
      <c r="U3981" s="40" t="str">
        <f aca="false">IF($A3981="","",$B3981&amp;"|"&amp;TEXT($A3981,"yyyymmdd")&amp;"|"&amp;TEXT($I3981,"0.00"))</f>
        <v/>
      </c>
      <c r="V3981" s="35" t="str">
        <f aca="false">IF($A3981="","",COUNTIF($U$8:$U$5007,$U3981))</f>
        <v/>
      </c>
    </row>
    <row r="3982" customFormat="false" ht="15" hidden="false" customHeight="false" outlineLevel="0" collapsed="false">
      <c r="A3982" s="31"/>
      <c r="B3982" s="32"/>
      <c r="C3982" s="32"/>
      <c r="D3982" s="32"/>
      <c r="E3982" s="32"/>
      <c r="F3982" s="32"/>
      <c r="G3982" s="33"/>
      <c r="H3982" s="33"/>
      <c r="I3982" s="34" t="str">
        <f aca="false">IF($A3982="","",$G3982-$H3982)</f>
        <v/>
      </c>
      <c r="J3982" s="35" t="str">
        <f aca="false">IF($A3982="","",IF(Setup!$B$6=1,YEAR($A3982),YEAR($A3982)+IF(MONTH($A3982)&gt;=Setup!$B$6,1,0)))</f>
        <v/>
      </c>
      <c r="K3982" s="35" t="str">
        <f aca="false">IF($A3982="","",MOD(MONTH($A3982)-Setup!$B$6+12,12)+1)</f>
        <v/>
      </c>
      <c r="L3982" s="36" t="str">
        <f aca="false">IF($A3982="","",TEXT($A3982,"MMM-YY"))</f>
        <v/>
      </c>
      <c r="M3982" s="37" t="str">
        <f aca="false">IF($A3982="","",IF($Q3982=0,"UNMAPPED",INDEX(COA_Mapping!$C$7:$C$256,$Q3982)))</f>
        <v/>
      </c>
      <c r="N3982" s="38" t="str">
        <f aca="false">IF($A3982="","",IF($Q3982=0,"",INDEX(COA_Mapping!$E$7:$E$256,$Q3982)))</f>
        <v/>
      </c>
      <c r="O3982" s="38" t="n">
        <f aca="false">IF($A3982="",1,IF($Q3982=0,1,INDEX(COA_Mapping!$F$7:$F$256,$Q3982)))</f>
        <v>1</v>
      </c>
      <c r="P3982" s="34" t="str">
        <f aca="false">IF($A3982="","",$I3982*$O3982)</f>
        <v/>
      </c>
      <c r="Q3982" s="39" t="n">
        <f aca="false">IF($B3982="",0,IFERROR(MATCH($B3982,COA_Mapping!$A$7:$A$256,0),0))</f>
        <v>0</v>
      </c>
      <c r="R3982" s="39" t="n">
        <f aca="false">IF($A3982="",-1,IF($J3982=Setup!$B$7,1,IF($J3982=Setup!$B$9,0,-1)))</f>
        <v>-1</v>
      </c>
      <c r="S3982" s="35" t="n">
        <f aca="false">IF(OR($A3982="",$Q3982=0,$R3982=-1),0,$Q3982*1000+$R3982*100+$K3982)</f>
        <v>0</v>
      </c>
      <c r="T3982" s="37" t="str">
        <f aca="false">IF($A3982="","",IF($B3982="","NO ACCOUNT",IF($Q3982=0,"UNMAPPED",IF($R3982=-1,"OUTSIDE FY RANGE","OK"))))</f>
        <v/>
      </c>
      <c r="U3982" s="40" t="str">
        <f aca="false">IF($A3982="","",$B3982&amp;"|"&amp;TEXT($A3982,"yyyymmdd")&amp;"|"&amp;TEXT($I3982,"0.00"))</f>
        <v/>
      </c>
      <c r="V3982" s="35" t="str">
        <f aca="false">IF($A3982="","",COUNTIF($U$8:$U$5007,$U3982))</f>
        <v/>
      </c>
    </row>
    <row r="3983" customFormat="false" ht="15" hidden="false" customHeight="false" outlineLevel="0" collapsed="false">
      <c r="A3983" s="31"/>
      <c r="B3983" s="32"/>
      <c r="C3983" s="32"/>
      <c r="D3983" s="32"/>
      <c r="E3983" s="32"/>
      <c r="F3983" s="32"/>
      <c r="G3983" s="33"/>
      <c r="H3983" s="33"/>
      <c r="I3983" s="34" t="str">
        <f aca="false">IF($A3983="","",$G3983-$H3983)</f>
        <v/>
      </c>
      <c r="J3983" s="35" t="str">
        <f aca="false">IF($A3983="","",IF(Setup!$B$6=1,YEAR($A3983),YEAR($A3983)+IF(MONTH($A3983)&gt;=Setup!$B$6,1,0)))</f>
        <v/>
      </c>
      <c r="K3983" s="35" t="str">
        <f aca="false">IF($A3983="","",MOD(MONTH($A3983)-Setup!$B$6+12,12)+1)</f>
        <v/>
      </c>
      <c r="L3983" s="36" t="str">
        <f aca="false">IF($A3983="","",TEXT($A3983,"MMM-YY"))</f>
        <v/>
      </c>
      <c r="M3983" s="37" t="str">
        <f aca="false">IF($A3983="","",IF($Q3983=0,"UNMAPPED",INDEX(COA_Mapping!$C$7:$C$256,$Q3983)))</f>
        <v/>
      </c>
      <c r="N3983" s="38" t="str">
        <f aca="false">IF($A3983="","",IF($Q3983=0,"",INDEX(COA_Mapping!$E$7:$E$256,$Q3983)))</f>
        <v/>
      </c>
      <c r="O3983" s="38" t="n">
        <f aca="false">IF($A3983="",1,IF($Q3983=0,1,INDEX(COA_Mapping!$F$7:$F$256,$Q3983)))</f>
        <v>1</v>
      </c>
      <c r="P3983" s="34" t="str">
        <f aca="false">IF($A3983="","",$I3983*$O3983)</f>
        <v/>
      </c>
      <c r="Q3983" s="39" t="n">
        <f aca="false">IF($B3983="",0,IFERROR(MATCH($B3983,COA_Mapping!$A$7:$A$256,0),0))</f>
        <v>0</v>
      </c>
      <c r="R3983" s="39" t="n">
        <f aca="false">IF($A3983="",-1,IF($J3983=Setup!$B$7,1,IF($J3983=Setup!$B$9,0,-1)))</f>
        <v>-1</v>
      </c>
      <c r="S3983" s="35" t="n">
        <f aca="false">IF(OR($A3983="",$Q3983=0,$R3983=-1),0,$Q3983*1000+$R3983*100+$K3983)</f>
        <v>0</v>
      </c>
      <c r="T3983" s="37" t="str">
        <f aca="false">IF($A3983="","",IF($B3983="","NO ACCOUNT",IF($Q3983=0,"UNMAPPED",IF($R3983=-1,"OUTSIDE FY RANGE","OK"))))</f>
        <v/>
      </c>
      <c r="U3983" s="40" t="str">
        <f aca="false">IF($A3983="","",$B3983&amp;"|"&amp;TEXT($A3983,"yyyymmdd")&amp;"|"&amp;TEXT($I3983,"0.00"))</f>
        <v/>
      </c>
      <c r="V3983" s="35" t="str">
        <f aca="false">IF($A3983="","",COUNTIF($U$8:$U$5007,$U3983))</f>
        <v/>
      </c>
    </row>
    <row r="3984" customFormat="false" ht="15" hidden="false" customHeight="false" outlineLevel="0" collapsed="false">
      <c r="A3984" s="31"/>
      <c r="B3984" s="32"/>
      <c r="C3984" s="32"/>
      <c r="D3984" s="32"/>
      <c r="E3984" s="32"/>
      <c r="F3984" s="32"/>
      <c r="G3984" s="33"/>
      <c r="H3984" s="33"/>
      <c r="I3984" s="34" t="str">
        <f aca="false">IF($A3984="","",$G3984-$H3984)</f>
        <v/>
      </c>
      <c r="J3984" s="35" t="str">
        <f aca="false">IF($A3984="","",IF(Setup!$B$6=1,YEAR($A3984),YEAR($A3984)+IF(MONTH($A3984)&gt;=Setup!$B$6,1,0)))</f>
        <v/>
      </c>
      <c r="K3984" s="35" t="str">
        <f aca="false">IF($A3984="","",MOD(MONTH($A3984)-Setup!$B$6+12,12)+1)</f>
        <v/>
      </c>
      <c r="L3984" s="36" t="str">
        <f aca="false">IF($A3984="","",TEXT($A3984,"MMM-YY"))</f>
        <v/>
      </c>
      <c r="M3984" s="37" t="str">
        <f aca="false">IF($A3984="","",IF($Q3984=0,"UNMAPPED",INDEX(COA_Mapping!$C$7:$C$256,$Q3984)))</f>
        <v/>
      </c>
      <c r="N3984" s="38" t="str">
        <f aca="false">IF($A3984="","",IF($Q3984=0,"",INDEX(COA_Mapping!$E$7:$E$256,$Q3984)))</f>
        <v/>
      </c>
      <c r="O3984" s="38" t="n">
        <f aca="false">IF($A3984="",1,IF($Q3984=0,1,INDEX(COA_Mapping!$F$7:$F$256,$Q3984)))</f>
        <v>1</v>
      </c>
      <c r="P3984" s="34" t="str">
        <f aca="false">IF($A3984="","",$I3984*$O3984)</f>
        <v/>
      </c>
      <c r="Q3984" s="39" t="n">
        <f aca="false">IF($B3984="",0,IFERROR(MATCH($B3984,COA_Mapping!$A$7:$A$256,0),0))</f>
        <v>0</v>
      </c>
      <c r="R3984" s="39" t="n">
        <f aca="false">IF($A3984="",-1,IF($J3984=Setup!$B$7,1,IF($J3984=Setup!$B$9,0,-1)))</f>
        <v>-1</v>
      </c>
      <c r="S3984" s="35" t="n">
        <f aca="false">IF(OR($A3984="",$Q3984=0,$R3984=-1),0,$Q3984*1000+$R3984*100+$K3984)</f>
        <v>0</v>
      </c>
      <c r="T3984" s="37" t="str">
        <f aca="false">IF($A3984="","",IF($B3984="","NO ACCOUNT",IF($Q3984=0,"UNMAPPED",IF($R3984=-1,"OUTSIDE FY RANGE","OK"))))</f>
        <v/>
      </c>
      <c r="U3984" s="40" t="str">
        <f aca="false">IF($A3984="","",$B3984&amp;"|"&amp;TEXT($A3984,"yyyymmdd")&amp;"|"&amp;TEXT($I3984,"0.00"))</f>
        <v/>
      </c>
      <c r="V3984" s="35" t="str">
        <f aca="false">IF($A3984="","",COUNTIF($U$8:$U$5007,$U3984))</f>
        <v/>
      </c>
    </row>
    <row r="3985" customFormat="false" ht="15" hidden="false" customHeight="false" outlineLevel="0" collapsed="false">
      <c r="A3985" s="31"/>
      <c r="B3985" s="32"/>
      <c r="C3985" s="32"/>
      <c r="D3985" s="32"/>
      <c r="E3985" s="32"/>
      <c r="F3985" s="32"/>
      <c r="G3985" s="33"/>
      <c r="H3985" s="33"/>
      <c r="I3985" s="34" t="str">
        <f aca="false">IF($A3985="","",$G3985-$H3985)</f>
        <v/>
      </c>
      <c r="J3985" s="35" t="str">
        <f aca="false">IF($A3985="","",IF(Setup!$B$6=1,YEAR($A3985),YEAR($A3985)+IF(MONTH($A3985)&gt;=Setup!$B$6,1,0)))</f>
        <v/>
      </c>
      <c r="K3985" s="35" t="str">
        <f aca="false">IF($A3985="","",MOD(MONTH($A3985)-Setup!$B$6+12,12)+1)</f>
        <v/>
      </c>
      <c r="L3985" s="36" t="str">
        <f aca="false">IF($A3985="","",TEXT($A3985,"MMM-YY"))</f>
        <v/>
      </c>
      <c r="M3985" s="37" t="str">
        <f aca="false">IF($A3985="","",IF($Q3985=0,"UNMAPPED",INDEX(COA_Mapping!$C$7:$C$256,$Q3985)))</f>
        <v/>
      </c>
      <c r="N3985" s="38" t="str">
        <f aca="false">IF($A3985="","",IF($Q3985=0,"",INDEX(COA_Mapping!$E$7:$E$256,$Q3985)))</f>
        <v/>
      </c>
      <c r="O3985" s="38" t="n">
        <f aca="false">IF($A3985="",1,IF($Q3985=0,1,INDEX(COA_Mapping!$F$7:$F$256,$Q3985)))</f>
        <v>1</v>
      </c>
      <c r="P3985" s="34" t="str">
        <f aca="false">IF($A3985="","",$I3985*$O3985)</f>
        <v/>
      </c>
      <c r="Q3985" s="39" t="n">
        <f aca="false">IF($B3985="",0,IFERROR(MATCH($B3985,COA_Mapping!$A$7:$A$256,0),0))</f>
        <v>0</v>
      </c>
      <c r="R3985" s="39" t="n">
        <f aca="false">IF($A3985="",-1,IF($J3985=Setup!$B$7,1,IF($J3985=Setup!$B$9,0,-1)))</f>
        <v>-1</v>
      </c>
      <c r="S3985" s="35" t="n">
        <f aca="false">IF(OR($A3985="",$Q3985=0,$R3985=-1),0,$Q3985*1000+$R3985*100+$K3985)</f>
        <v>0</v>
      </c>
      <c r="T3985" s="37" t="str">
        <f aca="false">IF($A3985="","",IF($B3985="","NO ACCOUNT",IF($Q3985=0,"UNMAPPED",IF($R3985=-1,"OUTSIDE FY RANGE","OK"))))</f>
        <v/>
      </c>
      <c r="U3985" s="40" t="str">
        <f aca="false">IF($A3985="","",$B3985&amp;"|"&amp;TEXT($A3985,"yyyymmdd")&amp;"|"&amp;TEXT($I3985,"0.00"))</f>
        <v/>
      </c>
      <c r="V3985" s="35" t="str">
        <f aca="false">IF($A3985="","",COUNTIF($U$8:$U$5007,$U3985))</f>
        <v/>
      </c>
    </row>
    <row r="3986" customFormat="false" ht="15" hidden="false" customHeight="false" outlineLevel="0" collapsed="false">
      <c r="A3986" s="31"/>
      <c r="B3986" s="32"/>
      <c r="C3986" s="32"/>
      <c r="D3986" s="32"/>
      <c r="E3986" s="32"/>
      <c r="F3986" s="32"/>
      <c r="G3986" s="33"/>
      <c r="H3986" s="33"/>
      <c r="I3986" s="34" t="str">
        <f aca="false">IF($A3986="","",$G3986-$H3986)</f>
        <v/>
      </c>
      <c r="J3986" s="35" t="str">
        <f aca="false">IF($A3986="","",IF(Setup!$B$6=1,YEAR($A3986),YEAR($A3986)+IF(MONTH($A3986)&gt;=Setup!$B$6,1,0)))</f>
        <v/>
      </c>
      <c r="K3986" s="35" t="str">
        <f aca="false">IF($A3986="","",MOD(MONTH($A3986)-Setup!$B$6+12,12)+1)</f>
        <v/>
      </c>
      <c r="L3986" s="36" t="str">
        <f aca="false">IF($A3986="","",TEXT($A3986,"MMM-YY"))</f>
        <v/>
      </c>
      <c r="M3986" s="37" t="str">
        <f aca="false">IF($A3986="","",IF($Q3986=0,"UNMAPPED",INDEX(COA_Mapping!$C$7:$C$256,$Q3986)))</f>
        <v/>
      </c>
      <c r="N3986" s="38" t="str">
        <f aca="false">IF($A3986="","",IF($Q3986=0,"",INDEX(COA_Mapping!$E$7:$E$256,$Q3986)))</f>
        <v/>
      </c>
      <c r="O3986" s="38" t="n">
        <f aca="false">IF($A3986="",1,IF($Q3986=0,1,INDEX(COA_Mapping!$F$7:$F$256,$Q3986)))</f>
        <v>1</v>
      </c>
      <c r="P3986" s="34" t="str">
        <f aca="false">IF($A3986="","",$I3986*$O3986)</f>
        <v/>
      </c>
      <c r="Q3986" s="39" t="n">
        <f aca="false">IF($B3986="",0,IFERROR(MATCH($B3986,COA_Mapping!$A$7:$A$256,0),0))</f>
        <v>0</v>
      </c>
      <c r="R3986" s="39" t="n">
        <f aca="false">IF($A3986="",-1,IF($J3986=Setup!$B$7,1,IF($J3986=Setup!$B$9,0,-1)))</f>
        <v>-1</v>
      </c>
      <c r="S3986" s="35" t="n">
        <f aca="false">IF(OR($A3986="",$Q3986=0,$R3986=-1),0,$Q3986*1000+$R3986*100+$K3986)</f>
        <v>0</v>
      </c>
      <c r="T3986" s="37" t="str">
        <f aca="false">IF($A3986="","",IF($B3986="","NO ACCOUNT",IF($Q3986=0,"UNMAPPED",IF($R3986=-1,"OUTSIDE FY RANGE","OK"))))</f>
        <v/>
      </c>
      <c r="U3986" s="40" t="str">
        <f aca="false">IF($A3986="","",$B3986&amp;"|"&amp;TEXT($A3986,"yyyymmdd")&amp;"|"&amp;TEXT($I3986,"0.00"))</f>
        <v/>
      </c>
      <c r="V3986" s="35" t="str">
        <f aca="false">IF($A3986="","",COUNTIF($U$8:$U$5007,$U3986))</f>
        <v/>
      </c>
    </row>
    <row r="3987" customFormat="false" ht="15" hidden="false" customHeight="false" outlineLevel="0" collapsed="false">
      <c r="A3987" s="31"/>
      <c r="B3987" s="32"/>
      <c r="C3987" s="32"/>
      <c r="D3987" s="32"/>
      <c r="E3987" s="32"/>
      <c r="F3987" s="32"/>
      <c r="G3987" s="33"/>
      <c r="H3987" s="33"/>
      <c r="I3987" s="34" t="str">
        <f aca="false">IF($A3987="","",$G3987-$H3987)</f>
        <v/>
      </c>
      <c r="J3987" s="35" t="str">
        <f aca="false">IF($A3987="","",IF(Setup!$B$6=1,YEAR($A3987),YEAR($A3987)+IF(MONTH($A3987)&gt;=Setup!$B$6,1,0)))</f>
        <v/>
      </c>
      <c r="K3987" s="35" t="str">
        <f aca="false">IF($A3987="","",MOD(MONTH($A3987)-Setup!$B$6+12,12)+1)</f>
        <v/>
      </c>
      <c r="L3987" s="36" t="str">
        <f aca="false">IF($A3987="","",TEXT($A3987,"MMM-YY"))</f>
        <v/>
      </c>
      <c r="M3987" s="37" t="str">
        <f aca="false">IF($A3987="","",IF($Q3987=0,"UNMAPPED",INDEX(COA_Mapping!$C$7:$C$256,$Q3987)))</f>
        <v/>
      </c>
      <c r="N3987" s="38" t="str">
        <f aca="false">IF($A3987="","",IF($Q3987=0,"",INDEX(COA_Mapping!$E$7:$E$256,$Q3987)))</f>
        <v/>
      </c>
      <c r="O3987" s="38" t="n">
        <f aca="false">IF($A3987="",1,IF($Q3987=0,1,INDEX(COA_Mapping!$F$7:$F$256,$Q3987)))</f>
        <v>1</v>
      </c>
      <c r="P3987" s="34" t="str">
        <f aca="false">IF($A3987="","",$I3987*$O3987)</f>
        <v/>
      </c>
      <c r="Q3987" s="39" t="n">
        <f aca="false">IF($B3987="",0,IFERROR(MATCH($B3987,COA_Mapping!$A$7:$A$256,0),0))</f>
        <v>0</v>
      </c>
      <c r="R3987" s="39" t="n">
        <f aca="false">IF($A3987="",-1,IF($J3987=Setup!$B$7,1,IF($J3987=Setup!$B$9,0,-1)))</f>
        <v>-1</v>
      </c>
      <c r="S3987" s="35" t="n">
        <f aca="false">IF(OR($A3987="",$Q3987=0,$R3987=-1),0,$Q3987*1000+$R3987*100+$K3987)</f>
        <v>0</v>
      </c>
      <c r="T3987" s="37" t="str">
        <f aca="false">IF($A3987="","",IF($B3987="","NO ACCOUNT",IF($Q3987=0,"UNMAPPED",IF($R3987=-1,"OUTSIDE FY RANGE","OK"))))</f>
        <v/>
      </c>
      <c r="U3987" s="40" t="str">
        <f aca="false">IF($A3987="","",$B3987&amp;"|"&amp;TEXT($A3987,"yyyymmdd")&amp;"|"&amp;TEXT($I3987,"0.00"))</f>
        <v/>
      </c>
      <c r="V3987" s="35" t="str">
        <f aca="false">IF($A3987="","",COUNTIF($U$8:$U$5007,$U3987))</f>
        <v/>
      </c>
    </row>
    <row r="3988" customFormat="false" ht="15" hidden="false" customHeight="false" outlineLevel="0" collapsed="false">
      <c r="A3988" s="31"/>
      <c r="B3988" s="32"/>
      <c r="C3988" s="32"/>
      <c r="D3988" s="32"/>
      <c r="E3988" s="32"/>
      <c r="F3988" s="32"/>
      <c r="G3988" s="33"/>
      <c r="H3988" s="33"/>
      <c r="I3988" s="34" t="str">
        <f aca="false">IF($A3988="","",$G3988-$H3988)</f>
        <v/>
      </c>
      <c r="J3988" s="35" t="str">
        <f aca="false">IF($A3988="","",IF(Setup!$B$6=1,YEAR($A3988),YEAR($A3988)+IF(MONTH($A3988)&gt;=Setup!$B$6,1,0)))</f>
        <v/>
      </c>
      <c r="K3988" s="35" t="str">
        <f aca="false">IF($A3988="","",MOD(MONTH($A3988)-Setup!$B$6+12,12)+1)</f>
        <v/>
      </c>
      <c r="L3988" s="36" t="str">
        <f aca="false">IF($A3988="","",TEXT($A3988,"MMM-YY"))</f>
        <v/>
      </c>
      <c r="M3988" s="37" t="str">
        <f aca="false">IF($A3988="","",IF($Q3988=0,"UNMAPPED",INDEX(COA_Mapping!$C$7:$C$256,$Q3988)))</f>
        <v/>
      </c>
      <c r="N3988" s="38" t="str">
        <f aca="false">IF($A3988="","",IF($Q3988=0,"",INDEX(COA_Mapping!$E$7:$E$256,$Q3988)))</f>
        <v/>
      </c>
      <c r="O3988" s="38" t="n">
        <f aca="false">IF($A3988="",1,IF($Q3988=0,1,INDEX(COA_Mapping!$F$7:$F$256,$Q3988)))</f>
        <v>1</v>
      </c>
      <c r="P3988" s="34" t="str">
        <f aca="false">IF($A3988="","",$I3988*$O3988)</f>
        <v/>
      </c>
      <c r="Q3988" s="39" t="n">
        <f aca="false">IF($B3988="",0,IFERROR(MATCH($B3988,COA_Mapping!$A$7:$A$256,0),0))</f>
        <v>0</v>
      </c>
      <c r="R3988" s="39" t="n">
        <f aca="false">IF($A3988="",-1,IF($J3988=Setup!$B$7,1,IF($J3988=Setup!$B$9,0,-1)))</f>
        <v>-1</v>
      </c>
      <c r="S3988" s="35" t="n">
        <f aca="false">IF(OR($A3988="",$Q3988=0,$R3988=-1),0,$Q3988*1000+$R3988*100+$K3988)</f>
        <v>0</v>
      </c>
      <c r="T3988" s="37" t="str">
        <f aca="false">IF($A3988="","",IF($B3988="","NO ACCOUNT",IF($Q3988=0,"UNMAPPED",IF($R3988=-1,"OUTSIDE FY RANGE","OK"))))</f>
        <v/>
      </c>
      <c r="U3988" s="40" t="str">
        <f aca="false">IF($A3988="","",$B3988&amp;"|"&amp;TEXT($A3988,"yyyymmdd")&amp;"|"&amp;TEXT($I3988,"0.00"))</f>
        <v/>
      </c>
      <c r="V3988" s="35" t="str">
        <f aca="false">IF($A3988="","",COUNTIF($U$8:$U$5007,$U3988))</f>
        <v/>
      </c>
    </row>
    <row r="3989" customFormat="false" ht="15" hidden="false" customHeight="false" outlineLevel="0" collapsed="false">
      <c r="A3989" s="31"/>
      <c r="B3989" s="32"/>
      <c r="C3989" s="32"/>
      <c r="D3989" s="32"/>
      <c r="E3989" s="32"/>
      <c r="F3989" s="32"/>
      <c r="G3989" s="33"/>
      <c r="H3989" s="33"/>
      <c r="I3989" s="34" t="str">
        <f aca="false">IF($A3989="","",$G3989-$H3989)</f>
        <v/>
      </c>
      <c r="J3989" s="35" t="str">
        <f aca="false">IF($A3989="","",IF(Setup!$B$6=1,YEAR($A3989),YEAR($A3989)+IF(MONTH($A3989)&gt;=Setup!$B$6,1,0)))</f>
        <v/>
      </c>
      <c r="K3989" s="35" t="str">
        <f aca="false">IF($A3989="","",MOD(MONTH($A3989)-Setup!$B$6+12,12)+1)</f>
        <v/>
      </c>
      <c r="L3989" s="36" t="str">
        <f aca="false">IF($A3989="","",TEXT($A3989,"MMM-YY"))</f>
        <v/>
      </c>
      <c r="M3989" s="37" t="str">
        <f aca="false">IF($A3989="","",IF($Q3989=0,"UNMAPPED",INDEX(COA_Mapping!$C$7:$C$256,$Q3989)))</f>
        <v/>
      </c>
      <c r="N3989" s="38" t="str">
        <f aca="false">IF($A3989="","",IF($Q3989=0,"",INDEX(COA_Mapping!$E$7:$E$256,$Q3989)))</f>
        <v/>
      </c>
      <c r="O3989" s="38" t="n">
        <f aca="false">IF($A3989="",1,IF($Q3989=0,1,INDEX(COA_Mapping!$F$7:$F$256,$Q3989)))</f>
        <v>1</v>
      </c>
      <c r="P3989" s="34" t="str">
        <f aca="false">IF($A3989="","",$I3989*$O3989)</f>
        <v/>
      </c>
      <c r="Q3989" s="39" t="n">
        <f aca="false">IF($B3989="",0,IFERROR(MATCH($B3989,COA_Mapping!$A$7:$A$256,0),0))</f>
        <v>0</v>
      </c>
      <c r="R3989" s="39" t="n">
        <f aca="false">IF($A3989="",-1,IF($J3989=Setup!$B$7,1,IF($J3989=Setup!$B$9,0,-1)))</f>
        <v>-1</v>
      </c>
      <c r="S3989" s="35" t="n">
        <f aca="false">IF(OR($A3989="",$Q3989=0,$R3989=-1),0,$Q3989*1000+$R3989*100+$K3989)</f>
        <v>0</v>
      </c>
      <c r="T3989" s="37" t="str">
        <f aca="false">IF($A3989="","",IF($B3989="","NO ACCOUNT",IF($Q3989=0,"UNMAPPED",IF($R3989=-1,"OUTSIDE FY RANGE","OK"))))</f>
        <v/>
      </c>
      <c r="U3989" s="40" t="str">
        <f aca="false">IF($A3989="","",$B3989&amp;"|"&amp;TEXT($A3989,"yyyymmdd")&amp;"|"&amp;TEXT($I3989,"0.00"))</f>
        <v/>
      </c>
      <c r="V3989" s="35" t="str">
        <f aca="false">IF($A3989="","",COUNTIF($U$8:$U$5007,$U3989))</f>
        <v/>
      </c>
    </row>
    <row r="3990" customFormat="false" ht="15" hidden="false" customHeight="false" outlineLevel="0" collapsed="false">
      <c r="A3990" s="31"/>
      <c r="B3990" s="32"/>
      <c r="C3990" s="32"/>
      <c r="D3990" s="32"/>
      <c r="E3990" s="32"/>
      <c r="F3990" s="32"/>
      <c r="G3990" s="33"/>
      <c r="H3990" s="33"/>
      <c r="I3990" s="34" t="str">
        <f aca="false">IF($A3990="","",$G3990-$H3990)</f>
        <v/>
      </c>
      <c r="J3990" s="35" t="str">
        <f aca="false">IF($A3990="","",IF(Setup!$B$6=1,YEAR($A3990),YEAR($A3990)+IF(MONTH($A3990)&gt;=Setup!$B$6,1,0)))</f>
        <v/>
      </c>
      <c r="K3990" s="35" t="str">
        <f aca="false">IF($A3990="","",MOD(MONTH($A3990)-Setup!$B$6+12,12)+1)</f>
        <v/>
      </c>
      <c r="L3990" s="36" t="str">
        <f aca="false">IF($A3990="","",TEXT($A3990,"MMM-YY"))</f>
        <v/>
      </c>
      <c r="M3990" s="37" t="str">
        <f aca="false">IF($A3990="","",IF($Q3990=0,"UNMAPPED",INDEX(COA_Mapping!$C$7:$C$256,$Q3990)))</f>
        <v/>
      </c>
      <c r="N3990" s="38" t="str">
        <f aca="false">IF($A3990="","",IF($Q3990=0,"",INDEX(COA_Mapping!$E$7:$E$256,$Q3990)))</f>
        <v/>
      </c>
      <c r="O3990" s="38" t="n">
        <f aca="false">IF($A3990="",1,IF($Q3990=0,1,INDEX(COA_Mapping!$F$7:$F$256,$Q3990)))</f>
        <v>1</v>
      </c>
      <c r="P3990" s="34" t="str">
        <f aca="false">IF($A3990="","",$I3990*$O3990)</f>
        <v/>
      </c>
      <c r="Q3990" s="39" t="n">
        <f aca="false">IF($B3990="",0,IFERROR(MATCH($B3990,COA_Mapping!$A$7:$A$256,0),0))</f>
        <v>0</v>
      </c>
      <c r="R3990" s="39" t="n">
        <f aca="false">IF($A3990="",-1,IF($J3990=Setup!$B$7,1,IF($J3990=Setup!$B$9,0,-1)))</f>
        <v>-1</v>
      </c>
      <c r="S3990" s="35" t="n">
        <f aca="false">IF(OR($A3990="",$Q3990=0,$R3990=-1),0,$Q3990*1000+$R3990*100+$K3990)</f>
        <v>0</v>
      </c>
      <c r="T3990" s="37" t="str">
        <f aca="false">IF($A3990="","",IF($B3990="","NO ACCOUNT",IF($Q3990=0,"UNMAPPED",IF($R3990=-1,"OUTSIDE FY RANGE","OK"))))</f>
        <v/>
      </c>
      <c r="U3990" s="40" t="str">
        <f aca="false">IF($A3990="","",$B3990&amp;"|"&amp;TEXT($A3990,"yyyymmdd")&amp;"|"&amp;TEXT($I3990,"0.00"))</f>
        <v/>
      </c>
      <c r="V3990" s="35" t="str">
        <f aca="false">IF($A3990="","",COUNTIF($U$8:$U$5007,$U3990))</f>
        <v/>
      </c>
    </row>
    <row r="3991" customFormat="false" ht="15" hidden="false" customHeight="false" outlineLevel="0" collapsed="false">
      <c r="A3991" s="31"/>
      <c r="B3991" s="32"/>
      <c r="C3991" s="32"/>
      <c r="D3991" s="32"/>
      <c r="E3991" s="32"/>
      <c r="F3991" s="32"/>
      <c r="G3991" s="33"/>
      <c r="H3991" s="33"/>
      <c r="I3991" s="34" t="str">
        <f aca="false">IF($A3991="","",$G3991-$H3991)</f>
        <v/>
      </c>
      <c r="J3991" s="35" t="str">
        <f aca="false">IF($A3991="","",IF(Setup!$B$6=1,YEAR($A3991),YEAR($A3991)+IF(MONTH($A3991)&gt;=Setup!$B$6,1,0)))</f>
        <v/>
      </c>
      <c r="K3991" s="35" t="str">
        <f aca="false">IF($A3991="","",MOD(MONTH($A3991)-Setup!$B$6+12,12)+1)</f>
        <v/>
      </c>
      <c r="L3991" s="36" t="str">
        <f aca="false">IF($A3991="","",TEXT($A3991,"MMM-YY"))</f>
        <v/>
      </c>
      <c r="M3991" s="37" t="str">
        <f aca="false">IF($A3991="","",IF($Q3991=0,"UNMAPPED",INDEX(COA_Mapping!$C$7:$C$256,$Q3991)))</f>
        <v/>
      </c>
      <c r="N3991" s="38" t="str">
        <f aca="false">IF($A3991="","",IF($Q3991=0,"",INDEX(COA_Mapping!$E$7:$E$256,$Q3991)))</f>
        <v/>
      </c>
      <c r="O3991" s="38" t="n">
        <f aca="false">IF($A3991="",1,IF($Q3991=0,1,INDEX(COA_Mapping!$F$7:$F$256,$Q3991)))</f>
        <v>1</v>
      </c>
      <c r="P3991" s="34" t="str">
        <f aca="false">IF($A3991="","",$I3991*$O3991)</f>
        <v/>
      </c>
      <c r="Q3991" s="39" t="n">
        <f aca="false">IF($B3991="",0,IFERROR(MATCH($B3991,COA_Mapping!$A$7:$A$256,0),0))</f>
        <v>0</v>
      </c>
      <c r="R3991" s="39" t="n">
        <f aca="false">IF($A3991="",-1,IF($J3991=Setup!$B$7,1,IF($J3991=Setup!$B$9,0,-1)))</f>
        <v>-1</v>
      </c>
      <c r="S3991" s="35" t="n">
        <f aca="false">IF(OR($A3991="",$Q3991=0,$R3991=-1),0,$Q3991*1000+$R3991*100+$K3991)</f>
        <v>0</v>
      </c>
      <c r="T3991" s="37" t="str">
        <f aca="false">IF($A3991="","",IF($B3991="","NO ACCOUNT",IF($Q3991=0,"UNMAPPED",IF($R3991=-1,"OUTSIDE FY RANGE","OK"))))</f>
        <v/>
      </c>
      <c r="U3991" s="40" t="str">
        <f aca="false">IF($A3991="","",$B3991&amp;"|"&amp;TEXT($A3991,"yyyymmdd")&amp;"|"&amp;TEXT($I3991,"0.00"))</f>
        <v/>
      </c>
      <c r="V3991" s="35" t="str">
        <f aca="false">IF($A3991="","",COUNTIF($U$8:$U$5007,$U3991))</f>
        <v/>
      </c>
    </row>
    <row r="3992" customFormat="false" ht="15" hidden="false" customHeight="false" outlineLevel="0" collapsed="false">
      <c r="A3992" s="31"/>
      <c r="B3992" s="32"/>
      <c r="C3992" s="32"/>
      <c r="D3992" s="32"/>
      <c r="E3992" s="32"/>
      <c r="F3992" s="32"/>
      <c r="G3992" s="33"/>
      <c r="H3992" s="33"/>
      <c r="I3992" s="34" t="str">
        <f aca="false">IF($A3992="","",$G3992-$H3992)</f>
        <v/>
      </c>
      <c r="J3992" s="35" t="str">
        <f aca="false">IF($A3992="","",IF(Setup!$B$6=1,YEAR($A3992),YEAR($A3992)+IF(MONTH($A3992)&gt;=Setup!$B$6,1,0)))</f>
        <v/>
      </c>
      <c r="K3992" s="35" t="str">
        <f aca="false">IF($A3992="","",MOD(MONTH($A3992)-Setup!$B$6+12,12)+1)</f>
        <v/>
      </c>
      <c r="L3992" s="36" t="str">
        <f aca="false">IF($A3992="","",TEXT($A3992,"MMM-YY"))</f>
        <v/>
      </c>
      <c r="M3992" s="37" t="str">
        <f aca="false">IF($A3992="","",IF($Q3992=0,"UNMAPPED",INDEX(COA_Mapping!$C$7:$C$256,$Q3992)))</f>
        <v/>
      </c>
      <c r="N3992" s="38" t="str">
        <f aca="false">IF($A3992="","",IF($Q3992=0,"",INDEX(COA_Mapping!$E$7:$E$256,$Q3992)))</f>
        <v/>
      </c>
      <c r="O3992" s="38" t="n">
        <f aca="false">IF($A3992="",1,IF($Q3992=0,1,INDEX(COA_Mapping!$F$7:$F$256,$Q3992)))</f>
        <v>1</v>
      </c>
      <c r="P3992" s="34" t="str">
        <f aca="false">IF($A3992="","",$I3992*$O3992)</f>
        <v/>
      </c>
      <c r="Q3992" s="39" t="n">
        <f aca="false">IF($B3992="",0,IFERROR(MATCH($B3992,COA_Mapping!$A$7:$A$256,0),0))</f>
        <v>0</v>
      </c>
      <c r="R3992" s="39" t="n">
        <f aca="false">IF($A3992="",-1,IF($J3992=Setup!$B$7,1,IF($J3992=Setup!$B$9,0,-1)))</f>
        <v>-1</v>
      </c>
      <c r="S3992" s="35" t="n">
        <f aca="false">IF(OR($A3992="",$Q3992=0,$R3992=-1),0,$Q3992*1000+$R3992*100+$K3992)</f>
        <v>0</v>
      </c>
      <c r="T3992" s="37" t="str">
        <f aca="false">IF($A3992="","",IF($B3992="","NO ACCOUNT",IF($Q3992=0,"UNMAPPED",IF($R3992=-1,"OUTSIDE FY RANGE","OK"))))</f>
        <v/>
      </c>
      <c r="U3992" s="40" t="str">
        <f aca="false">IF($A3992="","",$B3992&amp;"|"&amp;TEXT($A3992,"yyyymmdd")&amp;"|"&amp;TEXT($I3992,"0.00"))</f>
        <v/>
      </c>
      <c r="V3992" s="35" t="str">
        <f aca="false">IF($A3992="","",COUNTIF($U$8:$U$5007,$U3992))</f>
        <v/>
      </c>
    </row>
    <row r="3993" customFormat="false" ht="15" hidden="false" customHeight="false" outlineLevel="0" collapsed="false">
      <c r="A3993" s="31"/>
      <c r="B3993" s="32"/>
      <c r="C3993" s="32"/>
      <c r="D3993" s="32"/>
      <c r="E3993" s="32"/>
      <c r="F3993" s="32"/>
      <c r="G3993" s="33"/>
      <c r="H3993" s="33"/>
      <c r="I3993" s="34" t="str">
        <f aca="false">IF($A3993="","",$G3993-$H3993)</f>
        <v/>
      </c>
      <c r="J3993" s="35" t="str">
        <f aca="false">IF($A3993="","",IF(Setup!$B$6=1,YEAR($A3993),YEAR($A3993)+IF(MONTH($A3993)&gt;=Setup!$B$6,1,0)))</f>
        <v/>
      </c>
      <c r="K3993" s="35" t="str">
        <f aca="false">IF($A3993="","",MOD(MONTH($A3993)-Setup!$B$6+12,12)+1)</f>
        <v/>
      </c>
      <c r="L3993" s="36" t="str">
        <f aca="false">IF($A3993="","",TEXT($A3993,"MMM-YY"))</f>
        <v/>
      </c>
      <c r="M3993" s="37" t="str">
        <f aca="false">IF($A3993="","",IF($Q3993=0,"UNMAPPED",INDEX(COA_Mapping!$C$7:$C$256,$Q3993)))</f>
        <v/>
      </c>
      <c r="N3993" s="38" t="str">
        <f aca="false">IF($A3993="","",IF($Q3993=0,"",INDEX(COA_Mapping!$E$7:$E$256,$Q3993)))</f>
        <v/>
      </c>
      <c r="O3993" s="38" t="n">
        <f aca="false">IF($A3993="",1,IF($Q3993=0,1,INDEX(COA_Mapping!$F$7:$F$256,$Q3993)))</f>
        <v>1</v>
      </c>
      <c r="P3993" s="34" t="str">
        <f aca="false">IF($A3993="","",$I3993*$O3993)</f>
        <v/>
      </c>
      <c r="Q3993" s="39" t="n">
        <f aca="false">IF($B3993="",0,IFERROR(MATCH($B3993,COA_Mapping!$A$7:$A$256,0),0))</f>
        <v>0</v>
      </c>
      <c r="R3993" s="39" t="n">
        <f aca="false">IF($A3993="",-1,IF($J3993=Setup!$B$7,1,IF($J3993=Setup!$B$9,0,-1)))</f>
        <v>-1</v>
      </c>
      <c r="S3993" s="35" t="n">
        <f aca="false">IF(OR($A3993="",$Q3993=0,$R3993=-1),0,$Q3993*1000+$R3993*100+$K3993)</f>
        <v>0</v>
      </c>
      <c r="T3993" s="37" t="str">
        <f aca="false">IF($A3993="","",IF($B3993="","NO ACCOUNT",IF($Q3993=0,"UNMAPPED",IF($R3993=-1,"OUTSIDE FY RANGE","OK"))))</f>
        <v/>
      </c>
      <c r="U3993" s="40" t="str">
        <f aca="false">IF($A3993="","",$B3993&amp;"|"&amp;TEXT($A3993,"yyyymmdd")&amp;"|"&amp;TEXT($I3993,"0.00"))</f>
        <v/>
      </c>
      <c r="V3993" s="35" t="str">
        <f aca="false">IF($A3993="","",COUNTIF($U$8:$U$5007,$U3993))</f>
        <v/>
      </c>
    </row>
    <row r="3994" customFormat="false" ht="15" hidden="false" customHeight="false" outlineLevel="0" collapsed="false">
      <c r="A3994" s="31"/>
      <c r="B3994" s="32"/>
      <c r="C3994" s="32"/>
      <c r="D3994" s="32"/>
      <c r="E3994" s="32"/>
      <c r="F3994" s="32"/>
      <c r="G3994" s="33"/>
      <c r="H3994" s="33"/>
      <c r="I3994" s="34" t="str">
        <f aca="false">IF($A3994="","",$G3994-$H3994)</f>
        <v/>
      </c>
      <c r="J3994" s="35" t="str">
        <f aca="false">IF($A3994="","",IF(Setup!$B$6=1,YEAR($A3994),YEAR($A3994)+IF(MONTH($A3994)&gt;=Setup!$B$6,1,0)))</f>
        <v/>
      </c>
      <c r="K3994" s="35" t="str">
        <f aca="false">IF($A3994="","",MOD(MONTH($A3994)-Setup!$B$6+12,12)+1)</f>
        <v/>
      </c>
      <c r="L3994" s="36" t="str">
        <f aca="false">IF($A3994="","",TEXT($A3994,"MMM-YY"))</f>
        <v/>
      </c>
      <c r="M3994" s="37" t="str">
        <f aca="false">IF($A3994="","",IF($Q3994=0,"UNMAPPED",INDEX(COA_Mapping!$C$7:$C$256,$Q3994)))</f>
        <v/>
      </c>
      <c r="N3994" s="38" t="str">
        <f aca="false">IF($A3994="","",IF($Q3994=0,"",INDEX(COA_Mapping!$E$7:$E$256,$Q3994)))</f>
        <v/>
      </c>
      <c r="O3994" s="38" t="n">
        <f aca="false">IF($A3994="",1,IF($Q3994=0,1,INDEX(COA_Mapping!$F$7:$F$256,$Q3994)))</f>
        <v>1</v>
      </c>
      <c r="P3994" s="34" t="str">
        <f aca="false">IF($A3994="","",$I3994*$O3994)</f>
        <v/>
      </c>
      <c r="Q3994" s="39" t="n">
        <f aca="false">IF($B3994="",0,IFERROR(MATCH($B3994,COA_Mapping!$A$7:$A$256,0),0))</f>
        <v>0</v>
      </c>
      <c r="R3994" s="39" t="n">
        <f aca="false">IF($A3994="",-1,IF($J3994=Setup!$B$7,1,IF($J3994=Setup!$B$9,0,-1)))</f>
        <v>-1</v>
      </c>
      <c r="S3994" s="35" t="n">
        <f aca="false">IF(OR($A3994="",$Q3994=0,$R3994=-1),0,$Q3994*1000+$R3994*100+$K3994)</f>
        <v>0</v>
      </c>
      <c r="T3994" s="37" t="str">
        <f aca="false">IF($A3994="","",IF($B3994="","NO ACCOUNT",IF($Q3994=0,"UNMAPPED",IF($R3994=-1,"OUTSIDE FY RANGE","OK"))))</f>
        <v/>
      </c>
      <c r="U3994" s="40" t="str">
        <f aca="false">IF($A3994="","",$B3994&amp;"|"&amp;TEXT($A3994,"yyyymmdd")&amp;"|"&amp;TEXT($I3994,"0.00"))</f>
        <v/>
      </c>
      <c r="V3994" s="35" t="str">
        <f aca="false">IF($A3994="","",COUNTIF($U$8:$U$5007,$U3994))</f>
        <v/>
      </c>
    </row>
    <row r="3995" customFormat="false" ht="15" hidden="false" customHeight="false" outlineLevel="0" collapsed="false">
      <c r="A3995" s="31"/>
      <c r="B3995" s="32"/>
      <c r="C3995" s="32"/>
      <c r="D3995" s="32"/>
      <c r="E3995" s="32"/>
      <c r="F3995" s="32"/>
      <c r="G3995" s="33"/>
      <c r="H3995" s="33"/>
      <c r="I3995" s="34" t="str">
        <f aca="false">IF($A3995="","",$G3995-$H3995)</f>
        <v/>
      </c>
      <c r="J3995" s="35" t="str">
        <f aca="false">IF($A3995="","",IF(Setup!$B$6=1,YEAR($A3995),YEAR($A3995)+IF(MONTH($A3995)&gt;=Setup!$B$6,1,0)))</f>
        <v/>
      </c>
      <c r="K3995" s="35" t="str">
        <f aca="false">IF($A3995="","",MOD(MONTH($A3995)-Setup!$B$6+12,12)+1)</f>
        <v/>
      </c>
      <c r="L3995" s="36" t="str">
        <f aca="false">IF($A3995="","",TEXT($A3995,"MMM-YY"))</f>
        <v/>
      </c>
      <c r="M3995" s="37" t="str">
        <f aca="false">IF($A3995="","",IF($Q3995=0,"UNMAPPED",INDEX(COA_Mapping!$C$7:$C$256,$Q3995)))</f>
        <v/>
      </c>
      <c r="N3995" s="38" t="str">
        <f aca="false">IF($A3995="","",IF($Q3995=0,"",INDEX(COA_Mapping!$E$7:$E$256,$Q3995)))</f>
        <v/>
      </c>
      <c r="O3995" s="38" t="n">
        <f aca="false">IF($A3995="",1,IF($Q3995=0,1,INDEX(COA_Mapping!$F$7:$F$256,$Q3995)))</f>
        <v>1</v>
      </c>
      <c r="P3995" s="34" t="str">
        <f aca="false">IF($A3995="","",$I3995*$O3995)</f>
        <v/>
      </c>
      <c r="Q3995" s="39" t="n">
        <f aca="false">IF($B3995="",0,IFERROR(MATCH($B3995,COA_Mapping!$A$7:$A$256,0),0))</f>
        <v>0</v>
      </c>
      <c r="R3995" s="39" t="n">
        <f aca="false">IF($A3995="",-1,IF($J3995=Setup!$B$7,1,IF($J3995=Setup!$B$9,0,-1)))</f>
        <v>-1</v>
      </c>
      <c r="S3995" s="35" t="n">
        <f aca="false">IF(OR($A3995="",$Q3995=0,$R3995=-1),0,$Q3995*1000+$R3995*100+$K3995)</f>
        <v>0</v>
      </c>
      <c r="T3995" s="37" t="str">
        <f aca="false">IF($A3995="","",IF($B3995="","NO ACCOUNT",IF($Q3995=0,"UNMAPPED",IF($R3995=-1,"OUTSIDE FY RANGE","OK"))))</f>
        <v/>
      </c>
      <c r="U3995" s="40" t="str">
        <f aca="false">IF($A3995="","",$B3995&amp;"|"&amp;TEXT($A3995,"yyyymmdd")&amp;"|"&amp;TEXT($I3995,"0.00"))</f>
        <v/>
      </c>
      <c r="V3995" s="35" t="str">
        <f aca="false">IF($A3995="","",COUNTIF($U$8:$U$5007,$U3995))</f>
        <v/>
      </c>
    </row>
    <row r="3996" customFormat="false" ht="15" hidden="false" customHeight="false" outlineLevel="0" collapsed="false">
      <c r="A3996" s="31"/>
      <c r="B3996" s="32"/>
      <c r="C3996" s="32"/>
      <c r="D3996" s="32"/>
      <c r="E3996" s="32"/>
      <c r="F3996" s="32"/>
      <c r="G3996" s="33"/>
      <c r="H3996" s="33"/>
      <c r="I3996" s="34" t="str">
        <f aca="false">IF($A3996="","",$G3996-$H3996)</f>
        <v/>
      </c>
      <c r="J3996" s="35" t="str">
        <f aca="false">IF($A3996="","",IF(Setup!$B$6=1,YEAR($A3996),YEAR($A3996)+IF(MONTH($A3996)&gt;=Setup!$B$6,1,0)))</f>
        <v/>
      </c>
      <c r="K3996" s="35" t="str">
        <f aca="false">IF($A3996="","",MOD(MONTH($A3996)-Setup!$B$6+12,12)+1)</f>
        <v/>
      </c>
      <c r="L3996" s="36" t="str">
        <f aca="false">IF($A3996="","",TEXT($A3996,"MMM-YY"))</f>
        <v/>
      </c>
      <c r="M3996" s="37" t="str">
        <f aca="false">IF($A3996="","",IF($Q3996=0,"UNMAPPED",INDEX(COA_Mapping!$C$7:$C$256,$Q3996)))</f>
        <v/>
      </c>
      <c r="N3996" s="38" t="str">
        <f aca="false">IF($A3996="","",IF($Q3996=0,"",INDEX(COA_Mapping!$E$7:$E$256,$Q3996)))</f>
        <v/>
      </c>
      <c r="O3996" s="38" t="n">
        <f aca="false">IF($A3996="",1,IF($Q3996=0,1,INDEX(COA_Mapping!$F$7:$F$256,$Q3996)))</f>
        <v>1</v>
      </c>
      <c r="P3996" s="34" t="str">
        <f aca="false">IF($A3996="","",$I3996*$O3996)</f>
        <v/>
      </c>
      <c r="Q3996" s="39" t="n">
        <f aca="false">IF($B3996="",0,IFERROR(MATCH($B3996,COA_Mapping!$A$7:$A$256,0),0))</f>
        <v>0</v>
      </c>
      <c r="R3996" s="39" t="n">
        <f aca="false">IF($A3996="",-1,IF($J3996=Setup!$B$7,1,IF($J3996=Setup!$B$9,0,-1)))</f>
        <v>-1</v>
      </c>
      <c r="S3996" s="35" t="n">
        <f aca="false">IF(OR($A3996="",$Q3996=0,$R3996=-1),0,$Q3996*1000+$R3996*100+$K3996)</f>
        <v>0</v>
      </c>
      <c r="T3996" s="37" t="str">
        <f aca="false">IF($A3996="","",IF($B3996="","NO ACCOUNT",IF($Q3996=0,"UNMAPPED",IF($R3996=-1,"OUTSIDE FY RANGE","OK"))))</f>
        <v/>
      </c>
      <c r="U3996" s="40" t="str">
        <f aca="false">IF($A3996="","",$B3996&amp;"|"&amp;TEXT($A3996,"yyyymmdd")&amp;"|"&amp;TEXT($I3996,"0.00"))</f>
        <v/>
      </c>
      <c r="V3996" s="35" t="str">
        <f aca="false">IF($A3996="","",COUNTIF($U$8:$U$5007,$U3996))</f>
        <v/>
      </c>
    </row>
    <row r="3997" customFormat="false" ht="15" hidden="false" customHeight="false" outlineLevel="0" collapsed="false">
      <c r="A3997" s="31"/>
      <c r="B3997" s="32"/>
      <c r="C3997" s="32"/>
      <c r="D3997" s="32"/>
      <c r="E3997" s="32"/>
      <c r="F3997" s="32"/>
      <c r="G3997" s="33"/>
      <c r="H3997" s="33"/>
      <c r="I3997" s="34" t="str">
        <f aca="false">IF($A3997="","",$G3997-$H3997)</f>
        <v/>
      </c>
      <c r="J3997" s="35" t="str">
        <f aca="false">IF($A3997="","",IF(Setup!$B$6=1,YEAR($A3997),YEAR($A3997)+IF(MONTH($A3997)&gt;=Setup!$B$6,1,0)))</f>
        <v/>
      </c>
      <c r="K3997" s="35" t="str">
        <f aca="false">IF($A3997="","",MOD(MONTH($A3997)-Setup!$B$6+12,12)+1)</f>
        <v/>
      </c>
      <c r="L3997" s="36" t="str">
        <f aca="false">IF($A3997="","",TEXT($A3997,"MMM-YY"))</f>
        <v/>
      </c>
      <c r="M3997" s="37" t="str">
        <f aca="false">IF($A3997="","",IF($Q3997=0,"UNMAPPED",INDEX(COA_Mapping!$C$7:$C$256,$Q3997)))</f>
        <v/>
      </c>
      <c r="N3997" s="38" t="str">
        <f aca="false">IF($A3997="","",IF($Q3997=0,"",INDEX(COA_Mapping!$E$7:$E$256,$Q3997)))</f>
        <v/>
      </c>
      <c r="O3997" s="38" t="n">
        <f aca="false">IF($A3997="",1,IF($Q3997=0,1,INDEX(COA_Mapping!$F$7:$F$256,$Q3997)))</f>
        <v>1</v>
      </c>
      <c r="P3997" s="34" t="str">
        <f aca="false">IF($A3997="","",$I3997*$O3997)</f>
        <v/>
      </c>
      <c r="Q3997" s="39" t="n">
        <f aca="false">IF($B3997="",0,IFERROR(MATCH($B3997,COA_Mapping!$A$7:$A$256,0),0))</f>
        <v>0</v>
      </c>
      <c r="R3997" s="39" t="n">
        <f aca="false">IF($A3997="",-1,IF($J3997=Setup!$B$7,1,IF($J3997=Setup!$B$9,0,-1)))</f>
        <v>-1</v>
      </c>
      <c r="S3997" s="35" t="n">
        <f aca="false">IF(OR($A3997="",$Q3997=0,$R3997=-1),0,$Q3997*1000+$R3997*100+$K3997)</f>
        <v>0</v>
      </c>
      <c r="T3997" s="37" t="str">
        <f aca="false">IF($A3997="","",IF($B3997="","NO ACCOUNT",IF($Q3997=0,"UNMAPPED",IF($R3997=-1,"OUTSIDE FY RANGE","OK"))))</f>
        <v/>
      </c>
      <c r="U3997" s="40" t="str">
        <f aca="false">IF($A3997="","",$B3997&amp;"|"&amp;TEXT($A3997,"yyyymmdd")&amp;"|"&amp;TEXT($I3997,"0.00"))</f>
        <v/>
      </c>
      <c r="V3997" s="35" t="str">
        <f aca="false">IF($A3997="","",COUNTIF($U$8:$U$5007,$U3997))</f>
        <v/>
      </c>
    </row>
    <row r="3998" customFormat="false" ht="15" hidden="false" customHeight="false" outlineLevel="0" collapsed="false">
      <c r="A3998" s="31"/>
      <c r="B3998" s="32"/>
      <c r="C3998" s="32"/>
      <c r="D3998" s="32"/>
      <c r="E3998" s="32"/>
      <c r="F3998" s="32"/>
      <c r="G3998" s="33"/>
      <c r="H3998" s="33"/>
      <c r="I3998" s="34" t="str">
        <f aca="false">IF($A3998="","",$G3998-$H3998)</f>
        <v/>
      </c>
      <c r="J3998" s="35" t="str">
        <f aca="false">IF($A3998="","",IF(Setup!$B$6=1,YEAR($A3998),YEAR($A3998)+IF(MONTH($A3998)&gt;=Setup!$B$6,1,0)))</f>
        <v/>
      </c>
      <c r="K3998" s="35" t="str">
        <f aca="false">IF($A3998="","",MOD(MONTH($A3998)-Setup!$B$6+12,12)+1)</f>
        <v/>
      </c>
      <c r="L3998" s="36" t="str">
        <f aca="false">IF($A3998="","",TEXT($A3998,"MMM-YY"))</f>
        <v/>
      </c>
      <c r="M3998" s="37" t="str">
        <f aca="false">IF($A3998="","",IF($Q3998=0,"UNMAPPED",INDEX(COA_Mapping!$C$7:$C$256,$Q3998)))</f>
        <v/>
      </c>
      <c r="N3998" s="38" t="str">
        <f aca="false">IF($A3998="","",IF($Q3998=0,"",INDEX(COA_Mapping!$E$7:$E$256,$Q3998)))</f>
        <v/>
      </c>
      <c r="O3998" s="38" t="n">
        <f aca="false">IF($A3998="",1,IF($Q3998=0,1,INDEX(COA_Mapping!$F$7:$F$256,$Q3998)))</f>
        <v>1</v>
      </c>
      <c r="P3998" s="34" t="str">
        <f aca="false">IF($A3998="","",$I3998*$O3998)</f>
        <v/>
      </c>
      <c r="Q3998" s="39" t="n">
        <f aca="false">IF($B3998="",0,IFERROR(MATCH($B3998,COA_Mapping!$A$7:$A$256,0),0))</f>
        <v>0</v>
      </c>
      <c r="R3998" s="39" t="n">
        <f aca="false">IF($A3998="",-1,IF($J3998=Setup!$B$7,1,IF($J3998=Setup!$B$9,0,-1)))</f>
        <v>-1</v>
      </c>
      <c r="S3998" s="35" t="n">
        <f aca="false">IF(OR($A3998="",$Q3998=0,$R3998=-1),0,$Q3998*1000+$R3998*100+$K3998)</f>
        <v>0</v>
      </c>
      <c r="T3998" s="37" t="str">
        <f aca="false">IF($A3998="","",IF($B3998="","NO ACCOUNT",IF($Q3998=0,"UNMAPPED",IF($R3998=-1,"OUTSIDE FY RANGE","OK"))))</f>
        <v/>
      </c>
      <c r="U3998" s="40" t="str">
        <f aca="false">IF($A3998="","",$B3998&amp;"|"&amp;TEXT($A3998,"yyyymmdd")&amp;"|"&amp;TEXT($I3998,"0.00"))</f>
        <v/>
      </c>
      <c r="V3998" s="35" t="str">
        <f aca="false">IF($A3998="","",COUNTIF($U$8:$U$5007,$U3998))</f>
        <v/>
      </c>
    </row>
    <row r="3999" customFormat="false" ht="15" hidden="false" customHeight="false" outlineLevel="0" collapsed="false">
      <c r="A3999" s="31"/>
      <c r="B3999" s="32"/>
      <c r="C3999" s="32"/>
      <c r="D3999" s="32"/>
      <c r="E3999" s="32"/>
      <c r="F3999" s="32"/>
      <c r="G3999" s="33"/>
      <c r="H3999" s="33"/>
      <c r="I3999" s="34" t="str">
        <f aca="false">IF($A3999="","",$G3999-$H3999)</f>
        <v/>
      </c>
      <c r="J3999" s="35" t="str">
        <f aca="false">IF($A3999="","",IF(Setup!$B$6=1,YEAR($A3999),YEAR($A3999)+IF(MONTH($A3999)&gt;=Setup!$B$6,1,0)))</f>
        <v/>
      </c>
      <c r="K3999" s="35" t="str">
        <f aca="false">IF($A3999="","",MOD(MONTH($A3999)-Setup!$B$6+12,12)+1)</f>
        <v/>
      </c>
      <c r="L3999" s="36" t="str">
        <f aca="false">IF($A3999="","",TEXT($A3999,"MMM-YY"))</f>
        <v/>
      </c>
      <c r="M3999" s="37" t="str">
        <f aca="false">IF($A3999="","",IF($Q3999=0,"UNMAPPED",INDEX(COA_Mapping!$C$7:$C$256,$Q3999)))</f>
        <v/>
      </c>
      <c r="N3999" s="38" t="str">
        <f aca="false">IF($A3999="","",IF($Q3999=0,"",INDEX(COA_Mapping!$E$7:$E$256,$Q3999)))</f>
        <v/>
      </c>
      <c r="O3999" s="38" t="n">
        <f aca="false">IF($A3999="",1,IF($Q3999=0,1,INDEX(COA_Mapping!$F$7:$F$256,$Q3999)))</f>
        <v>1</v>
      </c>
      <c r="P3999" s="34" t="str">
        <f aca="false">IF($A3999="","",$I3999*$O3999)</f>
        <v/>
      </c>
      <c r="Q3999" s="39" t="n">
        <f aca="false">IF($B3999="",0,IFERROR(MATCH($B3999,COA_Mapping!$A$7:$A$256,0),0))</f>
        <v>0</v>
      </c>
      <c r="R3999" s="39" t="n">
        <f aca="false">IF($A3999="",-1,IF($J3999=Setup!$B$7,1,IF($J3999=Setup!$B$9,0,-1)))</f>
        <v>-1</v>
      </c>
      <c r="S3999" s="35" t="n">
        <f aca="false">IF(OR($A3999="",$Q3999=0,$R3999=-1),0,$Q3999*1000+$R3999*100+$K3999)</f>
        <v>0</v>
      </c>
      <c r="T3999" s="37" t="str">
        <f aca="false">IF($A3999="","",IF($B3999="","NO ACCOUNT",IF($Q3999=0,"UNMAPPED",IF($R3999=-1,"OUTSIDE FY RANGE","OK"))))</f>
        <v/>
      </c>
      <c r="U3999" s="40" t="str">
        <f aca="false">IF($A3999="","",$B3999&amp;"|"&amp;TEXT($A3999,"yyyymmdd")&amp;"|"&amp;TEXT($I3999,"0.00"))</f>
        <v/>
      </c>
      <c r="V3999" s="35" t="str">
        <f aca="false">IF($A3999="","",COUNTIF($U$8:$U$5007,$U3999))</f>
        <v/>
      </c>
    </row>
    <row r="4000" customFormat="false" ht="15" hidden="false" customHeight="false" outlineLevel="0" collapsed="false">
      <c r="A4000" s="31"/>
      <c r="B4000" s="32"/>
      <c r="C4000" s="32"/>
      <c r="D4000" s="32"/>
      <c r="E4000" s="32"/>
      <c r="F4000" s="32"/>
      <c r="G4000" s="33"/>
      <c r="H4000" s="33"/>
      <c r="I4000" s="34" t="str">
        <f aca="false">IF($A4000="","",$G4000-$H4000)</f>
        <v/>
      </c>
      <c r="J4000" s="35" t="str">
        <f aca="false">IF($A4000="","",IF(Setup!$B$6=1,YEAR($A4000),YEAR($A4000)+IF(MONTH($A4000)&gt;=Setup!$B$6,1,0)))</f>
        <v/>
      </c>
      <c r="K4000" s="35" t="str">
        <f aca="false">IF($A4000="","",MOD(MONTH($A4000)-Setup!$B$6+12,12)+1)</f>
        <v/>
      </c>
      <c r="L4000" s="36" t="str">
        <f aca="false">IF($A4000="","",TEXT($A4000,"MMM-YY"))</f>
        <v/>
      </c>
      <c r="M4000" s="37" t="str">
        <f aca="false">IF($A4000="","",IF($Q4000=0,"UNMAPPED",INDEX(COA_Mapping!$C$7:$C$256,$Q4000)))</f>
        <v/>
      </c>
      <c r="N4000" s="38" t="str">
        <f aca="false">IF($A4000="","",IF($Q4000=0,"",INDEX(COA_Mapping!$E$7:$E$256,$Q4000)))</f>
        <v/>
      </c>
      <c r="O4000" s="38" t="n">
        <f aca="false">IF($A4000="",1,IF($Q4000=0,1,INDEX(COA_Mapping!$F$7:$F$256,$Q4000)))</f>
        <v>1</v>
      </c>
      <c r="P4000" s="34" t="str">
        <f aca="false">IF($A4000="","",$I4000*$O4000)</f>
        <v/>
      </c>
      <c r="Q4000" s="39" t="n">
        <f aca="false">IF($B4000="",0,IFERROR(MATCH($B4000,COA_Mapping!$A$7:$A$256,0),0))</f>
        <v>0</v>
      </c>
      <c r="R4000" s="39" t="n">
        <f aca="false">IF($A4000="",-1,IF($J4000=Setup!$B$7,1,IF($J4000=Setup!$B$9,0,-1)))</f>
        <v>-1</v>
      </c>
      <c r="S4000" s="35" t="n">
        <f aca="false">IF(OR($A4000="",$Q4000=0,$R4000=-1),0,$Q4000*1000+$R4000*100+$K4000)</f>
        <v>0</v>
      </c>
      <c r="T4000" s="37" t="str">
        <f aca="false">IF($A4000="","",IF($B4000="","NO ACCOUNT",IF($Q4000=0,"UNMAPPED",IF($R4000=-1,"OUTSIDE FY RANGE","OK"))))</f>
        <v/>
      </c>
      <c r="U4000" s="40" t="str">
        <f aca="false">IF($A4000="","",$B4000&amp;"|"&amp;TEXT($A4000,"yyyymmdd")&amp;"|"&amp;TEXT($I4000,"0.00"))</f>
        <v/>
      </c>
      <c r="V4000" s="35" t="str">
        <f aca="false">IF($A4000="","",COUNTIF($U$8:$U$5007,$U4000))</f>
        <v/>
      </c>
    </row>
    <row r="4001" customFormat="false" ht="15" hidden="false" customHeight="false" outlineLevel="0" collapsed="false">
      <c r="A4001" s="31"/>
      <c r="B4001" s="32"/>
      <c r="C4001" s="32"/>
      <c r="D4001" s="32"/>
      <c r="E4001" s="32"/>
      <c r="F4001" s="32"/>
      <c r="G4001" s="33"/>
      <c r="H4001" s="33"/>
      <c r="I4001" s="34" t="str">
        <f aca="false">IF($A4001="","",$G4001-$H4001)</f>
        <v/>
      </c>
      <c r="J4001" s="35" t="str">
        <f aca="false">IF($A4001="","",IF(Setup!$B$6=1,YEAR($A4001),YEAR($A4001)+IF(MONTH($A4001)&gt;=Setup!$B$6,1,0)))</f>
        <v/>
      </c>
      <c r="K4001" s="35" t="str">
        <f aca="false">IF($A4001="","",MOD(MONTH($A4001)-Setup!$B$6+12,12)+1)</f>
        <v/>
      </c>
      <c r="L4001" s="36" t="str">
        <f aca="false">IF($A4001="","",TEXT($A4001,"MMM-YY"))</f>
        <v/>
      </c>
      <c r="M4001" s="37" t="str">
        <f aca="false">IF($A4001="","",IF($Q4001=0,"UNMAPPED",INDEX(COA_Mapping!$C$7:$C$256,$Q4001)))</f>
        <v/>
      </c>
      <c r="N4001" s="38" t="str">
        <f aca="false">IF($A4001="","",IF($Q4001=0,"",INDEX(COA_Mapping!$E$7:$E$256,$Q4001)))</f>
        <v/>
      </c>
      <c r="O4001" s="38" t="n">
        <f aca="false">IF($A4001="",1,IF($Q4001=0,1,INDEX(COA_Mapping!$F$7:$F$256,$Q4001)))</f>
        <v>1</v>
      </c>
      <c r="P4001" s="34" t="str">
        <f aca="false">IF($A4001="","",$I4001*$O4001)</f>
        <v/>
      </c>
      <c r="Q4001" s="39" t="n">
        <f aca="false">IF($B4001="",0,IFERROR(MATCH($B4001,COA_Mapping!$A$7:$A$256,0),0))</f>
        <v>0</v>
      </c>
      <c r="R4001" s="39" t="n">
        <f aca="false">IF($A4001="",-1,IF($J4001=Setup!$B$7,1,IF($J4001=Setup!$B$9,0,-1)))</f>
        <v>-1</v>
      </c>
      <c r="S4001" s="35" t="n">
        <f aca="false">IF(OR($A4001="",$Q4001=0,$R4001=-1),0,$Q4001*1000+$R4001*100+$K4001)</f>
        <v>0</v>
      </c>
      <c r="T4001" s="37" t="str">
        <f aca="false">IF($A4001="","",IF($B4001="","NO ACCOUNT",IF($Q4001=0,"UNMAPPED",IF($R4001=-1,"OUTSIDE FY RANGE","OK"))))</f>
        <v/>
      </c>
      <c r="U4001" s="40" t="str">
        <f aca="false">IF($A4001="","",$B4001&amp;"|"&amp;TEXT($A4001,"yyyymmdd")&amp;"|"&amp;TEXT($I4001,"0.00"))</f>
        <v/>
      </c>
      <c r="V4001" s="35" t="str">
        <f aca="false">IF($A4001="","",COUNTIF($U$8:$U$5007,$U4001))</f>
        <v/>
      </c>
    </row>
    <row r="4002" customFormat="false" ht="15" hidden="false" customHeight="false" outlineLevel="0" collapsed="false">
      <c r="A4002" s="31"/>
      <c r="B4002" s="32"/>
      <c r="C4002" s="32"/>
      <c r="D4002" s="32"/>
      <c r="E4002" s="32"/>
      <c r="F4002" s="32"/>
      <c r="G4002" s="33"/>
      <c r="H4002" s="33"/>
      <c r="I4002" s="34" t="str">
        <f aca="false">IF($A4002="","",$G4002-$H4002)</f>
        <v/>
      </c>
      <c r="J4002" s="35" t="str">
        <f aca="false">IF($A4002="","",IF(Setup!$B$6=1,YEAR($A4002),YEAR($A4002)+IF(MONTH($A4002)&gt;=Setup!$B$6,1,0)))</f>
        <v/>
      </c>
      <c r="K4002" s="35" t="str">
        <f aca="false">IF($A4002="","",MOD(MONTH($A4002)-Setup!$B$6+12,12)+1)</f>
        <v/>
      </c>
      <c r="L4002" s="36" t="str">
        <f aca="false">IF($A4002="","",TEXT($A4002,"MMM-YY"))</f>
        <v/>
      </c>
      <c r="M4002" s="37" t="str">
        <f aca="false">IF($A4002="","",IF($Q4002=0,"UNMAPPED",INDEX(COA_Mapping!$C$7:$C$256,$Q4002)))</f>
        <v/>
      </c>
      <c r="N4002" s="38" t="str">
        <f aca="false">IF($A4002="","",IF($Q4002=0,"",INDEX(COA_Mapping!$E$7:$E$256,$Q4002)))</f>
        <v/>
      </c>
      <c r="O4002" s="38" t="n">
        <f aca="false">IF($A4002="",1,IF($Q4002=0,1,INDEX(COA_Mapping!$F$7:$F$256,$Q4002)))</f>
        <v>1</v>
      </c>
      <c r="P4002" s="34" t="str">
        <f aca="false">IF($A4002="","",$I4002*$O4002)</f>
        <v/>
      </c>
      <c r="Q4002" s="39" t="n">
        <f aca="false">IF($B4002="",0,IFERROR(MATCH($B4002,COA_Mapping!$A$7:$A$256,0),0))</f>
        <v>0</v>
      </c>
      <c r="R4002" s="39" t="n">
        <f aca="false">IF($A4002="",-1,IF($J4002=Setup!$B$7,1,IF($J4002=Setup!$B$9,0,-1)))</f>
        <v>-1</v>
      </c>
      <c r="S4002" s="35" t="n">
        <f aca="false">IF(OR($A4002="",$Q4002=0,$R4002=-1),0,$Q4002*1000+$R4002*100+$K4002)</f>
        <v>0</v>
      </c>
      <c r="T4002" s="37" t="str">
        <f aca="false">IF($A4002="","",IF($B4002="","NO ACCOUNT",IF($Q4002=0,"UNMAPPED",IF($R4002=-1,"OUTSIDE FY RANGE","OK"))))</f>
        <v/>
      </c>
      <c r="U4002" s="40" t="str">
        <f aca="false">IF($A4002="","",$B4002&amp;"|"&amp;TEXT($A4002,"yyyymmdd")&amp;"|"&amp;TEXT($I4002,"0.00"))</f>
        <v/>
      </c>
      <c r="V4002" s="35" t="str">
        <f aca="false">IF($A4002="","",COUNTIF($U$8:$U$5007,$U4002))</f>
        <v/>
      </c>
    </row>
    <row r="4003" customFormat="false" ht="15" hidden="false" customHeight="false" outlineLevel="0" collapsed="false">
      <c r="A4003" s="31"/>
      <c r="B4003" s="32"/>
      <c r="C4003" s="32"/>
      <c r="D4003" s="32"/>
      <c r="E4003" s="32"/>
      <c r="F4003" s="32"/>
      <c r="G4003" s="33"/>
      <c r="H4003" s="33"/>
      <c r="I4003" s="34" t="str">
        <f aca="false">IF($A4003="","",$G4003-$H4003)</f>
        <v/>
      </c>
      <c r="J4003" s="35" t="str">
        <f aca="false">IF($A4003="","",IF(Setup!$B$6=1,YEAR($A4003),YEAR($A4003)+IF(MONTH($A4003)&gt;=Setup!$B$6,1,0)))</f>
        <v/>
      </c>
      <c r="K4003" s="35" t="str">
        <f aca="false">IF($A4003="","",MOD(MONTH($A4003)-Setup!$B$6+12,12)+1)</f>
        <v/>
      </c>
      <c r="L4003" s="36" t="str">
        <f aca="false">IF($A4003="","",TEXT($A4003,"MMM-YY"))</f>
        <v/>
      </c>
      <c r="M4003" s="37" t="str">
        <f aca="false">IF($A4003="","",IF($Q4003=0,"UNMAPPED",INDEX(COA_Mapping!$C$7:$C$256,$Q4003)))</f>
        <v/>
      </c>
      <c r="N4003" s="38" t="str">
        <f aca="false">IF($A4003="","",IF($Q4003=0,"",INDEX(COA_Mapping!$E$7:$E$256,$Q4003)))</f>
        <v/>
      </c>
      <c r="O4003" s="38" t="n">
        <f aca="false">IF($A4003="",1,IF($Q4003=0,1,INDEX(COA_Mapping!$F$7:$F$256,$Q4003)))</f>
        <v>1</v>
      </c>
      <c r="P4003" s="34" t="str">
        <f aca="false">IF($A4003="","",$I4003*$O4003)</f>
        <v/>
      </c>
      <c r="Q4003" s="39" t="n">
        <f aca="false">IF($B4003="",0,IFERROR(MATCH($B4003,COA_Mapping!$A$7:$A$256,0),0))</f>
        <v>0</v>
      </c>
      <c r="R4003" s="39" t="n">
        <f aca="false">IF($A4003="",-1,IF($J4003=Setup!$B$7,1,IF($J4003=Setup!$B$9,0,-1)))</f>
        <v>-1</v>
      </c>
      <c r="S4003" s="35" t="n">
        <f aca="false">IF(OR($A4003="",$Q4003=0,$R4003=-1),0,$Q4003*1000+$R4003*100+$K4003)</f>
        <v>0</v>
      </c>
      <c r="T4003" s="37" t="str">
        <f aca="false">IF($A4003="","",IF($B4003="","NO ACCOUNT",IF($Q4003=0,"UNMAPPED",IF($R4003=-1,"OUTSIDE FY RANGE","OK"))))</f>
        <v/>
      </c>
      <c r="U4003" s="40" t="str">
        <f aca="false">IF($A4003="","",$B4003&amp;"|"&amp;TEXT($A4003,"yyyymmdd")&amp;"|"&amp;TEXT($I4003,"0.00"))</f>
        <v/>
      </c>
      <c r="V4003" s="35" t="str">
        <f aca="false">IF($A4003="","",COUNTIF($U$8:$U$5007,$U4003))</f>
        <v/>
      </c>
    </row>
    <row r="4004" customFormat="false" ht="15" hidden="false" customHeight="false" outlineLevel="0" collapsed="false">
      <c r="A4004" s="31"/>
      <c r="B4004" s="32"/>
      <c r="C4004" s="32"/>
      <c r="D4004" s="32"/>
      <c r="E4004" s="32"/>
      <c r="F4004" s="32"/>
      <c r="G4004" s="33"/>
      <c r="H4004" s="33"/>
      <c r="I4004" s="34" t="str">
        <f aca="false">IF($A4004="","",$G4004-$H4004)</f>
        <v/>
      </c>
      <c r="J4004" s="35" t="str">
        <f aca="false">IF($A4004="","",IF(Setup!$B$6=1,YEAR($A4004),YEAR($A4004)+IF(MONTH($A4004)&gt;=Setup!$B$6,1,0)))</f>
        <v/>
      </c>
      <c r="K4004" s="35" t="str">
        <f aca="false">IF($A4004="","",MOD(MONTH($A4004)-Setup!$B$6+12,12)+1)</f>
        <v/>
      </c>
      <c r="L4004" s="36" t="str">
        <f aca="false">IF($A4004="","",TEXT($A4004,"MMM-YY"))</f>
        <v/>
      </c>
      <c r="M4004" s="37" t="str">
        <f aca="false">IF($A4004="","",IF($Q4004=0,"UNMAPPED",INDEX(COA_Mapping!$C$7:$C$256,$Q4004)))</f>
        <v/>
      </c>
      <c r="N4004" s="38" t="str">
        <f aca="false">IF($A4004="","",IF($Q4004=0,"",INDEX(COA_Mapping!$E$7:$E$256,$Q4004)))</f>
        <v/>
      </c>
      <c r="O4004" s="38" t="n">
        <f aca="false">IF($A4004="",1,IF($Q4004=0,1,INDEX(COA_Mapping!$F$7:$F$256,$Q4004)))</f>
        <v>1</v>
      </c>
      <c r="P4004" s="34" t="str">
        <f aca="false">IF($A4004="","",$I4004*$O4004)</f>
        <v/>
      </c>
      <c r="Q4004" s="39" t="n">
        <f aca="false">IF($B4004="",0,IFERROR(MATCH($B4004,COA_Mapping!$A$7:$A$256,0),0))</f>
        <v>0</v>
      </c>
      <c r="R4004" s="39" t="n">
        <f aca="false">IF($A4004="",-1,IF($J4004=Setup!$B$7,1,IF($J4004=Setup!$B$9,0,-1)))</f>
        <v>-1</v>
      </c>
      <c r="S4004" s="35" t="n">
        <f aca="false">IF(OR($A4004="",$Q4004=0,$R4004=-1),0,$Q4004*1000+$R4004*100+$K4004)</f>
        <v>0</v>
      </c>
      <c r="T4004" s="37" t="str">
        <f aca="false">IF($A4004="","",IF($B4004="","NO ACCOUNT",IF($Q4004=0,"UNMAPPED",IF($R4004=-1,"OUTSIDE FY RANGE","OK"))))</f>
        <v/>
      </c>
      <c r="U4004" s="40" t="str">
        <f aca="false">IF($A4004="","",$B4004&amp;"|"&amp;TEXT($A4004,"yyyymmdd")&amp;"|"&amp;TEXT($I4004,"0.00"))</f>
        <v/>
      </c>
      <c r="V4004" s="35" t="str">
        <f aca="false">IF($A4004="","",COUNTIF($U$8:$U$5007,$U4004))</f>
        <v/>
      </c>
    </row>
    <row r="4005" customFormat="false" ht="15" hidden="false" customHeight="false" outlineLevel="0" collapsed="false">
      <c r="A4005" s="31"/>
      <c r="B4005" s="32"/>
      <c r="C4005" s="32"/>
      <c r="D4005" s="32"/>
      <c r="E4005" s="32"/>
      <c r="F4005" s="32"/>
      <c r="G4005" s="33"/>
      <c r="H4005" s="33"/>
      <c r="I4005" s="34" t="str">
        <f aca="false">IF($A4005="","",$G4005-$H4005)</f>
        <v/>
      </c>
      <c r="J4005" s="35" t="str">
        <f aca="false">IF($A4005="","",IF(Setup!$B$6=1,YEAR($A4005),YEAR($A4005)+IF(MONTH($A4005)&gt;=Setup!$B$6,1,0)))</f>
        <v/>
      </c>
      <c r="K4005" s="35" t="str">
        <f aca="false">IF($A4005="","",MOD(MONTH($A4005)-Setup!$B$6+12,12)+1)</f>
        <v/>
      </c>
      <c r="L4005" s="36" t="str">
        <f aca="false">IF($A4005="","",TEXT($A4005,"MMM-YY"))</f>
        <v/>
      </c>
      <c r="M4005" s="37" t="str">
        <f aca="false">IF($A4005="","",IF($Q4005=0,"UNMAPPED",INDEX(COA_Mapping!$C$7:$C$256,$Q4005)))</f>
        <v/>
      </c>
      <c r="N4005" s="38" t="str">
        <f aca="false">IF($A4005="","",IF($Q4005=0,"",INDEX(COA_Mapping!$E$7:$E$256,$Q4005)))</f>
        <v/>
      </c>
      <c r="O4005" s="38" t="n">
        <f aca="false">IF($A4005="",1,IF($Q4005=0,1,INDEX(COA_Mapping!$F$7:$F$256,$Q4005)))</f>
        <v>1</v>
      </c>
      <c r="P4005" s="34" t="str">
        <f aca="false">IF($A4005="","",$I4005*$O4005)</f>
        <v/>
      </c>
      <c r="Q4005" s="39" t="n">
        <f aca="false">IF($B4005="",0,IFERROR(MATCH($B4005,COA_Mapping!$A$7:$A$256,0),0))</f>
        <v>0</v>
      </c>
      <c r="R4005" s="39" t="n">
        <f aca="false">IF($A4005="",-1,IF($J4005=Setup!$B$7,1,IF($J4005=Setup!$B$9,0,-1)))</f>
        <v>-1</v>
      </c>
      <c r="S4005" s="35" t="n">
        <f aca="false">IF(OR($A4005="",$Q4005=0,$R4005=-1),0,$Q4005*1000+$R4005*100+$K4005)</f>
        <v>0</v>
      </c>
      <c r="T4005" s="37" t="str">
        <f aca="false">IF($A4005="","",IF($B4005="","NO ACCOUNT",IF($Q4005=0,"UNMAPPED",IF($R4005=-1,"OUTSIDE FY RANGE","OK"))))</f>
        <v/>
      </c>
      <c r="U4005" s="40" t="str">
        <f aca="false">IF($A4005="","",$B4005&amp;"|"&amp;TEXT($A4005,"yyyymmdd")&amp;"|"&amp;TEXT($I4005,"0.00"))</f>
        <v/>
      </c>
      <c r="V4005" s="35" t="str">
        <f aca="false">IF($A4005="","",COUNTIF($U$8:$U$5007,$U4005))</f>
        <v/>
      </c>
    </row>
    <row r="4006" customFormat="false" ht="15" hidden="false" customHeight="false" outlineLevel="0" collapsed="false">
      <c r="A4006" s="31"/>
      <c r="B4006" s="32"/>
      <c r="C4006" s="32"/>
      <c r="D4006" s="32"/>
      <c r="E4006" s="32"/>
      <c r="F4006" s="32"/>
      <c r="G4006" s="33"/>
      <c r="H4006" s="33"/>
      <c r="I4006" s="34" t="str">
        <f aca="false">IF($A4006="","",$G4006-$H4006)</f>
        <v/>
      </c>
      <c r="J4006" s="35" t="str">
        <f aca="false">IF($A4006="","",IF(Setup!$B$6=1,YEAR($A4006),YEAR($A4006)+IF(MONTH($A4006)&gt;=Setup!$B$6,1,0)))</f>
        <v/>
      </c>
      <c r="K4006" s="35" t="str">
        <f aca="false">IF($A4006="","",MOD(MONTH($A4006)-Setup!$B$6+12,12)+1)</f>
        <v/>
      </c>
      <c r="L4006" s="36" t="str">
        <f aca="false">IF($A4006="","",TEXT($A4006,"MMM-YY"))</f>
        <v/>
      </c>
      <c r="M4006" s="37" t="str">
        <f aca="false">IF($A4006="","",IF($Q4006=0,"UNMAPPED",INDEX(COA_Mapping!$C$7:$C$256,$Q4006)))</f>
        <v/>
      </c>
      <c r="N4006" s="38" t="str">
        <f aca="false">IF($A4006="","",IF($Q4006=0,"",INDEX(COA_Mapping!$E$7:$E$256,$Q4006)))</f>
        <v/>
      </c>
      <c r="O4006" s="38" t="n">
        <f aca="false">IF($A4006="",1,IF($Q4006=0,1,INDEX(COA_Mapping!$F$7:$F$256,$Q4006)))</f>
        <v>1</v>
      </c>
      <c r="P4006" s="34" t="str">
        <f aca="false">IF($A4006="","",$I4006*$O4006)</f>
        <v/>
      </c>
      <c r="Q4006" s="39" t="n">
        <f aca="false">IF($B4006="",0,IFERROR(MATCH($B4006,COA_Mapping!$A$7:$A$256,0),0))</f>
        <v>0</v>
      </c>
      <c r="R4006" s="39" t="n">
        <f aca="false">IF($A4006="",-1,IF($J4006=Setup!$B$7,1,IF($J4006=Setup!$B$9,0,-1)))</f>
        <v>-1</v>
      </c>
      <c r="S4006" s="35" t="n">
        <f aca="false">IF(OR($A4006="",$Q4006=0,$R4006=-1),0,$Q4006*1000+$R4006*100+$K4006)</f>
        <v>0</v>
      </c>
      <c r="T4006" s="37" t="str">
        <f aca="false">IF($A4006="","",IF($B4006="","NO ACCOUNT",IF($Q4006=0,"UNMAPPED",IF($R4006=-1,"OUTSIDE FY RANGE","OK"))))</f>
        <v/>
      </c>
      <c r="U4006" s="40" t="str">
        <f aca="false">IF($A4006="","",$B4006&amp;"|"&amp;TEXT($A4006,"yyyymmdd")&amp;"|"&amp;TEXT($I4006,"0.00"))</f>
        <v/>
      </c>
      <c r="V4006" s="35" t="str">
        <f aca="false">IF($A4006="","",COUNTIF($U$8:$U$5007,$U4006))</f>
        <v/>
      </c>
    </row>
    <row r="4007" customFormat="false" ht="15" hidden="false" customHeight="false" outlineLevel="0" collapsed="false">
      <c r="A4007" s="31"/>
      <c r="B4007" s="32"/>
      <c r="C4007" s="32"/>
      <c r="D4007" s="32"/>
      <c r="E4007" s="32"/>
      <c r="F4007" s="32"/>
      <c r="G4007" s="33"/>
      <c r="H4007" s="33"/>
      <c r="I4007" s="34" t="str">
        <f aca="false">IF($A4007="","",$G4007-$H4007)</f>
        <v/>
      </c>
      <c r="J4007" s="35" t="str">
        <f aca="false">IF($A4007="","",IF(Setup!$B$6=1,YEAR($A4007),YEAR($A4007)+IF(MONTH($A4007)&gt;=Setup!$B$6,1,0)))</f>
        <v/>
      </c>
      <c r="K4007" s="35" t="str">
        <f aca="false">IF($A4007="","",MOD(MONTH($A4007)-Setup!$B$6+12,12)+1)</f>
        <v/>
      </c>
      <c r="L4007" s="36" t="str">
        <f aca="false">IF($A4007="","",TEXT($A4007,"MMM-YY"))</f>
        <v/>
      </c>
      <c r="M4007" s="37" t="str">
        <f aca="false">IF($A4007="","",IF($Q4007=0,"UNMAPPED",INDEX(COA_Mapping!$C$7:$C$256,$Q4007)))</f>
        <v/>
      </c>
      <c r="N4007" s="38" t="str">
        <f aca="false">IF($A4007="","",IF($Q4007=0,"",INDEX(COA_Mapping!$E$7:$E$256,$Q4007)))</f>
        <v/>
      </c>
      <c r="O4007" s="38" t="n">
        <f aca="false">IF($A4007="",1,IF($Q4007=0,1,INDEX(COA_Mapping!$F$7:$F$256,$Q4007)))</f>
        <v>1</v>
      </c>
      <c r="P4007" s="34" t="str">
        <f aca="false">IF($A4007="","",$I4007*$O4007)</f>
        <v/>
      </c>
      <c r="Q4007" s="39" t="n">
        <f aca="false">IF($B4007="",0,IFERROR(MATCH($B4007,COA_Mapping!$A$7:$A$256,0),0))</f>
        <v>0</v>
      </c>
      <c r="R4007" s="39" t="n">
        <f aca="false">IF($A4007="",-1,IF($J4007=Setup!$B$7,1,IF($J4007=Setup!$B$9,0,-1)))</f>
        <v>-1</v>
      </c>
      <c r="S4007" s="35" t="n">
        <f aca="false">IF(OR($A4007="",$Q4007=0,$R4007=-1),0,$Q4007*1000+$R4007*100+$K4007)</f>
        <v>0</v>
      </c>
      <c r="T4007" s="37" t="str">
        <f aca="false">IF($A4007="","",IF($B4007="","NO ACCOUNT",IF($Q4007=0,"UNMAPPED",IF($R4007=-1,"OUTSIDE FY RANGE","OK"))))</f>
        <v/>
      </c>
      <c r="U4007" s="40" t="str">
        <f aca="false">IF($A4007="","",$B4007&amp;"|"&amp;TEXT($A4007,"yyyymmdd")&amp;"|"&amp;TEXT($I4007,"0.00"))</f>
        <v/>
      </c>
      <c r="V4007" s="35" t="str">
        <f aca="false">IF($A4007="","",COUNTIF($U$8:$U$5007,$U4007))</f>
        <v/>
      </c>
    </row>
    <row r="4008" customFormat="false" ht="15" hidden="false" customHeight="false" outlineLevel="0" collapsed="false">
      <c r="A4008" s="31"/>
      <c r="B4008" s="32"/>
      <c r="C4008" s="32"/>
      <c r="D4008" s="32"/>
      <c r="E4008" s="32"/>
      <c r="F4008" s="32"/>
      <c r="G4008" s="33"/>
      <c r="H4008" s="33"/>
      <c r="I4008" s="34" t="str">
        <f aca="false">IF($A4008="","",$G4008-$H4008)</f>
        <v/>
      </c>
      <c r="J4008" s="35" t="str">
        <f aca="false">IF($A4008="","",IF(Setup!$B$6=1,YEAR($A4008),YEAR($A4008)+IF(MONTH($A4008)&gt;=Setup!$B$6,1,0)))</f>
        <v/>
      </c>
      <c r="K4008" s="35" t="str">
        <f aca="false">IF($A4008="","",MOD(MONTH($A4008)-Setup!$B$6+12,12)+1)</f>
        <v/>
      </c>
      <c r="L4008" s="36" t="str">
        <f aca="false">IF($A4008="","",TEXT($A4008,"MMM-YY"))</f>
        <v/>
      </c>
      <c r="M4008" s="37" t="str">
        <f aca="false">IF($A4008="","",IF($Q4008=0,"UNMAPPED",INDEX(COA_Mapping!$C$7:$C$256,$Q4008)))</f>
        <v/>
      </c>
      <c r="N4008" s="38" t="str">
        <f aca="false">IF($A4008="","",IF($Q4008=0,"",INDEX(COA_Mapping!$E$7:$E$256,$Q4008)))</f>
        <v/>
      </c>
      <c r="O4008" s="38" t="n">
        <f aca="false">IF($A4008="",1,IF($Q4008=0,1,INDEX(COA_Mapping!$F$7:$F$256,$Q4008)))</f>
        <v>1</v>
      </c>
      <c r="P4008" s="34" t="str">
        <f aca="false">IF($A4008="","",$I4008*$O4008)</f>
        <v/>
      </c>
      <c r="Q4008" s="39" t="n">
        <f aca="false">IF($B4008="",0,IFERROR(MATCH($B4008,COA_Mapping!$A$7:$A$256,0),0))</f>
        <v>0</v>
      </c>
      <c r="R4008" s="39" t="n">
        <f aca="false">IF($A4008="",-1,IF($J4008=Setup!$B$7,1,IF($J4008=Setup!$B$9,0,-1)))</f>
        <v>-1</v>
      </c>
      <c r="S4008" s="35" t="n">
        <f aca="false">IF(OR($A4008="",$Q4008=0,$R4008=-1),0,$Q4008*1000+$R4008*100+$K4008)</f>
        <v>0</v>
      </c>
      <c r="T4008" s="37" t="str">
        <f aca="false">IF($A4008="","",IF($B4008="","NO ACCOUNT",IF($Q4008=0,"UNMAPPED",IF($R4008=-1,"OUTSIDE FY RANGE","OK"))))</f>
        <v/>
      </c>
      <c r="U4008" s="40" t="str">
        <f aca="false">IF($A4008="","",$B4008&amp;"|"&amp;TEXT($A4008,"yyyymmdd")&amp;"|"&amp;TEXT($I4008,"0.00"))</f>
        <v/>
      </c>
      <c r="V4008" s="35" t="str">
        <f aca="false">IF($A4008="","",COUNTIF($U$8:$U$5007,$U4008))</f>
        <v/>
      </c>
    </row>
    <row r="4009" customFormat="false" ht="15" hidden="false" customHeight="false" outlineLevel="0" collapsed="false">
      <c r="A4009" s="31"/>
      <c r="B4009" s="32"/>
      <c r="C4009" s="32"/>
      <c r="D4009" s="32"/>
      <c r="E4009" s="32"/>
      <c r="F4009" s="32"/>
      <c r="G4009" s="33"/>
      <c r="H4009" s="33"/>
      <c r="I4009" s="34" t="str">
        <f aca="false">IF($A4009="","",$G4009-$H4009)</f>
        <v/>
      </c>
      <c r="J4009" s="35" t="str">
        <f aca="false">IF($A4009="","",IF(Setup!$B$6=1,YEAR($A4009),YEAR($A4009)+IF(MONTH($A4009)&gt;=Setup!$B$6,1,0)))</f>
        <v/>
      </c>
      <c r="K4009" s="35" t="str">
        <f aca="false">IF($A4009="","",MOD(MONTH($A4009)-Setup!$B$6+12,12)+1)</f>
        <v/>
      </c>
      <c r="L4009" s="36" t="str">
        <f aca="false">IF($A4009="","",TEXT($A4009,"MMM-YY"))</f>
        <v/>
      </c>
      <c r="M4009" s="37" t="str">
        <f aca="false">IF($A4009="","",IF($Q4009=0,"UNMAPPED",INDEX(COA_Mapping!$C$7:$C$256,$Q4009)))</f>
        <v/>
      </c>
      <c r="N4009" s="38" t="str">
        <f aca="false">IF($A4009="","",IF($Q4009=0,"",INDEX(COA_Mapping!$E$7:$E$256,$Q4009)))</f>
        <v/>
      </c>
      <c r="O4009" s="38" t="n">
        <f aca="false">IF($A4009="",1,IF($Q4009=0,1,INDEX(COA_Mapping!$F$7:$F$256,$Q4009)))</f>
        <v>1</v>
      </c>
      <c r="P4009" s="34" t="str">
        <f aca="false">IF($A4009="","",$I4009*$O4009)</f>
        <v/>
      </c>
      <c r="Q4009" s="39" t="n">
        <f aca="false">IF($B4009="",0,IFERROR(MATCH($B4009,COA_Mapping!$A$7:$A$256,0),0))</f>
        <v>0</v>
      </c>
      <c r="R4009" s="39" t="n">
        <f aca="false">IF($A4009="",-1,IF($J4009=Setup!$B$7,1,IF($J4009=Setup!$B$9,0,-1)))</f>
        <v>-1</v>
      </c>
      <c r="S4009" s="35" t="n">
        <f aca="false">IF(OR($A4009="",$Q4009=0,$R4009=-1),0,$Q4009*1000+$R4009*100+$K4009)</f>
        <v>0</v>
      </c>
      <c r="T4009" s="37" t="str">
        <f aca="false">IF($A4009="","",IF($B4009="","NO ACCOUNT",IF($Q4009=0,"UNMAPPED",IF($R4009=-1,"OUTSIDE FY RANGE","OK"))))</f>
        <v/>
      </c>
      <c r="U4009" s="40" t="str">
        <f aca="false">IF($A4009="","",$B4009&amp;"|"&amp;TEXT($A4009,"yyyymmdd")&amp;"|"&amp;TEXT($I4009,"0.00"))</f>
        <v/>
      </c>
      <c r="V4009" s="35" t="str">
        <f aca="false">IF($A4009="","",COUNTIF($U$8:$U$5007,$U4009))</f>
        <v/>
      </c>
    </row>
    <row r="4010" customFormat="false" ht="15" hidden="false" customHeight="false" outlineLevel="0" collapsed="false">
      <c r="A4010" s="31"/>
      <c r="B4010" s="32"/>
      <c r="C4010" s="32"/>
      <c r="D4010" s="32"/>
      <c r="E4010" s="32"/>
      <c r="F4010" s="32"/>
      <c r="G4010" s="33"/>
      <c r="H4010" s="33"/>
      <c r="I4010" s="34" t="str">
        <f aca="false">IF($A4010="","",$G4010-$H4010)</f>
        <v/>
      </c>
      <c r="J4010" s="35" t="str">
        <f aca="false">IF($A4010="","",IF(Setup!$B$6=1,YEAR($A4010),YEAR($A4010)+IF(MONTH($A4010)&gt;=Setup!$B$6,1,0)))</f>
        <v/>
      </c>
      <c r="K4010" s="35" t="str">
        <f aca="false">IF($A4010="","",MOD(MONTH($A4010)-Setup!$B$6+12,12)+1)</f>
        <v/>
      </c>
      <c r="L4010" s="36" t="str">
        <f aca="false">IF($A4010="","",TEXT($A4010,"MMM-YY"))</f>
        <v/>
      </c>
      <c r="M4010" s="37" t="str">
        <f aca="false">IF($A4010="","",IF($Q4010=0,"UNMAPPED",INDEX(COA_Mapping!$C$7:$C$256,$Q4010)))</f>
        <v/>
      </c>
      <c r="N4010" s="38" t="str">
        <f aca="false">IF($A4010="","",IF($Q4010=0,"",INDEX(COA_Mapping!$E$7:$E$256,$Q4010)))</f>
        <v/>
      </c>
      <c r="O4010" s="38" t="n">
        <f aca="false">IF($A4010="",1,IF($Q4010=0,1,INDEX(COA_Mapping!$F$7:$F$256,$Q4010)))</f>
        <v>1</v>
      </c>
      <c r="P4010" s="34" t="str">
        <f aca="false">IF($A4010="","",$I4010*$O4010)</f>
        <v/>
      </c>
      <c r="Q4010" s="39" t="n">
        <f aca="false">IF($B4010="",0,IFERROR(MATCH($B4010,COA_Mapping!$A$7:$A$256,0),0))</f>
        <v>0</v>
      </c>
      <c r="R4010" s="39" t="n">
        <f aca="false">IF($A4010="",-1,IF($J4010=Setup!$B$7,1,IF($J4010=Setup!$B$9,0,-1)))</f>
        <v>-1</v>
      </c>
      <c r="S4010" s="35" t="n">
        <f aca="false">IF(OR($A4010="",$Q4010=0,$R4010=-1),0,$Q4010*1000+$R4010*100+$K4010)</f>
        <v>0</v>
      </c>
      <c r="T4010" s="37" t="str">
        <f aca="false">IF($A4010="","",IF($B4010="","NO ACCOUNT",IF($Q4010=0,"UNMAPPED",IF($R4010=-1,"OUTSIDE FY RANGE","OK"))))</f>
        <v/>
      </c>
      <c r="U4010" s="40" t="str">
        <f aca="false">IF($A4010="","",$B4010&amp;"|"&amp;TEXT($A4010,"yyyymmdd")&amp;"|"&amp;TEXT($I4010,"0.00"))</f>
        <v/>
      </c>
      <c r="V4010" s="35" t="str">
        <f aca="false">IF($A4010="","",COUNTIF($U$8:$U$5007,$U4010))</f>
        <v/>
      </c>
    </row>
    <row r="4011" customFormat="false" ht="15" hidden="false" customHeight="false" outlineLevel="0" collapsed="false">
      <c r="A4011" s="31"/>
      <c r="B4011" s="32"/>
      <c r="C4011" s="32"/>
      <c r="D4011" s="32"/>
      <c r="E4011" s="32"/>
      <c r="F4011" s="32"/>
      <c r="G4011" s="33"/>
      <c r="H4011" s="33"/>
      <c r="I4011" s="34" t="str">
        <f aca="false">IF($A4011="","",$G4011-$H4011)</f>
        <v/>
      </c>
      <c r="J4011" s="35" t="str">
        <f aca="false">IF($A4011="","",IF(Setup!$B$6=1,YEAR($A4011),YEAR($A4011)+IF(MONTH($A4011)&gt;=Setup!$B$6,1,0)))</f>
        <v/>
      </c>
      <c r="K4011" s="35" t="str">
        <f aca="false">IF($A4011="","",MOD(MONTH($A4011)-Setup!$B$6+12,12)+1)</f>
        <v/>
      </c>
      <c r="L4011" s="36" t="str">
        <f aca="false">IF($A4011="","",TEXT($A4011,"MMM-YY"))</f>
        <v/>
      </c>
      <c r="M4011" s="37" t="str">
        <f aca="false">IF($A4011="","",IF($Q4011=0,"UNMAPPED",INDEX(COA_Mapping!$C$7:$C$256,$Q4011)))</f>
        <v/>
      </c>
      <c r="N4011" s="38" t="str">
        <f aca="false">IF($A4011="","",IF($Q4011=0,"",INDEX(COA_Mapping!$E$7:$E$256,$Q4011)))</f>
        <v/>
      </c>
      <c r="O4011" s="38" t="n">
        <f aca="false">IF($A4011="",1,IF($Q4011=0,1,INDEX(COA_Mapping!$F$7:$F$256,$Q4011)))</f>
        <v>1</v>
      </c>
      <c r="P4011" s="34" t="str">
        <f aca="false">IF($A4011="","",$I4011*$O4011)</f>
        <v/>
      </c>
      <c r="Q4011" s="39" t="n">
        <f aca="false">IF($B4011="",0,IFERROR(MATCH($B4011,COA_Mapping!$A$7:$A$256,0),0))</f>
        <v>0</v>
      </c>
      <c r="R4011" s="39" t="n">
        <f aca="false">IF($A4011="",-1,IF($J4011=Setup!$B$7,1,IF($J4011=Setup!$B$9,0,-1)))</f>
        <v>-1</v>
      </c>
      <c r="S4011" s="35" t="n">
        <f aca="false">IF(OR($A4011="",$Q4011=0,$R4011=-1),0,$Q4011*1000+$R4011*100+$K4011)</f>
        <v>0</v>
      </c>
      <c r="T4011" s="37" t="str">
        <f aca="false">IF($A4011="","",IF($B4011="","NO ACCOUNT",IF($Q4011=0,"UNMAPPED",IF($R4011=-1,"OUTSIDE FY RANGE","OK"))))</f>
        <v/>
      </c>
      <c r="U4011" s="40" t="str">
        <f aca="false">IF($A4011="","",$B4011&amp;"|"&amp;TEXT($A4011,"yyyymmdd")&amp;"|"&amp;TEXT($I4011,"0.00"))</f>
        <v/>
      </c>
      <c r="V4011" s="35" t="str">
        <f aca="false">IF($A4011="","",COUNTIF($U$8:$U$5007,$U4011))</f>
        <v/>
      </c>
    </row>
    <row r="4012" customFormat="false" ht="15" hidden="false" customHeight="false" outlineLevel="0" collapsed="false">
      <c r="A4012" s="31"/>
      <c r="B4012" s="32"/>
      <c r="C4012" s="32"/>
      <c r="D4012" s="32"/>
      <c r="E4012" s="32"/>
      <c r="F4012" s="32"/>
      <c r="G4012" s="33"/>
      <c r="H4012" s="33"/>
      <c r="I4012" s="34" t="str">
        <f aca="false">IF($A4012="","",$G4012-$H4012)</f>
        <v/>
      </c>
      <c r="J4012" s="35" t="str">
        <f aca="false">IF($A4012="","",IF(Setup!$B$6=1,YEAR($A4012),YEAR($A4012)+IF(MONTH($A4012)&gt;=Setup!$B$6,1,0)))</f>
        <v/>
      </c>
      <c r="K4012" s="35" t="str">
        <f aca="false">IF($A4012="","",MOD(MONTH($A4012)-Setup!$B$6+12,12)+1)</f>
        <v/>
      </c>
      <c r="L4012" s="36" t="str">
        <f aca="false">IF($A4012="","",TEXT($A4012,"MMM-YY"))</f>
        <v/>
      </c>
      <c r="M4012" s="37" t="str">
        <f aca="false">IF($A4012="","",IF($Q4012=0,"UNMAPPED",INDEX(COA_Mapping!$C$7:$C$256,$Q4012)))</f>
        <v/>
      </c>
      <c r="N4012" s="38" t="str">
        <f aca="false">IF($A4012="","",IF($Q4012=0,"",INDEX(COA_Mapping!$E$7:$E$256,$Q4012)))</f>
        <v/>
      </c>
      <c r="O4012" s="38" t="n">
        <f aca="false">IF($A4012="",1,IF($Q4012=0,1,INDEX(COA_Mapping!$F$7:$F$256,$Q4012)))</f>
        <v>1</v>
      </c>
      <c r="P4012" s="34" t="str">
        <f aca="false">IF($A4012="","",$I4012*$O4012)</f>
        <v/>
      </c>
      <c r="Q4012" s="39" t="n">
        <f aca="false">IF($B4012="",0,IFERROR(MATCH($B4012,COA_Mapping!$A$7:$A$256,0),0))</f>
        <v>0</v>
      </c>
      <c r="R4012" s="39" t="n">
        <f aca="false">IF($A4012="",-1,IF($J4012=Setup!$B$7,1,IF($J4012=Setup!$B$9,0,-1)))</f>
        <v>-1</v>
      </c>
      <c r="S4012" s="35" t="n">
        <f aca="false">IF(OR($A4012="",$Q4012=0,$R4012=-1),0,$Q4012*1000+$R4012*100+$K4012)</f>
        <v>0</v>
      </c>
      <c r="T4012" s="37" t="str">
        <f aca="false">IF($A4012="","",IF($B4012="","NO ACCOUNT",IF($Q4012=0,"UNMAPPED",IF($R4012=-1,"OUTSIDE FY RANGE","OK"))))</f>
        <v/>
      </c>
      <c r="U4012" s="40" t="str">
        <f aca="false">IF($A4012="","",$B4012&amp;"|"&amp;TEXT($A4012,"yyyymmdd")&amp;"|"&amp;TEXT($I4012,"0.00"))</f>
        <v/>
      </c>
      <c r="V4012" s="35" t="str">
        <f aca="false">IF($A4012="","",COUNTIF($U$8:$U$5007,$U4012))</f>
        <v/>
      </c>
    </row>
    <row r="4013" customFormat="false" ht="15" hidden="false" customHeight="false" outlineLevel="0" collapsed="false">
      <c r="A4013" s="31"/>
      <c r="B4013" s="32"/>
      <c r="C4013" s="32"/>
      <c r="D4013" s="32"/>
      <c r="E4013" s="32"/>
      <c r="F4013" s="32"/>
      <c r="G4013" s="33"/>
      <c r="H4013" s="33"/>
      <c r="I4013" s="34" t="str">
        <f aca="false">IF($A4013="","",$G4013-$H4013)</f>
        <v/>
      </c>
      <c r="J4013" s="35" t="str">
        <f aca="false">IF($A4013="","",IF(Setup!$B$6=1,YEAR($A4013),YEAR($A4013)+IF(MONTH($A4013)&gt;=Setup!$B$6,1,0)))</f>
        <v/>
      </c>
      <c r="K4013" s="35" t="str">
        <f aca="false">IF($A4013="","",MOD(MONTH($A4013)-Setup!$B$6+12,12)+1)</f>
        <v/>
      </c>
      <c r="L4013" s="36" t="str">
        <f aca="false">IF($A4013="","",TEXT($A4013,"MMM-YY"))</f>
        <v/>
      </c>
      <c r="M4013" s="37" t="str">
        <f aca="false">IF($A4013="","",IF($Q4013=0,"UNMAPPED",INDEX(COA_Mapping!$C$7:$C$256,$Q4013)))</f>
        <v/>
      </c>
      <c r="N4013" s="38" t="str">
        <f aca="false">IF($A4013="","",IF($Q4013=0,"",INDEX(COA_Mapping!$E$7:$E$256,$Q4013)))</f>
        <v/>
      </c>
      <c r="O4013" s="38" t="n">
        <f aca="false">IF($A4013="",1,IF($Q4013=0,1,INDEX(COA_Mapping!$F$7:$F$256,$Q4013)))</f>
        <v>1</v>
      </c>
      <c r="P4013" s="34" t="str">
        <f aca="false">IF($A4013="","",$I4013*$O4013)</f>
        <v/>
      </c>
      <c r="Q4013" s="39" t="n">
        <f aca="false">IF($B4013="",0,IFERROR(MATCH($B4013,COA_Mapping!$A$7:$A$256,0),0))</f>
        <v>0</v>
      </c>
      <c r="R4013" s="39" t="n">
        <f aca="false">IF($A4013="",-1,IF($J4013=Setup!$B$7,1,IF($J4013=Setup!$B$9,0,-1)))</f>
        <v>-1</v>
      </c>
      <c r="S4013" s="35" t="n">
        <f aca="false">IF(OR($A4013="",$Q4013=0,$R4013=-1),0,$Q4013*1000+$R4013*100+$K4013)</f>
        <v>0</v>
      </c>
      <c r="T4013" s="37" t="str">
        <f aca="false">IF($A4013="","",IF($B4013="","NO ACCOUNT",IF($Q4013=0,"UNMAPPED",IF($R4013=-1,"OUTSIDE FY RANGE","OK"))))</f>
        <v/>
      </c>
      <c r="U4013" s="40" t="str">
        <f aca="false">IF($A4013="","",$B4013&amp;"|"&amp;TEXT($A4013,"yyyymmdd")&amp;"|"&amp;TEXT($I4013,"0.00"))</f>
        <v/>
      </c>
      <c r="V4013" s="35" t="str">
        <f aca="false">IF($A4013="","",COUNTIF($U$8:$U$5007,$U4013))</f>
        <v/>
      </c>
    </row>
    <row r="4014" customFormat="false" ht="15" hidden="false" customHeight="false" outlineLevel="0" collapsed="false">
      <c r="A4014" s="31"/>
      <c r="B4014" s="32"/>
      <c r="C4014" s="32"/>
      <c r="D4014" s="32"/>
      <c r="E4014" s="32"/>
      <c r="F4014" s="32"/>
      <c r="G4014" s="33"/>
      <c r="H4014" s="33"/>
      <c r="I4014" s="34" t="str">
        <f aca="false">IF($A4014="","",$G4014-$H4014)</f>
        <v/>
      </c>
      <c r="J4014" s="35" t="str">
        <f aca="false">IF($A4014="","",IF(Setup!$B$6=1,YEAR($A4014),YEAR($A4014)+IF(MONTH($A4014)&gt;=Setup!$B$6,1,0)))</f>
        <v/>
      </c>
      <c r="K4014" s="35" t="str">
        <f aca="false">IF($A4014="","",MOD(MONTH($A4014)-Setup!$B$6+12,12)+1)</f>
        <v/>
      </c>
      <c r="L4014" s="36" t="str">
        <f aca="false">IF($A4014="","",TEXT($A4014,"MMM-YY"))</f>
        <v/>
      </c>
      <c r="M4014" s="37" t="str">
        <f aca="false">IF($A4014="","",IF($Q4014=0,"UNMAPPED",INDEX(COA_Mapping!$C$7:$C$256,$Q4014)))</f>
        <v/>
      </c>
      <c r="N4014" s="38" t="str">
        <f aca="false">IF($A4014="","",IF($Q4014=0,"",INDEX(COA_Mapping!$E$7:$E$256,$Q4014)))</f>
        <v/>
      </c>
      <c r="O4014" s="38" t="n">
        <f aca="false">IF($A4014="",1,IF($Q4014=0,1,INDEX(COA_Mapping!$F$7:$F$256,$Q4014)))</f>
        <v>1</v>
      </c>
      <c r="P4014" s="34" t="str">
        <f aca="false">IF($A4014="","",$I4014*$O4014)</f>
        <v/>
      </c>
      <c r="Q4014" s="39" t="n">
        <f aca="false">IF($B4014="",0,IFERROR(MATCH($B4014,COA_Mapping!$A$7:$A$256,0),0))</f>
        <v>0</v>
      </c>
      <c r="R4014" s="39" t="n">
        <f aca="false">IF($A4014="",-1,IF($J4014=Setup!$B$7,1,IF($J4014=Setup!$B$9,0,-1)))</f>
        <v>-1</v>
      </c>
      <c r="S4014" s="35" t="n">
        <f aca="false">IF(OR($A4014="",$Q4014=0,$R4014=-1),0,$Q4014*1000+$R4014*100+$K4014)</f>
        <v>0</v>
      </c>
      <c r="T4014" s="37" t="str">
        <f aca="false">IF($A4014="","",IF($B4014="","NO ACCOUNT",IF($Q4014=0,"UNMAPPED",IF($R4014=-1,"OUTSIDE FY RANGE","OK"))))</f>
        <v/>
      </c>
      <c r="U4014" s="40" t="str">
        <f aca="false">IF($A4014="","",$B4014&amp;"|"&amp;TEXT($A4014,"yyyymmdd")&amp;"|"&amp;TEXT($I4014,"0.00"))</f>
        <v/>
      </c>
      <c r="V4014" s="35" t="str">
        <f aca="false">IF($A4014="","",COUNTIF($U$8:$U$5007,$U4014))</f>
        <v/>
      </c>
    </row>
    <row r="4015" customFormat="false" ht="15" hidden="false" customHeight="false" outlineLevel="0" collapsed="false">
      <c r="A4015" s="31"/>
      <c r="B4015" s="32"/>
      <c r="C4015" s="32"/>
      <c r="D4015" s="32"/>
      <c r="E4015" s="32"/>
      <c r="F4015" s="32"/>
      <c r="G4015" s="33"/>
      <c r="H4015" s="33"/>
      <c r="I4015" s="34" t="str">
        <f aca="false">IF($A4015="","",$G4015-$H4015)</f>
        <v/>
      </c>
      <c r="J4015" s="35" t="str">
        <f aca="false">IF($A4015="","",IF(Setup!$B$6=1,YEAR($A4015),YEAR($A4015)+IF(MONTH($A4015)&gt;=Setup!$B$6,1,0)))</f>
        <v/>
      </c>
      <c r="K4015" s="35" t="str">
        <f aca="false">IF($A4015="","",MOD(MONTH($A4015)-Setup!$B$6+12,12)+1)</f>
        <v/>
      </c>
      <c r="L4015" s="36" t="str">
        <f aca="false">IF($A4015="","",TEXT($A4015,"MMM-YY"))</f>
        <v/>
      </c>
      <c r="M4015" s="37" t="str">
        <f aca="false">IF($A4015="","",IF($Q4015=0,"UNMAPPED",INDEX(COA_Mapping!$C$7:$C$256,$Q4015)))</f>
        <v/>
      </c>
      <c r="N4015" s="38" t="str">
        <f aca="false">IF($A4015="","",IF($Q4015=0,"",INDEX(COA_Mapping!$E$7:$E$256,$Q4015)))</f>
        <v/>
      </c>
      <c r="O4015" s="38" t="n">
        <f aca="false">IF($A4015="",1,IF($Q4015=0,1,INDEX(COA_Mapping!$F$7:$F$256,$Q4015)))</f>
        <v>1</v>
      </c>
      <c r="P4015" s="34" t="str">
        <f aca="false">IF($A4015="","",$I4015*$O4015)</f>
        <v/>
      </c>
      <c r="Q4015" s="39" t="n">
        <f aca="false">IF($B4015="",0,IFERROR(MATCH($B4015,COA_Mapping!$A$7:$A$256,0),0))</f>
        <v>0</v>
      </c>
      <c r="R4015" s="39" t="n">
        <f aca="false">IF($A4015="",-1,IF($J4015=Setup!$B$7,1,IF($J4015=Setup!$B$9,0,-1)))</f>
        <v>-1</v>
      </c>
      <c r="S4015" s="35" t="n">
        <f aca="false">IF(OR($A4015="",$Q4015=0,$R4015=-1),0,$Q4015*1000+$R4015*100+$K4015)</f>
        <v>0</v>
      </c>
      <c r="T4015" s="37" t="str">
        <f aca="false">IF($A4015="","",IF($B4015="","NO ACCOUNT",IF($Q4015=0,"UNMAPPED",IF($R4015=-1,"OUTSIDE FY RANGE","OK"))))</f>
        <v/>
      </c>
      <c r="U4015" s="40" t="str">
        <f aca="false">IF($A4015="","",$B4015&amp;"|"&amp;TEXT($A4015,"yyyymmdd")&amp;"|"&amp;TEXT($I4015,"0.00"))</f>
        <v/>
      </c>
      <c r="V4015" s="35" t="str">
        <f aca="false">IF($A4015="","",COUNTIF($U$8:$U$5007,$U4015))</f>
        <v/>
      </c>
    </row>
    <row r="4016" customFormat="false" ht="15" hidden="false" customHeight="false" outlineLevel="0" collapsed="false">
      <c r="A4016" s="31"/>
      <c r="B4016" s="32"/>
      <c r="C4016" s="32"/>
      <c r="D4016" s="32"/>
      <c r="E4016" s="32"/>
      <c r="F4016" s="32"/>
      <c r="G4016" s="33"/>
      <c r="H4016" s="33"/>
      <c r="I4016" s="34" t="str">
        <f aca="false">IF($A4016="","",$G4016-$H4016)</f>
        <v/>
      </c>
      <c r="J4016" s="35" t="str">
        <f aca="false">IF($A4016="","",IF(Setup!$B$6=1,YEAR($A4016),YEAR($A4016)+IF(MONTH($A4016)&gt;=Setup!$B$6,1,0)))</f>
        <v/>
      </c>
      <c r="K4016" s="35" t="str">
        <f aca="false">IF($A4016="","",MOD(MONTH($A4016)-Setup!$B$6+12,12)+1)</f>
        <v/>
      </c>
      <c r="L4016" s="36" t="str">
        <f aca="false">IF($A4016="","",TEXT($A4016,"MMM-YY"))</f>
        <v/>
      </c>
      <c r="M4016" s="37" t="str">
        <f aca="false">IF($A4016="","",IF($Q4016=0,"UNMAPPED",INDEX(COA_Mapping!$C$7:$C$256,$Q4016)))</f>
        <v/>
      </c>
      <c r="N4016" s="38" t="str">
        <f aca="false">IF($A4016="","",IF($Q4016=0,"",INDEX(COA_Mapping!$E$7:$E$256,$Q4016)))</f>
        <v/>
      </c>
      <c r="O4016" s="38" t="n">
        <f aca="false">IF($A4016="",1,IF($Q4016=0,1,INDEX(COA_Mapping!$F$7:$F$256,$Q4016)))</f>
        <v>1</v>
      </c>
      <c r="P4016" s="34" t="str">
        <f aca="false">IF($A4016="","",$I4016*$O4016)</f>
        <v/>
      </c>
      <c r="Q4016" s="39" t="n">
        <f aca="false">IF($B4016="",0,IFERROR(MATCH($B4016,COA_Mapping!$A$7:$A$256,0),0))</f>
        <v>0</v>
      </c>
      <c r="R4016" s="39" t="n">
        <f aca="false">IF($A4016="",-1,IF($J4016=Setup!$B$7,1,IF($J4016=Setup!$B$9,0,-1)))</f>
        <v>-1</v>
      </c>
      <c r="S4016" s="35" t="n">
        <f aca="false">IF(OR($A4016="",$Q4016=0,$R4016=-1),0,$Q4016*1000+$R4016*100+$K4016)</f>
        <v>0</v>
      </c>
      <c r="T4016" s="37" t="str">
        <f aca="false">IF($A4016="","",IF($B4016="","NO ACCOUNT",IF($Q4016=0,"UNMAPPED",IF($R4016=-1,"OUTSIDE FY RANGE","OK"))))</f>
        <v/>
      </c>
      <c r="U4016" s="40" t="str">
        <f aca="false">IF($A4016="","",$B4016&amp;"|"&amp;TEXT($A4016,"yyyymmdd")&amp;"|"&amp;TEXT($I4016,"0.00"))</f>
        <v/>
      </c>
      <c r="V4016" s="35" t="str">
        <f aca="false">IF($A4016="","",COUNTIF($U$8:$U$5007,$U4016))</f>
        <v/>
      </c>
    </row>
    <row r="4017" customFormat="false" ht="15" hidden="false" customHeight="false" outlineLevel="0" collapsed="false">
      <c r="A4017" s="31"/>
      <c r="B4017" s="32"/>
      <c r="C4017" s="32"/>
      <c r="D4017" s="32"/>
      <c r="E4017" s="32"/>
      <c r="F4017" s="32"/>
      <c r="G4017" s="33"/>
      <c r="H4017" s="33"/>
      <c r="I4017" s="34" t="str">
        <f aca="false">IF($A4017="","",$G4017-$H4017)</f>
        <v/>
      </c>
      <c r="J4017" s="35" t="str">
        <f aca="false">IF($A4017="","",IF(Setup!$B$6=1,YEAR($A4017),YEAR($A4017)+IF(MONTH($A4017)&gt;=Setup!$B$6,1,0)))</f>
        <v/>
      </c>
      <c r="K4017" s="35" t="str">
        <f aca="false">IF($A4017="","",MOD(MONTH($A4017)-Setup!$B$6+12,12)+1)</f>
        <v/>
      </c>
      <c r="L4017" s="36" t="str">
        <f aca="false">IF($A4017="","",TEXT($A4017,"MMM-YY"))</f>
        <v/>
      </c>
      <c r="M4017" s="37" t="str">
        <f aca="false">IF($A4017="","",IF($Q4017=0,"UNMAPPED",INDEX(COA_Mapping!$C$7:$C$256,$Q4017)))</f>
        <v/>
      </c>
      <c r="N4017" s="38" t="str">
        <f aca="false">IF($A4017="","",IF($Q4017=0,"",INDEX(COA_Mapping!$E$7:$E$256,$Q4017)))</f>
        <v/>
      </c>
      <c r="O4017" s="38" t="n">
        <f aca="false">IF($A4017="",1,IF($Q4017=0,1,INDEX(COA_Mapping!$F$7:$F$256,$Q4017)))</f>
        <v>1</v>
      </c>
      <c r="P4017" s="34" t="str">
        <f aca="false">IF($A4017="","",$I4017*$O4017)</f>
        <v/>
      </c>
      <c r="Q4017" s="39" t="n">
        <f aca="false">IF($B4017="",0,IFERROR(MATCH($B4017,COA_Mapping!$A$7:$A$256,0),0))</f>
        <v>0</v>
      </c>
      <c r="R4017" s="39" t="n">
        <f aca="false">IF($A4017="",-1,IF($J4017=Setup!$B$7,1,IF($J4017=Setup!$B$9,0,-1)))</f>
        <v>-1</v>
      </c>
      <c r="S4017" s="35" t="n">
        <f aca="false">IF(OR($A4017="",$Q4017=0,$R4017=-1),0,$Q4017*1000+$R4017*100+$K4017)</f>
        <v>0</v>
      </c>
      <c r="T4017" s="37" t="str">
        <f aca="false">IF($A4017="","",IF($B4017="","NO ACCOUNT",IF($Q4017=0,"UNMAPPED",IF($R4017=-1,"OUTSIDE FY RANGE","OK"))))</f>
        <v/>
      </c>
      <c r="U4017" s="40" t="str">
        <f aca="false">IF($A4017="","",$B4017&amp;"|"&amp;TEXT($A4017,"yyyymmdd")&amp;"|"&amp;TEXT($I4017,"0.00"))</f>
        <v/>
      </c>
      <c r="V4017" s="35" t="str">
        <f aca="false">IF($A4017="","",COUNTIF($U$8:$U$5007,$U4017))</f>
        <v/>
      </c>
    </row>
    <row r="4018" customFormat="false" ht="15" hidden="false" customHeight="false" outlineLevel="0" collapsed="false">
      <c r="A4018" s="31"/>
      <c r="B4018" s="32"/>
      <c r="C4018" s="32"/>
      <c r="D4018" s="32"/>
      <c r="E4018" s="32"/>
      <c r="F4018" s="32"/>
      <c r="G4018" s="33"/>
      <c r="H4018" s="33"/>
      <c r="I4018" s="34" t="str">
        <f aca="false">IF($A4018="","",$G4018-$H4018)</f>
        <v/>
      </c>
      <c r="J4018" s="35" t="str">
        <f aca="false">IF($A4018="","",IF(Setup!$B$6=1,YEAR($A4018),YEAR($A4018)+IF(MONTH($A4018)&gt;=Setup!$B$6,1,0)))</f>
        <v/>
      </c>
      <c r="K4018" s="35" t="str">
        <f aca="false">IF($A4018="","",MOD(MONTH($A4018)-Setup!$B$6+12,12)+1)</f>
        <v/>
      </c>
      <c r="L4018" s="36" t="str">
        <f aca="false">IF($A4018="","",TEXT($A4018,"MMM-YY"))</f>
        <v/>
      </c>
      <c r="M4018" s="37" t="str">
        <f aca="false">IF($A4018="","",IF($Q4018=0,"UNMAPPED",INDEX(COA_Mapping!$C$7:$C$256,$Q4018)))</f>
        <v/>
      </c>
      <c r="N4018" s="38" t="str">
        <f aca="false">IF($A4018="","",IF($Q4018=0,"",INDEX(COA_Mapping!$E$7:$E$256,$Q4018)))</f>
        <v/>
      </c>
      <c r="O4018" s="38" t="n">
        <f aca="false">IF($A4018="",1,IF($Q4018=0,1,INDEX(COA_Mapping!$F$7:$F$256,$Q4018)))</f>
        <v>1</v>
      </c>
      <c r="P4018" s="34" t="str">
        <f aca="false">IF($A4018="","",$I4018*$O4018)</f>
        <v/>
      </c>
      <c r="Q4018" s="39" t="n">
        <f aca="false">IF($B4018="",0,IFERROR(MATCH($B4018,COA_Mapping!$A$7:$A$256,0),0))</f>
        <v>0</v>
      </c>
      <c r="R4018" s="39" t="n">
        <f aca="false">IF($A4018="",-1,IF($J4018=Setup!$B$7,1,IF($J4018=Setup!$B$9,0,-1)))</f>
        <v>-1</v>
      </c>
      <c r="S4018" s="35" t="n">
        <f aca="false">IF(OR($A4018="",$Q4018=0,$R4018=-1),0,$Q4018*1000+$R4018*100+$K4018)</f>
        <v>0</v>
      </c>
      <c r="T4018" s="37" t="str">
        <f aca="false">IF($A4018="","",IF($B4018="","NO ACCOUNT",IF($Q4018=0,"UNMAPPED",IF($R4018=-1,"OUTSIDE FY RANGE","OK"))))</f>
        <v/>
      </c>
      <c r="U4018" s="40" t="str">
        <f aca="false">IF($A4018="","",$B4018&amp;"|"&amp;TEXT($A4018,"yyyymmdd")&amp;"|"&amp;TEXT($I4018,"0.00"))</f>
        <v/>
      </c>
      <c r="V4018" s="35" t="str">
        <f aca="false">IF($A4018="","",COUNTIF($U$8:$U$5007,$U4018))</f>
        <v/>
      </c>
    </row>
    <row r="4019" customFormat="false" ht="15" hidden="false" customHeight="false" outlineLevel="0" collapsed="false">
      <c r="A4019" s="31"/>
      <c r="B4019" s="32"/>
      <c r="C4019" s="32"/>
      <c r="D4019" s="32"/>
      <c r="E4019" s="32"/>
      <c r="F4019" s="32"/>
      <c r="G4019" s="33"/>
      <c r="H4019" s="33"/>
      <c r="I4019" s="34" t="str">
        <f aca="false">IF($A4019="","",$G4019-$H4019)</f>
        <v/>
      </c>
      <c r="J4019" s="35" t="str">
        <f aca="false">IF($A4019="","",IF(Setup!$B$6=1,YEAR($A4019),YEAR($A4019)+IF(MONTH($A4019)&gt;=Setup!$B$6,1,0)))</f>
        <v/>
      </c>
      <c r="K4019" s="35" t="str">
        <f aca="false">IF($A4019="","",MOD(MONTH($A4019)-Setup!$B$6+12,12)+1)</f>
        <v/>
      </c>
      <c r="L4019" s="36" t="str">
        <f aca="false">IF($A4019="","",TEXT($A4019,"MMM-YY"))</f>
        <v/>
      </c>
      <c r="M4019" s="37" t="str">
        <f aca="false">IF($A4019="","",IF($Q4019=0,"UNMAPPED",INDEX(COA_Mapping!$C$7:$C$256,$Q4019)))</f>
        <v/>
      </c>
      <c r="N4019" s="38" t="str">
        <f aca="false">IF($A4019="","",IF($Q4019=0,"",INDEX(COA_Mapping!$E$7:$E$256,$Q4019)))</f>
        <v/>
      </c>
      <c r="O4019" s="38" t="n">
        <f aca="false">IF($A4019="",1,IF($Q4019=0,1,INDEX(COA_Mapping!$F$7:$F$256,$Q4019)))</f>
        <v>1</v>
      </c>
      <c r="P4019" s="34" t="str">
        <f aca="false">IF($A4019="","",$I4019*$O4019)</f>
        <v/>
      </c>
      <c r="Q4019" s="39" t="n">
        <f aca="false">IF($B4019="",0,IFERROR(MATCH($B4019,COA_Mapping!$A$7:$A$256,0),0))</f>
        <v>0</v>
      </c>
      <c r="R4019" s="39" t="n">
        <f aca="false">IF($A4019="",-1,IF($J4019=Setup!$B$7,1,IF($J4019=Setup!$B$9,0,-1)))</f>
        <v>-1</v>
      </c>
      <c r="S4019" s="35" t="n">
        <f aca="false">IF(OR($A4019="",$Q4019=0,$R4019=-1),0,$Q4019*1000+$R4019*100+$K4019)</f>
        <v>0</v>
      </c>
      <c r="T4019" s="37" t="str">
        <f aca="false">IF($A4019="","",IF($B4019="","NO ACCOUNT",IF($Q4019=0,"UNMAPPED",IF($R4019=-1,"OUTSIDE FY RANGE","OK"))))</f>
        <v/>
      </c>
      <c r="U4019" s="40" t="str">
        <f aca="false">IF($A4019="","",$B4019&amp;"|"&amp;TEXT($A4019,"yyyymmdd")&amp;"|"&amp;TEXT($I4019,"0.00"))</f>
        <v/>
      </c>
      <c r="V4019" s="35" t="str">
        <f aca="false">IF($A4019="","",COUNTIF($U$8:$U$5007,$U4019))</f>
        <v/>
      </c>
    </row>
    <row r="4020" customFormat="false" ht="15" hidden="false" customHeight="false" outlineLevel="0" collapsed="false">
      <c r="A4020" s="31"/>
      <c r="B4020" s="32"/>
      <c r="C4020" s="32"/>
      <c r="D4020" s="32"/>
      <c r="E4020" s="32"/>
      <c r="F4020" s="32"/>
      <c r="G4020" s="33"/>
      <c r="H4020" s="33"/>
      <c r="I4020" s="34" t="str">
        <f aca="false">IF($A4020="","",$G4020-$H4020)</f>
        <v/>
      </c>
      <c r="J4020" s="35" t="str">
        <f aca="false">IF($A4020="","",IF(Setup!$B$6=1,YEAR($A4020),YEAR($A4020)+IF(MONTH($A4020)&gt;=Setup!$B$6,1,0)))</f>
        <v/>
      </c>
      <c r="K4020" s="35" t="str">
        <f aca="false">IF($A4020="","",MOD(MONTH($A4020)-Setup!$B$6+12,12)+1)</f>
        <v/>
      </c>
      <c r="L4020" s="36" t="str">
        <f aca="false">IF($A4020="","",TEXT($A4020,"MMM-YY"))</f>
        <v/>
      </c>
      <c r="M4020" s="37" t="str">
        <f aca="false">IF($A4020="","",IF($Q4020=0,"UNMAPPED",INDEX(COA_Mapping!$C$7:$C$256,$Q4020)))</f>
        <v/>
      </c>
      <c r="N4020" s="38" t="str">
        <f aca="false">IF($A4020="","",IF($Q4020=0,"",INDEX(COA_Mapping!$E$7:$E$256,$Q4020)))</f>
        <v/>
      </c>
      <c r="O4020" s="38" t="n">
        <f aca="false">IF($A4020="",1,IF($Q4020=0,1,INDEX(COA_Mapping!$F$7:$F$256,$Q4020)))</f>
        <v>1</v>
      </c>
      <c r="P4020" s="34" t="str">
        <f aca="false">IF($A4020="","",$I4020*$O4020)</f>
        <v/>
      </c>
      <c r="Q4020" s="39" t="n">
        <f aca="false">IF($B4020="",0,IFERROR(MATCH($B4020,COA_Mapping!$A$7:$A$256,0),0))</f>
        <v>0</v>
      </c>
      <c r="R4020" s="39" t="n">
        <f aca="false">IF($A4020="",-1,IF($J4020=Setup!$B$7,1,IF($J4020=Setup!$B$9,0,-1)))</f>
        <v>-1</v>
      </c>
      <c r="S4020" s="35" t="n">
        <f aca="false">IF(OR($A4020="",$Q4020=0,$R4020=-1),0,$Q4020*1000+$R4020*100+$K4020)</f>
        <v>0</v>
      </c>
      <c r="T4020" s="37" t="str">
        <f aca="false">IF($A4020="","",IF($B4020="","NO ACCOUNT",IF($Q4020=0,"UNMAPPED",IF($R4020=-1,"OUTSIDE FY RANGE","OK"))))</f>
        <v/>
      </c>
      <c r="U4020" s="40" t="str">
        <f aca="false">IF($A4020="","",$B4020&amp;"|"&amp;TEXT($A4020,"yyyymmdd")&amp;"|"&amp;TEXT($I4020,"0.00"))</f>
        <v/>
      </c>
      <c r="V4020" s="35" t="str">
        <f aca="false">IF($A4020="","",COUNTIF($U$8:$U$5007,$U4020))</f>
        <v/>
      </c>
    </row>
    <row r="4021" customFormat="false" ht="15" hidden="false" customHeight="false" outlineLevel="0" collapsed="false">
      <c r="A4021" s="31"/>
      <c r="B4021" s="32"/>
      <c r="C4021" s="32"/>
      <c r="D4021" s="32"/>
      <c r="E4021" s="32"/>
      <c r="F4021" s="32"/>
      <c r="G4021" s="33"/>
      <c r="H4021" s="33"/>
      <c r="I4021" s="34" t="str">
        <f aca="false">IF($A4021="","",$G4021-$H4021)</f>
        <v/>
      </c>
      <c r="J4021" s="35" t="str">
        <f aca="false">IF($A4021="","",IF(Setup!$B$6=1,YEAR($A4021),YEAR($A4021)+IF(MONTH($A4021)&gt;=Setup!$B$6,1,0)))</f>
        <v/>
      </c>
      <c r="K4021" s="35" t="str">
        <f aca="false">IF($A4021="","",MOD(MONTH($A4021)-Setup!$B$6+12,12)+1)</f>
        <v/>
      </c>
      <c r="L4021" s="36" t="str">
        <f aca="false">IF($A4021="","",TEXT($A4021,"MMM-YY"))</f>
        <v/>
      </c>
      <c r="M4021" s="37" t="str">
        <f aca="false">IF($A4021="","",IF($Q4021=0,"UNMAPPED",INDEX(COA_Mapping!$C$7:$C$256,$Q4021)))</f>
        <v/>
      </c>
      <c r="N4021" s="38" t="str">
        <f aca="false">IF($A4021="","",IF($Q4021=0,"",INDEX(COA_Mapping!$E$7:$E$256,$Q4021)))</f>
        <v/>
      </c>
      <c r="O4021" s="38" t="n">
        <f aca="false">IF($A4021="",1,IF($Q4021=0,1,INDEX(COA_Mapping!$F$7:$F$256,$Q4021)))</f>
        <v>1</v>
      </c>
      <c r="P4021" s="34" t="str">
        <f aca="false">IF($A4021="","",$I4021*$O4021)</f>
        <v/>
      </c>
      <c r="Q4021" s="39" t="n">
        <f aca="false">IF($B4021="",0,IFERROR(MATCH($B4021,COA_Mapping!$A$7:$A$256,0),0))</f>
        <v>0</v>
      </c>
      <c r="R4021" s="39" t="n">
        <f aca="false">IF($A4021="",-1,IF($J4021=Setup!$B$7,1,IF($J4021=Setup!$B$9,0,-1)))</f>
        <v>-1</v>
      </c>
      <c r="S4021" s="35" t="n">
        <f aca="false">IF(OR($A4021="",$Q4021=0,$R4021=-1),0,$Q4021*1000+$R4021*100+$K4021)</f>
        <v>0</v>
      </c>
      <c r="T4021" s="37" t="str">
        <f aca="false">IF($A4021="","",IF($B4021="","NO ACCOUNT",IF($Q4021=0,"UNMAPPED",IF($R4021=-1,"OUTSIDE FY RANGE","OK"))))</f>
        <v/>
      </c>
      <c r="U4021" s="40" t="str">
        <f aca="false">IF($A4021="","",$B4021&amp;"|"&amp;TEXT($A4021,"yyyymmdd")&amp;"|"&amp;TEXT($I4021,"0.00"))</f>
        <v/>
      </c>
      <c r="V4021" s="35" t="str">
        <f aca="false">IF($A4021="","",COUNTIF($U$8:$U$5007,$U4021))</f>
        <v/>
      </c>
    </row>
    <row r="4022" customFormat="false" ht="15" hidden="false" customHeight="false" outlineLevel="0" collapsed="false">
      <c r="A4022" s="31"/>
      <c r="B4022" s="32"/>
      <c r="C4022" s="32"/>
      <c r="D4022" s="32"/>
      <c r="E4022" s="32"/>
      <c r="F4022" s="32"/>
      <c r="G4022" s="33"/>
      <c r="H4022" s="33"/>
      <c r="I4022" s="34" t="str">
        <f aca="false">IF($A4022="","",$G4022-$H4022)</f>
        <v/>
      </c>
      <c r="J4022" s="35" t="str">
        <f aca="false">IF($A4022="","",IF(Setup!$B$6=1,YEAR($A4022),YEAR($A4022)+IF(MONTH($A4022)&gt;=Setup!$B$6,1,0)))</f>
        <v/>
      </c>
      <c r="K4022" s="35" t="str">
        <f aca="false">IF($A4022="","",MOD(MONTH($A4022)-Setup!$B$6+12,12)+1)</f>
        <v/>
      </c>
      <c r="L4022" s="36" t="str">
        <f aca="false">IF($A4022="","",TEXT($A4022,"MMM-YY"))</f>
        <v/>
      </c>
      <c r="M4022" s="37" t="str">
        <f aca="false">IF($A4022="","",IF($Q4022=0,"UNMAPPED",INDEX(COA_Mapping!$C$7:$C$256,$Q4022)))</f>
        <v/>
      </c>
      <c r="N4022" s="38" t="str">
        <f aca="false">IF($A4022="","",IF($Q4022=0,"",INDEX(COA_Mapping!$E$7:$E$256,$Q4022)))</f>
        <v/>
      </c>
      <c r="O4022" s="38" t="n">
        <f aca="false">IF($A4022="",1,IF($Q4022=0,1,INDEX(COA_Mapping!$F$7:$F$256,$Q4022)))</f>
        <v>1</v>
      </c>
      <c r="P4022" s="34" t="str">
        <f aca="false">IF($A4022="","",$I4022*$O4022)</f>
        <v/>
      </c>
      <c r="Q4022" s="39" t="n">
        <f aca="false">IF($B4022="",0,IFERROR(MATCH($B4022,COA_Mapping!$A$7:$A$256,0),0))</f>
        <v>0</v>
      </c>
      <c r="R4022" s="39" t="n">
        <f aca="false">IF($A4022="",-1,IF($J4022=Setup!$B$7,1,IF($J4022=Setup!$B$9,0,-1)))</f>
        <v>-1</v>
      </c>
      <c r="S4022" s="35" t="n">
        <f aca="false">IF(OR($A4022="",$Q4022=0,$R4022=-1),0,$Q4022*1000+$R4022*100+$K4022)</f>
        <v>0</v>
      </c>
      <c r="T4022" s="37" t="str">
        <f aca="false">IF($A4022="","",IF($B4022="","NO ACCOUNT",IF($Q4022=0,"UNMAPPED",IF($R4022=-1,"OUTSIDE FY RANGE","OK"))))</f>
        <v/>
      </c>
      <c r="U4022" s="40" t="str">
        <f aca="false">IF($A4022="","",$B4022&amp;"|"&amp;TEXT($A4022,"yyyymmdd")&amp;"|"&amp;TEXT($I4022,"0.00"))</f>
        <v/>
      </c>
      <c r="V4022" s="35" t="str">
        <f aca="false">IF($A4022="","",COUNTIF($U$8:$U$5007,$U4022))</f>
        <v/>
      </c>
    </row>
    <row r="4023" customFormat="false" ht="15" hidden="false" customHeight="false" outlineLevel="0" collapsed="false">
      <c r="A4023" s="31"/>
      <c r="B4023" s="32"/>
      <c r="C4023" s="32"/>
      <c r="D4023" s="32"/>
      <c r="E4023" s="32"/>
      <c r="F4023" s="32"/>
      <c r="G4023" s="33"/>
      <c r="H4023" s="33"/>
      <c r="I4023" s="34" t="str">
        <f aca="false">IF($A4023="","",$G4023-$H4023)</f>
        <v/>
      </c>
      <c r="J4023" s="35" t="str">
        <f aca="false">IF($A4023="","",IF(Setup!$B$6=1,YEAR($A4023),YEAR($A4023)+IF(MONTH($A4023)&gt;=Setup!$B$6,1,0)))</f>
        <v/>
      </c>
      <c r="K4023" s="35" t="str">
        <f aca="false">IF($A4023="","",MOD(MONTH($A4023)-Setup!$B$6+12,12)+1)</f>
        <v/>
      </c>
      <c r="L4023" s="36" t="str">
        <f aca="false">IF($A4023="","",TEXT($A4023,"MMM-YY"))</f>
        <v/>
      </c>
      <c r="M4023" s="37" t="str">
        <f aca="false">IF($A4023="","",IF($Q4023=0,"UNMAPPED",INDEX(COA_Mapping!$C$7:$C$256,$Q4023)))</f>
        <v/>
      </c>
      <c r="N4023" s="38" t="str">
        <f aca="false">IF($A4023="","",IF($Q4023=0,"",INDEX(COA_Mapping!$E$7:$E$256,$Q4023)))</f>
        <v/>
      </c>
      <c r="O4023" s="38" t="n">
        <f aca="false">IF($A4023="",1,IF($Q4023=0,1,INDEX(COA_Mapping!$F$7:$F$256,$Q4023)))</f>
        <v>1</v>
      </c>
      <c r="P4023" s="34" t="str">
        <f aca="false">IF($A4023="","",$I4023*$O4023)</f>
        <v/>
      </c>
      <c r="Q4023" s="39" t="n">
        <f aca="false">IF($B4023="",0,IFERROR(MATCH($B4023,COA_Mapping!$A$7:$A$256,0),0))</f>
        <v>0</v>
      </c>
      <c r="R4023" s="39" t="n">
        <f aca="false">IF($A4023="",-1,IF($J4023=Setup!$B$7,1,IF($J4023=Setup!$B$9,0,-1)))</f>
        <v>-1</v>
      </c>
      <c r="S4023" s="35" t="n">
        <f aca="false">IF(OR($A4023="",$Q4023=0,$R4023=-1),0,$Q4023*1000+$R4023*100+$K4023)</f>
        <v>0</v>
      </c>
      <c r="T4023" s="37" t="str">
        <f aca="false">IF($A4023="","",IF($B4023="","NO ACCOUNT",IF($Q4023=0,"UNMAPPED",IF($R4023=-1,"OUTSIDE FY RANGE","OK"))))</f>
        <v/>
      </c>
      <c r="U4023" s="40" t="str">
        <f aca="false">IF($A4023="","",$B4023&amp;"|"&amp;TEXT($A4023,"yyyymmdd")&amp;"|"&amp;TEXT($I4023,"0.00"))</f>
        <v/>
      </c>
      <c r="V4023" s="35" t="str">
        <f aca="false">IF($A4023="","",COUNTIF($U$8:$U$5007,$U4023))</f>
        <v/>
      </c>
    </row>
    <row r="4024" customFormat="false" ht="15" hidden="false" customHeight="false" outlineLevel="0" collapsed="false">
      <c r="A4024" s="31"/>
      <c r="B4024" s="32"/>
      <c r="C4024" s="32"/>
      <c r="D4024" s="32"/>
      <c r="E4024" s="32"/>
      <c r="F4024" s="32"/>
      <c r="G4024" s="33"/>
      <c r="H4024" s="33"/>
      <c r="I4024" s="34" t="str">
        <f aca="false">IF($A4024="","",$G4024-$H4024)</f>
        <v/>
      </c>
      <c r="J4024" s="35" t="str">
        <f aca="false">IF($A4024="","",IF(Setup!$B$6=1,YEAR($A4024),YEAR($A4024)+IF(MONTH($A4024)&gt;=Setup!$B$6,1,0)))</f>
        <v/>
      </c>
      <c r="K4024" s="35" t="str">
        <f aca="false">IF($A4024="","",MOD(MONTH($A4024)-Setup!$B$6+12,12)+1)</f>
        <v/>
      </c>
      <c r="L4024" s="36" t="str">
        <f aca="false">IF($A4024="","",TEXT($A4024,"MMM-YY"))</f>
        <v/>
      </c>
      <c r="M4024" s="37" t="str">
        <f aca="false">IF($A4024="","",IF($Q4024=0,"UNMAPPED",INDEX(COA_Mapping!$C$7:$C$256,$Q4024)))</f>
        <v/>
      </c>
      <c r="N4024" s="38" t="str">
        <f aca="false">IF($A4024="","",IF($Q4024=0,"",INDEX(COA_Mapping!$E$7:$E$256,$Q4024)))</f>
        <v/>
      </c>
      <c r="O4024" s="38" t="n">
        <f aca="false">IF($A4024="",1,IF($Q4024=0,1,INDEX(COA_Mapping!$F$7:$F$256,$Q4024)))</f>
        <v>1</v>
      </c>
      <c r="P4024" s="34" t="str">
        <f aca="false">IF($A4024="","",$I4024*$O4024)</f>
        <v/>
      </c>
      <c r="Q4024" s="39" t="n">
        <f aca="false">IF($B4024="",0,IFERROR(MATCH($B4024,COA_Mapping!$A$7:$A$256,0),0))</f>
        <v>0</v>
      </c>
      <c r="R4024" s="39" t="n">
        <f aca="false">IF($A4024="",-1,IF($J4024=Setup!$B$7,1,IF($J4024=Setup!$B$9,0,-1)))</f>
        <v>-1</v>
      </c>
      <c r="S4024" s="35" t="n">
        <f aca="false">IF(OR($A4024="",$Q4024=0,$R4024=-1),0,$Q4024*1000+$R4024*100+$K4024)</f>
        <v>0</v>
      </c>
      <c r="T4024" s="37" t="str">
        <f aca="false">IF($A4024="","",IF($B4024="","NO ACCOUNT",IF($Q4024=0,"UNMAPPED",IF($R4024=-1,"OUTSIDE FY RANGE","OK"))))</f>
        <v/>
      </c>
      <c r="U4024" s="40" t="str">
        <f aca="false">IF($A4024="","",$B4024&amp;"|"&amp;TEXT($A4024,"yyyymmdd")&amp;"|"&amp;TEXT($I4024,"0.00"))</f>
        <v/>
      </c>
      <c r="V4024" s="35" t="str">
        <f aca="false">IF($A4024="","",COUNTIF($U$8:$U$5007,$U4024))</f>
        <v/>
      </c>
    </row>
    <row r="4025" customFormat="false" ht="15" hidden="false" customHeight="false" outlineLevel="0" collapsed="false">
      <c r="A4025" s="31"/>
      <c r="B4025" s="32"/>
      <c r="C4025" s="32"/>
      <c r="D4025" s="32"/>
      <c r="E4025" s="32"/>
      <c r="F4025" s="32"/>
      <c r="G4025" s="33"/>
      <c r="H4025" s="33"/>
      <c r="I4025" s="34" t="str">
        <f aca="false">IF($A4025="","",$G4025-$H4025)</f>
        <v/>
      </c>
      <c r="J4025" s="35" t="str">
        <f aca="false">IF($A4025="","",IF(Setup!$B$6=1,YEAR($A4025),YEAR($A4025)+IF(MONTH($A4025)&gt;=Setup!$B$6,1,0)))</f>
        <v/>
      </c>
      <c r="K4025" s="35" t="str">
        <f aca="false">IF($A4025="","",MOD(MONTH($A4025)-Setup!$B$6+12,12)+1)</f>
        <v/>
      </c>
      <c r="L4025" s="36" t="str">
        <f aca="false">IF($A4025="","",TEXT($A4025,"MMM-YY"))</f>
        <v/>
      </c>
      <c r="M4025" s="37" t="str">
        <f aca="false">IF($A4025="","",IF($Q4025=0,"UNMAPPED",INDEX(COA_Mapping!$C$7:$C$256,$Q4025)))</f>
        <v/>
      </c>
      <c r="N4025" s="38" t="str">
        <f aca="false">IF($A4025="","",IF($Q4025=0,"",INDEX(COA_Mapping!$E$7:$E$256,$Q4025)))</f>
        <v/>
      </c>
      <c r="O4025" s="38" t="n">
        <f aca="false">IF($A4025="",1,IF($Q4025=0,1,INDEX(COA_Mapping!$F$7:$F$256,$Q4025)))</f>
        <v>1</v>
      </c>
      <c r="P4025" s="34" t="str">
        <f aca="false">IF($A4025="","",$I4025*$O4025)</f>
        <v/>
      </c>
      <c r="Q4025" s="39" t="n">
        <f aca="false">IF($B4025="",0,IFERROR(MATCH($B4025,COA_Mapping!$A$7:$A$256,0),0))</f>
        <v>0</v>
      </c>
      <c r="R4025" s="39" t="n">
        <f aca="false">IF($A4025="",-1,IF($J4025=Setup!$B$7,1,IF($J4025=Setup!$B$9,0,-1)))</f>
        <v>-1</v>
      </c>
      <c r="S4025" s="35" t="n">
        <f aca="false">IF(OR($A4025="",$Q4025=0,$R4025=-1),0,$Q4025*1000+$R4025*100+$K4025)</f>
        <v>0</v>
      </c>
      <c r="T4025" s="37" t="str">
        <f aca="false">IF($A4025="","",IF($B4025="","NO ACCOUNT",IF($Q4025=0,"UNMAPPED",IF($R4025=-1,"OUTSIDE FY RANGE","OK"))))</f>
        <v/>
      </c>
      <c r="U4025" s="40" t="str">
        <f aca="false">IF($A4025="","",$B4025&amp;"|"&amp;TEXT($A4025,"yyyymmdd")&amp;"|"&amp;TEXT($I4025,"0.00"))</f>
        <v/>
      </c>
      <c r="V4025" s="35" t="str">
        <f aca="false">IF($A4025="","",COUNTIF($U$8:$U$5007,$U4025))</f>
        <v/>
      </c>
    </row>
    <row r="4026" customFormat="false" ht="15" hidden="false" customHeight="false" outlineLevel="0" collapsed="false">
      <c r="A4026" s="31"/>
      <c r="B4026" s="32"/>
      <c r="C4026" s="32"/>
      <c r="D4026" s="32"/>
      <c r="E4026" s="32"/>
      <c r="F4026" s="32"/>
      <c r="G4026" s="33"/>
      <c r="H4026" s="33"/>
      <c r="I4026" s="34" t="str">
        <f aca="false">IF($A4026="","",$G4026-$H4026)</f>
        <v/>
      </c>
      <c r="J4026" s="35" t="str">
        <f aca="false">IF($A4026="","",IF(Setup!$B$6=1,YEAR($A4026),YEAR($A4026)+IF(MONTH($A4026)&gt;=Setup!$B$6,1,0)))</f>
        <v/>
      </c>
      <c r="K4026" s="35" t="str">
        <f aca="false">IF($A4026="","",MOD(MONTH($A4026)-Setup!$B$6+12,12)+1)</f>
        <v/>
      </c>
      <c r="L4026" s="36" t="str">
        <f aca="false">IF($A4026="","",TEXT($A4026,"MMM-YY"))</f>
        <v/>
      </c>
      <c r="M4026" s="37" t="str">
        <f aca="false">IF($A4026="","",IF($Q4026=0,"UNMAPPED",INDEX(COA_Mapping!$C$7:$C$256,$Q4026)))</f>
        <v/>
      </c>
      <c r="N4026" s="38" t="str">
        <f aca="false">IF($A4026="","",IF($Q4026=0,"",INDEX(COA_Mapping!$E$7:$E$256,$Q4026)))</f>
        <v/>
      </c>
      <c r="O4026" s="38" t="n">
        <f aca="false">IF($A4026="",1,IF($Q4026=0,1,INDEX(COA_Mapping!$F$7:$F$256,$Q4026)))</f>
        <v>1</v>
      </c>
      <c r="P4026" s="34" t="str">
        <f aca="false">IF($A4026="","",$I4026*$O4026)</f>
        <v/>
      </c>
      <c r="Q4026" s="39" t="n">
        <f aca="false">IF($B4026="",0,IFERROR(MATCH($B4026,COA_Mapping!$A$7:$A$256,0),0))</f>
        <v>0</v>
      </c>
      <c r="R4026" s="39" t="n">
        <f aca="false">IF($A4026="",-1,IF($J4026=Setup!$B$7,1,IF($J4026=Setup!$B$9,0,-1)))</f>
        <v>-1</v>
      </c>
      <c r="S4026" s="35" t="n">
        <f aca="false">IF(OR($A4026="",$Q4026=0,$R4026=-1),0,$Q4026*1000+$R4026*100+$K4026)</f>
        <v>0</v>
      </c>
      <c r="T4026" s="37" t="str">
        <f aca="false">IF($A4026="","",IF($B4026="","NO ACCOUNT",IF($Q4026=0,"UNMAPPED",IF($R4026=-1,"OUTSIDE FY RANGE","OK"))))</f>
        <v/>
      </c>
      <c r="U4026" s="40" t="str">
        <f aca="false">IF($A4026="","",$B4026&amp;"|"&amp;TEXT($A4026,"yyyymmdd")&amp;"|"&amp;TEXT($I4026,"0.00"))</f>
        <v/>
      </c>
      <c r="V4026" s="35" t="str">
        <f aca="false">IF($A4026="","",COUNTIF($U$8:$U$5007,$U4026))</f>
        <v/>
      </c>
    </row>
    <row r="4027" customFormat="false" ht="15" hidden="false" customHeight="false" outlineLevel="0" collapsed="false">
      <c r="A4027" s="31"/>
      <c r="B4027" s="32"/>
      <c r="C4027" s="32"/>
      <c r="D4027" s="32"/>
      <c r="E4027" s="32"/>
      <c r="F4027" s="32"/>
      <c r="G4027" s="33"/>
      <c r="H4027" s="33"/>
      <c r="I4027" s="34" t="str">
        <f aca="false">IF($A4027="","",$G4027-$H4027)</f>
        <v/>
      </c>
      <c r="J4027" s="35" t="str">
        <f aca="false">IF($A4027="","",IF(Setup!$B$6=1,YEAR($A4027),YEAR($A4027)+IF(MONTH($A4027)&gt;=Setup!$B$6,1,0)))</f>
        <v/>
      </c>
      <c r="K4027" s="35" t="str">
        <f aca="false">IF($A4027="","",MOD(MONTH($A4027)-Setup!$B$6+12,12)+1)</f>
        <v/>
      </c>
      <c r="L4027" s="36" t="str">
        <f aca="false">IF($A4027="","",TEXT($A4027,"MMM-YY"))</f>
        <v/>
      </c>
      <c r="M4027" s="37" t="str">
        <f aca="false">IF($A4027="","",IF($Q4027=0,"UNMAPPED",INDEX(COA_Mapping!$C$7:$C$256,$Q4027)))</f>
        <v/>
      </c>
      <c r="N4027" s="38" t="str">
        <f aca="false">IF($A4027="","",IF($Q4027=0,"",INDEX(COA_Mapping!$E$7:$E$256,$Q4027)))</f>
        <v/>
      </c>
      <c r="O4027" s="38" t="n">
        <f aca="false">IF($A4027="",1,IF($Q4027=0,1,INDEX(COA_Mapping!$F$7:$F$256,$Q4027)))</f>
        <v>1</v>
      </c>
      <c r="P4027" s="34" t="str">
        <f aca="false">IF($A4027="","",$I4027*$O4027)</f>
        <v/>
      </c>
      <c r="Q4027" s="39" t="n">
        <f aca="false">IF($B4027="",0,IFERROR(MATCH($B4027,COA_Mapping!$A$7:$A$256,0),0))</f>
        <v>0</v>
      </c>
      <c r="R4027" s="39" t="n">
        <f aca="false">IF($A4027="",-1,IF($J4027=Setup!$B$7,1,IF($J4027=Setup!$B$9,0,-1)))</f>
        <v>-1</v>
      </c>
      <c r="S4027" s="35" t="n">
        <f aca="false">IF(OR($A4027="",$Q4027=0,$R4027=-1),0,$Q4027*1000+$R4027*100+$K4027)</f>
        <v>0</v>
      </c>
      <c r="T4027" s="37" t="str">
        <f aca="false">IF($A4027="","",IF($B4027="","NO ACCOUNT",IF($Q4027=0,"UNMAPPED",IF($R4027=-1,"OUTSIDE FY RANGE","OK"))))</f>
        <v/>
      </c>
      <c r="U4027" s="40" t="str">
        <f aca="false">IF($A4027="","",$B4027&amp;"|"&amp;TEXT($A4027,"yyyymmdd")&amp;"|"&amp;TEXT($I4027,"0.00"))</f>
        <v/>
      </c>
      <c r="V4027" s="35" t="str">
        <f aca="false">IF($A4027="","",COUNTIF($U$8:$U$5007,$U4027))</f>
        <v/>
      </c>
    </row>
    <row r="4028" customFormat="false" ht="15" hidden="false" customHeight="false" outlineLevel="0" collapsed="false">
      <c r="A4028" s="31"/>
      <c r="B4028" s="32"/>
      <c r="C4028" s="32"/>
      <c r="D4028" s="32"/>
      <c r="E4028" s="32"/>
      <c r="F4028" s="32"/>
      <c r="G4028" s="33"/>
      <c r="H4028" s="33"/>
      <c r="I4028" s="34" t="str">
        <f aca="false">IF($A4028="","",$G4028-$H4028)</f>
        <v/>
      </c>
      <c r="J4028" s="35" t="str">
        <f aca="false">IF($A4028="","",IF(Setup!$B$6=1,YEAR($A4028),YEAR($A4028)+IF(MONTH($A4028)&gt;=Setup!$B$6,1,0)))</f>
        <v/>
      </c>
      <c r="K4028" s="35" t="str">
        <f aca="false">IF($A4028="","",MOD(MONTH($A4028)-Setup!$B$6+12,12)+1)</f>
        <v/>
      </c>
      <c r="L4028" s="36" t="str">
        <f aca="false">IF($A4028="","",TEXT($A4028,"MMM-YY"))</f>
        <v/>
      </c>
      <c r="M4028" s="37" t="str">
        <f aca="false">IF($A4028="","",IF($Q4028=0,"UNMAPPED",INDEX(COA_Mapping!$C$7:$C$256,$Q4028)))</f>
        <v/>
      </c>
      <c r="N4028" s="38" t="str">
        <f aca="false">IF($A4028="","",IF($Q4028=0,"",INDEX(COA_Mapping!$E$7:$E$256,$Q4028)))</f>
        <v/>
      </c>
      <c r="O4028" s="38" t="n">
        <f aca="false">IF($A4028="",1,IF($Q4028=0,1,INDEX(COA_Mapping!$F$7:$F$256,$Q4028)))</f>
        <v>1</v>
      </c>
      <c r="P4028" s="34" t="str">
        <f aca="false">IF($A4028="","",$I4028*$O4028)</f>
        <v/>
      </c>
      <c r="Q4028" s="39" t="n">
        <f aca="false">IF($B4028="",0,IFERROR(MATCH($B4028,COA_Mapping!$A$7:$A$256,0),0))</f>
        <v>0</v>
      </c>
      <c r="R4028" s="39" t="n">
        <f aca="false">IF($A4028="",-1,IF($J4028=Setup!$B$7,1,IF($J4028=Setup!$B$9,0,-1)))</f>
        <v>-1</v>
      </c>
      <c r="S4028" s="35" t="n">
        <f aca="false">IF(OR($A4028="",$Q4028=0,$R4028=-1),0,$Q4028*1000+$R4028*100+$K4028)</f>
        <v>0</v>
      </c>
      <c r="T4028" s="37" t="str">
        <f aca="false">IF($A4028="","",IF($B4028="","NO ACCOUNT",IF($Q4028=0,"UNMAPPED",IF($R4028=-1,"OUTSIDE FY RANGE","OK"))))</f>
        <v/>
      </c>
      <c r="U4028" s="40" t="str">
        <f aca="false">IF($A4028="","",$B4028&amp;"|"&amp;TEXT($A4028,"yyyymmdd")&amp;"|"&amp;TEXT($I4028,"0.00"))</f>
        <v/>
      </c>
      <c r="V4028" s="35" t="str">
        <f aca="false">IF($A4028="","",COUNTIF($U$8:$U$5007,$U4028))</f>
        <v/>
      </c>
    </row>
    <row r="4029" customFormat="false" ht="15" hidden="false" customHeight="false" outlineLevel="0" collapsed="false">
      <c r="A4029" s="31"/>
      <c r="B4029" s="32"/>
      <c r="C4029" s="32"/>
      <c r="D4029" s="32"/>
      <c r="E4029" s="32"/>
      <c r="F4029" s="32"/>
      <c r="G4029" s="33"/>
      <c r="H4029" s="33"/>
      <c r="I4029" s="34" t="str">
        <f aca="false">IF($A4029="","",$G4029-$H4029)</f>
        <v/>
      </c>
      <c r="J4029" s="35" t="str">
        <f aca="false">IF($A4029="","",IF(Setup!$B$6=1,YEAR($A4029),YEAR($A4029)+IF(MONTH($A4029)&gt;=Setup!$B$6,1,0)))</f>
        <v/>
      </c>
      <c r="K4029" s="35" t="str">
        <f aca="false">IF($A4029="","",MOD(MONTH($A4029)-Setup!$B$6+12,12)+1)</f>
        <v/>
      </c>
      <c r="L4029" s="36" t="str">
        <f aca="false">IF($A4029="","",TEXT($A4029,"MMM-YY"))</f>
        <v/>
      </c>
      <c r="M4029" s="37" t="str">
        <f aca="false">IF($A4029="","",IF($Q4029=0,"UNMAPPED",INDEX(COA_Mapping!$C$7:$C$256,$Q4029)))</f>
        <v/>
      </c>
      <c r="N4029" s="38" t="str">
        <f aca="false">IF($A4029="","",IF($Q4029=0,"",INDEX(COA_Mapping!$E$7:$E$256,$Q4029)))</f>
        <v/>
      </c>
      <c r="O4029" s="38" t="n">
        <f aca="false">IF($A4029="",1,IF($Q4029=0,1,INDEX(COA_Mapping!$F$7:$F$256,$Q4029)))</f>
        <v>1</v>
      </c>
      <c r="P4029" s="34" t="str">
        <f aca="false">IF($A4029="","",$I4029*$O4029)</f>
        <v/>
      </c>
      <c r="Q4029" s="39" t="n">
        <f aca="false">IF($B4029="",0,IFERROR(MATCH($B4029,COA_Mapping!$A$7:$A$256,0),0))</f>
        <v>0</v>
      </c>
      <c r="R4029" s="39" t="n">
        <f aca="false">IF($A4029="",-1,IF($J4029=Setup!$B$7,1,IF($J4029=Setup!$B$9,0,-1)))</f>
        <v>-1</v>
      </c>
      <c r="S4029" s="35" t="n">
        <f aca="false">IF(OR($A4029="",$Q4029=0,$R4029=-1),0,$Q4029*1000+$R4029*100+$K4029)</f>
        <v>0</v>
      </c>
      <c r="T4029" s="37" t="str">
        <f aca="false">IF($A4029="","",IF($B4029="","NO ACCOUNT",IF($Q4029=0,"UNMAPPED",IF($R4029=-1,"OUTSIDE FY RANGE","OK"))))</f>
        <v/>
      </c>
      <c r="U4029" s="40" t="str">
        <f aca="false">IF($A4029="","",$B4029&amp;"|"&amp;TEXT($A4029,"yyyymmdd")&amp;"|"&amp;TEXT($I4029,"0.00"))</f>
        <v/>
      </c>
      <c r="V4029" s="35" t="str">
        <f aca="false">IF($A4029="","",COUNTIF($U$8:$U$5007,$U4029))</f>
        <v/>
      </c>
    </row>
    <row r="4030" customFormat="false" ht="15" hidden="false" customHeight="false" outlineLevel="0" collapsed="false">
      <c r="A4030" s="31"/>
      <c r="B4030" s="32"/>
      <c r="C4030" s="32"/>
      <c r="D4030" s="32"/>
      <c r="E4030" s="32"/>
      <c r="F4030" s="32"/>
      <c r="G4030" s="33"/>
      <c r="H4030" s="33"/>
      <c r="I4030" s="34" t="str">
        <f aca="false">IF($A4030="","",$G4030-$H4030)</f>
        <v/>
      </c>
      <c r="J4030" s="35" t="str">
        <f aca="false">IF($A4030="","",IF(Setup!$B$6=1,YEAR($A4030),YEAR($A4030)+IF(MONTH($A4030)&gt;=Setup!$B$6,1,0)))</f>
        <v/>
      </c>
      <c r="K4030" s="35" t="str">
        <f aca="false">IF($A4030="","",MOD(MONTH($A4030)-Setup!$B$6+12,12)+1)</f>
        <v/>
      </c>
      <c r="L4030" s="36" t="str">
        <f aca="false">IF($A4030="","",TEXT($A4030,"MMM-YY"))</f>
        <v/>
      </c>
      <c r="M4030" s="37" t="str">
        <f aca="false">IF($A4030="","",IF($Q4030=0,"UNMAPPED",INDEX(COA_Mapping!$C$7:$C$256,$Q4030)))</f>
        <v/>
      </c>
      <c r="N4030" s="38" t="str">
        <f aca="false">IF($A4030="","",IF($Q4030=0,"",INDEX(COA_Mapping!$E$7:$E$256,$Q4030)))</f>
        <v/>
      </c>
      <c r="O4030" s="38" t="n">
        <f aca="false">IF($A4030="",1,IF($Q4030=0,1,INDEX(COA_Mapping!$F$7:$F$256,$Q4030)))</f>
        <v>1</v>
      </c>
      <c r="P4030" s="34" t="str">
        <f aca="false">IF($A4030="","",$I4030*$O4030)</f>
        <v/>
      </c>
      <c r="Q4030" s="39" t="n">
        <f aca="false">IF($B4030="",0,IFERROR(MATCH($B4030,COA_Mapping!$A$7:$A$256,0),0))</f>
        <v>0</v>
      </c>
      <c r="R4030" s="39" t="n">
        <f aca="false">IF($A4030="",-1,IF($J4030=Setup!$B$7,1,IF($J4030=Setup!$B$9,0,-1)))</f>
        <v>-1</v>
      </c>
      <c r="S4030" s="35" t="n">
        <f aca="false">IF(OR($A4030="",$Q4030=0,$R4030=-1),0,$Q4030*1000+$R4030*100+$K4030)</f>
        <v>0</v>
      </c>
      <c r="T4030" s="37" t="str">
        <f aca="false">IF($A4030="","",IF($B4030="","NO ACCOUNT",IF($Q4030=0,"UNMAPPED",IF($R4030=-1,"OUTSIDE FY RANGE","OK"))))</f>
        <v/>
      </c>
      <c r="U4030" s="40" t="str">
        <f aca="false">IF($A4030="","",$B4030&amp;"|"&amp;TEXT($A4030,"yyyymmdd")&amp;"|"&amp;TEXT($I4030,"0.00"))</f>
        <v/>
      </c>
      <c r="V4030" s="35" t="str">
        <f aca="false">IF($A4030="","",COUNTIF($U$8:$U$5007,$U4030))</f>
        <v/>
      </c>
    </row>
    <row r="4031" customFormat="false" ht="15" hidden="false" customHeight="false" outlineLevel="0" collapsed="false">
      <c r="A4031" s="31"/>
      <c r="B4031" s="32"/>
      <c r="C4031" s="32"/>
      <c r="D4031" s="32"/>
      <c r="E4031" s="32"/>
      <c r="F4031" s="32"/>
      <c r="G4031" s="33"/>
      <c r="H4031" s="33"/>
      <c r="I4031" s="34" t="str">
        <f aca="false">IF($A4031="","",$G4031-$H4031)</f>
        <v/>
      </c>
      <c r="J4031" s="35" t="str">
        <f aca="false">IF($A4031="","",IF(Setup!$B$6=1,YEAR($A4031),YEAR($A4031)+IF(MONTH($A4031)&gt;=Setup!$B$6,1,0)))</f>
        <v/>
      </c>
      <c r="K4031" s="35" t="str">
        <f aca="false">IF($A4031="","",MOD(MONTH($A4031)-Setup!$B$6+12,12)+1)</f>
        <v/>
      </c>
      <c r="L4031" s="36" t="str">
        <f aca="false">IF($A4031="","",TEXT($A4031,"MMM-YY"))</f>
        <v/>
      </c>
      <c r="M4031" s="37" t="str">
        <f aca="false">IF($A4031="","",IF($Q4031=0,"UNMAPPED",INDEX(COA_Mapping!$C$7:$C$256,$Q4031)))</f>
        <v/>
      </c>
      <c r="N4031" s="38" t="str">
        <f aca="false">IF($A4031="","",IF($Q4031=0,"",INDEX(COA_Mapping!$E$7:$E$256,$Q4031)))</f>
        <v/>
      </c>
      <c r="O4031" s="38" t="n">
        <f aca="false">IF($A4031="",1,IF($Q4031=0,1,INDEX(COA_Mapping!$F$7:$F$256,$Q4031)))</f>
        <v>1</v>
      </c>
      <c r="P4031" s="34" t="str">
        <f aca="false">IF($A4031="","",$I4031*$O4031)</f>
        <v/>
      </c>
      <c r="Q4031" s="39" t="n">
        <f aca="false">IF($B4031="",0,IFERROR(MATCH($B4031,COA_Mapping!$A$7:$A$256,0),0))</f>
        <v>0</v>
      </c>
      <c r="R4031" s="39" t="n">
        <f aca="false">IF($A4031="",-1,IF($J4031=Setup!$B$7,1,IF($J4031=Setup!$B$9,0,-1)))</f>
        <v>-1</v>
      </c>
      <c r="S4031" s="35" t="n">
        <f aca="false">IF(OR($A4031="",$Q4031=0,$R4031=-1),0,$Q4031*1000+$R4031*100+$K4031)</f>
        <v>0</v>
      </c>
      <c r="T4031" s="37" t="str">
        <f aca="false">IF($A4031="","",IF($B4031="","NO ACCOUNT",IF($Q4031=0,"UNMAPPED",IF($R4031=-1,"OUTSIDE FY RANGE","OK"))))</f>
        <v/>
      </c>
      <c r="U4031" s="40" t="str">
        <f aca="false">IF($A4031="","",$B4031&amp;"|"&amp;TEXT($A4031,"yyyymmdd")&amp;"|"&amp;TEXT($I4031,"0.00"))</f>
        <v/>
      </c>
      <c r="V4031" s="35" t="str">
        <f aca="false">IF($A4031="","",COUNTIF($U$8:$U$5007,$U4031))</f>
        <v/>
      </c>
    </row>
    <row r="4032" customFormat="false" ht="15" hidden="false" customHeight="false" outlineLevel="0" collapsed="false">
      <c r="A4032" s="31"/>
      <c r="B4032" s="32"/>
      <c r="C4032" s="32"/>
      <c r="D4032" s="32"/>
      <c r="E4032" s="32"/>
      <c r="F4032" s="32"/>
      <c r="G4032" s="33"/>
      <c r="H4032" s="33"/>
      <c r="I4032" s="34" t="str">
        <f aca="false">IF($A4032="","",$G4032-$H4032)</f>
        <v/>
      </c>
      <c r="J4032" s="35" t="str">
        <f aca="false">IF($A4032="","",IF(Setup!$B$6=1,YEAR($A4032),YEAR($A4032)+IF(MONTH($A4032)&gt;=Setup!$B$6,1,0)))</f>
        <v/>
      </c>
      <c r="K4032" s="35" t="str">
        <f aca="false">IF($A4032="","",MOD(MONTH($A4032)-Setup!$B$6+12,12)+1)</f>
        <v/>
      </c>
      <c r="L4032" s="36" t="str">
        <f aca="false">IF($A4032="","",TEXT($A4032,"MMM-YY"))</f>
        <v/>
      </c>
      <c r="M4032" s="37" t="str">
        <f aca="false">IF($A4032="","",IF($Q4032=0,"UNMAPPED",INDEX(COA_Mapping!$C$7:$C$256,$Q4032)))</f>
        <v/>
      </c>
      <c r="N4032" s="38" t="str">
        <f aca="false">IF($A4032="","",IF($Q4032=0,"",INDEX(COA_Mapping!$E$7:$E$256,$Q4032)))</f>
        <v/>
      </c>
      <c r="O4032" s="38" t="n">
        <f aca="false">IF($A4032="",1,IF($Q4032=0,1,INDEX(COA_Mapping!$F$7:$F$256,$Q4032)))</f>
        <v>1</v>
      </c>
      <c r="P4032" s="34" t="str">
        <f aca="false">IF($A4032="","",$I4032*$O4032)</f>
        <v/>
      </c>
      <c r="Q4032" s="39" t="n">
        <f aca="false">IF($B4032="",0,IFERROR(MATCH($B4032,COA_Mapping!$A$7:$A$256,0),0))</f>
        <v>0</v>
      </c>
      <c r="R4032" s="39" t="n">
        <f aca="false">IF($A4032="",-1,IF($J4032=Setup!$B$7,1,IF($J4032=Setup!$B$9,0,-1)))</f>
        <v>-1</v>
      </c>
      <c r="S4032" s="35" t="n">
        <f aca="false">IF(OR($A4032="",$Q4032=0,$R4032=-1),0,$Q4032*1000+$R4032*100+$K4032)</f>
        <v>0</v>
      </c>
      <c r="T4032" s="37" t="str">
        <f aca="false">IF($A4032="","",IF($B4032="","NO ACCOUNT",IF($Q4032=0,"UNMAPPED",IF($R4032=-1,"OUTSIDE FY RANGE","OK"))))</f>
        <v/>
      </c>
      <c r="U4032" s="40" t="str">
        <f aca="false">IF($A4032="","",$B4032&amp;"|"&amp;TEXT($A4032,"yyyymmdd")&amp;"|"&amp;TEXT($I4032,"0.00"))</f>
        <v/>
      </c>
      <c r="V4032" s="35" t="str">
        <f aca="false">IF($A4032="","",COUNTIF($U$8:$U$5007,$U4032))</f>
        <v/>
      </c>
    </row>
    <row r="4033" customFormat="false" ht="15" hidden="false" customHeight="false" outlineLevel="0" collapsed="false">
      <c r="A4033" s="31"/>
      <c r="B4033" s="32"/>
      <c r="C4033" s="32"/>
      <c r="D4033" s="32"/>
      <c r="E4033" s="32"/>
      <c r="F4033" s="32"/>
      <c r="G4033" s="33"/>
      <c r="H4033" s="33"/>
      <c r="I4033" s="34" t="str">
        <f aca="false">IF($A4033="","",$G4033-$H4033)</f>
        <v/>
      </c>
      <c r="J4033" s="35" t="str">
        <f aca="false">IF($A4033="","",IF(Setup!$B$6=1,YEAR($A4033),YEAR($A4033)+IF(MONTH($A4033)&gt;=Setup!$B$6,1,0)))</f>
        <v/>
      </c>
      <c r="K4033" s="35" t="str">
        <f aca="false">IF($A4033="","",MOD(MONTH($A4033)-Setup!$B$6+12,12)+1)</f>
        <v/>
      </c>
      <c r="L4033" s="36" t="str">
        <f aca="false">IF($A4033="","",TEXT($A4033,"MMM-YY"))</f>
        <v/>
      </c>
      <c r="M4033" s="37" t="str">
        <f aca="false">IF($A4033="","",IF($Q4033=0,"UNMAPPED",INDEX(COA_Mapping!$C$7:$C$256,$Q4033)))</f>
        <v/>
      </c>
      <c r="N4033" s="38" t="str">
        <f aca="false">IF($A4033="","",IF($Q4033=0,"",INDEX(COA_Mapping!$E$7:$E$256,$Q4033)))</f>
        <v/>
      </c>
      <c r="O4033" s="38" t="n">
        <f aca="false">IF($A4033="",1,IF($Q4033=0,1,INDEX(COA_Mapping!$F$7:$F$256,$Q4033)))</f>
        <v>1</v>
      </c>
      <c r="P4033" s="34" t="str">
        <f aca="false">IF($A4033="","",$I4033*$O4033)</f>
        <v/>
      </c>
      <c r="Q4033" s="39" t="n">
        <f aca="false">IF($B4033="",0,IFERROR(MATCH($B4033,COA_Mapping!$A$7:$A$256,0),0))</f>
        <v>0</v>
      </c>
      <c r="R4033" s="39" t="n">
        <f aca="false">IF($A4033="",-1,IF($J4033=Setup!$B$7,1,IF($J4033=Setup!$B$9,0,-1)))</f>
        <v>-1</v>
      </c>
      <c r="S4033" s="35" t="n">
        <f aca="false">IF(OR($A4033="",$Q4033=0,$R4033=-1),0,$Q4033*1000+$R4033*100+$K4033)</f>
        <v>0</v>
      </c>
      <c r="T4033" s="37" t="str">
        <f aca="false">IF($A4033="","",IF($B4033="","NO ACCOUNT",IF($Q4033=0,"UNMAPPED",IF($R4033=-1,"OUTSIDE FY RANGE","OK"))))</f>
        <v/>
      </c>
      <c r="U4033" s="40" t="str">
        <f aca="false">IF($A4033="","",$B4033&amp;"|"&amp;TEXT($A4033,"yyyymmdd")&amp;"|"&amp;TEXT($I4033,"0.00"))</f>
        <v/>
      </c>
      <c r="V4033" s="35" t="str">
        <f aca="false">IF($A4033="","",COUNTIF($U$8:$U$5007,$U4033))</f>
        <v/>
      </c>
    </row>
    <row r="4034" customFormat="false" ht="15" hidden="false" customHeight="false" outlineLevel="0" collapsed="false">
      <c r="A4034" s="31"/>
      <c r="B4034" s="32"/>
      <c r="C4034" s="32"/>
      <c r="D4034" s="32"/>
      <c r="E4034" s="32"/>
      <c r="F4034" s="32"/>
      <c r="G4034" s="33"/>
      <c r="H4034" s="33"/>
      <c r="I4034" s="34" t="str">
        <f aca="false">IF($A4034="","",$G4034-$H4034)</f>
        <v/>
      </c>
      <c r="J4034" s="35" t="str">
        <f aca="false">IF($A4034="","",IF(Setup!$B$6=1,YEAR($A4034),YEAR($A4034)+IF(MONTH($A4034)&gt;=Setup!$B$6,1,0)))</f>
        <v/>
      </c>
      <c r="K4034" s="35" t="str">
        <f aca="false">IF($A4034="","",MOD(MONTH($A4034)-Setup!$B$6+12,12)+1)</f>
        <v/>
      </c>
      <c r="L4034" s="36" t="str">
        <f aca="false">IF($A4034="","",TEXT($A4034,"MMM-YY"))</f>
        <v/>
      </c>
      <c r="M4034" s="37" t="str">
        <f aca="false">IF($A4034="","",IF($Q4034=0,"UNMAPPED",INDEX(COA_Mapping!$C$7:$C$256,$Q4034)))</f>
        <v/>
      </c>
      <c r="N4034" s="38" t="str">
        <f aca="false">IF($A4034="","",IF($Q4034=0,"",INDEX(COA_Mapping!$E$7:$E$256,$Q4034)))</f>
        <v/>
      </c>
      <c r="O4034" s="38" t="n">
        <f aca="false">IF($A4034="",1,IF($Q4034=0,1,INDEX(COA_Mapping!$F$7:$F$256,$Q4034)))</f>
        <v>1</v>
      </c>
      <c r="P4034" s="34" t="str">
        <f aca="false">IF($A4034="","",$I4034*$O4034)</f>
        <v/>
      </c>
      <c r="Q4034" s="39" t="n">
        <f aca="false">IF($B4034="",0,IFERROR(MATCH($B4034,COA_Mapping!$A$7:$A$256,0),0))</f>
        <v>0</v>
      </c>
      <c r="R4034" s="39" t="n">
        <f aca="false">IF($A4034="",-1,IF($J4034=Setup!$B$7,1,IF($J4034=Setup!$B$9,0,-1)))</f>
        <v>-1</v>
      </c>
      <c r="S4034" s="35" t="n">
        <f aca="false">IF(OR($A4034="",$Q4034=0,$R4034=-1),0,$Q4034*1000+$R4034*100+$K4034)</f>
        <v>0</v>
      </c>
      <c r="T4034" s="37" t="str">
        <f aca="false">IF($A4034="","",IF($B4034="","NO ACCOUNT",IF($Q4034=0,"UNMAPPED",IF($R4034=-1,"OUTSIDE FY RANGE","OK"))))</f>
        <v/>
      </c>
      <c r="U4034" s="40" t="str">
        <f aca="false">IF($A4034="","",$B4034&amp;"|"&amp;TEXT($A4034,"yyyymmdd")&amp;"|"&amp;TEXT($I4034,"0.00"))</f>
        <v/>
      </c>
      <c r="V4034" s="35" t="str">
        <f aca="false">IF($A4034="","",COUNTIF($U$8:$U$5007,$U4034))</f>
        <v/>
      </c>
    </row>
    <row r="4035" customFormat="false" ht="15" hidden="false" customHeight="false" outlineLevel="0" collapsed="false">
      <c r="A4035" s="31"/>
      <c r="B4035" s="32"/>
      <c r="C4035" s="32"/>
      <c r="D4035" s="32"/>
      <c r="E4035" s="32"/>
      <c r="F4035" s="32"/>
      <c r="G4035" s="33"/>
      <c r="H4035" s="33"/>
      <c r="I4035" s="34" t="str">
        <f aca="false">IF($A4035="","",$G4035-$H4035)</f>
        <v/>
      </c>
      <c r="J4035" s="35" t="str">
        <f aca="false">IF($A4035="","",IF(Setup!$B$6=1,YEAR($A4035),YEAR($A4035)+IF(MONTH($A4035)&gt;=Setup!$B$6,1,0)))</f>
        <v/>
      </c>
      <c r="K4035" s="35" t="str">
        <f aca="false">IF($A4035="","",MOD(MONTH($A4035)-Setup!$B$6+12,12)+1)</f>
        <v/>
      </c>
      <c r="L4035" s="36" t="str">
        <f aca="false">IF($A4035="","",TEXT($A4035,"MMM-YY"))</f>
        <v/>
      </c>
      <c r="M4035" s="37" t="str">
        <f aca="false">IF($A4035="","",IF($Q4035=0,"UNMAPPED",INDEX(COA_Mapping!$C$7:$C$256,$Q4035)))</f>
        <v/>
      </c>
      <c r="N4035" s="38" t="str">
        <f aca="false">IF($A4035="","",IF($Q4035=0,"",INDEX(COA_Mapping!$E$7:$E$256,$Q4035)))</f>
        <v/>
      </c>
      <c r="O4035" s="38" t="n">
        <f aca="false">IF($A4035="",1,IF($Q4035=0,1,INDEX(COA_Mapping!$F$7:$F$256,$Q4035)))</f>
        <v>1</v>
      </c>
      <c r="P4035" s="34" t="str">
        <f aca="false">IF($A4035="","",$I4035*$O4035)</f>
        <v/>
      </c>
      <c r="Q4035" s="39" t="n">
        <f aca="false">IF($B4035="",0,IFERROR(MATCH($B4035,COA_Mapping!$A$7:$A$256,0),0))</f>
        <v>0</v>
      </c>
      <c r="R4035" s="39" t="n">
        <f aca="false">IF($A4035="",-1,IF($J4035=Setup!$B$7,1,IF($J4035=Setup!$B$9,0,-1)))</f>
        <v>-1</v>
      </c>
      <c r="S4035" s="35" t="n">
        <f aca="false">IF(OR($A4035="",$Q4035=0,$R4035=-1),0,$Q4035*1000+$R4035*100+$K4035)</f>
        <v>0</v>
      </c>
      <c r="T4035" s="37" t="str">
        <f aca="false">IF($A4035="","",IF($B4035="","NO ACCOUNT",IF($Q4035=0,"UNMAPPED",IF($R4035=-1,"OUTSIDE FY RANGE","OK"))))</f>
        <v/>
      </c>
      <c r="U4035" s="40" t="str">
        <f aca="false">IF($A4035="","",$B4035&amp;"|"&amp;TEXT($A4035,"yyyymmdd")&amp;"|"&amp;TEXT($I4035,"0.00"))</f>
        <v/>
      </c>
      <c r="V4035" s="35" t="str">
        <f aca="false">IF($A4035="","",COUNTIF($U$8:$U$5007,$U4035))</f>
        <v/>
      </c>
    </row>
    <row r="4036" customFormat="false" ht="15" hidden="false" customHeight="false" outlineLevel="0" collapsed="false">
      <c r="A4036" s="31"/>
      <c r="B4036" s="32"/>
      <c r="C4036" s="32"/>
      <c r="D4036" s="32"/>
      <c r="E4036" s="32"/>
      <c r="F4036" s="32"/>
      <c r="G4036" s="33"/>
      <c r="H4036" s="33"/>
      <c r="I4036" s="34" t="str">
        <f aca="false">IF($A4036="","",$G4036-$H4036)</f>
        <v/>
      </c>
      <c r="J4036" s="35" t="str">
        <f aca="false">IF($A4036="","",IF(Setup!$B$6=1,YEAR($A4036),YEAR($A4036)+IF(MONTH($A4036)&gt;=Setup!$B$6,1,0)))</f>
        <v/>
      </c>
      <c r="K4036" s="35" t="str">
        <f aca="false">IF($A4036="","",MOD(MONTH($A4036)-Setup!$B$6+12,12)+1)</f>
        <v/>
      </c>
      <c r="L4036" s="36" t="str">
        <f aca="false">IF($A4036="","",TEXT($A4036,"MMM-YY"))</f>
        <v/>
      </c>
      <c r="M4036" s="37" t="str">
        <f aca="false">IF($A4036="","",IF($Q4036=0,"UNMAPPED",INDEX(COA_Mapping!$C$7:$C$256,$Q4036)))</f>
        <v/>
      </c>
      <c r="N4036" s="38" t="str">
        <f aca="false">IF($A4036="","",IF($Q4036=0,"",INDEX(COA_Mapping!$E$7:$E$256,$Q4036)))</f>
        <v/>
      </c>
      <c r="O4036" s="38" t="n">
        <f aca="false">IF($A4036="",1,IF($Q4036=0,1,INDEX(COA_Mapping!$F$7:$F$256,$Q4036)))</f>
        <v>1</v>
      </c>
      <c r="P4036" s="34" t="str">
        <f aca="false">IF($A4036="","",$I4036*$O4036)</f>
        <v/>
      </c>
      <c r="Q4036" s="39" t="n">
        <f aca="false">IF($B4036="",0,IFERROR(MATCH($B4036,COA_Mapping!$A$7:$A$256,0),0))</f>
        <v>0</v>
      </c>
      <c r="R4036" s="39" t="n">
        <f aca="false">IF($A4036="",-1,IF($J4036=Setup!$B$7,1,IF($J4036=Setup!$B$9,0,-1)))</f>
        <v>-1</v>
      </c>
      <c r="S4036" s="35" t="n">
        <f aca="false">IF(OR($A4036="",$Q4036=0,$R4036=-1),0,$Q4036*1000+$R4036*100+$K4036)</f>
        <v>0</v>
      </c>
      <c r="T4036" s="37" t="str">
        <f aca="false">IF($A4036="","",IF($B4036="","NO ACCOUNT",IF($Q4036=0,"UNMAPPED",IF($R4036=-1,"OUTSIDE FY RANGE","OK"))))</f>
        <v/>
      </c>
      <c r="U4036" s="40" t="str">
        <f aca="false">IF($A4036="","",$B4036&amp;"|"&amp;TEXT($A4036,"yyyymmdd")&amp;"|"&amp;TEXT($I4036,"0.00"))</f>
        <v/>
      </c>
      <c r="V4036" s="35" t="str">
        <f aca="false">IF($A4036="","",COUNTIF($U$8:$U$5007,$U4036))</f>
        <v/>
      </c>
    </row>
    <row r="4037" customFormat="false" ht="15" hidden="false" customHeight="false" outlineLevel="0" collapsed="false">
      <c r="A4037" s="31"/>
      <c r="B4037" s="32"/>
      <c r="C4037" s="32"/>
      <c r="D4037" s="32"/>
      <c r="E4037" s="32"/>
      <c r="F4037" s="32"/>
      <c r="G4037" s="33"/>
      <c r="H4037" s="33"/>
      <c r="I4037" s="34" t="str">
        <f aca="false">IF($A4037="","",$G4037-$H4037)</f>
        <v/>
      </c>
      <c r="J4037" s="35" t="str">
        <f aca="false">IF($A4037="","",IF(Setup!$B$6=1,YEAR($A4037),YEAR($A4037)+IF(MONTH($A4037)&gt;=Setup!$B$6,1,0)))</f>
        <v/>
      </c>
      <c r="K4037" s="35" t="str">
        <f aca="false">IF($A4037="","",MOD(MONTH($A4037)-Setup!$B$6+12,12)+1)</f>
        <v/>
      </c>
      <c r="L4037" s="36" t="str">
        <f aca="false">IF($A4037="","",TEXT($A4037,"MMM-YY"))</f>
        <v/>
      </c>
      <c r="M4037" s="37" t="str">
        <f aca="false">IF($A4037="","",IF($Q4037=0,"UNMAPPED",INDEX(COA_Mapping!$C$7:$C$256,$Q4037)))</f>
        <v/>
      </c>
      <c r="N4037" s="38" t="str">
        <f aca="false">IF($A4037="","",IF($Q4037=0,"",INDEX(COA_Mapping!$E$7:$E$256,$Q4037)))</f>
        <v/>
      </c>
      <c r="O4037" s="38" t="n">
        <f aca="false">IF($A4037="",1,IF($Q4037=0,1,INDEX(COA_Mapping!$F$7:$F$256,$Q4037)))</f>
        <v>1</v>
      </c>
      <c r="P4037" s="34" t="str">
        <f aca="false">IF($A4037="","",$I4037*$O4037)</f>
        <v/>
      </c>
      <c r="Q4037" s="39" t="n">
        <f aca="false">IF($B4037="",0,IFERROR(MATCH($B4037,COA_Mapping!$A$7:$A$256,0),0))</f>
        <v>0</v>
      </c>
      <c r="R4037" s="39" t="n">
        <f aca="false">IF($A4037="",-1,IF($J4037=Setup!$B$7,1,IF($J4037=Setup!$B$9,0,-1)))</f>
        <v>-1</v>
      </c>
      <c r="S4037" s="35" t="n">
        <f aca="false">IF(OR($A4037="",$Q4037=0,$R4037=-1),0,$Q4037*1000+$R4037*100+$K4037)</f>
        <v>0</v>
      </c>
      <c r="T4037" s="37" t="str">
        <f aca="false">IF($A4037="","",IF($B4037="","NO ACCOUNT",IF($Q4037=0,"UNMAPPED",IF($R4037=-1,"OUTSIDE FY RANGE","OK"))))</f>
        <v/>
      </c>
      <c r="U4037" s="40" t="str">
        <f aca="false">IF($A4037="","",$B4037&amp;"|"&amp;TEXT($A4037,"yyyymmdd")&amp;"|"&amp;TEXT($I4037,"0.00"))</f>
        <v/>
      </c>
      <c r="V4037" s="35" t="str">
        <f aca="false">IF($A4037="","",COUNTIF($U$8:$U$5007,$U4037))</f>
        <v/>
      </c>
    </row>
    <row r="4038" customFormat="false" ht="15" hidden="false" customHeight="false" outlineLevel="0" collapsed="false">
      <c r="A4038" s="31"/>
      <c r="B4038" s="32"/>
      <c r="C4038" s="32"/>
      <c r="D4038" s="32"/>
      <c r="E4038" s="32"/>
      <c r="F4038" s="32"/>
      <c r="G4038" s="33"/>
      <c r="H4038" s="33"/>
      <c r="I4038" s="34" t="str">
        <f aca="false">IF($A4038="","",$G4038-$H4038)</f>
        <v/>
      </c>
      <c r="J4038" s="35" t="str">
        <f aca="false">IF($A4038="","",IF(Setup!$B$6=1,YEAR($A4038),YEAR($A4038)+IF(MONTH($A4038)&gt;=Setup!$B$6,1,0)))</f>
        <v/>
      </c>
      <c r="K4038" s="35" t="str">
        <f aca="false">IF($A4038="","",MOD(MONTH($A4038)-Setup!$B$6+12,12)+1)</f>
        <v/>
      </c>
      <c r="L4038" s="36" t="str">
        <f aca="false">IF($A4038="","",TEXT($A4038,"MMM-YY"))</f>
        <v/>
      </c>
      <c r="M4038" s="37" t="str">
        <f aca="false">IF($A4038="","",IF($Q4038=0,"UNMAPPED",INDEX(COA_Mapping!$C$7:$C$256,$Q4038)))</f>
        <v/>
      </c>
      <c r="N4038" s="38" t="str">
        <f aca="false">IF($A4038="","",IF($Q4038=0,"",INDEX(COA_Mapping!$E$7:$E$256,$Q4038)))</f>
        <v/>
      </c>
      <c r="O4038" s="38" t="n">
        <f aca="false">IF($A4038="",1,IF($Q4038=0,1,INDEX(COA_Mapping!$F$7:$F$256,$Q4038)))</f>
        <v>1</v>
      </c>
      <c r="P4038" s="34" t="str">
        <f aca="false">IF($A4038="","",$I4038*$O4038)</f>
        <v/>
      </c>
      <c r="Q4038" s="39" t="n">
        <f aca="false">IF($B4038="",0,IFERROR(MATCH($B4038,COA_Mapping!$A$7:$A$256,0),0))</f>
        <v>0</v>
      </c>
      <c r="R4038" s="39" t="n">
        <f aca="false">IF($A4038="",-1,IF($J4038=Setup!$B$7,1,IF($J4038=Setup!$B$9,0,-1)))</f>
        <v>-1</v>
      </c>
      <c r="S4038" s="35" t="n">
        <f aca="false">IF(OR($A4038="",$Q4038=0,$R4038=-1),0,$Q4038*1000+$R4038*100+$K4038)</f>
        <v>0</v>
      </c>
      <c r="T4038" s="37" t="str">
        <f aca="false">IF($A4038="","",IF($B4038="","NO ACCOUNT",IF($Q4038=0,"UNMAPPED",IF($R4038=-1,"OUTSIDE FY RANGE","OK"))))</f>
        <v/>
      </c>
      <c r="U4038" s="40" t="str">
        <f aca="false">IF($A4038="","",$B4038&amp;"|"&amp;TEXT($A4038,"yyyymmdd")&amp;"|"&amp;TEXT($I4038,"0.00"))</f>
        <v/>
      </c>
      <c r="V4038" s="35" t="str">
        <f aca="false">IF($A4038="","",COUNTIF($U$8:$U$5007,$U4038))</f>
        <v/>
      </c>
    </row>
    <row r="4039" customFormat="false" ht="15" hidden="false" customHeight="false" outlineLevel="0" collapsed="false">
      <c r="A4039" s="31"/>
      <c r="B4039" s="32"/>
      <c r="C4039" s="32"/>
      <c r="D4039" s="32"/>
      <c r="E4039" s="32"/>
      <c r="F4039" s="32"/>
      <c r="G4039" s="33"/>
      <c r="H4039" s="33"/>
      <c r="I4039" s="34" t="str">
        <f aca="false">IF($A4039="","",$G4039-$H4039)</f>
        <v/>
      </c>
      <c r="J4039" s="35" t="str">
        <f aca="false">IF($A4039="","",IF(Setup!$B$6=1,YEAR($A4039),YEAR($A4039)+IF(MONTH($A4039)&gt;=Setup!$B$6,1,0)))</f>
        <v/>
      </c>
      <c r="K4039" s="35" t="str">
        <f aca="false">IF($A4039="","",MOD(MONTH($A4039)-Setup!$B$6+12,12)+1)</f>
        <v/>
      </c>
      <c r="L4039" s="36" t="str">
        <f aca="false">IF($A4039="","",TEXT($A4039,"MMM-YY"))</f>
        <v/>
      </c>
      <c r="M4039" s="37" t="str">
        <f aca="false">IF($A4039="","",IF($Q4039=0,"UNMAPPED",INDEX(COA_Mapping!$C$7:$C$256,$Q4039)))</f>
        <v/>
      </c>
      <c r="N4039" s="38" t="str">
        <f aca="false">IF($A4039="","",IF($Q4039=0,"",INDEX(COA_Mapping!$E$7:$E$256,$Q4039)))</f>
        <v/>
      </c>
      <c r="O4039" s="38" t="n">
        <f aca="false">IF($A4039="",1,IF($Q4039=0,1,INDEX(COA_Mapping!$F$7:$F$256,$Q4039)))</f>
        <v>1</v>
      </c>
      <c r="P4039" s="34" t="str">
        <f aca="false">IF($A4039="","",$I4039*$O4039)</f>
        <v/>
      </c>
      <c r="Q4039" s="39" t="n">
        <f aca="false">IF($B4039="",0,IFERROR(MATCH($B4039,COA_Mapping!$A$7:$A$256,0),0))</f>
        <v>0</v>
      </c>
      <c r="R4039" s="39" t="n">
        <f aca="false">IF($A4039="",-1,IF($J4039=Setup!$B$7,1,IF($J4039=Setup!$B$9,0,-1)))</f>
        <v>-1</v>
      </c>
      <c r="S4039" s="35" t="n">
        <f aca="false">IF(OR($A4039="",$Q4039=0,$R4039=-1),0,$Q4039*1000+$R4039*100+$K4039)</f>
        <v>0</v>
      </c>
      <c r="T4039" s="37" t="str">
        <f aca="false">IF($A4039="","",IF($B4039="","NO ACCOUNT",IF($Q4039=0,"UNMAPPED",IF($R4039=-1,"OUTSIDE FY RANGE","OK"))))</f>
        <v/>
      </c>
      <c r="U4039" s="40" t="str">
        <f aca="false">IF($A4039="","",$B4039&amp;"|"&amp;TEXT($A4039,"yyyymmdd")&amp;"|"&amp;TEXT($I4039,"0.00"))</f>
        <v/>
      </c>
      <c r="V4039" s="35" t="str">
        <f aca="false">IF($A4039="","",COUNTIF($U$8:$U$5007,$U4039))</f>
        <v/>
      </c>
    </row>
    <row r="4040" customFormat="false" ht="15" hidden="false" customHeight="false" outlineLevel="0" collapsed="false">
      <c r="A4040" s="31"/>
      <c r="B4040" s="32"/>
      <c r="C4040" s="32"/>
      <c r="D4040" s="32"/>
      <c r="E4040" s="32"/>
      <c r="F4040" s="32"/>
      <c r="G4040" s="33"/>
      <c r="H4040" s="33"/>
      <c r="I4040" s="34" t="str">
        <f aca="false">IF($A4040="","",$G4040-$H4040)</f>
        <v/>
      </c>
      <c r="J4040" s="35" t="str">
        <f aca="false">IF($A4040="","",IF(Setup!$B$6=1,YEAR($A4040),YEAR($A4040)+IF(MONTH($A4040)&gt;=Setup!$B$6,1,0)))</f>
        <v/>
      </c>
      <c r="K4040" s="35" t="str">
        <f aca="false">IF($A4040="","",MOD(MONTH($A4040)-Setup!$B$6+12,12)+1)</f>
        <v/>
      </c>
      <c r="L4040" s="36" t="str">
        <f aca="false">IF($A4040="","",TEXT($A4040,"MMM-YY"))</f>
        <v/>
      </c>
      <c r="M4040" s="37" t="str">
        <f aca="false">IF($A4040="","",IF($Q4040=0,"UNMAPPED",INDEX(COA_Mapping!$C$7:$C$256,$Q4040)))</f>
        <v/>
      </c>
      <c r="N4040" s="38" t="str">
        <f aca="false">IF($A4040="","",IF($Q4040=0,"",INDEX(COA_Mapping!$E$7:$E$256,$Q4040)))</f>
        <v/>
      </c>
      <c r="O4040" s="38" t="n">
        <f aca="false">IF($A4040="",1,IF($Q4040=0,1,INDEX(COA_Mapping!$F$7:$F$256,$Q4040)))</f>
        <v>1</v>
      </c>
      <c r="P4040" s="34" t="str">
        <f aca="false">IF($A4040="","",$I4040*$O4040)</f>
        <v/>
      </c>
      <c r="Q4040" s="39" t="n">
        <f aca="false">IF($B4040="",0,IFERROR(MATCH($B4040,COA_Mapping!$A$7:$A$256,0),0))</f>
        <v>0</v>
      </c>
      <c r="R4040" s="39" t="n">
        <f aca="false">IF($A4040="",-1,IF($J4040=Setup!$B$7,1,IF($J4040=Setup!$B$9,0,-1)))</f>
        <v>-1</v>
      </c>
      <c r="S4040" s="35" t="n">
        <f aca="false">IF(OR($A4040="",$Q4040=0,$R4040=-1),0,$Q4040*1000+$R4040*100+$K4040)</f>
        <v>0</v>
      </c>
      <c r="T4040" s="37" t="str">
        <f aca="false">IF($A4040="","",IF($B4040="","NO ACCOUNT",IF($Q4040=0,"UNMAPPED",IF($R4040=-1,"OUTSIDE FY RANGE","OK"))))</f>
        <v/>
      </c>
      <c r="U4040" s="40" t="str">
        <f aca="false">IF($A4040="","",$B4040&amp;"|"&amp;TEXT($A4040,"yyyymmdd")&amp;"|"&amp;TEXT($I4040,"0.00"))</f>
        <v/>
      </c>
      <c r="V4040" s="35" t="str">
        <f aca="false">IF($A4040="","",COUNTIF($U$8:$U$5007,$U4040))</f>
        <v/>
      </c>
    </row>
    <row r="4041" customFormat="false" ht="15" hidden="false" customHeight="false" outlineLevel="0" collapsed="false">
      <c r="A4041" s="31"/>
      <c r="B4041" s="32"/>
      <c r="C4041" s="32"/>
      <c r="D4041" s="32"/>
      <c r="E4041" s="32"/>
      <c r="F4041" s="32"/>
      <c r="G4041" s="33"/>
      <c r="H4041" s="33"/>
      <c r="I4041" s="34" t="str">
        <f aca="false">IF($A4041="","",$G4041-$H4041)</f>
        <v/>
      </c>
      <c r="J4041" s="35" t="str">
        <f aca="false">IF($A4041="","",IF(Setup!$B$6=1,YEAR($A4041),YEAR($A4041)+IF(MONTH($A4041)&gt;=Setup!$B$6,1,0)))</f>
        <v/>
      </c>
      <c r="K4041" s="35" t="str">
        <f aca="false">IF($A4041="","",MOD(MONTH($A4041)-Setup!$B$6+12,12)+1)</f>
        <v/>
      </c>
      <c r="L4041" s="36" t="str">
        <f aca="false">IF($A4041="","",TEXT($A4041,"MMM-YY"))</f>
        <v/>
      </c>
      <c r="M4041" s="37" t="str">
        <f aca="false">IF($A4041="","",IF($Q4041=0,"UNMAPPED",INDEX(COA_Mapping!$C$7:$C$256,$Q4041)))</f>
        <v/>
      </c>
      <c r="N4041" s="38" t="str">
        <f aca="false">IF($A4041="","",IF($Q4041=0,"",INDEX(COA_Mapping!$E$7:$E$256,$Q4041)))</f>
        <v/>
      </c>
      <c r="O4041" s="38" t="n">
        <f aca="false">IF($A4041="",1,IF($Q4041=0,1,INDEX(COA_Mapping!$F$7:$F$256,$Q4041)))</f>
        <v>1</v>
      </c>
      <c r="P4041" s="34" t="str">
        <f aca="false">IF($A4041="","",$I4041*$O4041)</f>
        <v/>
      </c>
      <c r="Q4041" s="39" t="n">
        <f aca="false">IF($B4041="",0,IFERROR(MATCH($B4041,COA_Mapping!$A$7:$A$256,0),0))</f>
        <v>0</v>
      </c>
      <c r="R4041" s="39" t="n">
        <f aca="false">IF($A4041="",-1,IF($J4041=Setup!$B$7,1,IF($J4041=Setup!$B$9,0,-1)))</f>
        <v>-1</v>
      </c>
      <c r="S4041" s="35" t="n">
        <f aca="false">IF(OR($A4041="",$Q4041=0,$R4041=-1),0,$Q4041*1000+$R4041*100+$K4041)</f>
        <v>0</v>
      </c>
      <c r="T4041" s="37" t="str">
        <f aca="false">IF($A4041="","",IF($B4041="","NO ACCOUNT",IF($Q4041=0,"UNMAPPED",IF($R4041=-1,"OUTSIDE FY RANGE","OK"))))</f>
        <v/>
      </c>
      <c r="U4041" s="40" t="str">
        <f aca="false">IF($A4041="","",$B4041&amp;"|"&amp;TEXT($A4041,"yyyymmdd")&amp;"|"&amp;TEXT($I4041,"0.00"))</f>
        <v/>
      </c>
      <c r="V4041" s="35" t="str">
        <f aca="false">IF($A4041="","",COUNTIF($U$8:$U$5007,$U4041))</f>
        <v/>
      </c>
    </row>
    <row r="4042" customFormat="false" ht="15" hidden="false" customHeight="false" outlineLevel="0" collapsed="false">
      <c r="A4042" s="31"/>
      <c r="B4042" s="32"/>
      <c r="C4042" s="32"/>
      <c r="D4042" s="32"/>
      <c r="E4042" s="32"/>
      <c r="F4042" s="32"/>
      <c r="G4042" s="33"/>
      <c r="H4042" s="33"/>
      <c r="I4042" s="34" t="str">
        <f aca="false">IF($A4042="","",$G4042-$H4042)</f>
        <v/>
      </c>
      <c r="J4042" s="35" t="str">
        <f aca="false">IF($A4042="","",IF(Setup!$B$6=1,YEAR($A4042),YEAR($A4042)+IF(MONTH($A4042)&gt;=Setup!$B$6,1,0)))</f>
        <v/>
      </c>
      <c r="K4042" s="35" t="str">
        <f aca="false">IF($A4042="","",MOD(MONTH($A4042)-Setup!$B$6+12,12)+1)</f>
        <v/>
      </c>
      <c r="L4042" s="36" t="str">
        <f aca="false">IF($A4042="","",TEXT($A4042,"MMM-YY"))</f>
        <v/>
      </c>
      <c r="M4042" s="37" t="str">
        <f aca="false">IF($A4042="","",IF($Q4042=0,"UNMAPPED",INDEX(COA_Mapping!$C$7:$C$256,$Q4042)))</f>
        <v/>
      </c>
      <c r="N4042" s="38" t="str">
        <f aca="false">IF($A4042="","",IF($Q4042=0,"",INDEX(COA_Mapping!$E$7:$E$256,$Q4042)))</f>
        <v/>
      </c>
      <c r="O4042" s="38" t="n">
        <f aca="false">IF($A4042="",1,IF($Q4042=0,1,INDEX(COA_Mapping!$F$7:$F$256,$Q4042)))</f>
        <v>1</v>
      </c>
      <c r="P4042" s="34" t="str">
        <f aca="false">IF($A4042="","",$I4042*$O4042)</f>
        <v/>
      </c>
      <c r="Q4042" s="39" t="n">
        <f aca="false">IF($B4042="",0,IFERROR(MATCH($B4042,COA_Mapping!$A$7:$A$256,0),0))</f>
        <v>0</v>
      </c>
      <c r="R4042" s="39" t="n">
        <f aca="false">IF($A4042="",-1,IF($J4042=Setup!$B$7,1,IF($J4042=Setup!$B$9,0,-1)))</f>
        <v>-1</v>
      </c>
      <c r="S4042" s="35" t="n">
        <f aca="false">IF(OR($A4042="",$Q4042=0,$R4042=-1),0,$Q4042*1000+$R4042*100+$K4042)</f>
        <v>0</v>
      </c>
      <c r="T4042" s="37" t="str">
        <f aca="false">IF($A4042="","",IF($B4042="","NO ACCOUNT",IF($Q4042=0,"UNMAPPED",IF($R4042=-1,"OUTSIDE FY RANGE","OK"))))</f>
        <v/>
      </c>
      <c r="U4042" s="40" t="str">
        <f aca="false">IF($A4042="","",$B4042&amp;"|"&amp;TEXT($A4042,"yyyymmdd")&amp;"|"&amp;TEXT($I4042,"0.00"))</f>
        <v/>
      </c>
      <c r="V4042" s="35" t="str">
        <f aca="false">IF($A4042="","",COUNTIF($U$8:$U$5007,$U4042))</f>
        <v/>
      </c>
    </row>
    <row r="4043" customFormat="false" ht="15" hidden="false" customHeight="false" outlineLevel="0" collapsed="false">
      <c r="A4043" s="31"/>
      <c r="B4043" s="32"/>
      <c r="C4043" s="32"/>
      <c r="D4043" s="32"/>
      <c r="E4043" s="32"/>
      <c r="F4043" s="32"/>
      <c r="G4043" s="33"/>
      <c r="H4043" s="33"/>
      <c r="I4043" s="34" t="str">
        <f aca="false">IF($A4043="","",$G4043-$H4043)</f>
        <v/>
      </c>
      <c r="J4043" s="35" t="str">
        <f aca="false">IF($A4043="","",IF(Setup!$B$6=1,YEAR($A4043),YEAR($A4043)+IF(MONTH($A4043)&gt;=Setup!$B$6,1,0)))</f>
        <v/>
      </c>
      <c r="K4043" s="35" t="str">
        <f aca="false">IF($A4043="","",MOD(MONTH($A4043)-Setup!$B$6+12,12)+1)</f>
        <v/>
      </c>
      <c r="L4043" s="36" t="str">
        <f aca="false">IF($A4043="","",TEXT($A4043,"MMM-YY"))</f>
        <v/>
      </c>
      <c r="M4043" s="37" t="str">
        <f aca="false">IF($A4043="","",IF($Q4043=0,"UNMAPPED",INDEX(COA_Mapping!$C$7:$C$256,$Q4043)))</f>
        <v/>
      </c>
      <c r="N4043" s="38" t="str">
        <f aca="false">IF($A4043="","",IF($Q4043=0,"",INDEX(COA_Mapping!$E$7:$E$256,$Q4043)))</f>
        <v/>
      </c>
      <c r="O4043" s="38" t="n">
        <f aca="false">IF($A4043="",1,IF($Q4043=0,1,INDEX(COA_Mapping!$F$7:$F$256,$Q4043)))</f>
        <v>1</v>
      </c>
      <c r="P4043" s="34" t="str">
        <f aca="false">IF($A4043="","",$I4043*$O4043)</f>
        <v/>
      </c>
      <c r="Q4043" s="39" t="n">
        <f aca="false">IF($B4043="",0,IFERROR(MATCH($B4043,COA_Mapping!$A$7:$A$256,0),0))</f>
        <v>0</v>
      </c>
      <c r="R4043" s="39" t="n">
        <f aca="false">IF($A4043="",-1,IF($J4043=Setup!$B$7,1,IF($J4043=Setup!$B$9,0,-1)))</f>
        <v>-1</v>
      </c>
      <c r="S4043" s="35" t="n">
        <f aca="false">IF(OR($A4043="",$Q4043=0,$R4043=-1),0,$Q4043*1000+$R4043*100+$K4043)</f>
        <v>0</v>
      </c>
      <c r="T4043" s="37" t="str">
        <f aca="false">IF($A4043="","",IF($B4043="","NO ACCOUNT",IF($Q4043=0,"UNMAPPED",IF($R4043=-1,"OUTSIDE FY RANGE","OK"))))</f>
        <v/>
      </c>
      <c r="U4043" s="40" t="str">
        <f aca="false">IF($A4043="","",$B4043&amp;"|"&amp;TEXT($A4043,"yyyymmdd")&amp;"|"&amp;TEXT($I4043,"0.00"))</f>
        <v/>
      </c>
      <c r="V4043" s="35" t="str">
        <f aca="false">IF($A4043="","",COUNTIF($U$8:$U$5007,$U4043))</f>
        <v/>
      </c>
    </row>
    <row r="4044" customFormat="false" ht="15" hidden="false" customHeight="false" outlineLevel="0" collapsed="false">
      <c r="A4044" s="31"/>
      <c r="B4044" s="32"/>
      <c r="C4044" s="32"/>
      <c r="D4044" s="32"/>
      <c r="E4044" s="32"/>
      <c r="F4044" s="32"/>
      <c r="G4044" s="33"/>
      <c r="H4044" s="33"/>
      <c r="I4044" s="34" t="str">
        <f aca="false">IF($A4044="","",$G4044-$H4044)</f>
        <v/>
      </c>
      <c r="J4044" s="35" t="str">
        <f aca="false">IF($A4044="","",IF(Setup!$B$6=1,YEAR($A4044),YEAR($A4044)+IF(MONTH($A4044)&gt;=Setup!$B$6,1,0)))</f>
        <v/>
      </c>
      <c r="K4044" s="35" t="str">
        <f aca="false">IF($A4044="","",MOD(MONTH($A4044)-Setup!$B$6+12,12)+1)</f>
        <v/>
      </c>
      <c r="L4044" s="36" t="str">
        <f aca="false">IF($A4044="","",TEXT($A4044,"MMM-YY"))</f>
        <v/>
      </c>
      <c r="M4044" s="37" t="str">
        <f aca="false">IF($A4044="","",IF($Q4044=0,"UNMAPPED",INDEX(COA_Mapping!$C$7:$C$256,$Q4044)))</f>
        <v/>
      </c>
      <c r="N4044" s="38" t="str">
        <f aca="false">IF($A4044="","",IF($Q4044=0,"",INDEX(COA_Mapping!$E$7:$E$256,$Q4044)))</f>
        <v/>
      </c>
      <c r="O4044" s="38" t="n">
        <f aca="false">IF($A4044="",1,IF($Q4044=0,1,INDEX(COA_Mapping!$F$7:$F$256,$Q4044)))</f>
        <v>1</v>
      </c>
      <c r="P4044" s="34" t="str">
        <f aca="false">IF($A4044="","",$I4044*$O4044)</f>
        <v/>
      </c>
      <c r="Q4044" s="39" t="n">
        <f aca="false">IF($B4044="",0,IFERROR(MATCH($B4044,COA_Mapping!$A$7:$A$256,0),0))</f>
        <v>0</v>
      </c>
      <c r="R4044" s="39" t="n">
        <f aca="false">IF($A4044="",-1,IF($J4044=Setup!$B$7,1,IF($J4044=Setup!$B$9,0,-1)))</f>
        <v>-1</v>
      </c>
      <c r="S4044" s="35" t="n">
        <f aca="false">IF(OR($A4044="",$Q4044=0,$R4044=-1),0,$Q4044*1000+$R4044*100+$K4044)</f>
        <v>0</v>
      </c>
      <c r="T4044" s="37" t="str">
        <f aca="false">IF($A4044="","",IF($B4044="","NO ACCOUNT",IF($Q4044=0,"UNMAPPED",IF($R4044=-1,"OUTSIDE FY RANGE","OK"))))</f>
        <v/>
      </c>
      <c r="U4044" s="40" t="str">
        <f aca="false">IF($A4044="","",$B4044&amp;"|"&amp;TEXT($A4044,"yyyymmdd")&amp;"|"&amp;TEXT($I4044,"0.00"))</f>
        <v/>
      </c>
      <c r="V4044" s="35" t="str">
        <f aca="false">IF($A4044="","",COUNTIF($U$8:$U$5007,$U4044))</f>
        <v/>
      </c>
    </row>
    <row r="4045" customFormat="false" ht="15" hidden="false" customHeight="false" outlineLevel="0" collapsed="false">
      <c r="A4045" s="31"/>
      <c r="B4045" s="32"/>
      <c r="C4045" s="32"/>
      <c r="D4045" s="32"/>
      <c r="E4045" s="32"/>
      <c r="F4045" s="32"/>
      <c r="G4045" s="33"/>
      <c r="H4045" s="33"/>
      <c r="I4045" s="34" t="str">
        <f aca="false">IF($A4045="","",$G4045-$H4045)</f>
        <v/>
      </c>
      <c r="J4045" s="35" t="str">
        <f aca="false">IF($A4045="","",IF(Setup!$B$6=1,YEAR($A4045),YEAR($A4045)+IF(MONTH($A4045)&gt;=Setup!$B$6,1,0)))</f>
        <v/>
      </c>
      <c r="K4045" s="35" t="str">
        <f aca="false">IF($A4045="","",MOD(MONTH($A4045)-Setup!$B$6+12,12)+1)</f>
        <v/>
      </c>
      <c r="L4045" s="36" t="str">
        <f aca="false">IF($A4045="","",TEXT($A4045,"MMM-YY"))</f>
        <v/>
      </c>
      <c r="M4045" s="37" t="str">
        <f aca="false">IF($A4045="","",IF($Q4045=0,"UNMAPPED",INDEX(COA_Mapping!$C$7:$C$256,$Q4045)))</f>
        <v/>
      </c>
      <c r="N4045" s="38" t="str">
        <f aca="false">IF($A4045="","",IF($Q4045=0,"",INDEX(COA_Mapping!$E$7:$E$256,$Q4045)))</f>
        <v/>
      </c>
      <c r="O4045" s="38" t="n">
        <f aca="false">IF($A4045="",1,IF($Q4045=0,1,INDEX(COA_Mapping!$F$7:$F$256,$Q4045)))</f>
        <v>1</v>
      </c>
      <c r="P4045" s="34" t="str">
        <f aca="false">IF($A4045="","",$I4045*$O4045)</f>
        <v/>
      </c>
      <c r="Q4045" s="39" t="n">
        <f aca="false">IF($B4045="",0,IFERROR(MATCH($B4045,COA_Mapping!$A$7:$A$256,0),0))</f>
        <v>0</v>
      </c>
      <c r="R4045" s="39" t="n">
        <f aca="false">IF($A4045="",-1,IF($J4045=Setup!$B$7,1,IF($J4045=Setup!$B$9,0,-1)))</f>
        <v>-1</v>
      </c>
      <c r="S4045" s="35" t="n">
        <f aca="false">IF(OR($A4045="",$Q4045=0,$R4045=-1),0,$Q4045*1000+$R4045*100+$K4045)</f>
        <v>0</v>
      </c>
      <c r="T4045" s="37" t="str">
        <f aca="false">IF($A4045="","",IF($B4045="","NO ACCOUNT",IF($Q4045=0,"UNMAPPED",IF($R4045=-1,"OUTSIDE FY RANGE","OK"))))</f>
        <v/>
      </c>
      <c r="U4045" s="40" t="str">
        <f aca="false">IF($A4045="","",$B4045&amp;"|"&amp;TEXT($A4045,"yyyymmdd")&amp;"|"&amp;TEXT($I4045,"0.00"))</f>
        <v/>
      </c>
      <c r="V4045" s="35" t="str">
        <f aca="false">IF($A4045="","",COUNTIF($U$8:$U$5007,$U4045))</f>
        <v/>
      </c>
    </row>
    <row r="4046" customFormat="false" ht="15" hidden="false" customHeight="false" outlineLevel="0" collapsed="false">
      <c r="A4046" s="31"/>
      <c r="B4046" s="32"/>
      <c r="C4046" s="32"/>
      <c r="D4046" s="32"/>
      <c r="E4046" s="32"/>
      <c r="F4046" s="32"/>
      <c r="G4046" s="33"/>
      <c r="H4046" s="33"/>
      <c r="I4046" s="34" t="str">
        <f aca="false">IF($A4046="","",$G4046-$H4046)</f>
        <v/>
      </c>
      <c r="J4046" s="35" t="str">
        <f aca="false">IF($A4046="","",IF(Setup!$B$6=1,YEAR($A4046),YEAR($A4046)+IF(MONTH($A4046)&gt;=Setup!$B$6,1,0)))</f>
        <v/>
      </c>
      <c r="K4046" s="35" t="str">
        <f aca="false">IF($A4046="","",MOD(MONTH($A4046)-Setup!$B$6+12,12)+1)</f>
        <v/>
      </c>
      <c r="L4046" s="36" t="str">
        <f aca="false">IF($A4046="","",TEXT($A4046,"MMM-YY"))</f>
        <v/>
      </c>
      <c r="M4046" s="37" t="str">
        <f aca="false">IF($A4046="","",IF($Q4046=0,"UNMAPPED",INDEX(COA_Mapping!$C$7:$C$256,$Q4046)))</f>
        <v/>
      </c>
      <c r="N4046" s="38" t="str">
        <f aca="false">IF($A4046="","",IF($Q4046=0,"",INDEX(COA_Mapping!$E$7:$E$256,$Q4046)))</f>
        <v/>
      </c>
      <c r="O4046" s="38" t="n">
        <f aca="false">IF($A4046="",1,IF($Q4046=0,1,INDEX(COA_Mapping!$F$7:$F$256,$Q4046)))</f>
        <v>1</v>
      </c>
      <c r="P4046" s="34" t="str">
        <f aca="false">IF($A4046="","",$I4046*$O4046)</f>
        <v/>
      </c>
      <c r="Q4046" s="39" t="n">
        <f aca="false">IF($B4046="",0,IFERROR(MATCH($B4046,COA_Mapping!$A$7:$A$256,0),0))</f>
        <v>0</v>
      </c>
      <c r="R4046" s="39" t="n">
        <f aca="false">IF($A4046="",-1,IF($J4046=Setup!$B$7,1,IF($J4046=Setup!$B$9,0,-1)))</f>
        <v>-1</v>
      </c>
      <c r="S4046" s="35" t="n">
        <f aca="false">IF(OR($A4046="",$Q4046=0,$R4046=-1),0,$Q4046*1000+$R4046*100+$K4046)</f>
        <v>0</v>
      </c>
      <c r="T4046" s="37" t="str">
        <f aca="false">IF($A4046="","",IF($B4046="","NO ACCOUNT",IF($Q4046=0,"UNMAPPED",IF($R4046=-1,"OUTSIDE FY RANGE","OK"))))</f>
        <v/>
      </c>
      <c r="U4046" s="40" t="str">
        <f aca="false">IF($A4046="","",$B4046&amp;"|"&amp;TEXT($A4046,"yyyymmdd")&amp;"|"&amp;TEXT($I4046,"0.00"))</f>
        <v/>
      </c>
      <c r="V4046" s="35" t="str">
        <f aca="false">IF($A4046="","",COUNTIF($U$8:$U$5007,$U4046))</f>
        <v/>
      </c>
    </row>
    <row r="4047" customFormat="false" ht="15" hidden="false" customHeight="false" outlineLevel="0" collapsed="false">
      <c r="A4047" s="31"/>
      <c r="B4047" s="32"/>
      <c r="C4047" s="32"/>
      <c r="D4047" s="32"/>
      <c r="E4047" s="32"/>
      <c r="F4047" s="32"/>
      <c r="G4047" s="33"/>
      <c r="H4047" s="33"/>
      <c r="I4047" s="34" t="str">
        <f aca="false">IF($A4047="","",$G4047-$H4047)</f>
        <v/>
      </c>
      <c r="J4047" s="35" t="str">
        <f aca="false">IF($A4047="","",IF(Setup!$B$6=1,YEAR($A4047),YEAR($A4047)+IF(MONTH($A4047)&gt;=Setup!$B$6,1,0)))</f>
        <v/>
      </c>
      <c r="K4047" s="35" t="str">
        <f aca="false">IF($A4047="","",MOD(MONTH($A4047)-Setup!$B$6+12,12)+1)</f>
        <v/>
      </c>
      <c r="L4047" s="36" t="str">
        <f aca="false">IF($A4047="","",TEXT($A4047,"MMM-YY"))</f>
        <v/>
      </c>
      <c r="M4047" s="37" t="str">
        <f aca="false">IF($A4047="","",IF($Q4047=0,"UNMAPPED",INDEX(COA_Mapping!$C$7:$C$256,$Q4047)))</f>
        <v/>
      </c>
      <c r="N4047" s="38" t="str">
        <f aca="false">IF($A4047="","",IF($Q4047=0,"",INDEX(COA_Mapping!$E$7:$E$256,$Q4047)))</f>
        <v/>
      </c>
      <c r="O4047" s="38" t="n">
        <f aca="false">IF($A4047="",1,IF($Q4047=0,1,INDEX(COA_Mapping!$F$7:$F$256,$Q4047)))</f>
        <v>1</v>
      </c>
      <c r="P4047" s="34" t="str">
        <f aca="false">IF($A4047="","",$I4047*$O4047)</f>
        <v/>
      </c>
      <c r="Q4047" s="39" t="n">
        <f aca="false">IF($B4047="",0,IFERROR(MATCH($B4047,COA_Mapping!$A$7:$A$256,0),0))</f>
        <v>0</v>
      </c>
      <c r="R4047" s="39" t="n">
        <f aca="false">IF($A4047="",-1,IF($J4047=Setup!$B$7,1,IF($J4047=Setup!$B$9,0,-1)))</f>
        <v>-1</v>
      </c>
      <c r="S4047" s="35" t="n">
        <f aca="false">IF(OR($A4047="",$Q4047=0,$R4047=-1),0,$Q4047*1000+$R4047*100+$K4047)</f>
        <v>0</v>
      </c>
      <c r="T4047" s="37" t="str">
        <f aca="false">IF($A4047="","",IF($B4047="","NO ACCOUNT",IF($Q4047=0,"UNMAPPED",IF($R4047=-1,"OUTSIDE FY RANGE","OK"))))</f>
        <v/>
      </c>
      <c r="U4047" s="40" t="str">
        <f aca="false">IF($A4047="","",$B4047&amp;"|"&amp;TEXT($A4047,"yyyymmdd")&amp;"|"&amp;TEXT($I4047,"0.00"))</f>
        <v/>
      </c>
      <c r="V4047" s="35" t="str">
        <f aca="false">IF($A4047="","",COUNTIF($U$8:$U$5007,$U4047))</f>
        <v/>
      </c>
    </row>
    <row r="4048" customFormat="false" ht="15" hidden="false" customHeight="false" outlineLevel="0" collapsed="false">
      <c r="A4048" s="31"/>
      <c r="B4048" s="32"/>
      <c r="C4048" s="32"/>
      <c r="D4048" s="32"/>
      <c r="E4048" s="32"/>
      <c r="F4048" s="32"/>
      <c r="G4048" s="33"/>
      <c r="H4048" s="33"/>
      <c r="I4048" s="34" t="str">
        <f aca="false">IF($A4048="","",$G4048-$H4048)</f>
        <v/>
      </c>
      <c r="J4048" s="35" t="str">
        <f aca="false">IF($A4048="","",IF(Setup!$B$6=1,YEAR($A4048),YEAR($A4048)+IF(MONTH($A4048)&gt;=Setup!$B$6,1,0)))</f>
        <v/>
      </c>
      <c r="K4048" s="35" t="str">
        <f aca="false">IF($A4048="","",MOD(MONTH($A4048)-Setup!$B$6+12,12)+1)</f>
        <v/>
      </c>
      <c r="L4048" s="36" t="str">
        <f aca="false">IF($A4048="","",TEXT($A4048,"MMM-YY"))</f>
        <v/>
      </c>
      <c r="M4048" s="37" t="str">
        <f aca="false">IF($A4048="","",IF($Q4048=0,"UNMAPPED",INDEX(COA_Mapping!$C$7:$C$256,$Q4048)))</f>
        <v/>
      </c>
      <c r="N4048" s="38" t="str">
        <f aca="false">IF($A4048="","",IF($Q4048=0,"",INDEX(COA_Mapping!$E$7:$E$256,$Q4048)))</f>
        <v/>
      </c>
      <c r="O4048" s="38" t="n">
        <f aca="false">IF($A4048="",1,IF($Q4048=0,1,INDEX(COA_Mapping!$F$7:$F$256,$Q4048)))</f>
        <v>1</v>
      </c>
      <c r="P4048" s="34" t="str">
        <f aca="false">IF($A4048="","",$I4048*$O4048)</f>
        <v/>
      </c>
      <c r="Q4048" s="39" t="n">
        <f aca="false">IF($B4048="",0,IFERROR(MATCH($B4048,COA_Mapping!$A$7:$A$256,0),0))</f>
        <v>0</v>
      </c>
      <c r="R4048" s="39" t="n">
        <f aca="false">IF($A4048="",-1,IF($J4048=Setup!$B$7,1,IF($J4048=Setup!$B$9,0,-1)))</f>
        <v>-1</v>
      </c>
      <c r="S4048" s="35" t="n">
        <f aca="false">IF(OR($A4048="",$Q4048=0,$R4048=-1),0,$Q4048*1000+$R4048*100+$K4048)</f>
        <v>0</v>
      </c>
      <c r="T4048" s="37" t="str">
        <f aca="false">IF($A4048="","",IF($B4048="","NO ACCOUNT",IF($Q4048=0,"UNMAPPED",IF($R4048=-1,"OUTSIDE FY RANGE","OK"))))</f>
        <v/>
      </c>
      <c r="U4048" s="40" t="str">
        <f aca="false">IF($A4048="","",$B4048&amp;"|"&amp;TEXT($A4048,"yyyymmdd")&amp;"|"&amp;TEXT($I4048,"0.00"))</f>
        <v/>
      </c>
      <c r="V4048" s="35" t="str">
        <f aca="false">IF($A4048="","",COUNTIF($U$8:$U$5007,$U4048))</f>
        <v/>
      </c>
    </row>
    <row r="4049" customFormat="false" ht="15" hidden="false" customHeight="false" outlineLevel="0" collapsed="false">
      <c r="A4049" s="31"/>
      <c r="B4049" s="32"/>
      <c r="C4049" s="32"/>
      <c r="D4049" s="32"/>
      <c r="E4049" s="32"/>
      <c r="F4049" s="32"/>
      <c r="G4049" s="33"/>
      <c r="H4049" s="33"/>
      <c r="I4049" s="34" t="str">
        <f aca="false">IF($A4049="","",$G4049-$H4049)</f>
        <v/>
      </c>
      <c r="J4049" s="35" t="str">
        <f aca="false">IF($A4049="","",IF(Setup!$B$6=1,YEAR($A4049),YEAR($A4049)+IF(MONTH($A4049)&gt;=Setup!$B$6,1,0)))</f>
        <v/>
      </c>
      <c r="K4049" s="35" t="str">
        <f aca="false">IF($A4049="","",MOD(MONTH($A4049)-Setup!$B$6+12,12)+1)</f>
        <v/>
      </c>
      <c r="L4049" s="36" t="str">
        <f aca="false">IF($A4049="","",TEXT($A4049,"MMM-YY"))</f>
        <v/>
      </c>
      <c r="M4049" s="37" t="str">
        <f aca="false">IF($A4049="","",IF($Q4049=0,"UNMAPPED",INDEX(COA_Mapping!$C$7:$C$256,$Q4049)))</f>
        <v/>
      </c>
      <c r="N4049" s="38" t="str">
        <f aca="false">IF($A4049="","",IF($Q4049=0,"",INDEX(COA_Mapping!$E$7:$E$256,$Q4049)))</f>
        <v/>
      </c>
      <c r="O4049" s="38" t="n">
        <f aca="false">IF($A4049="",1,IF($Q4049=0,1,INDEX(COA_Mapping!$F$7:$F$256,$Q4049)))</f>
        <v>1</v>
      </c>
      <c r="P4049" s="34" t="str">
        <f aca="false">IF($A4049="","",$I4049*$O4049)</f>
        <v/>
      </c>
      <c r="Q4049" s="39" t="n">
        <f aca="false">IF($B4049="",0,IFERROR(MATCH($B4049,COA_Mapping!$A$7:$A$256,0),0))</f>
        <v>0</v>
      </c>
      <c r="R4049" s="39" t="n">
        <f aca="false">IF($A4049="",-1,IF($J4049=Setup!$B$7,1,IF($J4049=Setup!$B$9,0,-1)))</f>
        <v>-1</v>
      </c>
      <c r="S4049" s="35" t="n">
        <f aca="false">IF(OR($A4049="",$Q4049=0,$R4049=-1),0,$Q4049*1000+$R4049*100+$K4049)</f>
        <v>0</v>
      </c>
      <c r="T4049" s="37" t="str">
        <f aca="false">IF($A4049="","",IF($B4049="","NO ACCOUNT",IF($Q4049=0,"UNMAPPED",IF($R4049=-1,"OUTSIDE FY RANGE","OK"))))</f>
        <v/>
      </c>
      <c r="U4049" s="40" t="str">
        <f aca="false">IF($A4049="","",$B4049&amp;"|"&amp;TEXT($A4049,"yyyymmdd")&amp;"|"&amp;TEXT($I4049,"0.00"))</f>
        <v/>
      </c>
      <c r="V4049" s="35" t="str">
        <f aca="false">IF($A4049="","",COUNTIF($U$8:$U$5007,$U4049))</f>
        <v/>
      </c>
    </row>
    <row r="4050" customFormat="false" ht="15" hidden="false" customHeight="false" outlineLevel="0" collapsed="false">
      <c r="A4050" s="31"/>
      <c r="B4050" s="32"/>
      <c r="C4050" s="32"/>
      <c r="D4050" s="32"/>
      <c r="E4050" s="32"/>
      <c r="F4050" s="32"/>
      <c r="G4050" s="33"/>
      <c r="H4050" s="33"/>
      <c r="I4050" s="34" t="str">
        <f aca="false">IF($A4050="","",$G4050-$H4050)</f>
        <v/>
      </c>
      <c r="J4050" s="35" t="str">
        <f aca="false">IF($A4050="","",IF(Setup!$B$6=1,YEAR($A4050),YEAR($A4050)+IF(MONTH($A4050)&gt;=Setup!$B$6,1,0)))</f>
        <v/>
      </c>
      <c r="K4050" s="35" t="str">
        <f aca="false">IF($A4050="","",MOD(MONTH($A4050)-Setup!$B$6+12,12)+1)</f>
        <v/>
      </c>
      <c r="L4050" s="36" t="str">
        <f aca="false">IF($A4050="","",TEXT($A4050,"MMM-YY"))</f>
        <v/>
      </c>
      <c r="M4050" s="37" t="str">
        <f aca="false">IF($A4050="","",IF($Q4050=0,"UNMAPPED",INDEX(COA_Mapping!$C$7:$C$256,$Q4050)))</f>
        <v/>
      </c>
      <c r="N4050" s="38" t="str">
        <f aca="false">IF($A4050="","",IF($Q4050=0,"",INDEX(COA_Mapping!$E$7:$E$256,$Q4050)))</f>
        <v/>
      </c>
      <c r="O4050" s="38" t="n">
        <f aca="false">IF($A4050="",1,IF($Q4050=0,1,INDEX(COA_Mapping!$F$7:$F$256,$Q4050)))</f>
        <v>1</v>
      </c>
      <c r="P4050" s="34" t="str">
        <f aca="false">IF($A4050="","",$I4050*$O4050)</f>
        <v/>
      </c>
      <c r="Q4050" s="39" t="n">
        <f aca="false">IF($B4050="",0,IFERROR(MATCH($B4050,COA_Mapping!$A$7:$A$256,0),0))</f>
        <v>0</v>
      </c>
      <c r="R4050" s="39" t="n">
        <f aca="false">IF($A4050="",-1,IF($J4050=Setup!$B$7,1,IF($J4050=Setup!$B$9,0,-1)))</f>
        <v>-1</v>
      </c>
      <c r="S4050" s="35" t="n">
        <f aca="false">IF(OR($A4050="",$Q4050=0,$R4050=-1),0,$Q4050*1000+$R4050*100+$K4050)</f>
        <v>0</v>
      </c>
      <c r="T4050" s="37" t="str">
        <f aca="false">IF($A4050="","",IF($B4050="","NO ACCOUNT",IF($Q4050=0,"UNMAPPED",IF($R4050=-1,"OUTSIDE FY RANGE","OK"))))</f>
        <v/>
      </c>
      <c r="U4050" s="40" t="str">
        <f aca="false">IF($A4050="","",$B4050&amp;"|"&amp;TEXT($A4050,"yyyymmdd")&amp;"|"&amp;TEXT($I4050,"0.00"))</f>
        <v/>
      </c>
      <c r="V4050" s="35" t="str">
        <f aca="false">IF($A4050="","",COUNTIF($U$8:$U$5007,$U4050))</f>
        <v/>
      </c>
    </row>
    <row r="4051" customFormat="false" ht="15" hidden="false" customHeight="false" outlineLevel="0" collapsed="false">
      <c r="A4051" s="31"/>
      <c r="B4051" s="32"/>
      <c r="C4051" s="32"/>
      <c r="D4051" s="32"/>
      <c r="E4051" s="32"/>
      <c r="F4051" s="32"/>
      <c r="G4051" s="33"/>
      <c r="H4051" s="33"/>
      <c r="I4051" s="34" t="str">
        <f aca="false">IF($A4051="","",$G4051-$H4051)</f>
        <v/>
      </c>
      <c r="J4051" s="35" t="str">
        <f aca="false">IF($A4051="","",IF(Setup!$B$6=1,YEAR($A4051),YEAR($A4051)+IF(MONTH($A4051)&gt;=Setup!$B$6,1,0)))</f>
        <v/>
      </c>
      <c r="K4051" s="35" t="str">
        <f aca="false">IF($A4051="","",MOD(MONTH($A4051)-Setup!$B$6+12,12)+1)</f>
        <v/>
      </c>
      <c r="L4051" s="36" t="str">
        <f aca="false">IF($A4051="","",TEXT($A4051,"MMM-YY"))</f>
        <v/>
      </c>
      <c r="M4051" s="37" t="str">
        <f aca="false">IF($A4051="","",IF($Q4051=0,"UNMAPPED",INDEX(COA_Mapping!$C$7:$C$256,$Q4051)))</f>
        <v/>
      </c>
      <c r="N4051" s="38" t="str">
        <f aca="false">IF($A4051="","",IF($Q4051=0,"",INDEX(COA_Mapping!$E$7:$E$256,$Q4051)))</f>
        <v/>
      </c>
      <c r="O4051" s="38" t="n">
        <f aca="false">IF($A4051="",1,IF($Q4051=0,1,INDEX(COA_Mapping!$F$7:$F$256,$Q4051)))</f>
        <v>1</v>
      </c>
      <c r="P4051" s="34" t="str">
        <f aca="false">IF($A4051="","",$I4051*$O4051)</f>
        <v/>
      </c>
      <c r="Q4051" s="39" t="n">
        <f aca="false">IF($B4051="",0,IFERROR(MATCH($B4051,COA_Mapping!$A$7:$A$256,0),0))</f>
        <v>0</v>
      </c>
      <c r="R4051" s="39" t="n">
        <f aca="false">IF($A4051="",-1,IF($J4051=Setup!$B$7,1,IF($J4051=Setup!$B$9,0,-1)))</f>
        <v>-1</v>
      </c>
      <c r="S4051" s="35" t="n">
        <f aca="false">IF(OR($A4051="",$Q4051=0,$R4051=-1),0,$Q4051*1000+$R4051*100+$K4051)</f>
        <v>0</v>
      </c>
      <c r="T4051" s="37" t="str">
        <f aca="false">IF($A4051="","",IF($B4051="","NO ACCOUNT",IF($Q4051=0,"UNMAPPED",IF($R4051=-1,"OUTSIDE FY RANGE","OK"))))</f>
        <v/>
      </c>
      <c r="U4051" s="40" t="str">
        <f aca="false">IF($A4051="","",$B4051&amp;"|"&amp;TEXT($A4051,"yyyymmdd")&amp;"|"&amp;TEXT($I4051,"0.00"))</f>
        <v/>
      </c>
      <c r="V4051" s="35" t="str">
        <f aca="false">IF($A4051="","",COUNTIF($U$8:$U$5007,$U4051))</f>
        <v/>
      </c>
    </row>
    <row r="4052" customFormat="false" ht="15" hidden="false" customHeight="false" outlineLevel="0" collapsed="false">
      <c r="A4052" s="31"/>
      <c r="B4052" s="32"/>
      <c r="C4052" s="32"/>
      <c r="D4052" s="32"/>
      <c r="E4052" s="32"/>
      <c r="F4052" s="32"/>
      <c r="G4052" s="33"/>
      <c r="H4052" s="33"/>
      <c r="I4052" s="34" t="str">
        <f aca="false">IF($A4052="","",$G4052-$H4052)</f>
        <v/>
      </c>
      <c r="J4052" s="35" t="str">
        <f aca="false">IF($A4052="","",IF(Setup!$B$6=1,YEAR($A4052),YEAR($A4052)+IF(MONTH($A4052)&gt;=Setup!$B$6,1,0)))</f>
        <v/>
      </c>
      <c r="K4052" s="35" t="str">
        <f aca="false">IF($A4052="","",MOD(MONTH($A4052)-Setup!$B$6+12,12)+1)</f>
        <v/>
      </c>
      <c r="L4052" s="36" t="str">
        <f aca="false">IF($A4052="","",TEXT($A4052,"MMM-YY"))</f>
        <v/>
      </c>
      <c r="M4052" s="37" t="str">
        <f aca="false">IF($A4052="","",IF($Q4052=0,"UNMAPPED",INDEX(COA_Mapping!$C$7:$C$256,$Q4052)))</f>
        <v/>
      </c>
      <c r="N4052" s="38" t="str">
        <f aca="false">IF($A4052="","",IF($Q4052=0,"",INDEX(COA_Mapping!$E$7:$E$256,$Q4052)))</f>
        <v/>
      </c>
      <c r="O4052" s="38" t="n">
        <f aca="false">IF($A4052="",1,IF($Q4052=0,1,INDEX(COA_Mapping!$F$7:$F$256,$Q4052)))</f>
        <v>1</v>
      </c>
      <c r="P4052" s="34" t="str">
        <f aca="false">IF($A4052="","",$I4052*$O4052)</f>
        <v/>
      </c>
      <c r="Q4052" s="39" t="n">
        <f aca="false">IF($B4052="",0,IFERROR(MATCH($B4052,COA_Mapping!$A$7:$A$256,0),0))</f>
        <v>0</v>
      </c>
      <c r="R4052" s="39" t="n">
        <f aca="false">IF($A4052="",-1,IF($J4052=Setup!$B$7,1,IF($J4052=Setup!$B$9,0,-1)))</f>
        <v>-1</v>
      </c>
      <c r="S4052" s="35" t="n">
        <f aca="false">IF(OR($A4052="",$Q4052=0,$R4052=-1),0,$Q4052*1000+$R4052*100+$K4052)</f>
        <v>0</v>
      </c>
      <c r="T4052" s="37" t="str">
        <f aca="false">IF($A4052="","",IF($B4052="","NO ACCOUNT",IF($Q4052=0,"UNMAPPED",IF($R4052=-1,"OUTSIDE FY RANGE","OK"))))</f>
        <v/>
      </c>
      <c r="U4052" s="40" t="str">
        <f aca="false">IF($A4052="","",$B4052&amp;"|"&amp;TEXT($A4052,"yyyymmdd")&amp;"|"&amp;TEXT($I4052,"0.00"))</f>
        <v/>
      </c>
      <c r="V4052" s="35" t="str">
        <f aca="false">IF($A4052="","",COUNTIF($U$8:$U$5007,$U4052))</f>
        <v/>
      </c>
    </row>
    <row r="4053" customFormat="false" ht="15" hidden="false" customHeight="false" outlineLevel="0" collapsed="false">
      <c r="A4053" s="31"/>
      <c r="B4053" s="32"/>
      <c r="C4053" s="32"/>
      <c r="D4053" s="32"/>
      <c r="E4053" s="32"/>
      <c r="F4053" s="32"/>
      <c r="G4053" s="33"/>
      <c r="H4053" s="33"/>
      <c r="I4053" s="34" t="str">
        <f aca="false">IF($A4053="","",$G4053-$H4053)</f>
        <v/>
      </c>
      <c r="J4053" s="35" t="str">
        <f aca="false">IF($A4053="","",IF(Setup!$B$6=1,YEAR($A4053),YEAR($A4053)+IF(MONTH($A4053)&gt;=Setup!$B$6,1,0)))</f>
        <v/>
      </c>
      <c r="K4053" s="35" t="str">
        <f aca="false">IF($A4053="","",MOD(MONTH($A4053)-Setup!$B$6+12,12)+1)</f>
        <v/>
      </c>
      <c r="L4053" s="36" t="str">
        <f aca="false">IF($A4053="","",TEXT($A4053,"MMM-YY"))</f>
        <v/>
      </c>
      <c r="M4053" s="37" t="str">
        <f aca="false">IF($A4053="","",IF($Q4053=0,"UNMAPPED",INDEX(COA_Mapping!$C$7:$C$256,$Q4053)))</f>
        <v/>
      </c>
      <c r="N4053" s="38" t="str">
        <f aca="false">IF($A4053="","",IF($Q4053=0,"",INDEX(COA_Mapping!$E$7:$E$256,$Q4053)))</f>
        <v/>
      </c>
      <c r="O4053" s="38" t="n">
        <f aca="false">IF($A4053="",1,IF($Q4053=0,1,INDEX(COA_Mapping!$F$7:$F$256,$Q4053)))</f>
        <v>1</v>
      </c>
      <c r="P4053" s="34" t="str">
        <f aca="false">IF($A4053="","",$I4053*$O4053)</f>
        <v/>
      </c>
      <c r="Q4053" s="39" t="n">
        <f aca="false">IF($B4053="",0,IFERROR(MATCH($B4053,COA_Mapping!$A$7:$A$256,0),0))</f>
        <v>0</v>
      </c>
      <c r="R4053" s="39" t="n">
        <f aca="false">IF($A4053="",-1,IF($J4053=Setup!$B$7,1,IF($J4053=Setup!$B$9,0,-1)))</f>
        <v>-1</v>
      </c>
      <c r="S4053" s="35" t="n">
        <f aca="false">IF(OR($A4053="",$Q4053=0,$R4053=-1),0,$Q4053*1000+$R4053*100+$K4053)</f>
        <v>0</v>
      </c>
      <c r="T4053" s="37" t="str">
        <f aca="false">IF($A4053="","",IF($B4053="","NO ACCOUNT",IF($Q4053=0,"UNMAPPED",IF($R4053=-1,"OUTSIDE FY RANGE","OK"))))</f>
        <v/>
      </c>
      <c r="U4053" s="40" t="str">
        <f aca="false">IF($A4053="","",$B4053&amp;"|"&amp;TEXT($A4053,"yyyymmdd")&amp;"|"&amp;TEXT($I4053,"0.00"))</f>
        <v/>
      </c>
      <c r="V4053" s="35" t="str">
        <f aca="false">IF($A4053="","",COUNTIF($U$8:$U$5007,$U4053))</f>
        <v/>
      </c>
    </row>
    <row r="4054" customFormat="false" ht="15" hidden="false" customHeight="false" outlineLevel="0" collapsed="false">
      <c r="A4054" s="31"/>
      <c r="B4054" s="32"/>
      <c r="C4054" s="32"/>
      <c r="D4054" s="32"/>
      <c r="E4054" s="32"/>
      <c r="F4054" s="32"/>
      <c r="G4054" s="33"/>
      <c r="H4054" s="33"/>
      <c r="I4054" s="34" t="str">
        <f aca="false">IF($A4054="","",$G4054-$H4054)</f>
        <v/>
      </c>
      <c r="J4054" s="35" t="str">
        <f aca="false">IF($A4054="","",IF(Setup!$B$6=1,YEAR($A4054),YEAR($A4054)+IF(MONTH($A4054)&gt;=Setup!$B$6,1,0)))</f>
        <v/>
      </c>
      <c r="K4054" s="35" t="str">
        <f aca="false">IF($A4054="","",MOD(MONTH($A4054)-Setup!$B$6+12,12)+1)</f>
        <v/>
      </c>
      <c r="L4054" s="36" t="str">
        <f aca="false">IF($A4054="","",TEXT($A4054,"MMM-YY"))</f>
        <v/>
      </c>
      <c r="M4054" s="37" t="str">
        <f aca="false">IF($A4054="","",IF($Q4054=0,"UNMAPPED",INDEX(COA_Mapping!$C$7:$C$256,$Q4054)))</f>
        <v/>
      </c>
      <c r="N4054" s="38" t="str">
        <f aca="false">IF($A4054="","",IF($Q4054=0,"",INDEX(COA_Mapping!$E$7:$E$256,$Q4054)))</f>
        <v/>
      </c>
      <c r="O4054" s="38" t="n">
        <f aca="false">IF($A4054="",1,IF($Q4054=0,1,INDEX(COA_Mapping!$F$7:$F$256,$Q4054)))</f>
        <v>1</v>
      </c>
      <c r="P4054" s="34" t="str">
        <f aca="false">IF($A4054="","",$I4054*$O4054)</f>
        <v/>
      </c>
      <c r="Q4054" s="39" t="n">
        <f aca="false">IF($B4054="",0,IFERROR(MATCH($B4054,COA_Mapping!$A$7:$A$256,0),0))</f>
        <v>0</v>
      </c>
      <c r="R4054" s="39" t="n">
        <f aca="false">IF($A4054="",-1,IF($J4054=Setup!$B$7,1,IF($J4054=Setup!$B$9,0,-1)))</f>
        <v>-1</v>
      </c>
      <c r="S4054" s="35" t="n">
        <f aca="false">IF(OR($A4054="",$Q4054=0,$R4054=-1),0,$Q4054*1000+$R4054*100+$K4054)</f>
        <v>0</v>
      </c>
      <c r="T4054" s="37" t="str">
        <f aca="false">IF($A4054="","",IF($B4054="","NO ACCOUNT",IF($Q4054=0,"UNMAPPED",IF($R4054=-1,"OUTSIDE FY RANGE","OK"))))</f>
        <v/>
      </c>
      <c r="U4054" s="40" t="str">
        <f aca="false">IF($A4054="","",$B4054&amp;"|"&amp;TEXT($A4054,"yyyymmdd")&amp;"|"&amp;TEXT($I4054,"0.00"))</f>
        <v/>
      </c>
      <c r="V4054" s="35" t="str">
        <f aca="false">IF($A4054="","",COUNTIF($U$8:$U$5007,$U4054))</f>
        <v/>
      </c>
    </row>
    <row r="4055" customFormat="false" ht="15" hidden="false" customHeight="false" outlineLevel="0" collapsed="false">
      <c r="A4055" s="31"/>
      <c r="B4055" s="32"/>
      <c r="C4055" s="32"/>
      <c r="D4055" s="32"/>
      <c r="E4055" s="32"/>
      <c r="F4055" s="32"/>
      <c r="G4055" s="33"/>
      <c r="H4055" s="33"/>
      <c r="I4055" s="34" t="str">
        <f aca="false">IF($A4055="","",$G4055-$H4055)</f>
        <v/>
      </c>
      <c r="J4055" s="35" t="str">
        <f aca="false">IF($A4055="","",IF(Setup!$B$6=1,YEAR($A4055),YEAR($A4055)+IF(MONTH($A4055)&gt;=Setup!$B$6,1,0)))</f>
        <v/>
      </c>
      <c r="K4055" s="35" t="str">
        <f aca="false">IF($A4055="","",MOD(MONTH($A4055)-Setup!$B$6+12,12)+1)</f>
        <v/>
      </c>
      <c r="L4055" s="36" t="str">
        <f aca="false">IF($A4055="","",TEXT($A4055,"MMM-YY"))</f>
        <v/>
      </c>
      <c r="M4055" s="37" t="str">
        <f aca="false">IF($A4055="","",IF($Q4055=0,"UNMAPPED",INDEX(COA_Mapping!$C$7:$C$256,$Q4055)))</f>
        <v/>
      </c>
      <c r="N4055" s="38" t="str">
        <f aca="false">IF($A4055="","",IF($Q4055=0,"",INDEX(COA_Mapping!$E$7:$E$256,$Q4055)))</f>
        <v/>
      </c>
      <c r="O4055" s="38" t="n">
        <f aca="false">IF($A4055="",1,IF($Q4055=0,1,INDEX(COA_Mapping!$F$7:$F$256,$Q4055)))</f>
        <v>1</v>
      </c>
      <c r="P4055" s="34" t="str">
        <f aca="false">IF($A4055="","",$I4055*$O4055)</f>
        <v/>
      </c>
      <c r="Q4055" s="39" t="n">
        <f aca="false">IF($B4055="",0,IFERROR(MATCH($B4055,COA_Mapping!$A$7:$A$256,0),0))</f>
        <v>0</v>
      </c>
      <c r="R4055" s="39" t="n">
        <f aca="false">IF($A4055="",-1,IF($J4055=Setup!$B$7,1,IF($J4055=Setup!$B$9,0,-1)))</f>
        <v>-1</v>
      </c>
      <c r="S4055" s="35" t="n">
        <f aca="false">IF(OR($A4055="",$Q4055=0,$R4055=-1),0,$Q4055*1000+$R4055*100+$K4055)</f>
        <v>0</v>
      </c>
      <c r="T4055" s="37" t="str">
        <f aca="false">IF($A4055="","",IF($B4055="","NO ACCOUNT",IF($Q4055=0,"UNMAPPED",IF($R4055=-1,"OUTSIDE FY RANGE","OK"))))</f>
        <v/>
      </c>
      <c r="U4055" s="40" t="str">
        <f aca="false">IF($A4055="","",$B4055&amp;"|"&amp;TEXT($A4055,"yyyymmdd")&amp;"|"&amp;TEXT($I4055,"0.00"))</f>
        <v/>
      </c>
      <c r="V4055" s="35" t="str">
        <f aca="false">IF($A4055="","",COUNTIF($U$8:$U$5007,$U4055))</f>
        <v/>
      </c>
    </row>
    <row r="4056" customFormat="false" ht="15" hidden="false" customHeight="false" outlineLevel="0" collapsed="false">
      <c r="A4056" s="31"/>
      <c r="B4056" s="32"/>
      <c r="C4056" s="32"/>
      <c r="D4056" s="32"/>
      <c r="E4056" s="32"/>
      <c r="F4056" s="32"/>
      <c r="G4056" s="33"/>
      <c r="H4056" s="33"/>
      <c r="I4056" s="34" t="str">
        <f aca="false">IF($A4056="","",$G4056-$H4056)</f>
        <v/>
      </c>
      <c r="J4056" s="35" t="str">
        <f aca="false">IF($A4056="","",IF(Setup!$B$6=1,YEAR($A4056),YEAR($A4056)+IF(MONTH($A4056)&gt;=Setup!$B$6,1,0)))</f>
        <v/>
      </c>
      <c r="K4056" s="35" t="str">
        <f aca="false">IF($A4056="","",MOD(MONTH($A4056)-Setup!$B$6+12,12)+1)</f>
        <v/>
      </c>
      <c r="L4056" s="36" t="str">
        <f aca="false">IF($A4056="","",TEXT($A4056,"MMM-YY"))</f>
        <v/>
      </c>
      <c r="M4056" s="37" t="str">
        <f aca="false">IF($A4056="","",IF($Q4056=0,"UNMAPPED",INDEX(COA_Mapping!$C$7:$C$256,$Q4056)))</f>
        <v/>
      </c>
      <c r="N4056" s="38" t="str">
        <f aca="false">IF($A4056="","",IF($Q4056=0,"",INDEX(COA_Mapping!$E$7:$E$256,$Q4056)))</f>
        <v/>
      </c>
      <c r="O4056" s="38" t="n">
        <f aca="false">IF($A4056="",1,IF($Q4056=0,1,INDEX(COA_Mapping!$F$7:$F$256,$Q4056)))</f>
        <v>1</v>
      </c>
      <c r="P4056" s="34" t="str">
        <f aca="false">IF($A4056="","",$I4056*$O4056)</f>
        <v/>
      </c>
      <c r="Q4056" s="39" t="n">
        <f aca="false">IF($B4056="",0,IFERROR(MATCH($B4056,COA_Mapping!$A$7:$A$256,0),0))</f>
        <v>0</v>
      </c>
      <c r="R4056" s="39" t="n">
        <f aca="false">IF($A4056="",-1,IF($J4056=Setup!$B$7,1,IF($J4056=Setup!$B$9,0,-1)))</f>
        <v>-1</v>
      </c>
      <c r="S4056" s="35" t="n">
        <f aca="false">IF(OR($A4056="",$Q4056=0,$R4056=-1),0,$Q4056*1000+$R4056*100+$K4056)</f>
        <v>0</v>
      </c>
      <c r="T4056" s="37" t="str">
        <f aca="false">IF($A4056="","",IF($B4056="","NO ACCOUNT",IF($Q4056=0,"UNMAPPED",IF($R4056=-1,"OUTSIDE FY RANGE","OK"))))</f>
        <v/>
      </c>
      <c r="U4056" s="40" t="str">
        <f aca="false">IF($A4056="","",$B4056&amp;"|"&amp;TEXT($A4056,"yyyymmdd")&amp;"|"&amp;TEXT($I4056,"0.00"))</f>
        <v/>
      </c>
      <c r="V4056" s="35" t="str">
        <f aca="false">IF($A4056="","",COUNTIF($U$8:$U$5007,$U4056))</f>
        <v/>
      </c>
    </row>
    <row r="4057" customFormat="false" ht="15" hidden="false" customHeight="false" outlineLevel="0" collapsed="false">
      <c r="A4057" s="31"/>
      <c r="B4057" s="32"/>
      <c r="C4057" s="32"/>
      <c r="D4057" s="32"/>
      <c r="E4057" s="32"/>
      <c r="F4057" s="32"/>
      <c r="G4057" s="33"/>
      <c r="H4057" s="33"/>
      <c r="I4057" s="34" t="str">
        <f aca="false">IF($A4057="","",$G4057-$H4057)</f>
        <v/>
      </c>
      <c r="J4057" s="35" t="str">
        <f aca="false">IF($A4057="","",IF(Setup!$B$6=1,YEAR($A4057),YEAR($A4057)+IF(MONTH($A4057)&gt;=Setup!$B$6,1,0)))</f>
        <v/>
      </c>
      <c r="K4057" s="35" t="str">
        <f aca="false">IF($A4057="","",MOD(MONTH($A4057)-Setup!$B$6+12,12)+1)</f>
        <v/>
      </c>
      <c r="L4057" s="36" t="str">
        <f aca="false">IF($A4057="","",TEXT($A4057,"MMM-YY"))</f>
        <v/>
      </c>
      <c r="M4057" s="37" t="str">
        <f aca="false">IF($A4057="","",IF($Q4057=0,"UNMAPPED",INDEX(COA_Mapping!$C$7:$C$256,$Q4057)))</f>
        <v/>
      </c>
      <c r="N4057" s="38" t="str">
        <f aca="false">IF($A4057="","",IF($Q4057=0,"",INDEX(COA_Mapping!$E$7:$E$256,$Q4057)))</f>
        <v/>
      </c>
      <c r="O4057" s="38" t="n">
        <f aca="false">IF($A4057="",1,IF($Q4057=0,1,INDEX(COA_Mapping!$F$7:$F$256,$Q4057)))</f>
        <v>1</v>
      </c>
      <c r="P4057" s="34" t="str">
        <f aca="false">IF($A4057="","",$I4057*$O4057)</f>
        <v/>
      </c>
      <c r="Q4057" s="39" t="n">
        <f aca="false">IF($B4057="",0,IFERROR(MATCH($B4057,COA_Mapping!$A$7:$A$256,0),0))</f>
        <v>0</v>
      </c>
      <c r="R4057" s="39" t="n">
        <f aca="false">IF($A4057="",-1,IF($J4057=Setup!$B$7,1,IF($J4057=Setup!$B$9,0,-1)))</f>
        <v>-1</v>
      </c>
      <c r="S4057" s="35" t="n">
        <f aca="false">IF(OR($A4057="",$Q4057=0,$R4057=-1),0,$Q4057*1000+$R4057*100+$K4057)</f>
        <v>0</v>
      </c>
      <c r="T4057" s="37" t="str">
        <f aca="false">IF($A4057="","",IF($B4057="","NO ACCOUNT",IF($Q4057=0,"UNMAPPED",IF($R4057=-1,"OUTSIDE FY RANGE","OK"))))</f>
        <v/>
      </c>
      <c r="U4057" s="40" t="str">
        <f aca="false">IF($A4057="","",$B4057&amp;"|"&amp;TEXT($A4057,"yyyymmdd")&amp;"|"&amp;TEXT($I4057,"0.00"))</f>
        <v/>
      </c>
      <c r="V4057" s="35" t="str">
        <f aca="false">IF($A4057="","",COUNTIF($U$8:$U$5007,$U4057))</f>
        <v/>
      </c>
    </row>
    <row r="4058" customFormat="false" ht="15" hidden="false" customHeight="false" outlineLevel="0" collapsed="false">
      <c r="A4058" s="31"/>
      <c r="B4058" s="32"/>
      <c r="C4058" s="32"/>
      <c r="D4058" s="32"/>
      <c r="E4058" s="32"/>
      <c r="F4058" s="32"/>
      <c r="G4058" s="33"/>
      <c r="H4058" s="33"/>
      <c r="I4058" s="34" t="str">
        <f aca="false">IF($A4058="","",$G4058-$H4058)</f>
        <v/>
      </c>
      <c r="J4058" s="35" t="str">
        <f aca="false">IF($A4058="","",IF(Setup!$B$6=1,YEAR($A4058),YEAR($A4058)+IF(MONTH($A4058)&gt;=Setup!$B$6,1,0)))</f>
        <v/>
      </c>
      <c r="K4058" s="35" t="str">
        <f aca="false">IF($A4058="","",MOD(MONTH($A4058)-Setup!$B$6+12,12)+1)</f>
        <v/>
      </c>
      <c r="L4058" s="36" t="str">
        <f aca="false">IF($A4058="","",TEXT($A4058,"MMM-YY"))</f>
        <v/>
      </c>
      <c r="M4058" s="37" t="str">
        <f aca="false">IF($A4058="","",IF($Q4058=0,"UNMAPPED",INDEX(COA_Mapping!$C$7:$C$256,$Q4058)))</f>
        <v/>
      </c>
      <c r="N4058" s="38" t="str">
        <f aca="false">IF($A4058="","",IF($Q4058=0,"",INDEX(COA_Mapping!$E$7:$E$256,$Q4058)))</f>
        <v/>
      </c>
      <c r="O4058" s="38" t="n">
        <f aca="false">IF($A4058="",1,IF($Q4058=0,1,INDEX(COA_Mapping!$F$7:$F$256,$Q4058)))</f>
        <v>1</v>
      </c>
      <c r="P4058" s="34" t="str">
        <f aca="false">IF($A4058="","",$I4058*$O4058)</f>
        <v/>
      </c>
      <c r="Q4058" s="39" t="n">
        <f aca="false">IF($B4058="",0,IFERROR(MATCH($B4058,COA_Mapping!$A$7:$A$256,0),0))</f>
        <v>0</v>
      </c>
      <c r="R4058" s="39" t="n">
        <f aca="false">IF($A4058="",-1,IF($J4058=Setup!$B$7,1,IF($J4058=Setup!$B$9,0,-1)))</f>
        <v>-1</v>
      </c>
      <c r="S4058" s="35" t="n">
        <f aca="false">IF(OR($A4058="",$Q4058=0,$R4058=-1),0,$Q4058*1000+$R4058*100+$K4058)</f>
        <v>0</v>
      </c>
      <c r="T4058" s="37" t="str">
        <f aca="false">IF($A4058="","",IF($B4058="","NO ACCOUNT",IF($Q4058=0,"UNMAPPED",IF($R4058=-1,"OUTSIDE FY RANGE","OK"))))</f>
        <v/>
      </c>
      <c r="U4058" s="40" t="str">
        <f aca="false">IF($A4058="","",$B4058&amp;"|"&amp;TEXT($A4058,"yyyymmdd")&amp;"|"&amp;TEXT($I4058,"0.00"))</f>
        <v/>
      </c>
      <c r="V4058" s="35" t="str">
        <f aca="false">IF($A4058="","",COUNTIF($U$8:$U$5007,$U4058))</f>
        <v/>
      </c>
    </row>
    <row r="4059" customFormat="false" ht="15" hidden="false" customHeight="false" outlineLevel="0" collapsed="false">
      <c r="A4059" s="31"/>
      <c r="B4059" s="32"/>
      <c r="C4059" s="32"/>
      <c r="D4059" s="32"/>
      <c r="E4059" s="32"/>
      <c r="F4059" s="32"/>
      <c r="G4059" s="33"/>
      <c r="H4059" s="33"/>
      <c r="I4059" s="34" t="str">
        <f aca="false">IF($A4059="","",$G4059-$H4059)</f>
        <v/>
      </c>
      <c r="J4059" s="35" t="str">
        <f aca="false">IF($A4059="","",IF(Setup!$B$6=1,YEAR($A4059),YEAR($A4059)+IF(MONTH($A4059)&gt;=Setup!$B$6,1,0)))</f>
        <v/>
      </c>
      <c r="K4059" s="35" t="str">
        <f aca="false">IF($A4059="","",MOD(MONTH($A4059)-Setup!$B$6+12,12)+1)</f>
        <v/>
      </c>
      <c r="L4059" s="36" t="str">
        <f aca="false">IF($A4059="","",TEXT($A4059,"MMM-YY"))</f>
        <v/>
      </c>
      <c r="M4059" s="37" t="str">
        <f aca="false">IF($A4059="","",IF($Q4059=0,"UNMAPPED",INDEX(COA_Mapping!$C$7:$C$256,$Q4059)))</f>
        <v/>
      </c>
      <c r="N4059" s="38" t="str">
        <f aca="false">IF($A4059="","",IF($Q4059=0,"",INDEX(COA_Mapping!$E$7:$E$256,$Q4059)))</f>
        <v/>
      </c>
      <c r="O4059" s="38" t="n">
        <f aca="false">IF($A4059="",1,IF($Q4059=0,1,INDEX(COA_Mapping!$F$7:$F$256,$Q4059)))</f>
        <v>1</v>
      </c>
      <c r="P4059" s="34" t="str">
        <f aca="false">IF($A4059="","",$I4059*$O4059)</f>
        <v/>
      </c>
      <c r="Q4059" s="39" t="n">
        <f aca="false">IF($B4059="",0,IFERROR(MATCH($B4059,COA_Mapping!$A$7:$A$256,0),0))</f>
        <v>0</v>
      </c>
      <c r="R4059" s="39" t="n">
        <f aca="false">IF($A4059="",-1,IF($J4059=Setup!$B$7,1,IF($J4059=Setup!$B$9,0,-1)))</f>
        <v>-1</v>
      </c>
      <c r="S4059" s="35" t="n">
        <f aca="false">IF(OR($A4059="",$Q4059=0,$R4059=-1),0,$Q4059*1000+$R4059*100+$K4059)</f>
        <v>0</v>
      </c>
      <c r="T4059" s="37" t="str">
        <f aca="false">IF($A4059="","",IF($B4059="","NO ACCOUNT",IF($Q4059=0,"UNMAPPED",IF($R4059=-1,"OUTSIDE FY RANGE","OK"))))</f>
        <v/>
      </c>
      <c r="U4059" s="40" t="str">
        <f aca="false">IF($A4059="","",$B4059&amp;"|"&amp;TEXT($A4059,"yyyymmdd")&amp;"|"&amp;TEXT($I4059,"0.00"))</f>
        <v/>
      </c>
      <c r="V4059" s="35" t="str">
        <f aca="false">IF($A4059="","",COUNTIF($U$8:$U$5007,$U4059))</f>
        <v/>
      </c>
    </row>
    <row r="4060" customFormat="false" ht="15" hidden="false" customHeight="false" outlineLevel="0" collapsed="false">
      <c r="A4060" s="31"/>
      <c r="B4060" s="32"/>
      <c r="C4060" s="32"/>
      <c r="D4060" s="32"/>
      <c r="E4060" s="32"/>
      <c r="F4060" s="32"/>
      <c r="G4060" s="33"/>
      <c r="H4060" s="33"/>
      <c r="I4060" s="34" t="str">
        <f aca="false">IF($A4060="","",$G4060-$H4060)</f>
        <v/>
      </c>
      <c r="J4060" s="35" t="str">
        <f aca="false">IF($A4060="","",IF(Setup!$B$6=1,YEAR($A4060),YEAR($A4060)+IF(MONTH($A4060)&gt;=Setup!$B$6,1,0)))</f>
        <v/>
      </c>
      <c r="K4060" s="35" t="str">
        <f aca="false">IF($A4060="","",MOD(MONTH($A4060)-Setup!$B$6+12,12)+1)</f>
        <v/>
      </c>
      <c r="L4060" s="36" t="str">
        <f aca="false">IF($A4060="","",TEXT($A4060,"MMM-YY"))</f>
        <v/>
      </c>
      <c r="M4060" s="37" t="str">
        <f aca="false">IF($A4060="","",IF($Q4060=0,"UNMAPPED",INDEX(COA_Mapping!$C$7:$C$256,$Q4060)))</f>
        <v/>
      </c>
      <c r="N4060" s="38" t="str">
        <f aca="false">IF($A4060="","",IF($Q4060=0,"",INDEX(COA_Mapping!$E$7:$E$256,$Q4060)))</f>
        <v/>
      </c>
      <c r="O4060" s="38" t="n">
        <f aca="false">IF($A4060="",1,IF($Q4060=0,1,INDEX(COA_Mapping!$F$7:$F$256,$Q4060)))</f>
        <v>1</v>
      </c>
      <c r="P4060" s="34" t="str">
        <f aca="false">IF($A4060="","",$I4060*$O4060)</f>
        <v/>
      </c>
      <c r="Q4060" s="39" t="n">
        <f aca="false">IF($B4060="",0,IFERROR(MATCH($B4060,COA_Mapping!$A$7:$A$256,0),0))</f>
        <v>0</v>
      </c>
      <c r="R4060" s="39" t="n">
        <f aca="false">IF($A4060="",-1,IF($J4060=Setup!$B$7,1,IF($J4060=Setup!$B$9,0,-1)))</f>
        <v>-1</v>
      </c>
      <c r="S4060" s="35" t="n">
        <f aca="false">IF(OR($A4060="",$Q4060=0,$R4060=-1),0,$Q4060*1000+$R4060*100+$K4060)</f>
        <v>0</v>
      </c>
      <c r="T4060" s="37" t="str">
        <f aca="false">IF($A4060="","",IF($B4060="","NO ACCOUNT",IF($Q4060=0,"UNMAPPED",IF($R4060=-1,"OUTSIDE FY RANGE","OK"))))</f>
        <v/>
      </c>
      <c r="U4060" s="40" t="str">
        <f aca="false">IF($A4060="","",$B4060&amp;"|"&amp;TEXT($A4060,"yyyymmdd")&amp;"|"&amp;TEXT($I4060,"0.00"))</f>
        <v/>
      </c>
      <c r="V4060" s="35" t="str">
        <f aca="false">IF($A4060="","",COUNTIF($U$8:$U$5007,$U4060))</f>
        <v/>
      </c>
    </row>
    <row r="4061" customFormat="false" ht="15" hidden="false" customHeight="false" outlineLevel="0" collapsed="false">
      <c r="A4061" s="31"/>
      <c r="B4061" s="32"/>
      <c r="C4061" s="32"/>
      <c r="D4061" s="32"/>
      <c r="E4061" s="32"/>
      <c r="F4061" s="32"/>
      <c r="G4061" s="33"/>
      <c r="H4061" s="33"/>
      <c r="I4061" s="34" t="str">
        <f aca="false">IF($A4061="","",$G4061-$H4061)</f>
        <v/>
      </c>
      <c r="J4061" s="35" t="str">
        <f aca="false">IF($A4061="","",IF(Setup!$B$6=1,YEAR($A4061),YEAR($A4061)+IF(MONTH($A4061)&gt;=Setup!$B$6,1,0)))</f>
        <v/>
      </c>
      <c r="K4061" s="35" t="str">
        <f aca="false">IF($A4061="","",MOD(MONTH($A4061)-Setup!$B$6+12,12)+1)</f>
        <v/>
      </c>
      <c r="L4061" s="36" t="str">
        <f aca="false">IF($A4061="","",TEXT($A4061,"MMM-YY"))</f>
        <v/>
      </c>
      <c r="M4061" s="37" t="str">
        <f aca="false">IF($A4061="","",IF($Q4061=0,"UNMAPPED",INDEX(COA_Mapping!$C$7:$C$256,$Q4061)))</f>
        <v/>
      </c>
      <c r="N4061" s="38" t="str">
        <f aca="false">IF($A4061="","",IF($Q4061=0,"",INDEX(COA_Mapping!$E$7:$E$256,$Q4061)))</f>
        <v/>
      </c>
      <c r="O4061" s="38" t="n">
        <f aca="false">IF($A4061="",1,IF($Q4061=0,1,INDEX(COA_Mapping!$F$7:$F$256,$Q4061)))</f>
        <v>1</v>
      </c>
      <c r="P4061" s="34" t="str">
        <f aca="false">IF($A4061="","",$I4061*$O4061)</f>
        <v/>
      </c>
      <c r="Q4061" s="39" t="n">
        <f aca="false">IF($B4061="",0,IFERROR(MATCH($B4061,COA_Mapping!$A$7:$A$256,0),0))</f>
        <v>0</v>
      </c>
      <c r="R4061" s="39" t="n">
        <f aca="false">IF($A4061="",-1,IF($J4061=Setup!$B$7,1,IF($J4061=Setup!$B$9,0,-1)))</f>
        <v>-1</v>
      </c>
      <c r="S4061" s="35" t="n">
        <f aca="false">IF(OR($A4061="",$Q4061=0,$R4061=-1),0,$Q4061*1000+$R4061*100+$K4061)</f>
        <v>0</v>
      </c>
      <c r="T4061" s="37" t="str">
        <f aca="false">IF($A4061="","",IF($B4061="","NO ACCOUNT",IF($Q4061=0,"UNMAPPED",IF($R4061=-1,"OUTSIDE FY RANGE","OK"))))</f>
        <v/>
      </c>
      <c r="U4061" s="40" t="str">
        <f aca="false">IF($A4061="","",$B4061&amp;"|"&amp;TEXT($A4061,"yyyymmdd")&amp;"|"&amp;TEXT($I4061,"0.00"))</f>
        <v/>
      </c>
      <c r="V4061" s="35" t="str">
        <f aca="false">IF($A4061="","",COUNTIF($U$8:$U$5007,$U4061))</f>
        <v/>
      </c>
    </row>
    <row r="4062" customFormat="false" ht="15" hidden="false" customHeight="false" outlineLevel="0" collapsed="false">
      <c r="A4062" s="31"/>
      <c r="B4062" s="32"/>
      <c r="C4062" s="32"/>
      <c r="D4062" s="32"/>
      <c r="E4062" s="32"/>
      <c r="F4062" s="32"/>
      <c r="G4062" s="33"/>
      <c r="H4062" s="33"/>
      <c r="I4062" s="34" t="str">
        <f aca="false">IF($A4062="","",$G4062-$H4062)</f>
        <v/>
      </c>
      <c r="J4062" s="35" t="str">
        <f aca="false">IF($A4062="","",IF(Setup!$B$6=1,YEAR($A4062),YEAR($A4062)+IF(MONTH($A4062)&gt;=Setup!$B$6,1,0)))</f>
        <v/>
      </c>
      <c r="K4062" s="35" t="str">
        <f aca="false">IF($A4062="","",MOD(MONTH($A4062)-Setup!$B$6+12,12)+1)</f>
        <v/>
      </c>
      <c r="L4062" s="36" t="str">
        <f aca="false">IF($A4062="","",TEXT($A4062,"MMM-YY"))</f>
        <v/>
      </c>
      <c r="M4062" s="37" t="str">
        <f aca="false">IF($A4062="","",IF($Q4062=0,"UNMAPPED",INDEX(COA_Mapping!$C$7:$C$256,$Q4062)))</f>
        <v/>
      </c>
      <c r="N4062" s="38" t="str">
        <f aca="false">IF($A4062="","",IF($Q4062=0,"",INDEX(COA_Mapping!$E$7:$E$256,$Q4062)))</f>
        <v/>
      </c>
      <c r="O4062" s="38" t="n">
        <f aca="false">IF($A4062="",1,IF($Q4062=0,1,INDEX(COA_Mapping!$F$7:$F$256,$Q4062)))</f>
        <v>1</v>
      </c>
      <c r="P4062" s="34" t="str">
        <f aca="false">IF($A4062="","",$I4062*$O4062)</f>
        <v/>
      </c>
      <c r="Q4062" s="39" t="n">
        <f aca="false">IF($B4062="",0,IFERROR(MATCH($B4062,COA_Mapping!$A$7:$A$256,0),0))</f>
        <v>0</v>
      </c>
      <c r="R4062" s="39" t="n">
        <f aca="false">IF($A4062="",-1,IF($J4062=Setup!$B$7,1,IF($J4062=Setup!$B$9,0,-1)))</f>
        <v>-1</v>
      </c>
      <c r="S4062" s="35" t="n">
        <f aca="false">IF(OR($A4062="",$Q4062=0,$R4062=-1),0,$Q4062*1000+$R4062*100+$K4062)</f>
        <v>0</v>
      </c>
      <c r="T4062" s="37" t="str">
        <f aca="false">IF($A4062="","",IF($B4062="","NO ACCOUNT",IF($Q4062=0,"UNMAPPED",IF($R4062=-1,"OUTSIDE FY RANGE","OK"))))</f>
        <v/>
      </c>
      <c r="U4062" s="40" t="str">
        <f aca="false">IF($A4062="","",$B4062&amp;"|"&amp;TEXT($A4062,"yyyymmdd")&amp;"|"&amp;TEXT($I4062,"0.00"))</f>
        <v/>
      </c>
      <c r="V4062" s="35" t="str">
        <f aca="false">IF($A4062="","",COUNTIF($U$8:$U$5007,$U4062))</f>
        <v/>
      </c>
    </row>
    <row r="4063" customFormat="false" ht="15" hidden="false" customHeight="false" outlineLevel="0" collapsed="false">
      <c r="A4063" s="31"/>
      <c r="B4063" s="32"/>
      <c r="C4063" s="32"/>
      <c r="D4063" s="32"/>
      <c r="E4063" s="32"/>
      <c r="F4063" s="32"/>
      <c r="G4063" s="33"/>
      <c r="H4063" s="33"/>
      <c r="I4063" s="34" t="str">
        <f aca="false">IF($A4063="","",$G4063-$H4063)</f>
        <v/>
      </c>
      <c r="J4063" s="35" t="str">
        <f aca="false">IF($A4063="","",IF(Setup!$B$6=1,YEAR($A4063),YEAR($A4063)+IF(MONTH($A4063)&gt;=Setup!$B$6,1,0)))</f>
        <v/>
      </c>
      <c r="K4063" s="35" t="str">
        <f aca="false">IF($A4063="","",MOD(MONTH($A4063)-Setup!$B$6+12,12)+1)</f>
        <v/>
      </c>
      <c r="L4063" s="36" t="str">
        <f aca="false">IF($A4063="","",TEXT($A4063,"MMM-YY"))</f>
        <v/>
      </c>
      <c r="M4063" s="37" t="str">
        <f aca="false">IF($A4063="","",IF($Q4063=0,"UNMAPPED",INDEX(COA_Mapping!$C$7:$C$256,$Q4063)))</f>
        <v/>
      </c>
      <c r="N4063" s="38" t="str">
        <f aca="false">IF($A4063="","",IF($Q4063=0,"",INDEX(COA_Mapping!$E$7:$E$256,$Q4063)))</f>
        <v/>
      </c>
      <c r="O4063" s="38" t="n">
        <f aca="false">IF($A4063="",1,IF($Q4063=0,1,INDEX(COA_Mapping!$F$7:$F$256,$Q4063)))</f>
        <v>1</v>
      </c>
      <c r="P4063" s="34" t="str">
        <f aca="false">IF($A4063="","",$I4063*$O4063)</f>
        <v/>
      </c>
      <c r="Q4063" s="39" t="n">
        <f aca="false">IF($B4063="",0,IFERROR(MATCH($B4063,COA_Mapping!$A$7:$A$256,0),0))</f>
        <v>0</v>
      </c>
      <c r="R4063" s="39" t="n">
        <f aca="false">IF($A4063="",-1,IF($J4063=Setup!$B$7,1,IF($J4063=Setup!$B$9,0,-1)))</f>
        <v>-1</v>
      </c>
      <c r="S4063" s="35" t="n">
        <f aca="false">IF(OR($A4063="",$Q4063=0,$R4063=-1),0,$Q4063*1000+$R4063*100+$K4063)</f>
        <v>0</v>
      </c>
      <c r="T4063" s="37" t="str">
        <f aca="false">IF($A4063="","",IF($B4063="","NO ACCOUNT",IF($Q4063=0,"UNMAPPED",IF($R4063=-1,"OUTSIDE FY RANGE","OK"))))</f>
        <v/>
      </c>
      <c r="U4063" s="40" t="str">
        <f aca="false">IF($A4063="","",$B4063&amp;"|"&amp;TEXT($A4063,"yyyymmdd")&amp;"|"&amp;TEXT($I4063,"0.00"))</f>
        <v/>
      </c>
      <c r="V4063" s="35" t="str">
        <f aca="false">IF($A4063="","",COUNTIF($U$8:$U$5007,$U4063))</f>
        <v/>
      </c>
    </row>
    <row r="4064" customFormat="false" ht="15" hidden="false" customHeight="false" outlineLevel="0" collapsed="false">
      <c r="A4064" s="31"/>
      <c r="B4064" s="32"/>
      <c r="C4064" s="32"/>
      <c r="D4064" s="32"/>
      <c r="E4064" s="32"/>
      <c r="F4064" s="32"/>
      <c r="G4064" s="33"/>
      <c r="H4064" s="33"/>
      <c r="I4064" s="34" t="str">
        <f aca="false">IF($A4064="","",$G4064-$H4064)</f>
        <v/>
      </c>
      <c r="J4064" s="35" t="str">
        <f aca="false">IF($A4064="","",IF(Setup!$B$6=1,YEAR($A4064),YEAR($A4064)+IF(MONTH($A4064)&gt;=Setup!$B$6,1,0)))</f>
        <v/>
      </c>
      <c r="K4064" s="35" t="str">
        <f aca="false">IF($A4064="","",MOD(MONTH($A4064)-Setup!$B$6+12,12)+1)</f>
        <v/>
      </c>
      <c r="L4064" s="36" t="str">
        <f aca="false">IF($A4064="","",TEXT($A4064,"MMM-YY"))</f>
        <v/>
      </c>
      <c r="M4064" s="37" t="str">
        <f aca="false">IF($A4064="","",IF($Q4064=0,"UNMAPPED",INDEX(COA_Mapping!$C$7:$C$256,$Q4064)))</f>
        <v/>
      </c>
      <c r="N4064" s="38" t="str">
        <f aca="false">IF($A4064="","",IF($Q4064=0,"",INDEX(COA_Mapping!$E$7:$E$256,$Q4064)))</f>
        <v/>
      </c>
      <c r="O4064" s="38" t="n">
        <f aca="false">IF($A4064="",1,IF($Q4064=0,1,INDEX(COA_Mapping!$F$7:$F$256,$Q4064)))</f>
        <v>1</v>
      </c>
      <c r="P4064" s="34" t="str">
        <f aca="false">IF($A4064="","",$I4064*$O4064)</f>
        <v/>
      </c>
      <c r="Q4064" s="39" t="n">
        <f aca="false">IF($B4064="",0,IFERROR(MATCH($B4064,COA_Mapping!$A$7:$A$256,0),0))</f>
        <v>0</v>
      </c>
      <c r="R4064" s="39" t="n">
        <f aca="false">IF($A4064="",-1,IF($J4064=Setup!$B$7,1,IF($J4064=Setup!$B$9,0,-1)))</f>
        <v>-1</v>
      </c>
      <c r="S4064" s="35" t="n">
        <f aca="false">IF(OR($A4064="",$Q4064=0,$R4064=-1),0,$Q4064*1000+$R4064*100+$K4064)</f>
        <v>0</v>
      </c>
      <c r="T4064" s="37" t="str">
        <f aca="false">IF($A4064="","",IF($B4064="","NO ACCOUNT",IF($Q4064=0,"UNMAPPED",IF($R4064=-1,"OUTSIDE FY RANGE","OK"))))</f>
        <v/>
      </c>
      <c r="U4064" s="40" t="str">
        <f aca="false">IF($A4064="","",$B4064&amp;"|"&amp;TEXT($A4064,"yyyymmdd")&amp;"|"&amp;TEXT($I4064,"0.00"))</f>
        <v/>
      </c>
      <c r="V4064" s="35" t="str">
        <f aca="false">IF($A4064="","",COUNTIF($U$8:$U$5007,$U4064))</f>
        <v/>
      </c>
    </row>
    <row r="4065" customFormat="false" ht="15" hidden="false" customHeight="false" outlineLevel="0" collapsed="false">
      <c r="A4065" s="31"/>
      <c r="B4065" s="32"/>
      <c r="C4065" s="32"/>
      <c r="D4065" s="32"/>
      <c r="E4065" s="32"/>
      <c r="F4065" s="32"/>
      <c r="G4065" s="33"/>
      <c r="H4065" s="33"/>
      <c r="I4065" s="34" t="str">
        <f aca="false">IF($A4065="","",$G4065-$H4065)</f>
        <v/>
      </c>
      <c r="J4065" s="35" t="str">
        <f aca="false">IF($A4065="","",IF(Setup!$B$6=1,YEAR($A4065),YEAR($A4065)+IF(MONTH($A4065)&gt;=Setup!$B$6,1,0)))</f>
        <v/>
      </c>
      <c r="K4065" s="35" t="str">
        <f aca="false">IF($A4065="","",MOD(MONTH($A4065)-Setup!$B$6+12,12)+1)</f>
        <v/>
      </c>
      <c r="L4065" s="36" t="str">
        <f aca="false">IF($A4065="","",TEXT($A4065,"MMM-YY"))</f>
        <v/>
      </c>
      <c r="M4065" s="37" t="str">
        <f aca="false">IF($A4065="","",IF($Q4065=0,"UNMAPPED",INDEX(COA_Mapping!$C$7:$C$256,$Q4065)))</f>
        <v/>
      </c>
      <c r="N4065" s="38" t="str">
        <f aca="false">IF($A4065="","",IF($Q4065=0,"",INDEX(COA_Mapping!$E$7:$E$256,$Q4065)))</f>
        <v/>
      </c>
      <c r="O4065" s="38" t="n">
        <f aca="false">IF($A4065="",1,IF($Q4065=0,1,INDEX(COA_Mapping!$F$7:$F$256,$Q4065)))</f>
        <v>1</v>
      </c>
      <c r="P4065" s="34" t="str">
        <f aca="false">IF($A4065="","",$I4065*$O4065)</f>
        <v/>
      </c>
      <c r="Q4065" s="39" t="n">
        <f aca="false">IF($B4065="",0,IFERROR(MATCH($B4065,COA_Mapping!$A$7:$A$256,0),0))</f>
        <v>0</v>
      </c>
      <c r="R4065" s="39" t="n">
        <f aca="false">IF($A4065="",-1,IF($J4065=Setup!$B$7,1,IF($J4065=Setup!$B$9,0,-1)))</f>
        <v>-1</v>
      </c>
      <c r="S4065" s="35" t="n">
        <f aca="false">IF(OR($A4065="",$Q4065=0,$R4065=-1),0,$Q4065*1000+$R4065*100+$K4065)</f>
        <v>0</v>
      </c>
      <c r="T4065" s="37" t="str">
        <f aca="false">IF($A4065="","",IF($B4065="","NO ACCOUNT",IF($Q4065=0,"UNMAPPED",IF($R4065=-1,"OUTSIDE FY RANGE","OK"))))</f>
        <v/>
      </c>
      <c r="U4065" s="40" t="str">
        <f aca="false">IF($A4065="","",$B4065&amp;"|"&amp;TEXT($A4065,"yyyymmdd")&amp;"|"&amp;TEXT($I4065,"0.00"))</f>
        <v/>
      </c>
      <c r="V4065" s="35" t="str">
        <f aca="false">IF($A4065="","",COUNTIF($U$8:$U$5007,$U4065))</f>
        <v/>
      </c>
    </row>
    <row r="4066" customFormat="false" ht="15" hidden="false" customHeight="false" outlineLevel="0" collapsed="false">
      <c r="A4066" s="31"/>
      <c r="B4066" s="32"/>
      <c r="C4066" s="32"/>
      <c r="D4066" s="32"/>
      <c r="E4066" s="32"/>
      <c r="F4066" s="32"/>
      <c r="G4066" s="33"/>
      <c r="H4066" s="33"/>
      <c r="I4066" s="34" t="str">
        <f aca="false">IF($A4066="","",$G4066-$H4066)</f>
        <v/>
      </c>
      <c r="J4066" s="35" t="str">
        <f aca="false">IF($A4066="","",IF(Setup!$B$6=1,YEAR($A4066),YEAR($A4066)+IF(MONTH($A4066)&gt;=Setup!$B$6,1,0)))</f>
        <v/>
      </c>
      <c r="K4066" s="35" t="str">
        <f aca="false">IF($A4066="","",MOD(MONTH($A4066)-Setup!$B$6+12,12)+1)</f>
        <v/>
      </c>
      <c r="L4066" s="36" t="str">
        <f aca="false">IF($A4066="","",TEXT($A4066,"MMM-YY"))</f>
        <v/>
      </c>
      <c r="M4066" s="37" t="str">
        <f aca="false">IF($A4066="","",IF($Q4066=0,"UNMAPPED",INDEX(COA_Mapping!$C$7:$C$256,$Q4066)))</f>
        <v/>
      </c>
      <c r="N4066" s="38" t="str">
        <f aca="false">IF($A4066="","",IF($Q4066=0,"",INDEX(COA_Mapping!$E$7:$E$256,$Q4066)))</f>
        <v/>
      </c>
      <c r="O4066" s="38" t="n">
        <f aca="false">IF($A4066="",1,IF($Q4066=0,1,INDEX(COA_Mapping!$F$7:$F$256,$Q4066)))</f>
        <v>1</v>
      </c>
      <c r="P4066" s="34" t="str">
        <f aca="false">IF($A4066="","",$I4066*$O4066)</f>
        <v/>
      </c>
      <c r="Q4066" s="39" t="n">
        <f aca="false">IF($B4066="",0,IFERROR(MATCH($B4066,COA_Mapping!$A$7:$A$256,0),0))</f>
        <v>0</v>
      </c>
      <c r="R4066" s="39" t="n">
        <f aca="false">IF($A4066="",-1,IF($J4066=Setup!$B$7,1,IF($J4066=Setup!$B$9,0,-1)))</f>
        <v>-1</v>
      </c>
      <c r="S4066" s="35" t="n">
        <f aca="false">IF(OR($A4066="",$Q4066=0,$R4066=-1),0,$Q4066*1000+$R4066*100+$K4066)</f>
        <v>0</v>
      </c>
      <c r="T4066" s="37" t="str">
        <f aca="false">IF($A4066="","",IF($B4066="","NO ACCOUNT",IF($Q4066=0,"UNMAPPED",IF($R4066=-1,"OUTSIDE FY RANGE","OK"))))</f>
        <v/>
      </c>
      <c r="U4066" s="40" t="str">
        <f aca="false">IF($A4066="","",$B4066&amp;"|"&amp;TEXT($A4066,"yyyymmdd")&amp;"|"&amp;TEXT($I4066,"0.00"))</f>
        <v/>
      </c>
      <c r="V4066" s="35" t="str">
        <f aca="false">IF($A4066="","",COUNTIF($U$8:$U$5007,$U4066))</f>
        <v/>
      </c>
    </row>
    <row r="4067" customFormat="false" ht="15" hidden="false" customHeight="false" outlineLevel="0" collapsed="false">
      <c r="A4067" s="31"/>
      <c r="B4067" s="32"/>
      <c r="C4067" s="32"/>
      <c r="D4067" s="32"/>
      <c r="E4067" s="32"/>
      <c r="F4067" s="32"/>
      <c r="G4067" s="33"/>
      <c r="H4067" s="33"/>
      <c r="I4067" s="34" t="str">
        <f aca="false">IF($A4067="","",$G4067-$H4067)</f>
        <v/>
      </c>
      <c r="J4067" s="35" t="str">
        <f aca="false">IF($A4067="","",IF(Setup!$B$6=1,YEAR($A4067),YEAR($A4067)+IF(MONTH($A4067)&gt;=Setup!$B$6,1,0)))</f>
        <v/>
      </c>
      <c r="K4067" s="35" t="str">
        <f aca="false">IF($A4067="","",MOD(MONTH($A4067)-Setup!$B$6+12,12)+1)</f>
        <v/>
      </c>
      <c r="L4067" s="36" t="str">
        <f aca="false">IF($A4067="","",TEXT($A4067,"MMM-YY"))</f>
        <v/>
      </c>
      <c r="M4067" s="37" t="str">
        <f aca="false">IF($A4067="","",IF($Q4067=0,"UNMAPPED",INDEX(COA_Mapping!$C$7:$C$256,$Q4067)))</f>
        <v/>
      </c>
      <c r="N4067" s="38" t="str">
        <f aca="false">IF($A4067="","",IF($Q4067=0,"",INDEX(COA_Mapping!$E$7:$E$256,$Q4067)))</f>
        <v/>
      </c>
      <c r="O4067" s="38" t="n">
        <f aca="false">IF($A4067="",1,IF($Q4067=0,1,INDEX(COA_Mapping!$F$7:$F$256,$Q4067)))</f>
        <v>1</v>
      </c>
      <c r="P4067" s="34" t="str">
        <f aca="false">IF($A4067="","",$I4067*$O4067)</f>
        <v/>
      </c>
      <c r="Q4067" s="39" t="n">
        <f aca="false">IF($B4067="",0,IFERROR(MATCH($B4067,COA_Mapping!$A$7:$A$256,0),0))</f>
        <v>0</v>
      </c>
      <c r="R4067" s="39" t="n">
        <f aca="false">IF($A4067="",-1,IF($J4067=Setup!$B$7,1,IF($J4067=Setup!$B$9,0,-1)))</f>
        <v>-1</v>
      </c>
      <c r="S4067" s="35" t="n">
        <f aca="false">IF(OR($A4067="",$Q4067=0,$R4067=-1),0,$Q4067*1000+$R4067*100+$K4067)</f>
        <v>0</v>
      </c>
      <c r="T4067" s="37" t="str">
        <f aca="false">IF($A4067="","",IF($B4067="","NO ACCOUNT",IF($Q4067=0,"UNMAPPED",IF($R4067=-1,"OUTSIDE FY RANGE","OK"))))</f>
        <v/>
      </c>
      <c r="U4067" s="40" t="str">
        <f aca="false">IF($A4067="","",$B4067&amp;"|"&amp;TEXT($A4067,"yyyymmdd")&amp;"|"&amp;TEXT($I4067,"0.00"))</f>
        <v/>
      </c>
      <c r="V4067" s="35" t="str">
        <f aca="false">IF($A4067="","",COUNTIF($U$8:$U$5007,$U4067))</f>
        <v/>
      </c>
    </row>
    <row r="4068" customFormat="false" ht="15" hidden="false" customHeight="false" outlineLevel="0" collapsed="false">
      <c r="A4068" s="31"/>
      <c r="B4068" s="32"/>
      <c r="C4068" s="32"/>
      <c r="D4068" s="32"/>
      <c r="E4068" s="32"/>
      <c r="F4068" s="32"/>
      <c r="G4068" s="33"/>
      <c r="H4068" s="33"/>
      <c r="I4068" s="34" t="str">
        <f aca="false">IF($A4068="","",$G4068-$H4068)</f>
        <v/>
      </c>
      <c r="J4068" s="35" t="str">
        <f aca="false">IF($A4068="","",IF(Setup!$B$6=1,YEAR($A4068),YEAR($A4068)+IF(MONTH($A4068)&gt;=Setup!$B$6,1,0)))</f>
        <v/>
      </c>
      <c r="K4068" s="35" t="str">
        <f aca="false">IF($A4068="","",MOD(MONTH($A4068)-Setup!$B$6+12,12)+1)</f>
        <v/>
      </c>
      <c r="L4068" s="36" t="str">
        <f aca="false">IF($A4068="","",TEXT($A4068,"MMM-YY"))</f>
        <v/>
      </c>
      <c r="M4068" s="37" t="str">
        <f aca="false">IF($A4068="","",IF($Q4068=0,"UNMAPPED",INDEX(COA_Mapping!$C$7:$C$256,$Q4068)))</f>
        <v/>
      </c>
      <c r="N4068" s="38" t="str">
        <f aca="false">IF($A4068="","",IF($Q4068=0,"",INDEX(COA_Mapping!$E$7:$E$256,$Q4068)))</f>
        <v/>
      </c>
      <c r="O4068" s="38" t="n">
        <f aca="false">IF($A4068="",1,IF($Q4068=0,1,INDEX(COA_Mapping!$F$7:$F$256,$Q4068)))</f>
        <v>1</v>
      </c>
      <c r="P4068" s="34" t="str">
        <f aca="false">IF($A4068="","",$I4068*$O4068)</f>
        <v/>
      </c>
      <c r="Q4068" s="39" t="n">
        <f aca="false">IF($B4068="",0,IFERROR(MATCH($B4068,COA_Mapping!$A$7:$A$256,0),0))</f>
        <v>0</v>
      </c>
      <c r="R4068" s="39" t="n">
        <f aca="false">IF($A4068="",-1,IF($J4068=Setup!$B$7,1,IF($J4068=Setup!$B$9,0,-1)))</f>
        <v>-1</v>
      </c>
      <c r="S4068" s="35" t="n">
        <f aca="false">IF(OR($A4068="",$Q4068=0,$R4068=-1),0,$Q4068*1000+$R4068*100+$K4068)</f>
        <v>0</v>
      </c>
      <c r="T4068" s="37" t="str">
        <f aca="false">IF($A4068="","",IF($B4068="","NO ACCOUNT",IF($Q4068=0,"UNMAPPED",IF($R4068=-1,"OUTSIDE FY RANGE","OK"))))</f>
        <v/>
      </c>
      <c r="U4068" s="40" t="str">
        <f aca="false">IF($A4068="","",$B4068&amp;"|"&amp;TEXT($A4068,"yyyymmdd")&amp;"|"&amp;TEXT($I4068,"0.00"))</f>
        <v/>
      </c>
      <c r="V4068" s="35" t="str">
        <f aca="false">IF($A4068="","",COUNTIF($U$8:$U$5007,$U4068))</f>
        <v/>
      </c>
    </row>
    <row r="4069" customFormat="false" ht="15" hidden="false" customHeight="false" outlineLevel="0" collapsed="false">
      <c r="A4069" s="31"/>
      <c r="B4069" s="32"/>
      <c r="C4069" s="32"/>
      <c r="D4069" s="32"/>
      <c r="E4069" s="32"/>
      <c r="F4069" s="32"/>
      <c r="G4069" s="33"/>
      <c r="H4069" s="33"/>
      <c r="I4069" s="34" t="str">
        <f aca="false">IF($A4069="","",$G4069-$H4069)</f>
        <v/>
      </c>
      <c r="J4069" s="35" t="str">
        <f aca="false">IF($A4069="","",IF(Setup!$B$6=1,YEAR($A4069),YEAR($A4069)+IF(MONTH($A4069)&gt;=Setup!$B$6,1,0)))</f>
        <v/>
      </c>
      <c r="K4069" s="35" t="str">
        <f aca="false">IF($A4069="","",MOD(MONTH($A4069)-Setup!$B$6+12,12)+1)</f>
        <v/>
      </c>
      <c r="L4069" s="36" t="str">
        <f aca="false">IF($A4069="","",TEXT($A4069,"MMM-YY"))</f>
        <v/>
      </c>
      <c r="M4069" s="37" t="str">
        <f aca="false">IF($A4069="","",IF($Q4069=0,"UNMAPPED",INDEX(COA_Mapping!$C$7:$C$256,$Q4069)))</f>
        <v/>
      </c>
      <c r="N4069" s="38" t="str">
        <f aca="false">IF($A4069="","",IF($Q4069=0,"",INDEX(COA_Mapping!$E$7:$E$256,$Q4069)))</f>
        <v/>
      </c>
      <c r="O4069" s="38" t="n">
        <f aca="false">IF($A4069="",1,IF($Q4069=0,1,INDEX(COA_Mapping!$F$7:$F$256,$Q4069)))</f>
        <v>1</v>
      </c>
      <c r="P4069" s="34" t="str">
        <f aca="false">IF($A4069="","",$I4069*$O4069)</f>
        <v/>
      </c>
      <c r="Q4069" s="39" t="n">
        <f aca="false">IF($B4069="",0,IFERROR(MATCH($B4069,COA_Mapping!$A$7:$A$256,0),0))</f>
        <v>0</v>
      </c>
      <c r="R4069" s="39" t="n">
        <f aca="false">IF($A4069="",-1,IF($J4069=Setup!$B$7,1,IF($J4069=Setup!$B$9,0,-1)))</f>
        <v>-1</v>
      </c>
      <c r="S4069" s="35" t="n">
        <f aca="false">IF(OR($A4069="",$Q4069=0,$R4069=-1),0,$Q4069*1000+$R4069*100+$K4069)</f>
        <v>0</v>
      </c>
      <c r="T4069" s="37" t="str">
        <f aca="false">IF($A4069="","",IF($B4069="","NO ACCOUNT",IF($Q4069=0,"UNMAPPED",IF($R4069=-1,"OUTSIDE FY RANGE","OK"))))</f>
        <v/>
      </c>
      <c r="U4069" s="40" t="str">
        <f aca="false">IF($A4069="","",$B4069&amp;"|"&amp;TEXT($A4069,"yyyymmdd")&amp;"|"&amp;TEXT($I4069,"0.00"))</f>
        <v/>
      </c>
      <c r="V4069" s="35" t="str">
        <f aca="false">IF($A4069="","",COUNTIF($U$8:$U$5007,$U4069))</f>
        <v/>
      </c>
    </row>
    <row r="4070" customFormat="false" ht="15" hidden="false" customHeight="false" outlineLevel="0" collapsed="false">
      <c r="A4070" s="31"/>
      <c r="B4070" s="32"/>
      <c r="C4070" s="32"/>
      <c r="D4070" s="32"/>
      <c r="E4070" s="32"/>
      <c r="F4070" s="32"/>
      <c r="G4070" s="33"/>
      <c r="H4070" s="33"/>
      <c r="I4070" s="34" t="str">
        <f aca="false">IF($A4070="","",$G4070-$H4070)</f>
        <v/>
      </c>
      <c r="J4070" s="35" t="str">
        <f aca="false">IF($A4070="","",IF(Setup!$B$6=1,YEAR($A4070),YEAR($A4070)+IF(MONTH($A4070)&gt;=Setup!$B$6,1,0)))</f>
        <v/>
      </c>
      <c r="K4070" s="35" t="str">
        <f aca="false">IF($A4070="","",MOD(MONTH($A4070)-Setup!$B$6+12,12)+1)</f>
        <v/>
      </c>
      <c r="L4070" s="36" t="str">
        <f aca="false">IF($A4070="","",TEXT($A4070,"MMM-YY"))</f>
        <v/>
      </c>
      <c r="M4070" s="37" t="str">
        <f aca="false">IF($A4070="","",IF($Q4070=0,"UNMAPPED",INDEX(COA_Mapping!$C$7:$C$256,$Q4070)))</f>
        <v/>
      </c>
      <c r="N4070" s="38" t="str">
        <f aca="false">IF($A4070="","",IF($Q4070=0,"",INDEX(COA_Mapping!$E$7:$E$256,$Q4070)))</f>
        <v/>
      </c>
      <c r="O4070" s="38" t="n">
        <f aca="false">IF($A4070="",1,IF($Q4070=0,1,INDEX(COA_Mapping!$F$7:$F$256,$Q4070)))</f>
        <v>1</v>
      </c>
      <c r="P4070" s="34" t="str">
        <f aca="false">IF($A4070="","",$I4070*$O4070)</f>
        <v/>
      </c>
      <c r="Q4070" s="39" t="n">
        <f aca="false">IF($B4070="",0,IFERROR(MATCH($B4070,COA_Mapping!$A$7:$A$256,0),0))</f>
        <v>0</v>
      </c>
      <c r="R4070" s="39" t="n">
        <f aca="false">IF($A4070="",-1,IF($J4070=Setup!$B$7,1,IF($J4070=Setup!$B$9,0,-1)))</f>
        <v>-1</v>
      </c>
      <c r="S4070" s="35" t="n">
        <f aca="false">IF(OR($A4070="",$Q4070=0,$R4070=-1),0,$Q4070*1000+$R4070*100+$K4070)</f>
        <v>0</v>
      </c>
      <c r="T4070" s="37" t="str">
        <f aca="false">IF($A4070="","",IF($B4070="","NO ACCOUNT",IF($Q4070=0,"UNMAPPED",IF($R4070=-1,"OUTSIDE FY RANGE","OK"))))</f>
        <v/>
      </c>
      <c r="U4070" s="40" t="str">
        <f aca="false">IF($A4070="","",$B4070&amp;"|"&amp;TEXT($A4070,"yyyymmdd")&amp;"|"&amp;TEXT($I4070,"0.00"))</f>
        <v/>
      </c>
      <c r="V4070" s="35" t="str">
        <f aca="false">IF($A4070="","",COUNTIF($U$8:$U$5007,$U4070))</f>
        <v/>
      </c>
    </row>
    <row r="4071" customFormat="false" ht="15" hidden="false" customHeight="false" outlineLevel="0" collapsed="false">
      <c r="A4071" s="31"/>
      <c r="B4071" s="32"/>
      <c r="C4071" s="32"/>
      <c r="D4071" s="32"/>
      <c r="E4071" s="32"/>
      <c r="F4071" s="32"/>
      <c r="G4071" s="33"/>
      <c r="H4071" s="33"/>
      <c r="I4071" s="34" t="str">
        <f aca="false">IF($A4071="","",$G4071-$H4071)</f>
        <v/>
      </c>
      <c r="J4071" s="35" t="str">
        <f aca="false">IF($A4071="","",IF(Setup!$B$6=1,YEAR($A4071),YEAR($A4071)+IF(MONTH($A4071)&gt;=Setup!$B$6,1,0)))</f>
        <v/>
      </c>
      <c r="K4071" s="35" t="str">
        <f aca="false">IF($A4071="","",MOD(MONTH($A4071)-Setup!$B$6+12,12)+1)</f>
        <v/>
      </c>
      <c r="L4071" s="36" t="str">
        <f aca="false">IF($A4071="","",TEXT($A4071,"MMM-YY"))</f>
        <v/>
      </c>
      <c r="M4071" s="37" t="str">
        <f aca="false">IF($A4071="","",IF($Q4071=0,"UNMAPPED",INDEX(COA_Mapping!$C$7:$C$256,$Q4071)))</f>
        <v/>
      </c>
      <c r="N4071" s="38" t="str">
        <f aca="false">IF($A4071="","",IF($Q4071=0,"",INDEX(COA_Mapping!$E$7:$E$256,$Q4071)))</f>
        <v/>
      </c>
      <c r="O4071" s="38" t="n">
        <f aca="false">IF($A4071="",1,IF($Q4071=0,1,INDEX(COA_Mapping!$F$7:$F$256,$Q4071)))</f>
        <v>1</v>
      </c>
      <c r="P4071" s="34" t="str">
        <f aca="false">IF($A4071="","",$I4071*$O4071)</f>
        <v/>
      </c>
      <c r="Q4071" s="39" t="n">
        <f aca="false">IF($B4071="",0,IFERROR(MATCH($B4071,COA_Mapping!$A$7:$A$256,0),0))</f>
        <v>0</v>
      </c>
      <c r="R4071" s="39" t="n">
        <f aca="false">IF($A4071="",-1,IF($J4071=Setup!$B$7,1,IF($J4071=Setup!$B$9,0,-1)))</f>
        <v>-1</v>
      </c>
      <c r="S4071" s="35" t="n">
        <f aca="false">IF(OR($A4071="",$Q4071=0,$R4071=-1),0,$Q4071*1000+$R4071*100+$K4071)</f>
        <v>0</v>
      </c>
      <c r="T4071" s="37" t="str">
        <f aca="false">IF($A4071="","",IF($B4071="","NO ACCOUNT",IF($Q4071=0,"UNMAPPED",IF($R4071=-1,"OUTSIDE FY RANGE","OK"))))</f>
        <v/>
      </c>
      <c r="U4071" s="40" t="str">
        <f aca="false">IF($A4071="","",$B4071&amp;"|"&amp;TEXT($A4071,"yyyymmdd")&amp;"|"&amp;TEXT($I4071,"0.00"))</f>
        <v/>
      </c>
      <c r="V4071" s="35" t="str">
        <f aca="false">IF($A4071="","",COUNTIF($U$8:$U$5007,$U4071))</f>
        <v/>
      </c>
    </row>
    <row r="4072" customFormat="false" ht="15" hidden="false" customHeight="false" outlineLevel="0" collapsed="false">
      <c r="A4072" s="31"/>
      <c r="B4072" s="32"/>
      <c r="C4072" s="32"/>
      <c r="D4072" s="32"/>
      <c r="E4072" s="32"/>
      <c r="F4072" s="32"/>
      <c r="G4072" s="33"/>
      <c r="H4072" s="33"/>
      <c r="I4072" s="34" t="str">
        <f aca="false">IF($A4072="","",$G4072-$H4072)</f>
        <v/>
      </c>
      <c r="J4072" s="35" t="str">
        <f aca="false">IF($A4072="","",IF(Setup!$B$6=1,YEAR($A4072),YEAR($A4072)+IF(MONTH($A4072)&gt;=Setup!$B$6,1,0)))</f>
        <v/>
      </c>
      <c r="K4072" s="35" t="str">
        <f aca="false">IF($A4072="","",MOD(MONTH($A4072)-Setup!$B$6+12,12)+1)</f>
        <v/>
      </c>
      <c r="L4072" s="36" t="str">
        <f aca="false">IF($A4072="","",TEXT($A4072,"MMM-YY"))</f>
        <v/>
      </c>
      <c r="M4072" s="37" t="str">
        <f aca="false">IF($A4072="","",IF($Q4072=0,"UNMAPPED",INDEX(COA_Mapping!$C$7:$C$256,$Q4072)))</f>
        <v/>
      </c>
      <c r="N4072" s="38" t="str">
        <f aca="false">IF($A4072="","",IF($Q4072=0,"",INDEX(COA_Mapping!$E$7:$E$256,$Q4072)))</f>
        <v/>
      </c>
      <c r="O4072" s="38" t="n">
        <f aca="false">IF($A4072="",1,IF($Q4072=0,1,INDEX(COA_Mapping!$F$7:$F$256,$Q4072)))</f>
        <v>1</v>
      </c>
      <c r="P4072" s="34" t="str">
        <f aca="false">IF($A4072="","",$I4072*$O4072)</f>
        <v/>
      </c>
      <c r="Q4072" s="39" t="n">
        <f aca="false">IF($B4072="",0,IFERROR(MATCH($B4072,COA_Mapping!$A$7:$A$256,0),0))</f>
        <v>0</v>
      </c>
      <c r="R4072" s="39" t="n">
        <f aca="false">IF($A4072="",-1,IF($J4072=Setup!$B$7,1,IF($J4072=Setup!$B$9,0,-1)))</f>
        <v>-1</v>
      </c>
      <c r="S4072" s="35" t="n">
        <f aca="false">IF(OR($A4072="",$Q4072=0,$R4072=-1),0,$Q4072*1000+$R4072*100+$K4072)</f>
        <v>0</v>
      </c>
      <c r="T4072" s="37" t="str">
        <f aca="false">IF($A4072="","",IF($B4072="","NO ACCOUNT",IF($Q4072=0,"UNMAPPED",IF($R4072=-1,"OUTSIDE FY RANGE","OK"))))</f>
        <v/>
      </c>
      <c r="U4072" s="40" t="str">
        <f aca="false">IF($A4072="","",$B4072&amp;"|"&amp;TEXT($A4072,"yyyymmdd")&amp;"|"&amp;TEXT($I4072,"0.00"))</f>
        <v/>
      </c>
      <c r="V4072" s="35" t="str">
        <f aca="false">IF($A4072="","",COUNTIF($U$8:$U$5007,$U4072))</f>
        <v/>
      </c>
    </row>
    <row r="4073" customFormat="false" ht="15" hidden="false" customHeight="false" outlineLevel="0" collapsed="false">
      <c r="A4073" s="31"/>
      <c r="B4073" s="32"/>
      <c r="C4073" s="32"/>
      <c r="D4073" s="32"/>
      <c r="E4073" s="32"/>
      <c r="F4073" s="32"/>
      <c r="G4073" s="33"/>
      <c r="H4073" s="33"/>
      <c r="I4073" s="34" t="str">
        <f aca="false">IF($A4073="","",$G4073-$H4073)</f>
        <v/>
      </c>
      <c r="J4073" s="35" t="str">
        <f aca="false">IF($A4073="","",IF(Setup!$B$6=1,YEAR($A4073),YEAR($A4073)+IF(MONTH($A4073)&gt;=Setup!$B$6,1,0)))</f>
        <v/>
      </c>
      <c r="K4073" s="35" t="str">
        <f aca="false">IF($A4073="","",MOD(MONTH($A4073)-Setup!$B$6+12,12)+1)</f>
        <v/>
      </c>
      <c r="L4073" s="36" t="str">
        <f aca="false">IF($A4073="","",TEXT($A4073,"MMM-YY"))</f>
        <v/>
      </c>
      <c r="M4073" s="37" t="str">
        <f aca="false">IF($A4073="","",IF($Q4073=0,"UNMAPPED",INDEX(COA_Mapping!$C$7:$C$256,$Q4073)))</f>
        <v/>
      </c>
      <c r="N4073" s="38" t="str">
        <f aca="false">IF($A4073="","",IF($Q4073=0,"",INDEX(COA_Mapping!$E$7:$E$256,$Q4073)))</f>
        <v/>
      </c>
      <c r="O4073" s="38" t="n">
        <f aca="false">IF($A4073="",1,IF($Q4073=0,1,INDEX(COA_Mapping!$F$7:$F$256,$Q4073)))</f>
        <v>1</v>
      </c>
      <c r="P4073" s="34" t="str">
        <f aca="false">IF($A4073="","",$I4073*$O4073)</f>
        <v/>
      </c>
      <c r="Q4073" s="39" t="n">
        <f aca="false">IF($B4073="",0,IFERROR(MATCH($B4073,COA_Mapping!$A$7:$A$256,0),0))</f>
        <v>0</v>
      </c>
      <c r="R4073" s="39" t="n">
        <f aca="false">IF($A4073="",-1,IF($J4073=Setup!$B$7,1,IF($J4073=Setup!$B$9,0,-1)))</f>
        <v>-1</v>
      </c>
      <c r="S4073" s="35" t="n">
        <f aca="false">IF(OR($A4073="",$Q4073=0,$R4073=-1),0,$Q4073*1000+$R4073*100+$K4073)</f>
        <v>0</v>
      </c>
      <c r="T4073" s="37" t="str">
        <f aca="false">IF($A4073="","",IF($B4073="","NO ACCOUNT",IF($Q4073=0,"UNMAPPED",IF($R4073=-1,"OUTSIDE FY RANGE","OK"))))</f>
        <v/>
      </c>
      <c r="U4073" s="40" t="str">
        <f aca="false">IF($A4073="","",$B4073&amp;"|"&amp;TEXT($A4073,"yyyymmdd")&amp;"|"&amp;TEXT($I4073,"0.00"))</f>
        <v/>
      </c>
      <c r="V4073" s="35" t="str">
        <f aca="false">IF($A4073="","",COUNTIF($U$8:$U$5007,$U4073))</f>
        <v/>
      </c>
    </row>
    <row r="4074" customFormat="false" ht="15" hidden="false" customHeight="false" outlineLevel="0" collapsed="false">
      <c r="A4074" s="31"/>
      <c r="B4074" s="32"/>
      <c r="C4074" s="32"/>
      <c r="D4074" s="32"/>
      <c r="E4074" s="32"/>
      <c r="F4074" s="32"/>
      <c r="G4074" s="33"/>
      <c r="H4074" s="33"/>
      <c r="I4074" s="34" t="str">
        <f aca="false">IF($A4074="","",$G4074-$H4074)</f>
        <v/>
      </c>
      <c r="J4074" s="35" t="str">
        <f aca="false">IF($A4074="","",IF(Setup!$B$6=1,YEAR($A4074),YEAR($A4074)+IF(MONTH($A4074)&gt;=Setup!$B$6,1,0)))</f>
        <v/>
      </c>
      <c r="K4074" s="35" t="str">
        <f aca="false">IF($A4074="","",MOD(MONTH($A4074)-Setup!$B$6+12,12)+1)</f>
        <v/>
      </c>
      <c r="L4074" s="36" t="str">
        <f aca="false">IF($A4074="","",TEXT($A4074,"MMM-YY"))</f>
        <v/>
      </c>
      <c r="M4074" s="37" t="str">
        <f aca="false">IF($A4074="","",IF($Q4074=0,"UNMAPPED",INDEX(COA_Mapping!$C$7:$C$256,$Q4074)))</f>
        <v/>
      </c>
      <c r="N4074" s="38" t="str">
        <f aca="false">IF($A4074="","",IF($Q4074=0,"",INDEX(COA_Mapping!$E$7:$E$256,$Q4074)))</f>
        <v/>
      </c>
      <c r="O4074" s="38" t="n">
        <f aca="false">IF($A4074="",1,IF($Q4074=0,1,INDEX(COA_Mapping!$F$7:$F$256,$Q4074)))</f>
        <v>1</v>
      </c>
      <c r="P4074" s="34" t="str">
        <f aca="false">IF($A4074="","",$I4074*$O4074)</f>
        <v/>
      </c>
      <c r="Q4074" s="39" t="n">
        <f aca="false">IF($B4074="",0,IFERROR(MATCH($B4074,COA_Mapping!$A$7:$A$256,0),0))</f>
        <v>0</v>
      </c>
      <c r="R4074" s="39" t="n">
        <f aca="false">IF($A4074="",-1,IF($J4074=Setup!$B$7,1,IF($J4074=Setup!$B$9,0,-1)))</f>
        <v>-1</v>
      </c>
      <c r="S4074" s="35" t="n">
        <f aca="false">IF(OR($A4074="",$Q4074=0,$R4074=-1),0,$Q4074*1000+$R4074*100+$K4074)</f>
        <v>0</v>
      </c>
      <c r="T4074" s="37" t="str">
        <f aca="false">IF($A4074="","",IF($B4074="","NO ACCOUNT",IF($Q4074=0,"UNMAPPED",IF($R4074=-1,"OUTSIDE FY RANGE","OK"))))</f>
        <v/>
      </c>
      <c r="U4074" s="40" t="str">
        <f aca="false">IF($A4074="","",$B4074&amp;"|"&amp;TEXT($A4074,"yyyymmdd")&amp;"|"&amp;TEXT($I4074,"0.00"))</f>
        <v/>
      </c>
      <c r="V4074" s="35" t="str">
        <f aca="false">IF($A4074="","",COUNTIF($U$8:$U$5007,$U4074))</f>
        <v/>
      </c>
    </row>
    <row r="4075" customFormat="false" ht="15" hidden="false" customHeight="false" outlineLevel="0" collapsed="false">
      <c r="A4075" s="31"/>
      <c r="B4075" s="32"/>
      <c r="C4075" s="32"/>
      <c r="D4075" s="32"/>
      <c r="E4075" s="32"/>
      <c r="F4075" s="32"/>
      <c r="G4075" s="33"/>
      <c r="H4075" s="33"/>
      <c r="I4075" s="34" t="str">
        <f aca="false">IF($A4075="","",$G4075-$H4075)</f>
        <v/>
      </c>
      <c r="J4075" s="35" t="str">
        <f aca="false">IF($A4075="","",IF(Setup!$B$6=1,YEAR($A4075),YEAR($A4075)+IF(MONTH($A4075)&gt;=Setup!$B$6,1,0)))</f>
        <v/>
      </c>
      <c r="K4075" s="35" t="str">
        <f aca="false">IF($A4075="","",MOD(MONTH($A4075)-Setup!$B$6+12,12)+1)</f>
        <v/>
      </c>
      <c r="L4075" s="36" t="str">
        <f aca="false">IF($A4075="","",TEXT($A4075,"MMM-YY"))</f>
        <v/>
      </c>
      <c r="M4075" s="37" t="str">
        <f aca="false">IF($A4075="","",IF($Q4075=0,"UNMAPPED",INDEX(COA_Mapping!$C$7:$C$256,$Q4075)))</f>
        <v/>
      </c>
      <c r="N4075" s="38" t="str">
        <f aca="false">IF($A4075="","",IF($Q4075=0,"",INDEX(COA_Mapping!$E$7:$E$256,$Q4075)))</f>
        <v/>
      </c>
      <c r="O4075" s="38" t="n">
        <f aca="false">IF($A4075="",1,IF($Q4075=0,1,INDEX(COA_Mapping!$F$7:$F$256,$Q4075)))</f>
        <v>1</v>
      </c>
      <c r="P4075" s="34" t="str">
        <f aca="false">IF($A4075="","",$I4075*$O4075)</f>
        <v/>
      </c>
      <c r="Q4075" s="39" t="n">
        <f aca="false">IF($B4075="",0,IFERROR(MATCH($B4075,COA_Mapping!$A$7:$A$256,0),0))</f>
        <v>0</v>
      </c>
      <c r="R4075" s="39" t="n">
        <f aca="false">IF($A4075="",-1,IF($J4075=Setup!$B$7,1,IF($J4075=Setup!$B$9,0,-1)))</f>
        <v>-1</v>
      </c>
      <c r="S4075" s="35" t="n">
        <f aca="false">IF(OR($A4075="",$Q4075=0,$R4075=-1),0,$Q4075*1000+$R4075*100+$K4075)</f>
        <v>0</v>
      </c>
      <c r="T4075" s="37" t="str">
        <f aca="false">IF($A4075="","",IF($B4075="","NO ACCOUNT",IF($Q4075=0,"UNMAPPED",IF($R4075=-1,"OUTSIDE FY RANGE","OK"))))</f>
        <v/>
      </c>
      <c r="U4075" s="40" t="str">
        <f aca="false">IF($A4075="","",$B4075&amp;"|"&amp;TEXT($A4075,"yyyymmdd")&amp;"|"&amp;TEXT($I4075,"0.00"))</f>
        <v/>
      </c>
      <c r="V4075" s="35" t="str">
        <f aca="false">IF($A4075="","",COUNTIF($U$8:$U$5007,$U4075))</f>
        <v/>
      </c>
    </row>
    <row r="4076" customFormat="false" ht="15" hidden="false" customHeight="false" outlineLevel="0" collapsed="false">
      <c r="A4076" s="31"/>
      <c r="B4076" s="32"/>
      <c r="C4076" s="32"/>
      <c r="D4076" s="32"/>
      <c r="E4076" s="32"/>
      <c r="F4076" s="32"/>
      <c r="G4076" s="33"/>
      <c r="H4076" s="33"/>
      <c r="I4076" s="34" t="str">
        <f aca="false">IF($A4076="","",$G4076-$H4076)</f>
        <v/>
      </c>
      <c r="J4076" s="35" t="str">
        <f aca="false">IF($A4076="","",IF(Setup!$B$6=1,YEAR($A4076),YEAR($A4076)+IF(MONTH($A4076)&gt;=Setup!$B$6,1,0)))</f>
        <v/>
      </c>
      <c r="K4076" s="35" t="str">
        <f aca="false">IF($A4076="","",MOD(MONTH($A4076)-Setup!$B$6+12,12)+1)</f>
        <v/>
      </c>
      <c r="L4076" s="36" t="str">
        <f aca="false">IF($A4076="","",TEXT($A4076,"MMM-YY"))</f>
        <v/>
      </c>
      <c r="M4076" s="37" t="str">
        <f aca="false">IF($A4076="","",IF($Q4076=0,"UNMAPPED",INDEX(COA_Mapping!$C$7:$C$256,$Q4076)))</f>
        <v/>
      </c>
      <c r="N4076" s="38" t="str">
        <f aca="false">IF($A4076="","",IF($Q4076=0,"",INDEX(COA_Mapping!$E$7:$E$256,$Q4076)))</f>
        <v/>
      </c>
      <c r="O4076" s="38" t="n">
        <f aca="false">IF($A4076="",1,IF($Q4076=0,1,INDEX(COA_Mapping!$F$7:$F$256,$Q4076)))</f>
        <v>1</v>
      </c>
      <c r="P4076" s="34" t="str">
        <f aca="false">IF($A4076="","",$I4076*$O4076)</f>
        <v/>
      </c>
      <c r="Q4076" s="39" t="n">
        <f aca="false">IF($B4076="",0,IFERROR(MATCH($B4076,COA_Mapping!$A$7:$A$256,0),0))</f>
        <v>0</v>
      </c>
      <c r="R4076" s="39" t="n">
        <f aca="false">IF($A4076="",-1,IF($J4076=Setup!$B$7,1,IF($J4076=Setup!$B$9,0,-1)))</f>
        <v>-1</v>
      </c>
      <c r="S4076" s="35" t="n">
        <f aca="false">IF(OR($A4076="",$Q4076=0,$R4076=-1),0,$Q4076*1000+$R4076*100+$K4076)</f>
        <v>0</v>
      </c>
      <c r="T4076" s="37" t="str">
        <f aca="false">IF($A4076="","",IF($B4076="","NO ACCOUNT",IF($Q4076=0,"UNMAPPED",IF($R4076=-1,"OUTSIDE FY RANGE","OK"))))</f>
        <v/>
      </c>
      <c r="U4076" s="40" t="str">
        <f aca="false">IF($A4076="","",$B4076&amp;"|"&amp;TEXT($A4076,"yyyymmdd")&amp;"|"&amp;TEXT($I4076,"0.00"))</f>
        <v/>
      </c>
      <c r="V4076" s="35" t="str">
        <f aca="false">IF($A4076="","",COUNTIF($U$8:$U$5007,$U4076))</f>
        <v/>
      </c>
    </row>
    <row r="4077" customFormat="false" ht="15" hidden="false" customHeight="false" outlineLevel="0" collapsed="false">
      <c r="A4077" s="31"/>
      <c r="B4077" s="32"/>
      <c r="C4077" s="32"/>
      <c r="D4077" s="32"/>
      <c r="E4077" s="32"/>
      <c r="F4077" s="32"/>
      <c r="G4077" s="33"/>
      <c r="H4077" s="33"/>
      <c r="I4077" s="34" t="str">
        <f aca="false">IF($A4077="","",$G4077-$H4077)</f>
        <v/>
      </c>
      <c r="J4077" s="35" t="str">
        <f aca="false">IF($A4077="","",IF(Setup!$B$6=1,YEAR($A4077),YEAR($A4077)+IF(MONTH($A4077)&gt;=Setup!$B$6,1,0)))</f>
        <v/>
      </c>
      <c r="K4077" s="35" t="str">
        <f aca="false">IF($A4077="","",MOD(MONTH($A4077)-Setup!$B$6+12,12)+1)</f>
        <v/>
      </c>
      <c r="L4077" s="36" t="str">
        <f aca="false">IF($A4077="","",TEXT($A4077,"MMM-YY"))</f>
        <v/>
      </c>
      <c r="M4077" s="37" t="str">
        <f aca="false">IF($A4077="","",IF($Q4077=0,"UNMAPPED",INDEX(COA_Mapping!$C$7:$C$256,$Q4077)))</f>
        <v/>
      </c>
      <c r="N4077" s="38" t="str">
        <f aca="false">IF($A4077="","",IF($Q4077=0,"",INDEX(COA_Mapping!$E$7:$E$256,$Q4077)))</f>
        <v/>
      </c>
      <c r="O4077" s="38" t="n">
        <f aca="false">IF($A4077="",1,IF($Q4077=0,1,INDEX(COA_Mapping!$F$7:$F$256,$Q4077)))</f>
        <v>1</v>
      </c>
      <c r="P4077" s="34" t="str">
        <f aca="false">IF($A4077="","",$I4077*$O4077)</f>
        <v/>
      </c>
      <c r="Q4077" s="39" t="n">
        <f aca="false">IF($B4077="",0,IFERROR(MATCH($B4077,COA_Mapping!$A$7:$A$256,0),0))</f>
        <v>0</v>
      </c>
      <c r="R4077" s="39" t="n">
        <f aca="false">IF($A4077="",-1,IF($J4077=Setup!$B$7,1,IF($J4077=Setup!$B$9,0,-1)))</f>
        <v>-1</v>
      </c>
      <c r="S4077" s="35" t="n">
        <f aca="false">IF(OR($A4077="",$Q4077=0,$R4077=-1),0,$Q4077*1000+$R4077*100+$K4077)</f>
        <v>0</v>
      </c>
      <c r="T4077" s="37" t="str">
        <f aca="false">IF($A4077="","",IF($B4077="","NO ACCOUNT",IF($Q4077=0,"UNMAPPED",IF($R4077=-1,"OUTSIDE FY RANGE","OK"))))</f>
        <v/>
      </c>
      <c r="U4077" s="40" t="str">
        <f aca="false">IF($A4077="","",$B4077&amp;"|"&amp;TEXT($A4077,"yyyymmdd")&amp;"|"&amp;TEXT($I4077,"0.00"))</f>
        <v/>
      </c>
      <c r="V4077" s="35" t="str">
        <f aca="false">IF($A4077="","",COUNTIF($U$8:$U$5007,$U4077))</f>
        <v/>
      </c>
    </row>
    <row r="4078" customFormat="false" ht="15" hidden="false" customHeight="false" outlineLevel="0" collapsed="false">
      <c r="A4078" s="31"/>
      <c r="B4078" s="32"/>
      <c r="C4078" s="32"/>
      <c r="D4078" s="32"/>
      <c r="E4078" s="32"/>
      <c r="F4078" s="32"/>
      <c r="G4078" s="33"/>
      <c r="H4078" s="33"/>
      <c r="I4078" s="34" t="str">
        <f aca="false">IF($A4078="","",$G4078-$H4078)</f>
        <v/>
      </c>
      <c r="J4078" s="35" t="str">
        <f aca="false">IF($A4078="","",IF(Setup!$B$6=1,YEAR($A4078),YEAR($A4078)+IF(MONTH($A4078)&gt;=Setup!$B$6,1,0)))</f>
        <v/>
      </c>
      <c r="K4078" s="35" t="str">
        <f aca="false">IF($A4078="","",MOD(MONTH($A4078)-Setup!$B$6+12,12)+1)</f>
        <v/>
      </c>
      <c r="L4078" s="36" t="str">
        <f aca="false">IF($A4078="","",TEXT($A4078,"MMM-YY"))</f>
        <v/>
      </c>
      <c r="M4078" s="37" t="str">
        <f aca="false">IF($A4078="","",IF($Q4078=0,"UNMAPPED",INDEX(COA_Mapping!$C$7:$C$256,$Q4078)))</f>
        <v/>
      </c>
      <c r="N4078" s="38" t="str">
        <f aca="false">IF($A4078="","",IF($Q4078=0,"",INDEX(COA_Mapping!$E$7:$E$256,$Q4078)))</f>
        <v/>
      </c>
      <c r="O4078" s="38" t="n">
        <f aca="false">IF($A4078="",1,IF($Q4078=0,1,INDEX(COA_Mapping!$F$7:$F$256,$Q4078)))</f>
        <v>1</v>
      </c>
      <c r="P4078" s="34" t="str">
        <f aca="false">IF($A4078="","",$I4078*$O4078)</f>
        <v/>
      </c>
      <c r="Q4078" s="39" t="n">
        <f aca="false">IF($B4078="",0,IFERROR(MATCH($B4078,COA_Mapping!$A$7:$A$256,0),0))</f>
        <v>0</v>
      </c>
      <c r="R4078" s="39" t="n">
        <f aca="false">IF($A4078="",-1,IF($J4078=Setup!$B$7,1,IF($J4078=Setup!$B$9,0,-1)))</f>
        <v>-1</v>
      </c>
      <c r="S4078" s="35" t="n">
        <f aca="false">IF(OR($A4078="",$Q4078=0,$R4078=-1),0,$Q4078*1000+$R4078*100+$K4078)</f>
        <v>0</v>
      </c>
      <c r="T4078" s="37" t="str">
        <f aca="false">IF($A4078="","",IF($B4078="","NO ACCOUNT",IF($Q4078=0,"UNMAPPED",IF($R4078=-1,"OUTSIDE FY RANGE","OK"))))</f>
        <v/>
      </c>
      <c r="U4078" s="40" t="str">
        <f aca="false">IF($A4078="","",$B4078&amp;"|"&amp;TEXT($A4078,"yyyymmdd")&amp;"|"&amp;TEXT($I4078,"0.00"))</f>
        <v/>
      </c>
      <c r="V4078" s="35" t="str">
        <f aca="false">IF($A4078="","",COUNTIF($U$8:$U$5007,$U4078))</f>
        <v/>
      </c>
    </row>
    <row r="4079" customFormat="false" ht="15" hidden="false" customHeight="false" outlineLevel="0" collapsed="false">
      <c r="A4079" s="31"/>
      <c r="B4079" s="32"/>
      <c r="C4079" s="32"/>
      <c r="D4079" s="32"/>
      <c r="E4079" s="32"/>
      <c r="F4079" s="32"/>
      <c r="G4079" s="33"/>
      <c r="H4079" s="33"/>
      <c r="I4079" s="34" t="str">
        <f aca="false">IF($A4079="","",$G4079-$H4079)</f>
        <v/>
      </c>
      <c r="J4079" s="35" t="str">
        <f aca="false">IF($A4079="","",IF(Setup!$B$6=1,YEAR($A4079),YEAR($A4079)+IF(MONTH($A4079)&gt;=Setup!$B$6,1,0)))</f>
        <v/>
      </c>
      <c r="K4079" s="35" t="str">
        <f aca="false">IF($A4079="","",MOD(MONTH($A4079)-Setup!$B$6+12,12)+1)</f>
        <v/>
      </c>
      <c r="L4079" s="36" t="str">
        <f aca="false">IF($A4079="","",TEXT($A4079,"MMM-YY"))</f>
        <v/>
      </c>
      <c r="M4079" s="37" t="str">
        <f aca="false">IF($A4079="","",IF($Q4079=0,"UNMAPPED",INDEX(COA_Mapping!$C$7:$C$256,$Q4079)))</f>
        <v/>
      </c>
      <c r="N4079" s="38" t="str">
        <f aca="false">IF($A4079="","",IF($Q4079=0,"",INDEX(COA_Mapping!$E$7:$E$256,$Q4079)))</f>
        <v/>
      </c>
      <c r="O4079" s="38" t="n">
        <f aca="false">IF($A4079="",1,IF($Q4079=0,1,INDEX(COA_Mapping!$F$7:$F$256,$Q4079)))</f>
        <v>1</v>
      </c>
      <c r="P4079" s="34" t="str">
        <f aca="false">IF($A4079="","",$I4079*$O4079)</f>
        <v/>
      </c>
      <c r="Q4079" s="39" t="n">
        <f aca="false">IF($B4079="",0,IFERROR(MATCH($B4079,COA_Mapping!$A$7:$A$256,0),0))</f>
        <v>0</v>
      </c>
      <c r="R4079" s="39" t="n">
        <f aca="false">IF($A4079="",-1,IF($J4079=Setup!$B$7,1,IF($J4079=Setup!$B$9,0,-1)))</f>
        <v>-1</v>
      </c>
      <c r="S4079" s="35" t="n">
        <f aca="false">IF(OR($A4079="",$Q4079=0,$R4079=-1),0,$Q4079*1000+$R4079*100+$K4079)</f>
        <v>0</v>
      </c>
      <c r="T4079" s="37" t="str">
        <f aca="false">IF($A4079="","",IF($B4079="","NO ACCOUNT",IF($Q4079=0,"UNMAPPED",IF($R4079=-1,"OUTSIDE FY RANGE","OK"))))</f>
        <v/>
      </c>
      <c r="U4079" s="40" t="str">
        <f aca="false">IF($A4079="","",$B4079&amp;"|"&amp;TEXT($A4079,"yyyymmdd")&amp;"|"&amp;TEXT($I4079,"0.00"))</f>
        <v/>
      </c>
      <c r="V4079" s="35" t="str">
        <f aca="false">IF($A4079="","",COUNTIF($U$8:$U$5007,$U4079))</f>
        <v/>
      </c>
    </row>
    <row r="4080" customFormat="false" ht="15" hidden="false" customHeight="false" outlineLevel="0" collapsed="false">
      <c r="A4080" s="31"/>
      <c r="B4080" s="32"/>
      <c r="C4080" s="32"/>
      <c r="D4080" s="32"/>
      <c r="E4080" s="32"/>
      <c r="F4080" s="32"/>
      <c r="G4080" s="33"/>
      <c r="H4080" s="33"/>
      <c r="I4080" s="34" t="str">
        <f aca="false">IF($A4080="","",$G4080-$H4080)</f>
        <v/>
      </c>
      <c r="J4080" s="35" t="str">
        <f aca="false">IF($A4080="","",IF(Setup!$B$6=1,YEAR($A4080),YEAR($A4080)+IF(MONTH($A4080)&gt;=Setup!$B$6,1,0)))</f>
        <v/>
      </c>
      <c r="K4080" s="35" t="str">
        <f aca="false">IF($A4080="","",MOD(MONTH($A4080)-Setup!$B$6+12,12)+1)</f>
        <v/>
      </c>
      <c r="L4080" s="36" t="str">
        <f aca="false">IF($A4080="","",TEXT($A4080,"MMM-YY"))</f>
        <v/>
      </c>
      <c r="M4080" s="37" t="str">
        <f aca="false">IF($A4080="","",IF($Q4080=0,"UNMAPPED",INDEX(COA_Mapping!$C$7:$C$256,$Q4080)))</f>
        <v/>
      </c>
      <c r="N4080" s="38" t="str">
        <f aca="false">IF($A4080="","",IF($Q4080=0,"",INDEX(COA_Mapping!$E$7:$E$256,$Q4080)))</f>
        <v/>
      </c>
      <c r="O4080" s="38" t="n">
        <f aca="false">IF($A4080="",1,IF($Q4080=0,1,INDEX(COA_Mapping!$F$7:$F$256,$Q4080)))</f>
        <v>1</v>
      </c>
      <c r="P4080" s="34" t="str">
        <f aca="false">IF($A4080="","",$I4080*$O4080)</f>
        <v/>
      </c>
      <c r="Q4080" s="39" t="n">
        <f aca="false">IF($B4080="",0,IFERROR(MATCH($B4080,COA_Mapping!$A$7:$A$256,0),0))</f>
        <v>0</v>
      </c>
      <c r="R4080" s="39" t="n">
        <f aca="false">IF($A4080="",-1,IF($J4080=Setup!$B$7,1,IF($J4080=Setup!$B$9,0,-1)))</f>
        <v>-1</v>
      </c>
      <c r="S4080" s="35" t="n">
        <f aca="false">IF(OR($A4080="",$Q4080=0,$R4080=-1),0,$Q4080*1000+$R4080*100+$K4080)</f>
        <v>0</v>
      </c>
      <c r="T4080" s="37" t="str">
        <f aca="false">IF($A4080="","",IF($B4080="","NO ACCOUNT",IF($Q4080=0,"UNMAPPED",IF($R4080=-1,"OUTSIDE FY RANGE","OK"))))</f>
        <v/>
      </c>
      <c r="U4080" s="40" t="str">
        <f aca="false">IF($A4080="","",$B4080&amp;"|"&amp;TEXT($A4080,"yyyymmdd")&amp;"|"&amp;TEXT($I4080,"0.00"))</f>
        <v/>
      </c>
      <c r="V4080" s="35" t="str">
        <f aca="false">IF($A4080="","",COUNTIF($U$8:$U$5007,$U4080))</f>
        <v/>
      </c>
    </row>
    <row r="4081" customFormat="false" ht="15" hidden="false" customHeight="false" outlineLevel="0" collapsed="false">
      <c r="A4081" s="31"/>
      <c r="B4081" s="32"/>
      <c r="C4081" s="32"/>
      <c r="D4081" s="32"/>
      <c r="E4081" s="32"/>
      <c r="F4081" s="32"/>
      <c r="G4081" s="33"/>
      <c r="H4081" s="33"/>
      <c r="I4081" s="34" t="str">
        <f aca="false">IF($A4081="","",$G4081-$H4081)</f>
        <v/>
      </c>
      <c r="J4081" s="35" t="str">
        <f aca="false">IF($A4081="","",IF(Setup!$B$6=1,YEAR($A4081),YEAR($A4081)+IF(MONTH($A4081)&gt;=Setup!$B$6,1,0)))</f>
        <v/>
      </c>
      <c r="K4081" s="35" t="str">
        <f aca="false">IF($A4081="","",MOD(MONTH($A4081)-Setup!$B$6+12,12)+1)</f>
        <v/>
      </c>
      <c r="L4081" s="36" t="str">
        <f aca="false">IF($A4081="","",TEXT($A4081,"MMM-YY"))</f>
        <v/>
      </c>
      <c r="M4081" s="37" t="str">
        <f aca="false">IF($A4081="","",IF($Q4081=0,"UNMAPPED",INDEX(COA_Mapping!$C$7:$C$256,$Q4081)))</f>
        <v/>
      </c>
      <c r="N4081" s="38" t="str">
        <f aca="false">IF($A4081="","",IF($Q4081=0,"",INDEX(COA_Mapping!$E$7:$E$256,$Q4081)))</f>
        <v/>
      </c>
      <c r="O4081" s="38" t="n">
        <f aca="false">IF($A4081="",1,IF($Q4081=0,1,INDEX(COA_Mapping!$F$7:$F$256,$Q4081)))</f>
        <v>1</v>
      </c>
      <c r="P4081" s="34" t="str">
        <f aca="false">IF($A4081="","",$I4081*$O4081)</f>
        <v/>
      </c>
      <c r="Q4081" s="39" t="n">
        <f aca="false">IF($B4081="",0,IFERROR(MATCH($B4081,COA_Mapping!$A$7:$A$256,0),0))</f>
        <v>0</v>
      </c>
      <c r="R4081" s="39" t="n">
        <f aca="false">IF($A4081="",-1,IF($J4081=Setup!$B$7,1,IF($J4081=Setup!$B$9,0,-1)))</f>
        <v>-1</v>
      </c>
      <c r="S4081" s="35" t="n">
        <f aca="false">IF(OR($A4081="",$Q4081=0,$R4081=-1),0,$Q4081*1000+$R4081*100+$K4081)</f>
        <v>0</v>
      </c>
      <c r="T4081" s="37" t="str">
        <f aca="false">IF($A4081="","",IF($B4081="","NO ACCOUNT",IF($Q4081=0,"UNMAPPED",IF($R4081=-1,"OUTSIDE FY RANGE","OK"))))</f>
        <v/>
      </c>
      <c r="U4081" s="40" t="str">
        <f aca="false">IF($A4081="","",$B4081&amp;"|"&amp;TEXT($A4081,"yyyymmdd")&amp;"|"&amp;TEXT($I4081,"0.00"))</f>
        <v/>
      </c>
      <c r="V4081" s="35" t="str">
        <f aca="false">IF($A4081="","",COUNTIF($U$8:$U$5007,$U4081))</f>
        <v/>
      </c>
    </row>
    <row r="4082" customFormat="false" ht="15" hidden="false" customHeight="false" outlineLevel="0" collapsed="false">
      <c r="A4082" s="31"/>
      <c r="B4082" s="32"/>
      <c r="C4082" s="32"/>
      <c r="D4082" s="32"/>
      <c r="E4082" s="32"/>
      <c r="F4082" s="32"/>
      <c r="G4082" s="33"/>
      <c r="H4082" s="33"/>
      <c r="I4082" s="34" t="str">
        <f aca="false">IF($A4082="","",$G4082-$H4082)</f>
        <v/>
      </c>
      <c r="J4082" s="35" t="str">
        <f aca="false">IF($A4082="","",IF(Setup!$B$6=1,YEAR($A4082),YEAR($A4082)+IF(MONTH($A4082)&gt;=Setup!$B$6,1,0)))</f>
        <v/>
      </c>
      <c r="K4082" s="35" t="str">
        <f aca="false">IF($A4082="","",MOD(MONTH($A4082)-Setup!$B$6+12,12)+1)</f>
        <v/>
      </c>
      <c r="L4082" s="36" t="str">
        <f aca="false">IF($A4082="","",TEXT($A4082,"MMM-YY"))</f>
        <v/>
      </c>
      <c r="M4082" s="37" t="str">
        <f aca="false">IF($A4082="","",IF($Q4082=0,"UNMAPPED",INDEX(COA_Mapping!$C$7:$C$256,$Q4082)))</f>
        <v/>
      </c>
      <c r="N4082" s="38" t="str">
        <f aca="false">IF($A4082="","",IF($Q4082=0,"",INDEX(COA_Mapping!$E$7:$E$256,$Q4082)))</f>
        <v/>
      </c>
      <c r="O4082" s="38" t="n">
        <f aca="false">IF($A4082="",1,IF($Q4082=0,1,INDEX(COA_Mapping!$F$7:$F$256,$Q4082)))</f>
        <v>1</v>
      </c>
      <c r="P4082" s="34" t="str">
        <f aca="false">IF($A4082="","",$I4082*$O4082)</f>
        <v/>
      </c>
      <c r="Q4082" s="39" t="n">
        <f aca="false">IF($B4082="",0,IFERROR(MATCH($B4082,COA_Mapping!$A$7:$A$256,0),0))</f>
        <v>0</v>
      </c>
      <c r="R4082" s="39" t="n">
        <f aca="false">IF($A4082="",-1,IF($J4082=Setup!$B$7,1,IF($J4082=Setup!$B$9,0,-1)))</f>
        <v>-1</v>
      </c>
      <c r="S4082" s="35" t="n">
        <f aca="false">IF(OR($A4082="",$Q4082=0,$R4082=-1),0,$Q4082*1000+$R4082*100+$K4082)</f>
        <v>0</v>
      </c>
      <c r="T4082" s="37" t="str">
        <f aca="false">IF($A4082="","",IF($B4082="","NO ACCOUNT",IF($Q4082=0,"UNMAPPED",IF($R4082=-1,"OUTSIDE FY RANGE","OK"))))</f>
        <v/>
      </c>
      <c r="U4082" s="40" t="str">
        <f aca="false">IF($A4082="","",$B4082&amp;"|"&amp;TEXT($A4082,"yyyymmdd")&amp;"|"&amp;TEXT($I4082,"0.00"))</f>
        <v/>
      </c>
      <c r="V4082" s="35" t="str">
        <f aca="false">IF($A4082="","",COUNTIF($U$8:$U$5007,$U4082))</f>
        <v/>
      </c>
    </row>
    <row r="4083" customFormat="false" ht="15" hidden="false" customHeight="false" outlineLevel="0" collapsed="false">
      <c r="A4083" s="31"/>
      <c r="B4083" s="32"/>
      <c r="C4083" s="32"/>
      <c r="D4083" s="32"/>
      <c r="E4083" s="32"/>
      <c r="F4083" s="32"/>
      <c r="G4083" s="33"/>
      <c r="H4083" s="33"/>
      <c r="I4083" s="34" t="str">
        <f aca="false">IF($A4083="","",$G4083-$H4083)</f>
        <v/>
      </c>
      <c r="J4083" s="35" t="str">
        <f aca="false">IF($A4083="","",IF(Setup!$B$6=1,YEAR($A4083),YEAR($A4083)+IF(MONTH($A4083)&gt;=Setup!$B$6,1,0)))</f>
        <v/>
      </c>
      <c r="K4083" s="35" t="str">
        <f aca="false">IF($A4083="","",MOD(MONTH($A4083)-Setup!$B$6+12,12)+1)</f>
        <v/>
      </c>
      <c r="L4083" s="36" t="str">
        <f aca="false">IF($A4083="","",TEXT($A4083,"MMM-YY"))</f>
        <v/>
      </c>
      <c r="M4083" s="37" t="str">
        <f aca="false">IF($A4083="","",IF($Q4083=0,"UNMAPPED",INDEX(COA_Mapping!$C$7:$C$256,$Q4083)))</f>
        <v/>
      </c>
      <c r="N4083" s="38" t="str">
        <f aca="false">IF($A4083="","",IF($Q4083=0,"",INDEX(COA_Mapping!$E$7:$E$256,$Q4083)))</f>
        <v/>
      </c>
      <c r="O4083" s="38" t="n">
        <f aca="false">IF($A4083="",1,IF($Q4083=0,1,INDEX(COA_Mapping!$F$7:$F$256,$Q4083)))</f>
        <v>1</v>
      </c>
      <c r="P4083" s="34" t="str">
        <f aca="false">IF($A4083="","",$I4083*$O4083)</f>
        <v/>
      </c>
      <c r="Q4083" s="39" t="n">
        <f aca="false">IF($B4083="",0,IFERROR(MATCH($B4083,COA_Mapping!$A$7:$A$256,0),0))</f>
        <v>0</v>
      </c>
      <c r="R4083" s="39" t="n">
        <f aca="false">IF($A4083="",-1,IF($J4083=Setup!$B$7,1,IF($J4083=Setup!$B$9,0,-1)))</f>
        <v>-1</v>
      </c>
      <c r="S4083" s="35" t="n">
        <f aca="false">IF(OR($A4083="",$Q4083=0,$R4083=-1),0,$Q4083*1000+$R4083*100+$K4083)</f>
        <v>0</v>
      </c>
      <c r="T4083" s="37" t="str">
        <f aca="false">IF($A4083="","",IF($B4083="","NO ACCOUNT",IF($Q4083=0,"UNMAPPED",IF($R4083=-1,"OUTSIDE FY RANGE","OK"))))</f>
        <v/>
      </c>
      <c r="U4083" s="40" t="str">
        <f aca="false">IF($A4083="","",$B4083&amp;"|"&amp;TEXT($A4083,"yyyymmdd")&amp;"|"&amp;TEXT($I4083,"0.00"))</f>
        <v/>
      </c>
      <c r="V4083" s="35" t="str">
        <f aca="false">IF($A4083="","",COUNTIF($U$8:$U$5007,$U4083))</f>
        <v/>
      </c>
    </row>
    <row r="4084" customFormat="false" ht="15" hidden="false" customHeight="false" outlineLevel="0" collapsed="false">
      <c r="A4084" s="31"/>
      <c r="B4084" s="32"/>
      <c r="C4084" s="32"/>
      <c r="D4084" s="32"/>
      <c r="E4084" s="32"/>
      <c r="F4084" s="32"/>
      <c r="G4084" s="33"/>
      <c r="H4084" s="33"/>
      <c r="I4084" s="34" t="str">
        <f aca="false">IF($A4084="","",$G4084-$H4084)</f>
        <v/>
      </c>
      <c r="J4084" s="35" t="str">
        <f aca="false">IF($A4084="","",IF(Setup!$B$6=1,YEAR($A4084),YEAR($A4084)+IF(MONTH($A4084)&gt;=Setup!$B$6,1,0)))</f>
        <v/>
      </c>
      <c r="K4084" s="35" t="str">
        <f aca="false">IF($A4084="","",MOD(MONTH($A4084)-Setup!$B$6+12,12)+1)</f>
        <v/>
      </c>
      <c r="L4084" s="36" t="str">
        <f aca="false">IF($A4084="","",TEXT($A4084,"MMM-YY"))</f>
        <v/>
      </c>
      <c r="M4084" s="37" t="str">
        <f aca="false">IF($A4084="","",IF($Q4084=0,"UNMAPPED",INDEX(COA_Mapping!$C$7:$C$256,$Q4084)))</f>
        <v/>
      </c>
      <c r="N4084" s="38" t="str">
        <f aca="false">IF($A4084="","",IF($Q4084=0,"",INDEX(COA_Mapping!$E$7:$E$256,$Q4084)))</f>
        <v/>
      </c>
      <c r="O4084" s="38" t="n">
        <f aca="false">IF($A4084="",1,IF($Q4084=0,1,INDEX(COA_Mapping!$F$7:$F$256,$Q4084)))</f>
        <v>1</v>
      </c>
      <c r="P4084" s="34" t="str">
        <f aca="false">IF($A4084="","",$I4084*$O4084)</f>
        <v/>
      </c>
      <c r="Q4084" s="39" t="n">
        <f aca="false">IF($B4084="",0,IFERROR(MATCH($B4084,COA_Mapping!$A$7:$A$256,0),0))</f>
        <v>0</v>
      </c>
      <c r="R4084" s="39" t="n">
        <f aca="false">IF($A4084="",-1,IF($J4084=Setup!$B$7,1,IF($J4084=Setup!$B$9,0,-1)))</f>
        <v>-1</v>
      </c>
      <c r="S4084" s="35" t="n">
        <f aca="false">IF(OR($A4084="",$Q4084=0,$R4084=-1),0,$Q4084*1000+$R4084*100+$K4084)</f>
        <v>0</v>
      </c>
      <c r="T4084" s="37" t="str">
        <f aca="false">IF($A4084="","",IF($B4084="","NO ACCOUNT",IF($Q4084=0,"UNMAPPED",IF($R4084=-1,"OUTSIDE FY RANGE","OK"))))</f>
        <v/>
      </c>
      <c r="U4084" s="40" t="str">
        <f aca="false">IF($A4084="","",$B4084&amp;"|"&amp;TEXT($A4084,"yyyymmdd")&amp;"|"&amp;TEXT($I4084,"0.00"))</f>
        <v/>
      </c>
      <c r="V4084" s="35" t="str">
        <f aca="false">IF($A4084="","",COUNTIF($U$8:$U$5007,$U4084))</f>
        <v/>
      </c>
    </row>
    <row r="4085" customFormat="false" ht="15" hidden="false" customHeight="false" outlineLevel="0" collapsed="false">
      <c r="A4085" s="31"/>
      <c r="B4085" s="32"/>
      <c r="C4085" s="32"/>
      <c r="D4085" s="32"/>
      <c r="E4085" s="32"/>
      <c r="F4085" s="32"/>
      <c r="G4085" s="33"/>
      <c r="H4085" s="33"/>
      <c r="I4085" s="34" t="str">
        <f aca="false">IF($A4085="","",$G4085-$H4085)</f>
        <v/>
      </c>
      <c r="J4085" s="35" t="str">
        <f aca="false">IF($A4085="","",IF(Setup!$B$6=1,YEAR($A4085),YEAR($A4085)+IF(MONTH($A4085)&gt;=Setup!$B$6,1,0)))</f>
        <v/>
      </c>
      <c r="K4085" s="35" t="str">
        <f aca="false">IF($A4085="","",MOD(MONTH($A4085)-Setup!$B$6+12,12)+1)</f>
        <v/>
      </c>
      <c r="L4085" s="36" t="str">
        <f aca="false">IF($A4085="","",TEXT($A4085,"MMM-YY"))</f>
        <v/>
      </c>
      <c r="M4085" s="37" t="str">
        <f aca="false">IF($A4085="","",IF($Q4085=0,"UNMAPPED",INDEX(COA_Mapping!$C$7:$C$256,$Q4085)))</f>
        <v/>
      </c>
      <c r="N4085" s="38" t="str">
        <f aca="false">IF($A4085="","",IF($Q4085=0,"",INDEX(COA_Mapping!$E$7:$E$256,$Q4085)))</f>
        <v/>
      </c>
      <c r="O4085" s="38" t="n">
        <f aca="false">IF($A4085="",1,IF($Q4085=0,1,INDEX(COA_Mapping!$F$7:$F$256,$Q4085)))</f>
        <v>1</v>
      </c>
      <c r="P4085" s="34" t="str">
        <f aca="false">IF($A4085="","",$I4085*$O4085)</f>
        <v/>
      </c>
      <c r="Q4085" s="39" t="n">
        <f aca="false">IF($B4085="",0,IFERROR(MATCH($B4085,COA_Mapping!$A$7:$A$256,0),0))</f>
        <v>0</v>
      </c>
      <c r="R4085" s="39" t="n">
        <f aca="false">IF($A4085="",-1,IF($J4085=Setup!$B$7,1,IF($J4085=Setup!$B$9,0,-1)))</f>
        <v>-1</v>
      </c>
      <c r="S4085" s="35" t="n">
        <f aca="false">IF(OR($A4085="",$Q4085=0,$R4085=-1),0,$Q4085*1000+$R4085*100+$K4085)</f>
        <v>0</v>
      </c>
      <c r="T4085" s="37" t="str">
        <f aca="false">IF($A4085="","",IF($B4085="","NO ACCOUNT",IF($Q4085=0,"UNMAPPED",IF($R4085=-1,"OUTSIDE FY RANGE","OK"))))</f>
        <v/>
      </c>
      <c r="U4085" s="40" t="str">
        <f aca="false">IF($A4085="","",$B4085&amp;"|"&amp;TEXT($A4085,"yyyymmdd")&amp;"|"&amp;TEXT($I4085,"0.00"))</f>
        <v/>
      </c>
      <c r="V4085" s="35" t="str">
        <f aca="false">IF($A4085="","",COUNTIF($U$8:$U$5007,$U4085))</f>
        <v/>
      </c>
    </row>
    <row r="4086" customFormat="false" ht="15" hidden="false" customHeight="false" outlineLevel="0" collapsed="false">
      <c r="A4086" s="31"/>
      <c r="B4086" s="32"/>
      <c r="C4086" s="32"/>
      <c r="D4086" s="32"/>
      <c r="E4086" s="32"/>
      <c r="F4086" s="32"/>
      <c r="G4086" s="33"/>
      <c r="H4086" s="33"/>
      <c r="I4086" s="34" t="str">
        <f aca="false">IF($A4086="","",$G4086-$H4086)</f>
        <v/>
      </c>
      <c r="J4086" s="35" t="str">
        <f aca="false">IF($A4086="","",IF(Setup!$B$6=1,YEAR($A4086),YEAR($A4086)+IF(MONTH($A4086)&gt;=Setup!$B$6,1,0)))</f>
        <v/>
      </c>
      <c r="K4086" s="35" t="str">
        <f aca="false">IF($A4086="","",MOD(MONTH($A4086)-Setup!$B$6+12,12)+1)</f>
        <v/>
      </c>
      <c r="L4086" s="36" t="str">
        <f aca="false">IF($A4086="","",TEXT($A4086,"MMM-YY"))</f>
        <v/>
      </c>
      <c r="M4086" s="37" t="str">
        <f aca="false">IF($A4086="","",IF($Q4086=0,"UNMAPPED",INDEX(COA_Mapping!$C$7:$C$256,$Q4086)))</f>
        <v/>
      </c>
      <c r="N4086" s="38" t="str">
        <f aca="false">IF($A4086="","",IF($Q4086=0,"",INDEX(COA_Mapping!$E$7:$E$256,$Q4086)))</f>
        <v/>
      </c>
      <c r="O4086" s="38" t="n">
        <f aca="false">IF($A4086="",1,IF($Q4086=0,1,INDEX(COA_Mapping!$F$7:$F$256,$Q4086)))</f>
        <v>1</v>
      </c>
      <c r="P4086" s="34" t="str">
        <f aca="false">IF($A4086="","",$I4086*$O4086)</f>
        <v/>
      </c>
      <c r="Q4086" s="39" t="n">
        <f aca="false">IF($B4086="",0,IFERROR(MATCH($B4086,COA_Mapping!$A$7:$A$256,0),0))</f>
        <v>0</v>
      </c>
      <c r="R4086" s="39" t="n">
        <f aca="false">IF($A4086="",-1,IF($J4086=Setup!$B$7,1,IF($J4086=Setup!$B$9,0,-1)))</f>
        <v>-1</v>
      </c>
      <c r="S4086" s="35" t="n">
        <f aca="false">IF(OR($A4086="",$Q4086=0,$R4086=-1),0,$Q4086*1000+$R4086*100+$K4086)</f>
        <v>0</v>
      </c>
      <c r="T4086" s="37" t="str">
        <f aca="false">IF($A4086="","",IF($B4086="","NO ACCOUNT",IF($Q4086=0,"UNMAPPED",IF($R4086=-1,"OUTSIDE FY RANGE","OK"))))</f>
        <v/>
      </c>
      <c r="U4086" s="40" t="str">
        <f aca="false">IF($A4086="","",$B4086&amp;"|"&amp;TEXT($A4086,"yyyymmdd")&amp;"|"&amp;TEXT($I4086,"0.00"))</f>
        <v/>
      </c>
      <c r="V4086" s="35" t="str">
        <f aca="false">IF($A4086="","",COUNTIF($U$8:$U$5007,$U4086))</f>
        <v/>
      </c>
    </row>
    <row r="4087" customFormat="false" ht="15" hidden="false" customHeight="false" outlineLevel="0" collapsed="false">
      <c r="A4087" s="31"/>
      <c r="B4087" s="32"/>
      <c r="C4087" s="32"/>
      <c r="D4087" s="32"/>
      <c r="E4087" s="32"/>
      <c r="F4087" s="32"/>
      <c r="G4087" s="33"/>
      <c r="H4087" s="33"/>
      <c r="I4087" s="34" t="str">
        <f aca="false">IF($A4087="","",$G4087-$H4087)</f>
        <v/>
      </c>
      <c r="J4087" s="35" t="str">
        <f aca="false">IF($A4087="","",IF(Setup!$B$6=1,YEAR($A4087),YEAR($A4087)+IF(MONTH($A4087)&gt;=Setup!$B$6,1,0)))</f>
        <v/>
      </c>
      <c r="K4087" s="35" t="str">
        <f aca="false">IF($A4087="","",MOD(MONTH($A4087)-Setup!$B$6+12,12)+1)</f>
        <v/>
      </c>
      <c r="L4087" s="36" t="str">
        <f aca="false">IF($A4087="","",TEXT($A4087,"MMM-YY"))</f>
        <v/>
      </c>
      <c r="M4087" s="37" t="str">
        <f aca="false">IF($A4087="","",IF($Q4087=0,"UNMAPPED",INDEX(COA_Mapping!$C$7:$C$256,$Q4087)))</f>
        <v/>
      </c>
      <c r="N4087" s="38" t="str">
        <f aca="false">IF($A4087="","",IF($Q4087=0,"",INDEX(COA_Mapping!$E$7:$E$256,$Q4087)))</f>
        <v/>
      </c>
      <c r="O4087" s="38" t="n">
        <f aca="false">IF($A4087="",1,IF($Q4087=0,1,INDEX(COA_Mapping!$F$7:$F$256,$Q4087)))</f>
        <v>1</v>
      </c>
      <c r="P4087" s="34" t="str">
        <f aca="false">IF($A4087="","",$I4087*$O4087)</f>
        <v/>
      </c>
      <c r="Q4087" s="39" t="n">
        <f aca="false">IF($B4087="",0,IFERROR(MATCH($B4087,COA_Mapping!$A$7:$A$256,0),0))</f>
        <v>0</v>
      </c>
      <c r="R4087" s="39" t="n">
        <f aca="false">IF($A4087="",-1,IF($J4087=Setup!$B$7,1,IF($J4087=Setup!$B$9,0,-1)))</f>
        <v>-1</v>
      </c>
      <c r="S4087" s="35" t="n">
        <f aca="false">IF(OR($A4087="",$Q4087=0,$R4087=-1),0,$Q4087*1000+$R4087*100+$K4087)</f>
        <v>0</v>
      </c>
      <c r="T4087" s="37" t="str">
        <f aca="false">IF($A4087="","",IF($B4087="","NO ACCOUNT",IF($Q4087=0,"UNMAPPED",IF($R4087=-1,"OUTSIDE FY RANGE","OK"))))</f>
        <v/>
      </c>
      <c r="U4087" s="40" t="str">
        <f aca="false">IF($A4087="","",$B4087&amp;"|"&amp;TEXT($A4087,"yyyymmdd")&amp;"|"&amp;TEXT($I4087,"0.00"))</f>
        <v/>
      </c>
      <c r="V4087" s="35" t="str">
        <f aca="false">IF($A4087="","",COUNTIF($U$8:$U$5007,$U4087))</f>
        <v/>
      </c>
    </row>
    <row r="4088" customFormat="false" ht="15" hidden="false" customHeight="false" outlineLevel="0" collapsed="false">
      <c r="A4088" s="31"/>
      <c r="B4088" s="32"/>
      <c r="C4088" s="32"/>
      <c r="D4088" s="32"/>
      <c r="E4088" s="32"/>
      <c r="F4088" s="32"/>
      <c r="G4088" s="33"/>
      <c r="H4088" s="33"/>
      <c r="I4088" s="34" t="str">
        <f aca="false">IF($A4088="","",$G4088-$H4088)</f>
        <v/>
      </c>
      <c r="J4088" s="35" t="str">
        <f aca="false">IF($A4088="","",IF(Setup!$B$6=1,YEAR($A4088),YEAR($A4088)+IF(MONTH($A4088)&gt;=Setup!$B$6,1,0)))</f>
        <v/>
      </c>
      <c r="K4088" s="35" t="str">
        <f aca="false">IF($A4088="","",MOD(MONTH($A4088)-Setup!$B$6+12,12)+1)</f>
        <v/>
      </c>
      <c r="L4088" s="36" t="str">
        <f aca="false">IF($A4088="","",TEXT($A4088,"MMM-YY"))</f>
        <v/>
      </c>
      <c r="M4088" s="37" t="str">
        <f aca="false">IF($A4088="","",IF($Q4088=0,"UNMAPPED",INDEX(COA_Mapping!$C$7:$C$256,$Q4088)))</f>
        <v/>
      </c>
      <c r="N4088" s="38" t="str">
        <f aca="false">IF($A4088="","",IF($Q4088=0,"",INDEX(COA_Mapping!$E$7:$E$256,$Q4088)))</f>
        <v/>
      </c>
      <c r="O4088" s="38" t="n">
        <f aca="false">IF($A4088="",1,IF($Q4088=0,1,INDEX(COA_Mapping!$F$7:$F$256,$Q4088)))</f>
        <v>1</v>
      </c>
      <c r="P4088" s="34" t="str">
        <f aca="false">IF($A4088="","",$I4088*$O4088)</f>
        <v/>
      </c>
      <c r="Q4088" s="39" t="n">
        <f aca="false">IF($B4088="",0,IFERROR(MATCH($B4088,COA_Mapping!$A$7:$A$256,0),0))</f>
        <v>0</v>
      </c>
      <c r="R4088" s="39" t="n">
        <f aca="false">IF($A4088="",-1,IF($J4088=Setup!$B$7,1,IF($J4088=Setup!$B$9,0,-1)))</f>
        <v>-1</v>
      </c>
      <c r="S4088" s="35" t="n">
        <f aca="false">IF(OR($A4088="",$Q4088=0,$R4088=-1),0,$Q4088*1000+$R4088*100+$K4088)</f>
        <v>0</v>
      </c>
      <c r="T4088" s="37" t="str">
        <f aca="false">IF($A4088="","",IF($B4088="","NO ACCOUNT",IF($Q4088=0,"UNMAPPED",IF($R4088=-1,"OUTSIDE FY RANGE","OK"))))</f>
        <v/>
      </c>
      <c r="U4088" s="40" t="str">
        <f aca="false">IF($A4088="","",$B4088&amp;"|"&amp;TEXT($A4088,"yyyymmdd")&amp;"|"&amp;TEXT($I4088,"0.00"))</f>
        <v/>
      </c>
      <c r="V4088" s="35" t="str">
        <f aca="false">IF($A4088="","",COUNTIF($U$8:$U$5007,$U4088))</f>
        <v/>
      </c>
    </row>
    <row r="4089" customFormat="false" ht="15" hidden="false" customHeight="false" outlineLevel="0" collapsed="false">
      <c r="A4089" s="31"/>
      <c r="B4089" s="32"/>
      <c r="C4089" s="32"/>
      <c r="D4089" s="32"/>
      <c r="E4089" s="32"/>
      <c r="F4089" s="32"/>
      <c r="G4089" s="33"/>
      <c r="H4089" s="33"/>
      <c r="I4089" s="34" t="str">
        <f aca="false">IF($A4089="","",$G4089-$H4089)</f>
        <v/>
      </c>
      <c r="J4089" s="35" t="str">
        <f aca="false">IF($A4089="","",IF(Setup!$B$6=1,YEAR($A4089),YEAR($A4089)+IF(MONTH($A4089)&gt;=Setup!$B$6,1,0)))</f>
        <v/>
      </c>
      <c r="K4089" s="35" t="str">
        <f aca="false">IF($A4089="","",MOD(MONTH($A4089)-Setup!$B$6+12,12)+1)</f>
        <v/>
      </c>
      <c r="L4089" s="36" t="str">
        <f aca="false">IF($A4089="","",TEXT($A4089,"MMM-YY"))</f>
        <v/>
      </c>
      <c r="M4089" s="37" t="str">
        <f aca="false">IF($A4089="","",IF($Q4089=0,"UNMAPPED",INDEX(COA_Mapping!$C$7:$C$256,$Q4089)))</f>
        <v/>
      </c>
      <c r="N4089" s="38" t="str">
        <f aca="false">IF($A4089="","",IF($Q4089=0,"",INDEX(COA_Mapping!$E$7:$E$256,$Q4089)))</f>
        <v/>
      </c>
      <c r="O4089" s="38" t="n">
        <f aca="false">IF($A4089="",1,IF($Q4089=0,1,INDEX(COA_Mapping!$F$7:$F$256,$Q4089)))</f>
        <v>1</v>
      </c>
      <c r="P4089" s="34" t="str">
        <f aca="false">IF($A4089="","",$I4089*$O4089)</f>
        <v/>
      </c>
      <c r="Q4089" s="39" t="n">
        <f aca="false">IF($B4089="",0,IFERROR(MATCH($B4089,COA_Mapping!$A$7:$A$256,0),0))</f>
        <v>0</v>
      </c>
      <c r="R4089" s="39" t="n">
        <f aca="false">IF($A4089="",-1,IF($J4089=Setup!$B$7,1,IF($J4089=Setup!$B$9,0,-1)))</f>
        <v>-1</v>
      </c>
      <c r="S4089" s="35" t="n">
        <f aca="false">IF(OR($A4089="",$Q4089=0,$R4089=-1),0,$Q4089*1000+$R4089*100+$K4089)</f>
        <v>0</v>
      </c>
      <c r="T4089" s="37" t="str">
        <f aca="false">IF($A4089="","",IF($B4089="","NO ACCOUNT",IF($Q4089=0,"UNMAPPED",IF($R4089=-1,"OUTSIDE FY RANGE","OK"))))</f>
        <v/>
      </c>
      <c r="U4089" s="40" t="str">
        <f aca="false">IF($A4089="","",$B4089&amp;"|"&amp;TEXT($A4089,"yyyymmdd")&amp;"|"&amp;TEXT($I4089,"0.00"))</f>
        <v/>
      </c>
      <c r="V4089" s="35" t="str">
        <f aca="false">IF($A4089="","",COUNTIF($U$8:$U$5007,$U4089))</f>
        <v/>
      </c>
    </row>
    <row r="4090" customFormat="false" ht="15" hidden="false" customHeight="false" outlineLevel="0" collapsed="false">
      <c r="A4090" s="31"/>
      <c r="B4090" s="32"/>
      <c r="C4090" s="32"/>
      <c r="D4090" s="32"/>
      <c r="E4090" s="32"/>
      <c r="F4090" s="32"/>
      <c r="G4090" s="33"/>
      <c r="H4090" s="33"/>
      <c r="I4090" s="34" t="str">
        <f aca="false">IF($A4090="","",$G4090-$H4090)</f>
        <v/>
      </c>
      <c r="J4090" s="35" t="str">
        <f aca="false">IF($A4090="","",IF(Setup!$B$6=1,YEAR($A4090),YEAR($A4090)+IF(MONTH($A4090)&gt;=Setup!$B$6,1,0)))</f>
        <v/>
      </c>
      <c r="K4090" s="35" t="str">
        <f aca="false">IF($A4090="","",MOD(MONTH($A4090)-Setup!$B$6+12,12)+1)</f>
        <v/>
      </c>
      <c r="L4090" s="36" t="str">
        <f aca="false">IF($A4090="","",TEXT($A4090,"MMM-YY"))</f>
        <v/>
      </c>
      <c r="M4090" s="37" t="str">
        <f aca="false">IF($A4090="","",IF($Q4090=0,"UNMAPPED",INDEX(COA_Mapping!$C$7:$C$256,$Q4090)))</f>
        <v/>
      </c>
      <c r="N4090" s="38" t="str">
        <f aca="false">IF($A4090="","",IF($Q4090=0,"",INDEX(COA_Mapping!$E$7:$E$256,$Q4090)))</f>
        <v/>
      </c>
      <c r="O4090" s="38" t="n">
        <f aca="false">IF($A4090="",1,IF($Q4090=0,1,INDEX(COA_Mapping!$F$7:$F$256,$Q4090)))</f>
        <v>1</v>
      </c>
      <c r="P4090" s="34" t="str">
        <f aca="false">IF($A4090="","",$I4090*$O4090)</f>
        <v/>
      </c>
      <c r="Q4090" s="39" t="n">
        <f aca="false">IF($B4090="",0,IFERROR(MATCH($B4090,COA_Mapping!$A$7:$A$256,0),0))</f>
        <v>0</v>
      </c>
      <c r="R4090" s="39" t="n">
        <f aca="false">IF($A4090="",-1,IF($J4090=Setup!$B$7,1,IF($J4090=Setup!$B$9,0,-1)))</f>
        <v>-1</v>
      </c>
      <c r="S4090" s="35" t="n">
        <f aca="false">IF(OR($A4090="",$Q4090=0,$R4090=-1),0,$Q4090*1000+$R4090*100+$K4090)</f>
        <v>0</v>
      </c>
      <c r="T4090" s="37" t="str">
        <f aca="false">IF($A4090="","",IF($B4090="","NO ACCOUNT",IF($Q4090=0,"UNMAPPED",IF($R4090=-1,"OUTSIDE FY RANGE","OK"))))</f>
        <v/>
      </c>
      <c r="U4090" s="40" t="str">
        <f aca="false">IF($A4090="","",$B4090&amp;"|"&amp;TEXT($A4090,"yyyymmdd")&amp;"|"&amp;TEXT($I4090,"0.00"))</f>
        <v/>
      </c>
      <c r="V4090" s="35" t="str">
        <f aca="false">IF($A4090="","",COUNTIF($U$8:$U$5007,$U4090))</f>
        <v/>
      </c>
    </row>
    <row r="4091" customFormat="false" ht="15" hidden="false" customHeight="false" outlineLevel="0" collapsed="false">
      <c r="A4091" s="31"/>
      <c r="B4091" s="32"/>
      <c r="C4091" s="32"/>
      <c r="D4091" s="32"/>
      <c r="E4091" s="32"/>
      <c r="F4091" s="32"/>
      <c r="G4091" s="33"/>
      <c r="H4091" s="33"/>
      <c r="I4091" s="34" t="str">
        <f aca="false">IF($A4091="","",$G4091-$H4091)</f>
        <v/>
      </c>
      <c r="J4091" s="35" t="str">
        <f aca="false">IF($A4091="","",IF(Setup!$B$6=1,YEAR($A4091),YEAR($A4091)+IF(MONTH($A4091)&gt;=Setup!$B$6,1,0)))</f>
        <v/>
      </c>
      <c r="K4091" s="35" t="str">
        <f aca="false">IF($A4091="","",MOD(MONTH($A4091)-Setup!$B$6+12,12)+1)</f>
        <v/>
      </c>
      <c r="L4091" s="36" t="str">
        <f aca="false">IF($A4091="","",TEXT($A4091,"MMM-YY"))</f>
        <v/>
      </c>
      <c r="M4091" s="37" t="str">
        <f aca="false">IF($A4091="","",IF($Q4091=0,"UNMAPPED",INDEX(COA_Mapping!$C$7:$C$256,$Q4091)))</f>
        <v/>
      </c>
      <c r="N4091" s="38" t="str">
        <f aca="false">IF($A4091="","",IF($Q4091=0,"",INDEX(COA_Mapping!$E$7:$E$256,$Q4091)))</f>
        <v/>
      </c>
      <c r="O4091" s="38" t="n">
        <f aca="false">IF($A4091="",1,IF($Q4091=0,1,INDEX(COA_Mapping!$F$7:$F$256,$Q4091)))</f>
        <v>1</v>
      </c>
      <c r="P4091" s="34" t="str">
        <f aca="false">IF($A4091="","",$I4091*$O4091)</f>
        <v/>
      </c>
      <c r="Q4091" s="39" t="n">
        <f aca="false">IF($B4091="",0,IFERROR(MATCH($B4091,COA_Mapping!$A$7:$A$256,0),0))</f>
        <v>0</v>
      </c>
      <c r="R4091" s="39" t="n">
        <f aca="false">IF($A4091="",-1,IF($J4091=Setup!$B$7,1,IF($J4091=Setup!$B$9,0,-1)))</f>
        <v>-1</v>
      </c>
      <c r="S4091" s="35" t="n">
        <f aca="false">IF(OR($A4091="",$Q4091=0,$R4091=-1),0,$Q4091*1000+$R4091*100+$K4091)</f>
        <v>0</v>
      </c>
      <c r="T4091" s="37" t="str">
        <f aca="false">IF($A4091="","",IF($B4091="","NO ACCOUNT",IF($Q4091=0,"UNMAPPED",IF($R4091=-1,"OUTSIDE FY RANGE","OK"))))</f>
        <v/>
      </c>
      <c r="U4091" s="40" t="str">
        <f aca="false">IF($A4091="","",$B4091&amp;"|"&amp;TEXT($A4091,"yyyymmdd")&amp;"|"&amp;TEXT($I4091,"0.00"))</f>
        <v/>
      </c>
      <c r="V4091" s="35" t="str">
        <f aca="false">IF($A4091="","",COUNTIF($U$8:$U$5007,$U4091))</f>
        <v/>
      </c>
    </row>
    <row r="4092" customFormat="false" ht="15" hidden="false" customHeight="false" outlineLevel="0" collapsed="false">
      <c r="A4092" s="31"/>
      <c r="B4092" s="32"/>
      <c r="C4092" s="32"/>
      <c r="D4092" s="32"/>
      <c r="E4092" s="32"/>
      <c r="F4092" s="32"/>
      <c r="G4092" s="33"/>
      <c r="H4092" s="33"/>
      <c r="I4092" s="34" t="str">
        <f aca="false">IF($A4092="","",$G4092-$H4092)</f>
        <v/>
      </c>
      <c r="J4092" s="35" t="str">
        <f aca="false">IF($A4092="","",IF(Setup!$B$6=1,YEAR($A4092),YEAR($A4092)+IF(MONTH($A4092)&gt;=Setup!$B$6,1,0)))</f>
        <v/>
      </c>
      <c r="K4092" s="35" t="str">
        <f aca="false">IF($A4092="","",MOD(MONTH($A4092)-Setup!$B$6+12,12)+1)</f>
        <v/>
      </c>
      <c r="L4092" s="36" t="str">
        <f aca="false">IF($A4092="","",TEXT($A4092,"MMM-YY"))</f>
        <v/>
      </c>
      <c r="M4092" s="37" t="str">
        <f aca="false">IF($A4092="","",IF($Q4092=0,"UNMAPPED",INDEX(COA_Mapping!$C$7:$C$256,$Q4092)))</f>
        <v/>
      </c>
      <c r="N4092" s="38" t="str">
        <f aca="false">IF($A4092="","",IF($Q4092=0,"",INDEX(COA_Mapping!$E$7:$E$256,$Q4092)))</f>
        <v/>
      </c>
      <c r="O4092" s="38" t="n">
        <f aca="false">IF($A4092="",1,IF($Q4092=0,1,INDEX(COA_Mapping!$F$7:$F$256,$Q4092)))</f>
        <v>1</v>
      </c>
      <c r="P4092" s="34" t="str">
        <f aca="false">IF($A4092="","",$I4092*$O4092)</f>
        <v/>
      </c>
      <c r="Q4092" s="39" t="n">
        <f aca="false">IF($B4092="",0,IFERROR(MATCH($B4092,COA_Mapping!$A$7:$A$256,0),0))</f>
        <v>0</v>
      </c>
      <c r="R4092" s="39" t="n">
        <f aca="false">IF($A4092="",-1,IF($J4092=Setup!$B$7,1,IF($J4092=Setup!$B$9,0,-1)))</f>
        <v>-1</v>
      </c>
      <c r="S4092" s="35" t="n">
        <f aca="false">IF(OR($A4092="",$Q4092=0,$R4092=-1),0,$Q4092*1000+$R4092*100+$K4092)</f>
        <v>0</v>
      </c>
      <c r="T4092" s="37" t="str">
        <f aca="false">IF($A4092="","",IF($B4092="","NO ACCOUNT",IF($Q4092=0,"UNMAPPED",IF($R4092=-1,"OUTSIDE FY RANGE","OK"))))</f>
        <v/>
      </c>
      <c r="U4092" s="40" t="str">
        <f aca="false">IF($A4092="","",$B4092&amp;"|"&amp;TEXT($A4092,"yyyymmdd")&amp;"|"&amp;TEXT($I4092,"0.00"))</f>
        <v/>
      </c>
      <c r="V4092" s="35" t="str">
        <f aca="false">IF($A4092="","",COUNTIF($U$8:$U$5007,$U4092))</f>
        <v/>
      </c>
    </row>
    <row r="4093" customFormat="false" ht="15" hidden="false" customHeight="false" outlineLevel="0" collapsed="false">
      <c r="A4093" s="31"/>
      <c r="B4093" s="32"/>
      <c r="C4093" s="32"/>
      <c r="D4093" s="32"/>
      <c r="E4093" s="32"/>
      <c r="F4093" s="32"/>
      <c r="G4093" s="33"/>
      <c r="H4093" s="33"/>
      <c r="I4093" s="34" t="str">
        <f aca="false">IF($A4093="","",$G4093-$H4093)</f>
        <v/>
      </c>
      <c r="J4093" s="35" t="str">
        <f aca="false">IF($A4093="","",IF(Setup!$B$6=1,YEAR($A4093),YEAR($A4093)+IF(MONTH($A4093)&gt;=Setup!$B$6,1,0)))</f>
        <v/>
      </c>
      <c r="K4093" s="35" t="str">
        <f aca="false">IF($A4093="","",MOD(MONTH($A4093)-Setup!$B$6+12,12)+1)</f>
        <v/>
      </c>
      <c r="L4093" s="36" t="str">
        <f aca="false">IF($A4093="","",TEXT($A4093,"MMM-YY"))</f>
        <v/>
      </c>
      <c r="M4093" s="37" t="str">
        <f aca="false">IF($A4093="","",IF($Q4093=0,"UNMAPPED",INDEX(COA_Mapping!$C$7:$C$256,$Q4093)))</f>
        <v/>
      </c>
      <c r="N4093" s="38" t="str">
        <f aca="false">IF($A4093="","",IF($Q4093=0,"",INDEX(COA_Mapping!$E$7:$E$256,$Q4093)))</f>
        <v/>
      </c>
      <c r="O4093" s="38" t="n">
        <f aca="false">IF($A4093="",1,IF($Q4093=0,1,INDEX(COA_Mapping!$F$7:$F$256,$Q4093)))</f>
        <v>1</v>
      </c>
      <c r="P4093" s="34" t="str">
        <f aca="false">IF($A4093="","",$I4093*$O4093)</f>
        <v/>
      </c>
      <c r="Q4093" s="39" t="n">
        <f aca="false">IF($B4093="",0,IFERROR(MATCH($B4093,COA_Mapping!$A$7:$A$256,0),0))</f>
        <v>0</v>
      </c>
      <c r="R4093" s="39" t="n">
        <f aca="false">IF($A4093="",-1,IF($J4093=Setup!$B$7,1,IF($J4093=Setup!$B$9,0,-1)))</f>
        <v>-1</v>
      </c>
      <c r="S4093" s="35" t="n">
        <f aca="false">IF(OR($A4093="",$Q4093=0,$R4093=-1),0,$Q4093*1000+$R4093*100+$K4093)</f>
        <v>0</v>
      </c>
      <c r="T4093" s="37" t="str">
        <f aca="false">IF($A4093="","",IF($B4093="","NO ACCOUNT",IF($Q4093=0,"UNMAPPED",IF($R4093=-1,"OUTSIDE FY RANGE","OK"))))</f>
        <v/>
      </c>
      <c r="U4093" s="40" t="str">
        <f aca="false">IF($A4093="","",$B4093&amp;"|"&amp;TEXT($A4093,"yyyymmdd")&amp;"|"&amp;TEXT($I4093,"0.00"))</f>
        <v/>
      </c>
      <c r="V4093" s="35" t="str">
        <f aca="false">IF($A4093="","",COUNTIF($U$8:$U$5007,$U4093))</f>
        <v/>
      </c>
    </row>
    <row r="4094" customFormat="false" ht="15" hidden="false" customHeight="false" outlineLevel="0" collapsed="false">
      <c r="A4094" s="31"/>
      <c r="B4094" s="32"/>
      <c r="C4094" s="32"/>
      <c r="D4094" s="32"/>
      <c r="E4094" s="32"/>
      <c r="F4094" s="32"/>
      <c r="G4094" s="33"/>
      <c r="H4094" s="33"/>
      <c r="I4094" s="34" t="str">
        <f aca="false">IF($A4094="","",$G4094-$H4094)</f>
        <v/>
      </c>
      <c r="J4094" s="35" t="str">
        <f aca="false">IF($A4094="","",IF(Setup!$B$6=1,YEAR($A4094),YEAR($A4094)+IF(MONTH($A4094)&gt;=Setup!$B$6,1,0)))</f>
        <v/>
      </c>
      <c r="K4094" s="35" t="str">
        <f aca="false">IF($A4094="","",MOD(MONTH($A4094)-Setup!$B$6+12,12)+1)</f>
        <v/>
      </c>
      <c r="L4094" s="36" t="str">
        <f aca="false">IF($A4094="","",TEXT($A4094,"MMM-YY"))</f>
        <v/>
      </c>
      <c r="M4094" s="37" t="str">
        <f aca="false">IF($A4094="","",IF($Q4094=0,"UNMAPPED",INDEX(COA_Mapping!$C$7:$C$256,$Q4094)))</f>
        <v/>
      </c>
      <c r="N4094" s="38" t="str">
        <f aca="false">IF($A4094="","",IF($Q4094=0,"",INDEX(COA_Mapping!$E$7:$E$256,$Q4094)))</f>
        <v/>
      </c>
      <c r="O4094" s="38" t="n">
        <f aca="false">IF($A4094="",1,IF($Q4094=0,1,INDEX(COA_Mapping!$F$7:$F$256,$Q4094)))</f>
        <v>1</v>
      </c>
      <c r="P4094" s="34" t="str">
        <f aca="false">IF($A4094="","",$I4094*$O4094)</f>
        <v/>
      </c>
      <c r="Q4094" s="39" t="n">
        <f aca="false">IF($B4094="",0,IFERROR(MATCH($B4094,COA_Mapping!$A$7:$A$256,0),0))</f>
        <v>0</v>
      </c>
      <c r="R4094" s="39" t="n">
        <f aca="false">IF($A4094="",-1,IF($J4094=Setup!$B$7,1,IF($J4094=Setup!$B$9,0,-1)))</f>
        <v>-1</v>
      </c>
      <c r="S4094" s="35" t="n">
        <f aca="false">IF(OR($A4094="",$Q4094=0,$R4094=-1),0,$Q4094*1000+$R4094*100+$K4094)</f>
        <v>0</v>
      </c>
      <c r="T4094" s="37" t="str">
        <f aca="false">IF($A4094="","",IF($B4094="","NO ACCOUNT",IF($Q4094=0,"UNMAPPED",IF($R4094=-1,"OUTSIDE FY RANGE","OK"))))</f>
        <v/>
      </c>
      <c r="U4094" s="40" t="str">
        <f aca="false">IF($A4094="","",$B4094&amp;"|"&amp;TEXT($A4094,"yyyymmdd")&amp;"|"&amp;TEXT($I4094,"0.00"))</f>
        <v/>
      </c>
      <c r="V4094" s="35" t="str">
        <f aca="false">IF($A4094="","",COUNTIF($U$8:$U$5007,$U4094))</f>
        <v/>
      </c>
    </row>
    <row r="4095" customFormat="false" ht="15" hidden="false" customHeight="false" outlineLevel="0" collapsed="false">
      <c r="A4095" s="31"/>
      <c r="B4095" s="32"/>
      <c r="C4095" s="32"/>
      <c r="D4095" s="32"/>
      <c r="E4095" s="32"/>
      <c r="F4095" s="32"/>
      <c r="G4095" s="33"/>
      <c r="H4095" s="33"/>
      <c r="I4095" s="34" t="str">
        <f aca="false">IF($A4095="","",$G4095-$H4095)</f>
        <v/>
      </c>
      <c r="J4095" s="35" t="str">
        <f aca="false">IF($A4095="","",IF(Setup!$B$6=1,YEAR($A4095),YEAR($A4095)+IF(MONTH($A4095)&gt;=Setup!$B$6,1,0)))</f>
        <v/>
      </c>
      <c r="K4095" s="35" t="str">
        <f aca="false">IF($A4095="","",MOD(MONTH($A4095)-Setup!$B$6+12,12)+1)</f>
        <v/>
      </c>
      <c r="L4095" s="36" t="str">
        <f aca="false">IF($A4095="","",TEXT($A4095,"MMM-YY"))</f>
        <v/>
      </c>
      <c r="M4095" s="37" t="str">
        <f aca="false">IF($A4095="","",IF($Q4095=0,"UNMAPPED",INDEX(COA_Mapping!$C$7:$C$256,$Q4095)))</f>
        <v/>
      </c>
      <c r="N4095" s="38" t="str">
        <f aca="false">IF($A4095="","",IF($Q4095=0,"",INDEX(COA_Mapping!$E$7:$E$256,$Q4095)))</f>
        <v/>
      </c>
      <c r="O4095" s="38" t="n">
        <f aca="false">IF($A4095="",1,IF($Q4095=0,1,INDEX(COA_Mapping!$F$7:$F$256,$Q4095)))</f>
        <v>1</v>
      </c>
      <c r="P4095" s="34" t="str">
        <f aca="false">IF($A4095="","",$I4095*$O4095)</f>
        <v/>
      </c>
      <c r="Q4095" s="39" t="n">
        <f aca="false">IF($B4095="",0,IFERROR(MATCH($B4095,COA_Mapping!$A$7:$A$256,0),0))</f>
        <v>0</v>
      </c>
      <c r="R4095" s="39" t="n">
        <f aca="false">IF($A4095="",-1,IF($J4095=Setup!$B$7,1,IF($J4095=Setup!$B$9,0,-1)))</f>
        <v>-1</v>
      </c>
      <c r="S4095" s="35" t="n">
        <f aca="false">IF(OR($A4095="",$Q4095=0,$R4095=-1),0,$Q4095*1000+$R4095*100+$K4095)</f>
        <v>0</v>
      </c>
      <c r="T4095" s="37" t="str">
        <f aca="false">IF($A4095="","",IF($B4095="","NO ACCOUNT",IF($Q4095=0,"UNMAPPED",IF($R4095=-1,"OUTSIDE FY RANGE","OK"))))</f>
        <v/>
      </c>
      <c r="U4095" s="40" t="str">
        <f aca="false">IF($A4095="","",$B4095&amp;"|"&amp;TEXT($A4095,"yyyymmdd")&amp;"|"&amp;TEXT($I4095,"0.00"))</f>
        <v/>
      </c>
      <c r="V4095" s="35" t="str">
        <f aca="false">IF($A4095="","",COUNTIF($U$8:$U$5007,$U4095))</f>
        <v/>
      </c>
    </row>
    <row r="4096" customFormat="false" ht="15" hidden="false" customHeight="false" outlineLevel="0" collapsed="false">
      <c r="A4096" s="31"/>
      <c r="B4096" s="32"/>
      <c r="C4096" s="32"/>
      <c r="D4096" s="32"/>
      <c r="E4096" s="32"/>
      <c r="F4096" s="32"/>
      <c r="G4096" s="33"/>
      <c r="H4096" s="33"/>
      <c r="I4096" s="34" t="str">
        <f aca="false">IF($A4096="","",$G4096-$H4096)</f>
        <v/>
      </c>
      <c r="J4096" s="35" t="str">
        <f aca="false">IF($A4096="","",IF(Setup!$B$6=1,YEAR($A4096),YEAR($A4096)+IF(MONTH($A4096)&gt;=Setup!$B$6,1,0)))</f>
        <v/>
      </c>
      <c r="K4096" s="35" t="str">
        <f aca="false">IF($A4096="","",MOD(MONTH($A4096)-Setup!$B$6+12,12)+1)</f>
        <v/>
      </c>
      <c r="L4096" s="36" t="str">
        <f aca="false">IF($A4096="","",TEXT($A4096,"MMM-YY"))</f>
        <v/>
      </c>
      <c r="M4096" s="37" t="str">
        <f aca="false">IF($A4096="","",IF($Q4096=0,"UNMAPPED",INDEX(COA_Mapping!$C$7:$C$256,$Q4096)))</f>
        <v/>
      </c>
      <c r="N4096" s="38" t="str">
        <f aca="false">IF($A4096="","",IF($Q4096=0,"",INDEX(COA_Mapping!$E$7:$E$256,$Q4096)))</f>
        <v/>
      </c>
      <c r="O4096" s="38" t="n">
        <f aca="false">IF($A4096="",1,IF($Q4096=0,1,INDEX(COA_Mapping!$F$7:$F$256,$Q4096)))</f>
        <v>1</v>
      </c>
      <c r="P4096" s="34" t="str">
        <f aca="false">IF($A4096="","",$I4096*$O4096)</f>
        <v/>
      </c>
      <c r="Q4096" s="39" t="n">
        <f aca="false">IF($B4096="",0,IFERROR(MATCH($B4096,COA_Mapping!$A$7:$A$256,0),0))</f>
        <v>0</v>
      </c>
      <c r="R4096" s="39" t="n">
        <f aca="false">IF($A4096="",-1,IF($J4096=Setup!$B$7,1,IF($J4096=Setup!$B$9,0,-1)))</f>
        <v>-1</v>
      </c>
      <c r="S4096" s="35" t="n">
        <f aca="false">IF(OR($A4096="",$Q4096=0,$R4096=-1),0,$Q4096*1000+$R4096*100+$K4096)</f>
        <v>0</v>
      </c>
      <c r="T4096" s="37" t="str">
        <f aca="false">IF($A4096="","",IF($B4096="","NO ACCOUNT",IF($Q4096=0,"UNMAPPED",IF($R4096=-1,"OUTSIDE FY RANGE","OK"))))</f>
        <v/>
      </c>
      <c r="U4096" s="40" t="str">
        <f aca="false">IF($A4096="","",$B4096&amp;"|"&amp;TEXT($A4096,"yyyymmdd")&amp;"|"&amp;TEXT($I4096,"0.00"))</f>
        <v/>
      </c>
      <c r="V4096" s="35" t="str">
        <f aca="false">IF($A4096="","",COUNTIF($U$8:$U$5007,$U4096))</f>
        <v/>
      </c>
    </row>
    <row r="4097" customFormat="false" ht="15" hidden="false" customHeight="false" outlineLevel="0" collapsed="false">
      <c r="A4097" s="31"/>
      <c r="B4097" s="32"/>
      <c r="C4097" s="32"/>
      <c r="D4097" s="32"/>
      <c r="E4097" s="32"/>
      <c r="F4097" s="32"/>
      <c r="G4097" s="33"/>
      <c r="H4097" s="33"/>
      <c r="I4097" s="34" t="str">
        <f aca="false">IF($A4097="","",$G4097-$H4097)</f>
        <v/>
      </c>
      <c r="J4097" s="35" t="str">
        <f aca="false">IF($A4097="","",IF(Setup!$B$6=1,YEAR($A4097),YEAR($A4097)+IF(MONTH($A4097)&gt;=Setup!$B$6,1,0)))</f>
        <v/>
      </c>
      <c r="K4097" s="35" t="str">
        <f aca="false">IF($A4097="","",MOD(MONTH($A4097)-Setup!$B$6+12,12)+1)</f>
        <v/>
      </c>
      <c r="L4097" s="36" t="str">
        <f aca="false">IF($A4097="","",TEXT($A4097,"MMM-YY"))</f>
        <v/>
      </c>
      <c r="M4097" s="37" t="str">
        <f aca="false">IF($A4097="","",IF($Q4097=0,"UNMAPPED",INDEX(COA_Mapping!$C$7:$C$256,$Q4097)))</f>
        <v/>
      </c>
      <c r="N4097" s="38" t="str">
        <f aca="false">IF($A4097="","",IF($Q4097=0,"",INDEX(COA_Mapping!$E$7:$E$256,$Q4097)))</f>
        <v/>
      </c>
      <c r="O4097" s="38" t="n">
        <f aca="false">IF($A4097="",1,IF($Q4097=0,1,INDEX(COA_Mapping!$F$7:$F$256,$Q4097)))</f>
        <v>1</v>
      </c>
      <c r="P4097" s="34" t="str">
        <f aca="false">IF($A4097="","",$I4097*$O4097)</f>
        <v/>
      </c>
      <c r="Q4097" s="39" t="n">
        <f aca="false">IF($B4097="",0,IFERROR(MATCH($B4097,COA_Mapping!$A$7:$A$256,0),0))</f>
        <v>0</v>
      </c>
      <c r="R4097" s="39" t="n">
        <f aca="false">IF($A4097="",-1,IF($J4097=Setup!$B$7,1,IF($J4097=Setup!$B$9,0,-1)))</f>
        <v>-1</v>
      </c>
      <c r="S4097" s="35" t="n">
        <f aca="false">IF(OR($A4097="",$Q4097=0,$R4097=-1),0,$Q4097*1000+$R4097*100+$K4097)</f>
        <v>0</v>
      </c>
      <c r="T4097" s="37" t="str">
        <f aca="false">IF($A4097="","",IF($B4097="","NO ACCOUNT",IF($Q4097=0,"UNMAPPED",IF($R4097=-1,"OUTSIDE FY RANGE","OK"))))</f>
        <v/>
      </c>
      <c r="U4097" s="40" t="str">
        <f aca="false">IF($A4097="","",$B4097&amp;"|"&amp;TEXT($A4097,"yyyymmdd")&amp;"|"&amp;TEXT($I4097,"0.00"))</f>
        <v/>
      </c>
      <c r="V4097" s="35" t="str">
        <f aca="false">IF($A4097="","",COUNTIF($U$8:$U$5007,$U4097))</f>
        <v/>
      </c>
    </row>
    <row r="4098" customFormat="false" ht="15" hidden="false" customHeight="false" outlineLevel="0" collapsed="false">
      <c r="A4098" s="31"/>
      <c r="B4098" s="32"/>
      <c r="C4098" s="32"/>
      <c r="D4098" s="32"/>
      <c r="E4098" s="32"/>
      <c r="F4098" s="32"/>
      <c r="G4098" s="33"/>
      <c r="H4098" s="33"/>
      <c r="I4098" s="34" t="str">
        <f aca="false">IF($A4098="","",$G4098-$H4098)</f>
        <v/>
      </c>
      <c r="J4098" s="35" t="str">
        <f aca="false">IF($A4098="","",IF(Setup!$B$6=1,YEAR($A4098),YEAR($A4098)+IF(MONTH($A4098)&gt;=Setup!$B$6,1,0)))</f>
        <v/>
      </c>
      <c r="K4098" s="35" t="str">
        <f aca="false">IF($A4098="","",MOD(MONTH($A4098)-Setup!$B$6+12,12)+1)</f>
        <v/>
      </c>
      <c r="L4098" s="36" t="str">
        <f aca="false">IF($A4098="","",TEXT($A4098,"MMM-YY"))</f>
        <v/>
      </c>
      <c r="M4098" s="37" t="str">
        <f aca="false">IF($A4098="","",IF($Q4098=0,"UNMAPPED",INDEX(COA_Mapping!$C$7:$C$256,$Q4098)))</f>
        <v/>
      </c>
      <c r="N4098" s="38" t="str">
        <f aca="false">IF($A4098="","",IF($Q4098=0,"",INDEX(COA_Mapping!$E$7:$E$256,$Q4098)))</f>
        <v/>
      </c>
      <c r="O4098" s="38" t="n">
        <f aca="false">IF($A4098="",1,IF($Q4098=0,1,INDEX(COA_Mapping!$F$7:$F$256,$Q4098)))</f>
        <v>1</v>
      </c>
      <c r="P4098" s="34" t="str">
        <f aca="false">IF($A4098="","",$I4098*$O4098)</f>
        <v/>
      </c>
      <c r="Q4098" s="39" t="n">
        <f aca="false">IF($B4098="",0,IFERROR(MATCH($B4098,COA_Mapping!$A$7:$A$256,0),0))</f>
        <v>0</v>
      </c>
      <c r="R4098" s="39" t="n">
        <f aca="false">IF($A4098="",-1,IF($J4098=Setup!$B$7,1,IF($J4098=Setup!$B$9,0,-1)))</f>
        <v>-1</v>
      </c>
      <c r="S4098" s="35" t="n">
        <f aca="false">IF(OR($A4098="",$Q4098=0,$R4098=-1),0,$Q4098*1000+$R4098*100+$K4098)</f>
        <v>0</v>
      </c>
      <c r="T4098" s="37" t="str">
        <f aca="false">IF($A4098="","",IF($B4098="","NO ACCOUNT",IF($Q4098=0,"UNMAPPED",IF($R4098=-1,"OUTSIDE FY RANGE","OK"))))</f>
        <v/>
      </c>
      <c r="U4098" s="40" t="str">
        <f aca="false">IF($A4098="","",$B4098&amp;"|"&amp;TEXT($A4098,"yyyymmdd")&amp;"|"&amp;TEXT($I4098,"0.00"))</f>
        <v/>
      </c>
      <c r="V4098" s="35" t="str">
        <f aca="false">IF($A4098="","",COUNTIF($U$8:$U$5007,$U4098))</f>
        <v/>
      </c>
    </row>
    <row r="4099" customFormat="false" ht="15" hidden="false" customHeight="false" outlineLevel="0" collapsed="false">
      <c r="A4099" s="31"/>
      <c r="B4099" s="32"/>
      <c r="C4099" s="32"/>
      <c r="D4099" s="32"/>
      <c r="E4099" s="32"/>
      <c r="F4099" s="32"/>
      <c r="G4099" s="33"/>
      <c r="H4099" s="33"/>
      <c r="I4099" s="34" t="str">
        <f aca="false">IF($A4099="","",$G4099-$H4099)</f>
        <v/>
      </c>
      <c r="J4099" s="35" t="str">
        <f aca="false">IF($A4099="","",IF(Setup!$B$6=1,YEAR($A4099),YEAR($A4099)+IF(MONTH($A4099)&gt;=Setup!$B$6,1,0)))</f>
        <v/>
      </c>
      <c r="K4099" s="35" t="str">
        <f aca="false">IF($A4099="","",MOD(MONTH($A4099)-Setup!$B$6+12,12)+1)</f>
        <v/>
      </c>
      <c r="L4099" s="36" t="str">
        <f aca="false">IF($A4099="","",TEXT($A4099,"MMM-YY"))</f>
        <v/>
      </c>
      <c r="M4099" s="37" t="str">
        <f aca="false">IF($A4099="","",IF($Q4099=0,"UNMAPPED",INDEX(COA_Mapping!$C$7:$C$256,$Q4099)))</f>
        <v/>
      </c>
      <c r="N4099" s="38" t="str">
        <f aca="false">IF($A4099="","",IF($Q4099=0,"",INDEX(COA_Mapping!$E$7:$E$256,$Q4099)))</f>
        <v/>
      </c>
      <c r="O4099" s="38" t="n">
        <f aca="false">IF($A4099="",1,IF($Q4099=0,1,INDEX(COA_Mapping!$F$7:$F$256,$Q4099)))</f>
        <v>1</v>
      </c>
      <c r="P4099" s="34" t="str">
        <f aca="false">IF($A4099="","",$I4099*$O4099)</f>
        <v/>
      </c>
      <c r="Q4099" s="39" t="n">
        <f aca="false">IF($B4099="",0,IFERROR(MATCH($B4099,COA_Mapping!$A$7:$A$256,0),0))</f>
        <v>0</v>
      </c>
      <c r="R4099" s="39" t="n">
        <f aca="false">IF($A4099="",-1,IF($J4099=Setup!$B$7,1,IF($J4099=Setup!$B$9,0,-1)))</f>
        <v>-1</v>
      </c>
      <c r="S4099" s="35" t="n">
        <f aca="false">IF(OR($A4099="",$Q4099=0,$R4099=-1),0,$Q4099*1000+$R4099*100+$K4099)</f>
        <v>0</v>
      </c>
      <c r="T4099" s="37" t="str">
        <f aca="false">IF($A4099="","",IF($B4099="","NO ACCOUNT",IF($Q4099=0,"UNMAPPED",IF($R4099=-1,"OUTSIDE FY RANGE","OK"))))</f>
        <v/>
      </c>
      <c r="U4099" s="40" t="str">
        <f aca="false">IF($A4099="","",$B4099&amp;"|"&amp;TEXT($A4099,"yyyymmdd")&amp;"|"&amp;TEXT($I4099,"0.00"))</f>
        <v/>
      </c>
      <c r="V4099" s="35" t="str">
        <f aca="false">IF($A4099="","",COUNTIF($U$8:$U$5007,$U4099))</f>
        <v/>
      </c>
    </row>
    <row r="4100" customFormat="false" ht="15" hidden="false" customHeight="false" outlineLevel="0" collapsed="false">
      <c r="A4100" s="31"/>
      <c r="B4100" s="32"/>
      <c r="C4100" s="32"/>
      <c r="D4100" s="32"/>
      <c r="E4100" s="32"/>
      <c r="F4100" s="32"/>
      <c r="G4100" s="33"/>
      <c r="H4100" s="33"/>
      <c r="I4100" s="34" t="str">
        <f aca="false">IF($A4100="","",$G4100-$H4100)</f>
        <v/>
      </c>
      <c r="J4100" s="35" t="str">
        <f aca="false">IF($A4100="","",IF(Setup!$B$6=1,YEAR($A4100),YEAR($A4100)+IF(MONTH($A4100)&gt;=Setup!$B$6,1,0)))</f>
        <v/>
      </c>
      <c r="K4100" s="35" t="str">
        <f aca="false">IF($A4100="","",MOD(MONTH($A4100)-Setup!$B$6+12,12)+1)</f>
        <v/>
      </c>
      <c r="L4100" s="36" t="str">
        <f aca="false">IF($A4100="","",TEXT($A4100,"MMM-YY"))</f>
        <v/>
      </c>
      <c r="M4100" s="37" t="str">
        <f aca="false">IF($A4100="","",IF($Q4100=0,"UNMAPPED",INDEX(COA_Mapping!$C$7:$C$256,$Q4100)))</f>
        <v/>
      </c>
      <c r="N4100" s="38" t="str">
        <f aca="false">IF($A4100="","",IF($Q4100=0,"",INDEX(COA_Mapping!$E$7:$E$256,$Q4100)))</f>
        <v/>
      </c>
      <c r="O4100" s="38" t="n">
        <f aca="false">IF($A4100="",1,IF($Q4100=0,1,INDEX(COA_Mapping!$F$7:$F$256,$Q4100)))</f>
        <v>1</v>
      </c>
      <c r="P4100" s="34" t="str">
        <f aca="false">IF($A4100="","",$I4100*$O4100)</f>
        <v/>
      </c>
      <c r="Q4100" s="39" t="n">
        <f aca="false">IF($B4100="",0,IFERROR(MATCH($B4100,COA_Mapping!$A$7:$A$256,0),0))</f>
        <v>0</v>
      </c>
      <c r="R4100" s="39" t="n">
        <f aca="false">IF($A4100="",-1,IF($J4100=Setup!$B$7,1,IF($J4100=Setup!$B$9,0,-1)))</f>
        <v>-1</v>
      </c>
      <c r="S4100" s="35" t="n">
        <f aca="false">IF(OR($A4100="",$Q4100=0,$R4100=-1),0,$Q4100*1000+$R4100*100+$K4100)</f>
        <v>0</v>
      </c>
      <c r="T4100" s="37" t="str">
        <f aca="false">IF($A4100="","",IF($B4100="","NO ACCOUNT",IF($Q4100=0,"UNMAPPED",IF($R4100=-1,"OUTSIDE FY RANGE","OK"))))</f>
        <v/>
      </c>
      <c r="U4100" s="40" t="str">
        <f aca="false">IF($A4100="","",$B4100&amp;"|"&amp;TEXT($A4100,"yyyymmdd")&amp;"|"&amp;TEXT($I4100,"0.00"))</f>
        <v/>
      </c>
      <c r="V4100" s="35" t="str">
        <f aca="false">IF($A4100="","",COUNTIF($U$8:$U$5007,$U4100))</f>
        <v/>
      </c>
    </row>
    <row r="4101" customFormat="false" ht="15" hidden="false" customHeight="false" outlineLevel="0" collapsed="false">
      <c r="A4101" s="31"/>
      <c r="B4101" s="32"/>
      <c r="C4101" s="32"/>
      <c r="D4101" s="32"/>
      <c r="E4101" s="32"/>
      <c r="F4101" s="32"/>
      <c r="G4101" s="33"/>
      <c r="H4101" s="33"/>
      <c r="I4101" s="34" t="str">
        <f aca="false">IF($A4101="","",$G4101-$H4101)</f>
        <v/>
      </c>
      <c r="J4101" s="35" t="str">
        <f aca="false">IF($A4101="","",IF(Setup!$B$6=1,YEAR($A4101),YEAR($A4101)+IF(MONTH($A4101)&gt;=Setup!$B$6,1,0)))</f>
        <v/>
      </c>
      <c r="K4101" s="35" t="str">
        <f aca="false">IF($A4101="","",MOD(MONTH($A4101)-Setup!$B$6+12,12)+1)</f>
        <v/>
      </c>
      <c r="L4101" s="36" t="str">
        <f aca="false">IF($A4101="","",TEXT($A4101,"MMM-YY"))</f>
        <v/>
      </c>
      <c r="M4101" s="37" t="str">
        <f aca="false">IF($A4101="","",IF($Q4101=0,"UNMAPPED",INDEX(COA_Mapping!$C$7:$C$256,$Q4101)))</f>
        <v/>
      </c>
      <c r="N4101" s="38" t="str">
        <f aca="false">IF($A4101="","",IF($Q4101=0,"",INDEX(COA_Mapping!$E$7:$E$256,$Q4101)))</f>
        <v/>
      </c>
      <c r="O4101" s="38" t="n">
        <f aca="false">IF($A4101="",1,IF($Q4101=0,1,INDEX(COA_Mapping!$F$7:$F$256,$Q4101)))</f>
        <v>1</v>
      </c>
      <c r="P4101" s="34" t="str">
        <f aca="false">IF($A4101="","",$I4101*$O4101)</f>
        <v/>
      </c>
      <c r="Q4101" s="39" t="n">
        <f aca="false">IF($B4101="",0,IFERROR(MATCH($B4101,COA_Mapping!$A$7:$A$256,0),0))</f>
        <v>0</v>
      </c>
      <c r="R4101" s="39" t="n">
        <f aca="false">IF($A4101="",-1,IF($J4101=Setup!$B$7,1,IF($J4101=Setup!$B$9,0,-1)))</f>
        <v>-1</v>
      </c>
      <c r="S4101" s="35" t="n">
        <f aca="false">IF(OR($A4101="",$Q4101=0,$R4101=-1),0,$Q4101*1000+$R4101*100+$K4101)</f>
        <v>0</v>
      </c>
      <c r="T4101" s="37" t="str">
        <f aca="false">IF($A4101="","",IF($B4101="","NO ACCOUNT",IF($Q4101=0,"UNMAPPED",IF($R4101=-1,"OUTSIDE FY RANGE","OK"))))</f>
        <v/>
      </c>
      <c r="U4101" s="40" t="str">
        <f aca="false">IF($A4101="","",$B4101&amp;"|"&amp;TEXT($A4101,"yyyymmdd")&amp;"|"&amp;TEXT($I4101,"0.00"))</f>
        <v/>
      </c>
      <c r="V4101" s="35" t="str">
        <f aca="false">IF($A4101="","",COUNTIF($U$8:$U$5007,$U4101))</f>
        <v/>
      </c>
    </row>
    <row r="4102" customFormat="false" ht="15" hidden="false" customHeight="false" outlineLevel="0" collapsed="false">
      <c r="A4102" s="31"/>
      <c r="B4102" s="32"/>
      <c r="C4102" s="32"/>
      <c r="D4102" s="32"/>
      <c r="E4102" s="32"/>
      <c r="F4102" s="32"/>
      <c r="G4102" s="33"/>
      <c r="H4102" s="33"/>
      <c r="I4102" s="34" t="str">
        <f aca="false">IF($A4102="","",$G4102-$H4102)</f>
        <v/>
      </c>
      <c r="J4102" s="35" t="str">
        <f aca="false">IF($A4102="","",IF(Setup!$B$6=1,YEAR($A4102),YEAR($A4102)+IF(MONTH($A4102)&gt;=Setup!$B$6,1,0)))</f>
        <v/>
      </c>
      <c r="K4102" s="35" t="str">
        <f aca="false">IF($A4102="","",MOD(MONTH($A4102)-Setup!$B$6+12,12)+1)</f>
        <v/>
      </c>
      <c r="L4102" s="36" t="str">
        <f aca="false">IF($A4102="","",TEXT($A4102,"MMM-YY"))</f>
        <v/>
      </c>
      <c r="M4102" s="37" t="str">
        <f aca="false">IF($A4102="","",IF($Q4102=0,"UNMAPPED",INDEX(COA_Mapping!$C$7:$C$256,$Q4102)))</f>
        <v/>
      </c>
      <c r="N4102" s="38" t="str">
        <f aca="false">IF($A4102="","",IF($Q4102=0,"",INDEX(COA_Mapping!$E$7:$E$256,$Q4102)))</f>
        <v/>
      </c>
      <c r="O4102" s="38" t="n">
        <f aca="false">IF($A4102="",1,IF($Q4102=0,1,INDEX(COA_Mapping!$F$7:$F$256,$Q4102)))</f>
        <v>1</v>
      </c>
      <c r="P4102" s="34" t="str">
        <f aca="false">IF($A4102="","",$I4102*$O4102)</f>
        <v/>
      </c>
      <c r="Q4102" s="39" t="n">
        <f aca="false">IF($B4102="",0,IFERROR(MATCH($B4102,COA_Mapping!$A$7:$A$256,0),0))</f>
        <v>0</v>
      </c>
      <c r="R4102" s="39" t="n">
        <f aca="false">IF($A4102="",-1,IF($J4102=Setup!$B$7,1,IF($J4102=Setup!$B$9,0,-1)))</f>
        <v>-1</v>
      </c>
      <c r="S4102" s="35" t="n">
        <f aca="false">IF(OR($A4102="",$Q4102=0,$R4102=-1),0,$Q4102*1000+$R4102*100+$K4102)</f>
        <v>0</v>
      </c>
      <c r="T4102" s="37" t="str">
        <f aca="false">IF($A4102="","",IF($B4102="","NO ACCOUNT",IF($Q4102=0,"UNMAPPED",IF($R4102=-1,"OUTSIDE FY RANGE","OK"))))</f>
        <v/>
      </c>
      <c r="U4102" s="40" t="str">
        <f aca="false">IF($A4102="","",$B4102&amp;"|"&amp;TEXT($A4102,"yyyymmdd")&amp;"|"&amp;TEXT($I4102,"0.00"))</f>
        <v/>
      </c>
      <c r="V4102" s="35" t="str">
        <f aca="false">IF($A4102="","",COUNTIF($U$8:$U$5007,$U4102))</f>
        <v/>
      </c>
    </row>
    <row r="4103" customFormat="false" ht="15" hidden="false" customHeight="false" outlineLevel="0" collapsed="false">
      <c r="A4103" s="31"/>
      <c r="B4103" s="32"/>
      <c r="C4103" s="32"/>
      <c r="D4103" s="32"/>
      <c r="E4103" s="32"/>
      <c r="F4103" s="32"/>
      <c r="G4103" s="33"/>
      <c r="H4103" s="33"/>
      <c r="I4103" s="34" t="str">
        <f aca="false">IF($A4103="","",$G4103-$H4103)</f>
        <v/>
      </c>
      <c r="J4103" s="35" t="str">
        <f aca="false">IF($A4103="","",IF(Setup!$B$6=1,YEAR($A4103),YEAR($A4103)+IF(MONTH($A4103)&gt;=Setup!$B$6,1,0)))</f>
        <v/>
      </c>
      <c r="K4103" s="35" t="str">
        <f aca="false">IF($A4103="","",MOD(MONTH($A4103)-Setup!$B$6+12,12)+1)</f>
        <v/>
      </c>
      <c r="L4103" s="36" t="str">
        <f aca="false">IF($A4103="","",TEXT($A4103,"MMM-YY"))</f>
        <v/>
      </c>
      <c r="M4103" s="37" t="str">
        <f aca="false">IF($A4103="","",IF($Q4103=0,"UNMAPPED",INDEX(COA_Mapping!$C$7:$C$256,$Q4103)))</f>
        <v/>
      </c>
      <c r="N4103" s="38" t="str">
        <f aca="false">IF($A4103="","",IF($Q4103=0,"",INDEX(COA_Mapping!$E$7:$E$256,$Q4103)))</f>
        <v/>
      </c>
      <c r="O4103" s="38" t="n">
        <f aca="false">IF($A4103="",1,IF($Q4103=0,1,INDEX(COA_Mapping!$F$7:$F$256,$Q4103)))</f>
        <v>1</v>
      </c>
      <c r="P4103" s="34" t="str">
        <f aca="false">IF($A4103="","",$I4103*$O4103)</f>
        <v/>
      </c>
      <c r="Q4103" s="39" t="n">
        <f aca="false">IF($B4103="",0,IFERROR(MATCH($B4103,COA_Mapping!$A$7:$A$256,0),0))</f>
        <v>0</v>
      </c>
      <c r="R4103" s="39" t="n">
        <f aca="false">IF($A4103="",-1,IF($J4103=Setup!$B$7,1,IF($J4103=Setup!$B$9,0,-1)))</f>
        <v>-1</v>
      </c>
      <c r="S4103" s="35" t="n">
        <f aca="false">IF(OR($A4103="",$Q4103=0,$R4103=-1),0,$Q4103*1000+$R4103*100+$K4103)</f>
        <v>0</v>
      </c>
      <c r="T4103" s="37" t="str">
        <f aca="false">IF($A4103="","",IF($B4103="","NO ACCOUNT",IF($Q4103=0,"UNMAPPED",IF($R4103=-1,"OUTSIDE FY RANGE","OK"))))</f>
        <v/>
      </c>
      <c r="U4103" s="40" t="str">
        <f aca="false">IF($A4103="","",$B4103&amp;"|"&amp;TEXT($A4103,"yyyymmdd")&amp;"|"&amp;TEXT($I4103,"0.00"))</f>
        <v/>
      </c>
      <c r="V4103" s="35" t="str">
        <f aca="false">IF($A4103="","",COUNTIF($U$8:$U$5007,$U4103))</f>
        <v/>
      </c>
    </row>
    <row r="4104" customFormat="false" ht="15" hidden="false" customHeight="false" outlineLevel="0" collapsed="false">
      <c r="A4104" s="31"/>
      <c r="B4104" s="32"/>
      <c r="C4104" s="32"/>
      <c r="D4104" s="32"/>
      <c r="E4104" s="32"/>
      <c r="F4104" s="32"/>
      <c r="G4104" s="33"/>
      <c r="H4104" s="33"/>
      <c r="I4104" s="34" t="str">
        <f aca="false">IF($A4104="","",$G4104-$H4104)</f>
        <v/>
      </c>
      <c r="J4104" s="35" t="str">
        <f aca="false">IF($A4104="","",IF(Setup!$B$6=1,YEAR($A4104),YEAR($A4104)+IF(MONTH($A4104)&gt;=Setup!$B$6,1,0)))</f>
        <v/>
      </c>
      <c r="K4104" s="35" t="str">
        <f aca="false">IF($A4104="","",MOD(MONTH($A4104)-Setup!$B$6+12,12)+1)</f>
        <v/>
      </c>
      <c r="L4104" s="36" t="str">
        <f aca="false">IF($A4104="","",TEXT($A4104,"MMM-YY"))</f>
        <v/>
      </c>
      <c r="M4104" s="37" t="str">
        <f aca="false">IF($A4104="","",IF($Q4104=0,"UNMAPPED",INDEX(COA_Mapping!$C$7:$C$256,$Q4104)))</f>
        <v/>
      </c>
      <c r="N4104" s="38" t="str">
        <f aca="false">IF($A4104="","",IF($Q4104=0,"",INDEX(COA_Mapping!$E$7:$E$256,$Q4104)))</f>
        <v/>
      </c>
      <c r="O4104" s="38" t="n">
        <f aca="false">IF($A4104="",1,IF($Q4104=0,1,INDEX(COA_Mapping!$F$7:$F$256,$Q4104)))</f>
        <v>1</v>
      </c>
      <c r="P4104" s="34" t="str">
        <f aca="false">IF($A4104="","",$I4104*$O4104)</f>
        <v/>
      </c>
      <c r="Q4104" s="39" t="n">
        <f aca="false">IF($B4104="",0,IFERROR(MATCH($B4104,COA_Mapping!$A$7:$A$256,0),0))</f>
        <v>0</v>
      </c>
      <c r="R4104" s="39" t="n">
        <f aca="false">IF($A4104="",-1,IF($J4104=Setup!$B$7,1,IF($J4104=Setup!$B$9,0,-1)))</f>
        <v>-1</v>
      </c>
      <c r="S4104" s="35" t="n">
        <f aca="false">IF(OR($A4104="",$Q4104=0,$R4104=-1),0,$Q4104*1000+$R4104*100+$K4104)</f>
        <v>0</v>
      </c>
      <c r="T4104" s="37" t="str">
        <f aca="false">IF($A4104="","",IF($B4104="","NO ACCOUNT",IF($Q4104=0,"UNMAPPED",IF($R4104=-1,"OUTSIDE FY RANGE","OK"))))</f>
        <v/>
      </c>
      <c r="U4104" s="40" t="str">
        <f aca="false">IF($A4104="","",$B4104&amp;"|"&amp;TEXT($A4104,"yyyymmdd")&amp;"|"&amp;TEXT($I4104,"0.00"))</f>
        <v/>
      </c>
      <c r="V4104" s="35" t="str">
        <f aca="false">IF($A4104="","",COUNTIF($U$8:$U$5007,$U4104))</f>
        <v/>
      </c>
    </row>
    <row r="4105" customFormat="false" ht="15" hidden="false" customHeight="false" outlineLevel="0" collapsed="false">
      <c r="A4105" s="31"/>
      <c r="B4105" s="32"/>
      <c r="C4105" s="32"/>
      <c r="D4105" s="32"/>
      <c r="E4105" s="32"/>
      <c r="F4105" s="32"/>
      <c r="G4105" s="33"/>
      <c r="H4105" s="33"/>
      <c r="I4105" s="34" t="str">
        <f aca="false">IF($A4105="","",$G4105-$H4105)</f>
        <v/>
      </c>
      <c r="J4105" s="35" t="str">
        <f aca="false">IF($A4105="","",IF(Setup!$B$6=1,YEAR($A4105),YEAR($A4105)+IF(MONTH($A4105)&gt;=Setup!$B$6,1,0)))</f>
        <v/>
      </c>
      <c r="K4105" s="35" t="str">
        <f aca="false">IF($A4105="","",MOD(MONTH($A4105)-Setup!$B$6+12,12)+1)</f>
        <v/>
      </c>
      <c r="L4105" s="36" t="str">
        <f aca="false">IF($A4105="","",TEXT($A4105,"MMM-YY"))</f>
        <v/>
      </c>
      <c r="M4105" s="37" t="str">
        <f aca="false">IF($A4105="","",IF($Q4105=0,"UNMAPPED",INDEX(COA_Mapping!$C$7:$C$256,$Q4105)))</f>
        <v/>
      </c>
      <c r="N4105" s="38" t="str">
        <f aca="false">IF($A4105="","",IF($Q4105=0,"",INDEX(COA_Mapping!$E$7:$E$256,$Q4105)))</f>
        <v/>
      </c>
      <c r="O4105" s="38" t="n">
        <f aca="false">IF($A4105="",1,IF($Q4105=0,1,INDEX(COA_Mapping!$F$7:$F$256,$Q4105)))</f>
        <v>1</v>
      </c>
      <c r="P4105" s="34" t="str">
        <f aca="false">IF($A4105="","",$I4105*$O4105)</f>
        <v/>
      </c>
      <c r="Q4105" s="39" t="n">
        <f aca="false">IF($B4105="",0,IFERROR(MATCH($B4105,COA_Mapping!$A$7:$A$256,0),0))</f>
        <v>0</v>
      </c>
      <c r="R4105" s="39" t="n">
        <f aca="false">IF($A4105="",-1,IF($J4105=Setup!$B$7,1,IF($J4105=Setup!$B$9,0,-1)))</f>
        <v>-1</v>
      </c>
      <c r="S4105" s="35" t="n">
        <f aca="false">IF(OR($A4105="",$Q4105=0,$R4105=-1),0,$Q4105*1000+$R4105*100+$K4105)</f>
        <v>0</v>
      </c>
      <c r="T4105" s="37" t="str">
        <f aca="false">IF($A4105="","",IF($B4105="","NO ACCOUNT",IF($Q4105=0,"UNMAPPED",IF($R4105=-1,"OUTSIDE FY RANGE","OK"))))</f>
        <v/>
      </c>
      <c r="U4105" s="40" t="str">
        <f aca="false">IF($A4105="","",$B4105&amp;"|"&amp;TEXT($A4105,"yyyymmdd")&amp;"|"&amp;TEXT($I4105,"0.00"))</f>
        <v/>
      </c>
      <c r="V4105" s="35" t="str">
        <f aca="false">IF($A4105="","",COUNTIF($U$8:$U$5007,$U4105))</f>
        <v/>
      </c>
    </row>
    <row r="4106" customFormat="false" ht="15" hidden="false" customHeight="false" outlineLevel="0" collapsed="false">
      <c r="A4106" s="31"/>
      <c r="B4106" s="32"/>
      <c r="C4106" s="32"/>
      <c r="D4106" s="32"/>
      <c r="E4106" s="32"/>
      <c r="F4106" s="32"/>
      <c r="G4106" s="33"/>
      <c r="H4106" s="33"/>
      <c r="I4106" s="34" t="str">
        <f aca="false">IF($A4106="","",$G4106-$H4106)</f>
        <v/>
      </c>
      <c r="J4106" s="35" t="str">
        <f aca="false">IF($A4106="","",IF(Setup!$B$6=1,YEAR($A4106),YEAR($A4106)+IF(MONTH($A4106)&gt;=Setup!$B$6,1,0)))</f>
        <v/>
      </c>
      <c r="K4106" s="35" t="str">
        <f aca="false">IF($A4106="","",MOD(MONTH($A4106)-Setup!$B$6+12,12)+1)</f>
        <v/>
      </c>
      <c r="L4106" s="36" t="str">
        <f aca="false">IF($A4106="","",TEXT($A4106,"MMM-YY"))</f>
        <v/>
      </c>
      <c r="M4106" s="37" t="str">
        <f aca="false">IF($A4106="","",IF($Q4106=0,"UNMAPPED",INDEX(COA_Mapping!$C$7:$C$256,$Q4106)))</f>
        <v/>
      </c>
      <c r="N4106" s="38" t="str">
        <f aca="false">IF($A4106="","",IF($Q4106=0,"",INDEX(COA_Mapping!$E$7:$E$256,$Q4106)))</f>
        <v/>
      </c>
      <c r="O4106" s="38" t="n">
        <f aca="false">IF($A4106="",1,IF($Q4106=0,1,INDEX(COA_Mapping!$F$7:$F$256,$Q4106)))</f>
        <v>1</v>
      </c>
      <c r="P4106" s="34" t="str">
        <f aca="false">IF($A4106="","",$I4106*$O4106)</f>
        <v/>
      </c>
      <c r="Q4106" s="39" t="n">
        <f aca="false">IF($B4106="",0,IFERROR(MATCH($B4106,COA_Mapping!$A$7:$A$256,0),0))</f>
        <v>0</v>
      </c>
      <c r="R4106" s="39" t="n">
        <f aca="false">IF($A4106="",-1,IF($J4106=Setup!$B$7,1,IF($J4106=Setup!$B$9,0,-1)))</f>
        <v>-1</v>
      </c>
      <c r="S4106" s="35" t="n">
        <f aca="false">IF(OR($A4106="",$Q4106=0,$R4106=-1),0,$Q4106*1000+$R4106*100+$K4106)</f>
        <v>0</v>
      </c>
      <c r="T4106" s="37" t="str">
        <f aca="false">IF($A4106="","",IF($B4106="","NO ACCOUNT",IF($Q4106=0,"UNMAPPED",IF($R4106=-1,"OUTSIDE FY RANGE","OK"))))</f>
        <v/>
      </c>
      <c r="U4106" s="40" t="str">
        <f aca="false">IF($A4106="","",$B4106&amp;"|"&amp;TEXT($A4106,"yyyymmdd")&amp;"|"&amp;TEXT($I4106,"0.00"))</f>
        <v/>
      </c>
      <c r="V4106" s="35" t="str">
        <f aca="false">IF($A4106="","",COUNTIF($U$8:$U$5007,$U4106))</f>
        <v/>
      </c>
    </row>
    <row r="4107" customFormat="false" ht="15" hidden="false" customHeight="false" outlineLevel="0" collapsed="false">
      <c r="A4107" s="31"/>
      <c r="B4107" s="32"/>
      <c r="C4107" s="32"/>
      <c r="D4107" s="32"/>
      <c r="E4107" s="32"/>
      <c r="F4107" s="32"/>
      <c r="G4107" s="33"/>
      <c r="H4107" s="33"/>
      <c r="I4107" s="34" t="str">
        <f aca="false">IF($A4107="","",$G4107-$H4107)</f>
        <v/>
      </c>
      <c r="J4107" s="35" t="str">
        <f aca="false">IF($A4107="","",IF(Setup!$B$6=1,YEAR($A4107),YEAR($A4107)+IF(MONTH($A4107)&gt;=Setup!$B$6,1,0)))</f>
        <v/>
      </c>
      <c r="K4107" s="35" t="str">
        <f aca="false">IF($A4107="","",MOD(MONTH($A4107)-Setup!$B$6+12,12)+1)</f>
        <v/>
      </c>
      <c r="L4107" s="36" t="str">
        <f aca="false">IF($A4107="","",TEXT($A4107,"MMM-YY"))</f>
        <v/>
      </c>
      <c r="M4107" s="37" t="str">
        <f aca="false">IF($A4107="","",IF($Q4107=0,"UNMAPPED",INDEX(COA_Mapping!$C$7:$C$256,$Q4107)))</f>
        <v/>
      </c>
      <c r="N4107" s="38" t="str">
        <f aca="false">IF($A4107="","",IF($Q4107=0,"",INDEX(COA_Mapping!$E$7:$E$256,$Q4107)))</f>
        <v/>
      </c>
      <c r="O4107" s="38" t="n">
        <f aca="false">IF($A4107="",1,IF($Q4107=0,1,INDEX(COA_Mapping!$F$7:$F$256,$Q4107)))</f>
        <v>1</v>
      </c>
      <c r="P4107" s="34" t="str">
        <f aca="false">IF($A4107="","",$I4107*$O4107)</f>
        <v/>
      </c>
      <c r="Q4107" s="39" t="n">
        <f aca="false">IF($B4107="",0,IFERROR(MATCH($B4107,COA_Mapping!$A$7:$A$256,0),0))</f>
        <v>0</v>
      </c>
      <c r="R4107" s="39" t="n">
        <f aca="false">IF($A4107="",-1,IF($J4107=Setup!$B$7,1,IF($J4107=Setup!$B$9,0,-1)))</f>
        <v>-1</v>
      </c>
      <c r="S4107" s="35" t="n">
        <f aca="false">IF(OR($A4107="",$Q4107=0,$R4107=-1),0,$Q4107*1000+$R4107*100+$K4107)</f>
        <v>0</v>
      </c>
      <c r="T4107" s="37" t="str">
        <f aca="false">IF($A4107="","",IF($B4107="","NO ACCOUNT",IF($Q4107=0,"UNMAPPED",IF($R4107=-1,"OUTSIDE FY RANGE","OK"))))</f>
        <v/>
      </c>
      <c r="U4107" s="40" t="str">
        <f aca="false">IF($A4107="","",$B4107&amp;"|"&amp;TEXT($A4107,"yyyymmdd")&amp;"|"&amp;TEXT($I4107,"0.00"))</f>
        <v/>
      </c>
      <c r="V4107" s="35" t="str">
        <f aca="false">IF($A4107="","",COUNTIF($U$8:$U$5007,$U4107))</f>
        <v/>
      </c>
    </row>
    <row r="4108" customFormat="false" ht="15" hidden="false" customHeight="false" outlineLevel="0" collapsed="false">
      <c r="A4108" s="31"/>
      <c r="B4108" s="32"/>
      <c r="C4108" s="32"/>
      <c r="D4108" s="32"/>
      <c r="E4108" s="32"/>
      <c r="F4108" s="32"/>
      <c r="G4108" s="33"/>
      <c r="H4108" s="33"/>
      <c r="I4108" s="34" t="str">
        <f aca="false">IF($A4108="","",$G4108-$H4108)</f>
        <v/>
      </c>
      <c r="J4108" s="35" t="str">
        <f aca="false">IF($A4108="","",IF(Setup!$B$6=1,YEAR($A4108),YEAR($A4108)+IF(MONTH($A4108)&gt;=Setup!$B$6,1,0)))</f>
        <v/>
      </c>
      <c r="K4108" s="35" t="str">
        <f aca="false">IF($A4108="","",MOD(MONTH($A4108)-Setup!$B$6+12,12)+1)</f>
        <v/>
      </c>
      <c r="L4108" s="36" t="str">
        <f aca="false">IF($A4108="","",TEXT($A4108,"MMM-YY"))</f>
        <v/>
      </c>
      <c r="M4108" s="37" t="str">
        <f aca="false">IF($A4108="","",IF($Q4108=0,"UNMAPPED",INDEX(COA_Mapping!$C$7:$C$256,$Q4108)))</f>
        <v/>
      </c>
      <c r="N4108" s="38" t="str">
        <f aca="false">IF($A4108="","",IF($Q4108=0,"",INDEX(COA_Mapping!$E$7:$E$256,$Q4108)))</f>
        <v/>
      </c>
      <c r="O4108" s="38" t="n">
        <f aca="false">IF($A4108="",1,IF($Q4108=0,1,INDEX(COA_Mapping!$F$7:$F$256,$Q4108)))</f>
        <v>1</v>
      </c>
      <c r="P4108" s="34" t="str">
        <f aca="false">IF($A4108="","",$I4108*$O4108)</f>
        <v/>
      </c>
      <c r="Q4108" s="39" t="n">
        <f aca="false">IF($B4108="",0,IFERROR(MATCH($B4108,COA_Mapping!$A$7:$A$256,0),0))</f>
        <v>0</v>
      </c>
      <c r="R4108" s="39" t="n">
        <f aca="false">IF($A4108="",-1,IF($J4108=Setup!$B$7,1,IF($J4108=Setup!$B$9,0,-1)))</f>
        <v>-1</v>
      </c>
      <c r="S4108" s="35" t="n">
        <f aca="false">IF(OR($A4108="",$Q4108=0,$R4108=-1),0,$Q4108*1000+$R4108*100+$K4108)</f>
        <v>0</v>
      </c>
      <c r="T4108" s="37" t="str">
        <f aca="false">IF($A4108="","",IF($B4108="","NO ACCOUNT",IF($Q4108=0,"UNMAPPED",IF($R4108=-1,"OUTSIDE FY RANGE","OK"))))</f>
        <v/>
      </c>
      <c r="U4108" s="40" t="str">
        <f aca="false">IF($A4108="","",$B4108&amp;"|"&amp;TEXT($A4108,"yyyymmdd")&amp;"|"&amp;TEXT($I4108,"0.00"))</f>
        <v/>
      </c>
      <c r="V4108" s="35" t="str">
        <f aca="false">IF($A4108="","",COUNTIF($U$8:$U$5007,$U4108))</f>
        <v/>
      </c>
    </row>
    <row r="4109" customFormat="false" ht="15" hidden="false" customHeight="false" outlineLevel="0" collapsed="false">
      <c r="A4109" s="31"/>
      <c r="B4109" s="32"/>
      <c r="C4109" s="32"/>
      <c r="D4109" s="32"/>
      <c r="E4109" s="32"/>
      <c r="F4109" s="32"/>
      <c r="G4109" s="33"/>
      <c r="H4109" s="33"/>
      <c r="I4109" s="34" t="str">
        <f aca="false">IF($A4109="","",$G4109-$H4109)</f>
        <v/>
      </c>
      <c r="J4109" s="35" t="str">
        <f aca="false">IF($A4109="","",IF(Setup!$B$6=1,YEAR($A4109),YEAR($A4109)+IF(MONTH($A4109)&gt;=Setup!$B$6,1,0)))</f>
        <v/>
      </c>
      <c r="K4109" s="35" t="str">
        <f aca="false">IF($A4109="","",MOD(MONTH($A4109)-Setup!$B$6+12,12)+1)</f>
        <v/>
      </c>
      <c r="L4109" s="36" t="str">
        <f aca="false">IF($A4109="","",TEXT($A4109,"MMM-YY"))</f>
        <v/>
      </c>
      <c r="M4109" s="37" t="str">
        <f aca="false">IF($A4109="","",IF($Q4109=0,"UNMAPPED",INDEX(COA_Mapping!$C$7:$C$256,$Q4109)))</f>
        <v/>
      </c>
      <c r="N4109" s="38" t="str">
        <f aca="false">IF($A4109="","",IF($Q4109=0,"",INDEX(COA_Mapping!$E$7:$E$256,$Q4109)))</f>
        <v/>
      </c>
      <c r="O4109" s="38" t="n">
        <f aca="false">IF($A4109="",1,IF($Q4109=0,1,INDEX(COA_Mapping!$F$7:$F$256,$Q4109)))</f>
        <v>1</v>
      </c>
      <c r="P4109" s="34" t="str">
        <f aca="false">IF($A4109="","",$I4109*$O4109)</f>
        <v/>
      </c>
      <c r="Q4109" s="39" t="n">
        <f aca="false">IF($B4109="",0,IFERROR(MATCH($B4109,COA_Mapping!$A$7:$A$256,0),0))</f>
        <v>0</v>
      </c>
      <c r="R4109" s="39" t="n">
        <f aca="false">IF($A4109="",-1,IF($J4109=Setup!$B$7,1,IF($J4109=Setup!$B$9,0,-1)))</f>
        <v>-1</v>
      </c>
      <c r="S4109" s="35" t="n">
        <f aca="false">IF(OR($A4109="",$Q4109=0,$R4109=-1),0,$Q4109*1000+$R4109*100+$K4109)</f>
        <v>0</v>
      </c>
      <c r="T4109" s="37" t="str">
        <f aca="false">IF($A4109="","",IF($B4109="","NO ACCOUNT",IF($Q4109=0,"UNMAPPED",IF($R4109=-1,"OUTSIDE FY RANGE","OK"))))</f>
        <v/>
      </c>
      <c r="U4109" s="40" t="str">
        <f aca="false">IF($A4109="","",$B4109&amp;"|"&amp;TEXT($A4109,"yyyymmdd")&amp;"|"&amp;TEXT($I4109,"0.00"))</f>
        <v/>
      </c>
      <c r="V4109" s="35" t="str">
        <f aca="false">IF($A4109="","",COUNTIF($U$8:$U$5007,$U4109))</f>
        <v/>
      </c>
    </row>
    <row r="4110" customFormat="false" ht="15" hidden="false" customHeight="false" outlineLevel="0" collapsed="false">
      <c r="A4110" s="31"/>
      <c r="B4110" s="32"/>
      <c r="C4110" s="32"/>
      <c r="D4110" s="32"/>
      <c r="E4110" s="32"/>
      <c r="F4110" s="32"/>
      <c r="G4110" s="33"/>
      <c r="H4110" s="33"/>
      <c r="I4110" s="34" t="str">
        <f aca="false">IF($A4110="","",$G4110-$H4110)</f>
        <v/>
      </c>
      <c r="J4110" s="35" t="str">
        <f aca="false">IF($A4110="","",IF(Setup!$B$6=1,YEAR($A4110),YEAR($A4110)+IF(MONTH($A4110)&gt;=Setup!$B$6,1,0)))</f>
        <v/>
      </c>
      <c r="K4110" s="35" t="str">
        <f aca="false">IF($A4110="","",MOD(MONTH($A4110)-Setup!$B$6+12,12)+1)</f>
        <v/>
      </c>
      <c r="L4110" s="36" t="str">
        <f aca="false">IF($A4110="","",TEXT($A4110,"MMM-YY"))</f>
        <v/>
      </c>
      <c r="M4110" s="37" t="str">
        <f aca="false">IF($A4110="","",IF($Q4110=0,"UNMAPPED",INDEX(COA_Mapping!$C$7:$C$256,$Q4110)))</f>
        <v/>
      </c>
      <c r="N4110" s="38" t="str">
        <f aca="false">IF($A4110="","",IF($Q4110=0,"",INDEX(COA_Mapping!$E$7:$E$256,$Q4110)))</f>
        <v/>
      </c>
      <c r="O4110" s="38" t="n">
        <f aca="false">IF($A4110="",1,IF($Q4110=0,1,INDEX(COA_Mapping!$F$7:$F$256,$Q4110)))</f>
        <v>1</v>
      </c>
      <c r="P4110" s="34" t="str">
        <f aca="false">IF($A4110="","",$I4110*$O4110)</f>
        <v/>
      </c>
      <c r="Q4110" s="39" t="n">
        <f aca="false">IF($B4110="",0,IFERROR(MATCH($B4110,COA_Mapping!$A$7:$A$256,0),0))</f>
        <v>0</v>
      </c>
      <c r="R4110" s="39" t="n">
        <f aca="false">IF($A4110="",-1,IF($J4110=Setup!$B$7,1,IF($J4110=Setup!$B$9,0,-1)))</f>
        <v>-1</v>
      </c>
      <c r="S4110" s="35" t="n">
        <f aca="false">IF(OR($A4110="",$Q4110=0,$R4110=-1),0,$Q4110*1000+$R4110*100+$K4110)</f>
        <v>0</v>
      </c>
      <c r="T4110" s="37" t="str">
        <f aca="false">IF($A4110="","",IF($B4110="","NO ACCOUNT",IF($Q4110=0,"UNMAPPED",IF($R4110=-1,"OUTSIDE FY RANGE","OK"))))</f>
        <v/>
      </c>
      <c r="U4110" s="40" t="str">
        <f aca="false">IF($A4110="","",$B4110&amp;"|"&amp;TEXT($A4110,"yyyymmdd")&amp;"|"&amp;TEXT($I4110,"0.00"))</f>
        <v/>
      </c>
      <c r="V4110" s="35" t="str">
        <f aca="false">IF($A4110="","",COUNTIF($U$8:$U$5007,$U4110))</f>
        <v/>
      </c>
    </row>
    <row r="4111" customFormat="false" ht="15" hidden="false" customHeight="false" outlineLevel="0" collapsed="false">
      <c r="A4111" s="31"/>
      <c r="B4111" s="32"/>
      <c r="C4111" s="32"/>
      <c r="D4111" s="32"/>
      <c r="E4111" s="32"/>
      <c r="F4111" s="32"/>
      <c r="G4111" s="33"/>
      <c r="H4111" s="33"/>
      <c r="I4111" s="34" t="str">
        <f aca="false">IF($A4111="","",$G4111-$H4111)</f>
        <v/>
      </c>
      <c r="J4111" s="35" t="str">
        <f aca="false">IF($A4111="","",IF(Setup!$B$6=1,YEAR($A4111),YEAR($A4111)+IF(MONTH($A4111)&gt;=Setup!$B$6,1,0)))</f>
        <v/>
      </c>
      <c r="K4111" s="35" t="str">
        <f aca="false">IF($A4111="","",MOD(MONTH($A4111)-Setup!$B$6+12,12)+1)</f>
        <v/>
      </c>
      <c r="L4111" s="36" t="str">
        <f aca="false">IF($A4111="","",TEXT($A4111,"MMM-YY"))</f>
        <v/>
      </c>
      <c r="M4111" s="37" t="str">
        <f aca="false">IF($A4111="","",IF($Q4111=0,"UNMAPPED",INDEX(COA_Mapping!$C$7:$C$256,$Q4111)))</f>
        <v/>
      </c>
      <c r="N4111" s="38" t="str">
        <f aca="false">IF($A4111="","",IF($Q4111=0,"",INDEX(COA_Mapping!$E$7:$E$256,$Q4111)))</f>
        <v/>
      </c>
      <c r="O4111" s="38" t="n">
        <f aca="false">IF($A4111="",1,IF($Q4111=0,1,INDEX(COA_Mapping!$F$7:$F$256,$Q4111)))</f>
        <v>1</v>
      </c>
      <c r="P4111" s="34" t="str">
        <f aca="false">IF($A4111="","",$I4111*$O4111)</f>
        <v/>
      </c>
      <c r="Q4111" s="39" t="n">
        <f aca="false">IF($B4111="",0,IFERROR(MATCH($B4111,COA_Mapping!$A$7:$A$256,0),0))</f>
        <v>0</v>
      </c>
      <c r="R4111" s="39" t="n">
        <f aca="false">IF($A4111="",-1,IF($J4111=Setup!$B$7,1,IF($J4111=Setup!$B$9,0,-1)))</f>
        <v>-1</v>
      </c>
      <c r="S4111" s="35" t="n">
        <f aca="false">IF(OR($A4111="",$Q4111=0,$R4111=-1),0,$Q4111*1000+$R4111*100+$K4111)</f>
        <v>0</v>
      </c>
      <c r="T4111" s="37" t="str">
        <f aca="false">IF($A4111="","",IF($B4111="","NO ACCOUNT",IF($Q4111=0,"UNMAPPED",IF($R4111=-1,"OUTSIDE FY RANGE","OK"))))</f>
        <v/>
      </c>
      <c r="U4111" s="40" t="str">
        <f aca="false">IF($A4111="","",$B4111&amp;"|"&amp;TEXT($A4111,"yyyymmdd")&amp;"|"&amp;TEXT($I4111,"0.00"))</f>
        <v/>
      </c>
      <c r="V4111" s="35" t="str">
        <f aca="false">IF($A4111="","",COUNTIF($U$8:$U$5007,$U4111))</f>
        <v/>
      </c>
    </row>
    <row r="4112" customFormat="false" ht="15" hidden="false" customHeight="false" outlineLevel="0" collapsed="false">
      <c r="A4112" s="31"/>
      <c r="B4112" s="32"/>
      <c r="C4112" s="32"/>
      <c r="D4112" s="32"/>
      <c r="E4112" s="32"/>
      <c r="F4112" s="32"/>
      <c r="G4112" s="33"/>
      <c r="H4112" s="33"/>
      <c r="I4112" s="34" t="str">
        <f aca="false">IF($A4112="","",$G4112-$H4112)</f>
        <v/>
      </c>
      <c r="J4112" s="35" t="str">
        <f aca="false">IF($A4112="","",IF(Setup!$B$6=1,YEAR($A4112),YEAR($A4112)+IF(MONTH($A4112)&gt;=Setup!$B$6,1,0)))</f>
        <v/>
      </c>
      <c r="K4112" s="35" t="str">
        <f aca="false">IF($A4112="","",MOD(MONTH($A4112)-Setup!$B$6+12,12)+1)</f>
        <v/>
      </c>
      <c r="L4112" s="36" t="str">
        <f aca="false">IF($A4112="","",TEXT($A4112,"MMM-YY"))</f>
        <v/>
      </c>
      <c r="M4112" s="37" t="str">
        <f aca="false">IF($A4112="","",IF($Q4112=0,"UNMAPPED",INDEX(COA_Mapping!$C$7:$C$256,$Q4112)))</f>
        <v/>
      </c>
      <c r="N4112" s="38" t="str">
        <f aca="false">IF($A4112="","",IF($Q4112=0,"",INDEX(COA_Mapping!$E$7:$E$256,$Q4112)))</f>
        <v/>
      </c>
      <c r="O4112" s="38" t="n">
        <f aca="false">IF($A4112="",1,IF($Q4112=0,1,INDEX(COA_Mapping!$F$7:$F$256,$Q4112)))</f>
        <v>1</v>
      </c>
      <c r="P4112" s="34" t="str">
        <f aca="false">IF($A4112="","",$I4112*$O4112)</f>
        <v/>
      </c>
      <c r="Q4112" s="39" t="n">
        <f aca="false">IF($B4112="",0,IFERROR(MATCH($B4112,COA_Mapping!$A$7:$A$256,0),0))</f>
        <v>0</v>
      </c>
      <c r="R4112" s="39" t="n">
        <f aca="false">IF($A4112="",-1,IF($J4112=Setup!$B$7,1,IF($J4112=Setup!$B$9,0,-1)))</f>
        <v>-1</v>
      </c>
      <c r="S4112" s="35" t="n">
        <f aca="false">IF(OR($A4112="",$Q4112=0,$R4112=-1),0,$Q4112*1000+$R4112*100+$K4112)</f>
        <v>0</v>
      </c>
      <c r="T4112" s="37" t="str">
        <f aca="false">IF($A4112="","",IF($B4112="","NO ACCOUNT",IF($Q4112=0,"UNMAPPED",IF($R4112=-1,"OUTSIDE FY RANGE","OK"))))</f>
        <v/>
      </c>
      <c r="U4112" s="40" t="str">
        <f aca="false">IF($A4112="","",$B4112&amp;"|"&amp;TEXT($A4112,"yyyymmdd")&amp;"|"&amp;TEXT($I4112,"0.00"))</f>
        <v/>
      </c>
      <c r="V4112" s="35" t="str">
        <f aca="false">IF($A4112="","",COUNTIF($U$8:$U$5007,$U4112))</f>
        <v/>
      </c>
    </row>
    <row r="4113" customFormat="false" ht="15" hidden="false" customHeight="false" outlineLevel="0" collapsed="false">
      <c r="A4113" s="31"/>
      <c r="B4113" s="32"/>
      <c r="C4113" s="32"/>
      <c r="D4113" s="32"/>
      <c r="E4113" s="32"/>
      <c r="F4113" s="32"/>
      <c r="G4113" s="33"/>
      <c r="H4113" s="33"/>
      <c r="I4113" s="34" t="str">
        <f aca="false">IF($A4113="","",$G4113-$H4113)</f>
        <v/>
      </c>
      <c r="J4113" s="35" t="str">
        <f aca="false">IF($A4113="","",IF(Setup!$B$6=1,YEAR($A4113),YEAR($A4113)+IF(MONTH($A4113)&gt;=Setup!$B$6,1,0)))</f>
        <v/>
      </c>
      <c r="K4113" s="35" t="str">
        <f aca="false">IF($A4113="","",MOD(MONTH($A4113)-Setup!$B$6+12,12)+1)</f>
        <v/>
      </c>
      <c r="L4113" s="36" t="str">
        <f aca="false">IF($A4113="","",TEXT($A4113,"MMM-YY"))</f>
        <v/>
      </c>
      <c r="M4113" s="37" t="str">
        <f aca="false">IF($A4113="","",IF($Q4113=0,"UNMAPPED",INDEX(COA_Mapping!$C$7:$C$256,$Q4113)))</f>
        <v/>
      </c>
      <c r="N4113" s="38" t="str">
        <f aca="false">IF($A4113="","",IF($Q4113=0,"",INDEX(COA_Mapping!$E$7:$E$256,$Q4113)))</f>
        <v/>
      </c>
      <c r="O4113" s="38" t="n">
        <f aca="false">IF($A4113="",1,IF($Q4113=0,1,INDEX(COA_Mapping!$F$7:$F$256,$Q4113)))</f>
        <v>1</v>
      </c>
      <c r="P4113" s="34" t="str">
        <f aca="false">IF($A4113="","",$I4113*$O4113)</f>
        <v/>
      </c>
      <c r="Q4113" s="39" t="n">
        <f aca="false">IF($B4113="",0,IFERROR(MATCH($B4113,COA_Mapping!$A$7:$A$256,0),0))</f>
        <v>0</v>
      </c>
      <c r="R4113" s="39" t="n">
        <f aca="false">IF($A4113="",-1,IF($J4113=Setup!$B$7,1,IF($J4113=Setup!$B$9,0,-1)))</f>
        <v>-1</v>
      </c>
      <c r="S4113" s="35" t="n">
        <f aca="false">IF(OR($A4113="",$Q4113=0,$R4113=-1),0,$Q4113*1000+$R4113*100+$K4113)</f>
        <v>0</v>
      </c>
      <c r="T4113" s="37" t="str">
        <f aca="false">IF($A4113="","",IF($B4113="","NO ACCOUNT",IF($Q4113=0,"UNMAPPED",IF($R4113=-1,"OUTSIDE FY RANGE","OK"))))</f>
        <v/>
      </c>
      <c r="U4113" s="40" t="str">
        <f aca="false">IF($A4113="","",$B4113&amp;"|"&amp;TEXT($A4113,"yyyymmdd")&amp;"|"&amp;TEXT($I4113,"0.00"))</f>
        <v/>
      </c>
      <c r="V4113" s="35" t="str">
        <f aca="false">IF($A4113="","",COUNTIF($U$8:$U$5007,$U4113))</f>
        <v/>
      </c>
    </row>
    <row r="4114" customFormat="false" ht="15" hidden="false" customHeight="false" outlineLevel="0" collapsed="false">
      <c r="A4114" s="31"/>
      <c r="B4114" s="32"/>
      <c r="C4114" s="32"/>
      <c r="D4114" s="32"/>
      <c r="E4114" s="32"/>
      <c r="F4114" s="32"/>
      <c r="G4114" s="33"/>
      <c r="H4114" s="33"/>
      <c r="I4114" s="34" t="str">
        <f aca="false">IF($A4114="","",$G4114-$H4114)</f>
        <v/>
      </c>
      <c r="J4114" s="35" t="str">
        <f aca="false">IF($A4114="","",IF(Setup!$B$6=1,YEAR($A4114),YEAR($A4114)+IF(MONTH($A4114)&gt;=Setup!$B$6,1,0)))</f>
        <v/>
      </c>
      <c r="K4114" s="35" t="str">
        <f aca="false">IF($A4114="","",MOD(MONTH($A4114)-Setup!$B$6+12,12)+1)</f>
        <v/>
      </c>
      <c r="L4114" s="36" t="str">
        <f aca="false">IF($A4114="","",TEXT($A4114,"MMM-YY"))</f>
        <v/>
      </c>
      <c r="M4114" s="37" t="str">
        <f aca="false">IF($A4114="","",IF($Q4114=0,"UNMAPPED",INDEX(COA_Mapping!$C$7:$C$256,$Q4114)))</f>
        <v/>
      </c>
      <c r="N4114" s="38" t="str">
        <f aca="false">IF($A4114="","",IF($Q4114=0,"",INDEX(COA_Mapping!$E$7:$E$256,$Q4114)))</f>
        <v/>
      </c>
      <c r="O4114" s="38" t="n">
        <f aca="false">IF($A4114="",1,IF($Q4114=0,1,INDEX(COA_Mapping!$F$7:$F$256,$Q4114)))</f>
        <v>1</v>
      </c>
      <c r="P4114" s="34" t="str">
        <f aca="false">IF($A4114="","",$I4114*$O4114)</f>
        <v/>
      </c>
      <c r="Q4114" s="39" t="n">
        <f aca="false">IF($B4114="",0,IFERROR(MATCH($B4114,COA_Mapping!$A$7:$A$256,0),0))</f>
        <v>0</v>
      </c>
      <c r="R4114" s="39" t="n">
        <f aca="false">IF($A4114="",-1,IF($J4114=Setup!$B$7,1,IF($J4114=Setup!$B$9,0,-1)))</f>
        <v>-1</v>
      </c>
      <c r="S4114" s="35" t="n">
        <f aca="false">IF(OR($A4114="",$Q4114=0,$R4114=-1),0,$Q4114*1000+$R4114*100+$K4114)</f>
        <v>0</v>
      </c>
      <c r="T4114" s="37" t="str">
        <f aca="false">IF($A4114="","",IF($B4114="","NO ACCOUNT",IF($Q4114=0,"UNMAPPED",IF($R4114=-1,"OUTSIDE FY RANGE","OK"))))</f>
        <v/>
      </c>
      <c r="U4114" s="40" t="str">
        <f aca="false">IF($A4114="","",$B4114&amp;"|"&amp;TEXT($A4114,"yyyymmdd")&amp;"|"&amp;TEXT($I4114,"0.00"))</f>
        <v/>
      </c>
      <c r="V4114" s="35" t="str">
        <f aca="false">IF($A4114="","",COUNTIF($U$8:$U$5007,$U4114))</f>
        <v/>
      </c>
    </row>
    <row r="4115" customFormat="false" ht="15" hidden="false" customHeight="false" outlineLevel="0" collapsed="false">
      <c r="A4115" s="31"/>
      <c r="B4115" s="32"/>
      <c r="C4115" s="32"/>
      <c r="D4115" s="32"/>
      <c r="E4115" s="32"/>
      <c r="F4115" s="32"/>
      <c r="G4115" s="33"/>
      <c r="H4115" s="33"/>
      <c r="I4115" s="34" t="str">
        <f aca="false">IF($A4115="","",$G4115-$H4115)</f>
        <v/>
      </c>
      <c r="J4115" s="35" t="str">
        <f aca="false">IF($A4115="","",IF(Setup!$B$6=1,YEAR($A4115),YEAR($A4115)+IF(MONTH($A4115)&gt;=Setup!$B$6,1,0)))</f>
        <v/>
      </c>
      <c r="K4115" s="35" t="str">
        <f aca="false">IF($A4115="","",MOD(MONTH($A4115)-Setup!$B$6+12,12)+1)</f>
        <v/>
      </c>
      <c r="L4115" s="36" t="str">
        <f aca="false">IF($A4115="","",TEXT($A4115,"MMM-YY"))</f>
        <v/>
      </c>
      <c r="M4115" s="37" t="str">
        <f aca="false">IF($A4115="","",IF($Q4115=0,"UNMAPPED",INDEX(COA_Mapping!$C$7:$C$256,$Q4115)))</f>
        <v/>
      </c>
      <c r="N4115" s="38" t="str">
        <f aca="false">IF($A4115="","",IF($Q4115=0,"",INDEX(COA_Mapping!$E$7:$E$256,$Q4115)))</f>
        <v/>
      </c>
      <c r="O4115" s="38" t="n">
        <f aca="false">IF($A4115="",1,IF($Q4115=0,1,INDEX(COA_Mapping!$F$7:$F$256,$Q4115)))</f>
        <v>1</v>
      </c>
      <c r="P4115" s="34" t="str">
        <f aca="false">IF($A4115="","",$I4115*$O4115)</f>
        <v/>
      </c>
      <c r="Q4115" s="39" t="n">
        <f aca="false">IF($B4115="",0,IFERROR(MATCH($B4115,COA_Mapping!$A$7:$A$256,0),0))</f>
        <v>0</v>
      </c>
      <c r="R4115" s="39" t="n">
        <f aca="false">IF($A4115="",-1,IF($J4115=Setup!$B$7,1,IF($J4115=Setup!$B$9,0,-1)))</f>
        <v>-1</v>
      </c>
      <c r="S4115" s="35" t="n">
        <f aca="false">IF(OR($A4115="",$Q4115=0,$R4115=-1),0,$Q4115*1000+$R4115*100+$K4115)</f>
        <v>0</v>
      </c>
      <c r="T4115" s="37" t="str">
        <f aca="false">IF($A4115="","",IF($B4115="","NO ACCOUNT",IF($Q4115=0,"UNMAPPED",IF($R4115=-1,"OUTSIDE FY RANGE","OK"))))</f>
        <v/>
      </c>
      <c r="U4115" s="40" t="str">
        <f aca="false">IF($A4115="","",$B4115&amp;"|"&amp;TEXT($A4115,"yyyymmdd")&amp;"|"&amp;TEXT($I4115,"0.00"))</f>
        <v/>
      </c>
      <c r="V4115" s="35" t="str">
        <f aca="false">IF($A4115="","",COUNTIF($U$8:$U$5007,$U4115))</f>
        <v/>
      </c>
    </row>
    <row r="4116" customFormat="false" ht="15" hidden="false" customHeight="false" outlineLevel="0" collapsed="false">
      <c r="A4116" s="31"/>
      <c r="B4116" s="32"/>
      <c r="C4116" s="32"/>
      <c r="D4116" s="32"/>
      <c r="E4116" s="32"/>
      <c r="F4116" s="32"/>
      <c r="G4116" s="33"/>
      <c r="H4116" s="33"/>
      <c r="I4116" s="34" t="str">
        <f aca="false">IF($A4116="","",$G4116-$H4116)</f>
        <v/>
      </c>
      <c r="J4116" s="35" t="str">
        <f aca="false">IF($A4116="","",IF(Setup!$B$6=1,YEAR($A4116),YEAR($A4116)+IF(MONTH($A4116)&gt;=Setup!$B$6,1,0)))</f>
        <v/>
      </c>
      <c r="K4116" s="35" t="str">
        <f aca="false">IF($A4116="","",MOD(MONTH($A4116)-Setup!$B$6+12,12)+1)</f>
        <v/>
      </c>
      <c r="L4116" s="36" t="str">
        <f aca="false">IF($A4116="","",TEXT($A4116,"MMM-YY"))</f>
        <v/>
      </c>
      <c r="M4116" s="37" t="str">
        <f aca="false">IF($A4116="","",IF($Q4116=0,"UNMAPPED",INDEX(COA_Mapping!$C$7:$C$256,$Q4116)))</f>
        <v/>
      </c>
      <c r="N4116" s="38" t="str">
        <f aca="false">IF($A4116="","",IF($Q4116=0,"",INDEX(COA_Mapping!$E$7:$E$256,$Q4116)))</f>
        <v/>
      </c>
      <c r="O4116" s="38" t="n">
        <f aca="false">IF($A4116="",1,IF($Q4116=0,1,INDEX(COA_Mapping!$F$7:$F$256,$Q4116)))</f>
        <v>1</v>
      </c>
      <c r="P4116" s="34" t="str">
        <f aca="false">IF($A4116="","",$I4116*$O4116)</f>
        <v/>
      </c>
      <c r="Q4116" s="39" t="n">
        <f aca="false">IF($B4116="",0,IFERROR(MATCH($B4116,COA_Mapping!$A$7:$A$256,0),0))</f>
        <v>0</v>
      </c>
      <c r="R4116" s="39" t="n">
        <f aca="false">IF($A4116="",-1,IF($J4116=Setup!$B$7,1,IF($J4116=Setup!$B$9,0,-1)))</f>
        <v>-1</v>
      </c>
      <c r="S4116" s="35" t="n">
        <f aca="false">IF(OR($A4116="",$Q4116=0,$R4116=-1),0,$Q4116*1000+$R4116*100+$K4116)</f>
        <v>0</v>
      </c>
      <c r="T4116" s="37" t="str">
        <f aca="false">IF($A4116="","",IF($B4116="","NO ACCOUNT",IF($Q4116=0,"UNMAPPED",IF($R4116=-1,"OUTSIDE FY RANGE","OK"))))</f>
        <v/>
      </c>
      <c r="U4116" s="40" t="str">
        <f aca="false">IF($A4116="","",$B4116&amp;"|"&amp;TEXT($A4116,"yyyymmdd")&amp;"|"&amp;TEXT($I4116,"0.00"))</f>
        <v/>
      </c>
      <c r="V4116" s="35" t="str">
        <f aca="false">IF($A4116="","",COUNTIF($U$8:$U$5007,$U4116))</f>
        <v/>
      </c>
    </row>
    <row r="4117" customFormat="false" ht="15" hidden="false" customHeight="false" outlineLevel="0" collapsed="false">
      <c r="A4117" s="31"/>
      <c r="B4117" s="32"/>
      <c r="C4117" s="32"/>
      <c r="D4117" s="32"/>
      <c r="E4117" s="32"/>
      <c r="F4117" s="32"/>
      <c r="G4117" s="33"/>
      <c r="H4117" s="33"/>
      <c r="I4117" s="34" t="str">
        <f aca="false">IF($A4117="","",$G4117-$H4117)</f>
        <v/>
      </c>
      <c r="J4117" s="35" t="str">
        <f aca="false">IF($A4117="","",IF(Setup!$B$6=1,YEAR($A4117),YEAR($A4117)+IF(MONTH($A4117)&gt;=Setup!$B$6,1,0)))</f>
        <v/>
      </c>
      <c r="K4117" s="35" t="str">
        <f aca="false">IF($A4117="","",MOD(MONTH($A4117)-Setup!$B$6+12,12)+1)</f>
        <v/>
      </c>
      <c r="L4117" s="36" t="str">
        <f aca="false">IF($A4117="","",TEXT($A4117,"MMM-YY"))</f>
        <v/>
      </c>
      <c r="M4117" s="37" t="str">
        <f aca="false">IF($A4117="","",IF($Q4117=0,"UNMAPPED",INDEX(COA_Mapping!$C$7:$C$256,$Q4117)))</f>
        <v/>
      </c>
      <c r="N4117" s="38" t="str">
        <f aca="false">IF($A4117="","",IF($Q4117=0,"",INDEX(COA_Mapping!$E$7:$E$256,$Q4117)))</f>
        <v/>
      </c>
      <c r="O4117" s="38" t="n">
        <f aca="false">IF($A4117="",1,IF($Q4117=0,1,INDEX(COA_Mapping!$F$7:$F$256,$Q4117)))</f>
        <v>1</v>
      </c>
      <c r="P4117" s="34" t="str">
        <f aca="false">IF($A4117="","",$I4117*$O4117)</f>
        <v/>
      </c>
      <c r="Q4117" s="39" t="n">
        <f aca="false">IF($B4117="",0,IFERROR(MATCH($B4117,COA_Mapping!$A$7:$A$256,0),0))</f>
        <v>0</v>
      </c>
      <c r="R4117" s="39" t="n">
        <f aca="false">IF($A4117="",-1,IF($J4117=Setup!$B$7,1,IF($J4117=Setup!$B$9,0,-1)))</f>
        <v>-1</v>
      </c>
      <c r="S4117" s="35" t="n">
        <f aca="false">IF(OR($A4117="",$Q4117=0,$R4117=-1),0,$Q4117*1000+$R4117*100+$K4117)</f>
        <v>0</v>
      </c>
      <c r="T4117" s="37" t="str">
        <f aca="false">IF($A4117="","",IF($B4117="","NO ACCOUNT",IF($Q4117=0,"UNMAPPED",IF($R4117=-1,"OUTSIDE FY RANGE","OK"))))</f>
        <v/>
      </c>
      <c r="U4117" s="40" t="str">
        <f aca="false">IF($A4117="","",$B4117&amp;"|"&amp;TEXT($A4117,"yyyymmdd")&amp;"|"&amp;TEXT($I4117,"0.00"))</f>
        <v/>
      </c>
      <c r="V4117" s="35" t="str">
        <f aca="false">IF($A4117="","",COUNTIF($U$8:$U$5007,$U4117))</f>
        <v/>
      </c>
    </row>
    <row r="4118" customFormat="false" ht="15" hidden="false" customHeight="false" outlineLevel="0" collapsed="false">
      <c r="A4118" s="31"/>
      <c r="B4118" s="32"/>
      <c r="C4118" s="32"/>
      <c r="D4118" s="32"/>
      <c r="E4118" s="32"/>
      <c r="F4118" s="32"/>
      <c r="G4118" s="33"/>
      <c r="H4118" s="33"/>
      <c r="I4118" s="34" t="str">
        <f aca="false">IF($A4118="","",$G4118-$H4118)</f>
        <v/>
      </c>
      <c r="J4118" s="35" t="str">
        <f aca="false">IF($A4118="","",IF(Setup!$B$6=1,YEAR($A4118),YEAR($A4118)+IF(MONTH($A4118)&gt;=Setup!$B$6,1,0)))</f>
        <v/>
      </c>
      <c r="K4118" s="35" t="str">
        <f aca="false">IF($A4118="","",MOD(MONTH($A4118)-Setup!$B$6+12,12)+1)</f>
        <v/>
      </c>
      <c r="L4118" s="36" t="str">
        <f aca="false">IF($A4118="","",TEXT($A4118,"MMM-YY"))</f>
        <v/>
      </c>
      <c r="M4118" s="37" t="str">
        <f aca="false">IF($A4118="","",IF($Q4118=0,"UNMAPPED",INDEX(COA_Mapping!$C$7:$C$256,$Q4118)))</f>
        <v/>
      </c>
      <c r="N4118" s="38" t="str">
        <f aca="false">IF($A4118="","",IF($Q4118=0,"",INDEX(COA_Mapping!$E$7:$E$256,$Q4118)))</f>
        <v/>
      </c>
      <c r="O4118" s="38" t="n">
        <f aca="false">IF($A4118="",1,IF($Q4118=0,1,INDEX(COA_Mapping!$F$7:$F$256,$Q4118)))</f>
        <v>1</v>
      </c>
      <c r="P4118" s="34" t="str">
        <f aca="false">IF($A4118="","",$I4118*$O4118)</f>
        <v/>
      </c>
      <c r="Q4118" s="39" t="n">
        <f aca="false">IF($B4118="",0,IFERROR(MATCH($B4118,COA_Mapping!$A$7:$A$256,0),0))</f>
        <v>0</v>
      </c>
      <c r="R4118" s="39" t="n">
        <f aca="false">IF($A4118="",-1,IF($J4118=Setup!$B$7,1,IF($J4118=Setup!$B$9,0,-1)))</f>
        <v>-1</v>
      </c>
      <c r="S4118" s="35" t="n">
        <f aca="false">IF(OR($A4118="",$Q4118=0,$R4118=-1),0,$Q4118*1000+$R4118*100+$K4118)</f>
        <v>0</v>
      </c>
      <c r="T4118" s="37" t="str">
        <f aca="false">IF($A4118="","",IF($B4118="","NO ACCOUNT",IF($Q4118=0,"UNMAPPED",IF($R4118=-1,"OUTSIDE FY RANGE","OK"))))</f>
        <v/>
      </c>
      <c r="U4118" s="40" t="str">
        <f aca="false">IF($A4118="","",$B4118&amp;"|"&amp;TEXT($A4118,"yyyymmdd")&amp;"|"&amp;TEXT($I4118,"0.00"))</f>
        <v/>
      </c>
      <c r="V4118" s="35" t="str">
        <f aca="false">IF($A4118="","",COUNTIF($U$8:$U$5007,$U4118))</f>
        <v/>
      </c>
    </row>
    <row r="4119" customFormat="false" ht="15" hidden="false" customHeight="false" outlineLevel="0" collapsed="false">
      <c r="A4119" s="31"/>
      <c r="B4119" s="32"/>
      <c r="C4119" s="32"/>
      <c r="D4119" s="32"/>
      <c r="E4119" s="32"/>
      <c r="F4119" s="32"/>
      <c r="G4119" s="33"/>
      <c r="H4119" s="33"/>
      <c r="I4119" s="34" t="str">
        <f aca="false">IF($A4119="","",$G4119-$H4119)</f>
        <v/>
      </c>
      <c r="J4119" s="35" t="str">
        <f aca="false">IF($A4119="","",IF(Setup!$B$6=1,YEAR($A4119),YEAR($A4119)+IF(MONTH($A4119)&gt;=Setup!$B$6,1,0)))</f>
        <v/>
      </c>
      <c r="K4119" s="35" t="str">
        <f aca="false">IF($A4119="","",MOD(MONTH($A4119)-Setup!$B$6+12,12)+1)</f>
        <v/>
      </c>
      <c r="L4119" s="36" t="str">
        <f aca="false">IF($A4119="","",TEXT($A4119,"MMM-YY"))</f>
        <v/>
      </c>
      <c r="M4119" s="37" t="str">
        <f aca="false">IF($A4119="","",IF($Q4119=0,"UNMAPPED",INDEX(COA_Mapping!$C$7:$C$256,$Q4119)))</f>
        <v/>
      </c>
      <c r="N4119" s="38" t="str">
        <f aca="false">IF($A4119="","",IF($Q4119=0,"",INDEX(COA_Mapping!$E$7:$E$256,$Q4119)))</f>
        <v/>
      </c>
      <c r="O4119" s="38" t="n">
        <f aca="false">IF($A4119="",1,IF($Q4119=0,1,INDEX(COA_Mapping!$F$7:$F$256,$Q4119)))</f>
        <v>1</v>
      </c>
      <c r="P4119" s="34" t="str">
        <f aca="false">IF($A4119="","",$I4119*$O4119)</f>
        <v/>
      </c>
      <c r="Q4119" s="39" t="n">
        <f aca="false">IF($B4119="",0,IFERROR(MATCH($B4119,COA_Mapping!$A$7:$A$256,0),0))</f>
        <v>0</v>
      </c>
      <c r="R4119" s="39" t="n">
        <f aca="false">IF($A4119="",-1,IF($J4119=Setup!$B$7,1,IF($J4119=Setup!$B$9,0,-1)))</f>
        <v>-1</v>
      </c>
      <c r="S4119" s="35" t="n">
        <f aca="false">IF(OR($A4119="",$Q4119=0,$R4119=-1),0,$Q4119*1000+$R4119*100+$K4119)</f>
        <v>0</v>
      </c>
      <c r="T4119" s="37" t="str">
        <f aca="false">IF($A4119="","",IF($B4119="","NO ACCOUNT",IF($Q4119=0,"UNMAPPED",IF($R4119=-1,"OUTSIDE FY RANGE","OK"))))</f>
        <v/>
      </c>
      <c r="U4119" s="40" t="str">
        <f aca="false">IF($A4119="","",$B4119&amp;"|"&amp;TEXT($A4119,"yyyymmdd")&amp;"|"&amp;TEXT($I4119,"0.00"))</f>
        <v/>
      </c>
      <c r="V4119" s="35" t="str">
        <f aca="false">IF($A4119="","",COUNTIF($U$8:$U$5007,$U4119))</f>
        <v/>
      </c>
    </row>
    <row r="4120" customFormat="false" ht="15" hidden="false" customHeight="false" outlineLevel="0" collapsed="false">
      <c r="A4120" s="31"/>
      <c r="B4120" s="32"/>
      <c r="C4120" s="32"/>
      <c r="D4120" s="32"/>
      <c r="E4120" s="32"/>
      <c r="F4120" s="32"/>
      <c r="G4120" s="33"/>
      <c r="H4120" s="33"/>
      <c r="I4120" s="34" t="str">
        <f aca="false">IF($A4120="","",$G4120-$H4120)</f>
        <v/>
      </c>
      <c r="J4120" s="35" t="str">
        <f aca="false">IF($A4120="","",IF(Setup!$B$6=1,YEAR($A4120),YEAR($A4120)+IF(MONTH($A4120)&gt;=Setup!$B$6,1,0)))</f>
        <v/>
      </c>
      <c r="K4120" s="35" t="str">
        <f aca="false">IF($A4120="","",MOD(MONTH($A4120)-Setup!$B$6+12,12)+1)</f>
        <v/>
      </c>
      <c r="L4120" s="36" t="str">
        <f aca="false">IF($A4120="","",TEXT($A4120,"MMM-YY"))</f>
        <v/>
      </c>
      <c r="M4120" s="37" t="str">
        <f aca="false">IF($A4120="","",IF($Q4120=0,"UNMAPPED",INDEX(COA_Mapping!$C$7:$C$256,$Q4120)))</f>
        <v/>
      </c>
      <c r="N4120" s="38" t="str">
        <f aca="false">IF($A4120="","",IF($Q4120=0,"",INDEX(COA_Mapping!$E$7:$E$256,$Q4120)))</f>
        <v/>
      </c>
      <c r="O4120" s="38" t="n">
        <f aca="false">IF($A4120="",1,IF($Q4120=0,1,INDEX(COA_Mapping!$F$7:$F$256,$Q4120)))</f>
        <v>1</v>
      </c>
      <c r="P4120" s="34" t="str">
        <f aca="false">IF($A4120="","",$I4120*$O4120)</f>
        <v/>
      </c>
      <c r="Q4120" s="39" t="n">
        <f aca="false">IF($B4120="",0,IFERROR(MATCH($B4120,COA_Mapping!$A$7:$A$256,0),0))</f>
        <v>0</v>
      </c>
      <c r="R4120" s="39" t="n">
        <f aca="false">IF($A4120="",-1,IF($J4120=Setup!$B$7,1,IF($J4120=Setup!$B$9,0,-1)))</f>
        <v>-1</v>
      </c>
      <c r="S4120" s="35" t="n">
        <f aca="false">IF(OR($A4120="",$Q4120=0,$R4120=-1),0,$Q4120*1000+$R4120*100+$K4120)</f>
        <v>0</v>
      </c>
      <c r="T4120" s="37" t="str">
        <f aca="false">IF($A4120="","",IF($B4120="","NO ACCOUNT",IF($Q4120=0,"UNMAPPED",IF($R4120=-1,"OUTSIDE FY RANGE","OK"))))</f>
        <v/>
      </c>
      <c r="U4120" s="40" t="str">
        <f aca="false">IF($A4120="","",$B4120&amp;"|"&amp;TEXT($A4120,"yyyymmdd")&amp;"|"&amp;TEXT($I4120,"0.00"))</f>
        <v/>
      </c>
      <c r="V4120" s="35" t="str">
        <f aca="false">IF($A4120="","",COUNTIF($U$8:$U$5007,$U4120))</f>
        <v/>
      </c>
    </row>
    <row r="4121" customFormat="false" ht="15" hidden="false" customHeight="false" outlineLevel="0" collapsed="false">
      <c r="A4121" s="31"/>
      <c r="B4121" s="32"/>
      <c r="C4121" s="32"/>
      <c r="D4121" s="32"/>
      <c r="E4121" s="32"/>
      <c r="F4121" s="32"/>
      <c r="G4121" s="33"/>
      <c r="H4121" s="33"/>
      <c r="I4121" s="34" t="str">
        <f aca="false">IF($A4121="","",$G4121-$H4121)</f>
        <v/>
      </c>
      <c r="J4121" s="35" t="str">
        <f aca="false">IF($A4121="","",IF(Setup!$B$6=1,YEAR($A4121),YEAR($A4121)+IF(MONTH($A4121)&gt;=Setup!$B$6,1,0)))</f>
        <v/>
      </c>
      <c r="K4121" s="35" t="str">
        <f aca="false">IF($A4121="","",MOD(MONTH($A4121)-Setup!$B$6+12,12)+1)</f>
        <v/>
      </c>
      <c r="L4121" s="36" t="str">
        <f aca="false">IF($A4121="","",TEXT($A4121,"MMM-YY"))</f>
        <v/>
      </c>
      <c r="M4121" s="37" t="str">
        <f aca="false">IF($A4121="","",IF($Q4121=0,"UNMAPPED",INDEX(COA_Mapping!$C$7:$C$256,$Q4121)))</f>
        <v/>
      </c>
      <c r="N4121" s="38" t="str">
        <f aca="false">IF($A4121="","",IF($Q4121=0,"",INDEX(COA_Mapping!$E$7:$E$256,$Q4121)))</f>
        <v/>
      </c>
      <c r="O4121" s="38" t="n">
        <f aca="false">IF($A4121="",1,IF($Q4121=0,1,INDEX(COA_Mapping!$F$7:$F$256,$Q4121)))</f>
        <v>1</v>
      </c>
      <c r="P4121" s="34" t="str">
        <f aca="false">IF($A4121="","",$I4121*$O4121)</f>
        <v/>
      </c>
      <c r="Q4121" s="39" t="n">
        <f aca="false">IF($B4121="",0,IFERROR(MATCH($B4121,COA_Mapping!$A$7:$A$256,0),0))</f>
        <v>0</v>
      </c>
      <c r="R4121" s="39" t="n">
        <f aca="false">IF($A4121="",-1,IF($J4121=Setup!$B$7,1,IF($J4121=Setup!$B$9,0,-1)))</f>
        <v>-1</v>
      </c>
      <c r="S4121" s="35" t="n">
        <f aca="false">IF(OR($A4121="",$Q4121=0,$R4121=-1),0,$Q4121*1000+$R4121*100+$K4121)</f>
        <v>0</v>
      </c>
      <c r="T4121" s="37" t="str">
        <f aca="false">IF($A4121="","",IF($B4121="","NO ACCOUNT",IF($Q4121=0,"UNMAPPED",IF($R4121=-1,"OUTSIDE FY RANGE","OK"))))</f>
        <v/>
      </c>
      <c r="U4121" s="40" t="str">
        <f aca="false">IF($A4121="","",$B4121&amp;"|"&amp;TEXT($A4121,"yyyymmdd")&amp;"|"&amp;TEXT($I4121,"0.00"))</f>
        <v/>
      </c>
      <c r="V4121" s="35" t="str">
        <f aca="false">IF($A4121="","",COUNTIF($U$8:$U$5007,$U4121))</f>
        <v/>
      </c>
    </row>
    <row r="4122" customFormat="false" ht="15" hidden="false" customHeight="false" outlineLevel="0" collapsed="false">
      <c r="A4122" s="31"/>
      <c r="B4122" s="32"/>
      <c r="C4122" s="32"/>
      <c r="D4122" s="32"/>
      <c r="E4122" s="32"/>
      <c r="F4122" s="32"/>
      <c r="G4122" s="33"/>
      <c r="H4122" s="33"/>
      <c r="I4122" s="34" t="str">
        <f aca="false">IF($A4122="","",$G4122-$H4122)</f>
        <v/>
      </c>
      <c r="J4122" s="35" t="str">
        <f aca="false">IF($A4122="","",IF(Setup!$B$6=1,YEAR($A4122),YEAR($A4122)+IF(MONTH($A4122)&gt;=Setup!$B$6,1,0)))</f>
        <v/>
      </c>
      <c r="K4122" s="35" t="str">
        <f aca="false">IF($A4122="","",MOD(MONTH($A4122)-Setup!$B$6+12,12)+1)</f>
        <v/>
      </c>
      <c r="L4122" s="36" t="str">
        <f aca="false">IF($A4122="","",TEXT($A4122,"MMM-YY"))</f>
        <v/>
      </c>
      <c r="M4122" s="37" t="str">
        <f aca="false">IF($A4122="","",IF($Q4122=0,"UNMAPPED",INDEX(COA_Mapping!$C$7:$C$256,$Q4122)))</f>
        <v/>
      </c>
      <c r="N4122" s="38" t="str">
        <f aca="false">IF($A4122="","",IF($Q4122=0,"",INDEX(COA_Mapping!$E$7:$E$256,$Q4122)))</f>
        <v/>
      </c>
      <c r="O4122" s="38" t="n">
        <f aca="false">IF($A4122="",1,IF($Q4122=0,1,INDEX(COA_Mapping!$F$7:$F$256,$Q4122)))</f>
        <v>1</v>
      </c>
      <c r="P4122" s="34" t="str">
        <f aca="false">IF($A4122="","",$I4122*$O4122)</f>
        <v/>
      </c>
      <c r="Q4122" s="39" t="n">
        <f aca="false">IF($B4122="",0,IFERROR(MATCH($B4122,COA_Mapping!$A$7:$A$256,0),0))</f>
        <v>0</v>
      </c>
      <c r="R4122" s="39" t="n">
        <f aca="false">IF($A4122="",-1,IF($J4122=Setup!$B$7,1,IF($J4122=Setup!$B$9,0,-1)))</f>
        <v>-1</v>
      </c>
      <c r="S4122" s="35" t="n">
        <f aca="false">IF(OR($A4122="",$Q4122=0,$R4122=-1),0,$Q4122*1000+$R4122*100+$K4122)</f>
        <v>0</v>
      </c>
      <c r="T4122" s="37" t="str">
        <f aca="false">IF($A4122="","",IF($B4122="","NO ACCOUNT",IF($Q4122=0,"UNMAPPED",IF($R4122=-1,"OUTSIDE FY RANGE","OK"))))</f>
        <v/>
      </c>
      <c r="U4122" s="40" t="str">
        <f aca="false">IF($A4122="","",$B4122&amp;"|"&amp;TEXT($A4122,"yyyymmdd")&amp;"|"&amp;TEXT($I4122,"0.00"))</f>
        <v/>
      </c>
      <c r="V4122" s="35" t="str">
        <f aca="false">IF($A4122="","",COUNTIF($U$8:$U$5007,$U4122))</f>
        <v/>
      </c>
    </row>
    <row r="4123" customFormat="false" ht="15" hidden="false" customHeight="false" outlineLevel="0" collapsed="false">
      <c r="A4123" s="31"/>
      <c r="B4123" s="32"/>
      <c r="C4123" s="32"/>
      <c r="D4123" s="32"/>
      <c r="E4123" s="32"/>
      <c r="F4123" s="32"/>
      <c r="G4123" s="33"/>
      <c r="H4123" s="33"/>
      <c r="I4123" s="34" t="str">
        <f aca="false">IF($A4123="","",$G4123-$H4123)</f>
        <v/>
      </c>
      <c r="J4123" s="35" t="str">
        <f aca="false">IF($A4123="","",IF(Setup!$B$6=1,YEAR($A4123),YEAR($A4123)+IF(MONTH($A4123)&gt;=Setup!$B$6,1,0)))</f>
        <v/>
      </c>
      <c r="K4123" s="35" t="str">
        <f aca="false">IF($A4123="","",MOD(MONTH($A4123)-Setup!$B$6+12,12)+1)</f>
        <v/>
      </c>
      <c r="L4123" s="36" t="str">
        <f aca="false">IF($A4123="","",TEXT($A4123,"MMM-YY"))</f>
        <v/>
      </c>
      <c r="M4123" s="37" t="str">
        <f aca="false">IF($A4123="","",IF($Q4123=0,"UNMAPPED",INDEX(COA_Mapping!$C$7:$C$256,$Q4123)))</f>
        <v/>
      </c>
      <c r="N4123" s="38" t="str">
        <f aca="false">IF($A4123="","",IF($Q4123=0,"",INDEX(COA_Mapping!$E$7:$E$256,$Q4123)))</f>
        <v/>
      </c>
      <c r="O4123" s="38" t="n">
        <f aca="false">IF($A4123="",1,IF($Q4123=0,1,INDEX(COA_Mapping!$F$7:$F$256,$Q4123)))</f>
        <v>1</v>
      </c>
      <c r="P4123" s="34" t="str">
        <f aca="false">IF($A4123="","",$I4123*$O4123)</f>
        <v/>
      </c>
      <c r="Q4123" s="39" t="n">
        <f aca="false">IF($B4123="",0,IFERROR(MATCH($B4123,COA_Mapping!$A$7:$A$256,0),0))</f>
        <v>0</v>
      </c>
      <c r="R4123" s="39" t="n">
        <f aca="false">IF($A4123="",-1,IF($J4123=Setup!$B$7,1,IF($J4123=Setup!$B$9,0,-1)))</f>
        <v>-1</v>
      </c>
      <c r="S4123" s="35" t="n">
        <f aca="false">IF(OR($A4123="",$Q4123=0,$R4123=-1),0,$Q4123*1000+$R4123*100+$K4123)</f>
        <v>0</v>
      </c>
      <c r="T4123" s="37" t="str">
        <f aca="false">IF($A4123="","",IF($B4123="","NO ACCOUNT",IF($Q4123=0,"UNMAPPED",IF($R4123=-1,"OUTSIDE FY RANGE","OK"))))</f>
        <v/>
      </c>
      <c r="U4123" s="40" t="str">
        <f aca="false">IF($A4123="","",$B4123&amp;"|"&amp;TEXT($A4123,"yyyymmdd")&amp;"|"&amp;TEXT($I4123,"0.00"))</f>
        <v/>
      </c>
      <c r="V4123" s="35" t="str">
        <f aca="false">IF($A4123="","",COUNTIF($U$8:$U$5007,$U4123))</f>
        <v/>
      </c>
    </row>
    <row r="4124" customFormat="false" ht="15" hidden="false" customHeight="false" outlineLevel="0" collapsed="false">
      <c r="A4124" s="31"/>
      <c r="B4124" s="32"/>
      <c r="C4124" s="32"/>
      <c r="D4124" s="32"/>
      <c r="E4124" s="32"/>
      <c r="F4124" s="32"/>
      <c r="G4124" s="33"/>
      <c r="H4124" s="33"/>
      <c r="I4124" s="34" t="str">
        <f aca="false">IF($A4124="","",$G4124-$H4124)</f>
        <v/>
      </c>
      <c r="J4124" s="35" t="str">
        <f aca="false">IF($A4124="","",IF(Setup!$B$6=1,YEAR($A4124),YEAR($A4124)+IF(MONTH($A4124)&gt;=Setup!$B$6,1,0)))</f>
        <v/>
      </c>
      <c r="K4124" s="35" t="str">
        <f aca="false">IF($A4124="","",MOD(MONTH($A4124)-Setup!$B$6+12,12)+1)</f>
        <v/>
      </c>
      <c r="L4124" s="36" t="str">
        <f aca="false">IF($A4124="","",TEXT($A4124,"MMM-YY"))</f>
        <v/>
      </c>
      <c r="M4124" s="37" t="str">
        <f aca="false">IF($A4124="","",IF($Q4124=0,"UNMAPPED",INDEX(COA_Mapping!$C$7:$C$256,$Q4124)))</f>
        <v/>
      </c>
      <c r="N4124" s="38" t="str">
        <f aca="false">IF($A4124="","",IF($Q4124=0,"",INDEX(COA_Mapping!$E$7:$E$256,$Q4124)))</f>
        <v/>
      </c>
      <c r="O4124" s="38" t="n">
        <f aca="false">IF($A4124="",1,IF($Q4124=0,1,INDEX(COA_Mapping!$F$7:$F$256,$Q4124)))</f>
        <v>1</v>
      </c>
      <c r="P4124" s="34" t="str">
        <f aca="false">IF($A4124="","",$I4124*$O4124)</f>
        <v/>
      </c>
      <c r="Q4124" s="39" t="n">
        <f aca="false">IF($B4124="",0,IFERROR(MATCH($B4124,COA_Mapping!$A$7:$A$256,0),0))</f>
        <v>0</v>
      </c>
      <c r="R4124" s="39" t="n">
        <f aca="false">IF($A4124="",-1,IF($J4124=Setup!$B$7,1,IF($J4124=Setup!$B$9,0,-1)))</f>
        <v>-1</v>
      </c>
      <c r="S4124" s="35" t="n">
        <f aca="false">IF(OR($A4124="",$Q4124=0,$R4124=-1),0,$Q4124*1000+$R4124*100+$K4124)</f>
        <v>0</v>
      </c>
      <c r="T4124" s="37" t="str">
        <f aca="false">IF($A4124="","",IF($B4124="","NO ACCOUNT",IF($Q4124=0,"UNMAPPED",IF($R4124=-1,"OUTSIDE FY RANGE","OK"))))</f>
        <v/>
      </c>
      <c r="U4124" s="40" t="str">
        <f aca="false">IF($A4124="","",$B4124&amp;"|"&amp;TEXT($A4124,"yyyymmdd")&amp;"|"&amp;TEXT($I4124,"0.00"))</f>
        <v/>
      </c>
      <c r="V4124" s="35" t="str">
        <f aca="false">IF($A4124="","",COUNTIF($U$8:$U$5007,$U4124))</f>
        <v/>
      </c>
    </row>
    <row r="4125" customFormat="false" ht="15" hidden="false" customHeight="false" outlineLevel="0" collapsed="false">
      <c r="A4125" s="31"/>
      <c r="B4125" s="32"/>
      <c r="C4125" s="32"/>
      <c r="D4125" s="32"/>
      <c r="E4125" s="32"/>
      <c r="F4125" s="32"/>
      <c r="G4125" s="33"/>
      <c r="H4125" s="33"/>
      <c r="I4125" s="34" t="str">
        <f aca="false">IF($A4125="","",$G4125-$H4125)</f>
        <v/>
      </c>
      <c r="J4125" s="35" t="str">
        <f aca="false">IF($A4125="","",IF(Setup!$B$6=1,YEAR($A4125),YEAR($A4125)+IF(MONTH($A4125)&gt;=Setup!$B$6,1,0)))</f>
        <v/>
      </c>
      <c r="K4125" s="35" t="str">
        <f aca="false">IF($A4125="","",MOD(MONTH($A4125)-Setup!$B$6+12,12)+1)</f>
        <v/>
      </c>
      <c r="L4125" s="36" t="str">
        <f aca="false">IF($A4125="","",TEXT($A4125,"MMM-YY"))</f>
        <v/>
      </c>
      <c r="M4125" s="37" t="str">
        <f aca="false">IF($A4125="","",IF($Q4125=0,"UNMAPPED",INDEX(COA_Mapping!$C$7:$C$256,$Q4125)))</f>
        <v/>
      </c>
      <c r="N4125" s="38" t="str">
        <f aca="false">IF($A4125="","",IF($Q4125=0,"",INDEX(COA_Mapping!$E$7:$E$256,$Q4125)))</f>
        <v/>
      </c>
      <c r="O4125" s="38" t="n">
        <f aca="false">IF($A4125="",1,IF($Q4125=0,1,INDEX(COA_Mapping!$F$7:$F$256,$Q4125)))</f>
        <v>1</v>
      </c>
      <c r="P4125" s="34" t="str">
        <f aca="false">IF($A4125="","",$I4125*$O4125)</f>
        <v/>
      </c>
      <c r="Q4125" s="39" t="n">
        <f aca="false">IF($B4125="",0,IFERROR(MATCH($B4125,COA_Mapping!$A$7:$A$256,0),0))</f>
        <v>0</v>
      </c>
      <c r="R4125" s="39" t="n">
        <f aca="false">IF($A4125="",-1,IF($J4125=Setup!$B$7,1,IF($J4125=Setup!$B$9,0,-1)))</f>
        <v>-1</v>
      </c>
      <c r="S4125" s="35" t="n">
        <f aca="false">IF(OR($A4125="",$Q4125=0,$R4125=-1),0,$Q4125*1000+$R4125*100+$K4125)</f>
        <v>0</v>
      </c>
      <c r="T4125" s="37" t="str">
        <f aca="false">IF($A4125="","",IF($B4125="","NO ACCOUNT",IF($Q4125=0,"UNMAPPED",IF($R4125=-1,"OUTSIDE FY RANGE","OK"))))</f>
        <v/>
      </c>
      <c r="U4125" s="40" t="str">
        <f aca="false">IF($A4125="","",$B4125&amp;"|"&amp;TEXT($A4125,"yyyymmdd")&amp;"|"&amp;TEXT($I4125,"0.00"))</f>
        <v/>
      </c>
      <c r="V4125" s="35" t="str">
        <f aca="false">IF($A4125="","",COUNTIF($U$8:$U$5007,$U4125))</f>
        <v/>
      </c>
    </row>
    <row r="4126" customFormat="false" ht="15" hidden="false" customHeight="false" outlineLevel="0" collapsed="false">
      <c r="A4126" s="31"/>
      <c r="B4126" s="32"/>
      <c r="C4126" s="32"/>
      <c r="D4126" s="32"/>
      <c r="E4126" s="32"/>
      <c r="F4126" s="32"/>
      <c r="G4126" s="33"/>
      <c r="H4126" s="33"/>
      <c r="I4126" s="34" t="str">
        <f aca="false">IF($A4126="","",$G4126-$H4126)</f>
        <v/>
      </c>
      <c r="J4126" s="35" t="str">
        <f aca="false">IF($A4126="","",IF(Setup!$B$6=1,YEAR($A4126),YEAR($A4126)+IF(MONTH($A4126)&gt;=Setup!$B$6,1,0)))</f>
        <v/>
      </c>
      <c r="K4126" s="35" t="str">
        <f aca="false">IF($A4126="","",MOD(MONTH($A4126)-Setup!$B$6+12,12)+1)</f>
        <v/>
      </c>
      <c r="L4126" s="36" t="str">
        <f aca="false">IF($A4126="","",TEXT($A4126,"MMM-YY"))</f>
        <v/>
      </c>
      <c r="M4126" s="37" t="str">
        <f aca="false">IF($A4126="","",IF($Q4126=0,"UNMAPPED",INDEX(COA_Mapping!$C$7:$C$256,$Q4126)))</f>
        <v/>
      </c>
      <c r="N4126" s="38" t="str">
        <f aca="false">IF($A4126="","",IF($Q4126=0,"",INDEX(COA_Mapping!$E$7:$E$256,$Q4126)))</f>
        <v/>
      </c>
      <c r="O4126" s="38" t="n">
        <f aca="false">IF($A4126="",1,IF($Q4126=0,1,INDEX(COA_Mapping!$F$7:$F$256,$Q4126)))</f>
        <v>1</v>
      </c>
      <c r="P4126" s="34" t="str">
        <f aca="false">IF($A4126="","",$I4126*$O4126)</f>
        <v/>
      </c>
      <c r="Q4126" s="39" t="n">
        <f aca="false">IF($B4126="",0,IFERROR(MATCH($B4126,COA_Mapping!$A$7:$A$256,0),0))</f>
        <v>0</v>
      </c>
      <c r="R4126" s="39" t="n">
        <f aca="false">IF($A4126="",-1,IF($J4126=Setup!$B$7,1,IF($J4126=Setup!$B$9,0,-1)))</f>
        <v>-1</v>
      </c>
      <c r="S4126" s="35" t="n">
        <f aca="false">IF(OR($A4126="",$Q4126=0,$R4126=-1),0,$Q4126*1000+$R4126*100+$K4126)</f>
        <v>0</v>
      </c>
      <c r="T4126" s="37" t="str">
        <f aca="false">IF($A4126="","",IF($B4126="","NO ACCOUNT",IF($Q4126=0,"UNMAPPED",IF($R4126=-1,"OUTSIDE FY RANGE","OK"))))</f>
        <v/>
      </c>
      <c r="U4126" s="40" t="str">
        <f aca="false">IF($A4126="","",$B4126&amp;"|"&amp;TEXT($A4126,"yyyymmdd")&amp;"|"&amp;TEXT($I4126,"0.00"))</f>
        <v/>
      </c>
      <c r="V4126" s="35" t="str">
        <f aca="false">IF($A4126="","",COUNTIF($U$8:$U$5007,$U4126))</f>
        <v/>
      </c>
    </row>
    <row r="4127" customFormat="false" ht="15" hidden="false" customHeight="false" outlineLevel="0" collapsed="false">
      <c r="A4127" s="31"/>
      <c r="B4127" s="32"/>
      <c r="C4127" s="32"/>
      <c r="D4127" s="32"/>
      <c r="E4127" s="32"/>
      <c r="F4127" s="32"/>
      <c r="G4127" s="33"/>
      <c r="H4127" s="33"/>
      <c r="I4127" s="34" t="str">
        <f aca="false">IF($A4127="","",$G4127-$H4127)</f>
        <v/>
      </c>
      <c r="J4127" s="35" t="str">
        <f aca="false">IF($A4127="","",IF(Setup!$B$6=1,YEAR($A4127),YEAR($A4127)+IF(MONTH($A4127)&gt;=Setup!$B$6,1,0)))</f>
        <v/>
      </c>
      <c r="K4127" s="35" t="str">
        <f aca="false">IF($A4127="","",MOD(MONTH($A4127)-Setup!$B$6+12,12)+1)</f>
        <v/>
      </c>
      <c r="L4127" s="36" t="str">
        <f aca="false">IF($A4127="","",TEXT($A4127,"MMM-YY"))</f>
        <v/>
      </c>
      <c r="M4127" s="37" t="str">
        <f aca="false">IF($A4127="","",IF($Q4127=0,"UNMAPPED",INDEX(COA_Mapping!$C$7:$C$256,$Q4127)))</f>
        <v/>
      </c>
      <c r="N4127" s="38" t="str">
        <f aca="false">IF($A4127="","",IF($Q4127=0,"",INDEX(COA_Mapping!$E$7:$E$256,$Q4127)))</f>
        <v/>
      </c>
      <c r="O4127" s="38" t="n">
        <f aca="false">IF($A4127="",1,IF($Q4127=0,1,INDEX(COA_Mapping!$F$7:$F$256,$Q4127)))</f>
        <v>1</v>
      </c>
      <c r="P4127" s="34" t="str">
        <f aca="false">IF($A4127="","",$I4127*$O4127)</f>
        <v/>
      </c>
      <c r="Q4127" s="39" t="n">
        <f aca="false">IF($B4127="",0,IFERROR(MATCH($B4127,COA_Mapping!$A$7:$A$256,0),0))</f>
        <v>0</v>
      </c>
      <c r="R4127" s="39" t="n">
        <f aca="false">IF($A4127="",-1,IF($J4127=Setup!$B$7,1,IF($J4127=Setup!$B$9,0,-1)))</f>
        <v>-1</v>
      </c>
      <c r="S4127" s="35" t="n">
        <f aca="false">IF(OR($A4127="",$Q4127=0,$R4127=-1),0,$Q4127*1000+$R4127*100+$K4127)</f>
        <v>0</v>
      </c>
      <c r="T4127" s="37" t="str">
        <f aca="false">IF($A4127="","",IF($B4127="","NO ACCOUNT",IF($Q4127=0,"UNMAPPED",IF($R4127=-1,"OUTSIDE FY RANGE","OK"))))</f>
        <v/>
      </c>
      <c r="U4127" s="40" t="str">
        <f aca="false">IF($A4127="","",$B4127&amp;"|"&amp;TEXT($A4127,"yyyymmdd")&amp;"|"&amp;TEXT($I4127,"0.00"))</f>
        <v/>
      </c>
      <c r="V4127" s="35" t="str">
        <f aca="false">IF($A4127="","",COUNTIF($U$8:$U$5007,$U4127))</f>
        <v/>
      </c>
    </row>
    <row r="4128" customFormat="false" ht="15" hidden="false" customHeight="false" outlineLevel="0" collapsed="false">
      <c r="A4128" s="31"/>
      <c r="B4128" s="32"/>
      <c r="C4128" s="32"/>
      <c r="D4128" s="32"/>
      <c r="E4128" s="32"/>
      <c r="F4128" s="32"/>
      <c r="G4128" s="33"/>
      <c r="H4128" s="33"/>
      <c r="I4128" s="34" t="str">
        <f aca="false">IF($A4128="","",$G4128-$H4128)</f>
        <v/>
      </c>
      <c r="J4128" s="35" t="str">
        <f aca="false">IF($A4128="","",IF(Setup!$B$6=1,YEAR($A4128),YEAR($A4128)+IF(MONTH($A4128)&gt;=Setup!$B$6,1,0)))</f>
        <v/>
      </c>
      <c r="K4128" s="35" t="str">
        <f aca="false">IF($A4128="","",MOD(MONTH($A4128)-Setup!$B$6+12,12)+1)</f>
        <v/>
      </c>
      <c r="L4128" s="36" t="str">
        <f aca="false">IF($A4128="","",TEXT($A4128,"MMM-YY"))</f>
        <v/>
      </c>
      <c r="M4128" s="37" t="str">
        <f aca="false">IF($A4128="","",IF($Q4128=0,"UNMAPPED",INDEX(COA_Mapping!$C$7:$C$256,$Q4128)))</f>
        <v/>
      </c>
      <c r="N4128" s="38" t="str">
        <f aca="false">IF($A4128="","",IF($Q4128=0,"",INDEX(COA_Mapping!$E$7:$E$256,$Q4128)))</f>
        <v/>
      </c>
      <c r="O4128" s="38" t="n">
        <f aca="false">IF($A4128="",1,IF($Q4128=0,1,INDEX(COA_Mapping!$F$7:$F$256,$Q4128)))</f>
        <v>1</v>
      </c>
      <c r="P4128" s="34" t="str">
        <f aca="false">IF($A4128="","",$I4128*$O4128)</f>
        <v/>
      </c>
      <c r="Q4128" s="39" t="n">
        <f aca="false">IF($B4128="",0,IFERROR(MATCH($B4128,COA_Mapping!$A$7:$A$256,0),0))</f>
        <v>0</v>
      </c>
      <c r="R4128" s="39" t="n">
        <f aca="false">IF($A4128="",-1,IF($J4128=Setup!$B$7,1,IF($J4128=Setup!$B$9,0,-1)))</f>
        <v>-1</v>
      </c>
      <c r="S4128" s="35" t="n">
        <f aca="false">IF(OR($A4128="",$Q4128=0,$R4128=-1),0,$Q4128*1000+$R4128*100+$K4128)</f>
        <v>0</v>
      </c>
      <c r="T4128" s="37" t="str">
        <f aca="false">IF($A4128="","",IF($B4128="","NO ACCOUNT",IF($Q4128=0,"UNMAPPED",IF($R4128=-1,"OUTSIDE FY RANGE","OK"))))</f>
        <v/>
      </c>
      <c r="U4128" s="40" t="str">
        <f aca="false">IF($A4128="","",$B4128&amp;"|"&amp;TEXT($A4128,"yyyymmdd")&amp;"|"&amp;TEXT($I4128,"0.00"))</f>
        <v/>
      </c>
      <c r="V4128" s="35" t="str">
        <f aca="false">IF($A4128="","",COUNTIF($U$8:$U$5007,$U4128))</f>
        <v/>
      </c>
    </row>
    <row r="4129" customFormat="false" ht="15" hidden="false" customHeight="false" outlineLevel="0" collapsed="false">
      <c r="A4129" s="31"/>
      <c r="B4129" s="32"/>
      <c r="C4129" s="32"/>
      <c r="D4129" s="32"/>
      <c r="E4129" s="32"/>
      <c r="F4129" s="32"/>
      <c r="G4129" s="33"/>
      <c r="H4129" s="33"/>
      <c r="I4129" s="34" t="str">
        <f aca="false">IF($A4129="","",$G4129-$H4129)</f>
        <v/>
      </c>
      <c r="J4129" s="35" t="str">
        <f aca="false">IF($A4129="","",IF(Setup!$B$6=1,YEAR($A4129),YEAR($A4129)+IF(MONTH($A4129)&gt;=Setup!$B$6,1,0)))</f>
        <v/>
      </c>
      <c r="K4129" s="35" t="str">
        <f aca="false">IF($A4129="","",MOD(MONTH($A4129)-Setup!$B$6+12,12)+1)</f>
        <v/>
      </c>
      <c r="L4129" s="36" t="str">
        <f aca="false">IF($A4129="","",TEXT($A4129,"MMM-YY"))</f>
        <v/>
      </c>
      <c r="M4129" s="37" t="str">
        <f aca="false">IF($A4129="","",IF($Q4129=0,"UNMAPPED",INDEX(COA_Mapping!$C$7:$C$256,$Q4129)))</f>
        <v/>
      </c>
      <c r="N4129" s="38" t="str">
        <f aca="false">IF($A4129="","",IF($Q4129=0,"",INDEX(COA_Mapping!$E$7:$E$256,$Q4129)))</f>
        <v/>
      </c>
      <c r="O4129" s="38" t="n">
        <f aca="false">IF($A4129="",1,IF($Q4129=0,1,INDEX(COA_Mapping!$F$7:$F$256,$Q4129)))</f>
        <v>1</v>
      </c>
      <c r="P4129" s="34" t="str">
        <f aca="false">IF($A4129="","",$I4129*$O4129)</f>
        <v/>
      </c>
      <c r="Q4129" s="39" t="n">
        <f aca="false">IF($B4129="",0,IFERROR(MATCH($B4129,COA_Mapping!$A$7:$A$256,0),0))</f>
        <v>0</v>
      </c>
      <c r="R4129" s="39" t="n">
        <f aca="false">IF($A4129="",-1,IF($J4129=Setup!$B$7,1,IF($J4129=Setup!$B$9,0,-1)))</f>
        <v>-1</v>
      </c>
      <c r="S4129" s="35" t="n">
        <f aca="false">IF(OR($A4129="",$Q4129=0,$R4129=-1),0,$Q4129*1000+$R4129*100+$K4129)</f>
        <v>0</v>
      </c>
      <c r="T4129" s="37" t="str">
        <f aca="false">IF($A4129="","",IF($B4129="","NO ACCOUNT",IF($Q4129=0,"UNMAPPED",IF($R4129=-1,"OUTSIDE FY RANGE","OK"))))</f>
        <v/>
      </c>
      <c r="U4129" s="40" t="str">
        <f aca="false">IF($A4129="","",$B4129&amp;"|"&amp;TEXT($A4129,"yyyymmdd")&amp;"|"&amp;TEXT($I4129,"0.00"))</f>
        <v/>
      </c>
      <c r="V4129" s="35" t="str">
        <f aca="false">IF($A4129="","",COUNTIF($U$8:$U$5007,$U4129))</f>
        <v/>
      </c>
    </row>
    <row r="4130" customFormat="false" ht="15" hidden="false" customHeight="false" outlineLevel="0" collapsed="false">
      <c r="A4130" s="31"/>
      <c r="B4130" s="32"/>
      <c r="C4130" s="32"/>
      <c r="D4130" s="32"/>
      <c r="E4130" s="32"/>
      <c r="F4130" s="32"/>
      <c r="G4130" s="33"/>
      <c r="H4130" s="33"/>
      <c r="I4130" s="34" t="str">
        <f aca="false">IF($A4130="","",$G4130-$H4130)</f>
        <v/>
      </c>
      <c r="J4130" s="35" t="str">
        <f aca="false">IF($A4130="","",IF(Setup!$B$6=1,YEAR($A4130),YEAR($A4130)+IF(MONTH($A4130)&gt;=Setup!$B$6,1,0)))</f>
        <v/>
      </c>
      <c r="K4130" s="35" t="str">
        <f aca="false">IF($A4130="","",MOD(MONTH($A4130)-Setup!$B$6+12,12)+1)</f>
        <v/>
      </c>
      <c r="L4130" s="36" t="str">
        <f aca="false">IF($A4130="","",TEXT($A4130,"MMM-YY"))</f>
        <v/>
      </c>
      <c r="M4130" s="37" t="str">
        <f aca="false">IF($A4130="","",IF($Q4130=0,"UNMAPPED",INDEX(COA_Mapping!$C$7:$C$256,$Q4130)))</f>
        <v/>
      </c>
      <c r="N4130" s="38" t="str">
        <f aca="false">IF($A4130="","",IF($Q4130=0,"",INDEX(COA_Mapping!$E$7:$E$256,$Q4130)))</f>
        <v/>
      </c>
      <c r="O4130" s="38" t="n">
        <f aca="false">IF($A4130="",1,IF($Q4130=0,1,INDEX(COA_Mapping!$F$7:$F$256,$Q4130)))</f>
        <v>1</v>
      </c>
      <c r="P4130" s="34" t="str">
        <f aca="false">IF($A4130="","",$I4130*$O4130)</f>
        <v/>
      </c>
      <c r="Q4130" s="39" t="n">
        <f aca="false">IF($B4130="",0,IFERROR(MATCH($B4130,COA_Mapping!$A$7:$A$256,0),0))</f>
        <v>0</v>
      </c>
      <c r="R4130" s="39" t="n">
        <f aca="false">IF($A4130="",-1,IF($J4130=Setup!$B$7,1,IF($J4130=Setup!$B$9,0,-1)))</f>
        <v>-1</v>
      </c>
      <c r="S4130" s="35" t="n">
        <f aca="false">IF(OR($A4130="",$Q4130=0,$R4130=-1),0,$Q4130*1000+$R4130*100+$K4130)</f>
        <v>0</v>
      </c>
      <c r="T4130" s="37" t="str">
        <f aca="false">IF($A4130="","",IF($B4130="","NO ACCOUNT",IF($Q4130=0,"UNMAPPED",IF($R4130=-1,"OUTSIDE FY RANGE","OK"))))</f>
        <v/>
      </c>
      <c r="U4130" s="40" t="str">
        <f aca="false">IF($A4130="","",$B4130&amp;"|"&amp;TEXT($A4130,"yyyymmdd")&amp;"|"&amp;TEXT($I4130,"0.00"))</f>
        <v/>
      </c>
      <c r="V4130" s="35" t="str">
        <f aca="false">IF($A4130="","",COUNTIF($U$8:$U$5007,$U4130))</f>
        <v/>
      </c>
    </row>
    <row r="4131" customFormat="false" ht="15" hidden="false" customHeight="false" outlineLevel="0" collapsed="false">
      <c r="A4131" s="31"/>
      <c r="B4131" s="32"/>
      <c r="C4131" s="32"/>
      <c r="D4131" s="32"/>
      <c r="E4131" s="32"/>
      <c r="F4131" s="32"/>
      <c r="G4131" s="33"/>
      <c r="H4131" s="33"/>
      <c r="I4131" s="34" t="str">
        <f aca="false">IF($A4131="","",$G4131-$H4131)</f>
        <v/>
      </c>
      <c r="J4131" s="35" t="str">
        <f aca="false">IF($A4131="","",IF(Setup!$B$6=1,YEAR($A4131),YEAR($A4131)+IF(MONTH($A4131)&gt;=Setup!$B$6,1,0)))</f>
        <v/>
      </c>
      <c r="K4131" s="35" t="str">
        <f aca="false">IF($A4131="","",MOD(MONTH($A4131)-Setup!$B$6+12,12)+1)</f>
        <v/>
      </c>
      <c r="L4131" s="36" t="str">
        <f aca="false">IF($A4131="","",TEXT($A4131,"MMM-YY"))</f>
        <v/>
      </c>
      <c r="M4131" s="37" t="str">
        <f aca="false">IF($A4131="","",IF($Q4131=0,"UNMAPPED",INDEX(COA_Mapping!$C$7:$C$256,$Q4131)))</f>
        <v/>
      </c>
      <c r="N4131" s="38" t="str">
        <f aca="false">IF($A4131="","",IF($Q4131=0,"",INDEX(COA_Mapping!$E$7:$E$256,$Q4131)))</f>
        <v/>
      </c>
      <c r="O4131" s="38" t="n">
        <f aca="false">IF($A4131="",1,IF($Q4131=0,1,INDEX(COA_Mapping!$F$7:$F$256,$Q4131)))</f>
        <v>1</v>
      </c>
      <c r="P4131" s="34" t="str">
        <f aca="false">IF($A4131="","",$I4131*$O4131)</f>
        <v/>
      </c>
      <c r="Q4131" s="39" t="n">
        <f aca="false">IF($B4131="",0,IFERROR(MATCH($B4131,COA_Mapping!$A$7:$A$256,0),0))</f>
        <v>0</v>
      </c>
      <c r="R4131" s="39" t="n">
        <f aca="false">IF($A4131="",-1,IF($J4131=Setup!$B$7,1,IF($J4131=Setup!$B$9,0,-1)))</f>
        <v>-1</v>
      </c>
      <c r="S4131" s="35" t="n">
        <f aca="false">IF(OR($A4131="",$Q4131=0,$R4131=-1),0,$Q4131*1000+$R4131*100+$K4131)</f>
        <v>0</v>
      </c>
      <c r="T4131" s="37" t="str">
        <f aca="false">IF($A4131="","",IF($B4131="","NO ACCOUNT",IF($Q4131=0,"UNMAPPED",IF($R4131=-1,"OUTSIDE FY RANGE","OK"))))</f>
        <v/>
      </c>
      <c r="U4131" s="40" t="str">
        <f aca="false">IF($A4131="","",$B4131&amp;"|"&amp;TEXT($A4131,"yyyymmdd")&amp;"|"&amp;TEXT($I4131,"0.00"))</f>
        <v/>
      </c>
      <c r="V4131" s="35" t="str">
        <f aca="false">IF($A4131="","",COUNTIF($U$8:$U$5007,$U4131))</f>
        <v/>
      </c>
    </row>
    <row r="4132" customFormat="false" ht="15" hidden="false" customHeight="false" outlineLevel="0" collapsed="false">
      <c r="A4132" s="31"/>
      <c r="B4132" s="32"/>
      <c r="C4132" s="32"/>
      <c r="D4132" s="32"/>
      <c r="E4132" s="32"/>
      <c r="F4132" s="32"/>
      <c r="G4132" s="33"/>
      <c r="H4132" s="33"/>
      <c r="I4132" s="34" t="str">
        <f aca="false">IF($A4132="","",$G4132-$H4132)</f>
        <v/>
      </c>
      <c r="J4132" s="35" t="str">
        <f aca="false">IF($A4132="","",IF(Setup!$B$6=1,YEAR($A4132),YEAR($A4132)+IF(MONTH($A4132)&gt;=Setup!$B$6,1,0)))</f>
        <v/>
      </c>
      <c r="K4132" s="35" t="str">
        <f aca="false">IF($A4132="","",MOD(MONTH($A4132)-Setup!$B$6+12,12)+1)</f>
        <v/>
      </c>
      <c r="L4132" s="36" t="str">
        <f aca="false">IF($A4132="","",TEXT($A4132,"MMM-YY"))</f>
        <v/>
      </c>
      <c r="M4132" s="37" t="str">
        <f aca="false">IF($A4132="","",IF($Q4132=0,"UNMAPPED",INDEX(COA_Mapping!$C$7:$C$256,$Q4132)))</f>
        <v/>
      </c>
      <c r="N4132" s="38" t="str">
        <f aca="false">IF($A4132="","",IF($Q4132=0,"",INDEX(COA_Mapping!$E$7:$E$256,$Q4132)))</f>
        <v/>
      </c>
      <c r="O4132" s="38" t="n">
        <f aca="false">IF($A4132="",1,IF($Q4132=0,1,INDEX(COA_Mapping!$F$7:$F$256,$Q4132)))</f>
        <v>1</v>
      </c>
      <c r="P4132" s="34" t="str">
        <f aca="false">IF($A4132="","",$I4132*$O4132)</f>
        <v/>
      </c>
      <c r="Q4132" s="39" t="n">
        <f aca="false">IF($B4132="",0,IFERROR(MATCH($B4132,COA_Mapping!$A$7:$A$256,0),0))</f>
        <v>0</v>
      </c>
      <c r="R4132" s="39" t="n">
        <f aca="false">IF($A4132="",-1,IF($J4132=Setup!$B$7,1,IF($J4132=Setup!$B$9,0,-1)))</f>
        <v>-1</v>
      </c>
      <c r="S4132" s="35" t="n">
        <f aca="false">IF(OR($A4132="",$Q4132=0,$R4132=-1),0,$Q4132*1000+$R4132*100+$K4132)</f>
        <v>0</v>
      </c>
      <c r="T4132" s="37" t="str">
        <f aca="false">IF($A4132="","",IF($B4132="","NO ACCOUNT",IF($Q4132=0,"UNMAPPED",IF($R4132=-1,"OUTSIDE FY RANGE","OK"))))</f>
        <v/>
      </c>
      <c r="U4132" s="40" t="str">
        <f aca="false">IF($A4132="","",$B4132&amp;"|"&amp;TEXT($A4132,"yyyymmdd")&amp;"|"&amp;TEXT($I4132,"0.00"))</f>
        <v/>
      </c>
      <c r="V4132" s="35" t="str">
        <f aca="false">IF($A4132="","",COUNTIF($U$8:$U$5007,$U4132))</f>
        <v/>
      </c>
    </row>
    <row r="4133" customFormat="false" ht="15" hidden="false" customHeight="false" outlineLevel="0" collapsed="false">
      <c r="A4133" s="31"/>
      <c r="B4133" s="32"/>
      <c r="C4133" s="32"/>
      <c r="D4133" s="32"/>
      <c r="E4133" s="32"/>
      <c r="F4133" s="32"/>
      <c r="G4133" s="33"/>
      <c r="H4133" s="33"/>
      <c r="I4133" s="34" t="str">
        <f aca="false">IF($A4133="","",$G4133-$H4133)</f>
        <v/>
      </c>
      <c r="J4133" s="35" t="str">
        <f aca="false">IF($A4133="","",IF(Setup!$B$6=1,YEAR($A4133),YEAR($A4133)+IF(MONTH($A4133)&gt;=Setup!$B$6,1,0)))</f>
        <v/>
      </c>
      <c r="K4133" s="35" t="str">
        <f aca="false">IF($A4133="","",MOD(MONTH($A4133)-Setup!$B$6+12,12)+1)</f>
        <v/>
      </c>
      <c r="L4133" s="36" t="str">
        <f aca="false">IF($A4133="","",TEXT($A4133,"MMM-YY"))</f>
        <v/>
      </c>
      <c r="M4133" s="37" t="str">
        <f aca="false">IF($A4133="","",IF($Q4133=0,"UNMAPPED",INDEX(COA_Mapping!$C$7:$C$256,$Q4133)))</f>
        <v/>
      </c>
      <c r="N4133" s="38" t="str">
        <f aca="false">IF($A4133="","",IF($Q4133=0,"",INDEX(COA_Mapping!$E$7:$E$256,$Q4133)))</f>
        <v/>
      </c>
      <c r="O4133" s="38" t="n">
        <f aca="false">IF($A4133="",1,IF($Q4133=0,1,INDEX(COA_Mapping!$F$7:$F$256,$Q4133)))</f>
        <v>1</v>
      </c>
      <c r="P4133" s="34" t="str">
        <f aca="false">IF($A4133="","",$I4133*$O4133)</f>
        <v/>
      </c>
      <c r="Q4133" s="39" t="n">
        <f aca="false">IF($B4133="",0,IFERROR(MATCH($B4133,COA_Mapping!$A$7:$A$256,0),0))</f>
        <v>0</v>
      </c>
      <c r="R4133" s="39" t="n">
        <f aca="false">IF($A4133="",-1,IF($J4133=Setup!$B$7,1,IF($J4133=Setup!$B$9,0,-1)))</f>
        <v>-1</v>
      </c>
      <c r="S4133" s="35" t="n">
        <f aca="false">IF(OR($A4133="",$Q4133=0,$R4133=-1),0,$Q4133*1000+$R4133*100+$K4133)</f>
        <v>0</v>
      </c>
      <c r="T4133" s="37" t="str">
        <f aca="false">IF($A4133="","",IF($B4133="","NO ACCOUNT",IF($Q4133=0,"UNMAPPED",IF($R4133=-1,"OUTSIDE FY RANGE","OK"))))</f>
        <v/>
      </c>
      <c r="U4133" s="40" t="str">
        <f aca="false">IF($A4133="","",$B4133&amp;"|"&amp;TEXT($A4133,"yyyymmdd")&amp;"|"&amp;TEXT($I4133,"0.00"))</f>
        <v/>
      </c>
      <c r="V4133" s="35" t="str">
        <f aca="false">IF($A4133="","",COUNTIF($U$8:$U$5007,$U4133))</f>
        <v/>
      </c>
    </row>
    <row r="4134" customFormat="false" ht="15" hidden="false" customHeight="false" outlineLevel="0" collapsed="false">
      <c r="A4134" s="31"/>
      <c r="B4134" s="32"/>
      <c r="C4134" s="32"/>
      <c r="D4134" s="32"/>
      <c r="E4134" s="32"/>
      <c r="F4134" s="32"/>
      <c r="G4134" s="33"/>
      <c r="H4134" s="33"/>
      <c r="I4134" s="34" t="str">
        <f aca="false">IF($A4134="","",$G4134-$H4134)</f>
        <v/>
      </c>
      <c r="J4134" s="35" t="str">
        <f aca="false">IF($A4134="","",IF(Setup!$B$6=1,YEAR($A4134),YEAR($A4134)+IF(MONTH($A4134)&gt;=Setup!$B$6,1,0)))</f>
        <v/>
      </c>
      <c r="K4134" s="35" t="str">
        <f aca="false">IF($A4134="","",MOD(MONTH($A4134)-Setup!$B$6+12,12)+1)</f>
        <v/>
      </c>
      <c r="L4134" s="36" t="str">
        <f aca="false">IF($A4134="","",TEXT($A4134,"MMM-YY"))</f>
        <v/>
      </c>
      <c r="M4134" s="37" t="str">
        <f aca="false">IF($A4134="","",IF($Q4134=0,"UNMAPPED",INDEX(COA_Mapping!$C$7:$C$256,$Q4134)))</f>
        <v/>
      </c>
      <c r="N4134" s="38" t="str">
        <f aca="false">IF($A4134="","",IF($Q4134=0,"",INDEX(COA_Mapping!$E$7:$E$256,$Q4134)))</f>
        <v/>
      </c>
      <c r="O4134" s="38" t="n">
        <f aca="false">IF($A4134="",1,IF($Q4134=0,1,INDEX(COA_Mapping!$F$7:$F$256,$Q4134)))</f>
        <v>1</v>
      </c>
      <c r="P4134" s="34" t="str">
        <f aca="false">IF($A4134="","",$I4134*$O4134)</f>
        <v/>
      </c>
      <c r="Q4134" s="39" t="n">
        <f aca="false">IF($B4134="",0,IFERROR(MATCH($B4134,COA_Mapping!$A$7:$A$256,0),0))</f>
        <v>0</v>
      </c>
      <c r="R4134" s="39" t="n">
        <f aca="false">IF($A4134="",-1,IF($J4134=Setup!$B$7,1,IF($J4134=Setup!$B$9,0,-1)))</f>
        <v>-1</v>
      </c>
      <c r="S4134" s="35" t="n">
        <f aca="false">IF(OR($A4134="",$Q4134=0,$R4134=-1),0,$Q4134*1000+$R4134*100+$K4134)</f>
        <v>0</v>
      </c>
      <c r="T4134" s="37" t="str">
        <f aca="false">IF($A4134="","",IF($B4134="","NO ACCOUNT",IF($Q4134=0,"UNMAPPED",IF($R4134=-1,"OUTSIDE FY RANGE","OK"))))</f>
        <v/>
      </c>
      <c r="U4134" s="40" t="str">
        <f aca="false">IF($A4134="","",$B4134&amp;"|"&amp;TEXT($A4134,"yyyymmdd")&amp;"|"&amp;TEXT($I4134,"0.00"))</f>
        <v/>
      </c>
      <c r="V4134" s="35" t="str">
        <f aca="false">IF($A4134="","",COUNTIF($U$8:$U$5007,$U4134))</f>
        <v/>
      </c>
    </row>
    <row r="4135" customFormat="false" ht="15" hidden="false" customHeight="false" outlineLevel="0" collapsed="false">
      <c r="A4135" s="31"/>
      <c r="B4135" s="32"/>
      <c r="C4135" s="32"/>
      <c r="D4135" s="32"/>
      <c r="E4135" s="32"/>
      <c r="F4135" s="32"/>
      <c r="G4135" s="33"/>
      <c r="H4135" s="33"/>
      <c r="I4135" s="34" t="str">
        <f aca="false">IF($A4135="","",$G4135-$H4135)</f>
        <v/>
      </c>
      <c r="J4135" s="35" t="str">
        <f aca="false">IF($A4135="","",IF(Setup!$B$6=1,YEAR($A4135),YEAR($A4135)+IF(MONTH($A4135)&gt;=Setup!$B$6,1,0)))</f>
        <v/>
      </c>
      <c r="K4135" s="35" t="str">
        <f aca="false">IF($A4135="","",MOD(MONTH($A4135)-Setup!$B$6+12,12)+1)</f>
        <v/>
      </c>
      <c r="L4135" s="36" t="str">
        <f aca="false">IF($A4135="","",TEXT($A4135,"MMM-YY"))</f>
        <v/>
      </c>
      <c r="M4135" s="37" t="str">
        <f aca="false">IF($A4135="","",IF($Q4135=0,"UNMAPPED",INDEX(COA_Mapping!$C$7:$C$256,$Q4135)))</f>
        <v/>
      </c>
      <c r="N4135" s="38" t="str">
        <f aca="false">IF($A4135="","",IF($Q4135=0,"",INDEX(COA_Mapping!$E$7:$E$256,$Q4135)))</f>
        <v/>
      </c>
      <c r="O4135" s="38" t="n">
        <f aca="false">IF($A4135="",1,IF($Q4135=0,1,INDEX(COA_Mapping!$F$7:$F$256,$Q4135)))</f>
        <v>1</v>
      </c>
      <c r="P4135" s="34" t="str">
        <f aca="false">IF($A4135="","",$I4135*$O4135)</f>
        <v/>
      </c>
      <c r="Q4135" s="39" t="n">
        <f aca="false">IF($B4135="",0,IFERROR(MATCH($B4135,COA_Mapping!$A$7:$A$256,0),0))</f>
        <v>0</v>
      </c>
      <c r="R4135" s="39" t="n">
        <f aca="false">IF($A4135="",-1,IF($J4135=Setup!$B$7,1,IF($J4135=Setup!$B$9,0,-1)))</f>
        <v>-1</v>
      </c>
      <c r="S4135" s="35" t="n">
        <f aca="false">IF(OR($A4135="",$Q4135=0,$R4135=-1),0,$Q4135*1000+$R4135*100+$K4135)</f>
        <v>0</v>
      </c>
      <c r="T4135" s="37" t="str">
        <f aca="false">IF($A4135="","",IF($B4135="","NO ACCOUNT",IF($Q4135=0,"UNMAPPED",IF($R4135=-1,"OUTSIDE FY RANGE","OK"))))</f>
        <v/>
      </c>
      <c r="U4135" s="40" t="str">
        <f aca="false">IF($A4135="","",$B4135&amp;"|"&amp;TEXT($A4135,"yyyymmdd")&amp;"|"&amp;TEXT($I4135,"0.00"))</f>
        <v/>
      </c>
      <c r="V4135" s="35" t="str">
        <f aca="false">IF($A4135="","",COUNTIF($U$8:$U$5007,$U4135))</f>
        <v/>
      </c>
    </row>
    <row r="4136" customFormat="false" ht="15" hidden="false" customHeight="false" outlineLevel="0" collapsed="false">
      <c r="A4136" s="31"/>
      <c r="B4136" s="32"/>
      <c r="C4136" s="32"/>
      <c r="D4136" s="32"/>
      <c r="E4136" s="32"/>
      <c r="F4136" s="32"/>
      <c r="G4136" s="33"/>
      <c r="H4136" s="33"/>
      <c r="I4136" s="34" t="str">
        <f aca="false">IF($A4136="","",$G4136-$H4136)</f>
        <v/>
      </c>
      <c r="J4136" s="35" t="str">
        <f aca="false">IF($A4136="","",IF(Setup!$B$6=1,YEAR($A4136),YEAR($A4136)+IF(MONTH($A4136)&gt;=Setup!$B$6,1,0)))</f>
        <v/>
      </c>
      <c r="K4136" s="35" t="str">
        <f aca="false">IF($A4136="","",MOD(MONTH($A4136)-Setup!$B$6+12,12)+1)</f>
        <v/>
      </c>
      <c r="L4136" s="36" t="str">
        <f aca="false">IF($A4136="","",TEXT($A4136,"MMM-YY"))</f>
        <v/>
      </c>
      <c r="M4136" s="37" t="str">
        <f aca="false">IF($A4136="","",IF($Q4136=0,"UNMAPPED",INDEX(COA_Mapping!$C$7:$C$256,$Q4136)))</f>
        <v/>
      </c>
      <c r="N4136" s="38" t="str">
        <f aca="false">IF($A4136="","",IF($Q4136=0,"",INDEX(COA_Mapping!$E$7:$E$256,$Q4136)))</f>
        <v/>
      </c>
      <c r="O4136" s="38" t="n">
        <f aca="false">IF($A4136="",1,IF($Q4136=0,1,INDEX(COA_Mapping!$F$7:$F$256,$Q4136)))</f>
        <v>1</v>
      </c>
      <c r="P4136" s="34" t="str">
        <f aca="false">IF($A4136="","",$I4136*$O4136)</f>
        <v/>
      </c>
      <c r="Q4136" s="39" t="n">
        <f aca="false">IF($B4136="",0,IFERROR(MATCH($B4136,COA_Mapping!$A$7:$A$256,0),0))</f>
        <v>0</v>
      </c>
      <c r="R4136" s="39" t="n">
        <f aca="false">IF($A4136="",-1,IF($J4136=Setup!$B$7,1,IF($J4136=Setup!$B$9,0,-1)))</f>
        <v>-1</v>
      </c>
      <c r="S4136" s="35" t="n">
        <f aca="false">IF(OR($A4136="",$Q4136=0,$R4136=-1),0,$Q4136*1000+$R4136*100+$K4136)</f>
        <v>0</v>
      </c>
      <c r="T4136" s="37" t="str">
        <f aca="false">IF($A4136="","",IF($B4136="","NO ACCOUNT",IF($Q4136=0,"UNMAPPED",IF($R4136=-1,"OUTSIDE FY RANGE","OK"))))</f>
        <v/>
      </c>
      <c r="U4136" s="40" t="str">
        <f aca="false">IF($A4136="","",$B4136&amp;"|"&amp;TEXT($A4136,"yyyymmdd")&amp;"|"&amp;TEXT($I4136,"0.00"))</f>
        <v/>
      </c>
      <c r="V4136" s="35" t="str">
        <f aca="false">IF($A4136="","",COUNTIF($U$8:$U$5007,$U4136))</f>
        <v/>
      </c>
    </row>
    <row r="4137" customFormat="false" ht="15" hidden="false" customHeight="false" outlineLevel="0" collapsed="false">
      <c r="A4137" s="31"/>
      <c r="B4137" s="32"/>
      <c r="C4137" s="32"/>
      <c r="D4137" s="32"/>
      <c r="E4137" s="32"/>
      <c r="F4137" s="32"/>
      <c r="G4137" s="33"/>
      <c r="H4137" s="33"/>
      <c r="I4137" s="34" t="str">
        <f aca="false">IF($A4137="","",$G4137-$H4137)</f>
        <v/>
      </c>
      <c r="J4137" s="35" t="str">
        <f aca="false">IF($A4137="","",IF(Setup!$B$6=1,YEAR($A4137),YEAR($A4137)+IF(MONTH($A4137)&gt;=Setup!$B$6,1,0)))</f>
        <v/>
      </c>
      <c r="K4137" s="35" t="str">
        <f aca="false">IF($A4137="","",MOD(MONTH($A4137)-Setup!$B$6+12,12)+1)</f>
        <v/>
      </c>
      <c r="L4137" s="36" t="str">
        <f aca="false">IF($A4137="","",TEXT($A4137,"MMM-YY"))</f>
        <v/>
      </c>
      <c r="M4137" s="37" t="str">
        <f aca="false">IF($A4137="","",IF($Q4137=0,"UNMAPPED",INDEX(COA_Mapping!$C$7:$C$256,$Q4137)))</f>
        <v/>
      </c>
      <c r="N4137" s="38" t="str">
        <f aca="false">IF($A4137="","",IF($Q4137=0,"",INDEX(COA_Mapping!$E$7:$E$256,$Q4137)))</f>
        <v/>
      </c>
      <c r="O4137" s="38" t="n">
        <f aca="false">IF($A4137="",1,IF($Q4137=0,1,INDEX(COA_Mapping!$F$7:$F$256,$Q4137)))</f>
        <v>1</v>
      </c>
      <c r="P4137" s="34" t="str">
        <f aca="false">IF($A4137="","",$I4137*$O4137)</f>
        <v/>
      </c>
      <c r="Q4137" s="39" t="n">
        <f aca="false">IF($B4137="",0,IFERROR(MATCH($B4137,COA_Mapping!$A$7:$A$256,0),0))</f>
        <v>0</v>
      </c>
      <c r="R4137" s="39" t="n">
        <f aca="false">IF($A4137="",-1,IF($J4137=Setup!$B$7,1,IF($J4137=Setup!$B$9,0,-1)))</f>
        <v>-1</v>
      </c>
      <c r="S4137" s="35" t="n">
        <f aca="false">IF(OR($A4137="",$Q4137=0,$R4137=-1),0,$Q4137*1000+$R4137*100+$K4137)</f>
        <v>0</v>
      </c>
      <c r="T4137" s="37" t="str">
        <f aca="false">IF($A4137="","",IF($B4137="","NO ACCOUNT",IF($Q4137=0,"UNMAPPED",IF($R4137=-1,"OUTSIDE FY RANGE","OK"))))</f>
        <v/>
      </c>
      <c r="U4137" s="40" t="str">
        <f aca="false">IF($A4137="","",$B4137&amp;"|"&amp;TEXT($A4137,"yyyymmdd")&amp;"|"&amp;TEXT($I4137,"0.00"))</f>
        <v/>
      </c>
      <c r="V4137" s="35" t="str">
        <f aca="false">IF($A4137="","",COUNTIF($U$8:$U$5007,$U4137))</f>
        <v/>
      </c>
    </row>
    <row r="4138" customFormat="false" ht="15" hidden="false" customHeight="false" outlineLevel="0" collapsed="false">
      <c r="A4138" s="31"/>
      <c r="B4138" s="32"/>
      <c r="C4138" s="32"/>
      <c r="D4138" s="32"/>
      <c r="E4138" s="32"/>
      <c r="F4138" s="32"/>
      <c r="G4138" s="33"/>
      <c r="H4138" s="33"/>
      <c r="I4138" s="34" t="str">
        <f aca="false">IF($A4138="","",$G4138-$H4138)</f>
        <v/>
      </c>
      <c r="J4138" s="35" t="str">
        <f aca="false">IF($A4138="","",IF(Setup!$B$6=1,YEAR($A4138),YEAR($A4138)+IF(MONTH($A4138)&gt;=Setup!$B$6,1,0)))</f>
        <v/>
      </c>
      <c r="K4138" s="35" t="str">
        <f aca="false">IF($A4138="","",MOD(MONTH($A4138)-Setup!$B$6+12,12)+1)</f>
        <v/>
      </c>
      <c r="L4138" s="36" t="str">
        <f aca="false">IF($A4138="","",TEXT($A4138,"MMM-YY"))</f>
        <v/>
      </c>
      <c r="M4138" s="37" t="str">
        <f aca="false">IF($A4138="","",IF($Q4138=0,"UNMAPPED",INDEX(COA_Mapping!$C$7:$C$256,$Q4138)))</f>
        <v/>
      </c>
      <c r="N4138" s="38" t="str">
        <f aca="false">IF($A4138="","",IF($Q4138=0,"",INDEX(COA_Mapping!$E$7:$E$256,$Q4138)))</f>
        <v/>
      </c>
      <c r="O4138" s="38" t="n">
        <f aca="false">IF($A4138="",1,IF($Q4138=0,1,INDEX(COA_Mapping!$F$7:$F$256,$Q4138)))</f>
        <v>1</v>
      </c>
      <c r="P4138" s="34" t="str">
        <f aca="false">IF($A4138="","",$I4138*$O4138)</f>
        <v/>
      </c>
      <c r="Q4138" s="39" t="n">
        <f aca="false">IF($B4138="",0,IFERROR(MATCH($B4138,COA_Mapping!$A$7:$A$256,0),0))</f>
        <v>0</v>
      </c>
      <c r="R4138" s="39" t="n">
        <f aca="false">IF($A4138="",-1,IF($J4138=Setup!$B$7,1,IF($J4138=Setup!$B$9,0,-1)))</f>
        <v>-1</v>
      </c>
      <c r="S4138" s="35" t="n">
        <f aca="false">IF(OR($A4138="",$Q4138=0,$R4138=-1),0,$Q4138*1000+$R4138*100+$K4138)</f>
        <v>0</v>
      </c>
      <c r="T4138" s="37" t="str">
        <f aca="false">IF($A4138="","",IF($B4138="","NO ACCOUNT",IF($Q4138=0,"UNMAPPED",IF($R4138=-1,"OUTSIDE FY RANGE","OK"))))</f>
        <v/>
      </c>
      <c r="U4138" s="40" t="str">
        <f aca="false">IF($A4138="","",$B4138&amp;"|"&amp;TEXT($A4138,"yyyymmdd")&amp;"|"&amp;TEXT($I4138,"0.00"))</f>
        <v/>
      </c>
      <c r="V4138" s="35" t="str">
        <f aca="false">IF($A4138="","",COUNTIF($U$8:$U$5007,$U4138))</f>
        <v/>
      </c>
    </row>
    <row r="4139" customFormat="false" ht="15" hidden="false" customHeight="false" outlineLevel="0" collapsed="false">
      <c r="A4139" s="31"/>
      <c r="B4139" s="32"/>
      <c r="C4139" s="32"/>
      <c r="D4139" s="32"/>
      <c r="E4139" s="32"/>
      <c r="F4139" s="32"/>
      <c r="G4139" s="33"/>
      <c r="H4139" s="33"/>
      <c r="I4139" s="34" t="str">
        <f aca="false">IF($A4139="","",$G4139-$H4139)</f>
        <v/>
      </c>
      <c r="J4139" s="35" t="str">
        <f aca="false">IF($A4139="","",IF(Setup!$B$6=1,YEAR($A4139),YEAR($A4139)+IF(MONTH($A4139)&gt;=Setup!$B$6,1,0)))</f>
        <v/>
      </c>
      <c r="K4139" s="35" t="str">
        <f aca="false">IF($A4139="","",MOD(MONTH($A4139)-Setup!$B$6+12,12)+1)</f>
        <v/>
      </c>
      <c r="L4139" s="36" t="str">
        <f aca="false">IF($A4139="","",TEXT($A4139,"MMM-YY"))</f>
        <v/>
      </c>
      <c r="M4139" s="37" t="str">
        <f aca="false">IF($A4139="","",IF($Q4139=0,"UNMAPPED",INDEX(COA_Mapping!$C$7:$C$256,$Q4139)))</f>
        <v/>
      </c>
      <c r="N4139" s="38" t="str">
        <f aca="false">IF($A4139="","",IF($Q4139=0,"",INDEX(COA_Mapping!$E$7:$E$256,$Q4139)))</f>
        <v/>
      </c>
      <c r="O4139" s="38" t="n">
        <f aca="false">IF($A4139="",1,IF($Q4139=0,1,INDEX(COA_Mapping!$F$7:$F$256,$Q4139)))</f>
        <v>1</v>
      </c>
      <c r="P4139" s="34" t="str">
        <f aca="false">IF($A4139="","",$I4139*$O4139)</f>
        <v/>
      </c>
      <c r="Q4139" s="39" t="n">
        <f aca="false">IF($B4139="",0,IFERROR(MATCH($B4139,COA_Mapping!$A$7:$A$256,0),0))</f>
        <v>0</v>
      </c>
      <c r="R4139" s="39" t="n">
        <f aca="false">IF($A4139="",-1,IF($J4139=Setup!$B$7,1,IF($J4139=Setup!$B$9,0,-1)))</f>
        <v>-1</v>
      </c>
      <c r="S4139" s="35" t="n">
        <f aca="false">IF(OR($A4139="",$Q4139=0,$R4139=-1),0,$Q4139*1000+$R4139*100+$K4139)</f>
        <v>0</v>
      </c>
      <c r="T4139" s="37" t="str">
        <f aca="false">IF($A4139="","",IF($B4139="","NO ACCOUNT",IF($Q4139=0,"UNMAPPED",IF($R4139=-1,"OUTSIDE FY RANGE","OK"))))</f>
        <v/>
      </c>
      <c r="U4139" s="40" t="str">
        <f aca="false">IF($A4139="","",$B4139&amp;"|"&amp;TEXT($A4139,"yyyymmdd")&amp;"|"&amp;TEXT($I4139,"0.00"))</f>
        <v/>
      </c>
      <c r="V4139" s="35" t="str">
        <f aca="false">IF($A4139="","",COUNTIF($U$8:$U$5007,$U4139))</f>
        <v/>
      </c>
    </row>
    <row r="4140" customFormat="false" ht="15" hidden="false" customHeight="false" outlineLevel="0" collapsed="false">
      <c r="A4140" s="31"/>
      <c r="B4140" s="32"/>
      <c r="C4140" s="32"/>
      <c r="D4140" s="32"/>
      <c r="E4140" s="32"/>
      <c r="F4140" s="32"/>
      <c r="G4140" s="33"/>
      <c r="H4140" s="33"/>
      <c r="I4140" s="34" t="str">
        <f aca="false">IF($A4140="","",$G4140-$H4140)</f>
        <v/>
      </c>
      <c r="J4140" s="35" t="str">
        <f aca="false">IF($A4140="","",IF(Setup!$B$6=1,YEAR($A4140),YEAR($A4140)+IF(MONTH($A4140)&gt;=Setup!$B$6,1,0)))</f>
        <v/>
      </c>
      <c r="K4140" s="35" t="str">
        <f aca="false">IF($A4140="","",MOD(MONTH($A4140)-Setup!$B$6+12,12)+1)</f>
        <v/>
      </c>
      <c r="L4140" s="36" t="str">
        <f aca="false">IF($A4140="","",TEXT($A4140,"MMM-YY"))</f>
        <v/>
      </c>
      <c r="M4140" s="37" t="str">
        <f aca="false">IF($A4140="","",IF($Q4140=0,"UNMAPPED",INDEX(COA_Mapping!$C$7:$C$256,$Q4140)))</f>
        <v/>
      </c>
      <c r="N4140" s="38" t="str">
        <f aca="false">IF($A4140="","",IF($Q4140=0,"",INDEX(COA_Mapping!$E$7:$E$256,$Q4140)))</f>
        <v/>
      </c>
      <c r="O4140" s="38" t="n">
        <f aca="false">IF($A4140="",1,IF($Q4140=0,1,INDEX(COA_Mapping!$F$7:$F$256,$Q4140)))</f>
        <v>1</v>
      </c>
      <c r="P4140" s="34" t="str">
        <f aca="false">IF($A4140="","",$I4140*$O4140)</f>
        <v/>
      </c>
      <c r="Q4140" s="39" t="n">
        <f aca="false">IF($B4140="",0,IFERROR(MATCH($B4140,COA_Mapping!$A$7:$A$256,0),0))</f>
        <v>0</v>
      </c>
      <c r="R4140" s="39" t="n">
        <f aca="false">IF($A4140="",-1,IF($J4140=Setup!$B$7,1,IF($J4140=Setup!$B$9,0,-1)))</f>
        <v>-1</v>
      </c>
      <c r="S4140" s="35" t="n">
        <f aca="false">IF(OR($A4140="",$Q4140=0,$R4140=-1),0,$Q4140*1000+$R4140*100+$K4140)</f>
        <v>0</v>
      </c>
      <c r="T4140" s="37" t="str">
        <f aca="false">IF($A4140="","",IF($B4140="","NO ACCOUNT",IF($Q4140=0,"UNMAPPED",IF($R4140=-1,"OUTSIDE FY RANGE","OK"))))</f>
        <v/>
      </c>
      <c r="U4140" s="40" t="str">
        <f aca="false">IF($A4140="","",$B4140&amp;"|"&amp;TEXT($A4140,"yyyymmdd")&amp;"|"&amp;TEXT($I4140,"0.00"))</f>
        <v/>
      </c>
      <c r="V4140" s="35" t="str">
        <f aca="false">IF($A4140="","",COUNTIF($U$8:$U$5007,$U4140))</f>
        <v/>
      </c>
    </row>
    <row r="4141" customFormat="false" ht="15" hidden="false" customHeight="false" outlineLevel="0" collapsed="false">
      <c r="A4141" s="31"/>
      <c r="B4141" s="32"/>
      <c r="C4141" s="32"/>
      <c r="D4141" s="32"/>
      <c r="E4141" s="32"/>
      <c r="F4141" s="32"/>
      <c r="G4141" s="33"/>
      <c r="H4141" s="33"/>
      <c r="I4141" s="34" t="str">
        <f aca="false">IF($A4141="","",$G4141-$H4141)</f>
        <v/>
      </c>
      <c r="J4141" s="35" t="str">
        <f aca="false">IF($A4141="","",IF(Setup!$B$6=1,YEAR($A4141),YEAR($A4141)+IF(MONTH($A4141)&gt;=Setup!$B$6,1,0)))</f>
        <v/>
      </c>
      <c r="K4141" s="35" t="str">
        <f aca="false">IF($A4141="","",MOD(MONTH($A4141)-Setup!$B$6+12,12)+1)</f>
        <v/>
      </c>
      <c r="L4141" s="36" t="str">
        <f aca="false">IF($A4141="","",TEXT($A4141,"MMM-YY"))</f>
        <v/>
      </c>
      <c r="M4141" s="37" t="str">
        <f aca="false">IF($A4141="","",IF($Q4141=0,"UNMAPPED",INDEX(COA_Mapping!$C$7:$C$256,$Q4141)))</f>
        <v/>
      </c>
      <c r="N4141" s="38" t="str">
        <f aca="false">IF($A4141="","",IF($Q4141=0,"",INDEX(COA_Mapping!$E$7:$E$256,$Q4141)))</f>
        <v/>
      </c>
      <c r="O4141" s="38" t="n">
        <f aca="false">IF($A4141="",1,IF($Q4141=0,1,INDEX(COA_Mapping!$F$7:$F$256,$Q4141)))</f>
        <v>1</v>
      </c>
      <c r="P4141" s="34" t="str">
        <f aca="false">IF($A4141="","",$I4141*$O4141)</f>
        <v/>
      </c>
      <c r="Q4141" s="39" t="n">
        <f aca="false">IF($B4141="",0,IFERROR(MATCH($B4141,COA_Mapping!$A$7:$A$256,0),0))</f>
        <v>0</v>
      </c>
      <c r="R4141" s="39" t="n">
        <f aca="false">IF($A4141="",-1,IF($J4141=Setup!$B$7,1,IF($J4141=Setup!$B$9,0,-1)))</f>
        <v>-1</v>
      </c>
      <c r="S4141" s="35" t="n">
        <f aca="false">IF(OR($A4141="",$Q4141=0,$R4141=-1),0,$Q4141*1000+$R4141*100+$K4141)</f>
        <v>0</v>
      </c>
      <c r="T4141" s="37" t="str">
        <f aca="false">IF($A4141="","",IF($B4141="","NO ACCOUNT",IF($Q4141=0,"UNMAPPED",IF($R4141=-1,"OUTSIDE FY RANGE","OK"))))</f>
        <v/>
      </c>
      <c r="U4141" s="40" t="str">
        <f aca="false">IF($A4141="","",$B4141&amp;"|"&amp;TEXT($A4141,"yyyymmdd")&amp;"|"&amp;TEXT($I4141,"0.00"))</f>
        <v/>
      </c>
      <c r="V4141" s="35" t="str">
        <f aca="false">IF($A4141="","",COUNTIF($U$8:$U$5007,$U4141))</f>
        <v/>
      </c>
    </row>
    <row r="4142" customFormat="false" ht="15" hidden="false" customHeight="false" outlineLevel="0" collapsed="false">
      <c r="A4142" s="31"/>
      <c r="B4142" s="32"/>
      <c r="C4142" s="32"/>
      <c r="D4142" s="32"/>
      <c r="E4142" s="32"/>
      <c r="F4142" s="32"/>
      <c r="G4142" s="33"/>
      <c r="H4142" s="33"/>
      <c r="I4142" s="34" t="str">
        <f aca="false">IF($A4142="","",$G4142-$H4142)</f>
        <v/>
      </c>
      <c r="J4142" s="35" t="str">
        <f aca="false">IF($A4142="","",IF(Setup!$B$6=1,YEAR($A4142),YEAR($A4142)+IF(MONTH($A4142)&gt;=Setup!$B$6,1,0)))</f>
        <v/>
      </c>
      <c r="K4142" s="35" t="str">
        <f aca="false">IF($A4142="","",MOD(MONTH($A4142)-Setup!$B$6+12,12)+1)</f>
        <v/>
      </c>
      <c r="L4142" s="36" t="str">
        <f aca="false">IF($A4142="","",TEXT($A4142,"MMM-YY"))</f>
        <v/>
      </c>
      <c r="M4142" s="37" t="str">
        <f aca="false">IF($A4142="","",IF($Q4142=0,"UNMAPPED",INDEX(COA_Mapping!$C$7:$C$256,$Q4142)))</f>
        <v/>
      </c>
      <c r="N4142" s="38" t="str">
        <f aca="false">IF($A4142="","",IF($Q4142=0,"",INDEX(COA_Mapping!$E$7:$E$256,$Q4142)))</f>
        <v/>
      </c>
      <c r="O4142" s="38" t="n">
        <f aca="false">IF($A4142="",1,IF($Q4142=0,1,INDEX(COA_Mapping!$F$7:$F$256,$Q4142)))</f>
        <v>1</v>
      </c>
      <c r="P4142" s="34" t="str">
        <f aca="false">IF($A4142="","",$I4142*$O4142)</f>
        <v/>
      </c>
      <c r="Q4142" s="39" t="n">
        <f aca="false">IF($B4142="",0,IFERROR(MATCH($B4142,COA_Mapping!$A$7:$A$256,0),0))</f>
        <v>0</v>
      </c>
      <c r="R4142" s="39" t="n">
        <f aca="false">IF($A4142="",-1,IF($J4142=Setup!$B$7,1,IF($J4142=Setup!$B$9,0,-1)))</f>
        <v>-1</v>
      </c>
      <c r="S4142" s="35" t="n">
        <f aca="false">IF(OR($A4142="",$Q4142=0,$R4142=-1),0,$Q4142*1000+$R4142*100+$K4142)</f>
        <v>0</v>
      </c>
      <c r="T4142" s="37" t="str">
        <f aca="false">IF($A4142="","",IF($B4142="","NO ACCOUNT",IF($Q4142=0,"UNMAPPED",IF($R4142=-1,"OUTSIDE FY RANGE","OK"))))</f>
        <v/>
      </c>
      <c r="U4142" s="40" t="str">
        <f aca="false">IF($A4142="","",$B4142&amp;"|"&amp;TEXT($A4142,"yyyymmdd")&amp;"|"&amp;TEXT($I4142,"0.00"))</f>
        <v/>
      </c>
      <c r="V4142" s="35" t="str">
        <f aca="false">IF($A4142="","",COUNTIF($U$8:$U$5007,$U4142))</f>
        <v/>
      </c>
    </row>
    <row r="4143" customFormat="false" ht="15" hidden="false" customHeight="false" outlineLevel="0" collapsed="false">
      <c r="A4143" s="31"/>
      <c r="B4143" s="32"/>
      <c r="C4143" s="32"/>
      <c r="D4143" s="32"/>
      <c r="E4143" s="32"/>
      <c r="F4143" s="32"/>
      <c r="G4143" s="33"/>
      <c r="H4143" s="33"/>
      <c r="I4143" s="34" t="str">
        <f aca="false">IF($A4143="","",$G4143-$H4143)</f>
        <v/>
      </c>
      <c r="J4143" s="35" t="str">
        <f aca="false">IF($A4143="","",IF(Setup!$B$6=1,YEAR($A4143),YEAR($A4143)+IF(MONTH($A4143)&gt;=Setup!$B$6,1,0)))</f>
        <v/>
      </c>
      <c r="K4143" s="35" t="str">
        <f aca="false">IF($A4143="","",MOD(MONTH($A4143)-Setup!$B$6+12,12)+1)</f>
        <v/>
      </c>
      <c r="L4143" s="36" t="str">
        <f aca="false">IF($A4143="","",TEXT($A4143,"MMM-YY"))</f>
        <v/>
      </c>
      <c r="M4143" s="37" t="str">
        <f aca="false">IF($A4143="","",IF($Q4143=0,"UNMAPPED",INDEX(COA_Mapping!$C$7:$C$256,$Q4143)))</f>
        <v/>
      </c>
      <c r="N4143" s="38" t="str">
        <f aca="false">IF($A4143="","",IF($Q4143=0,"",INDEX(COA_Mapping!$E$7:$E$256,$Q4143)))</f>
        <v/>
      </c>
      <c r="O4143" s="38" t="n">
        <f aca="false">IF($A4143="",1,IF($Q4143=0,1,INDEX(COA_Mapping!$F$7:$F$256,$Q4143)))</f>
        <v>1</v>
      </c>
      <c r="P4143" s="34" t="str">
        <f aca="false">IF($A4143="","",$I4143*$O4143)</f>
        <v/>
      </c>
      <c r="Q4143" s="39" t="n">
        <f aca="false">IF($B4143="",0,IFERROR(MATCH($B4143,COA_Mapping!$A$7:$A$256,0),0))</f>
        <v>0</v>
      </c>
      <c r="R4143" s="39" t="n">
        <f aca="false">IF($A4143="",-1,IF($J4143=Setup!$B$7,1,IF($J4143=Setup!$B$9,0,-1)))</f>
        <v>-1</v>
      </c>
      <c r="S4143" s="35" t="n">
        <f aca="false">IF(OR($A4143="",$Q4143=0,$R4143=-1),0,$Q4143*1000+$R4143*100+$K4143)</f>
        <v>0</v>
      </c>
      <c r="T4143" s="37" t="str">
        <f aca="false">IF($A4143="","",IF($B4143="","NO ACCOUNT",IF($Q4143=0,"UNMAPPED",IF($R4143=-1,"OUTSIDE FY RANGE","OK"))))</f>
        <v/>
      </c>
      <c r="U4143" s="40" t="str">
        <f aca="false">IF($A4143="","",$B4143&amp;"|"&amp;TEXT($A4143,"yyyymmdd")&amp;"|"&amp;TEXT($I4143,"0.00"))</f>
        <v/>
      </c>
      <c r="V4143" s="35" t="str">
        <f aca="false">IF($A4143="","",COUNTIF($U$8:$U$5007,$U4143))</f>
        <v/>
      </c>
    </row>
    <row r="4144" customFormat="false" ht="15" hidden="false" customHeight="false" outlineLevel="0" collapsed="false">
      <c r="A4144" s="31"/>
      <c r="B4144" s="32"/>
      <c r="C4144" s="32"/>
      <c r="D4144" s="32"/>
      <c r="E4144" s="32"/>
      <c r="F4144" s="32"/>
      <c r="G4144" s="33"/>
      <c r="H4144" s="33"/>
      <c r="I4144" s="34" t="str">
        <f aca="false">IF($A4144="","",$G4144-$H4144)</f>
        <v/>
      </c>
      <c r="J4144" s="35" t="str">
        <f aca="false">IF($A4144="","",IF(Setup!$B$6=1,YEAR($A4144),YEAR($A4144)+IF(MONTH($A4144)&gt;=Setup!$B$6,1,0)))</f>
        <v/>
      </c>
      <c r="K4144" s="35" t="str">
        <f aca="false">IF($A4144="","",MOD(MONTH($A4144)-Setup!$B$6+12,12)+1)</f>
        <v/>
      </c>
      <c r="L4144" s="36" t="str">
        <f aca="false">IF($A4144="","",TEXT($A4144,"MMM-YY"))</f>
        <v/>
      </c>
      <c r="M4144" s="37" t="str">
        <f aca="false">IF($A4144="","",IF($Q4144=0,"UNMAPPED",INDEX(COA_Mapping!$C$7:$C$256,$Q4144)))</f>
        <v/>
      </c>
      <c r="N4144" s="38" t="str">
        <f aca="false">IF($A4144="","",IF($Q4144=0,"",INDEX(COA_Mapping!$E$7:$E$256,$Q4144)))</f>
        <v/>
      </c>
      <c r="O4144" s="38" t="n">
        <f aca="false">IF($A4144="",1,IF($Q4144=0,1,INDEX(COA_Mapping!$F$7:$F$256,$Q4144)))</f>
        <v>1</v>
      </c>
      <c r="P4144" s="34" t="str">
        <f aca="false">IF($A4144="","",$I4144*$O4144)</f>
        <v/>
      </c>
      <c r="Q4144" s="39" t="n">
        <f aca="false">IF($B4144="",0,IFERROR(MATCH($B4144,COA_Mapping!$A$7:$A$256,0),0))</f>
        <v>0</v>
      </c>
      <c r="R4144" s="39" t="n">
        <f aca="false">IF($A4144="",-1,IF($J4144=Setup!$B$7,1,IF($J4144=Setup!$B$9,0,-1)))</f>
        <v>-1</v>
      </c>
      <c r="S4144" s="35" t="n">
        <f aca="false">IF(OR($A4144="",$Q4144=0,$R4144=-1),0,$Q4144*1000+$R4144*100+$K4144)</f>
        <v>0</v>
      </c>
      <c r="T4144" s="37" t="str">
        <f aca="false">IF($A4144="","",IF($B4144="","NO ACCOUNT",IF($Q4144=0,"UNMAPPED",IF($R4144=-1,"OUTSIDE FY RANGE","OK"))))</f>
        <v/>
      </c>
      <c r="U4144" s="40" t="str">
        <f aca="false">IF($A4144="","",$B4144&amp;"|"&amp;TEXT($A4144,"yyyymmdd")&amp;"|"&amp;TEXT($I4144,"0.00"))</f>
        <v/>
      </c>
      <c r="V4144" s="35" t="str">
        <f aca="false">IF($A4144="","",COUNTIF($U$8:$U$5007,$U4144))</f>
        <v/>
      </c>
    </row>
    <row r="4145" customFormat="false" ht="15" hidden="false" customHeight="false" outlineLevel="0" collapsed="false">
      <c r="A4145" s="31"/>
      <c r="B4145" s="32"/>
      <c r="C4145" s="32"/>
      <c r="D4145" s="32"/>
      <c r="E4145" s="32"/>
      <c r="F4145" s="32"/>
      <c r="G4145" s="33"/>
      <c r="H4145" s="33"/>
      <c r="I4145" s="34" t="str">
        <f aca="false">IF($A4145="","",$G4145-$H4145)</f>
        <v/>
      </c>
      <c r="J4145" s="35" t="str">
        <f aca="false">IF($A4145="","",IF(Setup!$B$6=1,YEAR($A4145),YEAR($A4145)+IF(MONTH($A4145)&gt;=Setup!$B$6,1,0)))</f>
        <v/>
      </c>
      <c r="K4145" s="35" t="str">
        <f aca="false">IF($A4145="","",MOD(MONTH($A4145)-Setup!$B$6+12,12)+1)</f>
        <v/>
      </c>
      <c r="L4145" s="36" t="str">
        <f aca="false">IF($A4145="","",TEXT($A4145,"MMM-YY"))</f>
        <v/>
      </c>
      <c r="M4145" s="37" t="str">
        <f aca="false">IF($A4145="","",IF($Q4145=0,"UNMAPPED",INDEX(COA_Mapping!$C$7:$C$256,$Q4145)))</f>
        <v/>
      </c>
      <c r="N4145" s="38" t="str">
        <f aca="false">IF($A4145="","",IF($Q4145=0,"",INDEX(COA_Mapping!$E$7:$E$256,$Q4145)))</f>
        <v/>
      </c>
      <c r="O4145" s="38" t="n">
        <f aca="false">IF($A4145="",1,IF($Q4145=0,1,INDEX(COA_Mapping!$F$7:$F$256,$Q4145)))</f>
        <v>1</v>
      </c>
      <c r="P4145" s="34" t="str">
        <f aca="false">IF($A4145="","",$I4145*$O4145)</f>
        <v/>
      </c>
      <c r="Q4145" s="39" t="n">
        <f aca="false">IF($B4145="",0,IFERROR(MATCH($B4145,COA_Mapping!$A$7:$A$256,0),0))</f>
        <v>0</v>
      </c>
      <c r="R4145" s="39" t="n">
        <f aca="false">IF($A4145="",-1,IF($J4145=Setup!$B$7,1,IF($J4145=Setup!$B$9,0,-1)))</f>
        <v>-1</v>
      </c>
      <c r="S4145" s="35" t="n">
        <f aca="false">IF(OR($A4145="",$Q4145=0,$R4145=-1),0,$Q4145*1000+$R4145*100+$K4145)</f>
        <v>0</v>
      </c>
      <c r="T4145" s="37" t="str">
        <f aca="false">IF($A4145="","",IF($B4145="","NO ACCOUNT",IF($Q4145=0,"UNMAPPED",IF($R4145=-1,"OUTSIDE FY RANGE","OK"))))</f>
        <v/>
      </c>
      <c r="U4145" s="40" t="str">
        <f aca="false">IF($A4145="","",$B4145&amp;"|"&amp;TEXT($A4145,"yyyymmdd")&amp;"|"&amp;TEXT($I4145,"0.00"))</f>
        <v/>
      </c>
      <c r="V4145" s="35" t="str">
        <f aca="false">IF($A4145="","",COUNTIF($U$8:$U$5007,$U4145))</f>
        <v/>
      </c>
    </row>
    <row r="4146" customFormat="false" ht="15" hidden="false" customHeight="false" outlineLevel="0" collapsed="false">
      <c r="A4146" s="31"/>
      <c r="B4146" s="32"/>
      <c r="C4146" s="32"/>
      <c r="D4146" s="32"/>
      <c r="E4146" s="32"/>
      <c r="F4146" s="32"/>
      <c r="G4146" s="33"/>
      <c r="H4146" s="33"/>
      <c r="I4146" s="34" t="str">
        <f aca="false">IF($A4146="","",$G4146-$H4146)</f>
        <v/>
      </c>
      <c r="J4146" s="35" t="str">
        <f aca="false">IF($A4146="","",IF(Setup!$B$6=1,YEAR($A4146),YEAR($A4146)+IF(MONTH($A4146)&gt;=Setup!$B$6,1,0)))</f>
        <v/>
      </c>
      <c r="K4146" s="35" t="str">
        <f aca="false">IF($A4146="","",MOD(MONTH($A4146)-Setup!$B$6+12,12)+1)</f>
        <v/>
      </c>
      <c r="L4146" s="36" t="str">
        <f aca="false">IF($A4146="","",TEXT($A4146,"MMM-YY"))</f>
        <v/>
      </c>
      <c r="M4146" s="37" t="str">
        <f aca="false">IF($A4146="","",IF($Q4146=0,"UNMAPPED",INDEX(COA_Mapping!$C$7:$C$256,$Q4146)))</f>
        <v/>
      </c>
      <c r="N4146" s="38" t="str">
        <f aca="false">IF($A4146="","",IF($Q4146=0,"",INDEX(COA_Mapping!$E$7:$E$256,$Q4146)))</f>
        <v/>
      </c>
      <c r="O4146" s="38" t="n">
        <f aca="false">IF($A4146="",1,IF($Q4146=0,1,INDEX(COA_Mapping!$F$7:$F$256,$Q4146)))</f>
        <v>1</v>
      </c>
      <c r="P4146" s="34" t="str">
        <f aca="false">IF($A4146="","",$I4146*$O4146)</f>
        <v/>
      </c>
      <c r="Q4146" s="39" t="n">
        <f aca="false">IF($B4146="",0,IFERROR(MATCH($B4146,COA_Mapping!$A$7:$A$256,0),0))</f>
        <v>0</v>
      </c>
      <c r="R4146" s="39" t="n">
        <f aca="false">IF($A4146="",-1,IF($J4146=Setup!$B$7,1,IF($J4146=Setup!$B$9,0,-1)))</f>
        <v>-1</v>
      </c>
      <c r="S4146" s="35" t="n">
        <f aca="false">IF(OR($A4146="",$Q4146=0,$R4146=-1),0,$Q4146*1000+$R4146*100+$K4146)</f>
        <v>0</v>
      </c>
      <c r="T4146" s="37" t="str">
        <f aca="false">IF($A4146="","",IF($B4146="","NO ACCOUNT",IF($Q4146=0,"UNMAPPED",IF($R4146=-1,"OUTSIDE FY RANGE","OK"))))</f>
        <v/>
      </c>
      <c r="U4146" s="40" t="str">
        <f aca="false">IF($A4146="","",$B4146&amp;"|"&amp;TEXT($A4146,"yyyymmdd")&amp;"|"&amp;TEXT($I4146,"0.00"))</f>
        <v/>
      </c>
      <c r="V4146" s="35" t="str">
        <f aca="false">IF($A4146="","",COUNTIF($U$8:$U$5007,$U4146))</f>
        <v/>
      </c>
    </row>
    <row r="4147" customFormat="false" ht="15" hidden="false" customHeight="false" outlineLevel="0" collapsed="false">
      <c r="A4147" s="31"/>
      <c r="B4147" s="32"/>
      <c r="C4147" s="32"/>
      <c r="D4147" s="32"/>
      <c r="E4147" s="32"/>
      <c r="F4147" s="32"/>
      <c r="G4147" s="33"/>
      <c r="H4147" s="33"/>
      <c r="I4147" s="34" t="str">
        <f aca="false">IF($A4147="","",$G4147-$H4147)</f>
        <v/>
      </c>
      <c r="J4147" s="35" t="str">
        <f aca="false">IF($A4147="","",IF(Setup!$B$6=1,YEAR($A4147),YEAR($A4147)+IF(MONTH($A4147)&gt;=Setup!$B$6,1,0)))</f>
        <v/>
      </c>
      <c r="K4147" s="35" t="str">
        <f aca="false">IF($A4147="","",MOD(MONTH($A4147)-Setup!$B$6+12,12)+1)</f>
        <v/>
      </c>
      <c r="L4147" s="36" t="str">
        <f aca="false">IF($A4147="","",TEXT($A4147,"MMM-YY"))</f>
        <v/>
      </c>
      <c r="M4147" s="37" t="str">
        <f aca="false">IF($A4147="","",IF($Q4147=0,"UNMAPPED",INDEX(COA_Mapping!$C$7:$C$256,$Q4147)))</f>
        <v/>
      </c>
      <c r="N4147" s="38" t="str">
        <f aca="false">IF($A4147="","",IF($Q4147=0,"",INDEX(COA_Mapping!$E$7:$E$256,$Q4147)))</f>
        <v/>
      </c>
      <c r="O4147" s="38" t="n">
        <f aca="false">IF($A4147="",1,IF($Q4147=0,1,INDEX(COA_Mapping!$F$7:$F$256,$Q4147)))</f>
        <v>1</v>
      </c>
      <c r="P4147" s="34" t="str">
        <f aca="false">IF($A4147="","",$I4147*$O4147)</f>
        <v/>
      </c>
      <c r="Q4147" s="39" t="n">
        <f aca="false">IF($B4147="",0,IFERROR(MATCH($B4147,COA_Mapping!$A$7:$A$256,0),0))</f>
        <v>0</v>
      </c>
      <c r="R4147" s="39" t="n">
        <f aca="false">IF($A4147="",-1,IF($J4147=Setup!$B$7,1,IF($J4147=Setup!$B$9,0,-1)))</f>
        <v>-1</v>
      </c>
      <c r="S4147" s="35" t="n">
        <f aca="false">IF(OR($A4147="",$Q4147=0,$R4147=-1),0,$Q4147*1000+$R4147*100+$K4147)</f>
        <v>0</v>
      </c>
      <c r="T4147" s="37" t="str">
        <f aca="false">IF($A4147="","",IF($B4147="","NO ACCOUNT",IF($Q4147=0,"UNMAPPED",IF($R4147=-1,"OUTSIDE FY RANGE","OK"))))</f>
        <v/>
      </c>
      <c r="U4147" s="40" t="str">
        <f aca="false">IF($A4147="","",$B4147&amp;"|"&amp;TEXT($A4147,"yyyymmdd")&amp;"|"&amp;TEXT($I4147,"0.00"))</f>
        <v/>
      </c>
      <c r="V4147" s="35" t="str">
        <f aca="false">IF($A4147="","",COUNTIF($U$8:$U$5007,$U4147))</f>
        <v/>
      </c>
    </row>
    <row r="4148" customFormat="false" ht="15" hidden="false" customHeight="false" outlineLevel="0" collapsed="false">
      <c r="A4148" s="31"/>
      <c r="B4148" s="32"/>
      <c r="C4148" s="32"/>
      <c r="D4148" s="32"/>
      <c r="E4148" s="32"/>
      <c r="F4148" s="32"/>
      <c r="G4148" s="33"/>
      <c r="H4148" s="33"/>
      <c r="I4148" s="34" t="str">
        <f aca="false">IF($A4148="","",$G4148-$H4148)</f>
        <v/>
      </c>
      <c r="J4148" s="35" t="str">
        <f aca="false">IF($A4148="","",IF(Setup!$B$6=1,YEAR($A4148),YEAR($A4148)+IF(MONTH($A4148)&gt;=Setup!$B$6,1,0)))</f>
        <v/>
      </c>
      <c r="K4148" s="35" t="str">
        <f aca="false">IF($A4148="","",MOD(MONTH($A4148)-Setup!$B$6+12,12)+1)</f>
        <v/>
      </c>
      <c r="L4148" s="36" t="str">
        <f aca="false">IF($A4148="","",TEXT($A4148,"MMM-YY"))</f>
        <v/>
      </c>
      <c r="M4148" s="37" t="str">
        <f aca="false">IF($A4148="","",IF($Q4148=0,"UNMAPPED",INDEX(COA_Mapping!$C$7:$C$256,$Q4148)))</f>
        <v/>
      </c>
      <c r="N4148" s="38" t="str">
        <f aca="false">IF($A4148="","",IF($Q4148=0,"",INDEX(COA_Mapping!$E$7:$E$256,$Q4148)))</f>
        <v/>
      </c>
      <c r="O4148" s="38" t="n">
        <f aca="false">IF($A4148="",1,IF($Q4148=0,1,INDEX(COA_Mapping!$F$7:$F$256,$Q4148)))</f>
        <v>1</v>
      </c>
      <c r="P4148" s="34" t="str">
        <f aca="false">IF($A4148="","",$I4148*$O4148)</f>
        <v/>
      </c>
      <c r="Q4148" s="39" t="n">
        <f aca="false">IF($B4148="",0,IFERROR(MATCH($B4148,COA_Mapping!$A$7:$A$256,0),0))</f>
        <v>0</v>
      </c>
      <c r="R4148" s="39" t="n">
        <f aca="false">IF($A4148="",-1,IF($J4148=Setup!$B$7,1,IF($J4148=Setup!$B$9,0,-1)))</f>
        <v>-1</v>
      </c>
      <c r="S4148" s="35" t="n">
        <f aca="false">IF(OR($A4148="",$Q4148=0,$R4148=-1),0,$Q4148*1000+$R4148*100+$K4148)</f>
        <v>0</v>
      </c>
      <c r="T4148" s="37" t="str">
        <f aca="false">IF($A4148="","",IF($B4148="","NO ACCOUNT",IF($Q4148=0,"UNMAPPED",IF($R4148=-1,"OUTSIDE FY RANGE","OK"))))</f>
        <v/>
      </c>
      <c r="U4148" s="40" t="str">
        <f aca="false">IF($A4148="","",$B4148&amp;"|"&amp;TEXT($A4148,"yyyymmdd")&amp;"|"&amp;TEXT($I4148,"0.00"))</f>
        <v/>
      </c>
      <c r="V4148" s="35" t="str">
        <f aca="false">IF($A4148="","",COUNTIF($U$8:$U$5007,$U4148))</f>
        <v/>
      </c>
    </row>
    <row r="4149" customFormat="false" ht="15" hidden="false" customHeight="false" outlineLevel="0" collapsed="false">
      <c r="A4149" s="31"/>
      <c r="B4149" s="32"/>
      <c r="C4149" s="32"/>
      <c r="D4149" s="32"/>
      <c r="E4149" s="32"/>
      <c r="F4149" s="32"/>
      <c r="G4149" s="33"/>
      <c r="H4149" s="33"/>
      <c r="I4149" s="34" t="str">
        <f aca="false">IF($A4149="","",$G4149-$H4149)</f>
        <v/>
      </c>
      <c r="J4149" s="35" t="str">
        <f aca="false">IF($A4149="","",IF(Setup!$B$6=1,YEAR($A4149),YEAR($A4149)+IF(MONTH($A4149)&gt;=Setup!$B$6,1,0)))</f>
        <v/>
      </c>
      <c r="K4149" s="35" t="str">
        <f aca="false">IF($A4149="","",MOD(MONTH($A4149)-Setup!$B$6+12,12)+1)</f>
        <v/>
      </c>
      <c r="L4149" s="36" t="str">
        <f aca="false">IF($A4149="","",TEXT($A4149,"MMM-YY"))</f>
        <v/>
      </c>
      <c r="M4149" s="37" t="str">
        <f aca="false">IF($A4149="","",IF($Q4149=0,"UNMAPPED",INDEX(COA_Mapping!$C$7:$C$256,$Q4149)))</f>
        <v/>
      </c>
      <c r="N4149" s="38" t="str">
        <f aca="false">IF($A4149="","",IF($Q4149=0,"",INDEX(COA_Mapping!$E$7:$E$256,$Q4149)))</f>
        <v/>
      </c>
      <c r="O4149" s="38" t="n">
        <f aca="false">IF($A4149="",1,IF($Q4149=0,1,INDEX(COA_Mapping!$F$7:$F$256,$Q4149)))</f>
        <v>1</v>
      </c>
      <c r="P4149" s="34" t="str">
        <f aca="false">IF($A4149="","",$I4149*$O4149)</f>
        <v/>
      </c>
      <c r="Q4149" s="39" t="n">
        <f aca="false">IF($B4149="",0,IFERROR(MATCH($B4149,COA_Mapping!$A$7:$A$256,0),0))</f>
        <v>0</v>
      </c>
      <c r="R4149" s="39" t="n">
        <f aca="false">IF($A4149="",-1,IF($J4149=Setup!$B$7,1,IF($J4149=Setup!$B$9,0,-1)))</f>
        <v>-1</v>
      </c>
      <c r="S4149" s="35" t="n">
        <f aca="false">IF(OR($A4149="",$Q4149=0,$R4149=-1),0,$Q4149*1000+$R4149*100+$K4149)</f>
        <v>0</v>
      </c>
      <c r="T4149" s="37" t="str">
        <f aca="false">IF($A4149="","",IF($B4149="","NO ACCOUNT",IF($Q4149=0,"UNMAPPED",IF($R4149=-1,"OUTSIDE FY RANGE","OK"))))</f>
        <v/>
      </c>
      <c r="U4149" s="40" t="str">
        <f aca="false">IF($A4149="","",$B4149&amp;"|"&amp;TEXT($A4149,"yyyymmdd")&amp;"|"&amp;TEXT($I4149,"0.00"))</f>
        <v/>
      </c>
      <c r="V4149" s="35" t="str">
        <f aca="false">IF($A4149="","",COUNTIF($U$8:$U$5007,$U4149))</f>
        <v/>
      </c>
    </row>
    <row r="4150" customFormat="false" ht="15" hidden="false" customHeight="false" outlineLevel="0" collapsed="false">
      <c r="A4150" s="31"/>
      <c r="B4150" s="32"/>
      <c r="C4150" s="32"/>
      <c r="D4150" s="32"/>
      <c r="E4150" s="32"/>
      <c r="F4150" s="32"/>
      <c r="G4150" s="33"/>
      <c r="H4150" s="33"/>
      <c r="I4150" s="34" t="str">
        <f aca="false">IF($A4150="","",$G4150-$H4150)</f>
        <v/>
      </c>
      <c r="J4150" s="35" t="str">
        <f aca="false">IF($A4150="","",IF(Setup!$B$6=1,YEAR($A4150),YEAR($A4150)+IF(MONTH($A4150)&gt;=Setup!$B$6,1,0)))</f>
        <v/>
      </c>
      <c r="K4150" s="35" t="str">
        <f aca="false">IF($A4150="","",MOD(MONTH($A4150)-Setup!$B$6+12,12)+1)</f>
        <v/>
      </c>
      <c r="L4150" s="36" t="str">
        <f aca="false">IF($A4150="","",TEXT($A4150,"MMM-YY"))</f>
        <v/>
      </c>
      <c r="M4150" s="37" t="str">
        <f aca="false">IF($A4150="","",IF($Q4150=0,"UNMAPPED",INDEX(COA_Mapping!$C$7:$C$256,$Q4150)))</f>
        <v/>
      </c>
      <c r="N4150" s="38" t="str">
        <f aca="false">IF($A4150="","",IF($Q4150=0,"",INDEX(COA_Mapping!$E$7:$E$256,$Q4150)))</f>
        <v/>
      </c>
      <c r="O4150" s="38" t="n">
        <f aca="false">IF($A4150="",1,IF($Q4150=0,1,INDEX(COA_Mapping!$F$7:$F$256,$Q4150)))</f>
        <v>1</v>
      </c>
      <c r="P4150" s="34" t="str">
        <f aca="false">IF($A4150="","",$I4150*$O4150)</f>
        <v/>
      </c>
      <c r="Q4150" s="39" t="n">
        <f aca="false">IF($B4150="",0,IFERROR(MATCH($B4150,COA_Mapping!$A$7:$A$256,0),0))</f>
        <v>0</v>
      </c>
      <c r="R4150" s="39" t="n">
        <f aca="false">IF($A4150="",-1,IF($J4150=Setup!$B$7,1,IF($J4150=Setup!$B$9,0,-1)))</f>
        <v>-1</v>
      </c>
      <c r="S4150" s="35" t="n">
        <f aca="false">IF(OR($A4150="",$Q4150=0,$R4150=-1),0,$Q4150*1000+$R4150*100+$K4150)</f>
        <v>0</v>
      </c>
      <c r="T4150" s="37" t="str">
        <f aca="false">IF($A4150="","",IF($B4150="","NO ACCOUNT",IF($Q4150=0,"UNMAPPED",IF($R4150=-1,"OUTSIDE FY RANGE","OK"))))</f>
        <v/>
      </c>
      <c r="U4150" s="40" t="str">
        <f aca="false">IF($A4150="","",$B4150&amp;"|"&amp;TEXT($A4150,"yyyymmdd")&amp;"|"&amp;TEXT($I4150,"0.00"))</f>
        <v/>
      </c>
      <c r="V4150" s="35" t="str">
        <f aca="false">IF($A4150="","",COUNTIF($U$8:$U$5007,$U4150))</f>
        <v/>
      </c>
    </row>
    <row r="4151" customFormat="false" ht="15" hidden="false" customHeight="false" outlineLevel="0" collapsed="false">
      <c r="A4151" s="31"/>
      <c r="B4151" s="32"/>
      <c r="C4151" s="32"/>
      <c r="D4151" s="32"/>
      <c r="E4151" s="32"/>
      <c r="F4151" s="32"/>
      <c r="G4151" s="33"/>
      <c r="H4151" s="33"/>
      <c r="I4151" s="34" t="str">
        <f aca="false">IF($A4151="","",$G4151-$H4151)</f>
        <v/>
      </c>
      <c r="J4151" s="35" t="str">
        <f aca="false">IF($A4151="","",IF(Setup!$B$6=1,YEAR($A4151),YEAR($A4151)+IF(MONTH($A4151)&gt;=Setup!$B$6,1,0)))</f>
        <v/>
      </c>
      <c r="K4151" s="35" t="str">
        <f aca="false">IF($A4151="","",MOD(MONTH($A4151)-Setup!$B$6+12,12)+1)</f>
        <v/>
      </c>
      <c r="L4151" s="36" t="str">
        <f aca="false">IF($A4151="","",TEXT($A4151,"MMM-YY"))</f>
        <v/>
      </c>
      <c r="M4151" s="37" t="str">
        <f aca="false">IF($A4151="","",IF($Q4151=0,"UNMAPPED",INDEX(COA_Mapping!$C$7:$C$256,$Q4151)))</f>
        <v/>
      </c>
      <c r="N4151" s="38" t="str">
        <f aca="false">IF($A4151="","",IF($Q4151=0,"",INDEX(COA_Mapping!$E$7:$E$256,$Q4151)))</f>
        <v/>
      </c>
      <c r="O4151" s="38" t="n">
        <f aca="false">IF($A4151="",1,IF($Q4151=0,1,INDEX(COA_Mapping!$F$7:$F$256,$Q4151)))</f>
        <v>1</v>
      </c>
      <c r="P4151" s="34" t="str">
        <f aca="false">IF($A4151="","",$I4151*$O4151)</f>
        <v/>
      </c>
      <c r="Q4151" s="39" t="n">
        <f aca="false">IF($B4151="",0,IFERROR(MATCH($B4151,COA_Mapping!$A$7:$A$256,0),0))</f>
        <v>0</v>
      </c>
      <c r="R4151" s="39" t="n">
        <f aca="false">IF($A4151="",-1,IF($J4151=Setup!$B$7,1,IF($J4151=Setup!$B$9,0,-1)))</f>
        <v>-1</v>
      </c>
      <c r="S4151" s="35" t="n">
        <f aca="false">IF(OR($A4151="",$Q4151=0,$R4151=-1),0,$Q4151*1000+$R4151*100+$K4151)</f>
        <v>0</v>
      </c>
      <c r="T4151" s="37" t="str">
        <f aca="false">IF($A4151="","",IF($B4151="","NO ACCOUNT",IF($Q4151=0,"UNMAPPED",IF($R4151=-1,"OUTSIDE FY RANGE","OK"))))</f>
        <v/>
      </c>
      <c r="U4151" s="40" t="str">
        <f aca="false">IF($A4151="","",$B4151&amp;"|"&amp;TEXT($A4151,"yyyymmdd")&amp;"|"&amp;TEXT($I4151,"0.00"))</f>
        <v/>
      </c>
      <c r="V4151" s="35" t="str">
        <f aca="false">IF($A4151="","",COUNTIF($U$8:$U$5007,$U4151))</f>
        <v/>
      </c>
    </row>
    <row r="4152" customFormat="false" ht="15" hidden="false" customHeight="false" outlineLevel="0" collapsed="false">
      <c r="A4152" s="31"/>
      <c r="B4152" s="32"/>
      <c r="C4152" s="32"/>
      <c r="D4152" s="32"/>
      <c r="E4152" s="32"/>
      <c r="F4152" s="32"/>
      <c r="G4152" s="33"/>
      <c r="H4152" s="33"/>
      <c r="I4152" s="34" t="str">
        <f aca="false">IF($A4152="","",$G4152-$H4152)</f>
        <v/>
      </c>
      <c r="J4152" s="35" t="str">
        <f aca="false">IF($A4152="","",IF(Setup!$B$6=1,YEAR($A4152),YEAR($A4152)+IF(MONTH($A4152)&gt;=Setup!$B$6,1,0)))</f>
        <v/>
      </c>
      <c r="K4152" s="35" t="str">
        <f aca="false">IF($A4152="","",MOD(MONTH($A4152)-Setup!$B$6+12,12)+1)</f>
        <v/>
      </c>
      <c r="L4152" s="36" t="str">
        <f aca="false">IF($A4152="","",TEXT($A4152,"MMM-YY"))</f>
        <v/>
      </c>
      <c r="M4152" s="37" t="str">
        <f aca="false">IF($A4152="","",IF($Q4152=0,"UNMAPPED",INDEX(COA_Mapping!$C$7:$C$256,$Q4152)))</f>
        <v/>
      </c>
      <c r="N4152" s="38" t="str">
        <f aca="false">IF($A4152="","",IF($Q4152=0,"",INDEX(COA_Mapping!$E$7:$E$256,$Q4152)))</f>
        <v/>
      </c>
      <c r="O4152" s="38" t="n">
        <f aca="false">IF($A4152="",1,IF($Q4152=0,1,INDEX(COA_Mapping!$F$7:$F$256,$Q4152)))</f>
        <v>1</v>
      </c>
      <c r="P4152" s="34" t="str">
        <f aca="false">IF($A4152="","",$I4152*$O4152)</f>
        <v/>
      </c>
      <c r="Q4152" s="39" t="n">
        <f aca="false">IF($B4152="",0,IFERROR(MATCH($B4152,COA_Mapping!$A$7:$A$256,0),0))</f>
        <v>0</v>
      </c>
      <c r="R4152" s="39" t="n">
        <f aca="false">IF($A4152="",-1,IF($J4152=Setup!$B$7,1,IF($J4152=Setup!$B$9,0,-1)))</f>
        <v>-1</v>
      </c>
      <c r="S4152" s="35" t="n">
        <f aca="false">IF(OR($A4152="",$Q4152=0,$R4152=-1),0,$Q4152*1000+$R4152*100+$K4152)</f>
        <v>0</v>
      </c>
      <c r="T4152" s="37" t="str">
        <f aca="false">IF($A4152="","",IF($B4152="","NO ACCOUNT",IF($Q4152=0,"UNMAPPED",IF($R4152=-1,"OUTSIDE FY RANGE","OK"))))</f>
        <v/>
      </c>
      <c r="U4152" s="40" t="str">
        <f aca="false">IF($A4152="","",$B4152&amp;"|"&amp;TEXT($A4152,"yyyymmdd")&amp;"|"&amp;TEXT($I4152,"0.00"))</f>
        <v/>
      </c>
      <c r="V4152" s="35" t="str">
        <f aca="false">IF($A4152="","",COUNTIF($U$8:$U$5007,$U4152))</f>
        <v/>
      </c>
    </row>
    <row r="4153" customFormat="false" ht="15" hidden="false" customHeight="false" outlineLevel="0" collapsed="false">
      <c r="A4153" s="31"/>
      <c r="B4153" s="32"/>
      <c r="C4153" s="32"/>
      <c r="D4153" s="32"/>
      <c r="E4153" s="32"/>
      <c r="F4153" s="32"/>
      <c r="G4153" s="33"/>
      <c r="H4153" s="33"/>
      <c r="I4153" s="34" t="str">
        <f aca="false">IF($A4153="","",$G4153-$H4153)</f>
        <v/>
      </c>
      <c r="J4153" s="35" t="str">
        <f aca="false">IF($A4153="","",IF(Setup!$B$6=1,YEAR($A4153),YEAR($A4153)+IF(MONTH($A4153)&gt;=Setup!$B$6,1,0)))</f>
        <v/>
      </c>
      <c r="K4153" s="35" t="str">
        <f aca="false">IF($A4153="","",MOD(MONTH($A4153)-Setup!$B$6+12,12)+1)</f>
        <v/>
      </c>
      <c r="L4153" s="36" t="str">
        <f aca="false">IF($A4153="","",TEXT($A4153,"MMM-YY"))</f>
        <v/>
      </c>
      <c r="M4153" s="37" t="str">
        <f aca="false">IF($A4153="","",IF($Q4153=0,"UNMAPPED",INDEX(COA_Mapping!$C$7:$C$256,$Q4153)))</f>
        <v/>
      </c>
      <c r="N4153" s="38" t="str">
        <f aca="false">IF($A4153="","",IF($Q4153=0,"",INDEX(COA_Mapping!$E$7:$E$256,$Q4153)))</f>
        <v/>
      </c>
      <c r="O4153" s="38" t="n">
        <f aca="false">IF($A4153="",1,IF($Q4153=0,1,INDEX(COA_Mapping!$F$7:$F$256,$Q4153)))</f>
        <v>1</v>
      </c>
      <c r="P4153" s="34" t="str">
        <f aca="false">IF($A4153="","",$I4153*$O4153)</f>
        <v/>
      </c>
      <c r="Q4153" s="39" t="n">
        <f aca="false">IF($B4153="",0,IFERROR(MATCH($B4153,COA_Mapping!$A$7:$A$256,0),0))</f>
        <v>0</v>
      </c>
      <c r="R4153" s="39" t="n">
        <f aca="false">IF($A4153="",-1,IF($J4153=Setup!$B$7,1,IF($J4153=Setup!$B$9,0,-1)))</f>
        <v>-1</v>
      </c>
      <c r="S4153" s="35" t="n">
        <f aca="false">IF(OR($A4153="",$Q4153=0,$R4153=-1),0,$Q4153*1000+$R4153*100+$K4153)</f>
        <v>0</v>
      </c>
      <c r="T4153" s="37" t="str">
        <f aca="false">IF($A4153="","",IF($B4153="","NO ACCOUNT",IF($Q4153=0,"UNMAPPED",IF($R4153=-1,"OUTSIDE FY RANGE","OK"))))</f>
        <v/>
      </c>
      <c r="U4153" s="40" t="str">
        <f aca="false">IF($A4153="","",$B4153&amp;"|"&amp;TEXT($A4153,"yyyymmdd")&amp;"|"&amp;TEXT($I4153,"0.00"))</f>
        <v/>
      </c>
      <c r="V4153" s="35" t="str">
        <f aca="false">IF($A4153="","",COUNTIF($U$8:$U$5007,$U4153))</f>
        <v/>
      </c>
    </row>
    <row r="4154" customFormat="false" ht="15" hidden="false" customHeight="false" outlineLevel="0" collapsed="false">
      <c r="A4154" s="31"/>
      <c r="B4154" s="32"/>
      <c r="C4154" s="32"/>
      <c r="D4154" s="32"/>
      <c r="E4154" s="32"/>
      <c r="F4154" s="32"/>
      <c r="G4154" s="33"/>
      <c r="H4154" s="33"/>
      <c r="I4154" s="34" t="str">
        <f aca="false">IF($A4154="","",$G4154-$H4154)</f>
        <v/>
      </c>
      <c r="J4154" s="35" t="str">
        <f aca="false">IF($A4154="","",IF(Setup!$B$6=1,YEAR($A4154),YEAR($A4154)+IF(MONTH($A4154)&gt;=Setup!$B$6,1,0)))</f>
        <v/>
      </c>
      <c r="K4154" s="35" t="str">
        <f aca="false">IF($A4154="","",MOD(MONTH($A4154)-Setup!$B$6+12,12)+1)</f>
        <v/>
      </c>
      <c r="L4154" s="36" t="str">
        <f aca="false">IF($A4154="","",TEXT($A4154,"MMM-YY"))</f>
        <v/>
      </c>
      <c r="M4154" s="37" t="str">
        <f aca="false">IF($A4154="","",IF($Q4154=0,"UNMAPPED",INDEX(COA_Mapping!$C$7:$C$256,$Q4154)))</f>
        <v/>
      </c>
      <c r="N4154" s="38" t="str">
        <f aca="false">IF($A4154="","",IF($Q4154=0,"",INDEX(COA_Mapping!$E$7:$E$256,$Q4154)))</f>
        <v/>
      </c>
      <c r="O4154" s="38" t="n">
        <f aca="false">IF($A4154="",1,IF($Q4154=0,1,INDEX(COA_Mapping!$F$7:$F$256,$Q4154)))</f>
        <v>1</v>
      </c>
      <c r="P4154" s="34" t="str">
        <f aca="false">IF($A4154="","",$I4154*$O4154)</f>
        <v/>
      </c>
      <c r="Q4154" s="39" t="n">
        <f aca="false">IF($B4154="",0,IFERROR(MATCH($B4154,COA_Mapping!$A$7:$A$256,0),0))</f>
        <v>0</v>
      </c>
      <c r="R4154" s="39" t="n">
        <f aca="false">IF($A4154="",-1,IF($J4154=Setup!$B$7,1,IF($J4154=Setup!$B$9,0,-1)))</f>
        <v>-1</v>
      </c>
      <c r="S4154" s="35" t="n">
        <f aca="false">IF(OR($A4154="",$Q4154=0,$R4154=-1),0,$Q4154*1000+$R4154*100+$K4154)</f>
        <v>0</v>
      </c>
      <c r="T4154" s="37" t="str">
        <f aca="false">IF($A4154="","",IF($B4154="","NO ACCOUNT",IF($Q4154=0,"UNMAPPED",IF($R4154=-1,"OUTSIDE FY RANGE","OK"))))</f>
        <v/>
      </c>
      <c r="U4154" s="40" t="str">
        <f aca="false">IF($A4154="","",$B4154&amp;"|"&amp;TEXT($A4154,"yyyymmdd")&amp;"|"&amp;TEXT($I4154,"0.00"))</f>
        <v/>
      </c>
      <c r="V4154" s="35" t="str">
        <f aca="false">IF($A4154="","",COUNTIF($U$8:$U$5007,$U4154))</f>
        <v/>
      </c>
    </row>
    <row r="4155" customFormat="false" ht="15" hidden="false" customHeight="false" outlineLevel="0" collapsed="false">
      <c r="A4155" s="31"/>
      <c r="B4155" s="32"/>
      <c r="C4155" s="32"/>
      <c r="D4155" s="32"/>
      <c r="E4155" s="32"/>
      <c r="F4155" s="32"/>
      <c r="G4155" s="33"/>
      <c r="H4155" s="33"/>
      <c r="I4155" s="34" t="str">
        <f aca="false">IF($A4155="","",$G4155-$H4155)</f>
        <v/>
      </c>
      <c r="J4155" s="35" t="str">
        <f aca="false">IF($A4155="","",IF(Setup!$B$6=1,YEAR($A4155),YEAR($A4155)+IF(MONTH($A4155)&gt;=Setup!$B$6,1,0)))</f>
        <v/>
      </c>
      <c r="K4155" s="35" t="str">
        <f aca="false">IF($A4155="","",MOD(MONTH($A4155)-Setup!$B$6+12,12)+1)</f>
        <v/>
      </c>
      <c r="L4155" s="36" t="str">
        <f aca="false">IF($A4155="","",TEXT($A4155,"MMM-YY"))</f>
        <v/>
      </c>
      <c r="M4155" s="37" t="str">
        <f aca="false">IF($A4155="","",IF($Q4155=0,"UNMAPPED",INDEX(COA_Mapping!$C$7:$C$256,$Q4155)))</f>
        <v/>
      </c>
      <c r="N4155" s="38" t="str">
        <f aca="false">IF($A4155="","",IF($Q4155=0,"",INDEX(COA_Mapping!$E$7:$E$256,$Q4155)))</f>
        <v/>
      </c>
      <c r="O4155" s="38" t="n">
        <f aca="false">IF($A4155="",1,IF($Q4155=0,1,INDEX(COA_Mapping!$F$7:$F$256,$Q4155)))</f>
        <v>1</v>
      </c>
      <c r="P4155" s="34" t="str">
        <f aca="false">IF($A4155="","",$I4155*$O4155)</f>
        <v/>
      </c>
      <c r="Q4155" s="39" t="n">
        <f aca="false">IF($B4155="",0,IFERROR(MATCH($B4155,COA_Mapping!$A$7:$A$256,0),0))</f>
        <v>0</v>
      </c>
      <c r="R4155" s="39" t="n">
        <f aca="false">IF($A4155="",-1,IF($J4155=Setup!$B$7,1,IF($J4155=Setup!$B$9,0,-1)))</f>
        <v>-1</v>
      </c>
      <c r="S4155" s="35" t="n">
        <f aca="false">IF(OR($A4155="",$Q4155=0,$R4155=-1),0,$Q4155*1000+$R4155*100+$K4155)</f>
        <v>0</v>
      </c>
      <c r="T4155" s="37" t="str">
        <f aca="false">IF($A4155="","",IF($B4155="","NO ACCOUNT",IF($Q4155=0,"UNMAPPED",IF($R4155=-1,"OUTSIDE FY RANGE","OK"))))</f>
        <v/>
      </c>
      <c r="U4155" s="40" t="str">
        <f aca="false">IF($A4155="","",$B4155&amp;"|"&amp;TEXT($A4155,"yyyymmdd")&amp;"|"&amp;TEXT($I4155,"0.00"))</f>
        <v/>
      </c>
      <c r="V4155" s="35" t="str">
        <f aca="false">IF($A4155="","",COUNTIF($U$8:$U$5007,$U4155))</f>
        <v/>
      </c>
    </row>
    <row r="4156" customFormat="false" ht="15" hidden="false" customHeight="false" outlineLevel="0" collapsed="false">
      <c r="A4156" s="31"/>
      <c r="B4156" s="32"/>
      <c r="C4156" s="32"/>
      <c r="D4156" s="32"/>
      <c r="E4156" s="32"/>
      <c r="F4156" s="32"/>
      <c r="G4156" s="33"/>
      <c r="H4156" s="33"/>
      <c r="I4156" s="34" t="str">
        <f aca="false">IF($A4156="","",$G4156-$H4156)</f>
        <v/>
      </c>
      <c r="J4156" s="35" t="str">
        <f aca="false">IF($A4156="","",IF(Setup!$B$6=1,YEAR($A4156),YEAR($A4156)+IF(MONTH($A4156)&gt;=Setup!$B$6,1,0)))</f>
        <v/>
      </c>
      <c r="K4156" s="35" t="str">
        <f aca="false">IF($A4156="","",MOD(MONTH($A4156)-Setup!$B$6+12,12)+1)</f>
        <v/>
      </c>
      <c r="L4156" s="36" t="str">
        <f aca="false">IF($A4156="","",TEXT($A4156,"MMM-YY"))</f>
        <v/>
      </c>
      <c r="M4156" s="37" t="str">
        <f aca="false">IF($A4156="","",IF($Q4156=0,"UNMAPPED",INDEX(COA_Mapping!$C$7:$C$256,$Q4156)))</f>
        <v/>
      </c>
      <c r="N4156" s="38" t="str">
        <f aca="false">IF($A4156="","",IF($Q4156=0,"",INDEX(COA_Mapping!$E$7:$E$256,$Q4156)))</f>
        <v/>
      </c>
      <c r="O4156" s="38" t="n">
        <f aca="false">IF($A4156="",1,IF($Q4156=0,1,INDEX(COA_Mapping!$F$7:$F$256,$Q4156)))</f>
        <v>1</v>
      </c>
      <c r="P4156" s="34" t="str">
        <f aca="false">IF($A4156="","",$I4156*$O4156)</f>
        <v/>
      </c>
      <c r="Q4156" s="39" t="n">
        <f aca="false">IF($B4156="",0,IFERROR(MATCH($B4156,COA_Mapping!$A$7:$A$256,0),0))</f>
        <v>0</v>
      </c>
      <c r="R4156" s="39" t="n">
        <f aca="false">IF($A4156="",-1,IF($J4156=Setup!$B$7,1,IF($J4156=Setup!$B$9,0,-1)))</f>
        <v>-1</v>
      </c>
      <c r="S4156" s="35" t="n">
        <f aca="false">IF(OR($A4156="",$Q4156=0,$R4156=-1),0,$Q4156*1000+$R4156*100+$K4156)</f>
        <v>0</v>
      </c>
      <c r="T4156" s="37" t="str">
        <f aca="false">IF($A4156="","",IF($B4156="","NO ACCOUNT",IF($Q4156=0,"UNMAPPED",IF($R4156=-1,"OUTSIDE FY RANGE","OK"))))</f>
        <v/>
      </c>
      <c r="U4156" s="40" t="str">
        <f aca="false">IF($A4156="","",$B4156&amp;"|"&amp;TEXT($A4156,"yyyymmdd")&amp;"|"&amp;TEXT($I4156,"0.00"))</f>
        <v/>
      </c>
      <c r="V4156" s="35" t="str">
        <f aca="false">IF($A4156="","",COUNTIF($U$8:$U$5007,$U4156))</f>
        <v/>
      </c>
    </row>
    <row r="4157" customFormat="false" ht="15" hidden="false" customHeight="false" outlineLevel="0" collapsed="false">
      <c r="A4157" s="31"/>
      <c r="B4157" s="32"/>
      <c r="C4157" s="32"/>
      <c r="D4157" s="32"/>
      <c r="E4157" s="32"/>
      <c r="F4157" s="32"/>
      <c r="G4157" s="33"/>
      <c r="H4157" s="33"/>
      <c r="I4157" s="34" t="str">
        <f aca="false">IF($A4157="","",$G4157-$H4157)</f>
        <v/>
      </c>
      <c r="J4157" s="35" t="str">
        <f aca="false">IF($A4157="","",IF(Setup!$B$6=1,YEAR($A4157),YEAR($A4157)+IF(MONTH($A4157)&gt;=Setup!$B$6,1,0)))</f>
        <v/>
      </c>
      <c r="K4157" s="35" t="str">
        <f aca="false">IF($A4157="","",MOD(MONTH($A4157)-Setup!$B$6+12,12)+1)</f>
        <v/>
      </c>
      <c r="L4157" s="36" t="str">
        <f aca="false">IF($A4157="","",TEXT($A4157,"MMM-YY"))</f>
        <v/>
      </c>
      <c r="M4157" s="37" t="str">
        <f aca="false">IF($A4157="","",IF($Q4157=0,"UNMAPPED",INDEX(COA_Mapping!$C$7:$C$256,$Q4157)))</f>
        <v/>
      </c>
      <c r="N4157" s="38" t="str">
        <f aca="false">IF($A4157="","",IF($Q4157=0,"",INDEX(COA_Mapping!$E$7:$E$256,$Q4157)))</f>
        <v/>
      </c>
      <c r="O4157" s="38" t="n">
        <f aca="false">IF($A4157="",1,IF($Q4157=0,1,INDEX(COA_Mapping!$F$7:$F$256,$Q4157)))</f>
        <v>1</v>
      </c>
      <c r="P4157" s="34" t="str">
        <f aca="false">IF($A4157="","",$I4157*$O4157)</f>
        <v/>
      </c>
      <c r="Q4157" s="39" t="n">
        <f aca="false">IF($B4157="",0,IFERROR(MATCH($B4157,COA_Mapping!$A$7:$A$256,0),0))</f>
        <v>0</v>
      </c>
      <c r="R4157" s="39" t="n">
        <f aca="false">IF($A4157="",-1,IF($J4157=Setup!$B$7,1,IF($J4157=Setup!$B$9,0,-1)))</f>
        <v>-1</v>
      </c>
      <c r="S4157" s="35" t="n">
        <f aca="false">IF(OR($A4157="",$Q4157=0,$R4157=-1),0,$Q4157*1000+$R4157*100+$K4157)</f>
        <v>0</v>
      </c>
      <c r="T4157" s="37" t="str">
        <f aca="false">IF($A4157="","",IF($B4157="","NO ACCOUNT",IF($Q4157=0,"UNMAPPED",IF($R4157=-1,"OUTSIDE FY RANGE","OK"))))</f>
        <v/>
      </c>
      <c r="U4157" s="40" t="str">
        <f aca="false">IF($A4157="","",$B4157&amp;"|"&amp;TEXT($A4157,"yyyymmdd")&amp;"|"&amp;TEXT($I4157,"0.00"))</f>
        <v/>
      </c>
      <c r="V4157" s="35" t="str">
        <f aca="false">IF($A4157="","",COUNTIF($U$8:$U$5007,$U4157))</f>
        <v/>
      </c>
    </row>
    <row r="4158" customFormat="false" ht="15" hidden="false" customHeight="false" outlineLevel="0" collapsed="false">
      <c r="A4158" s="31"/>
      <c r="B4158" s="32"/>
      <c r="C4158" s="32"/>
      <c r="D4158" s="32"/>
      <c r="E4158" s="32"/>
      <c r="F4158" s="32"/>
      <c r="G4158" s="33"/>
      <c r="H4158" s="33"/>
      <c r="I4158" s="34" t="str">
        <f aca="false">IF($A4158="","",$G4158-$H4158)</f>
        <v/>
      </c>
      <c r="J4158" s="35" t="str">
        <f aca="false">IF($A4158="","",IF(Setup!$B$6=1,YEAR($A4158),YEAR($A4158)+IF(MONTH($A4158)&gt;=Setup!$B$6,1,0)))</f>
        <v/>
      </c>
      <c r="K4158" s="35" t="str">
        <f aca="false">IF($A4158="","",MOD(MONTH($A4158)-Setup!$B$6+12,12)+1)</f>
        <v/>
      </c>
      <c r="L4158" s="36" t="str">
        <f aca="false">IF($A4158="","",TEXT($A4158,"MMM-YY"))</f>
        <v/>
      </c>
      <c r="M4158" s="37" t="str">
        <f aca="false">IF($A4158="","",IF($Q4158=0,"UNMAPPED",INDEX(COA_Mapping!$C$7:$C$256,$Q4158)))</f>
        <v/>
      </c>
      <c r="N4158" s="38" t="str">
        <f aca="false">IF($A4158="","",IF($Q4158=0,"",INDEX(COA_Mapping!$E$7:$E$256,$Q4158)))</f>
        <v/>
      </c>
      <c r="O4158" s="38" t="n">
        <f aca="false">IF($A4158="",1,IF($Q4158=0,1,INDEX(COA_Mapping!$F$7:$F$256,$Q4158)))</f>
        <v>1</v>
      </c>
      <c r="P4158" s="34" t="str">
        <f aca="false">IF($A4158="","",$I4158*$O4158)</f>
        <v/>
      </c>
      <c r="Q4158" s="39" t="n">
        <f aca="false">IF($B4158="",0,IFERROR(MATCH($B4158,COA_Mapping!$A$7:$A$256,0),0))</f>
        <v>0</v>
      </c>
      <c r="R4158" s="39" t="n">
        <f aca="false">IF($A4158="",-1,IF($J4158=Setup!$B$7,1,IF($J4158=Setup!$B$9,0,-1)))</f>
        <v>-1</v>
      </c>
      <c r="S4158" s="35" t="n">
        <f aca="false">IF(OR($A4158="",$Q4158=0,$R4158=-1),0,$Q4158*1000+$R4158*100+$K4158)</f>
        <v>0</v>
      </c>
      <c r="T4158" s="37" t="str">
        <f aca="false">IF($A4158="","",IF($B4158="","NO ACCOUNT",IF($Q4158=0,"UNMAPPED",IF($R4158=-1,"OUTSIDE FY RANGE","OK"))))</f>
        <v/>
      </c>
      <c r="U4158" s="40" t="str">
        <f aca="false">IF($A4158="","",$B4158&amp;"|"&amp;TEXT($A4158,"yyyymmdd")&amp;"|"&amp;TEXT($I4158,"0.00"))</f>
        <v/>
      </c>
      <c r="V4158" s="35" t="str">
        <f aca="false">IF($A4158="","",COUNTIF($U$8:$U$5007,$U4158))</f>
        <v/>
      </c>
    </row>
    <row r="4159" customFormat="false" ht="15" hidden="false" customHeight="false" outlineLevel="0" collapsed="false">
      <c r="A4159" s="31"/>
      <c r="B4159" s="32"/>
      <c r="C4159" s="32"/>
      <c r="D4159" s="32"/>
      <c r="E4159" s="32"/>
      <c r="F4159" s="32"/>
      <c r="G4159" s="33"/>
      <c r="H4159" s="33"/>
      <c r="I4159" s="34" t="str">
        <f aca="false">IF($A4159="","",$G4159-$H4159)</f>
        <v/>
      </c>
      <c r="J4159" s="35" t="str">
        <f aca="false">IF($A4159="","",IF(Setup!$B$6=1,YEAR($A4159),YEAR($A4159)+IF(MONTH($A4159)&gt;=Setup!$B$6,1,0)))</f>
        <v/>
      </c>
      <c r="K4159" s="35" t="str">
        <f aca="false">IF($A4159="","",MOD(MONTH($A4159)-Setup!$B$6+12,12)+1)</f>
        <v/>
      </c>
      <c r="L4159" s="36" t="str">
        <f aca="false">IF($A4159="","",TEXT($A4159,"MMM-YY"))</f>
        <v/>
      </c>
      <c r="M4159" s="37" t="str">
        <f aca="false">IF($A4159="","",IF($Q4159=0,"UNMAPPED",INDEX(COA_Mapping!$C$7:$C$256,$Q4159)))</f>
        <v/>
      </c>
      <c r="N4159" s="38" t="str">
        <f aca="false">IF($A4159="","",IF($Q4159=0,"",INDEX(COA_Mapping!$E$7:$E$256,$Q4159)))</f>
        <v/>
      </c>
      <c r="O4159" s="38" t="n">
        <f aca="false">IF($A4159="",1,IF($Q4159=0,1,INDEX(COA_Mapping!$F$7:$F$256,$Q4159)))</f>
        <v>1</v>
      </c>
      <c r="P4159" s="34" t="str">
        <f aca="false">IF($A4159="","",$I4159*$O4159)</f>
        <v/>
      </c>
      <c r="Q4159" s="39" t="n">
        <f aca="false">IF($B4159="",0,IFERROR(MATCH($B4159,COA_Mapping!$A$7:$A$256,0),0))</f>
        <v>0</v>
      </c>
      <c r="R4159" s="39" t="n">
        <f aca="false">IF($A4159="",-1,IF($J4159=Setup!$B$7,1,IF($J4159=Setup!$B$9,0,-1)))</f>
        <v>-1</v>
      </c>
      <c r="S4159" s="35" t="n">
        <f aca="false">IF(OR($A4159="",$Q4159=0,$R4159=-1),0,$Q4159*1000+$R4159*100+$K4159)</f>
        <v>0</v>
      </c>
      <c r="T4159" s="37" t="str">
        <f aca="false">IF($A4159="","",IF($B4159="","NO ACCOUNT",IF($Q4159=0,"UNMAPPED",IF($R4159=-1,"OUTSIDE FY RANGE","OK"))))</f>
        <v/>
      </c>
      <c r="U4159" s="40" t="str">
        <f aca="false">IF($A4159="","",$B4159&amp;"|"&amp;TEXT($A4159,"yyyymmdd")&amp;"|"&amp;TEXT($I4159,"0.00"))</f>
        <v/>
      </c>
      <c r="V4159" s="35" t="str">
        <f aca="false">IF($A4159="","",COUNTIF($U$8:$U$5007,$U4159))</f>
        <v/>
      </c>
    </row>
    <row r="4160" customFormat="false" ht="15" hidden="false" customHeight="false" outlineLevel="0" collapsed="false">
      <c r="A4160" s="31"/>
      <c r="B4160" s="32"/>
      <c r="C4160" s="32"/>
      <c r="D4160" s="32"/>
      <c r="E4160" s="32"/>
      <c r="F4160" s="32"/>
      <c r="G4160" s="33"/>
      <c r="H4160" s="33"/>
      <c r="I4160" s="34" t="str">
        <f aca="false">IF($A4160="","",$G4160-$H4160)</f>
        <v/>
      </c>
      <c r="J4160" s="35" t="str">
        <f aca="false">IF($A4160="","",IF(Setup!$B$6=1,YEAR($A4160),YEAR($A4160)+IF(MONTH($A4160)&gt;=Setup!$B$6,1,0)))</f>
        <v/>
      </c>
      <c r="K4160" s="35" t="str">
        <f aca="false">IF($A4160="","",MOD(MONTH($A4160)-Setup!$B$6+12,12)+1)</f>
        <v/>
      </c>
      <c r="L4160" s="36" t="str">
        <f aca="false">IF($A4160="","",TEXT($A4160,"MMM-YY"))</f>
        <v/>
      </c>
      <c r="M4160" s="37" t="str">
        <f aca="false">IF($A4160="","",IF($Q4160=0,"UNMAPPED",INDEX(COA_Mapping!$C$7:$C$256,$Q4160)))</f>
        <v/>
      </c>
      <c r="N4160" s="38" t="str">
        <f aca="false">IF($A4160="","",IF($Q4160=0,"",INDEX(COA_Mapping!$E$7:$E$256,$Q4160)))</f>
        <v/>
      </c>
      <c r="O4160" s="38" t="n">
        <f aca="false">IF($A4160="",1,IF($Q4160=0,1,INDEX(COA_Mapping!$F$7:$F$256,$Q4160)))</f>
        <v>1</v>
      </c>
      <c r="P4160" s="34" t="str">
        <f aca="false">IF($A4160="","",$I4160*$O4160)</f>
        <v/>
      </c>
      <c r="Q4160" s="39" t="n">
        <f aca="false">IF($B4160="",0,IFERROR(MATCH($B4160,COA_Mapping!$A$7:$A$256,0),0))</f>
        <v>0</v>
      </c>
      <c r="R4160" s="39" t="n">
        <f aca="false">IF($A4160="",-1,IF($J4160=Setup!$B$7,1,IF($J4160=Setup!$B$9,0,-1)))</f>
        <v>-1</v>
      </c>
      <c r="S4160" s="35" t="n">
        <f aca="false">IF(OR($A4160="",$Q4160=0,$R4160=-1),0,$Q4160*1000+$R4160*100+$K4160)</f>
        <v>0</v>
      </c>
      <c r="T4160" s="37" t="str">
        <f aca="false">IF($A4160="","",IF($B4160="","NO ACCOUNT",IF($Q4160=0,"UNMAPPED",IF($R4160=-1,"OUTSIDE FY RANGE","OK"))))</f>
        <v/>
      </c>
      <c r="U4160" s="40" t="str">
        <f aca="false">IF($A4160="","",$B4160&amp;"|"&amp;TEXT($A4160,"yyyymmdd")&amp;"|"&amp;TEXT($I4160,"0.00"))</f>
        <v/>
      </c>
      <c r="V4160" s="35" t="str">
        <f aca="false">IF($A4160="","",COUNTIF($U$8:$U$5007,$U4160))</f>
        <v/>
      </c>
    </row>
    <row r="4161" customFormat="false" ht="15" hidden="false" customHeight="false" outlineLevel="0" collapsed="false">
      <c r="A4161" s="31"/>
      <c r="B4161" s="32"/>
      <c r="C4161" s="32"/>
      <c r="D4161" s="32"/>
      <c r="E4161" s="32"/>
      <c r="F4161" s="32"/>
      <c r="G4161" s="33"/>
      <c r="H4161" s="33"/>
      <c r="I4161" s="34" t="str">
        <f aca="false">IF($A4161="","",$G4161-$H4161)</f>
        <v/>
      </c>
      <c r="J4161" s="35" t="str">
        <f aca="false">IF($A4161="","",IF(Setup!$B$6=1,YEAR($A4161),YEAR($A4161)+IF(MONTH($A4161)&gt;=Setup!$B$6,1,0)))</f>
        <v/>
      </c>
      <c r="K4161" s="35" t="str">
        <f aca="false">IF($A4161="","",MOD(MONTH($A4161)-Setup!$B$6+12,12)+1)</f>
        <v/>
      </c>
      <c r="L4161" s="36" t="str">
        <f aca="false">IF($A4161="","",TEXT($A4161,"MMM-YY"))</f>
        <v/>
      </c>
      <c r="M4161" s="37" t="str">
        <f aca="false">IF($A4161="","",IF($Q4161=0,"UNMAPPED",INDEX(COA_Mapping!$C$7:$C$256,$Q4161)))</f>
        <v/>
      </c>
      <c r="N4161" s="38" t="str">
        <f aca="false">IF($A4161="","",IF($Q4161=0,"",INDEX(COA_Mapping!$E$7:$E$256,$Q4161)))</f>
        <v/>
      </c>
      <c r="O4161" s="38" t="n">
        <f aca="false">IF($A4161="",1,IF($Q4161=0,1,INDEX(COA_Mapping!$F$7:$F$256,$Q4161)))</f>
        <v>1</v>
      </c>
      <c r="P4161" s="34" t="str">
        <f aca="false">IF($A4161="","",$I4161*$O4161)</f>
        <v/>
      </c>
      <c r="Q4161" s="39" t="n">
        <f aca="false">IF($B4161="",0,IFERROR(MATCH($B4161,COA_Mapping!$A$7:$A$256,0),0))</f>
        <v>0</v>
      </c>
      <c r="R4161" s="39" t="n">
        <f aca="false">IF($A4161="",-1,IF($J4161=Setup!$B$7,1,IF($J4161=Setup!$B$9,0,-1)))</f>
        <v>-1</v>
      </c>
      <c r="S4161" s="35" t="n">
        <f aca="false">IF(OR($A4161="",$Q4161=0,$R4161=-1),0,$Q4161*1000+$R4161*100+$K4161)</f>
        <v>0</v>
      </c>
      <c r="T4161" s="37" t="str">
        <f aca="false">IF($A4161="","",IF($B4161="","NO ACCOUNT",IF($Q4161=0,"UNMAPPED",IF($R4161=-1,"OUTSIDE FY RANGE","OK"))))</f>
        <v/>
      </c>
      <c r="U4161" s="40" t="str">
        <f aca="false">IF($A4161="","",$B4161&amp;"|"&amp;TEXT($A4161,"yyyymmdd")&amp;"|"&amp;TEXT($I4161,"0.00"))</f>
        <v/>
      </c>
      <c r="V4161" s="35" t="str">
        <f aca="false">IF($A4161="","",COUNTIF($U$8:$U$5007,$U4161))</f>
        <v/>
      </c>
    </row>
    <row r="4162" customFormat="false" ht="15" hidden="false" customHeight="false" outlineLevel="0" collapsed="false">
      <c r="A4162" s="31"/>
      <c r="B4162" s="32"/>
      <c r="C4162" s="32"/>
      <c r="D4162" s="32"/>
      <c r="E4162" s="32"/>
      <c r="F4162" s="32"/>
      <c r="G4162" s="33"/>
      <c r="H4162" s="33"/>
      <c r="I4162" s="34" t="str">
        <f aca="false">IF($A4162="","",$G4162-$H4162)</f>
        <v/>
      </c>
      <c r="J4162" s="35" t="str">
        <f aca="false">IF($A4162="","",IF(Setup!$B$6=1,YEAR($A4162),YEAR($A4162)+IF(MONTH($A4162)&gt;=Setup!$B$6,1,0)))</f>
        <v/>
      </c>
      <c r="K4162" s="35" t="str">
        <f aca="false">IF($A4162="","",MOD(MONTH($A4162)-Setup!$B$6+12,12)+1)</f>
        <v/>
      </c>
      <c r="L4162" s="36" t="str">
        <f aca="false">IF($A4162="","",TEXT($A4162,"MMM-YY"))</f>
        <v/>
      </c>
      <c r="M4162" s="37" t="str">
        <f aca="false">IF($A4162="","",IF($Q4162=0,"UNMAPPED",INDEX(COA_Mapping!$C$7:$C$256,$Q4162)))</f>
        <v/>
      </c>
      <c r="N4162" s="38" t="str">
        <f aca="false">IF($A4162="","",IF($Q4162=0,"",INDEX(COA_Mapping!$E$7:$E$256,$Q4162)))</f>
        <v/>
      </c>
      <c r="O4162" s="38" t="n">
        <f aca="false">IF($A4162="",1,IF($Q4162=0,1,INDEX(COA_Mapping!$F$7:$F$256,$Q4162)))</f>
        <v>1</v>
      </c>
      <c r="P4162" s="34" t="str">
        <f aca="false">IF($A4162="","",$I4162*$O4162)</f>
        <v/>
      </c>
      <c r="Q4162" s="39" t="n">
        <f aca="false">IF($B4162="",0,IFERROR(MATCH($B4162,COA_Mapping!$A$7:$A$256,0),0))</f>
        <v>0</v>
      </c>
      <c r="R4162" s="39" t="n">
        <f aca="false">IF($A4162="",-1,IF($J4162=Setup!$B$7,1,IF($J4162=Setup!$B$9,0,-1)))</f>
        <v>-1</v>
      </c>
      <c r="S4162" s="35" t="n">
        <f aca="false">IF(OR($A4162="",$Q4162=0,$R4162=-1),0,$Q4162*1000+$R4162*100+$K4162)</f>
        <v>0</v>
      </c>
      <c r="T4162" s="37" t="str">
        <f aca="false">IF($A4162="","",IF($B4162="","NO ACCOUNT",IF($Q4162=0,"UNMAPPED",IF($R4162=-1,"OUTSIDE FY RANGE","OK"))))</f>
        <v/>
      </c>
      <c r="U4162" s="40" t="str">
        <f aca="false">IF($A4162="","",$B4162&amp;"|"&amp;TEXT($A4162,"yyyymmdd")&amp;"|"&amp;TEXT($I4162,"0.00"))</f>
        <v/>
      </c>
      <c r="V4162" s="35" t="str">
        <f aca="false">IF($A4162="","",COUNTIF($U$8:$U$5007,$U4162))</f>
        <v/>
      </c>
    </row>
    <row r="4163" customFormat="false" ht="15" hidden="false" customHeight="false" outlineLevel="0" collapsed="false">
      <c r="A4163" s="31"/>
      <c r="B4163" s="32"/>
      <c r="C4163" s="32"/>
      <c r="D4163" s="32"/>
      <c r="E4163" s="32"/>
      <c r="F4163" s="32"/>
      <c r="G4163" s="33"/>
      <c r="H4163" s="33"/>
      <c r="I4163" s="34" t="str">
        <f aca="false">IF($A4163="","",$G4163-$H4163)</f>
        <v/>
      </c>
      <c r="J4163" s="35" t="str">
        <f aca="false">IF($A4163="","",IF(Setup!$B$6=1,YEAR($A4163),YEAR($A4163)+IF(MONTH($A4163)&gt;=Setup!$B$6,1,0)))</f>
        <v/>
      </c>
      <c r="K4163" s="35" t="str">
        <f aca="false">IF($A4163="","",MOD(MONTH($A4163)-Setup!$B$6+12,12)+1)</f>
        <v/>
      </c>
      <c r="L4163" s="36" t="str">
        <f aca="false">IF($A4163="","",TEXT($A4163,"MMM-YY"))</f>
        <v/>
      </c>
      <c r="M4163" s="37" t="str">
        <f aca="false">IF($A4163="","",IF($Q4163=0,"UNMAPPED",INDEX(COA_Mapping!$C$7:$C$256,$Q4163)))</f>
        <v/>
      </c>
      <c r="N4163" s="38" t="str">
        <f aca="false">IF($A4163="","",IF($Q4163=0,"",INDEX(COA_Mapping!$E$7:$E$256,$Q4163)))</f>
        <v/>
      </c>
      <c r="O4163" s="38" t="n">
        <f aca="false">IF($A4163="",1,IF($Q4163=0,1,INDEX(COA_Mapping!$F$7:$F$256,$Q4163)))</f>
        <v>1</v>
      </c>
      <c r="P4163" s="34" t="str">
        <f aca="false">IF($A4163="","",$I4163*$O4163)</f>
        <v/>
      </c>
      <c r="Q4163" s="39" t="n">
        <f aca="false">IF($B4163="",0,IFERROR(MATCH($B4163,COA_Mapping!$A$7:$A$256,0),0))</f>
        <v>0</v>
      </c>
      <c r="R4163" s="39" t="n">
        <f aca="false">IF($A4163="",-1,IF($J4163=Setup!$B$7,1,IF($J4163=Setup!$B$9,0,-1)))</f>
        <v>-1</v>
      </c>
      <c r="S4163" s="35" t="n">
        <f aca="false">IF(OR($A4163="",$Q4163=0,$R4163=-1),0,$Q4163*1000+$R4163*100+$K4163)</f>
        <v>0</v>
      </c>
      <c r="T4163" s="37" t="str">
        <f aca="false">IF($A4163="","",IF($B4163="","NO ACCOUNT",IF($Q4163=0,"UNMAPPED",IF($R4163=-1,"OUTSIDE FY RANGE","OK"))))</f>
        <v/>
      </c>
      <c r="U4163" s="40" t="str">
        <f aca="false">IF($A4163="","",$B4163&amp;"|"&amp;TEXT($A4163,"yyyymmdd")&amp;"|"&amp;TEXT($I4163,"0.00"))</f>
        <v/>
      </c>
      <c r="V4163" s="35" t="str">
        <f aca="false">IF($A4163="","",COUNTIF($U$8:$U$5007,$U4163))</f>
        <v/>
      </c>
    </row>
    <row r="4164" customFormat="false" ht="15" hidden="false" customHeight="false" outlineLevel="0" collapsed="false">
      <c r="A4164" s="31"/>
      <c r="B4164" s="32"/>
      <c r="C4164" s="32"/>
      <c r="D4164" s="32"/>
      <c r="E4164" s="32"/>
      <c r="F4164" s="32"/>
      <c r="G4164" s="33"/>
      <c r="H4164" s="33"/>
      <c r="I4164" s="34" t="str">
        <f aca="false">IF($A4164="","",$G4164-$H4164)</f>
        <v/>
      </c>
      <c r="J4164" s="35" t="str">
        <f aca="false">IF($A4164="","",IF(Setup!$B$6=1,YEAR($A4164),YEAR($A4164)+IF(MONTH($A4164)&gt;=Setup!$B$6,1,0)))</f>
        <v/>
      </c>
      <c r="K4164" s="35" t="str">
        <f aca="false">IF($A4164="","",MOD(MONTH($A4164)-Setup!$B$6+12,12)+1)</f>
        <v/>
      </c>
      <c r="L4164" s="36" t="str">
        <f aca="false">IF($A4164="","",TEXT($A4164,"MMM-YY"))</f>
        <v/>
      </c>
      <c r="M4164" s="37" t="str">
        <f aca="false">IF($A4164="","",IF($Q4164=0,"UNMAPPED",INDEX(COA_Mapping!$C$7:$C$256,$Q4164)))</f>
        <v/>
      </c>
      <c r="N4164" s="38" t="str">
        <f aca="false">IF($A4164="","",IF($Q4164=0,"",INDEX(COA_Mapping!$E$7:$E$256,$Q4164)))</f>
        <v/>
      </c>
      <c r="O4164" s="38" t="n">
        <f aca="false">IF($A4164="",1,IF($Q4164=0,1,INDEX(COA_Mapping!$F$7:$F$256,$Q4164)))</f>
        <v>1</v>
      </c>
      <c r="P4164" s="34" t="str">
        <f aca="false">IF($A4164="","",$I4164*$O4164)</f>
        <v/>
      </c>
      <c r="Q4164" s="39" t="n">
        <f aca="false">IF($B4164="",0,IFERROR(MATCH($B4164,COA_Mapping!$A$7:$A$256,0),0))</f>
        <v>0</v>
      </c>
      <c r="R4164" s="39" t="n">
        <f aca="false">IF($A4164="",-1,IF($J4164=Setup!$B$7,1,IF($J4164=Setup!$B$9,0,-1)))</f>
        <v>-1</v>
      </c>
      <c r="S4164" s="35" t="n">
        <f aca="false">IF(OR($A4164="",$Q4164=0,$R4164=-1),0,$Q4164*1000+$R4164*100+$K4164)</f>
        <v>0</v>
      </c>
      <c r="T4164" s="37" t="str">
        <f aca="false">IF($A4164="","",IF($B4164="","NO ACCOUNT",IF($Q4164=0,"UNMAPPED",IF($R4164=-1,"OUTSIDE FY RANGE","OK"))))</f>
        <v/>
      </c>
      <c r="U4164" s="40" t="str">
        <f aca="false">IF($A4164="","",$B4164&amp;"|"&amp;TEXT($A4164,"yyyymmdd")&amp;"|"&amp;TEXT($I4164,"0.00"))</f>
        <v/>
      </c>
      <c r="V4164" s="35" t="str">
        <f aca="false">IF($A4164="","",COUNTIF($U$8:$U$5007,$U4164))</f>
        <v/>
      </c>
    </row>
    <row r="4165" customFormat="false" ht="15" hidden="false" customHeight="false" outlineLevel="0" collapsed="false">
      <c r="A4165" s="31"/>
      <c r="B4165" s="32"/>
      <c r="C4165" s="32"/>
      <c r="D4165" s="32"/>
      <c r="E4165" s="32"/>
      <c r="F4165" s="32"/>
      <c r="G4165" s="33"/>
      <c r="H4165" s="33"/>
      <c r="I4165" s="34" t="str">
        <f aca="false">IF($A4165="","",$G4165-$H4165)</f>
        <v/>
      </c>
      <c r="J4165" s="35" t="str">
        <f aca="false">IF($A4165="","",IF(Setup!$B$6=1,YEAR($A4165),YEAR($A4165)+IF(MONTH($A4165)&gt;=Setup!$B$6,1,0)))</f>
        <v/>
      </c>
      <c r="K4165" s="35" t="str">
        <f aca="false">IF($A4165="","",MOD(MONTH($A4165)-Setup!$B$6+12,12)+1)</f>
        <v/>
      </c>
      <c r="L4165" s="36" t="str">
        <f aca="false">IF($A4165="","",TEXT($A4165,"MMM-YY"))</f>
        <v/>
      </c>
      <c r="M4165" s="37" t="str">
        <f aca="false">IF($A4165="","",IF($Q4165=0,"UNMAPPED",INDEX(COA_Mapping!$C$7:$C$256,$Q4165)))</f>
        <v/>
      </c>
      <c r="N4165" s="38" t="str">
        <f aca="false">IF($A4165="","",IF($Q4165=0,"",INDEX(COA_Mapping!$E$7:$E$256,$Q4165)))</f>
        <v/>
      </c>
      <c r="O4165" s="38" t="n">
        <f aca="false">IF($A4165="",1,IF($Q4165=0,1,INDEX(COA_Mapping!$F$7:$F$256,$Q4165)))</f>
        <v>1</v>
      </c>
      <c r="P4165" s="34" t="str">
        <f aca="false">IF($A4165="","",$I4165*$O4165)</f>
        <v/>
      </c>
      <c r="Q4165" s="39" t="n">
        <f aca="false">IF($B4165="",0,IFERROR(MATCH($B4165,COA_Mapping!$A$7:$A$256,0),0))</f>
        <v>0</v>
      </c>
      <c r="R4165" s="39" t="n">
        <f aca="false">IF($A4165="",-1,IF($J4165=Setup!$B$7,1,IF($J4165=Setup!$B$9,0,-1)))</f>
        <v>-1</v>
      </c>
      <c r="S4165" s="35" t="n">
        <f aca="false">IF(OR($A4165="",$Q4165=0,$R4165=-1),0,$Q4165*1000+$R4165*100+$K4165)</f>
        <v>0</v>
      </c>
      <c r="T4165" s="37" t="str">
        <f aca="false">IF($A4165="","",IF($B4165="","NO ACCOUNT",IF($Q4165=0,"UNMAPPED",IF($R4165=-1,"OUTSIDE FY RANGE","OK"))))</f>
        <v/>
      </c>
      <c r="U4165" s="40" t="str">
        <f aca="false">IF($A4165="","",$B4165&amp;"|"&amp;TEXT($A4165,"yyyymmdd")&amp;"|"&amp;TEXT($I4165,"0.00"))</f>
        <v/>
      </c>
      <c r="V4165" s="35" t="str">
        <f aca="false">IF($A4165="","",COUNTIF($U$8:$U$5007,$U4165))</f>
        <v/>
      </c>
    </row>
    <row r="4166" customFormat="false" ht="15" hidden="false" customHeight="false" outlineLevel="0" collapsed="false">
      <c r="A4166" s="31"/>
      <c r="B4166" s="32"/>
      <c r="C4166" s="32"/>
      <c r="D4166" s="32"/>
      <c r="E4166" s="32"/>
      <c r="F4166" s="32"/>
      <c r="G4166" s="33"/>
      <c r="H4166" s="33"/>
      <c r="I4166" s="34" t="str">
        <f aca="false">IF($A4166="","",$G4166-$H4166)</f>
        <v/>
      </c>
      <c r="J4166" s="35" t="str">
        <f aca="false">IF($A4166="","",IF(Setup!$B$6=1,YEAR($A4166),YEAR($A4166)+IF(MONTH($A4166)&gt;=Setup!$B$6,1,0)))</f>
        <v/>
      </c>
      <c r="K4166" s="35" t="str">
        <f aca="false">IF($A4166="","",MOD(MONTH($A4166)-Setup!$B$6+12,12)+1)</f>
        <v/>
      </c>
      <c r="L4166" s="36" t="str">
        <f aca="false">IF($A4166="","",TEXT($A4166,"MMM-YY"))</f>
        <v/>
      </c>
      <c r="M4166" s="37" t="str">
        <f aca="false">IF($A4166="","",IF($Q4166=0,"UNMAPPED",INDEX(COA_Mapping!$C$7:$C$256,$Q4166)))</f>
        <v/>
      </c>
      <c r="N4166" s="38" t="str">
        <f aca="false">IF($A4166="","",IF($Q4166=0,"",INDEX(COA_Mapping!$E$7:$E$256,$Q4166)))</f>
        <v/>
      </c>
      <c r="O4166" s="38" t="n">
        <f aca="false">IF($A4166="",1,IF($Q4166=0,1,INDEX(COA_Mapping!$F$7:$F$256,$Q4166)))</f>
        <v>1</v>
      </c>
      <c r="P4166" s="34" t="str">
        <f aca="false">IF($A4166="","",$I4166*$O4166)</f>
        <v/>
      </c>
      <c r="Q4166" s="39" t="n">
        <f aca="false">IF($B4166="",0,IFERROR(MATCH($B4166,COA_Mapping!$A$7:$A$256,0),0))</f>
        <v>0</v>
      </c>
      <c r="R4166" s="39" t="n">
        <f aca="false">IF($A4166="",-1,IF($J4166=Setup!$B$7,1,IF($J4166=Setup!$B$9,0,-1)))</f>
        <v>-1</v>
      </c>
      <c r="S4166" s="35" t="n">
        <f aca="false">IF(OR($A4166="",$Q4166=0,$R4166=-1),0,$Q4166*1000+$R4166*100+$K4166)</f>
        <v>0</v>
      </c>
      <c r="T4166" s="37" t="str">
        <f aca="false">IF($A4166="","",IF($B4166="","NO ACCOUNT",IF($Q4166=0,"UNMAPPED",IF($R4166=-1,"OUTSIDE FY RANGE","OK"))))</f>
        <v/>
      </c>
      <c r="U4166" s="40" t="str">
        <f aca="false">IF($A4166="","",$B4166&amp;"|"&amp;TEXT($A4166,"yyyymmdd")&amp;"|"&amp;TEXT($I4166,"0.00"))</f>
        <v/>
      </c>
      <c r="V4166" s="35" t="str">
        <f aca="false">IF($A4166="","",COUNTIF($U$8:$U$5007,$U4166))</f>
        <v/>
      </c>
    </row>
    <row r="4167" customFormat="false" ht="15" hidden="false" customHeight="false" outlineLevel="0" collapsed="false">
      <c r="A4167" s="31"/>
      <c r="B4167" s="32"/>
      <c r="C4167" s="32"/>
      <c r="D4167" s="32"/>
      <c r="E4167" s="32"/>
      <c r="F4167" s="32"/>
      <c r="G4167" s="33"/>
      <c r="H4167" s="33"/>
      <c r="I4167" s="34" t="str">
        <f aca="false">IF($A4167="","",$G4167-$H4167)</f>
        <v/>
      </c>
      <c r="J4167" s="35" t="str">
        <f aca="false">IF($A4167="","",IF(Setup!$B$6=1,YEAR($A4167),YEAR($A4167)+IF(MONTH($A4167)&gt;=Setup!$B$6,1,0)))</f>
        <v/>
      </c>
      <c r="K4167" s="35" t="str">
        <f aca="false">IF($A4167="","",MOD(MONTH($A4167)-Setup!$B$6+12,12)+1)</f>
        <v/>
      </c>
      <c r="L4167" s="36" t="str">
        <f aca="false">IF($A4167="","",TEXT($A4167,"MMM-YY"))</f>
        <v/>
      </c>
      <c r="M4167" s="37" t="str">
        <f aca="false">IF($A4167="","",IF($Q4167=0,"UNMAPPED",INDEX(COA_Mapping!$C$7:$C$256,$Q4167)))</f>
        <v/>
      </c>
      <c r="N4167" s="38" t="str">
        <f aca="false">IF($A4167="","",IF($Q4167=0,"",INDEX(COA_Mapping!$E$7:$E$256,$Q4167)))</f>
        <v/>
      </c>
      <c r="O4167" s="38" t="n">
        <f aca="false">IF($A4167="",1,IF($Q4167=0,1,INDEX(COA_Mapping!$F$7:$F$256,$Q4167)))</f>
        <v>1</v>
      </c>
      <c r="P4167" s="34" t="str">
        <f aca="false">IF($A4167="","",$I4167*$O4167)</f>
        <v/>
      </c>
      <c r="Q4167" s="39" t="n">
        <f aca="false">IF($B4167="",0,IFERROR(MATCH($B4167,COA_Mapping!$A$7:$A$256,0),0))</f>
        <v>0</v>
      </c>
      <c r="R4167" s="39" t="n">
        <f aca="false">IF($A4167="",-1,IF($J4167=Setup!$B$7,1,IF($J4167=Setup!$B$9,0,-1)))</f>
        <v>-1</v>
      </c>
      <c r="S4167" s="35" t="n">
        <f aca="false">IF(OR($A4167="",$Q4167=0,$R4167=-1),0,$Q4167*1000+$R4167*100+$K4167)</f>
        <v>0</v>
      </c>
      <c r="T4167" s="37" t="str">
        <f aca="false">IF($A4167="","",IF($B4167="","NO ACCOUNT",IF($Q4167=0,"UNMAPPED",IF($R4167=-1,"OUTSIDE FY RANGE","OK"))))</f>
        <v/>
      </c>
      <c r="U4167" s="40" t="str">
        <f aca="false">IF($A4167="","",$B4167&amp;"|"&amp;TEXT($A4167,"yyyymmdd")&amp;"|"&amp;TEXT($I4167,"0.00"))</f>
        <v/>
      </c>
      <c r="V4167" s="35" t="str">
        <f aca="false">IF($A4167="","",COUNTIF($U$8:$U$5007,$U4167))</f>
        <v/>
      </c>
    </row>
    <row r="4168" customFormat="false" ht="15" hidden="false" customHeight="false" outlineLevel="0" collapsed="false">
      <c r="A4168" s="31"/>
      <c r="B4168" s="32"/>
      <c r="C4168" s="32"/>
      <c r="D4168" s="32"/>
      <c r="E4168" s="32"/>
      <c r="F4168" s="32"/>
      <c r="G4168" s="33"/>
      <c r="H4168" s="33"/>
      <c r="I4168" s="34" t="str">
        <f aca="false">IF($A4168="","",$G4168-$H4168)</f>
        <v/>
      </c>
      <c r="J4168" s="35" t="str">
        <f aca="false">IF($A4168="","",IF(Setup!$B$6=1,YEAR($A4168),YEAR($A4168)+IF(MONTH($A4168)&gt;=Setup!$B$6,1,0)))</f>
        <v/>
      </c>
      <c r="K4168" s="35" t="str">
        <f aca="false">IF($A4168="","",MOD(MONTH($A4168)-Setup!$B$6+12,12)+1)</f>
        <v/>
      </c>
      <c r="L4168" s="36" t="str">
        <f aca="false">IF($A4168="","",TEXT($A4168,"MMM-YY"))</f>
        <v/>
      </c>
      <c r="M4168" s="37" t="str">
        <f aca="false">IF($A4168="","",IF($Q4168=0,"UNMAPPED",INDEX(COA_Mapping!$C$7:$C$256,$Q4168)))</f>
        <v/>
      </c>
      <c r="N4168" s="38" t="str">
        <f aca="false">IF($A4168="","",IF($Q4168=0,"",INDEX(COA_Mapping!$E$7:$E$256,$Q4168)))</f>
        <v/>
      </c>
      <c r="O4168" s="38" t="n">
        <f aca="false">IF($A4168="",1,IF($Q4168=0,1,INDEX(COA_Mapping!$F$7:$F$256,$Q4168)))</f>
        <v>1</v>
      </c>
      <c r="P4168" s="34" t="str">
        <f aca="false">IF($A4168="","",$I4168*$O4168)</f>
        <v/>
      </c>
      <c r="Q4168" s="39" t="n">
        <f aca="false">IF($B4168="",0,IFERROR(MATCH($B4168,COA_Mapping!$A$7:$A$256,0),0))</f>
        <v>0</v>
      </c>
      <c r="R4168" s="39" t="n">
        <f aca="false">IF($A4168="",-1,IF($J4168=Setup!$B$7,1,IF($J4168=Setup!$B$9,0,-1)))</f>
        <v>-1</v>
      </c>
      <c r="S4168" s="35" t="n">
        <f aca="false">IF(OR($A4168="",$Q4168=0,$R4168=-1),0,$Q4168*1000+$R4168*100+$K4168)</f>
        <v>0</v>
      </c>
      <c r="T4168" s="37" t="str">
        <f aca="false">IF($A4168="","",IF($B4168="","NO ACCOUNT",IF($Q4168=0,"UNMAPPED",IF($R4168=-1,"OUTSIDE FY RANGE","OK"))))</f>
        <v/>
      </c>
      <c r="U4168" s="40" t="str">
        <f aca="false">IF($A4168="","",$B4168&amp;"|"&amp;TEXT($A4168,"yyyymmdd")&amp;"|"&amp;TEXT($I4168,"0.00"))</f>
        <v/>
      </c>
      <c r="V4168" s="35" t="str">
        <f aca="false">IF($A4168="","",COUNTIF($U$8:$U$5007,$U4168))</f>
        <v/>
      </c>
    </row>
    <row r="4169" customFormat="false" ht="15" hidden="false" customHeight="false" outlineLevel="0" collapsed="false">
      <c r="A4169" s="31"/>
      <c r="B4169" s="32"/>
      <c r="C4169" s="32"/>
      <c r="D4169" s="32"/>
      <c r="E4169" s="32"/>
      <c r="F4169" s="32"/>
      <c r="G4169" s="33"/>
      <c r="H4169" s="33"/>
      <c r="I4169" s="34" t="str">
        <f aca="false">IF($A4169="","",$G4169-$H4169)</f>
        <v/>
      </c>
      <c r="J4169" s="35" t="str">
        <f aca="false">IF($A4169="","",IF(Setup!$B$6=1,YEAR($A4169),YEAR($A4169)+IF(MONTH($A4169)&gt;=Setup!$B$6,1,0)))</f>
        <v/>
      </c>
      <c r="K4169" s="35" t="str">
        <f aca="false">IF($A4169="","",MOD(MONTH($A4169)-Setup!$B$6+12,12)+1)</f>
        <v/>
      </c>
      <c r="L4169" s="36" t="str">
        <f aca="false">IF($A4169="","",TEXT($A4169,"MMM-YY"))</f>
        <v/>
      </c>
      <c r="M4169" s="37" t="str">
        <f aca="false">IF($A4169="","",IF($Q4169=0,"UNMAPPED",INDEX(COA_Mapping!$C$7:$C$256,$Q4169)))</f>
        <v/>
      </c>
      <c r="N4169" s="38" t="str">
        <f aca="false">IF($A4169="","",IF($Q4169=0,"",INDEX(COA_Mapping!$E$7:$E$256,$Q4169)))</f>
        <v/>
      </c>
      <c r="O4169" s="38" t="n">
        <f aca="false">IF($A4169="",1,IF($Q4169=0,1,INDEX(COA_Mapping!$F$7:$F$256,$Q4169)))</f>
        <v>1</v>
      </c>
      <c r="P4169" s="34" t="str">
        <f aca="false">IF($A4169="","",$I4169*$O4169)</f>
        <v/>
      </c>
      <c r="Q4169" s="39" t="n">
        <f aca="false">IF($B4169="",0,IFERROR(MATCH($B4169,COA_Mapping!$A$7:$A$256,0),0))</f>
        <v>0</v>
      </c>
      <c r="R4169" s="39" t="n">
        <f aca="false">IF($A4169="",-1,IF($J4169=Setup!$B$7,1,IF($J4169=Setup!$B$9,0,-1)))</f>
        <v>-1</v>
      </c>
      <c r="S4169" s="35" t="n">
        <f aca="false">IF(OR($A4169="",$Q4169=0,$R4169=-1),0,$Q4169*1000+$R4169*100+$K4169)</f>
        <v>0</v>
      </c>
      <c r="T4169" s="37" t="str">
        <f aca="false">IF($A4169="","",IF($B4169="","NO ACCOUNT",IF($Q4169=0,"UNMAPPED",IF($R4169=-1,"OUTSIDE FY RANGE","OK"))))</f>
        <v/>
      </c>
      <c r="U4169" s="40" t="str">
        <f aca="false">IF($A4169="","",$B4169&amp;"|"&amp;TEXT($A4169,"yyyymmdd")&amp;"|"&amp;TEXT($I4169,"0.00"))</f>
        <v/>
      </c>
      <c r="V4169" s="35" t="str">
        <f aca="false">IF($A4169="","",COUNTIF($U$8:$U$5007,$U4169))</f>
        <v/>
      </c>
    </row>
    <row r="4170" customFormat="false" ht="15" hidden="false" customHeight="false" outlineLevel="0" collapsed="false">
      <c r="A4170" s="31"/>
      <c r="B4170" s="32"/>
      <c r="C4170" s="32"/>
      <c r="D4170" s="32"/>
      <c r="E4170" s="32"/>
      <c r="F4170" s="32"/>
      <c r="G4170" s="33"/>
      <c r="H4170" s="33"/>
      <c r="I4170" s="34" t="str">
        <f aca="false">IF($A4170="","",$G4170-$H4170)</f>
        <v/>
      </c>
      <c r="J4170" s="35" t="str">
        <f aca="false">IF($A4170="","",IF(Setup!$B$6=1,YEAR($A4170),YEAR($A4170)+IF(MONTH($A4170)&gt;=Setup!$B$6,1,0)))</f>
        <v/>
      </c>
      <c r="K4170" s="35" t="str">
        <f aca="false">IF($A4170="","",MOD(MONTH($A4170)-Setup!$B$6+12,12)+1)</f>
        <v/>
      </c>
      <c r="L4170" s="36" t="str">
        <f aca="false">IF($A4170="","",TEXT($A4170,"MMM-YY"))</f>
        <v/>
      </c>
      <c r="M4170" s="37" t="str">
        <f aca="false">IF($A4170="","",IF($Q4170=0,"UNMAPPED",INDEX(COA_Mapping!$C$7:$C$256,$Q4170)))</f>
        <v/>
      </c>
      <c r="N4170" s="38" t="str">
        <f aca="false">IF($A4170="","",IF($Q4170=0,"",INDEX(COA_Mapping!$E$7:$E$256,$Q4170)))</f>
        <v/>
      </c>
      <c r="O4170" s="38" t="n">
        <f aca="false">IF($A4170="",1,IF($Q4170=0,1,INDEX(COA_Mapping!$F$7:$F$256,$Q4170)))</f>
        <v>1</v>
      </c>
      <c r="P4170" s="34" t="str">
        <f aca="false">IF($A4170="","",$I4170*$O4170)</f>
        <v/>
      </c>
      <c r="Q4170" s="39" t="n">
        <f aca="false">IF($B4170="",0,IFERROR(MATCH($B4170,COA_Mapping!$A$7:$A$256,0),0))</f>
        <v>0</v>
      </c>
      <c r="R4170" s="39" t="n">
        <f aca="false">IF($A4170="",-1,IF($J4170=Setup!$B$7,1,IF($J4170=Setup!$B$9,0,-1)))</f>
        <v>-1</v>
      </c>
      <c r="S4170" s="35" t="n">
        <f aca="false">IF(OR($A4170="",$Q4170=0,$R4170=-1),0,$Q4170*1000+$R4170*100+$K4170)</f>
        <v>0</v>
      </c>
      <c r="T4170" s="37" t="str">
        <f aca="false">IF($A4170="","",IF($B4170="","NO ACCOUNT",IF($Q4170=0,"UNMAPPED",IF($R4170=-1,"OUTSIDE FY RANGE","OK"))))</f>
        <v/>
      </c>
      <c r="U4170" s="40" t="str">
        <f aca="false">IF($A4170="","",$B4170&amp;"|"&amp;TEXT($A4170,"yyyymmdd")&amp;"|"&amp;TEXT($I4170,"0.00"))</f>
        <v/>
      </c>
      <c r="V4170" s="35" t="str">
        <f aca="false">IF($A4170="","",COUNTIF($U$8:$U$5007,$U4170))</f>
        <v/>
      </c>
    </row>
    <row r="4171" customFormat="false" ht="15" hidden="false" customHeight="false" outlineLevel="0" collapsed="false">
      <c r="A4171" s="31"/>
      <c r="B4171" s="32"/>
      <c r="C4171" s="32"/>
      <c r="D4171" s="32"/>
      <c r="E4171" s="32"/>
      <c r="F4171" s="32"/>
      <c r="G4171" s="33"/>
      <c r="H4171" s="33"/>
      <c r="I4171" s="34" t="str">
        <f aca="false">IF($A4171="","",$G4171-$H4171)</f>
        <v/>
      </c>
      <c r="J4171" s="35" t="str">
        <f aca="false">IF($A4171="","",IF(Setup!$B$6=1,YEAR($A4171),YEAR($A4171)+IF(MONTH($A4171)&gt;=Setup!$B$6,1,0)))</f>
        <v/>
      </c>
      <c r="K4171" s="35" t="str">
        <f aca="false">IF($A4171="","",MOD(MONTH($A4171)-Setup!$B$6+12,12)+1)</f>
        <v/>
      </c>
      <c r="L4171" s="36" t="str">
        <f aca="false">IF($A4171="","",TEXT($A4171,"MMM-YY"))</f>
        <v/>
      </c>
      <c r="M4171" s="37" t="str">
        <f aca="false">IF($A4171="","",IF($Q4171=0,"UNMAPPED",INDEX(COA_Mapping!$C$7:$C$256,$Q4171)))</f>
        <v/>
      </c>
      <c r="N4171" s="38" t="str">
        <f aca="false">IF($A4171="","",IF($Q4171=0,"",INDEX(COA_Mapping!$E$7:$E$256,$Q4171)))</f>
        <v/>
      </c>
      <c r="O4171" s="38" t="n">
        <f aca="false">IF($A4171="",1,IF($Q4171=0,1,INDEX(COA_Mapping!$F$7:$F$256,$Q4171)))</f>
        <v>1</v>
      </c>
      <c r="P4171" s="34" t="str">
        <f aca="false">IF($A4171="","",$I4171*$O4171)</f>
        <v/>
      </c>
      <c r="Q4171" s="39" t="n">
        <f aca="false">IF($B4171="",0,IFERROR(MATCH($B4171,COA_Mapping!$A$7:$A$256,0),0))</f>
        <v>0</v>
      </c>
      <c r="R4171" s="39" t="n">
        <f aca="false">IF($A4171="",-1,IF($J4171=Setup!$B$7,1,IF($J4171=Setup!$B$9,0,-1)))</f>
        <v>-1</v>
      </c>
      <c r="S4171" s="35" t="n">
        <f aca="false">IF(OR($A4171="",$Q4171=0,$R4171=-1),0,$Q4171*1000+$R4171*100+$K4171)</f>
        <v>0</v>
      </c>
      <c r="T4171" s="37" t="str">
        <f aca="false">IF($A4171="","",IF($B4171="","NO ACCOUNT",IF($Q4171=0,"UNMAPPED",IF($R4171=-1,"OUTSIDE FY RANGE","OK"))))</f>
        <v/>
      </c>
      <c r="U4171" s="40" t="str">
        <f aca="false">IF($A4171="","",$B4171&amp;"|"&amp;TEXT($A4171,"yyyymmdd")&amp;"|"&amp;TEXT($I4171,"0.00"))</f>
        <v/>
      </c>
      <c r="V4171" s="35" t="str">
        <f aca="false">IF($A4171="","",COUNTIF($U$8:$U$5007,$U4171))</f>
        <v/>
      </c>
    </row>
    <row r="4172" customFormat="false" ht="15" hidden="false" customHeight="false" outlineLevel="0" collapsed="false">
      <c r="A4172" s="31"/>
      <c r="B4172" s="32"/>
      <c r="C4172" s="32"/>
      <c r="D4172" s="32"/>
      <c r="E4172" s="32"/>
      <c r="F4172" s="32"/>
      <c r="G4172" s="33"/>
      <c r="H4172" s="33"/>
      <c r="I4172" s="34" t="str">
        <f aca="false">IF($A4172="","",$G4172-$H4172)</f>
        <v/>
      </c>
      <c r="J4172" s="35" t="str">
        <f aca="false">IF($A4172="","",IF(Setup!$B$6=1,YEAR($A4172),YEAR($A4172)+IF(MONTH($A4172)&gt;=Setup!$B$6,1,0)))</f>
        <v/>
      </c>
      <c r="K4172" s="35" t="str">
        <f aca="false">IF($A4172="","",MOD(MONTH($A4172)-Setup!$B$6+12,12)+1)</f>
        <v/>
      </c>
      <c r="L4172" s="36" t="str">
        <f aca="false">IF($A4172="","",TEXT($A4172,"MMM-YY"))</f>
        <v/>
      </c>
      <c r="M4172" s="37" t="str">
        <f aca="false">IF($A4172="","",IF($Q4172=0,"UNMAPPED",INDEX(COA_Mapping!$C$7:$C$256,$Q4172)))</f>
        <v/>
      </c>
      <c r="N4172" s="38" t="str">
        <f aca="false">IF($A4172="","",IF($Q4172=0,"",INDEX(COA_Mapping!$E$7:$E$256,$Q4172)))</f>
        <v/>
      </c>
      <c r="O4172" s="38" t="n">
        <f aca="false">IF($A4172="",1,IF($Q4172=0,1,INDEX(COA_Mapping!$F$7:$F$256,$Q4172)))</f>
        <v>1</v>
      </c>
      <c r="P4172" s="34" t="str">
        <f aca="false">IF($A4172="","",$I4172*$O4172)</f>
        <v/>
      </c>
      <c r="Q4172" s="39" t="n">
        <f aca="false">IF($B4172="",0,IFERROR(MATCH($B4172,COA_Mapping!$A$7:$A$256,0),0))</f>
        <v>0</v>
      </c>
      <c r="R4172" s="39" t="n">
        <f aca="false">IF($A4172="",-1,IF($J4172=Setup!$B$7,1,IF($J4172=Setup!$B$9,0,-1)))</f>
        <v>-1</v>
      </c>
      <c r="S4172" s="35" t="n">
        <f aca="false">IF(OR($A4172="",$Q4172=0,$R4172=-1),0,$Q4172*1000+$R4172*100+$K4172)</f>
        <v>0</v>
      </c>
      <c r="T4172" s="37" t="str">
        <f aca="false">IF($A4172="","",IF($B4172="","NO ACCOUNT",IF($Q4172=0,"UNMAPPED",IF($R4172=-1,"OUTSIDE FY RANGE","OK"))))</f>
        <v/>
      </c>
      <c r="U4172" s="40" t="str">
        <f aca="false">IF($A4172="","",$B4172&amp;"|"&amp;TEXT($A4172,"yyyymmdd")&amp;"|"&amp;TEXT($I4172,"0.00"))</f>
        <v/>
      </c>
      <c r="V4172" s="35" t="str">
        <f aca="false">IF($A4172="","",COUNTIF($U$8:$U$5007,$U4172))</f>
        <v/>
      </c>
    </row>
    <row r="4173" customFormat="false" ht="15" hidden="false" customHeight="false" outlineLevel="0" collapsed="false">
      <c r="A4173" s="31"/>
      <c r="B4173" s="32"/>
      <c r="C4173" s="32"/>
      <c r="D4173" s="32"/>
      <c r="E4173" s="32"/>
      <c r="F4173" s="32"/>
      <c r="G4173" s="33"/>
      <c r="H4173" s="33"/>
      <c r="I4173" s="34" t="str">
        <f aca="false">IF($A4173="","",$G4173-$H4173)</f>
        <v/>
      </c>
      <c r="J4173" s="35" t="str">
        <f aca="false">IF($A4173="","",IF(Setup!$B$6=1,YEAR($A4173),YEAR($A4173)+IF(MONTH($A4173)&gt;=Setup!$B$6,1,0)))</f>
        <v/>
      </c>
      <c r="K4173" s="35" t="str">
        <f aca="false">IF($A4173="","",MOD(MONTH($A4173)-Setup!$B$6+12,12)+1)</f>
        <v/>
      </c>
      <c r="L4173" s="36" t="str">
        <f aca="false">IF($A4173="","",TEXT($A4173,"MMM-YY"))</f>
        <v/>
      </c>
      <c r="M4173" s="37" t="str">
        <f aca="false">IF($A4173="","",IF($Q4173=0,"UNMAPPED",INDEX(COA_Mapping!$C$7:$C$256,$Q4173)))</f>
        <v/>
      </c>
      <c r="N4173" s="38" t="str">
        <f aca="false">IF($A4173="","",IF($Q4173=0,"",INDEX(COA_Mapping!$E$7:$E$256,$Q4173)))</f>
        <v/>
      </c>
      <c r="O4173" s="38" t="n">
        <f aca="false">IF($A4173="",1,IF($Q4173=0,1,INDEX(COA_Mapping!$F$7:$F$256,$Q4173)))</f>
        <v>1</v>
      </c>
      <c r="P4173" s="34" t="str">
        <f aca="false">IF($A4173="","",$I4173*$O4173)</f>
        <v/>
      </c>
      <c r="Q4173" s="39" t="n">
        <f aca="false">IF($B4173="",0,IFERROR(MATCH($B4173,COA_Mapping!$A$7:$A$256,0),0))</f>
        <v>0</v>
      </c>
      <c r="R4173" s="39" t="n">
        <f aca="false">IF($A4173="",-1,IF($J4173=Setup!$B$7,1,IF($J4173=Setup!$B$9,0,-1)))</f>
        <v>-1</v>
      </c>
      <c r="S4173" s="35" t="n">
        <f aca="false">IF(OR($A4173="",$Q4173=0,$R4173=-1),0,$Q4173*1000+$R4173*100+$K4173)</f>
        <v>0</v>
      </c>
      <c r="T4173" s="37" t="str">
        <f aca="false">IF($A4173="","",IF($B4173="","NO ACCOUNT",IF($Q4173=0,"UNMAPPED",IF($R4173=-1,"OUTSIDE FY RANGE","OK"))))</f>
        <v/>
      </c>
      <c r="U4173" s="40" t="str">
        <f aca="false">IF($A4173="","",$B4173&amp;"|"&amp;TEXT($A4173,"yyyymmdd")&amp;"|"&amp;TEXT($I4173,"0.00"))</f>
        <v/>
      </c>
      <c r="V4173" s="35" t="str">
        <f aca="false">IF($A4173="","",COUNTIF($U$8:$U$5007,$U4173))</f>
        <v/>
      </c>
    </row>
    <row r="4174" customFormat="false" ht="15" hidden="false" customHeight="false" outlineLevel="0" collapsed="false">
      <c r="A4174" s="31"/>
      <c r="B4174" s="32"/>
      <c r="C4174" s="32"/>
      <c r="D4174" s="32"/>
      <c r="E4174" s="32"/>
      <c r="F4174" s="32"/>
      <c r="G4174" s="33"/>
      <c r="H4174" s="33"/>
      <c r="I4174" s="34" t="str">
        <f aca="false">IF($A4174="","",$G4174-$H4174)</f>
        <v/>
      </c>
      <c r="J4174" s="35" t="str">
        <f aca="false">IF($A4174="","",IF(Setup!$B$6=1,YEAR($A4174),YEAR($A4174)+IF(MONTH($A4174)&gt;=Setup!$B$6,1,0)))</f>
        <v/>
      </c>
      <c r="K4174" s="35" t="str">
        <f aca="false">IF($A4174="","",MOD(MONTH($A4174)-Setup!$B$6+12,12)+1)</f>
        <v/>
      </c>
      <c r="L4174" s="36" t="str">
        <f aca="false">IF($A4174="","",TEXT($A4174,"MMM-YY"))</f>
        <v/>
      </c>
      <c r="M4174" s="37" t="str">
        <f aca="false">IF($A4174="","",IF($Q4174=0,"UNMAPPED",INDEX(COA_Mapping!$C$7:$C$256,$Q4174)))</f>
        <v/>
      </c>
      <c r="N4174" s="38" t="str">
        <f aca="false">IF($A4174="","",IF($Q4174=0,"",INDEX(COA_Mapping!$E$7:$E$256,$Q4174)))</f>
        <v/>
      </c>
      <c r="O4174" s="38" t="n">
        <f aca="false">IF($A4174="",1,IF($Q4174=0,1,INDEX(COA_Mapping!$F$7:$F$256,$Q4174)))</f>
        <v>1</v>
      </c>
      <c r="P4174" s="34" t="str">
        <f aca="false">IF($A4174="","",$I4174*$O4174)</f>
        <v/>
      </c>
      <c r="Q4174" s="39" t="n">
        <f aca="false">IF($B4174="",0,IFERROR(MATCH($B4174,COA_Mapping!$A$7:$A$256,0),0))</f>
        <v>0</v>
      </c>
      <c r="R4174" s="39" t="n">
        <f aca="false">IF($A4174="",-1,IF($J4174=Setup!$B$7,1,IF($J4174=Setup!$B$9,0,-1)))</f>
        <v>-1</v>
      </c>
      <c r="S4174" s="35" t="n">
        <f aca="false">IF(OR($A4174="",$Q4174=0,$R4174=-1),0,$Q4174*1000+$R4174*100+$K4174)</f>
        <v>0</v>
      </c>
      <c r="T4174" s="37" t="str">
        <f aca="false">IF($A4174="","",IF($B4174="","NO ACCOUNT",IF($Q4174=0,"UNMAPPED",IF($R4174=-1,"OUTSIDE FY RANGE","OK"))))</f>
        <v/>
      </c>
      <c r="U4174" s="40" t="str">
        <f aca="false">IF($A4174="","",$B4174&amp;"|"&amp;TEXT($A4174,"yyyymmdd")&amp;"|"&amp;TEXT($I4174,"0.00"))</f>
        <v/>
      </c>
      <c r="V4174" s="35" t="str">
        <f aca="false">IF($A4174="","",COUNTIF($U$8:$U$5007,$U4174))</f>
        <v/>
      </c>
    </row>
    <row r="4175" customFormat="false" ht="15" hidden="false" customHeight="false" outlineLevel="0" collapsed="false">
      <c r="A4175" s="31"/>
      <c r="B4175" s="32"/>
      <c r="C4175" s="32"/>
      <c r="D4175" s="32"/>
      <c r="E4175" s="32"/>
      <c r="F4175" s="32"/>
      <c r="G4175" s="33"/>
      <c r="H4175" s="33"/>
      <c r="I4175" s="34" t="str">
        <f aca="false">IF($A4175="","",$G4175-$H4175)</f>
        <v/>
      </c>
      <c r="J4175" s="35" t="str">
        <f aca="false">IF($A4175="","",IF(Setup!$B$6=1,YEAR($A4175),YEAR($A4175)+IF(MONTH($A4175)&gt;=Setup!$B$6,1,0)))</f>
        <v/>
      </c>
      <c r="K4175" s="35" t="str">
        <f aca="false">IF($A4175="","",MOD(MONTH($A4175)-Setup!$B$6+12,12)+1)</f>
        <v/>
      </c>
      <c r="L4175" s="36" t="str">
        <f aca="false">IF($A4175="","",TEXT($A4175,"MMM-YY"))</f>
        <v/>
      </c>
      <c r="M4175" s="37" t="str">
        <f aca="false">IF($A4175="","",IF($Q4175=0,"UNMAPPED",INDEX(COA_Mapping!$C$7:$C$256,$Q4175)))</f>
        <v/>
      </c>
      <c r="N4175" s="38" t="str">
        <f aca="false">IF($A4175="","",IF($Q4175=0,"",INDEX(COA_Mapping!$E$7:$E$256,$Q4175)))</f>
        <v/>
      </c>
      <c r="O4175" s="38" t="n">
        <f aca="false">IF($A4175="",1,IF($Q4175=0,1,INDEX(COA_Mapping!$F$7:$F$256,$Q4175)))</f>
        <v>1</v>
      </c>
      <c r="P4175" s="34" t="str">
        <f aca="false">IF($A4175="","",$I4175*$O4175)</f>
        <v/>
      </c>
      <c r="Q4175" s="39" t="n">
        <f aca="false">IF($B4175="",0,IFERROR(MATCH($B4175,COA_Mapping!$A$7:$A$256,0),0))</f>
        <v>0</v>
      </c>
      <c r="R4175" s="39" t="n">
        <f aca="false">IF($A4175="",-1,IF($J4175=Setup!$B$7,1,IF($J4175=Setup!$B$9,0,-1)))</f>
        <v>-1</v>
      </c>
      <c r="S4175" s="35" t="n">
        <f aca="false">IF(OR($A4175="",$Q4175=0,$R4175=-1),0,$Q4175*1000+$R4175*100+$K4175)</f>
        <v>0</v>
      </c>
      <c r="T4175" s="37" t="str">
        <f aca="false">IF($A4175="","",IF($B4175="","NO ACCOUNT",IF($Q4175=0,"UNMAPPED",IF($R4175=-1,"OUTSIDE FY RANGE","OK"))))</f>
        <v/>
      </c>
      <c r="U4175" s="40" t="str">
        <f aca="false">IF($A4175="","",$B4175&amp;"|"&amp;TEXT($A4175,"yyyymmdd")&amp;"|"&amp;TEXT($I4175,"0.00"))</f>
        <v/>
      </c>
      <c r="V4175" s="35" t="str">
        <f aca="false">IF($A4175="","",COUNTIF($U$8:$U$5007,$U4175))</f>
        <v/>
      </c>
    </row>
    <row r="4176" customFormat="false" ht="15" hidden="false" customHeight="false" outlineLevel="0" collapsed="false">
      <c r="A4176" s="31"/>
      <c r="B4176" s="32"/>
      <c r="C4176" s="32"/>
      <c r="D4176" s="32"/>
      <c r="E4176" s="32"/>
      <c r="F4176" s="32"/>
      <c r="G4176" s="33"/>
      <c r="H4176" s="33"/>
      <c r="I4176" s="34" t="str">
        <f aca="false">IF($A4176="","",$G4176-$H4176)</f>
        <v/>
      </c>
      <c r="J4176" s="35" t="str">
        <f aca="false">IF($A4176="","",IF(Setup!$B$6=1,YEAR($A4176),YEAR($A4176)+IF(MONTH($A4176)&gt;=Setup!$B$6,1,0)))</f>
        <v/>
      </c>
      <c r="K4176" s="35" t="str">
        <f aca="false">IF($A4176="","",MOD(MONTH($A4176)-Setup!$B$6+12,12)+1)</f>
        <v/>
      </c>
      <c r="L4176" s="36" t="str">
        <f aca="false">IF($A4176="","",TEXT($A4176,"MMM-YY"))</f>
        <v/>
      </c>
      <c r="M4176" s="37" t="str">
        <f aca="false">IF($A4176="","",IF($Q4176=0,"UNMAPPED",INDEX(COA_Mapping!$C$7:$C$256,$Q4176)))</f>
        <v/>
      </c>
      <c r="N4176" s="38" t="str">
        <f aca="false">IF($A4176="","",IF($Q4176=0,"",INDEX(COA_Mapping!$E$7:$E$256,$Q4176)))</f>
        <v/>
      </c>
      <c r="O4176" s="38" t="n">
        <f aca="false">IF($A4176="",1,IF($Q4176=0,1,INDEX(COA_Mapping!$F$7:$F$256,$Q4176)))</f>
        <v>1</v>
      </c>
      <c r="P4176" s="34" t="str">
        <f aca="false">IF($A4176="","",$I4176*$O4176)</f>
        <v/>
      </c>
      <c r="Q4176" s="39" t="n">
        <f aca="false">IF($B4176="",0,IFERROR(MATCH($B4176,COA_Mapping!$A$7:$A$256,0),0))</f>
        <v>0</v>
      </c>
      <c r="R4176" s="39" t="n">
        <f aca="false">IF($A4176="",-1,IF($J4176=Setup!$B$7,1,IF($J4176=Setup!$B$9,0,-1)))</f>
        <v>-1</v>
      </c>
      <c r="S4176" s="35" t="n">
        <f aca="false">IF(OR($A4176="",$Q4176=0,$R4176=-1),0,$Q4176*1000+$R4176*100+$K4176)</f>
        <v>0</v>
      </c>
      <c r="T4176" s="37" t="str">
        <f aca="false">IF($A4176="","",IF($B4176="","NO ACCOUNT",IF($Q4176=0,"UNMAPPED",IF($R4176=-1,"OUTSIDE FY RANGE","OK"))))</f>
        <v/>
      </c>
      <c r="U4176" s="40" t="str">
        <f aca="false">IF($A4176="","",$B4176&amp;"|"&amp;TEXT($A4176,"yyyymmdd")&amp;"|"&amp;TEXT($I4176,"0.00"))</f>
        <v/>
      </c>
      <c r="V4176" s="35" t="str">
        <f aca="false">IF($A4176="","",COUNTIF($U$8:$U$5007,$U4176))</f>
        <v/>
      </c>
    </row>
    <row r="4177" customFormat="false" ht="15" hidden="false" customHeight="false" outlineLevel="0" collapsed="false">
      <c r="A4177" s="31"/>
      <c r="B4177" s="32"/>
      <c r="C4177" s="32"/>
      <c r="D4177" s="32"/>
      <c r="E4177" s="32"/>
      <c r="F4177" s="32"/>
      <c r="G4177" s="33"/>
      <c r="H4177" s="33"/>
      <c r="I4177" s="34" t="str">
        <f aca="false">IF($A4177="","",$G4177-$H4177)</f>
        <v/>
      </c>
      <c r="J4177" s="35" t="str">
        <f aca="false">IF($A4177="","",IF(Setup!$B$6=1,YEAR($A4177),YEAR($A4177)+IF(MONTH($A4177)&gt;=Setup!$B$6,1,0)))</f>
        <v/>
      </c>
      <c r="K4177" s="35" t="str">
        <f aca="false">IF($A4177="","",MOD(MONTH($A4177)-Setup!$B$6+12,12)+1)</f>
        <v/>
      </c>
      <c r="L4177" s="36" t="str">
        <f aca="false">IF($A4177="","",TEXT($A4177,"MMM-YY"))</f>
        <v/>
      </c>
      <c r="M4177" s="37" t="str">
        <f aca="false">IF($A4177="","",IF($Q4177=0,"UNMAPPED",INDEX(COA_Mapping!$C$7:$C$256,$Q4177)))</f>
        <v/>
      </c>
      <c r="N4177" s="38" t="str">
        <f aca="false">IF($A4177="","",IF($Q4177=0,"",INDEX(COA_Mapping!$E$7:$E$256,$Q4177)))</f>
        <v/>
      </c>
      <c r="O4177" s="38" t="n">
        <f aca="false">IF($A4177="",1,IF($Q4177=0,1,INDEX(COA_Mapping!$F$7:$F$256,$Q4177)))</f>
        <v>1</v>
      </c>
      <c r="P4177" s="34" t="str">
        <f aca="false">IF($A4177="","",$I4177*$O4177)</f>
        <v/>
      </c>
      <c r="Q4177" s="39" t="n">
        <f aca="false">IF($B4177="",0,IFERROR(MATCH($B4177,COA_Mapping!$A$7:$A$256,0),0))</f>
        <v>0</v>
      </c>
      <c r="R4177" s="39" t="n">
        <f aca="false">IF($A4177="",-1,IF($J4177=Setup!$B$7,1,IF($J4177=Setup!$B$9,0,-1)))</f>
        <v>-1</v>
      </c>
      <c r="S4177" s="35" t="n">
        <f aca="false">IF(OR($A4177="",$Q4177=0,$R4177=-1),0,$Q4177*1000+$R4177*100+$K4177)</f>
        <v>0</v>
      </c>
      <c r="T4177" s="37" t="str">
        <f aca="false">IF($A4177="","",IF($B4177="","NO ACCOUNT",IF($Q4177=0,"UNMAPPED",IF($R4177=-1,"OUTSIDE FY RANGE","OK"))))</f>
        <v/>
      </c>
      <c r="U4177" s="40" t="str">
        <f aca="false">IF($A4177="","",$B4177&amp;"|"&amp;TEXT($A4177,"yyyymmdd")&amp;"|"&amp;TEXT($I4177,"0.00"))</f>
        <v/>
      </c>
      <c r="V4177" s="35" t="str">
        <f aca="false">IF($A4177="","",COUNTIF($U$8:$U$5007,$U4177))</f>
        <v/>
      </c>
    </row>
    <row r="4178" customFormat="false" ht="15" hidden="false" customHeight="false" outlineLevel="0" collapsed="false">
      <c r="A4178" s="31"/>
      <c r="B4178" s="32"/>
      <c r="C4178" s="32"/>
      <c r="D4178" s="32"/>
      <c r="E4178" s="32"/>
      <c r="F4178" s="32"/>
      <c r="G4178" s="33"/>
      <c r="H4178" s="33"/>
      <c r="I4178" s="34" t="str">
        <f aca="false">IF($A4178="","",$G4178-$H4178)</f>
        <v/>
      </c>
      <c r="J4178" s="35" t="str">
        <f aca="false">IF($A4178="","",IF(Setup!$B$6=1,YEAR($A4178),YEAR($A4178)+IF(MONTH($A4178)&gt;=Setup!$B$6,1,0)))</f>
        <v/>
      </c>
      <c r="K4178" s="35" t="str">
        <f aca="false">IF($A4178="","",MOD(MONTH($A4178)-Setup!$B$6+12,12)+1)</f>
        <v/>
      </c>
      <c r="L4178" s="36" t="str">
        <f aca="false">IF($A4178="","",TEXT($A4178,"MMM-YY"))</f>
        <v/>
      </c>
      <c r="M4178" s="37" t="str">
        <f aca="false">IF($A4178="","",IF($Q4178=0,"UNMAPPED",INDEX(COA_Mapping!$C$7:$C$256,$Q4178)))</f>
        <v/>
      </c>
      <c r="N4178" s="38" t="str">
        <f aca="false">IF($A4178="","",IF($Q4178=0,"",INDEX(COA_Mapping!$E$7:$E$256,$Q4178)))</f>
        <v/>
      </c>
      <c r="O4178" s="38" t="n">
        <f aca="false">IF($A4178="",1,IF($Q4178=0,1,INDEX(COA_Mapping!$F$7:$F$256,$Q4178)))</f>
        <v>1</v>
      </c>
      <c r="P4178" s="34" t="str">
        <f aca="false">IF($A4178="","",$I4178*$O4178)</f>
        <v/>
      </c>
      <c r="Q4178" s="39" t="n">
        <f aca="false">IF($B4178="",0,IFERROR(MATCH($B4178,COA_Mapping!$A$7:$A$256,0),0))</f>
        <v>0</v>
      </c>
      <c r="R4178" s="39" t="n">
        <f aca="false">IF($A4178="",-1,IF($J4178=Setup!$B$7,1,IF($J4178=Setup!$B$9,0,-1)))</f>
        <v>-1</v>
      </c>
      <c r="S4178" s="35" t="n">
        <f aca="false">IF(OR($A4178="",$Q4178=0,$R4178=-1),0,$Q4178*1000+$R4178*100+$K4178)</f>
        <v>0</v>
      </c>
      <c r="T4178" s="37" t="str">
        <f aca="false">IF($A4178="","",IF($B4178="","NO ACCOUNT",IF($Q4178=0,"UNMAPPED",IF($R4178=-1,"OUTSIDE FY RANGE","OK"))))</f>
        <v/>
      </c>
      <c r="U4178" s="40" t="str">
        <f aca="false">IF($A4178="","",$B4178&amp;"|"&amp;TEXT($A4178,"yyyymmdd")&amp;"|"&amp;TEXT($I4178,"0.00"))</f>
        <v/>
      </c>
      <c r="V4178" s="35" t="str">
        <f aca="false">IF($A4178="","",COUNTIF($U$8:$U$5007,$U4178))</f>
        <v/>
      </c>
    </row>
    <row r="4179" customFormat="false" ht="15" hidden="false" customHeight="false" outlineLevel="0" collapsed="false">
      <c r="A4179" s="31"/>
      <c r="B4179" s="32"/>
      <c r="C4179" s="32"/>
      <c r="D4179" s="32"/>
      <c r="E4179" s="32"/>
      <c r="F4179" s="32"/>
      <c r="G4179" s="33"/>
      <c r="H4179" s="33"/>
      <c r="I4179" s="34" t="str">
        <f aca="false">IF($A4179="","",$G4179-$H4179)</f>
        <v/>
      </c>
      <c r="J4179" s="35" t="str">
        <f aca="false">IF($A4179="","",IF(Setup!$B$6=1,YEAR($A4179),YEAR($A4179)+IF(MONTH($A4179)&gt;=Setup!$B$6,1,0)))</f>
        <v/>
      </c>
      <c r="K4179" s="35" t="str">
        <f aca="false">IF($A4179="","",MOD(MONTH($A4179)-Setup!$B$6+12,12)+1)</f>
        <v/>
      </c>
      <c r="L4179" s="36" t="str">
        <f aca="false">IF($A4179="","",TEXT($A4179,"MMM-YY"))</f>
        <v/>
      </c>
      <c r="M4179" s="37" t="str">
        <f aca="false">IF($A4179="","",IF($Q4179=0,"UNMAPPED",INDEX(COA_Mapping!$C$7:$C$256,$Q4179)))</f>
        <v/>
      </c>
      <c r="N4179" s="38" t="str">
        <f aca="false">IF($A4179="","",IF($Q4179=0,"",INDEX(COA_Mapping!$E$7:$E$256,$Q4179)))</f>
        <v/>
      </c>
      <c r="O4179" s="38" t="n">
        <f aca="false">IF($A4179="",1,IF($Q4179=0,1,INDEX(COA_Mapping!$F$7:$F$256,$Q4179)))</f>
        <v>1</v>
      </c>
      <c r="P4179" s="34" t="str">
        <f aca="false">IF($A4179="","",$I4179*$O4179)</f>
        <v/>
      </c>
      <c r="Q4179" s="39" t="n">
        <f aca="false">IF($B4179="",0,IFERROR(MATCH($B4179,COA_Mapping!$A$7:$A$256,0),0))</f>
        <v>0</v>
      </c>
      <c r="R4179" s="39" t="n">
        <f aca="false">IF($A4179="",-1,IF($J4179=Setup!$B$7,1,IF($J4179=Setup!$B$9,0,-1)))</f>
        <v>-1</v>
      </c>
      <c r="S4179" s="35" t="n">
        <f aca="false">IF(OR($A4179="",$Q4179=0,$R4179=-1),0,$Q4179*1000+$R4179*100+$K4179)</f>
        <v>0</v>
      </c>
      <c r="T4179" s="37" t="str">
        <f aca="false">IF($A4179="","",IF($B4179="","NO ACCOUNT",IF($Q4179=0,"UNMAPPED",IF($R4179=-1,"OUTSIDE FY RANGE","OK"))))</f>
        <v/>
      </c>
      <c r="U4179" s="40" t="str">
        <f aca="false">IF($A4179="","",$B4179&amp;"|"&amp;TEXT($A4179,"yyyymmdd")&amp;"|"&amp;TEXT($I4179,"0.00"))</f>
        <v/>
      </c>
      <c r="V4179" s="35" t="str">
        <f aca="false">IF($A4179="","",COUNTIF($U$8:$U$5007,$U4179))</f>
        <v/>
      </c>
    </row>
    <row r="4180" customFormat="false" ht="15" hidden="false" customHeight="false" outlineLevel="0" collapsed="false">
      <c r="A4180" s="31"/>
      <c r="B4180" s="32"/>
      <c r="C4180" s="32"/>
      <c r="D4180" s="32"/>
      <c r="E4180" s="32"/>
      <c r="F4180" s="32"/>
      <c r="G4180" s="33"/>
      <c r="H4180" s="33"/>
      <c r="I4180" s="34" t="str">
        <f aca="false">IF($A4180="","",$G4180-$H4180)</f>
        <v/>
      </c>
      <c r="J4180" s="35" t="str">
        <f aca="false">IF($A4180="","",IF(Setup!$B$6=1,YEAR($A4180),YEAR($A4180)+IF(MONTH($A4180)&gt;=Setup!$B$6,1,0)))</f>
        <v/>
      </c>
      <c r="K4180" s="35" t="str">
        <f aca="false">IF($A4180="","",MOD(MONTH($A4180)-Setup!$B$6+12,12)+1)</f>
        <v/>
      </c>
      <c r="L4180" s="36" t="str">
        <f aca="false">IF($A4180="","",TEXT($A4180,"MMM-YY"))</f>
        <v/>
      </c>
      <c r="M4180" s="37" t="str">
        <f aca="false">IF($A4180="","",IF($Q4180=0,"UNMAPPED",INDEX(COA_Mapping!$C$7:$C$256,$Q4180)))</f>
        <v/>
      </c>
      <c r="N4180" s="38" t="str">
        <f aca="false">IF($A4180="","",IF($Q4180=0,"",INDEX(COA_Mapping!$E$7:$E$256,$Q4180)))</f>
        <v/>
      </c>
      <c r="O4180" s="38" t="n">
        <f aca="false">IF($A4180="",1,IF($Q4180=0,1,INDEX(COA_Mapping!$F$7:$F$256,$Q4180)))</f>
        <v>1</v>
      </c>
      <c r="P4180" s="34" t="str">
        <f aca="false">IF($A4180="","",$I4180*$O4180)</f>
        <v/>
      </c>
      <c r="Q4180" s="39" t="n">
        <f aca="false">IF($B4180="",0,IFERROR(MATCH($B4180,COA_Mapping!$A$7:$A$256,0),0))</f>
        <v>0</v>
      </c>
      <c r="R4180" s="39" t="n">
        <f aca="false">IF($A4180="",-1,IF($J4180=Setup!$B$7,1,IF($J4180=Setup!$B$9,0,-1)))</f>
        <v>-1</v>
      </c>
      <c r="S4180" s="35" t="n">
        <f aca="false">IF(OR($A4180="",$Q4180=0,$R4180=-1),0,$Q4180*1000+$R4180*100+$K4180)</f>
        <v>0</v>
      </c>
      <c r="T4180" s="37" t="str">
        <f aca="false">IF($A4180="","",IF($B4180="","NO ACCOUNT",IF($Q4180=0,"UNMAPPED",IF($R4180=-1,"OUTSIDE FY RANGE","OK"))))</f>
        <v/>
      </c>
      <c r="U4180" s="40" t="str">
        <f aca="false">IF($A4180="","",$B4180&amp;"|"&amp;TEXT($A4180,"yyyymmdd")&amp;"|"&amp;TEXT($I4180,"0.00"))</f>
        <v/>
      </c>
      <c r="V4180" s="35" t="str">
        <f aca="false">IF($A4180="","",COUNTIF($U$8:$U$5007,$U4180))</f>
        <v/>
      </c>
    </row>
    <row r="4181" customFormat="false" ht="15" hidden="false" customHeight="false" outlineLevel="0" collapsed="false">
      <c r="A4181" s="31"/>
      <c r="B4181" s="32"/>
      <c r="C4181" s="32"/>
      <c r="D4181" s="32"/>
      <c r="E4181" s="32"/>
      <c r="F4181" s="32"/>
      <c r="G4181" s="33"/>
      <c r="H4181" s="33"/>
      <c r="I4181" s="34" t="str">
        <f aca="false">IF($A4181="","",$G4181-$H4181)</f>
        <v/>
      </c>
      <c r="J4181" s="35" t="str">
        <f aca="false">IF($A4181="","",IF(Setup!$B$6=1,YEAR($A4181),YEAR($A4181)+IF(MONTH($A4181)&gt;=Setup!$B$6,1,0)))</f>
        <v/>
      </c>
      <c r="K4181" s="35" t="str">
        <f aca="false">IF($A4181="","",MOD(MONTH($A4181)-Setup!$B$6+12,12)+1)</f>
        <v/>
      </c>
      <c r="L4181" s="36" t="str">
        <f aca="false">IF($A4181="","",TEXT($A4181,"MMM-YY"))</f>
        <v/>
      </c>
      <c r="M4181" s="37" t="str">
        <f aca="false">IF($A4181="","",IF($Q4181=0,"UNMAPPED",INDEX(COA_Mapping!$C$7:$C$256,$Q4181)))</f>
        <v/>
      </c>
      <c r="N4181" s="38" t="str">
        <f aca="false">IF($A4181="","",IF($Q4181=0,"",INDEX(COA_Mapping!$E$7:$E$256,$Q4181)))</f>
        <v/>
      </c>
      <c r="O4181" s="38" t="n">
        <f aca="false">IF($A4181="",1,IF($Q4181=0,1,INDEX(COA_Mapping!$F$7:$F$256,$Q4181)))</f>
        <v>1</v>
      </c>
      <c r="P4181" s="34" t="str">
        <f aca="false">IF($A4181="","",$I4181*$O4181)</f>
        <v/>
      </c>
      <c r="Q4181" s="39" t="n">
        <f aca="false">IF($B4181="",0,IFERROR(MATCH($B4181,COA_Mapping!$A$7:$A$256,0),0))</f>
        <v>0</v>
      </c>
      <c r="R4181" s="39" t="n">
        <f aca="false">IF($A4181="",-1,IF($J4181=Setup!$B$7,1,IF($J4181=Setup!$B$9,0,-1)))</f>
        <v>-1</v>
      </c>
      <c r="S4181" s="35" t="n">
        <f aca="false">IF(OR($A4181="",$Q4181=0,$R4181=-1),0,$Q4181*1000+$R4181*100+$K4181)</f>
        <v>0</v>
      </c>
      <c r="T4181" s="37" t="str">
        <f aca="false">IF($A4181="","",IF($B4181="","NO ACCOUNT",IF($Q4181=0,"UNMAPPED",IF($R4181=-1,"OUTSIDE FY RANGE","OK"))))</f>
        <v/>
      </c>
      <c r="U4181" s="40" t="str">
        <f aca="false">IF($A4181="","",$B4181&amp;"|"&amp;TEXT($A4181,"yyyymmdd")&amp;"|"&amp;TEXT($I4181,"0.00"))</f>
        <v/>
      </c>
      <c r="V4181" s="35" t="str">
        <f aca="false">IF($A4181="","",COUNTIF($U$8:$U$5007,$U4181))</f>
        <v/>
      </c>
    </row>
    <row r="4182" customFormat="false" ht="15" hidden="false" customHeight="false" outlineLevel="0" collapsed="false">
      <c r="A4182" s="31"/>
      <c r="B4182" s="32"/>
      <c r="C4182" s="32"/>
      <c r="D4182" s="32"/>
      <c r="E4182" s="32"/>
      <c r="F4182" s="32"/>
      <c r="G4182" s="33"/>
      <c r="H4182" s="33"/>
      <c r="I4182" s="34" t="str">
        <f aca="false">IF($A4182="","",$G4182-$H4182)</f>
        <v/>
      </c>
      <c r="J4182" s="35" t="str">
        <f aca="false">IF($A4182="","",IF(Setup!$B$6=1,YEAR($A4182),YEAR($A4182)+IF(MONTH($A4182)&gt;=Setup!$B$6,1,0)))</f>
        <v/>
      </c>
      <c r="K4182" s="35" t="str">
        <f aca="false">IF($A4182="","",MOD(MONTH($A4182)-Setup!$B$6+12,12)+1)</f>
        <v/>
      </c>
      <c r="L4182" s="36" t="str">
        <f aca="false">IF($A4182="","",TEXT($A4182,"MMM-YY"))</f>
        <v/>
      </c>
      <c r="M4182" s="37" t="str">
        <f aca="false">IF($A4182="","",IF($Q4182=0,"UNMAPPED",INDEX(COA_Mapping!$C$7:$C$256,$Q4182)))</f>
        <v/>
      </c>
      <c r="N4182" s="38" t="str">
        <f aca="false">IF($A4182="","",IF($Q4182=0,"",INDEX(COA_Mapping!$E$7:$E$256,$Q4182)))</f>
        <v/>
      </c>
      <c r="O4182" s="38" t="n">
        <f aca="false">IF($A4182="",1,IF($Q4182=0,1,INDEX(COA_Mapping!$F$7:$F$256,$Q4182)))</f>
        <v>1</v>
      </c>
      <c r="P4182" s="34" t="str">
        <f aca="false">IF($A4182="","",$I4182*$O4182)</f>
        <v/>
      </c>
      <c r="Q4182" s="39" t="n">
        <f aca="false">IF($B4182="",0,IFERROR(MATCH($B4182,COA_Mapping!$A$7:$A$256,0),0))</f>
        <v>0</v>
      </c>
      <c r="R4182" s="39" t="n">
        <f aca="false">IF($A4182="",-1,IF($J4182=Setup!$B$7,1,IF($J4182=Setup!$B$9,0,-1)))</f>
        <v>-1</v>
      </c>
      <c r="S4182" s="35" t="n">
        <f aca="false">IF(OR($A4182="",$Q4182=0,$R4182=-1),0,$Q4182*1000+$R4182*100+$K4182)</f>
        <v>0</v>
      </c>
      <c r="T4182" s="37" t="str">
        <f aca="false">IF($A4182="","",IF($B4182="","NO ACCOUNT",IF($Q4182=0,"UNMAPPED",IF($R4182=-1,"OUTSIDE FY RANGE","OK"))))</f>
        <v/>
      </c>
      <c r="U4182" s="40" t="str">
        <f aca="false">IF($A4182="","",$B4182&amp;"|"&amp;TEXT($A4182,"yyyymmdd")&amp;"|"&amp;TEXT($I4182,"0.00"))</f>
        <v/>
      </c>
      <c r="V4182" s="35" t="str">
        <f aca="false">IF($A4182="","",COUNTIF($U$8:$U$5007,$U4182))</f>
        <v/>
      </c>
    </row>
    <row r="4183" customFormat="false" ht="15" hidden="false" customHeight="false" outlineLevel="0" collapsed="false">
      <c r="A4183" s="31"/>
      <c r="B4183" s="32"/>
      <c r="C4183" s="32"/>
      <c r="D4183" s="32"/>
      <c r="E4183" s="32"/>
      <c r="F4183" s="32"/>
      <c r="G4183" s="33"/>
      <c r="H4183" s="33"/>
      <c r="I4183" s="34" t="str">
        <f aca="false">IF($A4183="","",$G4183-$H4183)</f>
        <v/>
      </c>
      <c r="J4183" s="35" t="str">
        <f aca="false">IF($A4183="","",IF(Setup!$B$6=1,YEAR($A4183),YEAR($A4183)+IF(MONTH($A4183)&gt;=Setup!$B$6,1,0)))</f>
        <v/>
      </c>
      <c r="K4183" s="35" t="str">
        <f aca="false">IF($A4183="","",MOD(MONTH($A4183)-Setup!$B$6+12,12)+1)</f>
        <v/>
      </c>
      <c r="L4183" s="36" t="str">
        <f aca="false">IF($A4183="","",TEXT($A4183,"MMM-YY"))</f>
        <v/>
      </c>
      <c r="M4183" s="37" t="str">
        <f aca="false">IF($A4183="","",IF($Q4183=0,"UNMAPPED",INDEX(COA_Mapping!$C$7:$C$256,$Q4183)))</f>
        <v/>
      </c>
      <c r="N4183" s="38" t="str">
        <f aca="false">IF($A4183="","",IF($Q4183=0,"",INDEX(COA_Mapping!$E$7:$E$256,$Q4183)))</f>
        <v/>
      </c>
      <c r="O4183" s="38" t="n">
        <f aca="false">IF($A4183="",1,IF($Q4183=0,1,INDEX(COA_Mapping!$F$7:$F$256,$Q4183)))</f>
        <v>1</v>
      </c>
      <c r="P4183" s="34" t="str">
        <f aca="false">IF($A4183="","",$I4183*$O4183)</f>
        <v/>
      </c>
      <c r="Q4183" s="39" t="n">
        <f aca="false">IF($B4183="",0,IFERROR(MATCH($B4183,COA_Mapping!$A$7:$A$256,0),0))</f>
        <v>0</v>
      </c>
      <c r="R4183" s="39" t="n">
        <f aca="false">IF($A4183="",-1,IF($J4183=Setup!$B$7,1,IF($J4183=Setup!$B$9,0,-1)))</f>
        <v>-1</v>
      </c>
      <c r="S4183" s="35" t="n">
        <f aca="false">IF(OR($A4183="",$Q4183=0,$R4183=-1),0,$Q4183*1000+$R4183*100+$K4183)</f>
        <v>0</v>
      </c>
      <c r="T4183" s="37" t="str">
        <f aca="false">IF($A4183="","",IF($B4183="","NO ACCOUNT",IF($Q4183=0,"UNMAPPED",IF($R4183=-1,"OUTSIDE FY RANGE","OK"))))</f>
        <v/>
      </c>
      <c r="U4183" s="40" t="str">
        <f aca="false">IF($A4183="","",$B4183&amp;"|"&amp;TEXT($A4183,"yyyymmdd")&amp;"|"&amp;TEXT($I4183,"0.00"))</f>
        <v/>
      </c>
      <c r="V4183" s="35" t="str">
        <f aca="false">IF($A4183="","",COUNTIF($U$8:$U$5007,$U4183))</f>
        <v/>
      </c>
    </row>
    <row r="4184" customFormat="false" ht="15" hidden="false" customHeight="false" outlineLevel="0" collapsed="false">
      <c r="A4184" s="31"/>
      <c r="B4184" s="32"/>
      <c r="C4184" s="32"/>
      <c r="D4184" s="32"/>
      <c r="E4184" s="32"/>
      <c r="F4184" s="32"/>
      <c r="G4184" s="33"/>
      <c r="H4184" s="33"/>
      <c r="I4184" s="34" t="str">
        <f aca="false">IF($A4184="","",$G4184-$H4184)</f>
        <v/>
      </c>
      <c r="J4184" s="35" t="str">
        <f aca="false">IF($A4184="","",IF(Setup!$B$6=1,YEAR($A4184),YEAR($A4184)+IF(MONTH($A4184)&gt;=Setup!$B$6,1,0)))</f>
        <v/>
      </c>
      <c r="K4184" s="35" t="str">
        <f aca="false">IF($A4184="","",MOD(MONTH($A4184)-Setup!$B$6+12,12)+1)</f>
        <v/>
      </c>
      <c r="L4184" s="36" t="str">
        <f aca="false">IF($A4184="","",TEXT($A4184,"MMM-YY"))</f>
        <v/>
      </c>
      <c r="M4184" s="37" t="str">
        <f aca="false">IF($A4184="","",IF($Q4184=0,"UNMAPPED",INDEX(COA_Mapping!$C$7:$C$256,$Q4184)))</f>
        <v/>
      </c>
      <c r="N4184" s="38" t="str">
        <f aca="false">IF($A4184="","",IF($Q4184=0,"",INDEX(COA_Mapping!$E$7:$E$256,$Q4184)))</f>
        <v/>
      </c>
      <c r="O4184" s="38" t="n">
        <f aca="false">IF($A4184="",1,IF($Q4184=0,1,INDEX(COA_Mapping!$F$7:$F$256,$Q4184)))</f>
        <v>1</v>
      </c>
      <c r="P4184" s="34" t="str">
        <f aca="false">IF($A4184="","",$I4184*$O4184)</f>
        <v/>
      </c>
      <c r="Q4184" s="39" t="n">
        <f aca="false">IF($B4184="",0,IFERROR(MATCH($B4184,COA_Mapping!$A$7:$A$256,0),0))</f>
        <v>0</v>
      </c>
      <c r="R4184" s="39" t="n">
        <f aca="false">IF($A4184="",-1,IF($J4184=Setup!$B$7,1,IF($J4184=Setup!$B$9,0,-1)))</f>
        <v>-1</v>
      </c>
      <c r="S4184" s="35" t="n">
        <f aca="false">IF(OR($A4184="",$Q4184=0,$R4184=-1),0,$Q4184*1000+$R4184*100+$K4184)</f>
        <v>0</v>
      </c>
      <c r="T4184" s="37" t="str">
        <f aca="false">IF($A4184="","",IF($B4184="","NO ACCOUNT",IF($Q4184=0,"UNMAPPED",IF($R4184=-1,"OUTSIDE FY RANGE","OK"))))</f>
        <v/>
      </c>
      <c r="U4184" s="40" t="str">
        <f aca="false">IF($A4184="","",$B4184&amp;"|"&amp;TEXT($A4184,"yyyymmdd")&amp;"|"&amp;TEXT($I4184,"0.00"))</f>
        <v/>
      </c>
      <c r="V4184" s="35" t="str">
        <f aca="false">IF($A4184="","",COUNTIF($U$8:$U$5007,$U4184))</f>
        <v/>
      </c>
    </row>
    <row r="4185" customFormat="false" ht="15" hidden="false" customHeight="false" outlineLevel="0" collapsed="false">
      <c r="A4185" s="31"/>
      <c r="B4185" s="32"/>
      <c r="C4185" s="32"/>
      <c r="D4185" s="32"/>
      <c r="E4185" s="32"/>
      <c r="F4185" s="32"/>
      <c r="G4185" s="33"/>
      <c r="H4185" s="33"/>
      <c r="I4185" s="34" t="str">
        <f aca="false">IF($A4185="","",$G4185-$H4185)</f>
        <v/>
      </c>
      <c r="J4185" s="35" t="str">
        <f aca="false">IF($A4185="","",IF(Setup!$B$6=1,YEAR($A4185),YEAR($A4185)+IF(MONTH($A4185)&gt;=Setup!$B$6,1,0)))</f>
        <v/>
      </c>
      <c r="K4185" s="35" t="str">
        <f aca="false">IF($A4185="","",MOD(MONTH($A4185)-Setup!$B$6+12,12)+1)</f>
        <v/>
      </c>
      <c r="L4185" s="36" t="str">
        <f aca="false">IF($A4185="","",TEXT($A4185,"MMM-YY"))</f>
        <v/>
      </c>
      <c r="M4185" s="37" t="str">
        <f aca="false">IF($A4185="","",IF($Q4185=0,"UNMAPPED",INDEX(COA_Mapping!$C$7:$C$256,$Q4185)))</f>
        <v/>
      </c>
      <c r="N4185" s="38" t="str">
        <f aca="false">IF($A4185="","",IF($Q4185=0,"",INDEX(COA_Mapping!$E$7:$E$256,$Q4185)))</f>
        <v/>
      </c>
      <c r="O4185" s="38" t="n">
        <f aca="false">IF($A4185="",1,IF($Q4185=0,1,INDEX(COA_Mapping!$F$7:$F$256,$Q4185)))</f>
        <v>1</v>
      </c>
      <c r="P4185" s="34" t="str">
        <f aca="false">IF($A4185="","",$I4185*$O4185)</f>
        <v/>
      </c>
      <c r="Q4185" s="39" t="n">
        <f aca="false">IF($B4185="",0,IFERROR(MATCH($B4185,COA_Mapping!$A$7:$A$256,0),0))</f>
        <v>0</v>
      </c>
      <c r="R4185" s="39" t="n">
        <f aca="false">IF($A4185="",-1,IF($J4185=Setup!$B$7,1,IF($J4185=Setup!$B$9,0,-1)))</f>
        <v>-1</v>
      </c>
      <c r="S4185" s="35" t="n">
        <f aca="false">IF(OR($A4185="",$Q4185=0,$R4185=-1),0,$Q4185*1000+$R4185*100+$K4185)</f>
        <v>0</v>
      </c>
      <c r="T4185" s="37" t="str">
        <f aca="false">IF($A4185="","",IF($B4185="","NO ACCOUNT",IF($Q4185=0,"UNMAPPED",IF($R4185=-1,"OUTSIDE FY RANGE","OK"))))</f>
        <v/>
      </c>
      <c r="U4185" s="40" t="str">
        <f aca="false">IF($A4185="","",$B4185&amp;"|"&amp;TEXT($A4185,"yyyymmdd")&amp;"|"&amp;TEXT($I4185,"0.00"))</f>
        <v/>
      </c>
      <c r="V4185" s="35" t="str">
        <f aca="false">IF($A4185="","",COUNTIF($U$8:$U$5007,$U4185))</f>
        <v/>
      </c>
    </row>
    <row r="4186" customFormat="false" ht="15" hidden="false" customHeight="false" outlineLevel="0" collapsed="false">
      <c r="A4186" s="31"/>
      <c r="B4186" s="32"/>
      <c r="C4186" s="32"/>
      <c r="D4186" s="32"/>
      <c r="E4186" s="32"/>
      <c r="F4186" s="32"/>
      <c r="G4186" s="33"/>
      <c r="H4186" s="33"/>
      <c r="I4186" s="34" t="str">
        <f aca="false">IF($A4186="","",$G4186-$H4186)</f>
        <v/>
      </c>
      <c r="J4186" s="35" t="str">
        <f aca="false">IF($A4186="","",IF(Setup!$B$6=1,YEAR($A4186),YEAR($A4186)+IF(MONTH($A4186)&gt;=Setup!$B$6,1,0)))</f>
        <v/>
      </c>
      <c r="K4186" s="35" t="str">
        <f aca="false">IF($A4186="","",MOD(MONTH($A4186)-Setup!$B$6+12,12)+1)</f>
        <v/>
      </c>
      <c r="L4186" s="36" t="str">
        <f aca="false">IF($A4186="","",TEXT($A4186,"MMM-YY"))</f>
        <v/>
      </c>
      <c r="M4186" s="37" t="str">
        <f aca="false">IF($A4186="","",IF($Q4186=0,"UNMAPPED",INDEX(COA_Mapping!$C$7:$C$256,$Q4186)))</f>
        <v/>
      </c>
      <c r="N4186" s="38" t="str">
        <f aca="false">IF($A4186="","",IF($Q4186=0,"",INDEX(COA_Mapping!$E$7:$E$256,$Q4186)))</f>
        <v/>
      </c>
      <c r="O4186" s="38" t="n">
        <f aca="false">IF($A4186="",1,IF($Q4186=0,1,INDEX(COA_Mapping!$F$7:$F$256,$Q4186)))</f>
        <v>1</v>
      </c>
      <c r="P4186" s="34" t="str">
        <f aca="false">IF($A4186="","",$I4186*$O4186)</f>
        <v/>
      </c>
      <c r="Q4186" s="39" t="n">
        <f aca="false">IF($B4186="",0,IFERROR(MATCH($B4186,COA_Mapping!$A$7:$A$256,0),0))</f>
        <v>0</v>
      </c>
      <c r="R4186" s="39" t="n">
        <f aca="false">IF($A4186="",-1,IF($J4186=Setup!$B$7,1,IF($J4186=Setup!$B$9,0,-1)))</f>
        <v>-1</v>
      </c>
      <c r="S4186" s="35" t="n">
        <f aca="false">IF(OR($A4186="",$Q4186=0,$R4186=-1),0,$Q4186*1000+$R4186*100+$K4186)</f>
        <v>0</v>
      </c>
      <c r="T4186" s="37" t="str">
        <f aca="false">IF($A4186="","",IF($B4186="","NO ACCOUNT",IF($Q4186=0,"UNMAPPED",IF($R4186=-1,"OUTSIDE FY RANGE","OK"))))</f>
        <v/>
      </c>
      <c r="U4186" s="40" t="str">
        <f aca="false">IF($A4186="","",$B4186&amp;"|"&amp;TEXT($A4186,"yyyymmdd")&amp;"|"&amp;TEXT($I4186,"0.00"))</f>
        <v/>
      </c>
      <c r="V4186" s="35" t="str">
        <f aca="false">IF($A4186="","",COUNTIF($U$8:$U$5007,$U4186))</f>
        <v/>
      </c>
    </row>
    <row r="4187" customFormat="false" ht="15" hidden="false" customHeight="false" outlineLevel="0" collapsed="false">
      <c r="A4187" s="31"/>
      <c r="B4187" s="32"/>
      <c r="C4187" s="32"/>
      <c r="D4187" s="32"/>
      <c r="E4187" s="32"/>
      <c r="F4187" s="32"/>
      <c r="G4187" s="33"/>
      <c r="H4187" s="33"/>
      <c r="I4187" s="34" t="str">
        <f aca="false">IF($A4187="","",$G4187-$H4187)</f>
        <v/>
      </c>
      <c r="J4187" s="35" t="str">
        <f aca="false">IF($A4187="","",IF(Setup!$B$6=1,YEAR($A4187),YEAR($A4187)+IF(MONTH($A4187)&gt;=Setup!$B$6,1,0)))</f>
        <v/>
      </c>
      <c r="K4187" s="35" t="str">
        <f aca="false">IF($A4187="","",MOD(MONTH($A4187)-Setup!$B$6+12,12)+1)</f>
        <v/>
      </c>
      <c r="L4187" s="36" t="str">
        <f aca="false">IF($A4187="","",TEXT($A4187,"MMM-YY"))</f>
        <v/>
      </c>
      <c r="M4187" s="37" t="str">
        <f aca="false">IF($A4187="","",IF($Q4187=0,"UNMAPPED",INDEX(COA_Mapping!$C$7:$C$256,$Q4187)))</f>
        <v/>
      </c>
      <c r="N4187" s="38" t="str">
        <f aca="false">IF($A4187="","",IF($Q4187=0,"",INDEX(COA_Mapping!$E$7:$E$256,$Q4187)))</f>
        <v/>
      </c>
      <c r="O4187" s="38" t="n">
        <f aca="false">IF($A4187="",1,IF($Q4187=0,1,INDEX(COA_Mapping!$F$7:$F$256,$Q4187)))</f>
        <v>1</v>
      </c>
      <c r="P4187" s="34" t="str">
        <f aca="false">IF($A4187="","",$I4187*$O4187)</f>
        <v/>
      </c>
      <c r="Q4187" s="39" t="n">
        <f aca="false">IF($B4187="",0,IFERROR(MATCH($B4187,COA_Mapping!$A$7:$A$256,0),0))</f>
        <v>0</v>
      </c>
      <c r="R4187" s="39" t="n">
        <f aca="false">IF($A4187="",-1,IF($J4187=Setup!$B$7,1,IF($J4187=Setup!$B$9,0,-1)))</f>
        <v>-1</v>
      </c>
      <c r="S4187" s="35" t="n">
        <f aca="false">IF(OR($A4187="",$Q4187=0,$R4187=-1),0,$Q4187*1000+$R4187*100+$K4187)</f>
        <v>0</v>
      </c>
      <c r="T4187" s="37" t="str">
        <f aca="false">IF($A4187="","",IF($B4187="","NO ACCOUNT",IF($Q4187=0,"UNMAPPED",IF($R4187=-1,"OUTSIDE FY RANGE","OK"))))</f>
        <v/>
      </c>
      <c r="U4187" s="40" t="str">
        <f aca="false">IF($A4187="","",$B4187&amp;"|"&amp;TEXT($A4187,"yyyymmdd")&amp;"|"&amp;TEXT($I4187,"0.00"))</f>
        <v/>
      </c>
      <c r="V4187" s="35" t="str">
        <f aca="false">IF($A4187="","",COUNTIF($U$8:$U$5007,$U4187))</f>
        <v/>
      </c>
    </row>
    <row r="4188" customFormat="false" ht="15" hidden="false" customHeight="false" outlineLevel="0" collapsed="false">
      <c r="A4188" s="31"/>
      <c r="B4188" s="32"/>
      <c r="C4188" s="32"/>
      <c r="D4188" s="32"/>
      <c r="E4188" s="32"/>
      <c r="F4188" s="32"/>
      <c r="G4188" s="33"/>
      <c r="H4188" s="33"/>
      <c r="I4188" s="34" t="str">
        <f aca="false">IF($A4188="","",$G4188-$H4188)</f>
        <v/>
      </c>
      <c r="J4188" s="35" t="str">
        <f aca="false">IF($A4188="","",IF(Setup!$B$6=1,YEAR($A4188),YEAR($A4188)+IF(MONTH($A4188)&gt;=Setup!$B$6,1,0)))</f>
        <v/>
      </c>
      <c r="K4188" s="35" t="str">
        <f aca="false">IF($A4188="","",MOD(MONTH($A4188)-Setup!$B$6+12,12)+1)</f>
        <v/>
      </c>
      <c r="L4188" s="36" t="str">
        <f aca="false">IF($A4188="","",TEXT($A4188,"MMM-YY"))</f>
        <v/>
      </c>
      <c r="M4188" s="37" t="str">
        <f aca="false">IF($A4188="","",IF($Q4188=0,"UNMAPPED",INDEX(COA_Mapping!$C$7:$C$256,$Q4188)))</f>
        <v/>
      </c>
      <c r="N4188" s="38" t="str">
        <f aca="false">IF($A4188="","",IF($Q4188=0,"",INDEX(COA_Mapping!$E$7:$E$256,$Q4188)))</f>
        <v/>
      </c>
      <c r="O4188" s="38" t="n">
        <f aca="false">IF($A4188="",1,IF($Q4188=0,1,INDEX(COA_Mapping!$F$7:$F$256,$Q4188)))</f>
        <v>1</v>
      </c>
      <c r="P4188" s="34" t="str">
        <f aca="false">IF($A4188="","",$I4188*$O4188)</f>
        <v/>
      </c>
      <c r="Q4188" s="39" t="n">
        <f aca="false">IF($B4188="",0,IFERROR(MATCH($B4188,COA_Mapping!$A$7:$A$256,0),0))</f>
        <v>0</v>
      </c>
      <c r="R4188" s="39" t="n">
        <f aca="false">IF($A4188="",-1,IF($J4188=Setup!$B$7,1,IF($J4188=Setup!$B$9,0,-1)))</f>
        <v>-1</v>
      </c>
      <c r="S4188" s="35" t="n">
        <f aca="false">IF(OR($A4188="",$Q4188=0,$R4188=-1),0,$Q4188*1000+$R4188*100+$K4188)</f>
        <v>0</v>
      </c>
      <c r="T4188" s="37" t="str">
        <f aca="false">IF($A4188="","",IF($B4188="","NO ACCOUNT",IF($Q4188=0,"UNMAPPED",IF($R4188=-1,"OUTSIDE FY RANGE","OK"))))</f>
        <v/>
      </c>
      <c r="U4188" s="40" t="str">
        <f aca="false">IF($A4188="","",$B4188&amp;"|"&amp;TEXT($A4188,"yyyymmdd")&amp;"|"&amp;TEXT($I4188,"0.00"))</f>
        <v/>
      </c>
      <c r="V4188" s="35" t="str">
        <f aca="false">IF($A4188="","",COUNTIF($U$8:$U$5007,$U4188))</f>
        <v/>
      </c>
    </row>
    <row r="4189" customFormat="false" ht="15" hidden="false" customHeight="false" outlineLevel="0" collapsed="false">
      <c r="A4189" s="31"/>
      <c r="B4189" s="32"/>
      <c r="C4189" s="32"/>
      <c r="D4189" s="32"/>
      <c r="E4189" s="32"/>
      <c r="F4189" s="32"/>
      <c r="G4189" s="33"/>
      <c r="H4189" s="33"/>
      <c r="I4189" s="34" t="str">
        <f aca="false">IF($A4189="","",$G4189-$H4189)</f>
        <v/>
      </c>
      <c r="J4189" s="35" t="str">
        <f aca="false">IF($A4189="","",IF(Setup!$B$6=1,YEAR($A4189),YEAR($A4189)+IF(MONTH($A4189)&gt;=Setup!$B$6,1,0)))</f>
        <v/>
      </c>
      <c r="K4189" s="35" t="str">
        <f aca="false">IF($A4189="","",MOD(MONTH($A4189)-Setup!$B$6+12,12)+1)</f>
        <v/>
      </c>
      <c r="L4189" s="36" t="str">
        <f aca="false">IF($A4189="","",TEXT($A4189,"MMM-YY"))</f>
        <v/>
      </c>
      <c r="M4189" s="37" t="str">
        <f aca="false">IF($A4189="","",IF($Q4189=0,"UNMAPPED",INDEX(COA_Mapping!$C$7:$C$256,$Q4189)))</f>
        <v/>
      </c>
      <c r="N4189" s="38" t="str">
        <f aca="false">IF($A4189="","",IF($Q4189=0,"",INDEX(COA_Mapping!$E$7:$E$256,$Q4189)))</f>
        <v/>
      </c>
      <c r="O4189" s="38" t="n">
        <f aca="false">IF($A4189="",1,IF($Q4189=0,1,INDEX(COA_Mapping!$F$7:$F$256,$Q4189)))</f>
        <v>1</v>
      </c>
      <c r="P4189" s="34" t="str">
        <f aca="false">IF($A4189="","",$I4189*$O4189)</f>
        <v/>
      </c>
      <c r="Q4189" s="39" t="n">
        <f aca="false">IF($B4189="",0,IFERROR(MATCH($B4189,COA_Mapping!$A$7:$A$256,0),0))</f>
        <v>0</v>
      </c>
      <c r="R4189" s="39" t="n">
        <f aca="false">IF($A4189="",-1,IF($J4189=Setup!$B$7,1,IF($J4189=Setup!$B$9,0,-1)))</f>
        <v>-1</v>
      </c>
      <c r="S4189" s="35" t="n">
        <f aca="false">IF(OR($A4189="",$Q4189=0,$R4189=-1),0,$Q4189*1000+$R4189*100+$K4189)</f>
        <v>0</v>
      </c>
      <c r="T4189" s="37" t="str">
        <f aca="false">IF($A4189="","",IF($B4189="","NO ACCOUNT",IF($Q4189=0,"UNMAPPED",IF($R4189=-1,"OUTSIDE FY RANGE","OK"))))</f>
        <v/>
      </c>
      <c r="U4189" s="40" t="str">
        <f aca="false">IF($A4189="","",$B4189&amp;"|"&amp;TEXT($A4189,"yyyymmdd")&amp;"|"&amp;TEXT($I4189,"0.00"))</f>
        <v/>
      </c>
      <c r="V4189" s="35" t="str">
        <f aca="false">IF($A4189="","",COUNTIF($U$8:$U$5007,$U4189))</f>
        <v/>
      </c>
    </row>
    <row r="4190" customFormat="false" ht="15" hidden="false" customHeight="false" outlineLevel="0" collapsed="false">
      <c r="A4190" s="31"/>
      <c r="B4190" s="32"/>
      <c r="C4190" s="32"/>
      <c r="D4190" s="32"/>
      <c r="E4190" s="32"/>
      <c r="F4190" s="32"/>
      <c r="G4190" s="33"/>
      <c r="H4190" s="33"/>
      <c r="I4190" s="34" t="str">
        <f aca="false">IF($A4190="","",$G4190-$H4190)</f>
        <v/>
      </c>
      <c r="J4190" s="35" t="str">
        <f aca="false">IF($A4190="","",IF(Setup!$B$6=1,YEAR($A4190),YEAR($A4190)+IF(MONTH($A4190)&gt;=Setup!$B$6,1,0)))</f>
        <v/>
      </c>
      <c r="K4190" s="35" t="str">
        <f aca="false">IF($A4190="","",MOD(MONTH($A4190)-Setup!$B$6+12,12)+1)</f>
        <v/>
      </c>
      <c r="L4190" s="36" t="str">
        <f aca="false">IF($A4190="","",TEXT($A4190,"MMM-YY"))</f>
        <v/>
      </c>
      <c r="M4190" s="37" t="str">
        <f aca="false">IF($A4190="","",IF($Q4190=0,"UNMAPPED",INDEX(COA_Mapping!$C$7:$C$256,$Q4190)))</f>
        <v/>
      </c>
      <c r="N4190" s="38" t="str">
        <f aca="false">IF($A4190="","",IF($Q4190=0,"",INDEX(COA_Mapping!$E$7:$E$256,$Q4190)))</f>
        <v/>
      </c>
      <c r="O4190" s="38" t="n">
        <f aca="false">IF($A4190="",1,IF($Q4190=0,1,INDEX(COA_Mapping!$F$7:$F$256,$Q4190)))</f>
        <v>1</v>
      </c>
      <c r="P4190" s="34" t="str">
        <f aca="false">IF($A4190="","",$I4190*$O4190)</f>
        <v/>
      </c>
      <c r="Q4190" s="39" t="n">
        <f aca="false">IF($B4190="",0,IFERROR(MATCH($B4190,COA_Mapping!$A$7:$A$256,0),0))</f>
        <v>0</v>
      </c>
      <c r="R4190" s="39" t="n">
        <f aca="false">IF($A4190="",-1,IF($J4190=Setup!$B$7,1,IF($J4190=Setup!$B$9,0,-1)))</f>
        <v>-1</v>
      </c>
      <c r="S4190" s="35" t="n">
        <f aca="false">IF(OR($A4190="",$Q4190=0,$R4190=-1),0,$Q4190*1000+$R4190*100+$K4190)</f>
        <v>0</v>
      </c>
      <c r="T4190" s="37" t="str">
        <f aca="false">IF($A4190="","",IF($B4190="","NO ACCOUNT",IF($Q4190=0,"UNMAPPED",IF($R4190=-1,"OUTSIDE FY RANGE","OK"))))</f>
        <v/>
      </c>
      <c r="U4190" s="40" t="str">
        <f aca="false">IF($A4190="","",$B4190&amp;"|"&amp;TEXT($A4190,"yyyymmdd")&amp;"|"&amp;TEXT($I4190,"0.00"))</f>
        <v/>
      </c>
      <c r="V4190" s="35" t="str">
        <f aca="false">IF($A4190="","",COUNTIF($U$8:$U$5007,$U4190))</f>
        <v/>
      </c>
    </row>
    <row r="4191" customFormat="false" ht="15" hidden="false" customHeight="false" outlineLevel="0" collapsed="false">
      <c r="A4191" s="31"/>
      <c r="B4191" s="32"/>
      <c r="C4191" s="32"/>
      <c r="D4191" s="32"/>
      <c r="E4191" s="32"/>
      <c r="F4191" s="32"/>
      <c r="G4191" s="33"/>
      <c r="H4191" s="33"/>
      <c r="I4191" s="34" t="str">
        <f aca="false">IF($A4191="","",$G4191-$H4191)</f>
        <v/>
      </c>
      <c r="J4191" s="35" t="str">
        <f aca="false">IF($A4191="","",IF(Setup!$B$6=1,YEAR($A4191),YEAR($A4191)+IF(MONTH($A4191)&gt;=Setup!$B$6,1,0)))</f>
        <v/>
      </c>
      <c r="K4191" s="35" t="str">
        <f aca="false">IF($A4191="","",MOD(MONTH($A4191)-Setup!$B$6+12,12)+1)</f>
        <v/>
      </c>
      <c r="L4191" s="36" t="str">
        <f aca="false">IF($A4191="","",TEXT($A4191,"MMM-YY"))</f>
        <v/>
      </c>
      <c r="M4191" s="37" t="str">
        <f aca="false">IF($A4191="","",IF($Q4191=0,"UNMAPPED",INDEX(COA_Mapping!$C$7:$C$256,$Q4191)))</f>
        <v/>
      </c>
      <c r="N4191" s="38" t="str">
        <f aca="false">IF($A4191="","",IF($Q4191=0,"",INDEX(COA_Mapping!$E$7:$E$256,$Q4191)))</f>
        <v/>
      </c>
      <c r="O4191" s="38" t="n">
        <f aca="false">IF($A4191="",1,IF($Q4191=0,1,INDEX(COA_Mapping!$F$7:$F$256,$Q4191)))</f>
        <v>1</v>
      </c>
      <c r="P4191" s="34" t="str">
        <f aca="false">IF($A4191="","",$I4191*$O4191)</f>
        <v/>
      </c>
      <c r="Q4191" s="39" t="n">
        <f aca="false">IF($B4191="",0,IFERROR(MATCH($B4191,COA_Mapping!$A$7:$A$256,0),0))</f>
        <v>0</v>
      </c>
      <c r="R4191" s="39" t="n">
        <f aca="false">IF($A4191="",-1,IF($J4191=Setup!$B$7,1,IF($J4191=Setup!$B$9,0,-1)))</f>
        <v>-1</v>
      </c>
      <c r="S4191" s="35" t="n">
        <f aca="false">IF(OR($A4191="",$Q4191=0,$R4191=-1),0,$Q4191*1000+$R4191*100+$K4191)</f>
        <v>0</v>
      </c>
      <c r="T4191" s="37" t="str">
        <f aca="false">IF($A4191="","",IF($B4191="","NO ACCOUNT",IF($Q4191=0,"UNMAPPED",IF($R4191=-1,"OUTSIDE FY RANGE","OK"))))</f>
        <v/>
      </c>
      <c r="U4191" s="40" t="str">
        <f aca="false">IF($A4191="","",$B4191&amp;"|"&amp;TEXT($A4191,"yyyymmdd")&amp;"|"&amp;TEXT($I4191,"0.00"))</f>
        <v/>
      </c>
      <c r="V4191" s="35" t="str">
        <f aca="false">IF($A4191="","",COUNTIF($U$8:$U$5007,$U4191))</f>
        <v/>
      </c>
    </row>
    <row r="4192" customFormat="false" ht="15" hidden="false" customHeight="false" outlineLevel="0" collapsed="false">
      <c r="A4192" s="31"/>
      <c r="B4192" s="32"/>
      <c r="C4192" s="32"/>
      <c r="D4192" s="32"/>
      <c r="E4192" s="32"/>
      <c r="F4192" s="32"/>
      <c r="G4192" s="33"/>
      <c r="H4192" s="33"/>
      <c r="I4192" s="34" t="str">
        <f aca="false">IF($A4192="","",$G4192-$H4192)</f>
        <v/>
      </c>
      <c r="J4192" s="35" t="str">
        <f aca="false">IF($A4192="","",IF(Setup!$B$6=1,YEAR($A4192),YEAR($A4192)+IF(MONTH($A4192)&gt;=Setup!$B$6,1,0)))</f>
        <v/>
      </c>
      <c r="K4192" s="35" t="str">
        <f aca="false">IF($A4192="","",MOD(MONTH($A4192)-Setup!$B$6+12,12)+1)</f>
        <v/>
      </c>
      <c r="L4192" s="36" t="str">
        <f aca="false">IF($A4192="","",TEXT($A4192,"MMM-YY"))</f>
        <v/>
      </c>
      <c r="M4192" s="37" t="str">
        <f aca="false">IF($A4192="","",IF($Q4192=0,"UNMAPPED",INDEX(COA_Mapping!$C$7:$C$256,$Q4192)))</f>
        <v/>
      </c>
      <c r="N4192" s="38" t="str">
        <f aca="false">IF($A4192="","",IF($Q4192=0,"",INDEX(COA_Mapping!$E$7:$E$256,$Q4192)))</f>
        <v/>
      </c>
      <c r="O4192" s="38" t="n">
        <f aca="false">IF($A4192="",1,IF($Q4192=0,1,INDEX(COA_Mapping!$F$7:$F$256,$Q4192)))</f>
        <v>1</v>
      </c>
      <c r="P4192" s="34" t="str">
        <f aca="false">IF($A4192="","",$I4192*$O4192)</f>
        <v/>
      </c>
      <c r="Q4192" s="39" t="n">
        <f aca="false">IF($B4192="",0,IFERROR(MATCH($B4192,COA_Mapping!$A$7:$A$256,0),0))</f>
        <v>0</v>
      </c>
      <c r="R4192" s="39" t="n">
        <f aca="false">IF($A4192="",-1,IF($J4192=Setup!$B$7,1,IF($J4192=Setup!$B$9,0,-1)))</f>
        <v>-1</v>
      </c>
      <c r="S4192" s="35" t="n">
        <f aca="false">IF(OR($A4192="",$Q4192=0,$R4192=-1),0,$Q4192*1000+$R4192*100+$K4192)</f>
        <v>0</v>
      </c>
      <c r="T4192" s="37" t="str">
        <f aca="false">IF($A4192="","",IF($B4192="","NO ACCOUNT",IF($Q4192=0,"UNMAPPED",IF($R4192=-1,"OUTSIDE FY RANGE","OK"))))</f>
        <v/>
      </c>
      <c r="U4192" s="40" t="str">
        <f aca="false">IF($A4192="","",$B4192&amp;"|"&amp;TEXT($A4192,"yyyymmdd")&amp;"|"&amp;TEXT($I4192,"0.00"))</f>
        <v/>
      </c>
      <c r="V4192" s="35" t="str">
        <f aca="false">IF($A4192="","",COUNTIF($U$8:$U$5007,$U4192))</f>
        <v/>
      </c>
    </row>
    <row r="4193" customFormat="false" ht="15" hidden="false" customHeight="false" outlineLevel="0" collapsed="false">
      <c r="A4193" s="31"/>
      <c r="B4193" s="32"/>
      <c r="C4193" s="32"/>
      <c r="D4193" s="32"/>
      <c r="E4193" s="32"/>
      <c r="F4193" s="32"/>
      <c r="G4193" s="33"/>
      <c r="H4193" s="33"/>
      <c r="I4193" s="34" t="str">
        <f aca="false">IF($A4193="","",$G4193-$H4193)</f>
        <v/>
      </c>
      <c r="J4193" s="35" t="str">
        <f aca="false">IF($A4193="","",IF(Setup!$B$6=1,YEAR($A4193),YEAR($A4193)+IF(MONTH($A4193)&gt;=Setup!$B$6,1,0)))</f>
        <v/>
      </c>
      <c r="K4193" s="35" t="str">
        <f aca="false">IF($A4193="","",MOD(MONTH($A4193)-Setup!$B$6+12,12)+1)</f>
        <v/>
      </c>
      <c r="L4193" s="36" t="str">
        <f aca="false">IF($A4193="","",TEXT($A4193,"MMM-YY"))</f>
        <v/>
      </c>
      <c r="M4193" s="37" t="str">
        <f aca="false">IF($A4193="","",IF($Q4193=0,"UNMAPPED",INDEX(COA_Mapping!$C$7:$C$256,$Q4193)))</f>
        <v/>
      </c>
      <c r="N4193" s="38" t="str">
        <f aca="false">IF($A4193="","",IF($Q4193=0,"",INDEX(COA_Mapping!$E$7:$E$256,$Q4193)))</f>
        <v/>
      </c>
      <c r="O4193" s="38" t="n">
        <f aca="false">IF($A4193="",1,IF($Q4193=0,1,INDEX(COA_Mapping!$F$7:$F$256,$Q4193)))</f>
        <v>1</v>
      </c>
      <c r="P4193" s="34" t="str">
        <f aca="false">IF($A4193="","",$I4193*$O4193)</f>
        <v/>
      </c>
      <c r="Q4193" s="39" t="n">
        <f aca="false">IF($B4193="",0,IFERROR(MATCH($B4193,COA_Mapping!$A$7:$A$256,0),0))</f>
        <v>0</v>
      </c>
      <c r="R4193" s="39" t="n">
        <f aca="false">IF($A4193="",-1,IF($J4193=Setup!$B$7,1,IF($J4193=Setup!$B$9,0,-1)))</f>
        <v>-1</v>
      </c>
      <c r="S4193" s="35" t="n">
        <f aca="false">IF(OR($A4193="",$Q4193=0,$R4193=-1),0,$Q4193*1000+$R4193*100+$K4193)</f>
        <v>0</v>
      </c>
      <c r="T4193" s="37" t="str">
        <f aca="false">IF($A4193="","",IF($B4193="","NO ACCOUNT",IF($Q4193=0,"UNMAPPED",IF($R4193=-1,"OUTSIDE FY RANGE","OK"))))</f>
        <v/>
      </c>
      <c r="U4193" s="40" t="str">
        <f aca="false">IF($A4193="","",$B4193&amp;"|"&amp;TEXT($A4193,"yyyymmdd")&amp;"|"&amp;TEXT($I4193,"0.00"))</f>
        <v/>
      </c>
      <c r="V4193" s="35" t="str">
        <f aca="false">IF($A4193="","",COUNTIF($U$8:$U$5007,$U4193))</f>
        <v/>
      </c>
    </row>
    <row r="4194" customFormat="false" ht="15" hidden="false" customHeight="false" outlineLevel="0" collapsed="false">
      <c r="A4194" s="31"/>
      <c r="B4194" s="32"/>
      <c r="C4194" s="32"/>
      <c r="D4194" s="32"/>
      <c r="E4194" s="32"/>
      <c r="F4194" s="32"/>
      <c r="G4194" s="33"/>
      <c r="H4194" s="33"/>
      <c r="I4194" s="34" t="str">
        <f aca="false">IF($A4194="","",$G4194-$H4194)</f>
        <v/>
      </c>
      <c r="J4194" s="35" t="str">
        <f aca="false">IF($A4194="","",IF(Setup!$B$6=1,YEAR($A4194),YEAR($A4194)+IF(MONTH($A4194)&gt;=Setup!$B$6,1,0)))</f>
        <v/>
      </c>
      <c r="K4194" s="35" t="str">
        <f aca="false">IF($A4194="","",MOD(MONTH($A4194)-Setup!$B$6+12,12)+1)</f>
        <v/>
      </c>
      <c r="L4194" s="36" t="str">
        <f aca="false">IF($A4194="","",TEXT($A4194,"MMM-YY"))</f>
        <v/>
      </c>
      <c r="M4194" s="37" t="str">
        <f aca="false">IF($A4194="","",IF($Q4194=0,"UNMAPPED",INDEX(COA_Mapping!$C$7:$C$256,$Q4194)))</f>
        <v/>
      </c>
      <c r="N4194" s="38" t="str">
        <f aca="false">IF($A4194="","",IF($Q4194=0,"",INDEX(COA_Mapping!$E$7:$E$256,$Q4194)))</f>
        <v/>
      </c>
      <c r="O4194" s="38" t="n">
        <f aca="false">IF($A4194="",1,IF($Q4194=0,1,INDEX(COA_Mapping!$F$7:$F$256,$Q4194)))</f>
        <v>1</v>
      </c>
      <c r="P4194" s="34" t="str">
        <f aca="false">IF($A4194="","",$I4194*$O4194)</f>
        <v/>
      </c>
      <c r="Q4194" s="39" t="n">
        <f aca="false">IF($B4194="",0,IFERROR(MATCH($B4194,COA_Mapping!$A$7:$A$256,0),0))</f>
        <v>0</v>
      </c>
      <c r="R4194" s="39" t="n">
        <f aca="false">IF($A4194="",-1,IF($J4194=Setup!$B$7,1,IF($J4194=Setup!$B$9,0,-1)))</f>
        <v>-1</v>
      </c>
      <c r="S4194" s="35" t="n">
        <f aca="false">IF(OR($A4194="",$Q4194=0,$R4194=-1),0,$Q4194*1000+$R4194*100+$K4194)</f>
        <v>0</v>
      </c>
      <c r="T4194" s="37" t="str">
        <f aca="false">IF($A4194="","",IF($B4194="","NO ACCOUNT",IF($Q4194=0,"UNMAPPED",IF($R4194=-1,"OUTSIDE FY RANGE","OK"))))</f>
        <v/>
      </c>
      <c r="U4194" s="40" t="str">
        <f aca="false">IF($A4194="","",$B4194&amp;"|"&amp;TEXT($A4194,"yyyymmdd")&amp;"|"&amp;TEXT($I4194,"0.00"))</f>
        <v/>
      </c>
      <c r="V4194" s="35" t="str">
        <f aca="false">IF($A4194="","",COUNTIF($U$8:$U$5007,$U4194))</f>
        <v/>
      </c>
    </row>
    <row r="4195" customFormat="false" ht="15" hidden="false" customHeight="false" outlineLevel="0" collapsed="false">
      <c r="A4195" s="31"/>
      <c r="B4195" s="32"/>
      <c r="C4195" s="32"/>
      <c r="D4195" s="32"/>
      <c r="E4195" s="32"/>
      <c r="F4195" s="32"/>
      <c r="G4195" s="33"/>
      <c r="H4195" s="33"/>
      <c r="I4195" s="34" t="str">
        <f aca="false">IF($A4195="","",$G4195-$H4195)</f>
        <v/>
      </c>
      <c r="J4195" s="35" t="str">
        <f aca="false">IF($A4195="","",IF(Setup!$B$6=1,YEAR($A4195),YEAR($A4195)+IF(MONTH($A4195)&gt;=Setup!$B$6,1,0)))</f>
        <v/>
      </c>
      <c r="K4195" s="35" t="str">
        <f aca="false">IF($A4195="","",MOD(MONTH($A4195)-Setup!$B$6+12,12)+1)</f>
        <v/>
      </c>
      <c r="L4195" s="36" t="str">
        <f aca="false">IF($A4195="","",TEXT($A4195,"MMM-YY"))</f>
        <v/>
      </c>
      <c r="M4195" s="37" t="str">
        <f aca="false">IF($A4195="","",IF($Q4195=0,"UNMAPPED",INDEX(COA_Mapping!$C$7:$C$256,$Q4195)))</f>
        <v/>
      </c>
      <c r="N4195" s="38" t="str">
        <f aca="false">IF($A4195="","",IF($Q4195=0,"",INDEX(COA_Mapping!$E$7:$E$256,$Q4195)))</f>
        <v/>
      </c>
      <c r="O4195" s="38" t="n">
        <f aca="false">IF($A4195="",1,IF($Q4195=0,1,INDEX(COA_Mapping!$F$7:$F$256,$Q4195)))</f>
        <v>1</v>
      </c>
      <c r="P4195" s="34" t="str">
        <f aca="false">IF($A4195="","",$I4195*$O4195)</f>
        <v/>
      </c>
      <c r="Q4195" s="39" t="n">
        <f aca="false">IF($B4195="",0,IFERROR(MATCH($B4195,COA_Mapping!$A$7:$A$256,0),0))</f>
        <v>0</v>
      </c>
      <c r="R4195" s="39" t="n">
        <f aca="false">IF($A4195="",-1,IF($J4195=Setup!$B$7,1,IF($J4195=Setup!$B$9,0,-1)))</f>
        <v>-1</v>
      </c>
      <c r="S4195" s="35" t="n">
        <f aca="false">IF(OR($A4195="",$Q4195=0,$R4195=-1),0,$Q4195*1000+$R4195*100+$K4195)</f>
        <v>0</v>
      </c>
      <c r="T4195" s="37" t="str">
        <f aca="false">IF($A4195="","",IF($B4195="","NO ACCOUNT",IF($Q4195=0,"UNMAPPED",IF($R4195=-1,"OUTSIDE FY RANGE","OK"))))</f>
        <v/>
      </c>
      <c r="U4195" s="40" t="str">
        <f aca="false">IF($A4195="","",$B4195&amp;"|"&amp;TEXT($A4195,"yyyymmdd")&amp;"|"&amp;TEXT($I4195,"0.00"))</f>
        <v/>
      </c>
      <c r="V4195" s="35" t="str">
        <f aca="false">IF($A4195="","",COUNTIF($U$8:$U$5007,$U4195))</f>
        <v/>
      </c>
    </row>
    <row r="4196" customFormat="false" ht="15" hidden="false" customHeight="false" outlineLevel="0" collapsed="false">
      <c r="A4196" s="31"/>
      <c r="B4196" s="32"/>
      <c r="C4196" s="32"/>
      <c r="D4196" s="32"/>
      <c r="E4196" s="32"/>
      <c r="F4196" s="32"/>
      <c r="G4196" s="33"/>
      <c r="H4196" s="33"/>
      <c r="I4196" s="34" t="str">
        <f aca="false">IF($A4196="","",$G4196-$H4196)</f>
        <v/>
      </c>
      <c r="J4196" s="35" t="str">
        <f aca="false">IF($A4196="","",IF(Setup!$B$6=1,YEAR($A4196),YEAR($A4196)+IF(MONTH($A4196)&gt;=Setup!$B$6,1,0)))</f>
        <v/>
      </c>
      <c r="K4196" s="35" t="str">
        <f aca="false">IF($A4196="","",MOD(MONTH($A4196)-Setup!$B$6+12,12)+1)</f>
        <v/>
      </c>
      <c r="L4196" s="36" t="str">
        <f aca="false">IF($A4196="","",TEXT($A4196,"MMM-YY"))</f>
        <v/>
      </c>
      <c r="M4196" s="37" t="str">
        <f aca="false">IF($A4196="","",IF($Q4196=0,"UNMAPPED",INDEX(COA_Mapping!$C$7:$C$256,$Q4196)))</f>
        <v/>
      </c>
      <c r="N4196" s="38" t="str">
        <f aca="false">IF($A4196="","",IF($Q4196=0,"",INDEX(COA_Mapping!$E$7:$E$256,$Q4196)))</f>
        <v/>
      </c>
      <c r="O4196" s="38" t="n">
        <f aca="false">IF($A4196="",1,IF($Q4196=0,1,INDEX(COA_Mapping!$F$7:$F$256,$Q4196)))</f>
        <v>1</v>
      </c>
      <c r="P4196" s="34" t="str">
        <f aca="false">IF($A4196="","",$I4196*$O4196)</f>
        <v/>
      </c>
      <c r="Q4196" s="39" t="n">
        <f aca="false">IF($B4196="",0,IFERROR(MATCH($B4196,COA_Mapping!$A$7:$A$256,0),0))</f>
        <v>0</v>
      </c>
      <c r="R4196" s="39" t="n">
        <f aca="false">IF($A4196="",-1,IF($J4196=Setup!$B$7,1,IF($J4196=Setup!$B$9,0,-1)))</f>
        <v>-1</v>
      </c>
      <c r="S4196" s="35" t="n">
        <f aca="false">IF(OR($A4196="",$Q4196=0,$R4196=-1),0,$Q4196*1000+$R4196*100+$K4196)</f>
        <v>0</v>
      </c>
      <c r="T4196" s="37" t="str">
        <f aca="false">IF($A4196="","",IF($B4196="","NO ACCOUNT",IF($Q4196=0,"UNMAPPED",IF($R4196=-1,"OUTSIDE FY RANGE","OK"))))</f>
        <v/>
      </c>
      <c r="U4196" s="40" t="str">
        <f aca="false">IF($A4196="","",$B4196&amp;"|"&amp;TEXT($A4196,"yyyymmdd")&amp;"|"&amp;TEXT($I4196,"0.00"))</f>
        <v/>
      </c>
      <c r="V4196" s="35" t="str">
        <f aca="false">IF($A4196="","",COUNTIF($U$8:$U$5007,$U4196))</f>
        <v/>
      </c>
    </row>
    <row r="4197" customFormat="false" ht="15" hidden="false" customHeight="false" outlineLevel="0" collapsed="false">
      <c r="A4197" s="31"/>
      <c r="B4197" s="32"/>
      <c r="C4197" s="32"/>
      <c r="D4197" s="32"/>
      <c r="E4197" s="32"/>
      <c r="F4197" s="32"/>
      <c r="G4197" s="33"/>
      <c r="H4197" s="33"/>
      <c r="I4197" s="34" t="str">
        <f aca="false">IF($A4197="","",$G4197-$H4197)</f>
        <v/>
      </c>
      <c r="J4197" s="35" t="str">
        <f aca="false">IF($A4197="","",IF(Setup!$B$6=1,YEAR($A4197),YEAR($A4197)+IF(MONTH($A4197)&gt;=Setup!$B$6,1,0)))</f>
        <v/>
      </c>
      <c r="K4197" s="35" t="str">
        <f aca="false">IF($A4197="","",MOD(MONTH($A4197)-Setup!$B$6+12,12)+1)</f>
        <v/>
      </c>
      <c r="L4197" s="36" t="str">
        <f aca="false">IF($A4197="","",TEXT($A4197,"MMM-YY"))</f>
        <v/>
      </c>
      <c r="M4197" s="37" t="str">
        <f aca="false">IF($A4197="","",IF($Q4197=0,"UNMAPPED",INDEX(COA_Mapping!$C$7:$C$256,$Q4197)))</f>
        <v/>
      </c>
      <c r="N4197" s="38" t="str">
        <f aca="false">IF($A4197="","",IF($Q4197=0,"",INDEX(COA_Mapping!$E$7:$E$256,$Q4197)))</f>
        <v/>
      </c>
      <c r="O4197" s="38" t="n">
        <f aca="false">IF($A4197="",1,IF($Q4197=0,1,INDEX(COA_Mapping!$F$7:$F$256,$Q4197)))</f>
        <v>1</v>
      </c>
      <c r="P4197" s="34" t="str">
        <f aca="false">IF($A4197="","",$I4197*$O4197)</f>
        <v/>
      </c>
      <c r="Q4197" s="39" t="n">
        <f aca="false">IF($B4197="",0,IFERROR(MATCH($B4197,COA_Mapping!$A$7:$A$256,0),0))</f>
        <v>0</v>
      </c>
      <c r="R4197" s="39" t="n">
        <f aca="false">IF($A4197="",-1,IF($J4197=Setup!$B$7,1,IF($J4197=Setup!$B$9,0,-1)))</f>
        <v>-1</v>
      </c>
      <c r="S4197" s="35" t="n">
        <f aca="false">IF(OR($A4197="",$Q4197=0,$R4197=-1),0,$Q4197*1000+$R4197*100+$K4197)</f>
        <v>0</v>
      </c>
      <c r="T4197" s="37" t="str">
        <f aca="false">IF($A4197="","",IF($B4197="","NO ACCOUNT",IF($Q4197=0,"UNMAPPED",IF($R4197=-1,"OUTSIDE FY RANGE","OK"))))</f>
        <v/>
      </c>
      <c r="U4197" s="40" t="str">
        <f aca="false">IF($A4197="","",$B4197&amp;"|"&amp;TEXT($A4197,"yyyymmdd")&amp;"|"&amp;TEXT($I4197,"0.00"))</f>
        <v/>
      </c>
      <c r="V4197" s="35" t="str">
        <f aca="false">IF($A4197="","",COUNTIF($U$8:$U$5007,$U4197))</f>
        <v/>
      </c>
    </row>
    <row r="4198" customFormat="false" ht="15" hidden="false" customHeight="false" outlineLevel="0" collapsed="false">
      <c r="A4198" s="31"/>
      <c r="B4198" s="32"/>
      <c r="C4198" s="32"/>
      <c r="D4198" s="32"/>
      <c r="E4198" s="32"/>
      <c r="F4198" s="32"/>
      <c r="G4198" s="33"/>
      <c r="H4198" s="33"/>
      <c r="I4198" s="34" t="str">
        <f aca="false">IF($A4198="","",$G4198-$H4198)</f>
        <v/>
      </c>
      <c r="J4198" s="35" t="str">
        <f aca="false">IF($A4198="","",IF(Setup!$B$6=1,YEAR($A4198),YEAR($A4198)+IF(MONTH($A4198)&gt;=Setup!$B$6,1,0)))</f>
        <v/>
      </c>
      <c r="K4198" s="35" t="str">
        <f aca="false">IF($A4198="","",MOD(MONTH($A4198)-Setup!$B$6+12,12)+1)</f>
        <v/>
      </c>
      <c r="L4198" s="36" t="str">
        <f aca="false">IF($A4198="","",TEXT($A4198,"MMM-YY"))</f>
        <v/>
      </c>
      <c r="M4198" s="37" t="str">
        <f aca="false">IF($A4198="","",IF($Q4198=0,"UNMAPPED",INDEX(COA_Mapping!$C$7:$C$256,$Q4198)))</f>
        <v/>
      </c>
      <c r="N4198" s="38" t="str">
        <f aca="false">IF($A4198="","",IF($Q4198=0,"",INDEX(COA_Mapping!$E$7:$E$256,$Q4198)))</f>
        <v/>
      </c>
      <c r="O4198" s="38" t="n">
        <f aca="false">IF($A4198="",1,IF($Q4198=0,1,INDEX(COA_Mapping!$F$7:$F$256,$Q4198)))</f>
        <v>1</v>
      </c>
      <c r="P4198" s="34" t="str">
        <f aca="false">IF($A4198="","",$I4198*$O4198)</f>
        <v/>
      </c>
      <c r="Q4198" s="39" t="n">
        <f aca="false">IF($B4198="",0,IFERROR(MATCH($B4198,COA_Mapping!$A$7:$A$256,0),0))</f>
        <v>0</v>
      </c>
      <c r="R4198" s="39" t="n">
        <f aca="false">IF($A4198="",-1,IF($J4198=Setup!$B$7,1,IF($J4198=Setup!$B$9,0,-1)))</f>
        <v>-1</v>
      </c>
      <c r="S4198" s="35" t="n">
        <f aca="false">IF(OR($A4198="",$Q4198=0,$R4198=-1),0,$Q4198*1000+$R4198*100+$K4198)</f>
        <v>0</v>
      </c>
      <c r="T4198" s="37" t="str">
        <f aca="false">IF($A4198="","",IF($B4198="","NO ACCOUNT",IF($Q4198=0,"UNMAPPED",IF($R4198=-1,"OUTSIDE FY RANGE","OK"))))</f>
        <v/>
      </c>
      <c r="U4198" s="40" t="str">
        <f aca="false">IF($A4198="","",$B4198&amp;"|"&amp;TEXT($A4198,"yyyymmdd")&amp;"|"&amp;TEXT($I4198,"0.00"))</f>
        <v/>
      </c>
      <c r="V4198" s="35" t="str">
        <f aca="false">IF($A4198="","",COUNTIF($U$8:$U$5007,$U4198))</f>
        <v/>
      </c>
    </row>
    <row r="4199" customFormat="false" ht="15" hidden="false" customHeight="false" outlineLevel="0" collapsed="false">
      <c r="A4199" s="31"/>
      <c r="B4199" s="32"/>
      <c r="C4199" s="32"/>
      <c r="D4199" s="32"/>
      <c r="E4199" s="32"/>
      <c r="F4199" s="32"/>
      <c r="G4199" s="33"/>
      <c r="H4199" s="33"/>
      <c r="I4199" s="34" t="str">
        <f aca="false">IF($A4199="","",$G4199-$H4199)</f>
        <v/>
      </c>
      <c r="J4199" s="35" t="str">
        <f aca="false">IF($A4199="","",IF(Setup!$B$6=1,YEAR($A4199),YEAR($A4199)+IF(MONTH($A4199)&gt;=Setup!$B$6,1,0)))</f>
        <v/>
      </c>
      <c r="K4199" s="35" t="str">
        <f aca="false">IF($A4199="","",MOD(MONTH($A4199)-Setup!$B$6+12,12)+1)</f>
        <v/>
      </c>
      <c r="L4199" s="36" t="str">
        <f aca="false">IF($A4199="","",TEXT($A4199,"MMM-YY"))</f>
        <v/>
      </c>
      <c r="M4199" s="37" t="str">
        <f aca="false">IF($A4199="","",IF($Q4199=0,"UNMAPPED",INDEX(COA_Mapping!$C$7:$C$256,$Q4199)))</f>
        <v/>
      </c>
      <c r="N4199" s="38" t="str">
        <f aca="false">IF($A4199="","",IF($Q4199=0,"",INDEX(COA_Mapping!$E$7:$E$256,$Q4199)))</f>
        <v/>
      </c>
      <c r="O4199" s="38" t="n">
        <f aca="false">IF($A4199="",1,IF($Q4199=0,1,INDEX(COA_Mapping!$F$7:$F$256,$Q4199)))</f>
        <v>1</v>
      </c>
      <c r="P4199" s="34" t="str">
        <f aca="false">IF($A4199="","",$I4199*$O4199)</f>
        <v/>
      </c>
      <c r="Q4199" s="39" t="n">
        <f aca="false">IF($B4199="",0,IFERROR(MATCH($B4199,COA_Mapping!$A$7:$A$256,0),0))</f>
        <v>0</v>
      </c>
      <c r="R4199" s="39" t="n">
        <f aca="false">IF($A4199="",-1,IF($J4199=Setup!$B$7,1,IF($J4199=Setup!$B$9,0,-1)))</f>
        <v>-1</v>
      </c>
      <c r="S4199" s="35" t="n">
        <f aca="false">IF(OR($A4199="",$Q4199=0,$R4199=-1),0,$Q4199*1000+$R4199*100+$K4199)</f>
        <v>0</v>
      </c>
      <c r="T4199" s="37" t="str">
        <f aca="false">IF($A4199="","",IF($B4199="","NO ACCOUNT",IF($Q4199=0,"UNMAPPED",IF($R4199=-1,"OUTSIDE FY RANGE","OK"))))</f>
        <v/>
      </c>
      <c r="U4199" s="40" t="str">
        <f aca="false">IF($A4199="","",$B4199&amp;"|"&amp;TEXT($A4199,"yyyymmdd")&amp;"|"&amp;TEXT($I4199,"0.00"))</f>
        <v/>
      </c>
      <c r="V4199" s="35" t="str">
        <f aca="false">IF($A4199="","",COUNTIF($U$8:$U$5007,$U4199))</f>
        <v/>
      </c>
    </row>
    <row r="4200" customFormat="false" ht="15" hidden="false" customHeight="false" outlineLevel="0" collapsed="false">
      <c r="A4200" s="31"/>
      <c r="B4200" s="32"/>
      <c r="C4200" s="32"/>
      <c r="D4200" s="32"/>
      <c r="E4200" s="32"/>
      <c r="F4200" s="32"/>
      <c r="G4200" s="33"/>
      <c r="H4200" s="33"/>
      <c r="I4200" s="34" t="str">
        <f aca="false">IF($A4200="","",$G4200-$H4200)</f>
        <v/>
      </c>
      <c r="J4200" s="35" t="str">
        <f aca="false">IF($A4200="","",IF(Setup!$B$6=1,YEAR($A4200),YEAR($A4200)+IF(MONTH($A4200)&gt;=Setup!$B$6,1,0)))</f>
        <v/>
      </c>
      <c r="K4200" s="35" t="str">
        <f aca="false">IF($A4200="","",MOD(MONTH($A4200)-Setup!$B$6+12,12)+1)</f>
        <v/>
      </c>
      <c r="L4200" s="36" t="str">
        <f aca="false">IF($A4200="","",TEXT($A4200,"MMM-YY"))</f>
        <v/>
      </c>
      <c r="M4200" s="37" t="str">
        <f aca="false">IF($A4200="","",IF($Q4200=0,"UNMAPPED",INDEX(COA_Mapping!$C$7:$C$256,$Q4200)))</f>
        <v/>
      </c>
      <c r="N4200" s="38" t="str">
        <f aca="false">IF($A4200="","",IF($Q4200=0,"",INDEX(COA_Mapping!$E$7:$E$256,$Q4200)))</f>
        <v/>
      </c>
      <c r="O4200" s="38" t="n">
        <f aca="false">IF($A4200="",1,IF($Q4200=0,1,INDEX(COA_Mapping!$F$7:$F$256,$Q4200)))</f>
        <v>1</v>
      </c>
      <c r="P4200" s="34" t="str">
        <f aca="false">IF($A4200="","",$I4200*$O4200)</f>
        <v/>
      </c>
      <c r="Q4200" s="39" t="n">
        <f aca="false">IF($B4200="",0,IFERROR(MATCH($B4200,COA_Mapping!$A$7:$A$256,0),0))</f>
        <v>0</v>
      </c>
      <c r="R4200" s="39" t="n">
        <f aca="false">IF($A4200="",-1,IF($J4200=Setup!$B$7,1,IF($J4200=Setup!$B$9,0,-1)))</f>
        <v>-1</v>
      </c>
      <c r="S4200" s="35" t="n">
        <f aca="false">IF(OR($A4200="",$Q4200=0,$R4200=-1),0,$Q4200*1000+$R4200*100+$K4200)</f>
        <v>0</v>
      </c>
      <c r="T4200" s="37" t="str">
        <f aca="false">IF($A4200="","",IF($B4200="","NO ACCOUNT",IF($Q4200=0,"UNMAPPED",IF($R4200=-1,"OUTSIDE FY RANGE","OK"))))</f>
        <v/>
      </c>
      <c r="U4200" s="40" t="str">
        <f aca="false">IF($A4200="","",$B4200&amp;"|"&amp;TEXT($A4200,"yyyymmdd")&amp;"|"&amp;TEXT($I4200,"0.00"))</f>
        <v/>
      </c>
      <c r="V4200" s="35" t="str">
        <f aca="false">IF($A4200="","",COUNTIF($U$8:$U$5007,$U4200))</f>
        <v/>
      </c>
    </row>
    <row r="4201" customFormat="false" ht="15" hidden="false" customHeight="false" outlineLevel="0" collapsed="false">
      <c r="A4201" s="31"/>
      <c r="B4201" s="32"/>
      <c r="C4201" s="32"/>
      <c r="D4201" s="32"/>
      <c r="E4201" s="32"/>
      <c r="F4201" s="32"/>
      <c r="G4201" s="33"/>
      <c r="H4201" s="33"/>
      <c r="I4201" s="34" t="str">
        <f aca="false">IF($A4201="","",$G4201-$H4201)</f>
        <v/>
      </c>
      <c r="J4201" s="35" t="str">
        <f aca="false">IF($A4201="","",IF(Setup!$B$6=1,YEAR($A4201),YEAR($A4201)+IF(MONTH($A4201)&gt;=Setup!$B$6,1,0)))</f>
        <v/>
      </c>
      <c r="K4201" s="35" t="str">
        <f aca="false">IF($A4201="","",MOD(MONTH($A4201)-Setup!$B$6+12,12)+1)</f>
        <v/>
      </c>
      <c r="L4201" s="36" t="str">
        <f aca="false">IF($A4201="","",TEXT($A4201,"MMM-YY"))</f>
        <v/>
      </c>
      <c r="M4201" s="37" t="str">
        <f aca="false">IF($A4201="","",IF($Q4201=0,"UNMAPPED",INDEX(COA_Mapping!$C$7:$C$256,$Q4201)))</f>
        <v/>
      </c>
      <c r="N4201" s="38" t="str">
        <f aca="false">IF($A4201="","",IF($Q4201=0,"",INDEX(COA_Mapping!$E$7:$E$256,$Q4201)))</f>
        <v/>
      </c>
      <c r="O4201" s="38" t="n">
        <f aca="false">IF($A4201="",1,IF($Q4201=0,1,INDEX(COA_Mapping!$F$7:$F$256,$Q4201)))</f>
        <v>1</v>
      </c>
      <c r="P4201" s="34" t="str">
        <f aca="false">IF($A4201="","",$I4201*$O4201)</f>
        <v/>
      </c>
      <c r="Q4201" s="39" t="n">
        <f aca="false">IF($B4201="",0,IFERROR(MATCH($B4201,COA_Mapping!$A$7:$A$256,0),0))</f>
        <v>0</v>
      </c>
      <c r="R4201" s="39" t="n">
        <f aca="false">IF($A4201="",-1,IF($J4201=Setup!$B$7,1,IF($J4201=Setup!$B$9,0,-1)))</f>
        <v>-1</v>
      </c>
      <c r="S4201" s="35" t="n">
        <f aca="false">IF(OR($A4201="",$Q4201=0,$R4201=-1),0,$Q4201*1000+$R4201*100+$K4201)</f>
        <v>0</v>
      </c>
      <c r="T4201" s="37" t="str">
        <f aca="false">IF($A4201="","",IF($B4201="","NO ACCOUNT",IF($Q4201=0,"UNMAPPED",IF($R4201=-1,"OUTSIDE FY RANGE","OK"))))</f>
        <v/>
      </c>
      <c r="U4201" s="40" t="str">
        <f aca="false">IF($A4201="","",$B4201&amp;"|"&amp;TEXT($A4201,"yyyymmdd")&amp;"|"&amp;TEXT($I4201,"0.00"))</f>
        <v/>
      </c>
      <c r="V4201" s="35" t="str">
        <f aca="false">IF($A4201="","",COUNTIF($U$8:$U$5007,$U4201))</f>
        <v/>
      </c>
    </row>
    <row r="4202" customFormat="false" ht="15" hidden="false" customHeight="false" outlineLevel="0" collapsed="false">
      <c r="A4202" s="31"/>
      <c r="B4202" s="32"/>
      <c r="C4202" s="32"/>
      <c r="D4202" s="32"/>
      <c r="E4202" s="32"/>
      <c r="F4202" s="32"/>
      <c r="G4202" s="33"/>
      <c r="H4202" s="33"/>
      <c r="I4202" s="34" t="str">
        <f aca="false">IF($A4202="","",$G4202-$H4202)</f>
        <v/>
      </c>
      <c r="J4202" s="35" t="str">
        <f aca="false">IF($A4202="","",IF(Setup!$B$6=1,YEAR($A4202),YEAR($A4202)+IF(MONTH($A4202)&gt;=Setup!$B$6,1,0)))</f>
        <v/>
      </c>
      <c r="K4202" s="35" t="str">
        <f aca="false">IF($A4202="","",MOD(MONTH($A4202)-Setup!$B$6+12,12)+1)</f>
        <v/>
      </c>
      <c r="L4202" s="36" t="str">
        <f aca="false">IF($A4202="","",TEXT($A4202,"MMM-YY"))</f>
        <v/>
      </c>
      <c r="M4202" s="37" t="str">
        <f aca="false">IF($A4202="","",IF($Q4202=0,"UNMAPPED",INDEX(COA_Mapping!$C$7:$C$256,$Q4202)))</f>
        <v/>
      </c>
      <c r="N4202" s="38" t="str">
        <f aca="false">IF($A4202="","",IF($Q4202=0,"",INDEX(COA_Mapping!$E$7:$E$256,$Q4202)))</f>
        <v/>
      </c>
      <c r="O4202" s="38" t="n">
        <f aca="false">IF($A4202="",1,IF($Q4202=0,1,INDEX(COA_Mapping!$F$7:$F$256,$Q4202)))</f>
        <v>1</v>
      </c>
      <c r="P4202" s="34" t="str">
        <f aca="false">IF($A4202="","",$I4202*$O4202)</f>
        <v/>
      </c>
      <c r="Q4202" s="39" t="n">
        <f aca="false">IF($B4202="",0,IFERROR(MATCH($B4202,COA_Mapping!$A$7:$A$256,0),0))</f>
        <v>0</v>
      </c>
      <c r="R4202" s="39" t="n">
        <f aca="false">IF($A4202="",-1,IF($J4202=Setup!$B$7,1,IF($J4202=Setup!$B$9,0,-1)))</f>
        <v>-1</v>
      </c>
      <c r="S4202" s="35" t="n">
        <f aca="false">IF(OR($A4202="",$Q4202=0,$R4202=-1),0,$Q4202*1000+$R4202*100+$K4202)</f>
        <v>0</v>
      </c>
      <c r="T4202" s="37" t="str">
        <f aca="false">IF($A4202="","",IF($B4202="","NO ACCOUNT",IF($Q4202=0,"UNMAPPED",IF($R4202=-1,"OUTSIDE FY RANGE","OK"))))</f>
        <v/>
      </c>
      <c r="U4202" s="40" t="str">
        <f aca="false">IF($A4202="","",$B4202&amp;"|"&amp;TEXT($A4202,"yyyymmdd")&amp;"|"&amp;TEXT($I4202,"0.00"))</f>
        <v/>
      </c>
      <c r="V4202" s="35" t="str">
        <f aca="false">IF($A4202="","",COUNTIF($U$8:$U$5007,$U4202))</f>
        <v/>
      </c>
    </row>
    <row r="4203" customFormat="false" ht="15" hidden="false" customHeight="false" outlineLevel="0" collapsed="false">
      <c r="A4203" s="31"/>
      <c r="B4203" s="32"/>
      <c r="C4203" s="32"/>
      <c r="D4203" s="32"/>
      <c r="E4203" s="32"/>
      <c r="F4203" s="32"/>
      <c r="G4203" s="33"/>
      <c r="H4203" s="33"/>
      <c r="I4203" s="34" t="str">
        <f aca="false">IF($A4203="","",$G4203-$H4203)</f>
        <v/>
      </c>
      <c r="J4203" s="35" t="str">
        <f aca="false">IF($A4203="","",IF(Setup!$B$6=1,YEAR($A4203),YEAR($A4203)+IF(MONTH($A4203)&gt;=Setup!$B$6,1,0)))</f>
        <v/>
      </c>
      <c r="K4203" s="35" t="str">
        <f aca="false">IF($A4203="","",MOD(MONTH($A4203)-Setup!$B$6+12,12)+1)</f>
        <v/>
      </c>
      <c r="L4203" s="36" t="str">
        <f aca="false">IF($A4203="","",TEXT($A4203,"MMM-YY"))</f>
        <v/>
      </c>
      <c r="M4203" s="37" t="str">
        <f aca="false">IF($A4203="","",IF($Q4203=0,"UNMAPPED",INDEX(COA_Mapping!$C$7:$C$256,$Q4203)))</f>
        <v/>
      </c>
      <c r="N4203" s="38" t="str">
        <f aca="false">IF($A4203="","",IF($Q4203=0,"",INDEX(COA_Mapping!$E$7:$E$256,$Q4203)))</f>
        <v/>
      </c>
      <c r="O4203" s="38" t="n">
        <f aca="false">IF($A4203="",1,IF($Q4203=0,1,INDEX(COA_Mapping!$F$7:$F$256,$Q4203)))</f>
        <v>1</v>
      </c>
      <c r="P4203" s="34" t="str">
        <f aca="false">IF($A4203="","",$I4203*$O4203)</f>
        <v/>
      </c>
      <c r="Q4203" s="39" t="n">
        <f aca="false">IF($B4203="",0,IFERROR(MATCH($B4203,COA_Mapping!$A$7:$A$256,0),0))</f>
        <v>0</v>
      </c>
      <c r="R4203" s="39" t="n">
        <f aca="false">IF($A4203="",-1,IF($J4203=Setup!$B$7,1,IF($J4203=Setup!$B$9,0,-1)))</f>
        <v>-1</v>
      </c>
      <c r="S4203" s="35" t="n">
        <f aca="false">IF(OR($A4203="",$Q4203=0,$R4203=-1),0,$Q4203*1000+$R4203*100+$K4203)</f>
        <v>0</v>
      </c>
      <c r="T4203" s="37" t="str">
        <f aca="false">IF($A4203="","",IF($B4203="","NO ACCOUNT",IF($Q4203=0,"UNMAPPED",IF($R4203=-1,"OUTSIDE FY RANGE","OK"))))</f>
        <v/>
      </c>
      <c r="U4203" s="40" t="str">
        <f aca="false">IF($A4203="","",$B4203&amp;"|"&amp;TEXT($A4203,"yyyymmdd")&amp;"|"&amp;TEXT($I4203,"0.00"))</f>
        <v/>
      </c>
      <c r="V4203" s="35" t="str">
        <f aca="false">IF($A4203="","",COUNTIF($U$8:$U$5007,$U4203))</f>
        <v/>
      </c>
    </row>
    <row r="4204" customFormat="false" ht="15" hidden="false" customHeight="false" outlineLevel="0" collapsed="false">
      <c r="A4204" s="31"/>
      <c r="B4204" s="32"/>
      <c r="C4204" s="32"/>
      <c r="D4204" s="32"/>
      <c r="E4204" s="32"/>
      <c r="F4204" s="32"/>
      <c r="G4204" s="33"/>
      <c r="H4204" s="33"/>
      <c r="I4204" s="34" t="str">
        <f aca="false">IF($A4204="","",$G4204-$H4204)</f>
        <v/>
      </c>
      <c r="J4204" s="35" t="str">
        <f aca="false">IF($A4204="","",IF(Setup!$B$6=1,YEAR($A4204),YEAR($A4204)+IF(MONTH($A4204)&gt;=Setup!$B$6,1,0)))</f>
        <v/>
      </c>
      <c r="K4204" s="35" t="str">
        <f aca="false">IF($A4204="","",MOD(MONTH($A4204)-Setup!$B$6+12,12)+1)</f>
        <v/>
      </c>
      <c r="L4204" s="36" t="str">
        <f aca="false">IF($A4204="","",TEXT($A4204,"MMM-YY"))</f>
        <v/>
      </c>
      <c r="M4204" s="37" t="str">
        <f aca="false">IF($A4204="","",IF($Q4204=0,"UNMAPPED",INDEX(COA_Mapping!$C$7:$C$256,$Q4204)))</f>
        <v/>
      </c>
      <c r="N4204" s="38" t="str">
        <f aca="false">IF($A4204="","",IF($Q4204=0,"",INDEX(COA_Mapping!$E$7:$E$256,$Q4204)))</f>
        <v/>
      </c>
      <c r="O4204" s="38" t="n">
        <f aca="false">IF($A4204="",1,IF($Q4204=0,1,INDEX(COA_Mapping!$F$7:$F$256,$Q4204)))</f>
        <v>1</v>
      </c>
      <c r="P4204" s="34" t="str">
        <f aca="false">IF($A4204="","",$I4204*$O4204)</f>
        <v/>
      </c>
      <c r="Q4204" s="39" t="n">
        <f aca="false">IF($B4204="",0,IFERROR(MATCH($B4204,COA_Mapping!$A$7:$A$256,0),0))</f>
        <v>0</v>
      </c>
      <c r="R4204" s="39" t="n">
        <f aca="false">IF($A4204="",-1,IF($J4204=Setup!$B$7,1,IF($J4204=Setup!$B$9,0,-1)))</f>
        <v>-1</v>
      </c>
      <c r="S4204" s="35" t="n">
        <f aca="false">IF(OR($A4204="",$Q4204=0,$R4204=-1),0,$Q4204*1000+$R4204*100+$K4204)</f>
        <v>0</v>
      </c>
      <c r="T4204" s="37" t="str">
        <f aca="false">IF($A4204="","",IF($B4204="","NO ACCOUNT",IF($Q4204=0,"UNMAPPED",IF($R4204=-1,"OUTSIDE FY RANGE","OK"))))</f>
        <v/>
      </c>
      <c r="U4204" s="40" t="str">
        <f aca="false">IF($A4204="","",$B4204&amp;"|"&amp;TEXT($A4204,"yyyymmdd")&amp;"|"&amp;TEXT($I4204,"0.00"))</f>
        <v/>
      </c>
      <c r="V4204" s="35" t="str">
        <f aca="false">IF($A4204="","",COUNTIF($U$8:$U$5007,$U4204))</f>
        <v/>
      </c>
    </row>
    <row r="4205" customFormat="false" ht="15" hidden="false" customHeight="false" outlineLevel="0" collapsed="false">
      <c r="A4205" s="31"/>
      <c r="B4205" s="32"/>
      <c r="C4205" s="32"/>
      <c r="D4205" s="32"/>
      <c r="E4205" s="32"/>
      <c r="F4205" s="32"/>
      <c r="G4205" s="33"/>
      <c r="H4205" s="33"/>
      <c r="I4205" s="34" t="str">
        <f aca="false">IF($A4205="","",$G4205-$H4205)</f>
        <v/>
      </c>
      <c r="J4205" s="35" t="str">
        <f aca="false">IF($A4205="","",IF(Setup!$B$6=1,YEAR($A4205),YEAR($A4205)+IF(MONTH($A4205)&gt;=Setup!$B$6,1,0)))</f>
        <v/>
      </c>
      <c r="K4205" s="35" t="str">
        <f aca="false">IF($A4205="","",MOD(MONTH($A4205)-Setup!$B$6+12,12)+1)</f>
        <v/>
      </c>
      <c r="L4205" s="36" t="str">
        <f aca="false">IF($A4205="","",TEXT($A4205,"MMM-YY"))</f>
        <v/>
      </c>
      <c r="M4205" s="37" t="str">
        <f aca="false">IF($A4205="","",IF($Q4205=0,"UNMAPPED",INDEX(COA_Mapping!$C$7:$C$256,$Q4205)))</f>
        <v/>
      </c>
      <c r="N4205" s="38" t="str">
        <f aca="false">IF($A4205="","",IF($Q4205=0,"",INDEX(COA_Mapping!$E$7:$E$256,$Q4205)))</f>
        <v/>
      </c>
      <c r="O4205" s="38" t="n">
        <f aca="false">IF($A4205="",1,IF($Q4205=0,1,INDEX(COA_Mapping!$F$7:$F$256,$Q4205)))</f>
        <v>1</v>
      </c>
      <c r="P4205" s="34" t="str">
        <f aca="false">IF($A4205="","",$I4205*$O4205)</f>
        <v/>
      </c>
      <c r="Q4205" s="39" t="n">
        <f aca="false">IF($B4205="",0,IFERROR(MATCH($B4205,COA_Mapping!$A$7:$A$256,0),0))</f>
        <v>0</v>
      </c>
      <c r="R4205" s="39" t="n">
        <f aca="false">IF($A4205="",-1,IF($J4205=Setup!$B$7,1,IF($J4205=Setup!$B$9,0,-1)))</f>
        <v>-1</v>
      </c>
      <c r="S4205" s="35" t="n">
        <f aca="false">IF(OR($A4205="",$Q4205=0,$R4205=-1),0,$Q4205*1000+$R4205*100+$K4205)</f>
        <v>0</v>
      </c>
      <c r="T4205" s="37" t="str">
        <f aca="false">IF($A4205="","",IF($B4205="","NO ACCOUNT",IF($Q4205=0,"UNMAPPED",IF($R4205=-1,"OUTSIDE FY RANGE","OK"))))</f>
        <v/>
      </c>
      <c r="U4205" s="40" t="str">
        <f aca="false">IF($A4205="","",$B4205&amp;"|"&amp;TEXT($A4205,"yyyymmdd")&amp;"|"&amp;TEXT($I4205,"0.00"))</f>
        <v/>
      </c>
      <c r="V4205" s="35" t="str">
        <f aca="false">IF($A4205="","",COUNTIF($U$8:$U$5007,$U4205))</f>
        <v/>
      </c>
    </row>
    <row r="4206" customFormat="false" ht="15" hidden="false" customHeight="false" outlineLevel="0" collapsed="false">
      <c r="A4206" s="31"/>
      <c r="B4206" s="32"/>
      <c r="C4206" s="32"/>
      <c r="D4206" s="32"/>
      <c r="E4206" s="32"/>
      <c r="F4206" s="32"/>
      <c r="G4206" s="33"/>
      <c r="H4206" s="33"/>
      <c r="I4206" s="34" t="str">
        <f aca="false">IF($A4206="","",$G4206-$H4206)</f>
        <v/>
      </c>
      <c r="J4206" s="35" t="str">
        <f aca="false">IF($A4206="","",IF(Setup!$B$6=1,YEAR($A4206),YEAR($A4206)+IF(MONTH($A4206)&gt;=Setup!$B$6,1,0)))</f>
        <v/>
      </c>
      <c r="K4206" s="35" t="str">
        <f aca="false">IF($A4206="","",MOD(MONTH($A4206)-Setup!$B$6+12,12)+1)</f>
        <v/>
      </c>
      <c r="L4206" s="36" t="str">
        <f aca="false">IF($A4206="","",TEXT($A4206,"MMM-YY"))</f>
        <v/>
      </c>
      <c r="M4206" s="37" t="str">
        <f aca="false">IF($A4206="","",IF($Q4206=0,"UNMAPPED",INDEX(COA_Mapping!$C$7:$C$256,$Q4206)))</f>
        <v/>
      </c>
      <c r="N4206" s="38" t="str">
        <f aca="false">IF($A4206="","",IF($Q4206=0,"",INDEX(COA_Mapping!$E$7:$E$256,$Q4206)))</f>
        <v/>
      </c>
      <c r="O4206" s="38" t="n">
        <f aca="false">IF($A4206="",1,IF($Q4206=0,1,INDEX(COA_Mapping!$F$7:$F$256,$Q4206)))</f>
        <v>1</v>
      </c>
      <c r="P4206" s="34" t="str">
        <f aca="false">IF($A4206="","",$I4206*$O4206)</f>
        <v/>
      </c>
      <c r="Q4206" s="39" t="n">
        <f aca="false">IF($B4206="",0,IFERROR(MATCH($B4206,COA_Mapping!$A$7:$A$256,0),0))</f>
        <v>0</v>
      </c>
      <c r="R4206" s="39" t="n">
        <f aca="false">IF($A4206="",-1,IF($J4206=Setup!$B$7,1,IF($J4206=Setup!$B$9,0,-1)))</f>
        <v>-1</v>
      </c>
      <c r="S4206" s="35" t="n">
        <f aca="false">IF(OR($A4206="",$Q4206=0,$R4206=-1),0,$Q4206*1000+$R4206*100+$K4206)</f>
        <v>0</v>
      </c>
      <c r="T4206" s="37" t="str">
        <f aca="false">IF($A4206="","",IF($B4206="","NO ACCOUNT",IF($Q4206=0,"UNMAPPED",IF($R4206=-1,"OUTSIDE FY RANGE","OK"))))</f>
        <v/>
      </c>
      <c r="U4206" s="40" t="str">
        <f aca="false">IF($A4206="","",$B4206&amp;"|"&amp;TEXT($A4206,"yyyymmdd")&amp;"|"&amp;TEXT($I4206,"0.00"))</f>
        <v/>
      </c>
      <c r="V4206" s="35" t="str">
        <f aca="false">IF($A4206="","",COUNTIF($U$8:$U$5007,$U4206))</f>
        <v/>
      </c>
    </row>
    <row r="4207" customFormat="false" ht="15" hidden="false" customHeight="false" outlineLevel="0" collapsed="false">
      <c r="A4207" s="31"/>
      <c r="B4207" s="32"/>
      <c r="C4207" s="32"/>
      <c r="D4207" s="32"/>
      <c r="E4207" s="32"/>
      <c r="F4207" s="32"/>
      <c r="G4207" s="33"/>
      <c r="H4207" s="33"/>
      <c r="I4207" s="34" t="str">
        <f aca="false">IF($A4207="","",$G4207-$H4207)</f>
        <v/>
      </c>
      <c r="J4207" s="35" t="str">
        <f aca="false">IF($A4207="","",IF(Setup!$B$6=1,YEAR($A4207),YEAR($A4207)+IF(MONTH($A4207)&gt;=Setup!$B$6,1,0)))</f>
        <v/>
      </c>
      <c r="K4207" s="35" t="str">
        <f aca="false">IF($A4207="","",MOD(MONTH($A4207)-Setup!$B$6+12,12)+1)</f>
        <v/>
      </c>
      <c r="L4207" s="36" t="str">
        <f aca="false">IF($A4207="","",TEXT($A4207,"MMM-YY"))</f>
        <v/>
      </c>
      <c r="M4207" s="37" t="str">
        <f aca="false">IF($A4207="","",IF($Q4207=0,"UNMAPPED",INDEX(COA_Mapping!$C$7:$C$256,$Q4207)))</f>
        <v/>
      </c>
      <c r="N4207" s="38" t="str">
        <f aca="false">IF($A4207="","",IF($Q4207=0,"",INDEX(COA_Mapping!$E$7:$E$256,$Q4207)))</f>
        <v/>
      </c>
      <c r="O4207" s="38" t="n">
        <f aca="false">IF($A4207="",1,IF($Q4207=0,1,INDEX(COA_Mapping!$F$7:$F$256,$Q4207)))</f>
        <v>1</v>
      </c>
      <c r="P4207" s="34" t="str">
        <f aca="false">IF($A4207="","",$I4207*$O4207)</f>
        <v/>
      </c>
      <c r="Q4207" s="39" t="n">
        <f aca="false">IF($B4207="",0,IFERROR(MATCH($B4207,COA_Mapping!$A$7:$A$256,0),0))</f>
        <v>0</v>
      </c>
      <c r="R4207" s="39" t="n">
        <f aca="false">IF($A4207="",-1,IF($J4207=Setup!$B$7,1,IF($J4207=Setup!$B$9,0,-1)))</f>
        <v>-1</v>
      </c>
      <c r="S4207" s="35" t="n">
        <f aca="false">IF(OR($A4207="",$Q4207=0,$R4207=-1),0,$Q4207*1000+$R4207*100+$K4207)</f>
        <v>0</v>
      </c>
      <c r="T4207" s="37" t="str">
        <f aca="false">IF($A4207="","",IF($B4207="","NO ACCOUNT",IF($Q4207=0,"UNMAPPED",IF($R4207=-1,"OUTSIDE FY RANGE","OK"))))</f>
        <v/>
      </c>
      <c r="U4207" s="40" t="str">
        <f aca="false">IF($A4207="","",$B4207&amp;"|"&amp;TEXT($A4207,"yyyymmdd")&amp;"|"&amp;TEXT($I4207,"0.00"))</f>
        <v/>
      </c>
      <c r="V4207" s="35" t="str">
        <f aca="false">IF($A4207="","",COUNTIF($U$8:$U$5007,$U4207))</f>
        <v/>
      </c>
    </row>
    <row r="4208" customFormat="false" ht="15" hidden="false" customHeight="false" outlineLevel="0" collapsed="false">
      <c r="A4208" s="31"/>
      <c r="B4208" s="32"/>
      <c r="C4208" s="32"/>
      <c r="D4208" s="32"/>
      <c r="E4208" s="32"/>
      <c r="F4208" s="32"/>
      <c r="G4208" s="33"/>
      <c r="H4208" s="33"/>
      <c r="I4208" s="34" t="str">
        <f aca="false">IF($A4208="","",$G4208-$H4208)</f>
        <v/>
      </c>
      <c r="J4208" s="35" t="str">
        <f aca="false">IF($A4208="","",IF(Setup!$B$6=1,YEAR($A4208),YEAR($A4208)+IF(MONTH($A4208)&gt;=Setup!$B$6,1,0)))</f>
        <v/>
      </c>
      <c r="K4208" s="35" t="str">
        <f aca="false">IF($A4208="","",MOD(MONTH($A4208)-Setup!$B$6+12,12)+1)</f>
        <v/>
      </c>
      <c r="L4208" s="36" t="str">
        <f aca="false">IF($A4208="","",TEXT($A4208,"MMM-YY"))</f>
        <v/>
      </c>
      <c r="M4208" s="37" t="str">
        <f aca="false">IF($A4208="","",IF($Q4208=0,"UNMAPPED",INDEX(COA_Mapping!$C$7:$C$256,$Q4208)))</f>
        <v/>
      </c>
      <c r="N4208" s="38" t="str">
        <f aca="false">IF($A4208="","",IF($Q4208=0,"",INDEX(COA_Mapping!$E$7:$E$256,$Q4208)))</f>
        <v/>
      </c>
      <c r="O4208" s="38" t="n">
        <f aca="false">IF($A4208="",1,IF($Q4208=0,1,INDEX(COA_Mapping!$F$7:$F$256,$Q4208)))</f>
        <v>1</v>
      </c>
      <c r="P4208" s="34" t="str">
        <f aca="false">IF($A4208="","",$I4208*$O4208)</f>
        <v/>
      </c>
      <c r="Q4208" s="39" t="n">
        <f aca="false">IF($B4208="",0,IFERROR(MATCH($B4208,COA_Mapping!$A$7:$A$256,0),0))</f>
        <v>0</v>
      </c>
      <c r="R4208" s="39" t="n">
        <f aca="false">IF($A4208="",-1,IF($J4208=Setup!$B$7,1,IF($J4208=Setup!$B$9,0,-1)))</f>
        <v>-1</v>
      </c>
      <c r="S4208" s="35" t="n">
        <f aca="false">IF(OR($A4208="",$Q4208=0,$R4208=-1),0,$Q4208*1000+$R4208*100+$K4208)</f>
        <v>0</v>
      </c>
      <c r="T4208" s="37" t="str">
        <f aca="false">IF($A4208="","",IF($B4208="","NO ACCOUNT",IF($Q4208=0,"UNMAPPED",IF($R4208=-1,"OUTSIDE FY RANGE","OK"))))</f>
        <v/>
      </c>
      <c r="U4208" s="40" t="str">
        <f aca="false">IF($A4208="","",$B4208&amp;"|"&amp;TEXT($A4208,"yyyymmdd")&amp;"|"&amp;TEXT($I4208,"0.00"))</f>
        <v/>
      </c>
      <c r="V4208" s="35" t="str">
        <f aca="false">IF($A4208="","",COUNTIF($U$8:$U$5007,$U4208))</f>
        <v/>
      </c>
    </row>
    <row r="4209" customFormat="false" ht="15" hidden="false" customHeight="false" outlineLevel="0" collapsed="false">
      <c r="A4209" s="31"/>
      <c r="B4209" s="32"/>
      <c r="C4209" s="32"/>
      <c r="D4209" s="32"/>
      <c r="E4209" s="32"/>
      <c r="F4209" s="32"/>
      <c r="G4209" s="33"/>
      <c r="H4209" s="33"/>
      <c r="I4209" s="34" t="str">
        <f aca="false">IF($A4209="","",$G4209-$H4209)</f>
        <v/>
      </c>
      <c r="J4209" s="35" t="str">
        <f aca="false">IF($A4209="","",IF(Setup!$B$6=1,YEAR($A4209),YEAR($A4209)+IF(MONTH($A4209)&gt;=Setup!$B$6,1,0)))</f>
        <v/>
      </c>
      <c r="K4209" s="35" t="str">
        <f aca="false">IF($A4209="","",MOD(MONTH($A4209)-Setup!$B$6+12,12)+1)</f>
        <v/>
      </c>
      <c r="L4209" s="36" t="str">
        <f aca="false">IF($A4209="","",TEXT($A4209,"MMM-YY"))</f>
        <v/>
      </c>
      <c r="M4209" s="37" t="str">
        <f aca="false">IF($A4209="","",IF($Q4209=0,"UNMAPPED",INDEX(COA_Mapping!$C$7:$C$256,$Q4209)))</f>
        <v/>
      </c>
      <c r="N4209" s="38" t="str">
        <f aca="false">IF($A4209="","",IF($Q4209=0,"",INDEX(COA_Mapping!$E$7:$E$256,$Q4209)))</f>
        <v/>
      </c>
      <c r="O4209" s="38" t="n">
        <f aca="false">IF($A4209="",1,IF($Q4209=0,1,INDEX(COA_Mapping!$F$7:$F$256,$Q4209)))</f>
        <v>1</v>
      </c>
      <c r="P4209" s="34" t="str">
        <f aca="false">IF($A4209="","",$I4209*$O4209)</f>
        <v/>
      </c>
      <c r="Q4209" s="39" t="n">
        <f aca="false">IF($B4209="",0,IFERROR(MATCH($B4209,COA_Mapping!$A$7:$A$256,0),0))</f>
        <v>0</v>
      </c>
      <c r="R4209" s="39" t="n">
        <f aca="false">IF($A4209="",-1,IF($J4209=Setup!$B$7,1,IF($J4209=Setup!$B$9,0,-1)))</f>
        <v>-1</v>
      </c>
      <c r="S4209" s="35" t="n">
        <f aca="false">IF(OR($A4209="",$Q4209=0,$R4209=-1),0,$Q4209*1000+$R4209*100+$K4209)</f>
        <v>0</v>
      </c>
      <c r="T4209" s="37" t="str">
        <f aca="false">IF($A4209="","",IF($B4209="","NO ACCOUNT",IF($Q4209=0,"UNMAPPED",IF($R4209=-1,"OUTSIDE FY RANGE","OK"))))</f>
        <v/>
      </c>
      <c r="U4209" s="40" t="str">
        <f aca="false">IF($A4209="","",$B4209&amp;"|"&amp;TEXT($A4209,"yyyymmdd")&amp;"|"&amp;TEXT($I4209,"0.00"))</f>
        <v/>
      </c>
      <c r="V4209" s="35" t="str">
        <f aca="false">IF($A4209="","",COUNTIF($U$8:$U$5007,$U4209))</f>
        <v/>
      </c>
    </row>
    <row r="4210" customFormat="false" ht="15" hidden="false" customHeight="false" outlineLevel="0" collapsed="false">
      <c r="A4210" s="31"/>
      <c r="B4210" s="32"/>
      <c r="C4210" s="32"/>
      <c r="D4210" s="32"/>
      <c r="E4210" s="32"/>
      <c r="F4210" s="32"/>
      <c r="G4210" s="33"/>
      <c r="H4210" s="33"/>
      <c r="I4210" s="34" t="str">
        <f aca="false">IF($A4210="","",$G4210-$H4210)</f>
        <v/>
      </c>
      <c r="J4210" s="35" t="str">
        <f aca="false">IF($A4210="","",IF(Setup!$B$6=1,YEAR($A4210),YEAR($A4210)+IF(MONTH($A4210)&gt;=Setup!$B$6,1,0)))</f>
        <v/>
      </c>
      <c r="K4210" s="35" t="str">
        <f aca="false">IF($A4210="","",MOD(MONTH($A4210)-Setup!$B$6+12,12)+1)</f>
        <v/>
      </c>
      <c r="L4210" s="36" t="str">
        <f aca="false">IF($A4210="","",TEXT($A4210,"MMM-YY"))</f>
        <v/>
      </c>
      <c r="M4210" s="37" t="str">
        <f aca="false">IF($A4210="","",IF($Q4210=0,"UNMAPPED",INDEX(COA_Mapping!$C$7:$C$256,$Q4210)))</f>
        <v/>
      </c>
      <c r="N4210" s="38" t="str">
        <f aca="false">IF($A4210="","",IF($Q4210=0,"",INDEX(COA_Mapping!$E$7:$E$256,$Q4210)))</f>
        <v/>
      </c>
      <c r="O4210" s="38" t="n">
        <f aca="false">IF($A4210="",1,IF($Q4210=0,1,INDEX(COA_Mapping!$F$7:$F$256,$Q4210)))</f>
        <v>1</v>
      </c>
      <c r="P4210" s="34" t="str">
        <f aca="false">IF($A4210="","",$I4210*$O4210)</f>
        <v/>
      </c>
      <c r="Q4210" s="39" t="n">
        <f aca="false">IF($B4210="",0,IFERROR(MATCH($B4210,COA_Mapping!$A$7:$A$256,0),0))</f>
        <v>0</v>
      </c>
      <c r="R4210" s="39" t="n">
        <f aca="false">IF($A4210="",-1,IF($J4210=Setup!$B$7,1,IF($J4210=Setup!$B$9,0,-1)))</f>
        <v>-1</v>
      </c>
      <c r="S4210" s="35" t="n">
        <f aca="false">IF(OR($A4210="",$Q4210=0,$R4210=-1),0,$Q4210*1000+$R4210*100+$K4210)</f>
        <v>0</v>
      </c>
      <c r="T4210" s="37" t="str">
        <f aca="false">IF($A4210="","",IF($B4210="","NO ACCOUNT",IF($Q4210=0,"UNMAPPED",IF($R4210=-1,"OUTSIDE FY RANGE","OK"))))</f>
        <v/>
      </c>
      <c r="U4210" s="40" t="str">
        <f aca="false">IF($A4210="","",$B4210&amp;"|"&amp;TEXT($A4210,"yyyymmdd")&amp;"|"&amp;TEXT($I4210,"0.00"))</f>
        <v/>
      </c>
      <c r="V4210" s="35" t="str">
        <f aca="false">IF($A4210="","",COUNTIF($U$8:$U$5007,$U4210))</f>
        <v/>
      </c>
    </row>
    <row r="4211" customFormat="false" ht="15" hidden="false" customHeight="false" outlineLevel="0" collapsed="false">
      <c r="A4211" s="31"/>
      <c r="B4211" s="32"/>
      <c r="C4211" s="32"/>
      <c r="D4211" s="32"/>
      <c r="E4211" s="32"/>
      <c r="F4211" s="32"/>
      <c r="G4211" s="33"/>
      <c r="H4211" s="33"/>
      <c r="I4211" s="34" t="str">
        <f aca="false">IF($A4211="","",$G4211-$H4211)</f>
        <v/>
      </c>
      <c r="J4211" s="35" t="str">
        <f aca="false">IF($A4211="","",IF(Setup!$B$6=1,YEAR($A4211),YEAR($A4211)+IF(MONTH($A4211)&gt;=Setup!$B$6,1,0)))</f>
        <v/>
      </c>
      <c r="K4211" s="35" t="str">
        <f aca="false">IF($A4211="","",MOD(MONTH($A4211)-Setup!$B$6+12,12)+1)</f>
        <v/>
      </c>
      <c r="L4211" s="36" t="str">
        <f aca="false">IF($A4211="","",TEXT($A4211,"MMM-YY"))</f>
        <v/>
      </c>
      <c r="M4211" s="37" t="str">
        <f aca="false">IF($A4211="","",IF($Q4211=0,"UNMAPPED",INDEX(COA_Mapping!$C$7:$C$256,$Q4211)))</f>
        <v/>
      </c>
      <c r="N4211" s="38" t="str">
        <f aca="false">IF($A4211="","",IF($Q4211=0,"",INDEX(COA_Mapping!$E$7:$E$256,$Q4211)))</f>
        <v/>
      </c>
      <c r="O4211" s="38" t="n">
        <f aca="false">IF($A4211="",1,IF($Q4211=0,1,INDEX(COA_Mapping!$F$7:$F$256,$Q4211)))</f>
        <v>1</v>
      </c>
      <c r="P4211" s="34" t="str">
        <f aca="false">IF($A4211="","",$I4211*$O4211)</f>
        <v/>
      </c>
      <c r="Q4211" s="39" t="n">
        <f aca="false">IF($B4211="",0,IFERROR(MATCH($B4211,COA_Mapping!$A$7:$A$256,0),0))</f>
        <v>0</v>
      </c>
      <c r="R4211" s="39" t="n">
        <f aca="false">IF($A4211="",-1,IF($J4211=Setup!$B$7,1,IF($J4211=Setup!$B$9,0,-1)))</f>
        <v>-1</v>
      </c>
      <c r="S4211" s="35" t="n">
        <f aca="false">IF(OR($A4211="",$Q4211=0,$R4211=-1),0,$Q4211*1000+$R4211*100+$K4211)</f>
        <v>0</v>
      </c>
      <c r="T4211" s="37" t="str">
        <f aca="false">IF($A4211="","",IF($B4211="","NO ACCOUNT",IF($Q4211=0,"UNMAPPED",IF($R4211=-1,"OUTSIDE FY RANGE","OK"))))</f>
        <v/>
      </c>
      <c r="U4211" s="40" t="str">
        <f aca="false">IF($A4211="","",$B4211&amp;"|"&amp;TEXT($A4211,"yyyymmdd")&amp;"|"&amp;TEXT($I4211,"0.00"))</f>
        <v/>
      </c>
      <c r="V4211" s="35" t="str">
        <f aca="false">IF($A4211="","",COUNTIF($U$8:$U$5007,$U4211))</f>
        <v/>
      </c>
    </row>
    <row r="4212" customFormat="false" ht="15" hidden="false" customHeight="false" outlineLevel="0" collapsed="false">
      <c r="A4212" s="31"/>
      <c r="B4212" s="32"/>
      <c r="C4212" s="32"/>
      <c r="D4212" s="32"/>
      <c r="E4212" s="32"/>
      <c r="F4212" s="32"/>
      <c r="G4212" s="33"/>
      <c r="H4212" s="33"/>
      <c r="I4212" s="34" t="str">
        <f aca="false">IF($A4212="","",$G4212-$H4212)</f>
        <v/>
      </c>
      <c r="J4212" s="35" t="str">
        <f aca="false">IF($A4212="","",IF(Setup!$B$6=1,YEAR($A4212),YEAR($A4212)+IF(MONTH($A4212)&gt;=Setup!$B$6,1,0)))</f>
        <v/>
      </c>
      <c r="K4212" s="35" t="str">
        <f aca="false">IF($A4212="","",MOD(MONTH($A4212)-Setup!$B$6+12,12)+1)</f>
        <v/>
      </c>
      <c r="L4212" s="36" t="str">
        <f aca="false">IF($A4212="","",TEXT($A4212,"MMM-YY"))</f>
        <v/>
      </c>
      <c r="M4212" s="37" t="str">
        <f aca="false">IF($A4212="","",IF($Q4212=0,"UNMAPPED",INDEX(COA_Mapping!$C$7:$C$256,$Q4212)))</f>
        <v/>
      </c>
      <c r="N4212" s="38" t="str">
        <f aca="false">IF($A4212="","",IF($Q4212=0,"",INDEX(COA_Mapping!$E$7:$E$256,$Q4212)))</f>
        <v/>
      </c>
      <c r="O4212" s="38" t="n">
        <f aca="false">IF($A4212="",1,IF($Q4212=0,1,INDEX(COA_Mapping!$F$7:$F$256,$Q4212)))</f>
        <v>1</v>
      </c>
      <c r="P4212" s="34" t="str">
        <f aca="false">IF($A4212="","",$I4212*$O4212)</f>
        <v/>
      </c>
      <c r="Q4212" s="39" t="n">
        <f aca="false">IF($B4212="",0,IFERROR(MATCH($B4212,COA_Mapping!$A$7:$A$256,0),0))</f>
        <v>0</v>
      </c>
      <c r="R4212" s="39" t="n">
        <f aca="false">IF($A4212="",-1,IF($J4212=Setup!$B$7,1,IF($J4212=Setup!$B$9,0,-1)))</f>
        <v>-1</v>
      </c>
      <c r="S4212" s="35" t="n">
        <f aca="false">IF(OR($A4212="",$Q4212=0,$R4212=-1),0,$Q4212*1000+$R4212*100+$K4212)</f>
        <v>0</v>
      </c>
      <c r="T4212" s="37" t="str">
        <f aca="false">IF($A4212="","",IF($B4212="","NO ACCOUNT",IF($Q4212=0,"UNMAPPED",IF($R4212=-1,"OUTSIDE FY RANGE","OK"))))</f>
        <v/>
      </c>
      <c r="U4212" s="40" t="str">
        <f aca="false">IF($A4212="","",$B4212&amp;"|"&amp;TEXT($A4212,"yyyymmdd")&amp;"|"&amp;TEXT($I4212,"0.00"))</f>
        <v/>
      </c>
      <c r="V4212" s="35" t="str">
        <f aca="false">IF($A4212="","",COUNTIF($U$8:$U$5007,$U4212))</f>
        <v/>
      </c>
    </row>
    <row r="4213" customFormat="false" ht="15" hidden="false" customHeight="false" outlineLevel="0" collapsed="false">
      <c r="A4213" s="31"/>
      <c r="B4213" s="32"/>
      <c r="C4213" s="32"/>
      <c r="D4213" s="32"/>
      <c r="E4213" s="32"/>
      <c r="F4213" s="32"/>
      <c r="G4213" s="33"/>
      <c r="H4213" s="33"/>
      <c r="I4213" s="34" t="str">
        <f aca="false">IF($A4213="","",$G4213-$H4213)</f>
        <v/>
      </c>
      <c r="J4213" s="35" t="str">
        <f aca="false">IF($A4213="","",IF(Setup!$B$6=1,YEAR($A4213),YEAR($A4213)+IF(MONTH($A4213)&gt;=Setup!$B$6,1,0)))</f>
        <v/>
      </c>
      <c r="K4213" s="35" t="str">
        <f aca="false">IF($A4213="","",MOD(MONTH($A4213)-Setup!$B$6+12,12)+1)</f>
        <v/>
      </c>
      <c r="L4213" s="36" t="str">
        <f aca="false">IF($A4213="","",TEXT($A4213,"MMM-YY"))</f>
        <v/>
      </c>
      <c r="M4213" s="37" t="str">
        <f aca="false">IF($A4213="","",IF($Q4213=0,"UNMAPPED",INDEX(COA_Mapping!$C$7:$C$256,$Q4213)))</f>
        <v/>
      </c>
      <c r="N4213" s="38" t="str">
        <f aca="false">IF($A4213="","",IF($Q4213=0,"",INDEX(COA_Mapping!$E$7:$E$256,$Q4213)))</f>
        <v/>
      </c>
      <c r="O4213" s="38" t="n">
        <f aca="false">IF($A4213="",1,IF($Q4213=0,1,INDEX(COA_Mapping!$F$7:$F$256,$Q4213)))</f>
        <v>1</v>
      </c>
      <c r="P4213" s="34" t="str">
        <f aca="false">IF($A4213="","",$I4213*$O4213)</f>
        <v/>
      </c>
      <c r="Q4213" s="39" t="n">
        <f aca="false">IF($B4213="",0,IFERROR(MATCH($B4213,COA_Mapping!$A$7:$A$256,0),0))</f>
        <v>0</v>
      </c>
      <c r="R4213" s="39" t="n">
        <f aca="false">IF($A4213="",-1,IF($J4213=Setup!$B$7,1,IF($J4213=Setup!$B$9,0,-1)))</f>
        <v>-1</v>
      </c>
      <c r="S4213" s="35" t="n">
        <f aca="false">IF(OR($A4213="",$Q4213=0,$R4213=-1),0,$Q4213*1000+$R4213*100+$K4213)</f>
        <v>0</v>
      </c>
      <c r="T4213" s="37" t="str">
        <f aca="false">IF($A4213="","",IF($B4213="","NO ACCOUNT",IF($Q4213=0,"UNMAPPED",IF($R4213=-1,"OUTSIDE FY RANGE","OK"))))</f>
        <v/>
      </c>
      <c r="U4213" s="40" t="str">
        <f aca="false">IF($A4213="","",$B4213&amp;"|"&amp;TEXT($A4213,"yyyymmdd")&amp;"|"&amp;TEXT($I4213,"0.00"))</f>
        <v/>
      </c>
      <c r="V4213" s="35" t="str">
        <f aca="false">IF($A4213="","",COUNTIF($U$8:$U$5007,$U4213))</f>
        <v/>
      </c>
    </row>
    <row r="4214" customFormat="false" ht="15" hidden="false" customHeight="false" outlineLevel="0" collapsed="false">
      <c r="A4214" s="31"/>
      <c r="B4214" s="32"/>
      <c r="C4214" s="32"/>
      <c r="D4214" s="32"/>
      <c r="E4214" s="32"/>
      <c r="F4214" s="32"/>
      <c r="G4214" s="33"/>
      <c r="H4214" s="33"/>
      <c r="I4214" s="34" t="str">
        <f aca="false">IF($A4214="","",$G4214-$H4214)</f>
        <v/>
      </c>
      <c r="J4214" s="35" t="str">
        <f aca="false">IF($A4214="","",IF(Setup!$B$6=1,YEAR($A4214),YEAR($A4214)+IF(MONTH($A4214)&gt;=Setup!$B$6,1,0)))</f>
        <v/>
      </c>
      <c r="K4214" s="35" t="str">
        <f aca="false">IF($A4214="","",MOD(MONTH($A4214)-Setup!$B$6+12,12)+1)</f>
        <v/>
      </c>
      <c r="L4214" s="36" t="str">
        <f aca="false">IF($A4214="","",TEXT($A4214,"MMM-YY"))</f>
        <v/>
      </c>
      <c r="M4214" s="37" t="str">
        <f aca="false">IF($A4214="","",IF($Q4214=0,"UNMAPPED",INDEX(COA_Mapping!$C$7:$C$256,$Q4214)))</f>
        <v/>
      </c>
      <c r="N4214" s="38" t="str">
        <f aca="false">IF($A4214="","",IF($Q4214=0,"",INDEX(COA_Mapping!$E$7:$E$256,$Q4214)))</f>
        <v/>
      </c>
      <c r="O4214" s="38" t="n">
        <f aca="false">IF($A4214="",1,IF($Q4214=0,1,INDEX(COA_Mapping!$F$7:$F$256,$Q4214)))</f>
        <v>1</v>
      </c>
      <c r="P4214" s="34" t="str">
        <f aca="false">IF($A4214="","",$I4214*$O4214)</f>
        <v/>
      </c>
      <c r="Q4214" s="39" t="n">
        <f aca="false">IF($B4214="",0,IFERROR(MATCH($B4214,COA_Mapping!$A$7:$A$256,0),0))</f>
        <v>0</v>
      </c>
      <c r="R4214" s="39" t="n">
        <f aca="false">IF($A4214="",-1,IF($J4214=Setup!$B$7,1,IF($J4214=Setup!$B$9,0,-1)))</f>
        <v>-1</v>
      </c>
      <c r="S4214" s="35" t="n">
        <f aca="false">IF(OR($A4214="",$Q4214=0,$R4214=-1),0,$Q4214*1000+$R4214*100+$K4214)</f>
        <v>0</v>
      </c>
      <c r="T4214" s="37" t="str">
        <f aca="false">IF($A4214="","",IF($B4214="","NO ACCOUNT",IF($Q4214=0,"UNMAPPED",IF($R4214=-1,"OUTSIDE FY RANGE","OK"))))</f>
        <v/>
      </c>
      <c r="U4214" s="40" t="str">
        <f aca="false">IF($A4214="","",$B4214&amp;"|"&amp;TEXT($A4214,"yyyymmdd")&amp;"|"&amp;TEXT($I4214,"0.00"))</f>
        <v/>
      </c>
      <c r="V4214" s="35" t="str">
        <f aca="false">IF($A4214="","",COUNTIF($U$8:$U$5007,$U4214))</f>
        <v/>
      </c>
    </row>
    <row r="4215" customFormat="false" ht="15" hidden="false" customHeight="false" outlineLevel="0" collapsed="false">
      <c r="A4215" s="31"/>
      <c r="B4215" s="32"/>
      <c r="C4215" s="32"/>
      <c r="D4215" s="32"/>
      <c r="E4215" s="32"/>
      <c r="F4215" s="32"/>
      <c r="G4215" s="33"/>
      <c r="H4215" s="33"/>
      <c r="I4215" s="34" t="str">
        <f aca="false">IF($A4215="","",$G4215-$H4215)</f>
        <v/>
      </c>
      <c r="J4215" s="35" t="str">
        <f aca="false">IF($A4215="","",IF(Setup!$B$6=1,YEAR($A4215),YEAR($A4215)+IF(MONTH($A4215)&gt;=Setup!$B$6,1,0)))</f>
        <v/>
      </c>
      <c r="K4215" s="35" t="str">
        <f aca="false">IF($A4215="","",MOD(MONTH($A4215)-Setup!$B$6+12,12)+1)</f>
        <v/>
      </c>
      <c r="L4215" s="36" t="str">
        <f aca="false">IF($A4215="","",TEXT($A4215,"MMM-YY"))</f>
        <v/>
      </c>
      <c r="M4215" s="37" t="str">
        <f aca="false">IF($A4215="","",IF($Q4215=0,"UNMAPPED",INDEX(COA_Mapping!$C$7:$C$256,$Q4215)))</f>
        <v/>
      </c>
      <c r="N4215" s="38" t="str">
        <f aca="false">IF($A4215="","",IF($Q4215=0,"",INDEX(COA_Mapping!$E$7:$E$256,$Q4215)))</f>
        <v/>
      </c>
      <c r="O4215" s="38" t="n">
        <f aca="false">IF($A4215="",1,IF($Q4215=0,1,INDEX(COA_Mapping!$F$7:$F$256,$Q4215)))</f>
        <v>1</v>
      </c>
      <c r="P4215" s="34" t="str">
        <f aca="false">IF($A4215="","",$I4215*$O4215)</f>
        <v/>
      </c>
      <c r="Q4215" s="39" t="n">
        <f aca="false">IF($B4215="",0,IFERROR(MATCH($B4215,COA_Mapping!$A$7:$A$256,0),0))</f>
        <v>0</v>
      </c>
      <c r="R4215" s="39" t="n">
        <f aca="false">IF($A4215="",-1,IF($J4215=Setup!$B$7,1,IF($J4215=Setup!$B$9,0,-1)))</f>
        <v>-1</v>
      </c>
      <c r="S4215" s="35" t="n">
        <f aca="false">IF(OR($A4215="",$Q4215=0,$R4215=-1),0,$Q4215*1000+$R4215*100+$K4215)</f>
        <v>0</v>
      </c>
      <c r="T4215" s="37" t="str">
        <f aca="false">IF($A4215="","",IF($B4215="","NO ACCOUNT",IF($Q4215=0,"UNMAPPED",IF($R4215=-1,"OUTSIDE FY RANGE","OK"))))</f>
        <v/>
      </c>
      <c r="U4215" s="40" t="str">
        <f aca="false">IF($A4215="","",$B4215&amp;"|"&amp;TEXT($A4215,"yyyymmdd")&amp;"|"&amp;TEXT($I4215,"0.00"))</f>
        <v/>
      </c>
      <c r="V4215" s="35" t="str">
        <f aca="false">IF($A4215="","",COUNTIF($U$8:$U$5007,$U4215))</f>
        <v/>
      </c>
    </row>
    <row r="4216" customFormat="false" ht="15" hidden="false" customHeight="false" outlineLevel="0" collapsed="false">
      <c r="A4216" s="31"/>
      <c r="B4216" s="32"/>
      <c r="C4216" s="32"/>
      <c r="D4216" s="32"/>
      <c r="E4216" s="32"/>
      <c r="F4216" s="32"/>
      <c r="G4216" s="33"/>
      <c r="H4216" s="33"/>
      <c r="I4216" s="34" t="str">
        <f aca="false">IF($A4216="","",$G4216-$H4216)</f>
        <v/>
      </c>
      <c r="J4216" s="35" t="str">
        <f aca="false">IF($A4216="","",IF(Setup!$B$6=1,YEAR($A4216),YEAR($A4216)+IF(MONTH($A4216)&gt;=Setup!$B$6,1,0)))</f>
        <v/>
      </c>
      <c r="K4216" s="35" t="str">
        <f aca="false">IF($A4216="","",MOD(MONTH($A4216)-Setup!$B$6+12,12)+1)</f>
        <v/>
      </c>
      <c r="L4216" s="36" t="str">
        <f aca="false">IF($A4216="","",TEXT($A4216,"MMM-YY"))</f>
        <v/>
      </c>
      <c r="M4216" s="37" t="str">
        <f aca="false">IF($A4216="","",IF($Q4216=0,"UNMAPPED",INDEX(COA_Mapping!$C$7:$C$256,$Q4216)))</f>
        <v/>
      </c>
      <c r="N4216" s="38" t="str">
        <f aca="false">IF($A4216="","",IF($Q4216=0,"",INDEX(COA_Mapping!$E$7:$E$256,$Q4216)))</f>
        <v/>
      </c>
      <c r="O4216" s="38" t="n">
        <f aca="false">IF($A4216="",1,IF($Q4216=0,1,INDEX(COA_Mapping!$F$7:$F$256,$Q4216)))</f>
        <v>1</v>
      </c>
      <c r="P4216" s="34" t="str">
        <f aca="false">IF($A4216="","",$I4216*$O4216)</f>
        <v/>
      </c>
      <c r="Q4216" s="39" t="n">
        <f aca="false">IF($B4216="",0,IFERROR(MATCH($B4216,COA_Mapping!$A$7:$A$256,0),0))</f>
        <v>0</v>
      </c>
      <c r="R4216" s="39" t="n">
        <f aca="false">IF($A4216="",-1,IF($J4216=Setup!$B$7,1,IF($J4216=Setup!$B$9,0,-1)))</f>
        <v>-1</v>
      </c>
      <c r="S4216" s="35" t="n">
        <f aca="false">IF(OR($A4216="",$Q4216=0,$R4216=-1),0,$Q4216*1000+$R4216*100+$K4216)</f>
        <v>0</v>
      </c>
      <c r="T4216" s="37" t="str">
        <f aca="false">IF($A4216="","",IF($B4216="","NO ACCOUNT",IF($Q4216=0,"UNMAPPED",IF($R4216=-1,"OUTSIDE FY RANGE","OK"))))</f>
        <v/>
      </c>
      <c r="U4216" s="40" t="str">
        <f aca="false">IF($A4216="","",$B4216&amp;"|"&amp;TEXT($A4216,"yyyymmdd")&amp;"|"&amp;TEXT($I4216,"0.00"))</f>
        <v/>
      </c>
      <c r="V4216" s="35" t="str">
        <f aca="false">IF($A4216="","",COUNTIF($U$8:$U$5007,$U4216))</f>
        <v/>
      </c>
    </row>
    <row r="4217" customFormat="false" ht="15" hidden="false" customHeight="false" outlineLevel="0" collapsed="false">
      <c r="A4217" s="31"/>
      <c r="B4217" s="32"/>
      <c r="C4217" s="32"/>
      <c r="D4217" s="32"/>
      <c r="E4217" s="32"/>
      <c r="F4217" s="32"/>
      <c r="G4217" s="33"/>
      <c r="H4217" s="33"/>
      <c r="I4217" s="34" t="str">
        <f aca="false">IF($A4217="","",$G4217-$H4217)</f>
        <v/>
      </c>
      <c r="J4217" s="35" t="str">
        <f aca="false">IF($A4217="","",IF(Setup!$B$6=1,YEAR($A4217),YEAR($A4217)+IF(MONTH($A4217)&gt;=Setup!$B$6,1,0)))</f>
        <v/>
      </c>
      <c r="K4217" s="35" t="str">
        <f aca="false">IF($A4217="","",MOD(MONTH($A4217)-Setup!$B$6+12,12)+1)</f>
        <v/>
      </c>
      <c r="L4217" s="36" t="str">
        <f aca="false">IF($A4217="","",TEXT($A4217,"MMM-YY"))</f>
        <v/>
      </c>
      <c r="M4217" s="37" t="str">
        <f aca="false">IF($A4217="","",IF($Q4217=0,"UNMAPPED",INDEX(COA_Mapping!$C$7:$C$256,$Q4217)))</f>
        <v/>
      </c>
      <c r="N4217" s="38" t="str">
        <f aca="false">IF($A4217="","",IF($Q4217=0,"",INDEX(COA_Mapping!$E$7:$E$256,$Q4217)))</f>
        <v/>
      </c>
      <c r="O4217" s="38" t="n">
        <f aca="false">IF($A4217="",1,IF($Q4217=0,1,INDEX(COA_Mapping!$F$7:$F$256,$Q4217)))</f>
        <v>1</v>
      </c>
      <c r="P4217" s="34" t="str">
        <f aca="false">IF($A4217="","",$I4217*$O4217)</f>
        <v/>
      </c>
      <c r="Q4217" s="39" t="n">
        <f aca="false">IF($B4217="",0,IFERROR(MATCH($B4217,COA_Mapping!$A$7:$A$256,0),0))</f>
        <v>0</v>
      </c>
      <c r="R4217" s="39" t="n">
        <f aca="false">IF($A4217="",-1,IF($J4217=Setup!$B$7,1,IF($J4217=Setup!$B$9,0,-1)))</f>
        <v>-1</v>
      </c>
      <c r="S4217" s="35" t="n">
        <f aca="false">IF(OR($A4217="",$Q4217=0,$R4217=-1),0,$Q4217*1000+$R4217*100+$K4217)</f>
        <v>0</v>
      </c>
      <c r="T4217" s="37" t="str">
        <f aca="false">IF($A4217="","",IF($B4217="","NO ACCOUNT",IF($Q4217=0,"UNMAPPED",IF($R4217=-1,"OUTSIDE FY RANGE","OK"))))</f>
        <v/>
      </c>
      <c r="U4217" s="40" t="str">
        <f aca="false">IF($A4217="","",$B4217&amp;"|"&amp;TEXT($A4217,"yyyymmdd")&amp;"|"&amp;TEXT($I4217,"0.00"))</f>
        <v/>
      </c>
      <c r="V4217" s="35" t="str">
        <f aca="false">IF($A4217="","",COUNTIF($U$8:$U$5007,$U4217))</f>
        <v/>
      </c>
    </row>
    <row r="4218" customFormat="false" ht="15" hidden="false" customHeight="false" outlineLevel="0" collapsed="false">
      <c r="A4218" s="31"/>
      <c r="B4218" s="32"/>
      <c r="C4218" s="32"/>
      <c r="D4218" s="32"/>
      <c r="E4218" s="32"/>
      <c r="F4218" s="32"/>
      <c r="G4218" s="33"/>
      <c r="H4218" s="33"/>
      <c r="I4218" s="34" t="str">
        <f aca="false">IF($A4218="","",$G4218-$H4218)</f>
        <v/>
      </c>
      <c r="J4218" s="35" t="str">
        <f aca="false">IF($A4218="","",IF(Setup!$B$6=1,YEAR($A4218),YEAR($A4218)+IF(MONTH($A4218)&gt;=Setup!$B$6,1,0)))</f>
        <v/>
      </c>
      <c r="K4218" s="35" t="str">
        <f aca="false">IF($A4218="","",MOD(MONTH($A4218)-Setup!$B$6+12,12)+1)</f>
        <v/>
      </c>
      <c r="L4218" s="36" t="str">
        <f aca="false">IF($A4218="","",TEXT($A4218,"MMM-YY"))</f>
        <v/>
      </c>
      <c r="M4218" s="37" t="str">
        <f aca="false">IF($A4218="","",IF($Q4218=0,"UNMAPPED",INDEX(COA_Mapping!$C$7:$C$256,$Q4218)))</f>
        <v/>
      </c>
      <c r="N4218" s="38" t="str">
        <f aca="false">IF($A4218="","",IF($Q4218=0,"",INDEX(COA_Mapping!$E$7:$E$256,$Q4218)))</f>
        <v/>
      </c>
      <c r="O4218" s="38" t="n">
        <f aca="false">IF($A4218="",1,IF($Q4218=0,1,INDEX(COA_Mapping!$F$7:$F$256,$Q4218)))</f>
        <v>1</v>
      </c>
      <c r="P4218" s="34" t="str">
        <f aca="false">IF($A4218="","",$I4218*$O4218)</f>
        <v/>
      </c>
      <c r="Q4218" s="39" t="n">
        <f aca="false">IF($B4218="",0,IFERROR(MATCH($B4218,COA_Mapping!$A$7:$A$256,0),0))</f>
        <v>0</v>
      </c>
      <c r="R4218" s="39" t="n">
        <f aca="false">IF($A4218="",-1,IF($J4218=Setup!$B$7,1,IF($J4218=Setup!$B$9,0,-1)))</f>
        <v>-1</v>
      </c>
      <c r="S4218" s="35" t="n">
        <f aca="false">IF(OR($A4218="",$Q4218=0,$R4218=-1),0,$Q4218*1000+$R4218*100+$K4218)</f>
        <v>0</v>
      </c>
      <c r="T4218" s="37" t="str">
        <f aca="false">IF($A4218="","",IF($B4218="","NO ACCOUNT",IF($Q4218=0,"UNMAPPED",IF($R4218=-1,"OUTSIDE FY RANGE","OK"))))</f>
        <v/>
      </c>
      <c r="U4218" s="40" t="str">
        <f aca="false">IF($A4218="","",$B4218&amp;"|"&amp;TEXT($A4218,"yyyymmdd")&amp;"|"&amp;TEXT($I4218,"0.00"))</f>
        <v/>
      </c>
      <c r="V4218" s="35" t="str">
        <f aca="false">IF($A4218="","",COUNTIF($U$8:$U$5007,$U4218))</f>
        <v/>
      </c>
    </row>
    <row r="4219" customFormat="false" ht="15" hidden="false" customHeight="false" outlineLevel="0" collapsed="false">
      <c r="A4219" s="31"/>
      <c r="B4219" s="32"/>
      <c r="C4219" s="32"/>
      <c r="D4219" s="32"/>
      <c r="E4219" s="32"/>
      <c r="F4219" s="32"/>
      <c r="G4219" s="33"/>
      <c r="H4219" s="33"/>
      <c r="I4219" s="34" t="str">
        <f aca="false">IF($A4219="","",$G4219-$H4219)</f>
        <v/>
      </c>
      <c r="J4219" s="35" t="str">
        <f aca="false">IF($A4219="","",IF(Setup!$B$6=1,YEAR($A4219),YEAR($A4219)+IF(MONTH($A4219)&gt;=Setup!$B$6,1,0)))</f>
        <v/>
      </c>
      <c r="K4219" s="35" t="str">
        <f aca="false">IF($A4219="","",MOD(MONTH($A4219)-Setup!$B$6+12,12)+1)</f>
        <v/>
      </c>
      <c r="L4219" s="36" t="str">
        <f aca="false">IF($A4219="","",TEXT($A4219,"MMM-YY"))</f>
        <v/>
      </c>
      <c r="M4219" s="37" t="str">
        <f aca="false">IF($A4219="","",IF($Q4219=0,"UNMAPPED",INDEX(COA_Mapping!$C$7:$C$256,$Q4219)))</f>
        <v/>
      </c>
      <c r="N4219" s="38" t="str">
        <f aca="false">IF($A4219="","",IF($Q4219=0,"",INDEX(COA_Mapping!$E$7:$E$256,$Q4219)))</f>
        <v/>
      </c>
      <c r="O4219" s="38" t="n">
        <f aca="false">IF($A4219="",1,IF($Q4219=0,1,INDEX(COA_Mapping!$F$7:$F$256,$Q4219)))</f>
        <v>1</v>
      </c>
      <c r="P4219" s="34" t="str">
        <f aca="false">IF($A4219="","",$I4219*$O4219)</f>
        <v/>
      </c>
      <c r="Q4219" s="39" t="n">
        <f aca="false">IF($B4219="",0,IFERROR(MATCH($B4219,COA_Mapping!$A$7:$A$256,0),0))</f>
        <v>0</v>
      </c>
      <c r="R4219" s="39" t="n">
        <f aca="false">IF($A4219="",-1,IF($J4219=Setup!$B$7,1,IF($J4219=Setup!$B$9,0,-1)))</f>
        <v>-1</v>
      </c>
      <c r="S4219" s="35" t="n">
        <f aca="false">IF(OR($A4219="",$Q4219=0,$R4219=-1),0,$Q4219*1000+$R4219*100+$K4219)</f>
        <v>0</v>
      </c>
      <c r="T4219" s="37" t="str">
        <f aca="false">IF($A4219="","",IF($B4219="","NO ACCOUNT",IF($Q4219=0,"UNMAPPED",IF($R4219=-1,"OUTSIDE FY RANGE","OK"))))</f>
        <v/>
      </c>
      <c r="U4219" s="40" t="str">
        <f aca="false">IF($A4219="","",$B4219&amp;"|"&amp;TEXT($A4219,"yyyymmdd")&amp;"|"&amp;TEXT($I4219,"0.00"))</f>
        <v/>
      </c>
      <c r="V4219" s="35" t="str">
        <f aca="false">IF($A4219="","",COUNTIF($U$8:$U$5007,$U4219))</f>
        <v/>
      </c>
    </row>
    <row r="4220" customFormat="false" ht="15" hidden="false" customHeight="false" outlineLevel="0" collapsed="false">
      <c r="A4220" s="31"/>
      <c r="B4220" s="32"/>
      <c r="C4220" s="32"/>
      <c r="D4220" s="32"/>
      <c r="E4220" s="32"/>
      <c r="F4220" s="32"/>
      <c r="G4220" s="33"/>
      <c r="H4220" s="33"/>
      <c r="I4220" s="34" t="str">
        <f aca="false">IF($A4220="","",$G4220-$H4220)</f>
        <v/>
      </c>
      <c r="J4220" s="35" t="str">
        <f aca="false">IF($A4220="","",IF(Setup!$B$6=1,YEAR($A4220),YEAR($A4220)+IF(MONTH($A4220)&gt;=Setup!$B$6,1,0)))</f>
        <v/>
      </c>
      <c r="K4220" s="35" t="str">
        <f aca="false">IF($A4220="","",MOD(MONTH($A4220)-Setup!$B$6+12,12)+1)</f>
        <v/>
      </c>
      <c r="L4220" s="36" t="str">
        <f aca="false">IF($A4220="","",TEXT($A4220,"MMM-YY"))</f>
        <v/>
      </c>
      <c r="M4220" s="37" t="str">
        <f aca="false">IF($A4220="","",IF($Q4220=0,"UNMAPPED",INDEX(COA_Mapping!$C$7:$C$256,$Q4220)))</f>
        <v/>
      </c>
      <c r="N4220" s="38" t="str">
        <f aca="false">IF($A4220="","",IF($Q4220=0,"",INDEX(COA_Mapping!$E$7:$E$256,$Q4220)))</f>
        <v/>
      </c>
      <c r="O4220" s="38" t="n">
        <f aca="false">IF($A4220="",1,IF($Q4220=0,1,INDEX(COA_Mapping!$F$7:$F$256,$Q4220)))</f>
        <v>1</v>
      </c>
      <c r="P4220" s="34" t="str">
        <f aca="false">IF($A4220="","",$I4220*$O4220)</f>
        <v/>
      </c>
      <c r="Q4220" s="39" t="n">
        <f aca="false">IF($B4220="",0,IFERROR(MATCH($B4220,COA_Mapping!$A$7:$A$256,0),0))</f>
        <v>0</v>
      </c>
      <c r="R4220" s="39" t="n">
        <f aca="false">IF($A4220="",-1,IF($J4220=Setup!$B$7,1,IF($J4220=Setup!$B$9,0,-1)))</f>
        <v>-1</v>
      </c>
      <c r="S4220" s="35" t="n">
        <f aca="false">IF(OR($A4220="",$Q4220=0,$R4220=-1),0,$Q4220*1000+$R4220*100+$K4220)</f>
        <v>0</v>
      </c>
      <c r="T4220" s="37" t="str">
        <f aca="false">IF($A4220="","",IF($B4220="","NO ACCOUNT",IF($Q4220=0,"UNMAPPED",IF($R4220=-1,"OUTSIDE FY RANGE","OK"))))</f>
        <v/>
      </c>
      <c r="U4220" s="40" t="str">
        <f aca="false">IF($A4220="","",$B4220&amp;"|"&amp;TEXT($A4220,"yyyymmdd")&amp;"|"&amp;TEXT($I4220,"0.00"))</f>
        <v/>
      </c>
      <c r="V4220" s="35" t="str">
        <f aca="false">IF($A4220="","",COUNTIF($U$8:$U$5007,$U4220))</f>
        <v/>
      </c>
    </row>
    <row r="4221" customFormat="false" ht="15" hidden="false" customHeight="false" outlineLevel="0" collapsed="false">
      <c r="A4221" s="31"/>
      <c r="B4221" s="32"/>
      <c r="C4221" s="32"/>
      <c r="D4221" s="32"/>
      <c r="E4221" s="32"/>
      <c r="F4221" s="32"/>
      <c r="G4221" s="33"/>
      <c r="H4221" s="33"/>
      <c r="I4221" s="34" t="str">
        <f aca="false">IF($A4221="","",$G4221-$H4221)</f>
        <v/>
      </c>
      <c r="J4221" s="35" t="str">
        <f aca="false">IF($A4221="","",IF(Setup!$B$6=1,YEAR($A4221),YEAR($A4221)+IF(MONTH($A4221)&gt;=Setup!$B$6,1,0)))</f>
        <v/>
      </c>
      <c r="K4221" s="35" t="str">
        <f aca="false">IF($A4221="","",MOD(MONTH($A4221)-Setup!$B$6+12,12)+1)</f>
        <v/>
      </c>
      <c r="L4221" s="36" t="str">
        <f aca="false">IF($A4221="","",TEXT($A4221,"MMM-YY"))</f>
        <v/>
      </c>
      <c r="M4221" s="37" t="str">
        <f aca="false">IF($A4221="","",IF($Q4221=0,"UNMAPPED",INDEX(COA_Mapping!$C$7:$C$256,$Q4221)))</f>
        <v/>
      </c>
      <c r="N4221" s="38" t="str">
        <f aca="false">IF($A4221="","",IF($Q4221=0,"",INDEX(COA_Mapping!$E$7:$E$256,$Q4221)))</f>
        <v/>
      </c>
      <c r="O4221" s="38" t="n">
        <f aca="false">IF($A4221="",1,IF($Q4221=0,1,INDEX(COA_Mapping!$F$7:$F$256,$Q4221)))</f>
        <v>1</v>
      </c>
      <c r="P4221" s="34" t="str">
        <f aca="false">IF($A4221="","",$I4221*$O4221)</f>
        <v/>
      </c>
      <c r="Q4221" s="39" t="n">
        <f aca="false">IF($B4221="",0,IFERROR(MATCH($B4221,COA_Mapping!$A$7:$A$256,0),0))</f>
        <v>0</v>
      </c>
      <c r="R4221" s="39" t="n">
        <f aca="false">IF($A4221="",-1,IF($J4221=Setup!$B$7,1,IF($J4221=Setup!$B$9,0,-1)))</f>
        <v>-1</v>
      </c>
      <c r="S4221" s="35" t="n">
        <f aca="false">IF(OR($A4221="",$Q4221=0,$R4221=-1),0,$Q4221*1000+$R4221*100+$K4221)</f>
        <v>0</v>
      </c>
      <c r="T4221" s="37" t="str">
        <f aca="false">IF($A4221="","",IF($B4221="","NO ACCOUNT",IF($Q4221=0,"UNMAPPED",IF($R4221=-1,"OUTSIDE FY RANGE","OK"))))</f>
        <v/>
      </c>
      <c r="U4221" s="40" t="str">
        <f aca="false">IF($A4221="","",$B4221&amp;"|"&amp;TEXT($A4221,"yyyymmdd")&amp;"|"&amp;TEXT($I4221,"0.00"))</f>
        <v/>
      </c>
      <c r="V4221" s="35" t="str">
        <f aca="false">IF($A4221="","",COUNTIF($U$8:$U$5007,$U4221))</f>
        <v/>
      </c>
    </row>
    <row r="4222" customFormat="false" ht="15" hidden="false" customHeight="false" outlineLevel="0" collapsed="false">
      <c r="A4222" s="31"/>
      <c r="B4222" s="32"/>
      <c r="C4222" s="32"/>
      <c r="D4222" s="32"/>
      <c r="E4222" s="32"/>
      <c r="F4222" s="32"/>
      <c r="G4222" s="33"/>
      <c r="H4222" s="33"/>
      <c r="I4222" s="34" t="str">
        <f aca="false">IF($A4222="","",$G4222-$H4222)</f>
        <v/>
      </c>
      <c r="J4222" s="35" t="str">
        <f aca="false">IF($A4222="","",IF(Setup!$B$6=1,YEAR($A4222),YEAR($A4222)+IF(MONTH($A4222)&gt;=Setup!$B$6,1,0)))</f>
        <v/>
      </c>
      <c r="K4222" s="35" t="str">
        <f aca="false">IF($A4222="","",MOD(MONTH($A4222)-Setup!$B$6+12,12)+1)</f>
        <v/>
      </c>
      <c r="L4222" s="36" t="str">
        <f aca="false">IF($A4222="","",TEXT($A4222,"MMM-YY"))</f>
        <v/>
      </c>
      <c r="M4222" s="37" t="str">
        <f aca="false">IF($A4222="","",IF($Q4222=0,"UNMAPPED",INDEX(COA_Mapping!$C$7:$C$256,$Q4222)))</f>
        <v/>
      </c>
      <c r="N4222" s="38" t="str">
        <f aca="false">IF($A4222="","",IF($Q4222=0,"",INDEX(COA_Mapping!$E$7:$E$256,$Q4222)))</f>
        <v/>
      </c>
      <c r="O4222" s="38" t="n">
        <f aca="false">IF($A4222="",1,IF($Q4222=0,1,INDEX(COA_Mapping!$F$7:$F$256,$Q4222)))</f>
        <v>1</v>
      </c>
      <c r="P4222" s="34" t="str">
        <f aca="false">IF($A4222="","",$I4222*$O4222)</f>
        <v/>
      </c>
      <c r="Q4222" s="39" t="n">
        <f aca="false">IF($B4222="",0,IFERROR(MATCH($B4222,COA_Mapping!$A$7:$A$256,0),0))</f>
        <v>0</v>
      </c>
      <c r="R4222" s="39" t="n">
        <f aca="false">IF($A4222="",-1,IF($J4222=Setup!$B$7,1,IF($J4222=Setup!$B$9,0,-1)))</f>
        <v>-1</v>
      </c>
      <c r="S4222" s="35" t="n">
        <f aca="false">IF(OR($A4222="",$Q4222=0,$R4222=-1),0,$Q4222*1000+$R4222*100+$K4222)</f>
        <v>0</v>
      </c>
      <c r="T4222" s="37" t="str">
        <f aca="false">IF($A4222="","",IF($B4222="","NO ACCOUNT",IF($Q4222=0,"UNMAPPED",IF($R4222=-1,"OUTSIDE FY RANGE","OK"))))</f>
        <v/>
      </c>
      <c r="U4222" s="40" t="str">
        <f aca="false">IF($A4222="","",$B4222&amp;"|"&amp;TEXT($A4222,"yyyymmdd")&amp;"|"&amp;TEXT($I4222,"0.00"))</f>
        <v/>
      </c>
      <c r="V4222" s="35" t="str">
        <f aca="false">IF($A4222="","",COUNTIF($U$8:$U$5007,$U4222))</f>
        <v/>
      </c>
    </row>
    <row r="4223" customFormat="false" ht="15" hidden="false" customHeight="false" outlineLevel="0" collapsed="false">
      <c r="A4223" s="31"/>
      <c r="B4223" s="32"/>
      <c r="C4223" s="32"/>
      <c r="D4223" s="32"/>
      <c r="E4223" s="32"/>
      <c r="F4223" s="32"/>
      <c r="G4223" s="33"/>
      <c r="H4223" s="33"/>
      <c r="I4223" s="34" t="str">
        <f aca="false">IF($A4223="","",$G4223-$H4223)</f>
        <v/>
      </c>
      <c r="J4223" s="35" t="str">
        <f aca="false">IF($A4223="","",IF(Setup!$B$6=1,YEAR($A4223),YEAR($A4223)+IF(MONTH($A4223)&gt;=Setup!$B$6,1,0)))</f>
        <v/>
      </c>
      <c r="K4223" s="35" t="str">
        <f aca="false">IF($A4223="","",MOD(MONTH($A4223)-Setup!$B$6+12,12)+1)</f>
        <v/>
      </c>
      <c r="L4223" s="36" t="str">
        <f aca="false">IF($A4223="","",TEXT($A4223,"MMM-YY"))</f>
        <v/>
      </c>
      <c r="M4223" s="37" t="str">
        <f aca="false">IF($A4223="","",IF($Q4223=0,"UNMAPPED",INDEX(COA_Mapping!$C$7:$C$256,$Q4223)))</f>
        <v/>
      </c>
      <c r="N4223" s="38" t="str">
        <f aca="false">IF($A4223="","",IF($Q4223=0,"",INDEX(COA_Mapping!$E$7:$E$256,$Q4223)))</f>
        <v/>
      </c>
      <c r="O4223" s="38" t="n">
        <f aca="false">IF($A4223="",1,IF($Q4223=0,1,INDEX(COA_Mapping!$F$7:$F$256,$Q4223)))</f>
        <v>1</v>
      </c>
      <c r="P4223" s="34" t="str">
        <f aca="false">IF($A4223="","",$I4223*$O4223)</f>
        <v/>
      </c>
      <c r="Q4223" s="39" t="n">
        <f aca="false">IF($B4223="",0,IFERROR(MATCH($B4223,COA_Mapping!$A$7:$A$256,0),0))</f>
        <v>0</v>
      </c>
      <c r="R4223" s="39" t="n">
        <f aca="false">IF($A4223="",-1,IF($J4223=Setup!$B$7,1,IF($J4223=Setup!$B$9,0,-1)))</f>
        <v>-1</v>
      </c>
      <c r="S4223" s="35" t="n">
        <f aca="false">IF(OR($A4223="",$Q4223=0,$R4223=-1),0,$Q4223*1000+$R4223*100+$K4223)</f>
        <v>0</v>
      </c>
      <c r="T4223" s="37" t="str">
        <f aca="false">IF($A4223="","",IF($B4223="","NO ACCOUNT",IF($Q4223=0,"UNMAPPED",IF($R4223=-1,"OUTSIDE FY RANGE","OK"))))</f>
        <v/>
      </c>
      <c r="U4223" s="40" t="str">
        <f aca="false">IF($A4223="","",$B4223&amp;"|"&amp;TEXT($A4223,"yyyymmdd")&amp;"|"&amp;TEXT($I4223,"0.00"))</f>
        <v/>
      </c>
      <c r="V4223" s="35" t="str">
        <f aca="false">IF($A4223="","",COUNTIF($U$8:$U$5007,$U4223))</f>
        <v/>
      </c>
    </row>
    <row r="4224" customFormat="false" ht="15" hidden="false" customHeight="false" outlineLevel="0" collapsed="false">
      <c r="A4224" s="31"/>
      <c r="B4224" s="32"/>
      <c r="C4224" s="32"/>
      <c r="D4224" s="32"/>
      <c r="E4224" s="32"/>
      <c r="F4224" s="32"/>
      <c r="G4224" s="33"/>
      <c r="H4224" s="33"/>
      <c r="I4224" s="34" t="str">
        <f aca="false">IF($A4224="","",$G4224-$H4224)</f>
        <v/>
      </c>
      <c r="J4224" s="35" t="str">
        <f aca="false">IF($A4224="","",IF(Setup!$B$6=1,YEAR($A4224),YEAR($A4224)+IF(MONTH($A4224)&gt;=Setup!$B$6,1,0)))</f>
        <v/>
      </c>
      <c r="K4224" s="35" t="str">
        <f aca="false">IF($A4224="","",MOD(MONTH($A4224)-Setup!$B$6+12,12)+1)</f>
        <v/>
      </c>
      <c r="L4224" s="36" t="str">
        <f aca="false">IF($A4224="","",TEXT($A4224,"MMM-YY"))</f>
        <v/>
      </c>
      <c r="M4224" s="37" t="str">
        <f aca="false">IF($A4224="","",IF($Q4224=0,"UNMAPPED",INDEX(COA_Mapping!$C$7:$C$256,$Q4224)))</f>
        <v/>
      </c>
      <c r="N4224" s="38" t="str">
        <f aca="false">IF($A4224="","",IF($Q4224=0,"",INDEX(COA_Mapping!$E$7:$E$256,$Q4224)))</f>
        <v/>
      </c>
      <c r="O4224" s="38" t="n">
        <f aca="false">IF($A4224="",1,IF($Q4224=0,1,INDEX(COA_Mapping!$F$7:$F$256,$Q4224)))</f>
        <v>1</v>
      </c>
      <c r="P4224" s="34" t="str">
        <f aca="false">IF($A4224="","",$I4224*$O4224)</f>
        <v/>
      </c>
      <c r="Q4224" s="39" t="n">
        <f aca="false">IF($B4224="",0,IFERROR(MATCH($B4224,COA_Mapping!$A$7:$A$256,0),0))</f>
        <v>0</v>
      </c>
      <c r="R4224" s="39" t="n">
        <f aca="false">IF($A4224="",-1,IF($J4224=Setup!$B$7,1,IF($J4224=Setup!$B$9,0,-1)))</f>
        <v>-1</v>
      </c>
      <c r="S4224" s="35" t="n">
        <f aca="false">IF(OR($A4224="",$Q4224=0,$R4224=-1),0,$Q4224*1000+$R4224*100+$K4224)</f>
        <v>0</v>
      </c>
      <c r="T4224" s="37" t="str">
        <f aca="false">IF($A4224="","",IF($B4224="","NO ACCOUNT",IF($Q4224=0,"UNMAPPED",IF($R4224=-1,"OUTSIDE FY RANGE","OK"))))</f>
        <v/>
      </c>
      <c r="U4224" s="40" t="str">
        <f aca="false">IF($A4224="","",$B4224&amp;"|"&amp;TEXT($A4224,"yyyymmdd")&amp;"|"&amp;TEXT($I4224,"0.00"))</f>
        <v/>
      </c>
      <c r="V4224" s="35" t="str">
        <f aca="false">IF($A4224="","",COUNTIF($U$8:$U$5007,$U4224))</f>
        <v/>
      </c>
    </row>
    <row r="4225" customFormat="false" ht="15" hidden="false" customHeight="false" outlineLevel="0" collapsed="false">
      <c r="A4225" s="31"/>
      <c r="B4225" s="32"/>
      <c r="C4225" s="32"/>
      <c r="D4225" s="32"/>
      <c r="E4225" s="32"/>
      <c r="F4225" s="32"/>
      <c r="G4225" s="33"/>
      <c r="H4225" s="33"/>
      <c r="I4225" s="34" t="str">
        <f aca="false">IF($A4225="","",$G4225-$H4225)</f>
        <v/>
      </c>
      <c r="J4225" s="35" t="str">
        <f aca="false">IF($A4225="","",IF(Setup!$B$6=1,YEAR($A4225),YEAR($A4225)+IF(MONTH($A4225)&gt;=Setup!$B$6,1,0)))</f>
        <v/>
      </c>
      <c r="K4225" s="35" t="str">
        <f aca="false">IF($A4225="","",MOD(MONTH($A4225)-Setup!$B$6+12,12)+1)</f>
        <v/>
      </c>
      <c r="L4225" s="36" t="str">
        <f aca="false">IF($A4225="","",TEXT($A4225,"MMM-YY"))</f>
        <v/>
      </c>
      <c r="M4225" s="37" t="str">
        <f aca="false">IF($A4225="","",IF($Q4225=0,"UNMAPPED",INDEX(COA_Mapping!$C$7:$C$256,$Q4225)))</f>
        <v/>
      </c>
      <c r="N4225" s="38" t="str">
        <f aca="false">IF($A4225="","",IF($Q4225=0,"",INDEX(COA_Mapping!$E$7:$E$256,$Q4225)))</f>
        <v/>
      </c>
      <c r="O4225" s="38" t="n">
        <f aca="false">IF($A4225="",1,IF($Q4225=0,1,INDEX(COA_Mapping!$F$7:$F$256,$Q4225)))</f>
        <v>1</v>
      </c>
      <c r="P4225" s="34" t="str">
        <f aca="false">IF($A4225="","",$I4225*$O4225)</f>
        <v/>
      </c>
      <c r="Q4225" s="39" t="n">
        <f aca="false">IF($B4225="",0,IFERROR(MATCH($B4225,COA_Mapping!$A$7:$A$256,0),0))</f>
        <v>0</v>
      </c>
      <c r="R4225" s="39" t="n">
        <f aca="false">IF($A4225="",-1,IF($J4225=Setup!$B$7,1,IF($J4225=Setup!$B$9,0,-1)))</f>
        <v>-1</v>
      </c>
      <c r="S4225" s="35" t="n">
        <f aca="false">IF(OR($A4225="",$Q4225=0,$R4225=-1),0,$Q4225*1000+$R4225*100+$K4225)</f>
        <v>0</v>
      </c>
      <c r="T4225" s="37" t="str">
        <f aca="false">IF($A4225="","",IF($B4225="","NO ACCOUNT",IF($Q4225=0,"UNMAPPED",IF($R4225=-1,"OUTSIDE FY RANGE","OK"))))</f>
        <v/>
      </c>
      <c r="U4225" s="40" t="str">
        <f aca="false">IF($A4225="","",$B4225&amp;"|"&amp;TEXT($A4225,"yyyymmdd")&amp;"|"&amp;TEXT($I4225,"0.00"))</f>
        <v/>
      </c>
      <c r="V4225" s="35" t="str">
        <f aca="false">IF($A4225="","",COUNTIF($U$8:$U$5007,$U4225))</f>
        <v/>
      </c>
    </row>
    <row r="4226" customFormat="false" ht="15" hidden="false" customHeight="false" outlineLevel="0" collapsed="false">
      <c r="A4226" s="31"/>
      <c r="B4226" s="32"/>
      <c r="C4226" s="32"/>
      <c r="D4226" s="32"/>
      <c r="E4226" s="32"/>
      <c r="F4226" s="32"/>
      <c r="G4226" s="33"/>
      <c r="H4226" s="33"/>
      <c r="I4226" s="34" t="str">
        <f aca="false">IF($A4226="","",$G4226-$H4226)</f>
        <v/>
      </c>
      <c r="J4226" s="35" t="str">
        <f aca="false">IF($A4226="","",IF(Setup!$B$6=1,YEAR($A4226),YEAR($A4226)+IF(MONTH($A4226)&gt;=Setup!$B$6,1,0)))</f>
        <v/>
      </c>
      <c r="K4226" s="35" t="str">
        <f aca="false">IF($A4226="","",MOD(MONTH($A4226)-Setup!$B$6+12,12)+1)</f>
        <v/>
      </c>
      <c r="L4226" s="36" t="str">
        <f aca="false">IF($A4226="","",TEXT($A4226,"MMM-YY"))</f>
        <v/>
      </c>
      <c r="M4226" s="37" t="str">
        <f aca="false">IF($A4226="","",IF($Q4226=0,"UNMAPPED",INDEX(COA_Mapping!$C$7:$C$256,$Q4226)))</f>
        <v/>
      </c>
      <c r="N4226" s="38" t="str">
        <f aca="false">IF($A4226="","",IF($Q4226=0,"",INDEX(COA_Mapping!$E$7:$E$256,$Q4226)))</f>
        <v/>
      </c>
      <c r="O4226" s="38" t="n">
        <f aca="false">IF($A4226="",1,IF($Q4226=0,1,INDEX(COA_Mapping!$F$7:$F$256,$Q4226)))</f>
        <v>1</v>
      </c>
      <c r="P4226" s="34" t="str">
        <f aca="false">IF($A4226="","",$I4226*$O4226)</f>
        <v/>
      </c>
      <c r="Q4226" s="39" t="n">
        <f aca="false">IF($B4226="",0,IFERROR(MATCH($B4226,COA_Mapping!$A$7:$A$256,0),0))</f>
        <v>0</v>
      </c>
      <c r="R4226" s="39" t="n">
        <f aca="false">IF($A4226="",-1,IF($J4226=Setup!$B$7,1,IF($J4226=Setup!$B$9,0,-1)))</f>
        <v>-1</v>
      </c>
      <c r="S4226" s="35" t="n">
        <f aca="false">IF(OR($A4226="",$Q4226=0,$R4226=-1),0,$Q4226*1000+$R4226*100+$K4226)</f>
        <v>0</v>
      </c>
      <c r="T4226" s="37" t="str">
        <f aca="false">IF($A4226="","",IF($B4226="","NO ACCOUNT",IF($Q4226=0,"UNMAPPED",IF($R4226=-1,"OUTSIDE FY RANGE","OK"))))</f>
        <v/>
      </c>
      <c r="U4226" s="40" t="str">
        <f aca="false">IF($A4226="","",$B4226&amp;"|"&amp;TEXT($A4226,"yyyymmdd")&amp;"|"&amp;TEXT($I4226,"0.00"))</f>
        <v/>
      </c>
      <c r="V4226" s="35" t="str">
        <f aca="false">IF($A4226="","",COUNTIF($U$8:$U$5007,$U4226))</f>
        <v/>
      </c>
    </row>
    <row r="4227" customFormat="false" ht="15" hidden="false" customHeight="false" outlineLevel="0" collapsed="false">
      <c r="A4227" s="31"/>
      <c r="B4227" s="32"/>
      <c r="C4227" s="32"/>
      <c r="D4227" s="32"/>
      <c r="E4227" s="32"/>
      <c r="F4227" s="32"/>
      <c r="G4227" s="33"/>
      <c r="H4227" s="33"/>
      <c r="I4227" s="34" t="str">
        <f aca="false">IF($A4227="","",$G4227-$H4227)</f>
        <v/>
      </c>
      <c r="J4227" s="35" t="str">
        <f aca="false">IF($A4227="","",IF(Setup!$B$6=1,YEAR($A4227),YEAR($A4227)+IF(MONTH($A4227)&gt;=Setup!$B$6,1,0)))</f>
        <v/>
      </c>
      <c r="K4227" s="35" t="str">
        <f aca="false">IF($A4227="","",MOD(MONTH($A4227)-Setup!$B$6+12,12)+1)</f>
        <v/>
      </c>
      <c r="L4227" s="36" t="str">
        <f aca="false">IF($A4227="","",TEXT($A4227,"MMM-YY"))</f>
        <v/>
      </c>
      <c r="M4227" s="37" t="str">
        <f aca="false">IF($A4227="","",IF($Q4227=0,"UNMAPPED",INDEX(COA_Mapping!$C$7:$C$256,$Q4227)))</f>
        <v/>
      </c>
      <c r="N4227" s="38" t="str">
        <f aca="false">IF($A4227="","",IF($Q4227=0,"",INDEX(COA_Mapping!$E$7:$E$256,$Q4227)))</f>
        <v/>
      </c>
      <c r="O4227" s="38" t="n">
        <f aca="false">IF($A4227="",1,IF($Q4227=0,1,INDEX(COA_Mapping!$F$7:$F$256,$Q4227)))</f>
        <v>1</v>
      </c>
      <c r="P4227" s="34" t="str">
        <f aca="false">IF($A4227="","",$I4227*$O4227)</f>
        <v/>
      </c>
      <c r="Q4227" s="39" t="n">
        <f aca="false">IF($B4227="",0,IFERROR(MATCH($B4227,COA_Mapping!$A$7:$A$256,0),0))</f>
        <v>0</v>
      </c>
      <c r="R4227" s="39" t="n">
        <f aca="false">IF($A4227="",-1,IF($J4227=Setup!$B$7,1,IF($J4227=Setup!$B$9,0,-1)))</f>
        <v>-1</v>
      </c>
      <c r="S4227" s="35" t="n">
        <f aca="false">IF(OR($A4227="",$Q4227=0,$R4227=-1),0,$Q4227*1000+$R4227*100+$K4227)</f>
        <v>0</v>
      </c>
      <c r="T4227" s="37" t="str">
        <f aca="false">IF($A4227="","",IF($B4227="","NO ACCOUNT",IF($Q4227=0,"UNMAPPED",IF($R4227=-1,"OUTSIDE FY RANGE","OK"))))</f>
        <v/>
      </c>
      <c r="U4227" s="40" t="str">
        <f aca="false">IF($A4227="","",$B4227&amp;"|"&amp;TEXT($A4227,"yyyymmdd")&amp;"|"&amp;TEXT($I4227,"0.00"))</f>
        <v/>
      </c>
      <c r="V4227" s="35" t="str">
        <f aca="false">IF($A4227="","",COUNTIF($U$8:$U$5007,$U4227))</f>
        <v/>
      </c>
    </row>
    <row r="4228" customFormat="false" ht="15" hidden="false" customHeight="false" outlineLevel="0" collapsed="false">
      <c r="A4228" s="31"/>
      <c r="B4228" s="32"/>
      <c r="C4228" s="32"/>
      <c r="D4228" s="32"/>
      <c r="E4228" s="32"/>
      <c r="F4228" s="32"/>
      <c r="G4228" s="33"/>
      <c r="H4228" s="33"/>
      <c r="I4228" s="34" t="str">
        <f aca="false">IF($A4228="","",$G4228-$H4228)</f>
        <v/>
      </c>
      <c r="J4228" s="35" t="str">
        <f aca="false">IF($A4228="","",IF(Setup!$B$6=1,YEAR($A4228),YEAR($A4228)+IF(MONTH($A4228)&gt;=Setup!$B$6,1,0)))</f>
        <v/>
      </c>
      <c r="K4228" s="35" t="str">
        <f aca="false">IF($A4228="","",MOD(MONTH($A4228)-Setup!$B$6+12,12)+1)</f>
        <v/>
      </c>
      <c r="L4228" s="36" t="str">
        <f aca="false">IF($A4228="","",TEXT($A4228,"MMM-YY"))</f>
        <v/>
      </c>
      <c r="M4228" s="37" t="str">
        <f aca="false">IF($A4228="","",IF($Q4228=0,"UNMAPPED",INDEX(COA_Mapping!$C$7:$C$256,$Q4228)))</f>
        <v/>
      </c>
      <c r="N4228" s="38" t="str">
        <f aca="false">IF($A4228="","",IF($Q4228=0,"",INDEX(COA_Mapping!$E$7:$E$256,$Q4228)))</f>
        <v/>
      </c>
      <c r="O4228" s="38" t="n">
        <f aca="false">IF($A4228="",1,IF($Q4228=0,1,INDEX(COA_Mapping!$F$7:$F$256,$Q4228)))</f>
        <v>1</v>
      </c>
      <c r="P4228" s="34" t="str">
        <f aca="false">IF($A4228="","",$I4228*$O4228)</f>
        <v/>
      </c>
      <c r="Q4228" s="39" t="n">
        <f aca="false">IF($B4228="",0,IFERROR(MATCH($B4228,COA_Mapping!$A$7:$A$256,0),0))</f>
        <v>0</v>
      </c>
      <c r="R4228" s="39" t="n">
        <f aca="false">IF($A4228="",-1,IF($J4228=Setup!$B$7,1,IF($J4228=Setup!$B$9,0,-1)))</f>
        <v>-1</v>
      </c>
      <c r="S4228" s="35" t="n">
        <f aca="false">IF(OR($A4228="",$Q4228=0,$R4228=-1),0,$Q4228*1000+$R4228*100+$K4228)</f>
        <v>0</v>
      </c>
      <c r="T4228" s="37" t="str">
        <f aca="false">IF($A4228="","",IF($B4228="","NO ACCOUNT",IF($Q4228=0,"UNMAPPED",IF($R4228=-1,"OUTSIDE FY RANGE","OK"))))</f>
        <v/>
      </c>
      <c r="U4228" s="40" t="str">
        <f aca="false">IF($A4228="","",$B4228&amp;"|"&amp;TEXT($A4228,"yyyymmdd")&amp;"|"&amp;TEXT($I4228,"0.00"))</f>
        <v/>
      </c>
      <c r="V4228" s="35" t="str">
        <f aca="false">IF($A4228="","",COUNTIF($U$8:$U$5007,$U4228))</f>
        <v/>
      </c>
    </row>
    <row r="4229" customFormat="false" ht="15" hidden="false" customHeight="false" outlineLevel="0" collapsed="false">
      <c r="A4229" s="31"/>
      <c r="B4229" s="32"/>
      <c r="C4229" s="32"/>
      <c r="D4229" s="32"/>
      <c r="E4229" s="32"/>
      <c r="F4229" s="32"/>
      <c r="G4229" s="33"/>
      <c r="H4229" s="33"/>
      <c r="I4229" s="34" t="str">
        <f aca="false">IF($A4229="","",$G4229-$H4229)</f>
        <v/>
      </c>
      <c r="J4229" s="35" t="str">
        <f aca="false">IF($A4229="","",IF(Setup!$B$6=1,YEAR($A4229),YEAR($A4229)+IF(MONTH($A4229)&gt;=Setup!$B$6,1,0)))</f>
        <v/>
      </c>
      <c r="K4229" s="35" t="str">
        <f aca="false">IF($A4229="","",MOD(MONTH($A4229)-Setup!$B$6+12,12)+1)</f>
        <v/>
      </c>
      <c r="L4229" s="36" t="str">
        <f aca="false">IF($A4229="","",TEXT($A4229,"MMM-YY"))</f>
        <v/>
      </c>
      <c r="M4229" s="37" t="str">
        <f aca="false">IF($A4229="","",IF($Q4229=0,"UNMAPPED",INDEX(COA_Mapping!$C$7:$C$256,$Q4229)))</f>
        <v/>
      </c>
      <c r="N4229" s="38" t="str">
        <f aca="false">IF($A4229="","",IF($Q4229=0,"",INDEX(COA_Mapping!$E$7:$E$256,$Q4229)))</f>
        <v/>
      </c>
      <c r="O4229" s="38" t="n">
        <f aca="false">IF($A4229="",1,IF($Q4229=0,1,INDEX(COA_Mapping!$F$7:$F$256,$Q4229)))</f>
        <v>1</v>
      </c>
      <c r="P4229" s="34" t="str">
        <f aca="false">IF($A4229="","",$I4229*$O4229)</f>
        <v/>
      </c>
      <c r="Q4229" s="39" t="n">
        <f aca="false">IF($B4229="",0,IFERROR(MATCH($B4229,COA_Mapping!$A$7:$A$256,0),0))</f>
        <v>0</v>
      </c>
      <c r="R4229" s="39" t="n">
        <f aca="false">IF($A4229="",-1,IF($J4229=Setup!$B$7,1,IF($J4229=Setup!$B$9,0,-1)))</f>
        <v>-1</v>
      </c>
      <c r="S4229" s="35" t="n">
        <f aca="false">IF(OR($A4229="",$Q4229=0,$R4229=-1),0,$Q4229*1000+$R4229*100+$K4229)</f>
        <v>0</v>
      </c>
      <c r="T4229" s="37" t="str">
        <f aca="false">IF($A4229="","",IF($B4229="","NO ACCOUNT",IF($Q4229=0,"UNMAPPED",IF($R4229=-1,"OUTSIDE FY RANGE","OK"))))</f>
        <v/>
      </c>
      <c r="U4229" s="40" t="str">
        <f aca="false">IF($A4229="","",$B4229&amp;"|"&amp;TEXT($A4229,"yyyymmdd")&amp;"|"&amp;TEXT($I4229,"0.00"))</f>
        <v/>
      </c>
      <c r="V4229" s="35" t="str">
        <f aca="false">IF($A4229="","",COUNTIF($U$8:$U$5007,$U4229))</f>
        <v/>
      </c>
    </row>
    <row r="4230" customFormat="false" ht="15" hidden="false" customHeight="false" outlineLevel="0" collapsed="false">
      <c r="A4230" s="31"/>
      <c r="B4230" s="32"/>
      <c r="C4230" s="32"/>
      <c r="D4230" s="32"/>
      <c r="E4230" s="32"/>
      <c r="F4230" s="32"/>
      <c r="G4230" s="33"/>
      <c r="H4230" s="33"/>
      <c r="I4230" s="34" t="str">
        <f aca="false">IF($A4230="","",$G4230-$H4230)</f>
        <v/>
      </c>
      <c r="J4230" s="35" t="str">
        <f aca="false">IF($A4230="","",IF(Setup!$B$6=1,YEAR($A4230),YEAR($A4230)+IF(MONTH($A4230)&gt;=Setup!$B$6,1,0)))</f>
        <v/>
      </c>
      <c r="K4230" s="35" t="str">
        <f aca="false">IF($A4230="","",MOD(MONTH($A4230)-Setup!$B$6+12,12)+1)</f>
        <v/>
      </c>
      <c r="L4230" s="36" t="str">
        <f aca="false">IF($A4230="","",TEXT($A4230,"MMM-YY"))</f>
        <v/>
      </c>
      <c r="M4230" s="37" t="str">
        <f aca="false">IF($A4230="","",IF($Q4230=0,"UNMAPPED",INDEX(COA_Mapping!$C$7:$C$256,$Q4230)))</f>
        <v/>
      </c>
      <c r="N4230" s="38" t="str">
        <f aca="false">IF($A4230="","",IF($Q4230=0,"",INDEX(COA_Mapping!$E$7:$E$256,$Q4230)))</f>
        <v/>
      </c>
      <c r="O4230" s="38" t="n">
        <f aca="false">IF($A4230="",1,IF($Q4230=0,1,INDEX(COA_Mapping!$F$7:$F$256,$Q4230)))</f>
        <v>1</v>
      </c>
      <c r="P4230" s="34" t="str">
        <f aca="false">IF($A4230="","",$I4230*$O4230)</f>
        <v/>
      </c>
      <c r="Q4230" s="39" t="n">
        <f aca="false">IF($B4230="",0,IFERROR(MATCH($B4230,COA_Mapping!$A$7:$A$256,0),0))</f>
        <v>0</v>
      </c>
      <c r="R4230" s="39" t="n">
        <f aca="false">IF($A4230="",-1,IF($J4230=Setup!$B$7,1,IF($J4230=Setup!$B$9,0,-1)))</f>
        <v>-1</v>
      </c>
      <c r="S4230" s="35" t="n">
        <f aca="false">IF(OR($A4230="",$Q4230=0,$R4230=-1),0,$Q4230*1000+$R4230*100+$K4230)</f>
        <v>0</v>
      </c>
      <c r="T4230" s="37" t="str">
        <f aca="false">IF($A4230="","",IF($B4230="","NO ACCOUNT",IF($Q4230=0,"UNMAPPED",IF($R4230=-1,"OUTSIDE FY RANGE","OK"))))</f>
        <v/>
      </c>
      <c r="U4230" s="40" t="str">
        <f aca="false">IF($A4230="","",$B4230&amp;"|"&amp;TEXT($A4230,"yyyymmdd")&amp;"|"&amp;TEXT($I4230,"0.00"))</f>
        <v/>
      </c>
      <c r="V4230" s="35" t="str">
        <f aca="false">IF($A4230="","",COUNTIF($U$8:$U$5007,$U4230))</f>
        <v/>
      </c>
    </row>
    <row r="4231" customFormat="false" ht="15" hidden="false" customHeight="false" outlineLevel="0" collapsed="false">
      <c r="A4231" s="31"/>
      <c r="B4231" s="32"/>
      <c r="C4231" s="32"/>
      <c r="D4231" s="32"/>
      <c r="E4231" s="32"/>
      <c r="F4231" s="32"/>
      <c r="G4231" s="33"/>
      <c r="H4231" s="33"/>
      <c r="I4231" s="34" t="str">
        <f aca="false">IF($A4231="","",$G4231-$H4231)</f>
        <v/>
      </c>
      <c r="J4231" s="35" t="str">
        <f aca="false">IF($A4231="","",IF(Setup!$B$6=1,YEAR($A4231),YEAR($A4231)+IF(MONTH($A4231)&gt;=Setup!$B$6,1,0)))</f>
        <v/>
      </c>
      <c r="K4231" s="35" t="str">
        <f aca="false">IF($A4231="","",MOD(MONTH($A4231)-Setup!$B$6+12,12)+1)</f>
        <v/>
      </c>
      <c r="L4231" s="36" t="str">
        <f aca="false">IF($A4231="","",TEXT($A4231,"MMM-YY"))</f>
        <v/>
      </c>
      <c r="M4231" s="37" t="str">
        <f aca="false">IF($A4231="","",IF($Q4231=0,"UNMAPPED",INDEX(COA_Mapping!$C$7:$C$256,$Q4231)))</f>
        <v/>
      </c>
      <c r="N4231" s="38" t="str">
        <f aca="false">IF($A4231="","",IF($Q4231=0,"",INDEX(COA_Mapping!$E$7:$E$256,$Q4231)))</f>
        <v/>
      </c>
      <c r="O4231" s="38" t="n">
        <f aca="false">IF($A4231="",1,IF($Q4231=0,1,INDEX(COA_Mapping!$F$7:$F$256,$Q4231)))</f>
        <v>1</v>
      </c>
      <c r="P4231" s="34" t="str">
        <f aca="false">IF($A4231="","",$I4231*$O4231)</f>
        <v/>
      </c>
      <c r="Q4231" s="39" t="n">
        <f aca="false">IF($B4231="",0,IFERROR(MATCH($B4231,COA_Mapping!$A$7:$A$256,0),0))</f>
        <v>0</v>
      </c>
      <c r="R4231" s="39" t="n">
        <f aca="false">IF($A4231="",-1,IF($J4231=Setup!$B$7,1,IF($J4231=Setup!$B$9,0,-1)))</f>
        <v>-1</v>
      </c>
      <c r="S4231" s="35" t="n">
        <f aca="false">IF(OR($A4231="",$Q4231=0,$R4231=-1),0,$Q4231*1000+$R4231*100+$K4231)</f>
        <v>0</v>
      </c>
      <c r="T4231" s="37" t="str">
        <f aca="false">IF($A4231="","",IF($B4231="","NO ACCOUNT",IF($Q4231=0,"UNMAPPED",IF($R4231=-1,"OUTSIDE FY RANGE","OK"))))</f>
        <v/>
      </c>
      <c r="U4231" s="40" t="str">
        <f aca="false">IF($A4231="","",$B4231&amp;"|"&amp;TEXT($A4231,"yyyymmdd")&amp;"|"&amp;TEXT($I4231,"0.00"))</f>
        <v/>
      </c>
      <c r="V4231" s="35" t="str">
        <f aca="false">IF($A4231="","",COUNTIF($U$8:$U$5007,$U4231))</f>
        <v/>
      </c>
    </row>
    <row r="4232" customFormat="false" ht="15" hidden="false" customHeight="false" outlineLevel="0" collapsed="false">
      <c r="A4232" s="31"/>
      <c r="B4232" s="32"/>
      <c r="C4232" s="32"/>
      <c r="D4232" s="32"/>
      <c r="E4232" s="32"/>
      <c r="F4232" s="32"/>
      <c r="G4232" s="33"/>
      <c r="H4232" s="33"/>
      <c r="I4232" s="34" t="str">
        <f aca="false">IF($A4232="","",$G4232-$H4232)</f>
        <v/>
      </c>
      <c r="J4232" s="35" t="str">
        <f aca="false">IF($A4232="","",IF(Setup!$B$6=1,YEAR($A4232),YEAR($A4232)+IF(MONTH($A4232)&gt;=Setup!$B$6,1,0)))</f>
        <v/>
      </c>
      <c r="K4232" s="35" t="str">
        <f aca="false">IF($A4232="","",MOD(MONTH($A4232)-Setup!$B$6+12,12)+1)</f>
        <v/>
      </c>
      <c r="L4232" s="36" t="str">
        <f aca="false">IF($A4232="","",TEXT($A4232,"MMM-YY"))</f>
        <v/>
      </c>
      <c r="M4232" s="37" t="str">
        <f aca="false">IF($A4232="","",IF($Q4232=0,"UNMAPPED",INDEX(COA_Mapping!$C$7:$C$256,$Q4232)))</f>
        <v/>
      </c>
      <c r="N4232" s="38" t="str">
        <f aca="false">IF($A4232="","",IF($Q4232=0,"",INDEX(COA_Mapping!$E$7:$E$256,$Q4232)))</f>
        <v/>
      </c>
      <c r="O4232" s="38" t="n">
        <f aca="false">IF($A4232="",1,IF($Q4232=0,1,INDEX(COA_Mapping!$F$7:$F$256,$Q4232)))</f>
        <v>1</v>
      </c>
      <c r="P4232" s="34" t="str">
        <f aca="false">IF($A4232="","",$I4232*$O4232)</f>
        <v/>
      </c>
      <c r="Q4232" s="39" t="n">
        <f aca="false">IF($B4232="",0,IFERROR(MATCH($B4232,COA_Mapping!$A$7:$A$256,0),0))</f>
        <v>0</v>
      </c>
      <c r="R4232" s="39" t="n">
        <f aca="false">IF($A4232="",-1,IF($J4232=Setup!$B$7,1,IF($J4232=Setup!$B$9,0,-1)))</f>
        <v>-1</v>
      </c>
      <c r="S4232" s="35" t="n">
        <f aca="false">IF(OR($A4232="",$Q4232=0,$R4232=-1),0,$Q4232*1000+$R4232*100+$K4232)</f>
        <v>0</v>
      </c>
      <c r="T4232" s="37" t="str">
        <f aca="false">IF($A4232="","",IF($B4232="","NO ACCOUNT",IF($Q4232=0,"UNMAPPED",IF($R4232=-1,"OUTSIDE FY RANGE","OK"))))</f>
        <v/>
      </c>
      <c r="U4232" s="40" t="str">
        <f aca="false">IF($A4232="","",$B4232&amp;"|"&amp;TEXT($A4232,"yyyymmdd")&amp;"|"&amp;TEXT($I4232,"0.00"))</f>
        <v/>
      </c>
      <c r="V4232" s="35" t="str">
        <f aca="false">IF($A4232="","",COUNTIF($U$8:$U$5007,$U4232))</f>
        <v/>
      </c>
    </row>
    <row r="4233" customFormat="false" ht="15" hidden="false" customHeight="false" outlineLevel="0" collapsed="false">
      <c r="A4233" s="31"/>
      <c r="B4233" s="32"/>
      <c r="C4233" s="32"/>
      <c r="D4233" s="32"/>
      <c r="E4233" s="32"/>
      <c r="F4233" s="32"/>
      <c r="G4233" s="33"/>
      <c r="H4233" s="33"/>
      <c r="I4233" s="34" t="str">
        <f aca="false">IF($A4233="","",$G4233-$H4233)</f>
        <v/>
      </c>
      <c r="J4233" s="35" t="str">
        <f aca="false">IF($A4233="","",IF(Setup!$B$6=1,YEAR($A4233),YEAR($A4233)+IF(MONTH($A4233)&gt;=Setup!$B$6,1,0)))</f>
        <v/>
      </c>
      <c r="K4233" s="35" t="str">
        <f aca="false">IF($A4233="","",MOD(MONTH($A4233)-Setup!$B$6+12,12)+1)</f>
        <v/>
      </c>
      <c r="L4233" s="36" t="str">
        <f aca="false">IF($A4233="","",TEXT($A4233,"MMM-YY"))</f>
        <v/>
      </c>
      <c r="M4233" s="37" t="str">
        <f aca="false">IF($A4233="","",IF($Q4233=0,"UNMAPPED",INDEX(COA_Mapping!$C$7:$C$256,$Q4233)))</f>
        <v/>
      </c>
      <c r="N4233" s="38" t="str">
        <f aca="false">IF($A4233="","",IF($Q4233=0,"",INDEX(COA_Mapping!$E$7:$E$256,$Q4233)))</f>
        <v/>
      </c>
      <c r="O4233" s="38" t="n">
        <f aca="false">IF($A4233="",1,IF($Q4233=0,1,INDEX(COA_Mapping!$F$7:$F$256,$Q4233)))</f>
        <v>1</v>
      </c>
      <c r="P4233" s="34" t="str">
        <f aca="false">IF($A4233="","",$I4233*$O4233)</f>
        <v/>
      </c>
      <c r="Q4233" s="39" t="n">
        <f aca="false">IF($B4233="",0,IFERROR(MATCH($B4233,COA_Mapping!$A$7:$A$256,0),0))</f>
        <v>0</v>
      </c>
      <c r="R4233" s="39" t="n">
        <f aca="false">IF($A4233="",-1,IF($J4233=Setup!$B$7,1,IF($J4233=Setup!$B$9,0,-1)))</f>
        <v>-1</v>
      </c>
      <c r="S4233" s="35" t="n">
        <f aca="false">IF(OR($A4233="",$Q4233=0,$R4233=-1),0,$Q4233*1000+$R4233*100+$K4233)</f>
        <v>0</v>
      </c>
      <c r="T4233" s="37" t="str">
        <f aca="false">IF($A4233="","",IF($B4233="","NO ACCOUNT",IF($Q4233=0,"UNMAPPED",IF($R4233=-1,"OUTSIDE FY RANGE","OK"))))</f>
        <v/>
      </c>
      <c r="U4233" s="40" t="str">
        <f aca="false">IF($A4233="","",$B4233&amp;"|"&amp;TEXT($A4233,"yyyymmdd")&amp;"|"&amp;TEXT($I4233,"0.00"))</f>
        <v/>
      </c>
      <c r="V4233" s="35" t="str">
        <f aca="false">IF($A4233="","",COUNTIF($U$8:$U$5007,$U4233))</f>
        <v/>
      </c>
    </row>
    <row r="4234" customFormat="false" ht="15" hidden="false" customHeight="false" outlineLevel="0" collapsed="false">
      <c r="A4234" s="31"/>
      <c r="B4234" s="32"/>
      <c r="C4234" s="32"/>
      <c r="D4234" s="32"/>
      <c r="E4234" s="32"/>
      <c r="F4234" s="32"/>
      <c r="G4234" s="33"/>
      <c r="H4234" s="33"/>
      <c r="I4234" s="34" t="str">
        <f aca="false">IF($A4234="","",$G4234-$H4234)</f>
        <v/>
      </c>
      <c r="J4234" s="35" t="str">
        <f aca="false">IF($A4234="","",IF(Setup!$B$6=1,YEAR($A4234),YEAR($A4234)+IF(MONTH($A4234)&gt;=Setup!$B$6,1,0)))</f>
        <v/>
      </c>
      <c r="K4234" s="35" t="str">
        <f aca="false">IF($A4234="","",MOD(MONTH($A4234)-Setup!$B$6+12,12)+1)</f>
        <v/>
      </c>
      <c r="L4234" s="36" t="str">
        <f aca="false">IF($A4234="","",TEXT($A4234,"MMM-YY"))</f>
        <v/>
      </c>
      <c r="M4234" s="37" t="str">
        <f aca="false">IF($A4234="","",IF($Q4234=0,"UNMAPPED",INDEX(COA_Mapping!$C$7:$C$256,$Q4234)))</f>
        <v/>
      </c>
      <c r="N4234" s="38" t="str">
        <f aca="false">IF($A4234="","",IF($Q4234=0,"",INDEX(COA_Mapping!$E$7:$E$256,$Q4234)))</f>
        <v/>
      </c>
      <c r="O4234" s="38" t="n">
        <f aca="false">IF($A4234="",1,IF($Q4234=0,1,INDEX(COA_Mapping!$F$7:$F$256,$Q4234)))</f>
        <v>1</v>
      </c>
      <c r="P4234" s="34" t="str">
        <f aca="false">IF($A4234="","",$I4234*$O4234)</f>
        <v/>
      </c>
      <c r="Q4234" s="39" t="n">
        <f aca="false">IF($B4234="",0,IFERROR(MATCH($B4234,COA_Mapping!$A$7:$A$256,0),0))</f>
        <v>0</v>
      </c>
      <c r="R4234" s="39" t="n">
        <f aca="false">IF($A4234="",-1,IF($J4234=Setup!$B$7,1,IF($J4234=Setup!$B$9,0,-1)))</f>
        <v>-1</v>
      </c>
      <c r="S4234" s="35" t="n">
        <f aca="false">IF(OR($A4234="",$Q4234=0,$R4234=-1),0,$Q4234*1000+$R4234*100+$K4234)</f>
        <v>0</v>
      </c>
      <c r="T4234" s="37" t="str">
        <f aca="false">IF($A4234="","",IF($B4234="","NO ACCOUNT",IF($Q4234=0,"UNMAPPED",IF($R4234=-1,"OUTSIDE FY RANGE","OK"))))</f>
        <v/>
      </c>
      <c r="U4234" s="40" t="str">
        <f aca="false">IF($A4234="","",$B4234&amp;"|"&amp;TEXT($A4234,"yyyymmdd")&amp;"|"&amp;TEXT($I4234,"0.00"))</f>
        <v/>
      </c>
      <c r="V4234" s="35" t="str">
        <f aca="false">IF($A4234="","",COUNTIF($U$8:$U$5007,$U4234))</f>
        <v/>
      </c>
    </row>
    <row r="4235" customFormat="false" ht="15" hidden="false" customHeight="false" outlineLevel="0" collapsed="false">
      <c r="A4235" s="31"/>
      <c r="B4235" s="32"/>
      <c r="C4235" s="32"/>
      <c r="D4235" s="32"/>
      <c r="E4235" s="32"/>
      <c r="F4235" s="32"/>
      <c r="G4235" s="33"/>
      <c r="H4235" s="33"/>
      <c r="I4235" s="34" t="str">
        <f aca="false">IF($A4235="","",$G4235-$H4235)</f>
        <v/>
      </c>
      <c r="J4235" s="35" t="str">
        <f aca="false">IF($A4235="","",IF(Setup!$B$6=1,YEAR($A4235),YEAR($A4235)+IF(MONTH($A4235)&gt;=Setup!$B$6,1,0)))</f>
        <v/>
      </c>
      <c r="K4235" s="35" t="str">
        <f aca="false">IF($A4235="","",MOD(MONTH($A4235)-Setup!$B$6+12,12)+1)</f>
        <v/>
      </c>
      <c r="L4235" s="36" t="str">
        <f aca="false">IF($A4235="","",TEXT($A4235,"MMM-YY"))</f>
        <v/>
      </c>
      <c r="M4235" s="37" t="str">
        <f aca="false">IF($A4235="","",IF($Q4235=0,"UNMAPPED",INDEX(COA_Mapping!$C$7:$C$256,$Q4235)))</f>
        <v/>
      </c>
      <c r="N4235" s="38" t="str">
        <f aca="false">IF($A4235="","",IF($Q4235=0,"",INDEX(COA_Mapping!$E$7:$E$256,$Q4235)))</f>
        <v/>
      </c>
      <c r="O4235" s="38" t="n">
        <f aca="false">IF($A4235="",1,IF($Q4235=0,1,INDEX(COA_Mapping!$F$7:$F$256,$Q4235)))</f>
        <v>1</v>
      </c>
      <c r="P4235" s="34" t="str">
        <f aca="false">IF($A4235="","",$I4235*$O4235)</f>
        <v/>
      </c>
      <c r="Q4235" s="39" t="n">
        <f aca="false">IF($B4235="",0,IFERROR(MATCH($B4235,COA_Mapping!$A$7:$A$256,0),0))</f>
        <v>0</v>
      </c>
      <c r="R4235" s="39" t="n">
        <f aca="false">IF($A4235="",-1,IF($J4235=Setup!$B$7,1,IF($J4235=Setup!$B$9,0,-1)))</f>
        <v>-1</v>
      </c>
      <c r="S4235" s="35" t="n">
        <f aca="false">IF(OR($A4235="",$Q4235=0,$R4235=-1),0,$Q4235*1000+$R4235*100+$K4235)</f>
        <v>0</v>
      </c>
      <c r="T4235" s="37" t="str">
        <f aca="false">IF($A4235="","",IF($B4235="","NO ACCOUNT",IF($Q4235=0,"UNMAPPED",IF($R4235=-1,"OUTSIDE FY RANGE","OK"))))</f>
        <v/>
      </c>
      <c r="U4235" s="40" t="str">
        <f aca="false">IF($A4235="","",$B4235&amp;"|"&amp;TEXT($A4235,"yyyymmdd")&amp;"|"&amp;TEXT($I4235,"0.00"))</f>
        <v/>
      </c>
      <c r="V4235" s="35" t="str">
        <f aca="false">IF($A4235="","",COUNTIF($U$8:$U$5007,$U4235))</f>
        <v/>
      </c>
    </row>
    <row r="4236" customFormat="false" ht="15" hidden="false" customHeight="false" outlineLevel="0" collapsed="false">
      <c r="A4236" s="31"/>
      <c r="B4236" s="32"/>
      <c r="C4236" s="32"/>
      <c r="D4236" s="32"/>
      <c r="E4236" s="32"/>
      <c r="F4236" s="32"/>
      <c r="G4236" s="33"/>
      <c r="H4236" s="33"/>
      <c r="I4236" s="34" t="str">
        <f aca="false">IF($A4236="","",$G4236-$H4236)</f>
        <v/>
      </c>
      <c r="J4236" s="35" t="str">
        <f aca="false">IF($A4236="","",IF(Setup!$B$6=1,YEAR($A4236),YEAR($A4236)+IF(MONTH($A4236)&gt;=Setup!$B$6,1,0)))</f>
        <v/>
      </c>
      <c r="K4236" s="35" t="str">
        <f aca="false">IF($A4236="","",MOD(MONTH($A4236)-Setup!$B$6+12,12)+1)</f>
        <v/>
      </c>
      <c r="L4236" s="36" t="str">
        <f aca="false">IF($A4236="","",TEXT($A4236,"MMM-YY"))</f>
        <v/>
      </c>
      <c r="M4236" s="37" t="str">
        <f aca="false">IF($A4236="","",IF($Q4236=0,"UNMAPPED",INDEX(COA_Mapping!$C$7:$C$256,$Q4236)))</f>
        <v/>
      </c>
      <c r="N4236" s="38" t="str">
        <f aca="false">IF($A4236="","",IF($Q4236=0,"",INDEX(COA_Mapping!$E$7:$E$256,$Q4236)))</f>
        <v/>
      </c>
      <c r="O4236" s="38" t="n">
        <f aca="false">IF($A4236="",1,IF($Q4236=0,1,INDEX(COA_Mapping!$F$7:$F$256,$Q4236)))</f>
        <v>1</v>
      </c>
      <c r="P4236" s="34" t="str">
        <f aca="false">IF($A4236="","",$I4236*$O4236)</f>
        <v/>
      </c>
      <c r="Q4236" s="39" t="n">
        <f aca="false">IF($B4236="",0,IFERROR(MATCH($B4236,COA_Mapping!$A$7:$A$256,0),0))</f>
        <v>0</v>
      </c>
      <c r="R4236" s="39" t="n">
        <f aca="false">IF($A4236="",-1,IF($J4236=Setup!$B$7,1,IF($J4236=Setup!$B$9,0,-1)))</f>
        <v>-1</v>
      </c>
      <c r="S4236" s="35" t="n">
        <f aca="false">IF(OR($A4236="",$Q4236=0,$R4236=-1),0,$Q4236*1000+$R4236*100+$K4236)</f>
        <v>0</v>
      </c>
      <c r="T4236" s="37" t="str">
        <f aca="false">IF($A4236="","",IF($B4236="","NO ACCOUNT",IF($Q4236=0,"UNMAPPED",IF($R4236=-1,"OUTSIDE FY RANGE","OK"))))</f>
        <v/>
      </c>
      <c r="U4236" s="40" t="str">
        <f aca="false">IF($A4236="","",$B4236&amp;"|"&amp;TEXT($A4236,"yyyymmdd")&amp;"|"&amp;TEXT($I4236,"0.00"))</f>
        <v/>
      </c>
      <c r="V4236" s="35" t="str">
        <f aca="false">IF($A4236="","",COUNTIF($U$8:$U$5007,$U4236))</f>
        <v/>
      </c>
    </row>
    <row r="4237" customFormat="false" ht="15" hidden="false" customHeight="false" outlineLevel="0" collapsed="false">
      <c r="A4237" s="31"/>
      <c r="B4237" s="32"/>
      <c r="C4237" s="32"/>
      <c r="D4237" s="32"/>
      <c r="E4237" s="32"/>
      <c r="F4237" s="32"/>
      <c r="G4237" s="33"/>
      <c r="H4237" s="33"/>
      <c r="I4237" s="34" t="str">
        <f aca="false">IF($A4237="","",$G4237-$H4237)</f>
        <v/>
      </c>
      <c r="J4237" s="35" t="str">
        <f aca="false">IF($A4237="","",IF(Setup!$B$6=1,YEAR($A4237),YEAR($A4237)+IF(MONTH($A4237)&gt;=Setup!$B$6,1,0)))</f>
        <v/>
      </c>
      <c r="K4237" s="35" t="str">
        <f aca="false">IF($A4237="","",MOD(MONTH($A4237)-Setup!$B$6+12,12)+1)</f>
        <v/>
      </c>
      <c r="L4237" s="36" t="str">
        <f aca="false">IF($A4237="","",TEXT($A4237,"MMM-YY"))</f>
        <v/>
      </c>
      <c r="M4237" s="37" t="str">
        <f aca="false">IF($A4237="","",IF($Q4237=0,"UNMAPPED",INDEX(COA_Mapping!$C$7:$C$256,$Q4237)))</f>
        <v/>
      </c>
      <c r="N4237" s="38" t="str">
        <f aca="false">IF($A4237="","",IF($Q4237=0,"",INDEX(COA_Mapping!$E$7:$E$256,$Q4237)))</f>
        <v/>
      </c>
      <c r="O4237" s="38" t="n">
        <f aca="false">IF($A4237="",1,IF($Q4237=0,1,INDEX(COA_Mapping!$F$7:$F$256,$Q4237)))</f>
        <v>1</v>
      </c>
      <c r="P4237" s="34" t="str">
        <f aca="false">IF($A4237="","",$I4237*$O4237)</f>
        <v/>
      </c>
      <c r="Q4237" s="39" t="n">
        <f aca="false">IF($B4237="",0,IFERROR(MATCH($B4237,COA_Mapping!$A$7:$A$256,0),0))</f>
        <v>0</v>
      </c>
      <c r="R4237" s="39" t="n">
        <f aca="false">IF($A4237="",-1,IF($J4237=Setup!$B$7,1,IF($J4237=Setup!$B$9,0,-1)))</f>
        <v>-1</v>
      </c>
      <c r="S4237" s="35" t="n">
        <f aca="false">IF(OR($A4237="",$Q4237=0,$R4237=-1),0,$Q4237*1000+$R4237*100+$K4237)</f>
        <v>0</v>
      </c>
      <c r="T4237" s="37" t="str">
        <f aca="false">IF($A4237="","",IF($B4237="","NO ACCOUNT",IF($Q4237=0,"UNMAPPED",IF($R4237=-1,"OUTSIDE FY RANGE","OK"))))</f>
        <v/>
      </c>
      <c r="U4237" s="40" t="str">
        <f aca="false">IF($A4237="","",$B4237&amp;"|"&amp;TEXT($A4237,"yyyymmdd")&amp;"|"&amp;TEXT($I4237,"0.00"))</f>
        <v/>
      </c>
      <c r="V4237" s="35" t="str">
        <f aca="false">IF($A4237="","",COUNTIF($U$8:$U$5007,$U4237))</f>
        <v/>
      </c>
    </row>
    <row r="4238" customFormat="false" ht="15" hidden="false" customHeight="false" outlineLevel="0" collapsed="false">
      <c r="A4238" s="31"/>
      <c r="B4238" s="32"/>
      <c r="C4238" s="32"/>
      <c r="D4238" s="32"/>
      <c r="E4238" s="32"/>
      <c r="F4238" s="32"/>
      <c r="G4238" s="33"/>
      <c r="H4238" s="33"/>
      <c r="I4238" s="34" t="str">
        <f aca="false">IF($A4238="","",$G4238-$H4238)</f>
        <v/>
      </c>
      <c r="J4238" s="35" t="str">
        <f aca="false">IF($A4238="","",IF(Setup!$B$6=1,YEAR($A4238),YEAR($A4238)+IF(MONTH($A4238)&gt;=Setup!$B$6,1,0)))</f>
        <v/>
      </c>
      <c r="K4238" s="35" t="str">
        <f aca="false">IF($A4238="","",MOD(MONTH($A4238)-Setup!$B$6+12,12)+1)</f>
        <v/>
      </c>
      <c r="L4238" s="36" t="str">
        <f aca="false">IF($A4238="","",TEXT($A4238,"MMM-YY"))</f>
        <v/>
      </c>
      <c r="M4238" s="37" t="str">
        <f aca="false">IF($A4238="","",IF($Q4238=0,"UNMAPPED",INDEX(COA_Mapping!$C$7:$C$256,$Q4238)))</f>
        <v/>
      </c>
      <c r="N4238" s="38" t="str">
        <f aca="false">IF($A4238="","",IF($Q4238=0,"",INDEX(COA_Mapping!$E$7:$E$256,$Q4238)))</f>
        <v/>
      </c>
      <c r="O4238" s="38" t="n">
        <f aca="false">IF($A4238="",1,IF($Q4238=0,1,INDEX(COA_Mapping!$F$7:$F$256,$Q4238)))</f>
        <v>1</v>
      </c>
      <c r="P4238" s="34" t="str">
        <f aca="false">IF($A4238="","",$I4238*$O4238)</f>
        <v/>
      </c>
      <c r="Q4238" s="39" t="n">
        <f aca="false">IF($B4238="",0,IFERROR(MATCH($B4238,COA_Mapping!$A$7:$A$256,0),0))</f>
        <v>0</v>
      </c>
      <c r="R4238" s="39" t="n">
        <f aca="false">IF($A4238="",-1,IF($J4238=Setup!$B$7,1,IF($J4238=Setup!$B$9,0,-1)))</f>
        <v>-1</v>
      </c>
      <c r="S4238" s="35" t="n">
        <f aca="false">IF(OR($A4238="",$Q4238=0,$R4238=-1),0,$Q4238*1000+$R4238*100+$K4238)</f>
        <v>0</v>
      </c>
      <c r="T4238" s="37" t="str">
        <f aca="false">IF($A4238="","",IF($B4238="","NO ACCOUNT",IF($Q4238=0,"UNMAPPED",IF($R4238=-1,"OUTSIDE FY RANGE","OK"))))</f>
        <v/>
      </c>
      <c r="U4238" s="40" t="str">
        <f aca="false">IF($A4238="","",$B4238&amp;"|"&amp;TEXT($A4238,"yyyymmdd")&amp;"|"&amp;TEXT($I4238,"0.00"))</f>
        <v/>
      </c>
      <c r="V4238" s="35" t="str">
        <f aca="false">IF($A4238="","",COUNTIF($U$8:$U$5007,$U4238))</f>
        <v/>
      </c>
    </row>
    <row r="4239" customFormat="false" ht="15" hidden="false" customHeight="false" outlineLevel="0" collapsed="false">
      <c r="A4239" s="31"/>
      <c r="B4239" s="32"/>
      <c r="C4239" s="32"/>
      <c r="D4239" s="32"/>
      <c r="E4239" s="32"/>
      <c r="F4239" s="32"/>
      <c r="G4239" s="33"/>
      <c r="H4239" s="33"/>
      <c r="I4239" s="34" t="str">
        <f aca="false">IF($A4239="","",$G4239-$H4239)</f>
        <v/>
      </c>
      <c r="J4239" s="35" t="str">
        <f aca="false">IF($A4239="","",IF(Setup!$B$6=1,YEAR($A4239),YEAR($A4239)+IF(MONTH($A4239)&gt;=Setup!$B$6,1,0)))</f>
        <v/>
      </c>
      <c r="K4239" s="35" t="str">
        <f aca="false">IF($A4239="","",MOD(MONTH($A4239)-Setup!$B$6+12,12)+1)</f>
        <v/>
      </c>
      <c r="L4239" s="36" t="str">
        <f aca="false">IF($A4239="","",TEXT($A4239,"MMM-YY"))</f>
        <v/>
      </c>
      <c r="M4239" s="37" t="str">
        <f aca="false">IF($A4239="","",IF($Q4239=0,"UNMAPPED",INDEX(COA_Mapping!$C$7:$C$256,$Q4239)))</f>
        <v/>
      </c>
      <c r="N4239" s="38" t="str">
        <f aca="false">IF($A4239="","",IF($Q4239=0,"",INDEX(COA_Mapping!$E$7:$E$256,$Q4239)))</f>
        <v/>
      </c>
      <c r="O4239" s="38" t="n">
        <f aca="false">IF($A4239="",1,IF($Q4239=0,1,INDEX(COA_Mapping!$F$7:$F$256,$Q4239)))</f>
        <v>1</v>
      </c>
      <c r="P4239" s="34" t="str">
        <f aca="false">IF($A4239="","",$I4239*$O4239)</f>
        <v/>
      </c>
      <c r="Q4239" s="39" t="n">
        <f aca="false">IF($B4239="",0,IFERROR(MATCH($B4239,COA_Mapping!$A$7:$A$256,0),0))</f>
        <v>0</v>
      </c>
      <c r="R4239" s="39" t="n">
        <f aca="false">IF($A4239="",-1,IF($J4239=Setup!$B$7,1,IF($J4239=Setup!$B$9,0,-1)))</f>
        <v>-1</v>
      </c>
      <c r="S4239" s="35" t="n">
        <f aca="false">IF(OR($A4239="",$Q4239=0,$R4239=-1),0,$Q4239*1000+$R4239*100+$K4239)</f>
        <v>0</v>
      </c>
      <c r="T4239" s="37" t="str">
        <f aca="false">IF($A4239="","",IF($B4239="","NO ACCOUNT",IF($Q4239=0,"UNMAPPED",IF($R4239=-1,"OUTSIDE FY RANGE","OK"))))</f>
        <v/>
      </c>
      <c r="U4239" s="40" t="str">
        <f aca="false">IF($A4239="","",$B4239&amp;"|"&amp;TEXT($A4239,"yyyymmdd")&amp;"|"&amp;TEXT($I4239,"0.00"))</f>
        <v/>
      </c>
      <c r="V4239" s="35" t="str">
        <f aca="false">IF($A4239="","",COUNTIF($U$8:$U$5007,$U4239))</f>
        <v/>
      </c>
    </row>
    <row r="4240" customFormat="false" ht="15" hidden="false" customHeight="false" outlineLevel="0" collapsed="false">
      <c r="A4240" s="31"/>
      <c r="B4240" s="32"/>
      <c r="C4240" s="32"/>
      <c r="D4240" s="32"/>
      <c r="E4240" s="32"/>
      <c r="F4240" s="32"/>
      <c r="G4240" s="33"/>
      <c r="H4240" s="33"/>
      <c r="I4240" s="34" t="str">
        <f aca="false">IF($A4240="","",$G4240-$H4240)</f>
        <v/>
      </c>
      <c r="J4240" s="35" t="str">
        <f aca="false">IF($A4240="","",IF(Setup!$B$6=1,YEAR($A4240),YEAR($A4240)+IF(MONTH($A4240)&gt;=Setup!$B$6,1,0)))</f>
        <v/>
      </c>
      <c r="K4240" s="35" t="str">
        <f aca="false">IF($A4240="","",MOD(MONTH($A4240)-Setup!$B$6+12,12)+1)</f>
        <v/>
      </c>
      <c r="L4240" s="36" t="str">
        <f aca="false">IF($A4240="","",TEXT($A4240,"MMM-YY"))</f>
        <v/>
      </c>
      <c r="M4240" s="37" t="str">
        <f aca="false">IF($A4240="","",IF($Q4240=0,"UNMAPPED",INDEX(COA_Mapping!$C$7:$C$256,$Q4240)))</f>
        <v/>
      </c>
      <c r="N4240" s="38" t="str">
        <f aca="false">IF($A4240="","",IF($Q4240=0,"",INDEX(COA_Mapping!$E$7:$E$256,$Q4240)))</f>
        <v/>
      </c>
      <c r="O4240" s="38" t="n">
        <f aca="false">IF($A4240="",1,IF($Q4240=0,1,INDEX(COA_Mapping!$F$7:$F$256,$Q4240)))</f>
        <v>1</v>
      </c>
      <c r="P4240" s="34" t="str">
        <f aca="false">IF($A4240="","",$I4240*$O4240)</f>
        <v/>
      </c>
      <c r="Q4240" s="39" t="n">
        <f aca="false">IF($B4240="",0,IFERROR(MATCH($B4240,COA_Mapping!$A$7:$A$256,0),0))</f>
        <v>0</v>
      </c>
      <c r="R4240" s="39" t="n">
        <f aca="false">IF($A4240="",-1,IF($J4240=Setup!$B$7,1,IF($J4240=Setup!$B$9,0,-1)))</f>
        <v>-1</v>
      </c>
      <c r="S4240" s="35" t="n">
        <f aca="false">IF(OR($A4240="",$Q4240=0,$R4240=-1),0,$Q4240*1000+$R4240*100+$K4240)</f>
        <v>0</v>
      </c>
      <c r="T4240" s="37" t="str">
        <f aca="false">IF($A4240="","",IF($B4240="","NO ACCOUNT",IF($Q4240=0,"UNMAPPED",IF($R4240=-1,"OUTSIDE FY RANGE","OK"))))</f>
        <v/>
      </c>
      <c r="U4240" s="40" t="str">
        <f aca="false">IF($A4240="","",$B4240&amp;"|"&amp;TEXT($A4240,"yyyymmdd")&amp;"|"&amp;TEXT($I4240,"0.00"))</f>
        <v/>
      </c>
      <c r="V4240" s="35" t="str">
        <f aca="false">IF($A4240="","",COUNTIF($U$8:$U$5007,$U4240))</f>
        <v/>
      </c>
    </row>
    <row r="4241" customFormat="false" ht="15" hidden="false" customHeight="false" outlineLevel="0" collapsed="false">
      <c r="A4241" s="31"/>
      <c r="B4241" s="32"/>
      <c r="C4241" s="32"/>
      <c r="D4241" s="32"/>
      <c r="E4241" s="32"/>
      <c r="F4241" s="32"/>
      <c r="G4241" s="33"/>
      <c r="H4241" s="33"/>
      <c r="I4241" s="34" t="str">
        <f aca="false">IF($A4241="","",$G4241-$H4241)</f>
        <v/>
      </c>
      <c r="J4241" s="35" t="str">
        <f aca="false">IF($A4241="","",IF(Setup!$B$6=1,YEAR($A4241),YEAR($A4241)+IF(MONTH($A4241)&gt;=Setup!$B$6,1,0)))</f>
        <v/>
      </c>
      <c r="K4241" s="35" t="str">
        <f aca="false">IF($A4241="","",MOD(MONTH($A4241)-Setup!$B$6+12,12)+1)</f>
        <v/>
      </c>
      <c r="L4241" s="36" t="str">
        <f aca="false">IF($A4241="","",TEXT($A4241,"MMM-YY"))</f>
        <v/>
      </c>
      <c r="M4241" s="37" t="str">
        <f aca="false">IF($A4241="","",IF($Q4241=0,"UNMAPPED",INDEX(COA_Mapping!$C$7:$C$256,$Q4241)))</f>
        <v/>
      </c>
      <c r="N4241" s="38" t="str">
        <f aca="false">IF($A4241="","",IF($Q4241=0,"",INDEX(COA_Mapping!$E$7:$E$256,$Q4241)))</f>
        <v/>
      </c>
      <c r="O4241" s="38" t="n">
        <f aca="false">IF($A4241="",1,IF($Q4241=0,1,INDEX(COA_Mapping!$F$7:$F$256,$Q4241)))</f>
        <v>1</v>
      </c>
      <c r="P4241" s="34" t="str">
        <f aca="false">IF($A4241="","",$I4241*$O4241)</f>
        <v/>
      </c>
      <c r="Q4241" s="39" t="n">
        <f aca="false">IF($B4241="",0,IFERROR(MATCH($B4241,COA_Mapping!$A$7:$A$256,0),0))</f>
        <v>0</v>
      </c>
      <c r="R4241" s="39" t="n">
        <f aca="false">IF($A4241="",-1,IF($J4241=Setup!$B$7,1,IF($J4241=Setup!$B$9,0,-1)))</f>
        <v>-1</v>
      </c>
      <c r="S4241" s="35" t="n">
        <f aca="false">IF(OR($A4241="",$Q4241=0,$R4241=-1),0,$Q4241*1000+$R4241*100+$K4241)</f>
        <v>0</v>
      </c>
      <c r="T4241" s="37" t="str">
        <f aca="false">IF($A4241="","",IF($B4241="","NO ACCOUNT",IF($Q4241=0,"UNMAPPED",IF($R4241=-1,"OUTSIDE FY RANGE","OK"))))</f>
        <v/>
      </c>
      <c r="U4241" s="40" t="str">
        <f aca="false">IF($A4241="","",$B4241&amp;"|"&amp;TEXT($A4241,"yyyymmdd")&amp;"|"&amp;TEXT($I4241,"0.00"))</f>
        <v/>
      </c>
      <c r="V4241" s="35" t="str">
        <f aca="false">IF($A4241="","",COUNTIF($U$8:$U$5007,$U4241))</f>
        <v/>
      </c>
    </row>
    <row r="4242" customFormat="false" ht="15" hidden="false" customHeight="false" outlineLevel="0" collapsed="false">
      <c r="A4242" s="31"/>
      <c r="B4242" s="32"/>
      <c r="C4242" s="32"/>
      <c r="D4242" s="32"/>
      <c r="E4242" s="32"/>
      <c r="F4242" s="32"/>
      <c r="G4242" s="33"/>
      <c r="H4242" s="33"/>
      <c r="I4242" s="34" t="str">
        <f aca="false">IF($A4242="","",$G4242-$H4242)</f>
        <v/>
      </c>
      <c r="J4242" s="35" t="str">
        <f aca="false">IF($A4242="","",IF(Setup!$B$6=1,YEAR($A4242),YEAR($A4242)+IF(MONTH($A4242)&gt;=Setup!$B$6,1,0)))</f>
        <v/>
      </c>
      <c r="K4242" s="35" t="str">
        <f aca="false">IF($A4242="","",MOD(MONTH($A4242)-Setup!$B$6+12,12)+1)</f>
        <v/>
      </c>
      <c r="L4242" s="36" t="str">
        <f aca="false">IF($A4242="","",TEXT($A4242,"MMM-YY"))</f>
        <v/>
      </c>
      <c r="M4242" s="37" t="str">
        <f aca="false">IF($A4242="","",IF($Q4242=0,"UNMAPPED",INDEX(COA_Mapping!$C$7:$C$256,$Q4242)))</f>
        <v/>
      </c>
      <c r="N4242" s="38" t="str">
        <f aca="false">IF($A4242="","",IF($Q4242=0,"",INDEX(COA_Mapping!$E$7:$E$256,$Q4242)))</f>
        <v/>
      </c>
      <c r="O4242" s="38" t="n">
        <f aca="false">IF($A4242="",1,IF($Q4242=0,1,INDEX(COA_Mapping!$F$7:$F$256,$Q4242)))</f>
        <v>1</v>
      </c>
      <c r="P4242" s="34" t="str">
        <f aca="false">IF($A4242="","",$I4242*$O4242)</f>
        <v/>
      </c>
      <c r="Q4242" s="39" t="n">
        <f aca="false">IF($B4242="",0,IFERROR(MATCH($B4242,COA_Mapping!$A$7:$A$256,0),0))</f>
        <v>0</v>
      </c>
      <c r="R4242" s="39" t="n">
        <f aca="false">IF($A4242="",-1,IF($J4242=Setup!$B$7,1,IF($J4242=Setup!$B$9,0,-1)))</f>
        <v>-1</v>
      </c>
      <c r="S4242" s="35" t="n">
        <f aca="false">IF(OR($A4242="",$Q4242=0,$R4242=-1),0,$Q4242*1000+$R4242*100+$K4242)</f>
        <v>0</v>
      </c>
      <c r="T4242" s="37" t="str">
        <f aca="false">IF($A4242="","",IF($B4242="","NO ACCOUNT",IF($Q4242=0,"UNMAPPED",IF($R4242=-1,"OUTSIDE FY RANGE","OK"))))</f>
        <v/>
      </c>
      <c r="U4242" s="40" t="str">
        <f aca="false">IF($A4242="","",$B4242&amp;"|"&amp;TEXT($A4242,"yyyymmdd")&amp;"|"&amp;TEXT($I4242,"0.00"))</f>
        <v/>
      </c>
      <c r="V4242" s="35" t="str">
        <f aca="false">IF($A4242="","",COUNTIF($U$8:$U$5007,$U4242))</f>
        <v/>
      </c>
    </row>
    <row r="4243" customFormat="false" ht="15" hidden="false" customHeight="false" outlineLevel="0" collapsed="false">
      <c r="A4243" s="31"/>
      <c r="B4243" s="32"/>
      <c r="C4243" s="32"/>
      <c r="D4243" s="32"/>
      <c r="E4243" s="32"/>
      <c r="F4243" s="32"/>
      <c r="G4243" s="33"/>
      <c r="H4243" s="33"/>
      <c r="I4243" s="34" t="str">
        <f aca="false">IF($A4243="","",$G4243-$H4243)</f>
        <v/>
      </c>
      <c r="J4243" s="35" t="str">
        <f aca="false">IF($A4243="","",IF(Setup!$B$6=1,YEAR($A4243),YEAR($A4243)+IF(MONTH($A4243)&gt;=Setup!$B$6,1,0)))</f>
        <v/>
      </c>
      <c r="K4243" s="35" t="str">
        <f aca="false">IF($A4243="","",MOD(MONTH($A4243)-Setup!$B$6+12,12)+1)</f>
        <v/>
      </c>
      <c r="L4243" s="36" t="str">
        <f aca="false">IF($A4243="","",TEXT($A4243,"MMM-YY"))</f>
        <v/>
      </c>
      <c r="M4243" s="37" t="str">
        <f aca="false">IF($A4243="","",IF($Q4243=0,"UNMAPPED",INDEX(COA_Mapping!$C$7:$C$256,$Q4243)))</f>
        <v/>
      </c>
      <c r="N4243" s="38" t="str">
        <f aca="false">IF($A4243="","",IF($Q4243=0,"",INDEX(COA_Mapping!$E$7:$E$256,$Q4243)))</f>
        <v/>
      </c>
      <c r="O4243" s="38" t="n">
        <f aca="false">IF($A4243="",1,IF($Q4243=0,1,INDEX(COA_Mapping!$F$7:$F$256,$Q4243)))</f>
        <v>1</v>
      </c>
      <c r="P4243" s="34" t="str">
        <f aca="false">IF($A4243="","",$I4243*$O4243)</f>
        <v/>
      </c>
      <c r="Q4243" s="39" t="n">
        <f aca="false">IF($B4243="",0,IFERROR(MATCH($B4243,COA_Mapping!$A$7:$A$256,0),0))</f>
        <v>0</v>
      </c>
      <c r="R4243" s="39" t="n">
        <f aca="false">IF($A4243="",-1,IF($J4243=Setup!$B$7,1,IF($J4243=Setup!$B$9,0,-1)))</f>
        <v>-1</v>
      </c>
      <c r="S4243" s="35" t="n">
        <f aca="false">IF(OR($A4243="",$Q4243=0,$R4243=-1),0,$Q4243*1000+$R4243*100+$K4243)</f>
        <v>0</v>
      </c>
      <c r="T4243" s="37" t="str">
        <f aca="false">IF($A4243="","",IF($B4243="","NO ACCOUNT",IF($Q4243=0,"UNMAPPED",IF($R4243=-1,"OUTSIDE FY RANGE","OK"))))</f>
        <v/>
      </c>
      <c r="U4243" s="40" t="str">
        <f aca="false">IF($A4243="","",$B4243&amp;"|"&amp;TEXT($A4243,"yyyymmdd")&amp;"|"&amp;TEXT($I4243,"0.00"))</f>
        <v/>
      </c>
      <c r="V4243" s="35" t="str">
        <f aca="false">IF($A4243="","",COUNTIF($U$8:$U$5007,$U4243))</f>
        <v/>
      </c>
    </row>
    <row r="4244" customFormat="false" ht="15" hidden="false" customHeight="false" outlineLevel="0" collapsed="false">
      <c r="A4244" s="31"/>
      <c r="B4244" s="32"/>
      <c r="C4244" s="32"/>
      <c r="D4244" s="32"/>
      <c r="E4244" s="32"/>
      <c r="F4244" s="32"/>
      <c r="G4244" s="33"/>
      <c r="H4244" s="33"/>
      <c r="I4244" s="34" t="str">
        <f aca="false">IF($A4244="","",$G4244-$H4244)</f>
        <v/>
      </c>
      <c r="J4244" s="35" t="str">
        <f aca="false">IF($A4244="","",IF(Setup!$B$6=1,YEAR($A4244),YEAR($A4244)+IF(MONTH($A4244)&gt;=Setup!$B$6,1,0)))</f>
        <v/>
      </c>
      <c r="K4244" s="35" t="str">
        <f aca="false">IF($A4244="","",MOD(MONTH($A4244)-Setup!$B$6+12,12)+1)</f>
        <v/>
      </c>
      <c r="L4244" s="36" t="str">
        <f aca="false">IF($A4244="","",TEXT($A4244,"MMM-YY"))</f>
        <v/>
      </c>
      <c r="M4244" s="37" t="str">
        <f aca="false">IF($A4244="","",IF($Q4244=0,"UNMAPPED",INDEX(COA_Mapping!$C$7:$C$256,$Q4244)))</f>
        <v/>
      </c>
      <c r="N4244" s="38" t="str">
        <f aca="false">IF($A4244="","",IF($Q4244=0,"",INDEX(COA_Mapping!$E$7:$E$256,$Q4244)))</f>
        <v/>
      </c>
      <c r="O4244" s="38" t="n">
        <f aca="false">IF($A4244="",1,IF($Q4244=0,1,INDEX(COA_Mapping!$F$7:$F$256,$Q4244)))</f>
        <v>1</v>
      </c>
      <c r="P4244" s="34" t="str">
        <f aca="false">IF($A4244="","",$I4244*$O4244)</f>
        <v/>
      </c>
      <c r="Q4244" s="39" t="n">
        <f aca="false">IF($B4244="",0,IFERROR(MATCH($B4244,COA_Mapping!$A$7:$A$256,0),0))</f>
        <v>0</v>
      </c>
      <c r="R4244" s="39" t="n">
        <f aca="false">IF($A4244="",-1,IF($J4244=Setup!$B$7,1,IF($J4244=Setup!$B$9,0,-1)))</f>
        <v>-1</v>
      </c>
      <c r="S4244" s="35" t="n">
        <f aca="false">IF(OR($A4244="",$Q4244=0,$R4244=-1),0,$Q4244*1000+$R4244*100+$K4244)</f>
        <v>0</v>
      </c>
      <c r="T4244" s="37" t="str">
        <f aca="false">IF($A4244="","",IF($B4244="","NO ACCOUNT",IF($Q4244=0,"UNMAPPED",IF($R4244=-1,"OUTSIDE FY RANGE","OK"))))</f>
        <v/>
      </c>
      <c r="U4244" s="40" t="str">
        <f aca="false">IF($A4244="","",$B4244&amp;"|"&amp;TEXT($A4244,"yyyymmdd")&amp;"|"&amp;TEXT($I4244,"0.00"))</f>
        <v/>
      </c>
      <c r="V4244" s="35" t="str">
        <f aca="false">IF($A4244="","",COUNTIF($U$8:$U$5007,$U4244))</f>
        <v/>
      </c>
    </row>
    <row r="4245" customFormat="false" ht="15" hidden="false" customHeight="false" outlineLevel="0" collapsed="false">
      <c r="A4245" s="31"/>
      <c r="B4245" s="32"/>
      <c r="C4245" s="32"/>
      <c r="D4245" s="32"/>
      <c r="E4245" s="32"/>
      <c r="F4245" s="32"/>
      <c r="G4245" s="33"/>
      <c r="H4245" s="33"/>
      <c r="I4245" s="34" t="str">
        <f aca="false">IF($A4245="","",$G4245-$H4245)</f>
        <v/>
      </c>
      <c r="J4245" s="35" t="str">
        <f aca="false">IF($A4245="","",IF(Setup!$B$6=1,YEAR($A4245),YEAR($A4245)+IF(MONTH($A4245)&gt;=Setup!$B$6,1,0)))</f>
        <v/>
      </c>
      <c r="K4245" s="35" t="str">
        <f aca="false">IF($A4245="","",MOD(MONTH($A4245)-Setup!$B$6+12,12)+1)</f>
        <v/>
      </c>
      <c r="L4245" s="36" t="str">
        <f aca="false">IF($A4245="","",TEXT($A4245,"MMM-YY"))</f>
        <v/>
      </c>
      <c r="M4245" s="37" t="str">
        <f aca="false">IF($A4245="","",IF($Q4245=0,"UNMAPPED",INDEX(COA_Mapping!$C$7:$C$256,$Q4245)))</f>
        <v/>
      </c>
      <c r="N4245" s="38" t="str">
        <f aca="false">IF($A4245="","",IF($Q4245=0,"",INDEX(COA_Mapping!$E$7:$E$256,$Q4245)))</f>
        <v/>
      </c>
      <c r="O4245" s="38" t="n">
        <f aca="false">IF($A4245="",1,IF($Q4245=0,1,INDEX(COA_Mapping!$F$7:$F$256,$Q4245)))</f>
        <v>1</v>
      </c>
      <c r="P4245" s="34" t="str">
        <f aca="false">IF($A4245="","",$I4245*$O4245)</f>
        <v/>
      </c>
      <c r="Q4245" s="39" t="n">
        <f aca="false">IF($B4245="",0,IFERROR(MATCH($B4245,COA_Mapping!$A$7:$A$256,0),0))</f>
        <v>0</v>
      </c>
      <c r="R4245" s="39" t="n">
        <f aca="false">IF($A4245="",-1,IF($J4245=Setup!$B$7,1,IF($J4245=Setup!$B$9,0,-1)))</f>
        <v>-1</v>
      </c>
      <c r="S4245" s="35" t="n">
        <f aca="false">IF(OR($A4245="",$Q4245=0,$R4245=-1),0,$Q4245*1000+$R4245*100+$K4245)</f>
        <v>0</v>
      </c>
      <c r="T4245" s="37" t="str">
        <f aca="false">IF($A4245="","",IF($B4245="","NO ACCOUNT",IF($Q4245=0,"UNMAPPED",IF($R4245=-1,"OUTSIDE FY RANGE","OK"))))</f>
        <v/>
      </c>
      <c r="U4245" s="40" t="str">
        <f aca="false">IF($A4245="","",$B4245&amp;"|"&amp;TEXT($A4245,"yyyymmdd")&amp;"|"&amp;TEXT($I4245,"0.00"))</f>
        <v/>
      </c>
      <c r="V4245" s="35" t="str">
        <f aca="false">IF($A4245="","",COUNTIF($U$8:$U$5007,$U4245))</f>
        <v/>
      </c>
    </row>
    <row r="4246" customFormat="false" ht="15" hidden="false" customHeight="false" outlineLevel="0" collapsed="false">
      <c r="A4246" s="31"/>
      <c r="B4246" s="32"/>
      <c r="C4246" s="32"/>
      <c r="D4246" s="32"/>
      <c r="E4246" s="32"/>
      <c r="F4246" s="32"/>
      <c r="G4246" s="33"/>
      <c r="H4246" s="33"/>
      <c r="I4246" s="34" t="str">
        <f aca="false">IF($A4246="","",$G4246-$H4246)</f>
        <v/>
      </c>
      <c r="J4246" s="35" t="str">
        <f aca="false">IF($A4246="","",IF(Setup!$B$6=1,YEAR($A4246),YEAR($A4246)+IF(MONTH($A4246)&gt;=Setup!$B$6,1,0)))</f>
        <v/>
      </c>
      <c r="K4246" s="35" t="str">
        <f aca="false">IF($A4246="","",MOD(MONTH($A4246)-Setup!$B$6+12,12)+1)</f>
        <v/>
      </c>
      <c r="L4246" s="36" t="str">
        <f aca="false">IF($A4246="","",TEXT($A4246,"MMM-YY"))</f>
        <v/>
      </c>
      <c r="M4246" s="37" t="str">
        <f aca="false">IF($A4246="","",IF($Q4246=0,"UNMAPPED",INDEX(COA_Mapping!$C$7:$C$256,$Q4246)))</f>
        <v/>
      </c>
      <c r="N4246" s="38" t="str">
        <f aca="false">IF($A4246="","",IF($Q4246=0,"",INDEX(COA_Mapping!$E$7:$E$256,$Q4246)))</f>
        <v/>
      </c>
      <c r="O4246" s="38" t="n">
        <f aca="false">IF($A4246="",1,IF($Q4246=0,1,INDEX(COA_Mapping!$F$7:$F$256,$Q4246)))</f>
        <v>1</v>
      </c>
      <c r="P4246" s="34" t="str">
        <f aca="false">IF($A4246="","",$I4246*$O4246)</f>
        <v/>
      </c>
      <c r="Q4246" s="39" t="n">
        <f aca="false">IF($B4246="",0,IFERROR(MATCH($B4246,COA_Mapping!$A$7:$A$256,0),0))</f>
        <v>0</v>
      </c>
      <c r="R4246" s="39" t="n">
        <f aca="false">IF($A4246="",-1,IF($J4246=Setup!$B$7,1,IF($J4246=Setup!$B$9,0,-1)))</f>
        <v>-1</v>
      </c>
      <c r="S4246" s="35" t="n">
        <f aca="false">IF(OR($A4246="",$Q4246=0,$R4246=-1),0,$Q4246*1000+$R4246*100+$K4246)</f>
        <v>0</v>
      </c>
      <c r="T4246" s="37" t="str">
        <f aca="false">IF($A4246="","",IF($B4246="","NO ACCOUNT",IF($Q4246=0,"UNMAPPED",IF($R4246=-1,"OUTSIDE FY RANGE","OK"))))</f>
        <v/>
      </c>
      <c r="U4246" s="40" t="str">
        <f aca="false">IF($A4246="","",$B4246&amp;"|"&amp;TEXT($A4246,"yyyymmdd")&amp;"|"&amp;TEXT($I4246,"0.00"))</f>
        <v/>
      </c>
      <c r="V4246" s="35" t="str">
        <f aca="false">IF($A4246="","",COUNTIF($U$8:$U$5007,$U4246))</f>
        <v/>
      </c>
    </row>
    <row r="4247" customFormat="false" ht="15" hidden="false" customHeight="false" outlineLevel="0" collapsed="false">
      <c r="A4247" s="31"/>
      <c r="B4247" s="32"/>
      <c r="C4247" s="32"/>
      <c r="D4247" s="32"/>
      <c r="E4247" s="32"/>
      <c r="F4247" s="32"/>
      <c r="G4247" s="33"/>
      <c r="H4247" s="33"/>
      <c r="I4247" s="34" t="str">
        <f aca="false">IF($A4247="","",$G4247-$H4247)</f>
        <v/>
      </c>
      <c r="J4247" s="35" t="str">
        <f aca="false">IF($A4247="","",IF(Setup!$B$6=1,YEAR($A4247),YEAR($A4247)+IF(MONTH($A4247)&gt;=Setup!$B$6,1,0)))</f>
        <v/>
      </c>
      <c r="K4247" s="35" t="str">
        <f aca="false">IF($A4247="","",MOD(MONTH($A4247)-Setup!$B$6+12,12)+1)</f>
        <v/>
      </c>
      <c r="L4247" s="36" t="str">
        <f aca="false">IF($A4247="","",TEXT($A4247,"MMM-YY"))</f>
        <v/>
      </c>
      <c r="M4247" s="37" t="str">
        <f aca="false">IF($A4247="","",IF($Q4247=0,"UNMAPPED",INDEX(COA_Mapping!$C$7:$C$256,$Q4247)))</f>
        <v/>
      </c>
      <c r="N4247" s="38" t="str">
        <f aca="false">IF($A4247="","",IF($Q4247=0,"",INDEX(COA_Mapping!$E$7:$E$256,$Q4247)))</f>
        <v/>
      </c>
      <c r="O4247" s="38" t="n">
        <f aca="false">IF($A4247="",1,IF($Q4247=0,1,INDEX(COA_Mapping!$F$7:$F$256,$Q4247)))</f>
        <v>1</v>
      </c>
      <c r="P4247" s="34" t="str">
        <f aca="false">IF($A4247="","",$I4247*$O4247)</f>
        <v/>
      </c>
      <c r="Q4247" s="39" t="n">
        <f aca="false">IF($B4247="",0,IFERROR(MATCH($B4247,COA_Mapping!$A$7:$A$256,0),0))</f>
        <v>0</v>
      </c>
      <c r="R4247" s="39" t="n">
        <f aca="false">IF($A4247="",-1,IF($J4247=Setup!$B$7,1,IF($J4247=Setup!$B$9,0,-1)))</f>
        <v>-1</v>
      </c>
      <c r="S4247" s="35" t="n">
        <f aca="false">IF(OR($A4247="",$Q4247=0,$R4247=-1),0,$Q4247*1000+$R4247*100+$K4247)</f>
        <v>0</v>
      </c>
      <c r="T4247" s="37" t="str">
        <f aca="false">IF($A4247="","",IF($B4247="","NO ACCOUNT",IF($Q4247=0,"UNMAPPED",IF($R4247=-1,"OUTSIDE FY RANGE","OK"))))</f>
        <v/>
      </c>
      <c r="U4247" s="40" t="str">
        <f aca="false">IF($A4247="","",$B4247&amp;"|"&amp;TEXT($A4247,"yyyymmdd")&amp;"|"&amp;TEXT($I4247,"0.00"))</f>
        <v/>
      </c>
      <c r="V4247" s="35" t="str">
        <f aca="false">IF($A4247="","",COUNTIF($U$8:$U$5007,$U4247))</f>
        <v/>
      </c>
    </row>
    <row r="4248" customFormat="false" ht="15" hidden="false" customHeight="false" outlineLevel="0" collapsed="false">
      <c r="A4248" s="31"/>
      <c r="B4248" s="32"/>
      <c r="C4248" s="32"/>
      <c r="D4248" s="32"/>
      <c r="E4248" s="32"/>
      <c r="F4248" s="32"/>
      <c r="G4248" s="33"/>
      <c r="H4248" s="33"/>
      <c r="I4248" s="34" t="str">
        <f aca="false">IF($A4248="","",$G4248-$H4248)</f>
        <v/>
      </c>
      <c r="J4248" s="35" t="str">
        <f aca="false">IF($A4248="","",IF(Setup!$B$6=1,YEAR($A4248),YEAR($A4248)+IF(MONTH($A4248)&gt;=Setup!$B$6,1,0)))</f>
        <v/>
      </c>
      <c r="K4248" s="35" t="str">
        <f aca="false">IF($A4248="","",MOD(MONTH($A4248)-Setup!$B$6+12,12)+1)</f>
        <v/>
      </c>
      <c r="L4248" s="36" t="str">
        <f aca="false">IF($A4248="","",TEXT($A4248,"MMM-YY"))</f>
        <v/>
      </c>
      <c r="M4248" s="37" t="str">
        <f aca="false">IF($A4248="","",IF($Q4248=0,"UNMAPPED",INDEX(COA_Mapping!$C$7:$C$256,$Q4248)))</f>
        <v/>
      </c>
      <c r="N4248" s="38" t="str">
        <f aca="false">IF($A4248="","",IF($Q4248=0,"",INDEX(COA_Mapping!$E$7:$E$256,$Q4248)))</f>
        <v/>
      </c>
      <c r="O4248" s="38" t="n">
        <f aca="false">IF($A4248="",1,IF($Q4248=0,1,INDEX(COA_Mapping!$F$7:$F$256,$Q4248)))</f>
        <v>1</v>
      </c>
      <c r="P4248" s="34" t="str">
        <f aca="false">IF($A4248="","",$I4248*$O4248)</f>
        <v/>
      </c>
      <c r="Q4248" s="39" t="n">
        <f aca="false">IF($B4248="",0,IFERROR(MATCH($B4248,COA_Mapping!$A$7:$A$256,0),0))</f>
        <v>0</v>
      </c>
      <c r="R4248" s="39" t="n">
        <f aca="false">IF($A4248="",-1,IF($J4248=Setup!$B$7,1,IF($J4248=Setup!$B$9,0,-1)))</f>
        <v>-1</v>
      </c>
      <c r="S4248" s="35" t="n">
        <f aca="false">IF(OR($A4248="",$Q4248=0,$R4248=-1),0,$Q4248*1000+$R4248*100+$K4248)</f>
        <v>0</v>
      </c>
      <c r="T4248" s="37" t="str">
        <f aca="false">IF($A4248="","",IF($B4248="","NO ACCOUNT",IF($Q4248=0,"UNMAPPED",IF($R4248=-1,"OUTSIDE FY RANGE","OK"))))</f>
        <v/>
      </c>
      <c r="U4248" s="40" t="str">
        <f aca="false">IF($A4248="","",$B4248&amp;"|"&amp;TEXT($A4248,"yyyymmdd")&amp;"|"&amp;TEXT($I4248,"0.00"))</f>
        <v/>
      </c>
      <c r="V4248" s="35" t="str">
        <f aca="false">IF($A4248="","",COUNTIF($U$8:$U$5007,$U4248))</f>
        <v/>
      </c>
    </row>
    <row r="4249" customFormat="false" ht="15" hidden="false" customHeight="false" outlineLevel="0" collapsed="false">
      <c r="A4249" s="31"/>
      <c r="B4249" s="32"/>
      <c r="C4249" s="32"/>
      <c r="D4249" s="32"/>
      <c r="E4249" s="32"/>
      <c r="F4249" s="32"/>
      <c r="G4249" s="33"/>
      <c r="H4249" s="33"/>
      <c r="I4249" s="34" t="str">
        <f aca="false">IF($A4249="","",$G4249-$H4249)</f>
        <v/>
      </c>
      <c r="J4249" s="35" t="str">
        <f aca="false">IF($A4249="","",IF(Setup!$B$6=1,YEAR($A4249),YEAR($A4249)+IF(MONTH($A4249)&gt;=Setup!$B$6,1,0)))</f>
        <v/>
      </c>
      <c r="K4249" s="35" t="str">
        <f aca="false">IF($A4249="","",MOD(MONTH($A4249)-Setup!$B$6+12,12)+1)</f>
        <v/>
      </c>
      <c r="L4249" s="36" t="str">
        <f aca="false">IF($A4249="","",TEXT($A4249,"MMM-YY"))</f>
        <v/>
      </c>
      <c r="M4249" s="37" t="str">
        <f aca="false">IF($A4249="","",IF($Q4249=0,"UNMAPPED",INDEX(COA_Mapping!$C$7:$C$256,$Q4249)))</f>
        <v/>
      </c>
      <c r="N4249" s="38" t="str">
        <f aca="false">IF($A4249="","",IF($Q4249=0,"",INDEX(COA_Mapping!$E$7:$E$256,$Q4249)))</f>
        <v/>
      </c>
      <c r="O4249" s="38" t="n">
        <f aca="false">IF($A4249="",1,IF($Q4249=0,1,INDEX(COA_Mapping!$F$7:$F$256,$Q4249)))</f>
        <v>1</v>
      </c>
      <c r="P4249" s="34" t="str">
        <f aca="false">IF($A4249="","",$I4249*$O4249)</f>
        <v/>
      </c>
      <c r="Q4249" s="39" t="n">
        <f aca="false">IF($B4249="",0,IFERROR(MATCH($B4249,COA_Mapping!$A$7:$A$256,0),0))</f>
        <v>0</v>
      </c>
      <c r="R4249" s="39" t="n">
        <f aca="false">IF($A4249="",-1,IF($J4249=Setup!$B$7,1,IF($J4249=Setup!$B$9,0,-1)))</f>
        <v>-1</v>
      </c>
      <c r="S4249" s="35" t="n">
        <f aca="false">IF(OR($A4249="",$Q4249=0,$R4249=-1),0,$Q4249*1000+$R4249*100+$K4249)</f>
        <v>0</v>
      </c>
      <c r="T4249" s="37" t="str">
        <f aca="false">IF($A4249="","",IF($B4249="","NO ACCOUNT",IF($Q4249=0,"UNMAPPED",IF($R4249=-1,"OUTSIDE FY RANGE","OK"))))</f>
        <v/>
      </c>
      <c r="U4249" s="40" t="str">
        <f aca="false">IF($A4249="","",$B4249&amp;"|"&amp;TEXT($A4249,"yyyymmdd")&amp;"|"&amp;TEXT($I4249,"0.00"))</f>
        <v/>
      </c>
      <c r="V4249" s="35" t="str">
        <f aca="false">IF($A4249="","",COUNTIF($U$8:$U$5007,$U4249))</f>
        <v/>
      </c>
    </row>
    <row r="4250" customFormat="false" ht="15" hidden="false" customHeight="false" outlineLevel="0" collapsed="false">
      <c r="A4250" s="31"/>
      <c r="B4250" s="32"/>
      <c r="C4250" s="32"/>
      <c r="D4250" s="32"/>
      <c r="E4250" s="32"/>
      <c r="F4250" s="32"/>
      <c r="G4250" s="33"/>
      <c r="H4250" s="33"/>
      <c r="I4250" s="34" t="str">
        <f aca="false">IF($A4250="","",$G4250-$H4250)</f>
        <v/>
      </c>
      <c r="J4250" s="35" t="str">
        <f aca="false">IF($A4250="","",IF(Setup!$B$6=1,YEAR($A4250),YEAR($A4250)+IF(MONTH($A4250)&gt;=Setup!$B$6,1,0)))</f>
        <v/>
      </c>
      <c r="K4250" s="35" t="str">
        <f aca="false">IF($A4250="","",MOD(MONTH($A4250)-Setup!$B$6+12,12)+1)</f>
        <v/>
      </c>
      <c r="L4250" s="36" t="str">
        <f aca="false">IF($A4250="","",TEXT($A4250,"MMM-YY"))</f>
        <v/>
      </c>
      <c r="M4250" s="37" t="str">
        <f aca="false">IF($A4250="","",IF($Q4250=0,"UNMAPPED",INDEX(COA_Mapping!$C$7:$C$256,$Q4250)))</f>
        <v/>
      </c>
      <c r="N4250" s="38" t="str">
        <f aca="false">IF($A4250="","",IF($Q4250=0,"",INDEX(COA_Mapping!$E$7:$E$256,$Q4250)))</f>
        <v/>
      </c>
      <c r="O4250" s="38" t="n">
        <f aca="false">IF($A4250="",1,IF($Q4250=0,1,INDEX(COA_Mapping!$F$7:$F$256,$Q4250)))</f>
        <v>1</v>
      </c>
      <c r="P4250" s="34" t="str">
        <f aca="false">IF($A4250="","",$I4250*$O4250)</f>
        <v/>
      </c>
      <c r="Q4250" s="39" t="n">
        <f aca="false">IF($B4250="",0,IFERROR(MATCH($B4250,COA_Mapping!$A$7:$A$256,0),0))</f>
        <v>0</v>
      </c>
      <c r="R4250" s="39" t="n">
        <f aca="false">IF($A4250="",-1,IF($J4250=Setup!$B$7,1,IF($J4250=Setup!$B$9,0,-1)))</f>
        <v>-1</v>
      </c>
      <c r="S4250" s="35" t="n">
        <f aca="false">IF(OR($A4250="",$Q4250=0,$R4250=-1),0,$Q4250*1000+$R4250*100+$K4250)</f>
        <v>0</v>
      </c>
      <c r="T4250" s="37" t="str">
        <f aca="false">IF($A4250="","",IF($B4250="","NO ACCOUNT",IF($Q4250=0,"UNMAPPED",IF($R4250=-1,"OUTSIDE FY RANGE","OK"))))</f>
        <v/>
      </c>
      <c r="U4250" s="40" t="str">
        <f aca="false">IF($A4250="","",$B4250&amp;"|"&amp;TEXT($A4250,"yyyymmdd")&amp;"|"&amp;TEXT($I4250,"0.00"))</f>
        <v/>
      </c>
      <c r="V4250" s="35" t="str">
        <f aca="false">IF($A4250="","",COUNTIF($U$8:$U$5007,$U4250))</f>
        <v/>
      </c>
    </row>
    <row r="4251" customFormat="false" ht="15" hidden="false" customHeight="false" outlineLevel="0" collapsed="false">
      <c r="A4251" s="31"/>
      <c r="B4251" s="32"/>
      <c r="C4251" s="32"/>
      <c r="D4251" s="32"/>
      <c r="E4251" s="32"/>
      <c r="F4251" s="32"/>
      <c r="G4251" s="33"/>
      <c r="H4251" s="33"/>
      <c r="I4251" s="34" t="str">
        <f aca="false">IF($A4251="","",$G4251-$H4251)</f>
        <v/>
      </c>
      <c r="J4251" s="35" t="str">
        <f aca="false">IF($A4251="","",IF(Setup!$B$6=1,YEAR($A4251),YEAR($A4251)+IF(MONTH($A4251)&gt;=Setup!$B$6,1,0)))</f>
        <v/>
      </c>
      <c r="K4251" s="35" t="str">
        <f aca="false">IF($A4251="","",MOD(MONTH($A4251)-Setup!$B$6+12,12)+1)</f>
        <v/>
      </c>
      <c r="L4251" s="36" t="str">
        <f aca="false">IF($A4251="","",TEXT($A4251,"MMM-YY"))</f>
        <v/>
      </c>
      <c r="M4251" s="37" t="str">
        <f aca="false">IF($A4251="","",IF($Q4251=0,"UNMAPPED",INDEX(COA_Mapping!$C$7:$C$256,$Q4251)))</f>
        <v/>
      </c>
      <c r="N4251" s="38" t="str">
        <f aca="false">IF($A4251="","",IF($Q4251=0,"",INDEX(COA_Mapping!$E$7:$E$256,$Q4251)))</f>
        <v/>
      </c>
      <c r="O4251" s="38" t="n">
        <f aca="false">IF($A4251="",1,IF($Q4251=0,1,INDEX(COA_Mapping!$F$7:$F$256,$Q4251)))</f>
        <v>1</v>
      </c>
      <c r="P4251" s="34" t="str">
        <f aca="false">IF($A4251="","",$I4251*$O4251)</f>
        <v/>
      </c>
      <c r="Q4251" s="39" t="n">
        <f aca="false">IF($B4251="",0,IFERROR(MATCH($B4251,COA_Mapping!$A$7:$A$256,0),0))</f>
        <v>0</v>
      </c>
      <c r="R4251" s="39" t="n">
        <f aca="false">IF($A4251="",-1,IF($J4251=Setup!$B$7,1,IF($J4251=Setup!$B$9,0,-1)))</f>
        <v>-1</v>
      </c>
      <c r="S4251" s="35" t="n">
        <f aca="false">IF(OR($A4251="",$Q4251=0,$R4251=-1),0,$Q4251*1000+$R4251*100+$K4251)</f>
        <v>0</v>
      </c>
      <c r="T4251" s="37" t="str">
        <f aca="false">IF($A4251="","",IF($B4251="","NO ACCOUNT",IF($Q4251=0,"UNMAPPED",IF($R4251=-1,"OUTSIDE FY RANGE","OK"))))</f>
        <v/>
      </c>
      <c r="U4251" s="40" t="str">
        <f aca="false">IF($A4251="","",$B4251&amp;"|"&amp;TEXT($A4251,"yyyymmdd")&amp;"|"&amp;TEXT($I4251,"0.00"))</f>
        <v/>
      </c>
      <c r="V4251" s="35" t="str">
        <f aca="false">IF($A4251="","",COUNTIF($U$8:$U$5007,$U4251))</f>
        <v/>
      </c>
    </row>
    <row r="4252" customFormat="false" ht="15" hidden="false" customHeight="false" outlineLevel="0" collapsed="false">
      <c r="A4252" s="31"/>
      <c r="B4252" s="32"/>
      <c r="C4252" s="32"/>
      <c r="D4252" s="32"/>
      <c r="E4252" s="32"/>
      <c r="F4252" s="32"/>
      <c r="G4252" s="33"/>
      <c r="H4252" s="33"/>
      <c r="I4252" s="34" t="str">
        <f aca="false">IF($A4252="","",$G4252-$H4252)</f>
        <v/>
      </c>
      <c r="J4252" s="35" t="str">
        <f aca="false">IF($A4252="","",IF(Setup!$B$6=1,YEAR($A4252),YEAR($A4252)+IF(MONTH($A4252)&gt;=Setup!$B$6,1,0)))</f>
        <v/>
      </c>
      <c r="K4252" s="35" t="str">
        <f aca="false">IF($A4252="","",MOD(MONTH($A4252)-Setup!$B$6+12,12)+1)</f>
        <v/>
      </c>
      <c r="L4252" s="36" t="str">
        <f aca="false">IF($A4252="","",TEXT($A4252,"MMM-YY"))</f>
        <v/>
      </c>
      <c r="M4252" s="37" t="str">
        <f aca="false">IF($A4252="","",IF($Q4252=0,"UNMAPPED",INDEX(COA_Mapping!$C$7:$C$256,$Q4252)))</f>
        <v/>
      </c>
      <c r="N4252" s="38" t="str">
        <f aca="false">IF($A4252="","",IF($Q4252=0,"",INDEX(COA_Mapping!$E$7:$E$256,$Q4252)))</f>
        <v/>
      </c>
      <c r="O4252" s="38" t="n">
        <f aca="false">IF($A4252="",1,IF($Q4252=0,1,INDEX(COA_Mapping!$F$7:$F$256,$Q4252)))</f>
        <v>1</v>
      </c>
      <c r="P4252" s="34" t="str">
        <f aca="false">IF($A4252="","",$I4252*$O4252)</f>
        <v/>
      </c>
      <c r="Q4252" s="39" t="n">
        <f aca="false">IF($B4252="",0,IFERROR(MATCH($B4252,COA_Mapping!$A$7:$A$256,0),0))</f>
        <v>0</v>
      </c>
      <c r="R4252" s="39" t="n">
        <f aca="false">IF($A4252="",-1,IF($J4252=Setup!$B$7,1,IF($J4252=Setup!$B$9,0,-1)))</f>
        <v>-1</v>
      </c>
      <c r="S4252" s="35" t="n">
        <f aca="false">IF(OR($A4252="",$Q4252=0,$R4252=-1),0,$Q4252*1000+$R4252*100+$K4252)</f>
        <v>0</v>
      </c>
      <c r="T4252" s="37" t="str">
        <f aca="false">IF($A4252="","",IF($B4252="","NO ACCOUNT",IF($Q4252=0,"UNMAPPED",IF($R4252=-1,"OUTSIDE FY RANGE","OK"))))</f>
        <v/>
      </c>
      <c r="U4252" s="40" t="str">
        <f aca="false">IF($A4252="","",$B4252&amp;"|"&amp;TEXT($A4252,"yyyymmdd")&amp;"|"&amp;TEXT($I4252,"0.00"))</f>
        <v/>
      </c>
      <c r="V4252" s="35" t="str">
        <f aca="false">IF($A4252="","",COUNTIF($U$8:$U$5007,$U4252))</f>
        <v/>
      </c>
    </row>
    <row r="4253" customFormat="false" ht="15" hidden="false" customHeight="false" outlineLevel="0" collapsed="false">
      <c r="A4253" s="31"/>
      <c r="B4253" s="32"/>
      <c r="C4253" s="32"/>
      <c r="D4253" s="32"/>
      <c r="E4253" s="32"/>
      <c r="F4253" s="32"/>
      <c r="G4253" s="33"/>
      <c r="H4253" s="33"/>
      <c r="I4253" s="34" t="str">
        <f aca="false">IF($A4253="","",$G4253-$H4253)</f>
        <v/>
      </c>
      <c r="J4253" s="35" t="str">
        <f aca="false">IF($A4253="","",IF(Setup!$B$6=1,YEAR($A4253),YEAR($A4253)+IF(MONTH($A4253)&gt;=Setup!$B$6,1,0)))</f>
        <v/>
      </c>
      <c r="K4253" s="35" t="str">
        <f aca="false">IF($A4253="","",MOD(MONTH($A4253)-Setup!$B$6+12,12)+1)</f>
        <v/>
      </c>
      <c r="L4253" s="36" t="str">
        <f aca="false">IF($A4253="","",TEXT($A4253,"MMM-YY"))</f>
        <v/>
      </c>
      <c r="M4253" s="37" t="str">
        <f aca="false">IF($A4253="","",IF($Q4253=0,"UNMAPPED",INDEX(COA_Mapping!$C$7:$C$256,$Q4253)))</f>
        <v/>
      </c>
      <c r="N4253" s="38" t="str">
        <f aca="false">IF($A4253="","",IF($Q4253=0,"",INDEX(COA_Mapping!$E$7:$E$256,$Q4253)))</f>
        <v/>
      </c>
      <c r="O4253" s="38" t="n">
        <f aca="false">IF($A4253="",1,IF($Q4253=0,1,INDEX(COA_Mapping!$F$7:$F$256,$Q4253)))</f>
        <v>1</v>
      </c>
      <c r="P4253" s="34" t="str">
        <f aca="false">IF($A4253="","",$I4253*$O4253)</f>
        <v/>
      </c>
      <c r="Q4253" s="39" t="n">
        <f aca="false">IF($B4253="",0,IFERROR(MATCH($B4253,COA_Mapping!$A$7:$A$256,0),0))</f>
        <v>0</v>
      </c>
      <c r="R4253" s="39" t="n">
        <f aca="false">IF($A4253="",-1,IF($J4253=Setup!$B$7,1,IF($J4253=Setup!$B$9,0,-1)))</f>
        <v>-1</v>
      </c>
      <c r="S4253" s="35" t="n">
        <f aca="false">IF(OR($A4253="",$Q4253=0,$R4253=-1),0,$Q4253*1000+$R4253*100+$K4253)</f>
        <v>0</v>
      </c>
      <c r="T4253" s="37" t="str">
        <f aca="false">IF($A4253="","",IF($B4253="","NO ACCOUNT",IF($Q4253=0,"UNMAPPED",IF($R4253=-1,"OUTSIDE FY RANGE","OK"))))</f>
        <v/>
      </c>
      <c r="U4253" s="40" t="str">
        <f aca="false">IF($A4253="","",$B4253&amp;"|"&amp;TEXT($A4253,"yyyymmdd")&amp;"|"&amp;TEXT($I4253,"0.00"))</f>
        <v/>
      </c>
      <c r="V4253" s="35" t="str">
        <f aca="false">IF($A4253="","",COUNTIF($U$8:$U$5007,$U4253))</f>
        <v/>
      </c>
    </row>
    <row r="4254" customFormat="false" ht="15" hidden="false" customHeight="false" outlineLevel="0" collapsed="false">
      <c r="A4254" s="31"/>
      <c r="B4254" s="32"/>
      <c r="C4254" s="32"/>
      <c r="D4254" s="32"/>
      <c r="E4254" s="32"/>
      <c r="F4254" s="32"/>
      <c r="G4254" s="33"/>
      <c r="H4254" s="33"/>
      <c r="I4254" s="34" t="str">
        <f aca="false">IF($A4254="","",$G4254-$H4254)</f>
        <v/>
      </c>
      <c r="J4254" s="35" t="str">
        <f aca="false">IF($A4254="","",IF(Setup!$B$6=1,YEAR($A4254),YEAR($A4254)+IF(MONTH($A4254)&gt;=Setup!$B$6,1,0)))</f>
        <v/>
      </c>
      <c r="K4254" s="35" t="str">
        <f aca="false">IF($A4254="","",MOD(MONTH($A4254)-Setup!$B$6+12,12)+1)</f>
        <v/>
      </c>
      <c r="L4254" s="36" t="str">
        <f aca="false">IF($A4254="","",TEXT($A4254,"MMM-YY"))</f>
        <v/>
      </c>
      <c r="M4254" s="37" t="str">
        <f aca="false">IF($A4254="","",IF($Q4254=0,"UNMAPPED",INDEX(COA_Mapping!$C$7:$C$256,$Q4254)))</f>
        <v/>
      </c>
      <c r="N4254" s="38" t="str">
        <f aca="false">IF($A4254="","",IF($Q4254=0,"",INDEX(COA_Mapping!$E$7:$E$256,$Q4254)))</f>
        <v/>
      </c>
      <c r="O4254" s="38" t="n">
        <f aca="false">IF($A4254="",1,IF($Q4254=0,1,INDEX(COA_Mapping!$F$7:$F$256,$Q4254)))</f>
        <v>1</v>
      </c>
      <c r="P4254" s="34" t="str">
        <f aca="false">IF($A4254="","",$I4254*$O4254)</f>
        <v/>
      </c>
      <c r="Q4254" s="39" t="n">
        <f aca="false">IF($B4254="",0,IFERROR(MATCH($B4254,COA_Mapping!$A$7:$A$256,0),0))</f>
        <v>0</v>
      </c>
      <c r="R4254" s="39" t="n">
        <f aca="false">IF($A4254="",-1,IF($J4254=Setup!$B$7,1,IF($J4254=Setup!$B$9,0,-1)))</f>
        <v>-1</v>
      </c>
      <c r="S4254" s="35" t="n">
        <f aca="false">IF(OR($A4254="",$Q4254=0,$R4254=-1),0,$Q4254*1000+$R4254*100+$K4254)</f>
        <v>0</v>
      </c>
      <c r="T4254" s="37" t="str">
        <f aca="false">IF($A4254="","",IF($B4254="","NO ACCOUNT",IF($Q4254=0,"UNMAPPED",IF($R4254=-1,"OUTSIDE FY RANGE","OK"))))</f>
        <v/>
      </c>
      <c r="U4254" s="40" t="str">
        <f aca="false">IF($A4254="","",$B4254&amp;"|"&amp;TEXT($A4254,"yyyymmdd")&amp;"|"&amp;TEXT($I4254,"0.00"))</f>
        <v/>
      </c>
      <c r="V4254" s="35" t="str">
        <f aca="false">IF($A4254="","",COUNTIF($U$8:$U$5007,$U4254))</f>
        <v/>
      </c>
    </row>
    <row r="4255" customFormat="false" ht="15" hidden="false" customHeight="false" outlineLevel="0" collapsed="false">
      <c r="A4255" s="31"/>
      <c r="B4255" s="32"/>
      <c r="C4255" s="32"/>
      <c r="D4255" s="32"/>
      <c r="E4255" s="32"/>
      <c r="F4255" s="32"/>
      <c r="G4255" s="33"/>
      <c r="H4255" s="33"/>
      <c r="I4255" s="34" t="str">
        <f aca="false">IF($A4255="","",$G4255-$H4255)</f>
        <v/>
      </c>
      <c r="J4255" s="35" t="str">
        <f aca="false">IF($A4255="","",IF(Setup!$B$6=1,YEAR($A4255),YEAR($A4255)+IF(MONTH($A4255)&gt;=Setup!$B$6,1,0)))</f>
        <v/>
      </c>
      <c r="K4255" s="35" t="str">
        <f aca="false">IF($A4255="","",MOD(MONTH($A4255)-Setup!$B$6+12,12)+1)</f>
        <v/>
      </c>
      <c r="L4255" s="36" t="str">
        <f aca="false">IF($A4255="","",TEXT($A4255,"MMM-YY"))</f>
        <v/>
      </c>
      <c r="M4255" s="37" t="str">
        <f aca="false">IF($A4255="","",IF($Q4255=0,"UNMAPPED",INDEX(COA_Mapping!$C$7:$C$256,$Q4255)))</f>
        <v/>
      </c>
      <c r="N4255" s="38" t="str">
        <f aca="false">IF($A4255="","",IF($Q4255=0,"",INDEX(COA_Mapping!$E$7:$E$256,$Q4255)))</f>
        <v/>
      </c>
      <c r="O4255" s="38" t="n">
        <f aca="false">IF($A4255="",1,IF($Q4255=0,1,INDEX(COA_Mapping!$F$7:$F$256,$Q4255)))</f>
        <v>1</v>
      </c>
      <c r="P4255" s="34" t="str">
        <f aca="false">IF($A4255="","",$I4255*$O4255)</f>
        <v/>
      </c>
      <c r="Q4255" s="39" t="n">
        <f aca="false">IF($B4255="",0,IFERROR(MATCH($B4255,COA_Mapping!$A$7:$A$256,0),0))</f>
        <v>0</v>
      </c>
      <c r="R4255" s="39" t="n">
        <f aca="false">IF($A4255="",-1,IF($J4255=Setup!$B$7,1,IF($J4255=Setup!$B$9,0,-1)))</f>
        <v>-1</v>
      </c>
      <c r="S4255" s="35" t="n">
        <f aca="false">IF(OR($A4255="",$Q4255=0,$R4255=-1),0,$Q4255*1000+$R4255*100+$K4255)</f>
        <v>0</v>
      </c>
      <c r="T4255" s="37" t="str">
        <f aca="false">IF($A4255="","",IF($B4255="","NO ACCOUNT",IF($Q4255=0,"UNMAPPED",IF($R4255=-1,"OUTSIDE FY RANGE","OK"))))</f>
        <v/>
      </c>
      <c r="U4255" s="40" t="str">
        <f aca="false">IF($A4255="","",$B4255&amp;"|"&amp;TEXT($A4255,"yyyymmdd")&amp;"|"&amp;TEXT($I4255,"0.00"))</f>
        <v/>
      </c>
      <c r="V4255" s="35" t="str">
        <f aca="false">IF($A4255="","",COUNTIF($U$8:$U$5007,$U4255))</f>
        <v/>
      </c>
    </row>
    <row r="4256" customFormat="false" ht="15" hidden="false" customHeight="false" outlineLevel="0" collapsed="false">
      <c r="A4256" s="31"/>
      <c r="B4256" s="32"/>
      <c r="C4256" s="32"/>
      <c r="D4256" s="32"/>
      <c r="E4256" s="32"/>
      <c r="F4256" s="32"/>
      <c r="G4256" s="33"/>
      <c r="H4256" s="33"/>
      <c r="I4256" s="34" t="str">
        <f aca="false">IF($A4256="","",$G4256-$H4256)</f>
        <v/>
      </c>
      <c r="J4256" s="35" t="str">
        <f aca="false">IF($A4256="","",IF(Setup!$B$6=1,YEAR($A4256),YEAR($A4256)+IF(MONTH($A4256)&gt;=Setup!$B$6,1,0)))</f>
        <v/>
      </c>
      <c r="K4256" s="35" t="str">
        <f aca="false">IF($A4256="","",MOD(MONTH($A4256)-Setup!$B$6+12,12)+1)</f>
        <v/>
      </c>
      <c r="L4256" s="36" t="str">
        <f aca="false">IF($A4256="","",TEXT($A4256,"MMM-YY"))</f>
        <v/>
      </c>
      <c r="M4256" s="37" t="str">
        <f aca="false">IF($A4256="","",IF($Q4256=0,"UNMAPPED",INDEX(COA_Mapping!$C$7:$C$256,$Q4256)))</f>
        <v/>
      </c>
      <c r="N4256" s="38" t="str">
        <f aca="false">IF($A4256="","",IF($Q4256=0,"",INDEX(COA_Mapping!$E$7:$E$256,$Q4256)))</f>
        <v/>
      </c>
      <c r="O4256" s="38" t="n">
        <f aca="false">IF($A4256="",1,IF($Q4256=0,1,INDEX(COA_Mapping!$F$7:$F$256,$Q4256)))</f>
        <v>1</v>
      </c>
      <c r="P4256" s="34" t="str">
        <f aca="false">IF($A4256="","",$I4256*$O4256)</f>
        <v/>
      </c>
      <c r="Q4256" s="39" t="n">
        <f aca="false">IF($B4256="",0,IFERROR(MATCH($B4256,COA_Mapping!$A$7:$A$256,0),0))</f>
        <v>0</v>
      </c>
      <c r="R4256" s="39" t="n">
        <f aca="false">IF($A4256="",-1,IF($J4256=Setup!$B$7,1,IF($J4256=Setup!$B$9,0,-1)))</f>
        <v>-1</v>
      </c>
      <c r="S4256" s="35" t="n">
        <f aca="false">IF(OR($A4256="",$Q4256=0,$R4256=-1),0,$Q4256*1000+$R4256*100+$K4256)</f>
        <v>0</v>
      </c>
      <c r="T4256" s="37" t="str">
        <f aca="false">IF($A4256="","",IF($B4256="","NO ACCOUNT",IF($Q4256=0,"UNMAPPED",IF($R4256=-1,"OUTSIDE FY RANGE","OK"))))</f>
        <v/>
      </c>
      <c r="U4256" s="40" t="str">
        <f aca="false">IF($A4256="","",$B4256&amp;"|"&amp;TEXT($A4256,"yyyymmdd")&amp;"|"&amp;TEXT($I4256,"0.00"))</f>
        <v/>
      </c>
      <c r="V4256" s="35" t="str">
        <f aca="false">IF($A4256="","",COUNTIF($U$8:$U$5007,$U4256))</f>
        <v/>
      </c>
    </row>
    <row r="4257" customFormat="false" ht="15" hidden="false" customHeight="false" outlineLevel="0" collapsed="false">
      <c r="A4257" s="31"/>
      <c r="B4257" s="32"/>
      <c r="C4257" s="32"/>
      <c r="D4257" s="32"/>
      <c r="E4257" s="32"/>
      <c r="F4257" s="32"/>
      <c r="G4257" s="33"/>
      <c r="H4257" s="33"/>
      <c r="I4257" s="34" t="str">
        <f aca="false">IF($A4257="","",$G4257-$H4257)</f>
        <v/>
      </c>
      <c r="J4257" s="35" t="str">
        <f aca="false">IF($A4257="","",IF(Setup!$B$6=1,YEAR($A4257),YEAR($A4257)+IF(MONTH($A4257)&gt;=Setup!$B$6,1,0)))</f>
        <v/>
      </c>
      <c r="K4257" s="35" t="str">
        <f aca="false">IF($A4257="","",MOD(MONTH($A4257)-Setup!$B$6+12,12)+1)</f>
        <v/>
      </c>
      <c r="L4257" s="36" t="str">
        <f aca="false">IF($A4257="","",TEXT($A4257,"MMM-YY"))</f>
        <v/>
      </c>
      <c r="M4257" s="37" t="str">
        <f aca="false">IF($A4257="","",IF($Q4257=0,"UNMAPPED",INDEX(COA_Mapping!$C$7:$C$256,$Q4257)))</f>
        <v/>
      </c>
      <c r="N4257" s="38" t="str">
        <f aca="false">IF($A4257="","",IF($Q4257=0,"",INDEX(COA_Mapping!$E$7:$E$256,$Q4257)))</f>
        <v/>
      </c>
      <c r="O4257" s="38" t="n">
        <f aca="false">IF($A4257="",1,IF($Q4257=0,1,INDEX(COA_Mapping!$F$7:$F$256,$Q4257)))</f>
        <v>1</v>
      </c>
      <c r="P4257" s="34" t="str">
        <f aca="false">IF($A4257="","",$I4257*$O4257)</f>
        <v/>
      </c>
      <c r="Q4257" s="39" t="n">
        <f aca="false">IF($B4257="",0,IFERROR(MATCH($B4257,COA_Mapping!$A$7:$A$256,0),0))</f>
        <v>0</v>
      </c>
      <c r="R4257" s="39" t="n">
        <f aca="false">IF($A4257="",-1,IF($J4257=Setup!$B$7,1,IF($J4257=Setup!$B$9,0,-1)))</f>
        <v>-1</v>
      </c>
      <c r="S4257" s="35" t="n">
        <f aca="false">IF(OR($A4257="",$Q4257=0,$R4257=-1),0,$Q4257*1000+$R4257*100+$K4257)</f>
        <v>0</v>
      </c>
      <c r="T4257" s="37" t="str">
        <f aca="false">IF($A4257="","",IF($B4257="","NO ACCOUNT",IF($Q4257=0,"UNMAPPED",IF($R4257=-1,"OUTSIDE FY RANGE","OK"))))</f>
        <v/>
      </c>
      <c r="U4257" s="40" t="str">
        <f aca="false">IF($A4257="","",$B4257&amp;"|"&amp;TEXT($A4257,"yyyymmdd")&amp;"|"&amp;TEXT($I4257,"0.00"))</f>
        <v/>
      </c>
      <c r="V4257" s="35" t="str">
        <f aca="false">IF($A4257="","",COUNTIF($U$8:$U$5007,$U4257))</f>
        <v/>
      </c>
    </row>
    <row r="4258" customFormat="false" ht="15" hidden="false" customHeight="false" outlineLevel="0" collapsed="false">
      <c r="A4258" s="31"/>
      <c r="B4258" s="32"/>
      <c r="C4258" s="32"/>
      <c r="D4258" s="32"/>
      <c r="E4258" s="32"/>
      <c r="F4258" s="32"/>
      <c r="G4258" s="33"/>
      <c r="H4258" s="33"/>
      <c r="I4258" s="34" t="str">
        <f aca="false">IF($A4258="","",$G4258-$H4258)</f>
        <v/>
      </c>
      <c r="J4258" s="35" t="str">
        <f aca="false">IF($A4258="","",IF(Setup!$B$6=1,YEAR($A4258),YEAR($A4258)+IF(MONTH($A4258)&gt;=Setup!$B$6,1,0)))</f>
        <v/>
      </c>
      <c r="K4258" s="35" t="str">
        <f aca="false">IF($A4258="","",MOD(MONTH($A4258)-Setup!$B$6+12,12)+1)</f>
        <v/>
      </c>
      <c r="L4258" s="36" t="str">
        <f aca="false">IF($A4258="","",TEXT($A4258,"MMM-YY"))</f>
        <v/>
      </c>
      <c r="M4258" s="37" t="str">
        <f aca="false">IF($A4258="","",IF($Q4258=0,"UNMAPPED",INDEX(COA_Mapping!$C$7:$C$256,$Q4258)))</f>
        <v/>
      </c>
      <c r="N4258" s="38" t="str">
        <f aca="false">IF($A4258="","",IF($Q4258=0,"",INDEX(COA_Mapping!$E$7:$E$256,$Q4258)))</f>
        <v/>
      </c>
      <c r="O4258" s="38" t="n">
        <f aca="false">IF($A4258="",1,IF($Q4258=0,1,INDEX(COA_Mapping!$F$7:$F$256,$Q4258)))</f>
        <v>1</v>
      </c>
      <c r="P4258" s="34" t="str">
        <f aca="false">IF($A4258="","",$I4258*$O4258)</f>
        <v/>
      </c>
      <c r="Q4258" s="39" t="n">
        <f aca="false">IF($B4258="",0,IFERROR(MATCH($B4258,COA_Mapping!$A$7:$A$256,0),0))</f>
        <v>0</v>
      </c>
      <c r="R4258" s="39" t="n">
        <f aca="false">IF($A4258="",-1,IF($J4258=Setup!$B$7,1,IF($J4258=Setup!$B$9,0,-1)))</f>
        <v>-1</v>
      </c>
      <c r="S4258" s="35" t="n">
        <f aca="false">IF(OR($A4258="",$Q4258=0,$R4258=-1),0,$Q4258*1000+$R4258*100+$K4258)</f>
        <v>0</v>
      </c>
      <c r="T4258" s="37" t="str">
        <f aca="false">IF($A4258="","",IF($B4258="","NO ACCOUNT",IF($Q4258=0,"UNMAPPED",IF($R4258=-1,"OUTSIDE FY RANGE","OK"))))</f>
        <v/>
      </c>
      <c r="U4258" s="40" t="str">
        <f aca="false">IF($A4258="","",$B4258&amp;"|"&amp;TEXT($A4258,"yyyymmdd")&amp;"|"&amp;TEXT($I4258,"0.00"))</f>
        <v/>
      </c>
      <c r="V4258" s="35" t="str">
        <f aca="false">IF($A4258="","",COUNTIF($U$8:$U$5007,$U4258))</f>
        <v/>
      </c>
    </row>
    <row r="4259" customFormat="false" ht="15" hidden="false" customHeight="false" outlineLevel="0" collapsed="false">
      <c r="A4259" s="31"/>
      <c r="B4259" s="32"/>
      <c r="C4259" s="32"/>
      <c r="D4259" s="32"/>
      <c r="E4259" s="32"/>
      <c r="F4259" s="32"/>
      <c r="G4259" s="33"/>
      <c r="H4259" s="33"/>
      <c r="I4259" s="34" t="str">
        <f aca="false">IF($A4259="","",$G4259-$H4259)</f>
        <v/>
      </c>
      <c r="J4259" s="35" t="str">
        <f aca="false">IF($A4259="","",IF(Setup!$B$6=1,YEAR($A4259),YEAR($A4259)+IF(MONTH($A4259)&gt;=Setup!$B$6,1,0)))</f>
        <v/>
      </c>
      <c r="K4259" s="35" t="str">
        <f aca="false">IF($A4259="","",MOD(MONTH($A4259)-Setup!$B$6+12,12)+1)</f>
        <v/>
      </c>
      <c r="L4259" s="36" t="str">
        <f aca="false">IF($A4259="","",TEXT($A4259,"MMM-YY"))</f>
        <v/>
      </c>
      <c r="M4259" s="37" t="str">
        <f aca="false">IF($A4259="","",IF($Q4259=0,"UNMAPPED",INDEX(COA_Mapping!$C$7:$C$256,$Q4259)))</f>
        <v/>
      </c>
      <c r="N4259" s="38" t="str">
        <f aca="false">IF($A4259="","",IF($Q4259=0,"",INDEX(COA_Mapping!$E$7:$E$256,$Q4259)))</f>
        <v/>
      </c>
      <c r="O4259" s="38" t="n">
        <f aca="false">IF($A4259="",1,IF($Q4259=0,1,INDEX(COA_Mapping!$F$7:$F$256,$Q4259)))</f>
        <v>1</v>
      </c>
      <c r="P4259" s="34" t="str">
        <f aca="false">IF($A4259="","",$I4259*$O4259)</f>
        <v/>
      </c>
      <c r="Q4259" s="39" t="n">
        <f aca="false">IF($B4259="",0,IFERROR(MATCH($B4259,COA_Mapping!$A$7:$A$256,0),0))</f>
        <v>0</v>
      </c>
      <c r="R4259" s="39" t="n">
        <f aca="false">IF($A4259="",-1,IF($J4259=Setup!$B$7,1,IF($J4259=Setup!$B$9,0,-1)))</f>
        <v>-1</v>
      </c>
      <c r="S4259" s="35" t="n">
        <f aca="false">IF(OR($A4259="",$Q4259=0,$R4259=-1),0,$Q4259*1000+$R4259*100+$K4259)</f>
        <v>0</v>
      </c>
      <c r="T4259" s="37" t="str">
        <f aca="false">IF($A4259="","",IF($B4259="","NO ACCOUNT",IF($Q4259=0,"UNMAPPED",IF($R4259=-1,"OUTSIDE FY RANGE","OK"))))</f>
        <v/>
      </c>
      <c r="U4259" s="40" t="str">
        <f aca="false">IF($A4259="","",$B4259&amp;"|"&amp;TEXT($A4259,"yyyymmdd")&amp;"|"&amp;TEXT($I4259,"0.00"))</f>
        <v/>
      </c>
      <c r="V4259" s="35" t="str">
        <f aca="false">IF($A4259="","",COUNTIF($U$8:$U$5007,$U4259))</f>
        <v/>
      </c>
    </row>
    <row r="4260" customFormat="false" ht="15" hidden="false" customHeight="false" outlineLevel="0" collapsed="false">
      <c r="A4260" s="31"/>
      <c r="B4260" s="32"/>
      <c r="C4260" s="32"/>
      <c r="D4260" s="32"/>
      <c r="E4260" s="32"/>
      <c r="F4260" s="32"/>
      <c r="G4260" s="33"/>
      <c r="H4260" s="33"/>
      <c r="I4260" s="34" t="str">
        <f aca="false">IF($A4260="","",$G4260-$H4260)</f>
        <v/>
      </c>
      <c r="J4260" s="35" t="str">
        <f aca="false">IF($A4260="","",IF(Setup!$B$6=1,YEAR($A4260),YEAR($A4260)+IF(MONTH($A4260)&gt;=Setup!$B$6,1,0)))</f>
        <v/>
      </c>
      <c r="K4260" s="35" t="str">
        <f aca="false">IF($A4260="","",MOD(MONTH($A4260)-Setup!$B$6+12,12)+1)</f>
        <v/>
      </c>
      <c r="L4260" s="36" t="str">
        <f aca="false">IF($A4260="","",TEXT($A4260,"MMM-YY"))</f>
        <v/>
      </c>
      <c r="M4260" s="37" t="str">
        <f aca="false">IF($A4260="","",IF($Q4260=0,"UNMAPPED",INDEX(COA_Mapping!$C$7:$C$256,$Q4260)))</f>
        <v/>
      </c>
      <c r="N4260" s="38" t="str">
        <f aca="false">IF($A4260="","",IF($Q4260=0,"",INDEX(COA_Mapping!$E$7:$E$256,$Q4260)))</f>
        <v/>
      </c>
      <c r="O4260" s="38" t="n">
        <f aca="false">IF($A4260="",1,IF($Q4260=0,1,INDEX(COA_Mapping!$F$7:$F$256,$Q4260)))</f>
        <v>1</v>
      </c>
      <c r="P4260" s="34" t="str">
        <f aca="false">IF($A4260="","",$I4260*$O4260)</f>
        <v/>
      </c>
      <c r="Q4260" s="39" t="n">
        <f aca="false">IF($B4260="",0,IFERROR(MATCH($B4260,COA_Mapping!$A$7:$A$256,0),0))</f>
        <v>0</v>
      </c>
      <c r="R4260" s="39" t="n">
        <f aca="false">IF($A4260="",-1,IF($J4260=Setup!$B$7,1,IF($J4260=Setup!$B$9,0,-1)))</f>
        <v>-1</v>
      </c>
      <c r="S4260" s="35" t="n">
        <f aca="false">IF(OR($A4260="",$Q4260=0,$R4260=-1),0,$Q4260*1000+$R4260*100+$K4260)</f>
        <v>0</v>
      </c>
      <c r="T4260" s="37" t="str">
        <f aca="false">IF($A4260="","",IF($B4260="","NO ACCOUNT",IF($Q4260=0,"UNMAPPED",IF($R4260=-1,"OUTSIDE FY RANGE","OK"))))</f>
        <v/>
      </c>
      <c r="U4260" s="40" t="str">
        <f aca="false">IF($A4260="","",$B4260&amp;"|"&amp;TEXT($A4260,"yyyymmdd")&amp;"|"&amp;TEXT($I4260,"0.00"))</f>
        <v/>
      </c>
      <c r="V4260" s="35" t="str">
        <f aca="false">IF($A4260="","",COUNTIF($U$8:$U$5007,$U4260))</f>
        <v/>
      </c>
    </row>
    <row r="4261" customFormat="false" ht="15" hidden="false" customHeight="false" outlineLevel="0" collapsed="false">
      <c r="A4261" s="31"/>
      <c r="B4261" s="32"/>
      <c r="C4261" s="32"/>
      <c r="D4261" s="32"/>
      <c r="E4261" s="32"/>
      <c r="F4261" s="32"/>
      <c r="G4261" s="33"/>
      <c r="H4261" s="33"/>
      <c r="I4261" s="34" t="str">
        <f aca="false">IF($A4261="","",$G4261-$H4261)</f>
        <v/>
      </c>
      <c r="J4261" s="35" t="str">
        <f aca="false">IF($A4261="","",IF(Setup!$B$6=1,YEAR($A4261),YEAR($A4261)+IF(MONTH($A4261)&gt;=Setup!$B$6,1,0)))</f>
        <v/>
      </c>
      <c r="K4261" s="35" t="str">
        <f aca="false">IF($A4261="","",MOD(MONTH($A4261)-Setup!$B$6+12,12)+1)</f>
        <v/>
      </c>
      <c r="L4261" s="36" t="str">
        <f aca="false">IF($A4261="","",TEXT($A4261,"MMM-YY"))</f>
        <v/>
      </c>
      <c r="M4261" s="37" t="str">
        <f aca="false">IF($A4261="","",IF($Q4261=0,"UNMAPPED",INDEX(COA_Mapping!$C$7:$C$256,$Q4261)))</f>
        <v/>
      </c>
      <c r="N4261" s="38" t="str">
        <f aca="false">IF($A4261="","",IF($Q4261=0,"",INDEX(COA_Mapping!$E$7:$E$256,$Q4261)))</f>
        <v/>
      </c>
      <c r="O4261" s="38" t="n">
        <f aca="false">IF($A4261="",1,IF($Q4261=0,1,INDEX(COA_Mapping!$F$7:$F$256,$Q4261)))</f>
        <v>1</v>
      </c>
      <c r="P4261" s="34" t="str">
        <f aca="false">IF($A4261="","",$I4261*$O4261)</f>
        <v/>
      </c>
      <c r="Q4261" s="39" t="n">
        <f aca="false">IF($B4261="",0,IFERROR(MATCH($B4261,COA_Mapping!$A$7:$A$256,0),0))</f>
        <v>0</v>
      </c>
      <c r="R4261" s="39" t="n">
        <f aca="false">IF($A4261="",-1,IF($J4261=Setup!$B$7,1,IF($J4261=Setup!$B$9,0,-1)))</f>
        <v>-1</v>
      </c>
      <c r="S4261" s="35" t="n">
        <f aca="false">IF(OR($A4261="",$Q4261=0,$R4261=-1),0,$Q4261*1000+$R4261*100+$K4261)</f>
        <v>0</v>
      </c>
      <c r="T4261" s="37" t="str">
        <f aca="false">IF($A4261="","",IF($B4261="","NO ACCOUNT",IF($Q4261=0,"UNMAPPED",IF($R4261=-1,"OUTSIDE FY RANGE","OK"))))</f>
        <v/>
      </c>
      <c r="U4261" s="40" t="str">
        <f aca="false">IF($A4261="","",$B4261&amp;"|"&amp;TEXT($A4261,"yyyymmdd")&amp;"|"&amp;TEXT($I4261,"0.00"))</f>
        <v/>
      </c>
      <c r="V4261" s="35" t="str">
        <f aca="false">IF($A4261="","",COUNTIF($U$8:$U$5007,$U4261))</f>
        <v/>
      </c>
    </row>
    <row r="4262" customFormat="false" ht="15" hidden="false" customHeight="false" outlineLevel="0" collapsed="false">
      <c r="A4262" s="31"/>
      <c r="B4262" s="32"/>
      <c r="C4262" s="32"/>
      <c r="D4262" s="32"/>
      <c r="E4262" s="32"/>
      <c r="F4262" s="32"/>
      <c r="G4262" s="33"/>
      <c r="H4262" s="33"/>
      <c r="I4262" s="34" t="str">
        <f aca="false">IF($A4262="","",$G4262-$H4262)</f>
        <v/>
      </c>
      <c r="J4262" s="35" t="str">
        <f aca="false">IF($A4262="","",IF(Setup!$B$6=1,YEAR($A4262),YEAR($A4262)+IF(MONTH($A4262)&gt;=Setup!$B$6,1,0)))</f>
        <v/>
      </c>
      <c r="K4262" s="35" t="str">
        <f aca="false">IF($A4262="","",MOD(MONTH($A4262)-Setup!$B$6+12,12)+1)</f>
        <v/>
      </c>
      <c r="L4262" s="36" t="str">
        <f aca="false">IF($A4262="","",TEXT($A4262,"MMM-YY"))</f>
        <v/>
      </c>
      <c r="M4262" s="37" t="str">
        <f aca="false">IF($A4262="","",IF($Q4262=0,"UNMAPPED",INDEX(COA_Mapping!$C$7:$C$256,$Q4262)))</f>
        <v/>
      </c>
      <c r="N4262" s="38" t="str">
        <f aca="false">IF($A4262="","",IF($Q4262=0,"",INDEX(COA_Mapping!$E$7:$E$256,$Q4262)))</f>
        <v/>
      </c>
      <c r="O4262" s="38" t="n">
        <f aca="false">IF($A4262="",1,IF($Q4262=0,1,INDEX(COA_Mapping!$F$7:$F$256,$Q4262)))</f>
        <v>1</v>
      </c>
      <c r="P4262" s="34" t="str">
        <f aca="false">IF($A4262="","",$I4262*$O4262)</f>
        <v/>
      </c>
      <c r="Q4262" s="39" t="n">
        <f aca="false">IF($B4262="",0,IFERROR(MATCH($B4262,COA_Mapping!$A$7:$A$256,0),0))</f>
        <v>0</v>
      </c>
      <c r="R4262" s="39" t="n">
        <f aca="false">IF($A4262="",-1,IF($J4262=Setup!$B$7,1,IF($J4262=Setup!$B$9,0,-1)))</f>
        <v>-1</v>
      </c>
      <c r="S4262" s="35" t="n">
        <f aca="false">IF(OR($A4262="",$Q4262=0,$R4262=-1),0,$Q4262*1000+$R4262*100+$K4262)</f>
        <v>0</v>
      </c>
      <c r="T4262" s="37" t="str">
        <f aca="false">IF($A4262="","",IF($B4262="","NO ACCOUNT",IF($Q4262=0,"UNMAPPED",IF($R4262=-1,"OUTSIDE FY RANGE","OK"))))</f>
        <v/>
      </c>
      <c r="U4262" s="40" t="str">
        <f aca="false">IF($A4262="","",$B4262&amp;"|"&amp;TEXT($A4262,"yyyymmdd")&amp;"|"&amp;TEXT($I4262,"0.00"))</f>
        <v/>
      </c>
      <c r="V4262" s="35" t="str">
        <f aca="false">IF($A4262="","",COUNTIF($U$8:$U$5007,$U4262))</f>
        <v/>
      </c>
    </row>
    <row r="4263" customFormat="false" ht="15" hidden="false" customHeight="false" outlineLevel="0" collapsed="false">
      <c r="A4263" s="31"/>
      <c r="B4263" s="32"/>
      <c r="C4263" s="32"/>
      <c r="D4263" s="32"/>
      <c r="E4263" s="32"/>
      <c r="F4263" s="32"/>
      <c r="G4263" s="33"/>
      <c r="H4263" s="33"/>
      <c r="I4263" s="34" t="str">
        <f aca="false">IF($A4263="","",$G4263-$H4263)</f>
        <v/>
      </c>
      <c r="J4263" s="35" t="str">
        <f aca="false">IF($A4263="","",IF(Setup!$B$6=1,YEAR($A4263),YEAR($A4263)+IF(MONTH($A4263)&gt;=Setup!$B$6,1,0)))</f>
        <v/>
      </c>
      <c r="K4263" s="35" t="str">
        <f aca="false">IF($A4263="","",MOD(MONTH($A4263)-Setup!$B$6+12,12)+1)</f>
        <v/>
      </c>
      <c r="L4263" s="36" t="str">
        <f aca="false">IF($A4263="","",TEXT($A4263,"MMM-YY"))</f>
        <v/>
      </c>
      <c r="M4263" s="37" t="str">
        <f aca="false">IF($A4263="","",IF($Q4263=0,"UNMAPPED",INDEX(COA_Mapping!$C$7:$C$256,$Q4263)))</f>
        <v/>
      </c>
      <c r="N4263" s="38" t="str">
        <f aca="false">IF($A4263="","",IF($Q4263=0,"",INDEX(COA_Mapping!$E$7:$E$256,$Q4263)))</f>
        <v/>
      </c>
      <c r="O4263" s="38" t="n">
        <f aca="false">IF($A4263="",1,IF($Q4263=0,1,INDEX(COA_Mapping!$F$7:$F$256,$Q4263)))</f>
        <v>1</v>
      </c>
      <c r="P4263" s="34" t="str">
        <f aca="false">IF($A4263="","",$I4263*$O4263)</f>
        <v/>
      </c>
      <c r="Q4263" s="39" t="n">
        <f aca="false">IF($B4263="",0,IFERROR(MATCH($B4263,COA_Mapping!$A$7:$A$256,0),0))</f>
        <v>0</v>
      </c>
      <c r="R4263" s="39" t="n">
        <f aca="false">IF($A4263="",-1,IF($J4263=Setup!$B$7,1,IF($J4263=Setup!$B$9,0,-1)))</f>
        <v>-1</v>
      </c>
      <c r="S4263" s="35" t="n">
        <f aca="false">IF(OR($A4263="",$Q4263=0,$R4263=-1),0,$Q4263*1000+$R4263*100+$K4263)</f>
        <v>0</v>
      </c>
      <c r="T4263" s="37" t="str">
        <f aca="false">IF($A4263="","",IF($B4263="","NO ACCOUNT",IF($Q4263=0,"UNMAPPED",IF($R4263=-1,"OUTSIDE FY RANGE","OK"))))</f>
        <v/>
      </c>
      <c r="U4263" s="40" t="str">
        <f aca="false">IF($A4263="","",$B4263&amp;"|"&amp;TEXT($A4263,"yyyymmdd")&amp;"|"&amp;TEXT($I4263,"0.00"))</f>
        <v/>
      </c>
      <c r="V4263" s="35" t="str">
        <f aca="false">IF($A4263="","",COUNTIF($U$8:$U$5007,$U4263))</f>
        <v/>
      </c>
    </row>
    <row r="4264" customFormat="false" ht="15" hidden="false" customHeight="false" outlineLevel="0" collapsed="false">
      <c r="A4264" s="31"/>
      <c r="B4264" s="32"/>
      <c r="C4264" s="32"/>
      <c r="D4264" s="32"/>
      <c r="E4264" s="32"/>
      <c r="F4264" s="32"/>
      <c r="G4264" s="33"/>
      <c r="H4264" s="33"/>
      <c r="I4264" s="34" t="str">
        <f aca="false">IF($A4264="","",$G4264-$H4264)</f>
        <v/>
      </c>
      <c r="J4264" s="35" t="str">
        <f aca="false">IF($A4264="","",IF(Setup!$B$6=1,YEAR($A4264),YEAR($A4264)+IF(MONTH($A4264)&gt;=Setup!$B$6,1,0)))</f>
        <v/>
      </c>
      <c r="K4264" s="35" t="str">
        <f aca="false">IF($A4264="","",MOD(MONTH($A4264)-Setup!$B$6+12,12)+1)</f>
        <v/>
      </c>
      <c r="L4264" s="36" t="str">
        <f aca="false">IF($A4264="","",TEXT($A4264,"MMM-YY"))</f>
        <v/>
      </c>
      <c r="M4264" s="37" t="str">
        <f aca="false">IF($A4264="","",IF($Q4264=0,"UNMAPPED",INDEX(COA_Mapping!$C$7:$C$256,$Q4264)))</f>
        <v/>
      </c>
      <c r="N4264" s="38" t="str">
        <f aca="false">IF($A4264="","",IF($Q4264=0,"",INDEX(COA_Mapping!$E$7:$E$256,$Q4264)))</f>
        <v/>
      </c>
      <c r="O4264" s="38" t="n">
        <f aca="false">IF($A4264="",1,IF($Q4264=0,1,INDEX(COA_Mapping!$F$7:$F$256,$Q4264)))</f>
        <v>1</v>
      </c>
      <c r="P4264" s="34" t="str">
        <f aca="false">IF($A4264="","",$I4264*$O4264)</f>
        <v/>
      </c>
      <c r="Q4264" s="39" t="n">
        <f aca="false">IF($B4264="",0,IFERROR(MATCH($B4264,COA_Mapping!$A$7:$A$256,0),0))</f>
        <v>0</v>
      </c>
      <c r="R4264" s="39" t="n">
        <f aca="false">IF($A4264="",-1,IF($J4264=Setup!$B$7,1,IF($J4264=Setup!$B$9,0,-1)))</f>
        <v>-1</v>
      </c>
      <c r="S4264" s="35" t="n">
        <f aca="false">IF(OR($A4264="",$Q4264=0,$R4264=-1),0,$Q4264*1000+$R4264*100+$K4264)</f>
        <v>0</v>
      </c>
      <c r="T4264" s="37" t="str">
        <f aca="false">IF($A4264="","",IF($B4264="","NO ACCOUNT",IF($Q4264=0,"UNMAPPED",IF($R4264=-1,"OUTSIDE FY RANGE","OK"))))</f>
        <v/>
      </c>
      <c r="U4264" s="40" t="str">
        <f aca="false">IF($A4264="","",$B4264&amp;"|"&amp;TEXT($A4264,"yyyymmdd")&amp;"|"&amp;TEXT($I4264,"0.00"))</f>
        <v/>
      </c>
      <c r="V4264" s="35" t="str">
        <f aca="false">IF($A4264="","",COUNTIF($U$8:$U$5007,$U4264))</f>
        <v/>
      </c>
    </row>
    <row r="4265" customFormat="false" ht="15" hidden="false" customHeight="false" outlineLevel="0" collapsed="false">
      <c r="A4265" s="31"/>
      <c r="B4265" s="32"/>
      <c r="C4265" s="32"/>
      <c r="D4265" s="32"/>
      <c r="E4265" s="32"/>
      <c r="F4265" s="32"/>
      <c r="G4265" s="33"/>
      <c r="H4265" s="33"/>
      <c r="I4265" s="34" t="str">
        <f aca="false">IF($A4265="","",$G4265-$H4265)</f>
        <v/>
      </c>
      <c r="J4265" s="35" t="str">
        <f aca="false">IF($A4265="","",IF(Setup!$B$6=1,YEAR($A4265),YEAR($A4265)+IF(MONTH($A4265)&gt;=Setup!$B$6,1,0)))</f>
        <v/>
      </c>
      <c r="K4265" s="35" t="str">
        <f aca="false">IF($A4265="","",MOD(MONTH($A4265)-Setup!$B$6+12,12)+1)</f>
        <v/>
      </c>
      <c r="L4265" s="36" t="str">
        <f aca="false">IF($A4265="","",TEXT($A4265,"MMM-YY"))</f>
        <v/>
      </c>
      <c r="M4265" s="37" t="str">
        <f aca="false">IF($A4265="","",IF($Q4265=0,"UNMAPPED",INDEX(COA_Mapping!$C$7:$C$256,$Q4265)))</f>
        <v/>
      </c>
      <c r="N4265" s="38" t="str">
        <f aca="false">IF($A4265="","",IF($Q4265=0,"",INDEX(COA_Mapping!$E$7:$E$256,$Q4265)))</f>
        <v/>
      </c>
      <c r="O4265" s="38" t="n">
        <f aca="false">IF($A4265="",1,IF($Q4265=0,1,INDEX(COA_Mapping!$F$7:$F$256,$Q4265)))</f>
        <v>1</v>
      </c>
      <c r="P4265" s="34" t="str">
        <f aca="false">IF($A4265="","",$I4265*$O4265)</f>
        <v/>
      </c>
      <c r="Q4265" s="39" t="n">
        <f aca="false">IF($B4265="",0,IFERROR(MATCH($B4265,COA_Mapping!$A$7:$A$256,0),0))</f>
        <v>0</v>
      </c>
      <c r="R4265" s="39" t="n">
        <f aca="false">IF($A4265="",-1,IF($J4265=Setup!$B$7,1,IF($J4265=Setup!$B$9,0,-1)))</f>
        <v>-1</v>
      </c>
      <c r="S4265" s="35" t="n">
        <f aca="false">IF(OR($A4265="",$Q4265=0,$R4265=-1),0,$Q4265*1000+$R4265*100+$K4265)</f>
        <v>0</v>
      </c>
      <c r="T4265" s="37" t="str">
        <f aca="false">IF($A4265="","",IF($B4265="","NO ACCOUNT",IF($Q4265=0,"UNMAPPED",IF($R4265=-1,"OUTSIDE FY RANGE","OK"))))</f>
        <v/>
      </c>
      <c r="U4265" s="40" t="str">
        <f aca="false">IF($A4265="","",$B4265&amp;"|"&amp;TEXT($A4265,"yyyymmdd")&amp;"|"&amp;TEXT($I4265,"0.00"))</f>
        <v/>
      </c>
      <c r="V4265" s="35" t="str">
        <f aca="false">IF($A4265="","",COUNTIF($U$8:$U$5007,$U4265))</f>
        <v/>
      </c>
    </row>
    <row r="4266" customFormat="false" ht="15" hidden="false" customHeight="false" outlineLevel="0" collapsed="false">
      <c r="A4266" s="31"/>
      <c r="B4266" s="32"/>
      <c r="C4266" s="32"/>
      <c r="D4266" s="32"/>
      <c r="E4266" s="32"/>
      <c r="F4266" s="32"/>
      <c r="G4266" s="33"/>
      <c r="H4266" s="33"/>
      <c r="I4266" s="34" t="str">
        <f aca="false">IF($A4266="","",$G4266-$H4266)</f>
        <v/>
      </c>
      <c r="J4266" s="35" t="str">
        <f aca="false">IF($A4266="","",IF(Setup!$B$6=1,YEAR($A4266),YEAR($A4266)+IF(MONTH($A4266)&gt;=Setup!$B$6,1,0)))</f>
        <v/>
      </c>
      <c r="K4266" s="35" t="str">
        <f aca="false">IF($A4266="","",MOD(MONTH($A4266)-Setup!$B$6+12,12)+1)</f>
        <v/>
      </c>
      <c r="L4266" s="36" t="str">
        <f aca="false">IF($A4266="","",TEXT($A4266,"MMM-YY"))</f>
        <v/>
      </c>
      <c r="M4266" s="37" t="str">
        <f aca="false">IF($A4266="","",IF($Q4266=0,"UNMAPPED",INDEX(COA_Mapping!$C$7:$C$256,$Q4266)))</f>
        <v/>
      </c>
      <c r="N4266" s="38" t="str">
        <f aca="false">IF($A4266="","",IF($Q4266=0,"",INDEX(COA_Mapping!$E$7:$E$256,$Q4266)))</f>
        <v/>
      </c>
      <c r="O4266" s="38" t="n">
        <f aca="false">IF($A4266="",1,IF($Q4266=0,1,INDEX(COA_Mapping!$F$7:$F$256,$Q4266)))</f>
        <v>1</v>
      </c>
      <c r="P4266" s="34" t="str">
        <f aca="false">IF($A4266="","",$I4266*$O4266)</f>
        <v/>
      </c>
      <c r="Q4266" s="39" t="n">
        <f aca="false">IF($B4266="",0,IFERROR(MATCH($B4266,COA_Mapping!$A$7:$A$256,0),0))</f>
        <v>0</v>
      </c>
      <c r="R4266" s="39" t="n">
        <f aca="false">IF($A4266="",-1,IF($J4266=Setup!$B$7,1,IF($J4266=Setup!$B$9,0,-1)))</f>
        <v>-1</v>
      </c>
      <c r="S4266" s="35" t="n">
        <f aca="false">IF(OR($A4266="",$Q4266=0,$R4266=-1),0,$Q4266*1000+$R4266*100+$K4266)</f>
        <v>0</v>
      </c>
      <c r="T4266" s="37" t="str">
        <f aca="false">IF($A4266="","",IF($B4266="","NO ACCOUNT",IF($Q4266=0,"UNMAPPED",IF($R4266=-1,"OUTSIDE FY RANGE","OK"))))</f>
        <v/>
      </c>
      <c r="U4266" s="40" t="str">
        <f aca="false">IF($A4266="","",$B4266&amp;"|"&amp;TEXT($A4266,"yyyymmdd")&amp;"|"&amp;TEXT($I4266,"0.00"))</f>
        <v/>
      </c>
      <c r="V4266" s="35" t="str">
        <f aca="false">IF($A4266="","",COUNTIF($U$8:$U$5007,$U4266))</f>
        <v/>
      </c>
    </row>
    <row r="4267" customFormat="false" ht="15" hidden="false" customHeight="false" outlineLevel="0" collapsed="false">
      <c r="A4267" s="31"/>
      <c r="B4267" s="32"/>
      <c r="C4267" s="32"/>
      <c r="D4267" s="32"/>
      <c r="E4267" s="32"/>
      <c r="F4267" s="32"/>
      <c r="G4267" s="33"/>
      <c r="H4267" s="33"/>
      <c r="I4267" s="34" t="str">
        <f aca="false">IF($A4267="","",$G4267-$H4267)</f>
        <v/>
      </c>
      <c r="J4267" s="35" t="str">
        <f aca="false">IF($A4267="","",IF(Setup!$B$6=1,YEAR($A4267),YEAR($A4267)+IF(MONTH($A4267)&gt;=Setup!$B$6,1,0)))</f>
        <v/>
      </c>
      <c r="K4267" s="35" t="str">
        <f aca="false">IF($A4267="","",MOD(MONTH($A4267)-Setup!$B$6+12,12)+1)</f>
        <v/>
      </c>
      <c r="L4267" s="36" t="str">
        <f aca="false">IF($A4267="","",TEXT($A4267,"MMM-YY"))</f>
        <v/>
      </c>
      <c r="M4267" s="37" t="str">
        <f aca="false">IF($A4267="","",IF($Q4267=0,"UNMAPPED",INDEX(COA_Mapping!$C$7:$C$256,$Q4267)))</f>
        <v/>
      </c>
      <c r="N4267" s="38" t="str">
        <f aca="false">IF($A4267="","",IF($Q4267=0,"",INDEX(COA_Mapping!$E$7:$E$256,$Q4267)))</f>
        <v/>
      </c>
      <c r="O4267" s="38" t="n">
        <f aca="false">IF($A4267="",1,IF($Q4267=0,1,INDEX(COA_Mapping!$F$7:$F$256,$Q4267)))</f>
        <v>1</v>
      </c>
      <c r="P4267" s="34" t="str">
        <f aca="false">IF($A4267="","",$I4267*$O4267)</f>
        <v/>
      </c>
      <c r="Q4267" s="39" t="n">
        <f aca="false">IF($B4267="",0,IFERROR(MATCH($B4267,COA_Mapping!$A$7:$A$256,0),0))</f>
        <v>0</v>
      </c>
      <c r="R4267" s="39" t="n">
        <f aca="false">IF($A4267="",-1,IF($J4267=Setup!$B$7,1,IF($J4267=Setup!$B$9,0,-1)))</f>
        <v>-1</v>
      </c>
      <c r="S4267" s="35" t="n">
        <f aca="false">IF(OR($A4267="",$Q4267=0,$R4267=-1),0,$Q4267*1000+$R4267*100+$K4267)</f>
        <v>0</v>
      </c>
      <c r="T4267" s="37" t="str">
        <f aca="false">IF($A4267="","",IF($B4267="","NO ACCOUNT",IF($Q4267=0,"UNMAPPED",IF($R4267=-1,"OUTSIDE FY RANGE","OK"))))</f>
        <v/>
      </c>
      <c r="U4267" s="40" t="str">
        <f aca="false">IF($A4267="","",$B4267&amp;"|"&amp;TEXT($A4267,"yyyymmdd")&amp;"|"&amp;TEXT($I4267,"0.00"))</f>
        <v/>
      </c>
      <c r="V4267" s="35" t="str">
        <f aca="false">IF($A4267="","",COUNTIF($U$8:$U$5007,$U4267))</f>
        <v/>
      </c>
    </row>
    <row r="4268" customFormat="false" ht="15" hidden="false" customHeight="false" outlineLevel="0" collapsed="false">
      <c r="A4268" s="31"/>
      <c r="B4268" s="32"/>
      <c r="C4268" s="32"/>
      <c r="D4268" s="32"/>
      <c r="E4268" s="32"/>
      <c r="F4268" s="32"/>
      <c r="G4268" s="33"/>
      <c r="H4268" s="33"/>
      <c r="I4268" s="34" t="str">
        <f aca="false">IF($A4268="","",$G4268-$H4268)</f>
        <v/>
      </c>
      <c r="J4268" s="35" t="str">
        <f aca="false">IF($A4268="","",IF(Setup!$B$6=1,YEAR($A4268),YEAR($A4268)+IF(MONTH($A4268)&gt;=Setup!$B$6,1,0)))</f>
        <v/>
      </c>
      <c r="K4268" s="35" t="str">
        <f aca="false">IF($A4268="","",MOD(MONTH($A4268)-Setup!$B$6+12,12)+1)</f>
        <v/>
      </c>
      <c r="L4268" s="36" t="str">
        <f aca="false">IF($A4268="","",TEXT($A4268,"MMM-YY"))</f>
        <v/>
      </c>
      <c r="M4268" s="37" t="str">
        <f aca="false">IF($A4268="","",IF($Q4268=0,"UNMAPPED",INDEX(COA_Mapping!$C$7:$C$256,$Q4268)))</f>
        <v/>
      </c>
      <c r="N4268" s="38" t="str">
        <f aca="false">IF($A4268="","",IF($Q4268=0,"",INDEX(COA_Mapping!$E$7:$E$256,$Q4268)))</f>
        <v/>
      </c>
      <c r="O4268" s="38" t="n">
        <f aca="false">IF($A4268="",1,IF($Q4268=0,1,INDEX(COA_Mapping!$F$7:$F$256,$Q4268)))</f>
        <v>1</v>
      </c>
      <c r="P4268" s="34" t="str">
        <f aca="false">IF($A4268="","",$I4268*$O4268)</f>
        <v/>
      </c>
      <c r="Q4268" s="39" t="n">
        <f aca="false">IF($B4268="",0,IFERROR(MATCH($B4268,COA_Mapping!$A$7:$A$256,0),0))</f>
        <v>0</v>
      </c>
      <c r="R4268" s="39" t="n">
        <f aca="false">IF($A4268="",-1,IF($J4268=Setup!$B$7,1,IF($J4268=Setup!$B$9,0,-1)))</f>
        <v>-1</v>
      </c>
      <c r="S4268" s="35" t="n">
        <f aca="false">IF(OR($A4268="",$Q4268=0,$R4268=-1),0,$Q4268*1000+$R4268*100+$K4268)</f>
        <v>0</v>
      </c>
      <c r="T4268" s="37" t="str">
        <f aca="false">IF($A4268="","",IF($B4268="","NO ACCOUNT",IF($Q4268=0,"UNMAPPED",IF($R4268=-1,"OUTSIDE FY RANGE","OK"))))</f>
        <v/>
      </c>
      <c r="U4268" s="40" t="str">
        <f aca="false">IF($A4268="","",$B4268&amp;"|"&amp;TEXT($A4268,"yyyymmdd")&amp;"|"&amp;TEXT($I4268,"0.00"))</f>
        <v/>
      </c>
      <c r="V4268" s="35" t="str">
        <f aca="false">IF($A4268="","",COUNTIF($U$8:$U$5007,$U4268))</f>
        <v/>
      </c>
    </row>
    <row r="4269" customFormat="false" ht="15" hidden="false" customHeight="false" outlineLevel="0" collapsed="false">
      <c r="A4269" s="31"/>
      <c r="B4269" s="32"/>
      <c r="C4269" s="32"/>
      <c r="D4269" s="32"/>
      <c r="E4269" s="32"/>
      <c r="F4269" s="32"/>
      <c r="G4269" s="33"/>
      <c r="H4269" s="33"/>
      <c r="I4269" s="34" t="str">
        <f aca="false">IF($A4269="","",$G4269-$H4269)</f>
        <v/>
      </c>
      <c r="J4269" s="35" t="str">
        <f aca="false">IF($A4269="","",IF(Setup!$B$6=1,YEAR($A4269),YEAR($A4269)+IF(MONTH($A4269)&gt;=Setup!$B$6,1,0)))</f>
        <v/>
      </c>
      <c r="K4269" s="35" t="str">
        <f aca="false">IF($A4269="","",MOD(MONTH($A4269)-Setup!$B$6+12,12)+1)</f>
        <v/>
      </c>
      <c r="L4269" s="36" t="str">
        <f aca="false">IF($A4269="","",TEXT($A4269,"MMM-YY"))</f>
        <v/>
      </c>
      <c r="M4269" s="37" t="str">
        <f aca="false">IF($A4269="","",IF($Q4269=0,"UNMAPPED",INDEX(COA_Mapping!$C$7:$C$256,$Q4269)))</f>
        <v/>
      </c>
      <c r="N4269" s="38" t="str">
        <f aca="false">IF($A4269="","",IF($Q4269=0,"",INDEX(COA_Mapping!$E$7:$E$256,$Q4269)))</f>
        <v/>
      </c>
      <c r="O4269" s="38" t="n">
        <f aca="false">IF($A4269="",1,IF($Q4269=0,1,INDEX(COA_Mapping!$F$7:$F$256,$Q4269)))</f>
        <v>1</v>
      </c>
      <c r="P4269" s="34" t="str">
        <f aca="false">IF($A4269="","",$I4269*$O4269)</f>
        <v/>
      </c>
      <c r="Q4269" s="39" t="n">
        <f aca="false">IF($B4269="",0,IFERROR(MATCH($B4269,COA_Mapping!$A$7:$A$256,0),0))</f>
        <v>0</v>
      </c>
      <c r="R4269" s="39" t="n">
        <f aca="false">IF($A4269="",-1,IF($J4269=Setup!$B$7,1,IF($J4269=Setup!$B$9,0,-1)))</f>
        <v>-1</v>
      </c>
      <c r="S4269" s="35" t="n">
        <f aca="false">IF(OR($A4269="",$Q4269=0,$R4269=-1),0,$Q4269*1000+$R4269*100+$K4269)</f>
        <v>0</v>
      </c>
      <c r="T4269" s="37" t="str">
        <f aca="false">IF($A4269="","",IF($B4269="","NO ACCOUNT",IF($Q4269=0,"UNMAPPED",IF($R4269=-1,"OUTSIDE FY RANGE","OK"))))</f>
        <v/>
      </c>
      <c r="U4269" s="40" t="str">
        <f aca="false">IF($A4269="","",$B4269&amp;"|"&amp;TEXT($A4269,"yyyymmdd")&amp;"|"&amp;TEXT($I4269,"0.00"))</f>
        <v/>
      </c>
      <c r="V4269" s="35" t="str">
        <f aca="false">IF($A4269="","",COUNTIF($U$8:$U$5007,$U4269))</f>
        <v/>
      </c>
    </row>
    <row r="4270" customFormat="false" ht="15" hidden="false" customHeight="false" outlineLevel="0" collapsed="false">
      <c r="A4270" s="31"/>
      <c r="B4270" s="32"/>
      <c r="C4270" s="32"/>
      <c r="D4270" s="32"/>
      <c r="E4270" s="32"/>
      <c r="F4270" s="32"/>
      <c r="G4270" s="33"/>
      <c r="H4270" s="33"/>
      <c r="I4270" s="34" t="str">
        <f aca="false">IF($A4270="","",$G4270-$H4270)</f>
        <v/>
      </c>
      <c r="J4270" s="35" t="str">
        <f aca="false">IF($A4270="","",IF(Setup!$B$6=1,YEAR($A4270),YEAR($A4270)+IF(MONTH($A4270)&gt;=Setup!$B$6,1,0)))</f>
        <v/>
      </c>
      <c r="K4270" s="35" t="str">
        <f aca="false">IF($A4270="","",MOD(MONTH($A4270)-Setup!$B$6+12,12)+1)</f>
        <v/>
      </c>
      <c r="L4270" s="36" t="str">
        <f aca="false">IF($A4270="","",TEXT($A4270,"MMM-YY"))</f>
        <v/>
      </c>
      <c r="M4270" s="37" t="str">
        <f aca="false">IF($A4270="","",IF($Q4270=0,"UNMAPPED",INDEX(COA_Mapping!$C$7:$C$256,$Q4270)))</f>
        <v/>
      </c>
      <c r="N4270" s="38" t="str">
        <f aca="false">IF($A4270="","",IF($Q4270=0,"",INDEX(COA_Mapping!$E$7:$E$256,$Q4270)))</f>
        <v/>
      </c>
      <c r="O4270" s="38" t="n">
        <f aca="false">IF($A4270="",1,IF($Q4270=0,1,INDEX(COA_Mapping!$F$7:$F$256,$Q4270)))</f>
        <v>1</v>
      </c>
      <c r="P4270" s="34" t="str">
        <f aca="false">IF($A4270="","",$I4270*$O4270)</f>
        <v/>
      </c>
      <c r="Q4270" s="39" t="n">
        <f aca="false">IF($B4270="",0,IFERROR(MATCH($B4270,COA_Mapping!$A$7:$A$256,0),0))</f>
        <v>0</v>
      </c>
      <c r="R4270" s="39" t="n">
        <f aca="false">IF($A4270="",-1,IF($J4270=Setup!$B$7,1,IF($J4270=Setup!$B$9,0,-1)))</f>
        <v>-1</v>
      </c>
      <c r="S4270" s="35" t="n">
        <f aca="false">IF(OR($A4270="",$Q4270=0,$R4270=-1),0,$Q4270*1000+$R4270*100+$K4270)</f>
        <v>0</v>
      </c>
      <c r="T4270" s="37" t="str">
        <f aca="false">IF($A4270="","",IF($B4270="","NO ACCOUNT",IF($Q4270=0,"UNMAPPED",IF($R4270=-1,"OUTSIDE FY RANGE","OK"))))</f>
        <v/>
      </c>
      <c r="U4270" s="40" t="str">
        <f aca="false">IF($A4270="","",$B4270&amp;"|"&amp;TEXT($A4270,"yyyymmdd")&amp;"|"&amp;TEXT($I4270,"0.00"))</f>
        <v/>
      </c>
      <c r="V4270" s="35" t="str">
        <f aca="false">IF($A4270="","",COUNTIF($U$8:$U$5007,$U4270))</f>
        <v/>
      </c>
    </row>
    <row r="4271" customFormat="false" ht="15" hidden="false" customHeight="false" outlineLevel="0" collapsed="false">
      <c r="A4271" s="31"/>
      <c r="B4271" s="32"/>
      <c r="C4271" s="32"/>
      <c r="D4271" s="32"/>
      <c r="E4271" s="32"/>
      <c r="F4271" s="32"/>
      <c r="G4271" s="33"/>
      <c r="H4271" s="33"/>
      <c r="I4271" s="34" t="str">
        <f aca="false">IF($A4271="","",$G4271-$H4271)</f>
        <v/>
      </c>
      <c r="J4271" s="35" t="str">
        <f aca="false">IF($A4271="","",IF(Setup!$B$6=1,YEAR($A4271),YEAR($A4271)+IF(MONTH($A4271)&gt;=Setup!$B$6,1,0)))</f>
        <v/>
      </c>
      <c r="K4271" s="35" t="str">
        <f aca="false">IF($A4271="","",MOD(MONTH($A4271)-Setup!$B$6+12,12)+1)</f>
        <v/>
      </c>
      <c r="L4271" s="36" t="str">
        <f aca="false">IF($A4271="","",TEXT($A4271,"MMM-YY"))</f>
        <v/>
      </c>
      <c r="M4271" s="37" t="str">
        <f aca="false">IF($A4271="","",IF($Q4271=0,"UNMAPPED",INDEX(COA_Mapping!$C$7:$C$256,$Q4271)))</f>
        <v/>
      </c>
      <c r="N4271" s="38" t="str">
        <f aca="false">IF($A4271="","",IF($Q4271=0,"",INDEX(COA_Mapping!$E$7:$E$256,$Q4271)))</f>
        <v/>
      </c>
      <c r="O4271" s="38" t="n">
        <f aca="false">IF($A4271="",1,IF($Q4271=0,1,INDEX(COA_Mapping!$F$7:$F$256,$Q4271)))</f>
        <v>1</v>
      </c>
      <c r="P4271" s="34" t="str">
        <f aca="false">IF($A4271="","",$I4271*$O4271)</f>
        <v/>
      </c>
      <c r="Q4271" s="39" t="n">
        <f aca="false">IF($B4271="",0,IFERROR(MATCH($B4271,COA_Mapping!$A$7:$A$256,0),0))</f>
        <v>0</v>
      </c>
      <c r="R4271" s="39" t="n">
        <f aca="false">IF($A4271="",-1,IF($J4271=Setup!$B$7,1,IF($J4271=Setup!$B$9,0,-1)))</f>
        <v>-1</v>
      </c>
      <c r="S4271" s="35" t="n">
        <f aca="false">IF(OR($A4271="",$Q4271=0,$R4271=-1),0,$Q4271*1000+$R4271*100+$K4271)</f>
        <v>0</v>
      </c>
      <c r="T4271" s="37" t="str">
        <f aca="false">IF($A4271="","",IF($B4271="","NO ACCOUNT",IF($Q4271=0,"UNMAPPED",IF($R4271=-1,"OUTSIDE FY RANGE","OK"))))</f>
        <v/>
      </c>
      <c r="U4271" s="40" t="str">
        <f aca="false">IF($A4271="","",$B4271&amp;"|"&amp;TEXT($A4271,"yyyymmdd")&amp;"|"&amp;TEXT($I4271,"0.00"))</f>
        <v/>
      </c>
      <c r="V4271" s="35" t="str">
        <f aca="false">IF($A4271="","",COUNTIF($U$8:$U$5007,$U4271))</f>
        <v/>
      </c>
    </row>
    <row r="4272" customFormat="false" ht="15" hidden="false" customHeight="false" outlineLevel="0" collapsed="false">
      <c r="A4272" s="31"/>
      <c r="B4272" s="32"/>
      <c r="C4272" s="32"/>
      <c r="D4272" s="32"/>
      <c r="E4272" s="32"/>
      <c r="F4272" s="32"/>
      <c r="G4272" s="33"/>
      <c r="H4272" s="33"/>
      <c r="I4272" s="34" t="str">
        <f aca="false">IF($A4272="","",$G4272-$H4272)</f>
        <v/>
      </c>
      <c r="J4272" s="35" t="str">
        <f aca="false">IF($A4272="","",IF(Setup!$B$6=1,YEAR($A4272),YEAR($A4272)+IF(MONTH($A4272)&gt;=Setup!$B$6,1,0)))</f>
        <v/>
      </c>
      <c r="K4272" s="35" t="str">
        <f aca="false">IF($A4272="","",MOD(MONTH($A4272)-Setup!$B$6+12,12)+1)</f>
        <v/>
      </c>
      <c r="L4272" s="36" t="str">
        <f aca="false">IF($A4272="","",TEXT($A4272,"MMM-YY"))</f>
        <v/>
      </c>
      <c r="M4272" s="37" t="str">
        <f aca="false">IF($A4272="","",IF($Q4272=0,"UNMAPPED",INDEX(COA_Mapping!$C$7:$C$256,$Q4272)))</f>
        <v/>
      </c>
      <c r="N4272" s="38" t="str">
        <f aca="false">IF($A4272="","",IF($Q4272=0,"",INDEX(COA_Mapping!$E$7:$E$256,$Q4272)))</f>
        <v/>
      </c>
      <c r="O4272" s="38" t="n">
        <f aca="false">IF($A4272="",1,IF($Q4272=0,1,INDEX(COA_Mapping!$F$7:$F$256,$Q4272)))</f>
        <v>1</v>
      </c>
      <c r="P4272" s="34" t="str">
        <f aca="false">IF($A4272="","",$I4272*$O4272)</f>
        <v/>
      </c>
      <c r="Q4272" s="39" t="n">
        <f aca="false">IF($B4272="",0,IFERROR(MATCH($B4272,COA_Mapping!$A$7:$A$256,0),0))</f>
        <v>0</v>
      </c>
      <c r="R4272" s="39" t="n">
        <f aca="false">IF($A4272="",-1,IF($J4272=Setup!$B$7,1,IF($J4272=Setup!$B$9,0,-1)))</f>
        <v>-1</v>
      </c>
      <c r="S4272" s="35" t="n">
        <f aca="false">IF(OR($A4272="",$Q4272=0,$R4272=-1),0,$Q4272*1000+$R4272*100+$K4272)</f>
        <v>0</v>
      </c>
      <c r="T4272" s="37" t="str">
        <f aca="false">IF($A4272="","",IF($B4272="","NO ACCOUNT",IF($Q4272=0,"UNMAPPED",IF($R4272=-1,"OUTSIDE FY RANGE","OK"))))</f>
        <v/>
      </c>
      <c r="U4272" s="40" t="str">
        <f aca="false">IF($A4272="","",$B4272&amp;"|"&amp;TEXT($A4272,"yyyymmdd")&amp;"|"&amp;TEXT($I4272,"0.00"))</f>
        <v/>
      </c>
      <c r="V4272" s="35" t="str">
        <f aca="false">IF($A4272="","",COUNTIF($U$8:$U$5007,$U4272))</f>
        <v/>
      </c>
    </row>
    <row r="4273" customFormat="false" ht="15" hidden="false" customHeight="false" outlineLevel="0" collapsed="false">
      <c r="A4273" s="31"/>
      <c r="B4273" s="32"/>
      <c r="C4273" s="32"/>
      <c r="D4273" s="32"/>
      <c r="E4273" s="32"/>
      <c r="F4273" s="32"/>
      <c r="G4273" s="33"/>
      <c r="H4273" s="33"/>
      <c r="I4273" s="34" t="str">
        <f aca="false">IF($A4273="","",$G4273-$H4273)</f>
        <v/>
      </c>
      <c r="J4273" s="35" t="str">
        <f aca="false">IF($A4273="","",IF(Setup!$B$6=1,YEAR($A4273),YEAR($A4273)+IF(MONTH($A4273)&gt;=Setup!$B$6,1,0)))</f>
        <v/>
      </c>
      <c r="K4273" s="35" t="str">
        <f aca="false">IF($A4273="","",MOD(MONTH($A4273)-Setup!$B$6+12,12)+1)</f>
        <v/>
      </c>
      <c r="L4273" s="36" t="str">
        <f aca="false">IF($A4273="","",TEXT($A4273,"MMM-YY"))</f>
        <v/>
      </c>
      <c r="M4273" s="37" t="str">
        <f aca="false">IF($A4273="","",IF($Q4273=0,"UNMAPPED",INDEX(COA_Mapping!$C$7:$C$256,$Q4273)))</f>
        <v/>
      </c>
      <c r="N4273" s="38" t="str">
        <f aca="false">IF($A4273="","",IF($Q4273=0,"",INDEX(COA_Mapping!$E$7:$E$256,$Q4273)))</f>
        <v/>
      </c>
      <c r="O4273" s="38" t="n">
        <f aca="false">IF($A4273="",1,IF($Q4273=0,1,INDEX(COA_Mapping!$F$7:$F$256,$Q4273)))</f>
        <v>1</v>
      </c>
      <c r="P4273" s="34" t="str">
        <f aca="false">IF($A4273="","",$I4273*$O4273)</f>
        <v/>
      </c>
      <c r="Q4273" s="39" t="n">
        <f aca="false">IF($B4273="",0,IFERROR(MATCH($B4273,COA_Mapping!$A$7:$A$256,0),0))</f>
        <v>0</v>
      </c>
      <c r="R4273" s="39" t="n">
        <f aca="false">IF($A4273="",-1,IF($J4273=Setup!$B$7,1,IF($J4273=Setup!$B$9,0,-1)))</f>
        <v>-1</v>
      </c>
      <c r="S4273" s="35" t="n">
        <f aca="false">IF(OR($A4273="",$Q4273=0,$R4273=-1),0,$Q4273*1000+$R4273*100+$K4273)</f>
        <v>0</v>
      </c>
      <c r="T4273" s="37" t="str">
        <f aca="false">IF($A4273="","",IF($B4273="","NO ACCOUNT",IF($Q4273=0,"UNMAPPED",IF($R4273=-1,"OUTSIDE FY RANGE","OK"))))</f>
        <v/>
      </c>
      <c r="U4273" s="40" t="str">
        <f aca="false">IF($A4273="","",$B4273&amp;"|"&amp;TEXT($A4273,"yyyymmdd")&amp;"|"&amp;TEXT($I4273,"0.00"))</f>
        <v/>
      </c>
      <c r="V4273" s="35" t="str">
        <f aca="false">IF($A4273="","",COUNTIF($U$8:$U$5007,$U4273))</f>
        <v/>
      </c>
    </row>
    <row r="4274" customFormat="false" ht="15" hidden="false" customHeight="false" outlineLevel="0" collapsed="false">
      <c r="A4274" s="31"/>
      <c r="B4274" s="32"/>
      <c r="C4274" s="32"/>
      <c r="D4274" s="32"/>
      <c r="E4274" s="32"/>
      <c r="F4274" s="32"/>
      <c r="G4274" s="33"/>
      <c r="H4274" s="33"/>
      <c r="I4274" s="34" t="str">
        <f aca="false">IF($A4274="","",$G4274-$H4274)</f>
        <v/>
      </c>
      <c r="J4274" s="35" t="str">
        <f aca="false">IF($A4274="","",IF(Setup!$B$6=1,YEAR($A4274),YEAR($A4274)+IF(MONTH($A4274)&gt;=Setup!$B$6,1,0)))</f>
        <v/>
      </c>
      <c r="K4274" s="35" t="str">
        <f aca="false">IF($A4274="","",MOD(MONTH($A4274)-Setup!$B$6+12,12)+1)</f>
        <v/>
      </c>
      <c r="L4274" s="36" t="str">
        <f aca="false">IF($A4274="","",TEXT($A4274,"MMM-YY"))</f>
        <v/>
      </c>
      <c r="M4274" s="37" t="str">
        <f aca="false">IF($A4274="","",IF($Q4274=0,"UNMAPPED",INDEX(COA_Mapping!$C$7:$C$256,$Q4274)))</f>
        <v/>
      </c>
      <c r="N4274" s="38" t="str">
        <f aca="false">IF($A4274="","",IF($Q4274=0,"",INDEX(COA_Mapping!$E$7:$E$256,$Q4274)))</f>
        <v/>
      </c>
      <c r="O4274" s="38" t="n">
        <f aca="false">IF($A4274="",1,IF($Q4274=0,1,INDEX(COA_Mapping!$F$7:$F$256,$Q4274)))</f>
        <v>1</v>
      </c>
      <c r="P4274" s="34" t="str">
        <f aca="false">IF($A4274="","",$I4274*$O4274)</f>
        <v/>
      </c>
      <c r="Q4274" s="39" t="n">
        <f aca="false">IF($B4274="",0,IFERROR(MATCH($B4274,COA_Mapping!$A$7:$A$256,0),0))</f>
        <v>0</v>
      </c>
      <c r="R4274" s="39" t="n">
        <f aca="false">IF($A4274="",-1,IF($J4274=Setup!$B$7,1,IF($J4274=Setup!$B$9,0,-1)))</f>
        <v>-1</v>
      </c>
      <c r="S4274" s="35" t="n">
        <f aca="false">IF(OR($A4274="",$Q4274=0,$R4274=-1),0,$Q4274*1000+$R4274*100+$K4274)</f>
        <v>0</v>
      </c>
      <c r="T4274" s="37" t="str">
        <f aca="false">IF($A4274="","",IF($B4274="","NO ACCOUNT",IF($Q4274=0,"UNMAPPED",IF($R4274=-1,"OUTSIDE FY RANGE","OK"))))</f>
        <v/>
      </c>
      <c r="U4274" s="40" t="str">
        <f aca="false">IF($A4274="","",$B4274&amp;"|"&amp;TEXT($A4274,"yyyymmdd")&amp;"|"&amp;TEXT($I4274,"0.00"))</f>
        <v/>
      </c>
      <c r="V4274" s="35" t="str">
        <f aca="false">IF($A4274="","",COUNTIF($U$8:$U$5007,$U4274))</f>
        <v/>
      </c>
    </row>
    <row r="4275" customFormat="false" ht="15" hidden="false" customHeight="false" outlineLevel="0" collapsed="false">
      <c r="A4275" s="31"/>
      <c r="B4275" s="32"/>
      <c r="C4275" s="32"/>
      <c r="D4275" s="32"/>
      <c r="E4275" s="32"/>
      <c r="F4275" s="32"/>
      <c r="G4275" s="33"/>
      <c r="H4275" s="33"/>
      <c r="I4275" s="34" t="str">
        <f aca="false">IF($A4275="","",$G4275-$H4275)</f>
        <v/>
      </c>
      <c r="J4275" s="35" t="str">
        <f aca="false">IF($A4275="","",IF(Setup!$B$6=1,YEAR($A4275),YEAR($A4275)+IF(MONTH($A4275)&gt;=Setup!$B$6,1,0)))</f>
        <v/>
      </c>
      <c r="K4275" s="35" t="str">
        <f aca="false">IF($A4275="","",MOD(MONTH($A4275)-Setup!$B$6+12,12)+1)</f>
        <v/>
      </c>
      <c r="L4275" s="36" t="str">
        <f aca="false">IF($A4275="","",TEXT($A4275,"MMM-YY"))</f>
        <v/>
      </c>
      <c r="M4275" s="37" t="str">
        <f aca="false">IF($A4275="","",IF($Q4275=0,"UNMAPPED",INDEX(COA_Mapping!$C$7:$C$256,$Q4275)))</f>
        <v/>
      </c>
      <c r="N4275" s="38" t="str">
        <f aca="false">IF($A4275="","",IF($Q4275=0,"",INDEX(COA_Mapping!$E$7:$E$256,$Q4275)))</f>
        <v/>
      </c>
      <c r="O4275" s="38" t="n">
        <f aca="false">IF($A4275="",1,IF($Q4275=0,1,INDEX(COA_Mapping!$F$7:$F$256,$Q4275)))</f>
        <v>1</v>
      </c>
      <c r="P4275" s="34" t="str">
        <f aca="false">IF($A4275="","",$I4275*$O4275)</f>
        <v/>
      </c>
      <c r="Q4275" s="39" t="n">
        <f aca="false">IF($B4275="",0,IFERROR(MATCH($B4275,COA_Mapping!$A$7:$A$256,0),0))</f>
        <v>0</v>
      </c>
      <c r="R4275" s="39" t="n">
        <f aca="false">IF($A4275="",-1,IF($J4275=Setup!$B$7,1,IF($J4275=Setup!$B$9,0,-1)))</f>
        <v>-1</v>
      </c>
      <c r="S4275" s="35" t="n">
        <f aca="false">IF(OR($A4275="",$Q4275=0,$R4275=-1),0,$Q4275*1000+$R4275*100+$K4275)</f>
        <v>0</v>
      </c>
      <c r="T4275" s="37" t="str">
        <f aca="false">IF($A4275="","",IF($B4275="","NO ACCOUNT",IF($Q4275=0,"UNMAPPED",IF($R4275=-1,"OUTSIDE FY RANGE","OK"))))</f>
        <v/>
      </c>
      <c r="U4275" s="40" t="str">
        <f aca="false">IF($A4275="","",$B4275&amp;"|"&amp;TEXT($A4275,"yyyymmdd")&amp;"|"&amp;TEXT($I4275,"0.00"))</f>
        <v/>
      </c>
      <c r="V4275" s="35" t="str">
        <f aca="false">IF($A4275="","",COUNTIF($U$8:$U$5007,$U4275))</f>
        <v/>
      </c>
    </row>
    <row r="4276" customFormat="false" ht="15" hidden="false" customHeight="false" outlineLevel="0" collapsed="false">
      <c r="A4276" s="31"/>
      <c r="B4276" s="32"/>
      <c r="C4276" s="32"/>
      <c r="D4276" s="32"/>
      <c r="E4276" s="32"/>
      <c r="F4276" s="32"/>
      <c r="G4276" s="33"/>
      <c r="H4276" s="33"/>
      <c r="I4276" s="34" t="str">
        <f aca="false">IF($A4276="","",$G4276-$H4276)</f>
        <v/>
      </c>
      <c r="J4276" s="35" t="str">
        <f aca="false">IF($A4276="","",IF(Setup!$B$6=1,YEAR($A4276),YEAR($A4276)+IF(MONTH($A4276)&gt;=Setup!$B$6,1,0)))</f>
        <v/>
      </c>
      <c r="K4276" s="35" t="str">
        <f aca="false">IF($A4276="","",MOD(MONTH($A4276)-Setup!$B$6+12,12)+1)</f>
        <v/>
      </c>
      <c r="L4276" s="36" t="str">
        <f aca="false">IF($A4276="","",TEXT($A4276,"MMM-YY"))</f>
        <v/>
      </c>
      <c r="M4276" s="37" t="str">
        <f aca="false">IF($A4276="","",IF($Q4276=0,"UNMAPPED",INDEX(COA_Mapping!$C$7:$C$256,$Q4276)))</f>
        <v/>
      </c>
      <c r="N4276" s="38" t="str">
        <f aca="false">IF($A4276="","",IF($Q4276=0,"",INDEX(COA_Mapping!$E$7:$E$256,$Q4276)))</f>
        <v/>
      </c>
      <c r="O4276" s="38" t="n">
        <f aca="false">IF($A4276="",1,IF($Q4276=0,1,INDEX(COA_Mapping!$F$7:$F$256,$Q4276)))</f>
        <v>1</v>
      </c>
      <c r="P4276" s="34" t="str">
        <f aca="false">IF($A4276="","",$I4276*$O4276)</f>
        <v/>
      </c>
      <c r="Q4276" s="39" t="n">
        <f aca="false">IF($B4276="",0,IFERROR(MATCH($B4276,COA_Mapping!$A$7:$A$256,0),0))</f>
        <v>0</v>
      </c>
      <c r="R4276" s="39" t="n">
        <f aca="false">IF($A4276="",-1,IF($J4276=Setup!$B$7,1,IF($J4276=Setup!$B$9,0,-1)))</f>
        <v>-1</v>
      </c>
      <c r="S4276" s="35" t="n">
        <f aca="false">IF(OR($A4276="",$Q4276=0,$R4276=-1),0,$Q4276*1000+$R4276*100+$K4276)</f>
        <v>0</v>
      </c>
      <c r="T4276" s="37" t="str">
        <f aca="false">IF($A4276="","",IF($B4276="","NO ACCOUNT",IF($Q4276=0,"UNMAPPED",IF($R4276=-1,"OUTSIDE FY RANGE","OK"))))</f>
        <v/>
      </c>
      <c r="U4276" s="40" t="str">
        <f aca="false">IF($A4276="","",$B4276&amp;"|"&amp;TEXT($A4276,"yyyymmdd")&amp;"|"&amp;TEXT($I4276,"0.00"))</f>
        <v/>
      </c>
      <c r="V4276" s="35" t="str">
        <f aca="false">IF($A4276="","",COUNTIF($U$8:$U$5007,$U4276))</f>
        <v/>
      </c>
    </row>
    <row r="4277" customFormat="false" ht="15" hidden="false" customHeight="false" outlineLevel="0" collapsed="false">
      <c r="A4277" s="31"/>
      <c r="B4277" s="32"/>
      <c r="C4277" s="32"/>
      <c r="D4277" s="32"/>
      <c r="E4277" s="32"/>
      <c r="F4277" s="32"/>
      <c r="G4277" s="33"/>
      <c r="H4277" s="33"/>
      <c r="I4277" s="34" t="str">
        <f aca="false">IF($A4277="","",$G4277-$H4277)</f>
        <v/>
      </c>
      <c r="J4277" s="35" t="str">
        <f aca="false">IF($A4277="","",IF(Setup!$B$6=1,YEAR($A4277),YEAR($A4277)+IF(MONTH($A4277)&gt;=Setup!$B$6,1,0)))</f>
        <v/>
      </c>
      <c r="K4277" s="35" t="str">
        <f aca="false">IF($A4277="","",MOD(MONTH($A4277)-Setup!$B$6+12,12)+1)</f>
        <v/>
      </c>
      <c r="L4277" s="36" t="str">
        <f aca="false">IF($A4277="","",TEXT($A4277,"MMM-YY"))</f>
        <v/>
      </c>
      <c r="M4277" s="37" t="str">
        <f aca="false">IF($A4277="","",IF($Q4277=0,"UNMAPPED",INDEX(COA_Mapping!$C$7:$C$256,$Q4277)))</f>
        <v/>
      </c>
      <c r="N4277" s="38" t="str">
        <f aca="false">IF($A4277="","",IF($Q4277=0,"",INDEX(COA_Mapping!$E$7:$E$256,$Q4277)))</f>
        <v/>
      </c>
      <c r="O4277" s="38" t="n">
        <f aca="false">IF($A4277="",1,IF($Q4277=0,1,INDEX(COA_Mapping!$F$7:$F$256,$Q4277)))</f>
        <v>1</v>
      </c>
      <c r="P4277" s="34" t="str">
        <f aca="false">IF($A4277="","",$I4277*$O4277)</f>
        <v/>
      </c>
      <c r="Q4277" s="39" t="n">
        <f aca="false">IF($B4277="",0,IFERROR(MATCH($B4277,COA_Mapping!$A$7:$A$256,0),0))</f>
        <v>0</v>
      </c>
      <c r="R4277" s="39" t="n">
        <f aca="false">IF($A4277="",-1,IF($J4277=Setup!$B$7,1,IF($J4277=Setup!$B$9,0,-1)))</f>
        <v>-1</v>
      </c>
      <c r="S4277" s="35" t="n">
        <f aca="false">IF(OR($A4277="",$Q4277=0,$R4277=-1),0,$Q4277*1000+$R4277*100+$K4277)</f>
        <v>0</v>
      </c>
      <c r="T4277" s="37" t="str">
        <f aca="false">IF($A4277="","",IF($B4277="","NO ACCOUNT",IF($Q4277=0,"UNMAPPED",IF($R4277=-1,"OUTSIDE FY RANGE","OK"))))</f>
        <v/>
      </c>
      <c r="U4277" s="40" t="str">
        <f aca="false">IF($A4277="","",$B4277&amp;"|"&amp;TEXT($A4277,"yyyymmdd")&amp;"|"&amp;TEXT($I4277,"0.00"))</f>
        <v/>
      </c>
      <c r="V4277" s="35" t="str">
        <f aca="false">IF($A4277="","",COUNTIF($U$8:$U$5007,$U4277))</f>
        <v/>
      </c>
    </row>
    <row r="4278" customFormat="false" ht="15" hidden="false" customHeight="false" outlineLevel="0" collapsed="false">
      <c r="A4278" s="31"/>
      <c r="B4278" s="32"/>
      <c r="C4278" s="32"/>
      <c r="D4278" s="32"/>
      <c r="E4278" s="32"/>
      <c r="F4278" s="32"/>
      <c r="G4278" s="33"/>
      <c r="H4278" s="33"/>
      <c r="I4278" s="34" t="str">
        <f aca="false">IF($A4278="","",$G4278-$H4278)</f>
        <v/>
      </c>
      <c r="J4278" s="35" t="str">
        <f aca="false">IF($A4278="","",IF(Setup!$B$6=1,YEAR($A4278),YEAR($A4278)+IF(MONTH($A4278)&gt;=Setup!$B$6,1,0)))</f>
        <v/>
      </c>
      <c r="K4278" s="35" t="str">
        <f aca="false">IF($A4278="","",MOD(MONTH($A4278)-Setup!$B$6+12,12)+1)</f>
        <v/>
      </c>
      <c r="L4278" s="36" t="str">
        <f aca="false">IF($A4278="","",TEXT($A4278,"MMM-YY"))</f>
        <v/>
      </c>
      <c r="M4278" s="37" t="str">
        <f aca="false">IF($A4278="","",IF($Q4278=0,"UNMAPPED",INDEX(COA_Mapping!$C$7:$C$256,$Q4278)))</f>
        <v/>
      </c>
      <c r="N4278" s="38" t="str">
        <f aca="false">IF($A4278="","",IF($Q4278=0,"",INDEX(COA_Mapping!$E$7:$E$256,$Q4278)))</f>
        <v/>
      </c>
      <c r="O4278" s="38" t="n">
        <f aca="false">IF($A4278="",1,IF($Q4278=0,1,INDEX(COA_Mapping!$F$7:$F$256,$Q4278)))</f>
        <v>1</v>
      </c>
      <c r="P4278" s="34" t="str">
        <f aca="false">IF($A4278="","",$I4278*$O4278)</f>
        <v/>
      </c>
      <c r="Q4278" s="39" t="n">
        <f aca="false">IF($B4278="",0,IFERROR(MATCH($B4278,COA_Mapping!$A$7:$A$256,0),0))</f>
        <v>0</v>
      </c>
      <c r="R4278" s="39" t="n">
        <f aca="false">IF($A4278="",-1,IF($J4278=Setup!$B$7,1,IF($J4278=Setup!$B$9,0,-1)))</f>
        <v>-1</v>
      </c>
      <c r="S4278" s="35" t="n">
        <f aca="false">IF(OR($A4278="",$Q4278=0,$R4278=-1),0,$Q4278*1000+$R4278*100+$K4278)</f>
        <v>0</v>
      </c>
      <c r="T4278" s="37" t="str">
        <f aca="false">IF($A4278="","",IF($B4278="","NO ACCOUNT",IF($Q4278=0,"UNMAPPED",IF($R4278=-1,"OUTSIDE FY RANGE","OK"))))</f>
        <v/>
      </c>
      <c r="U4278" s="40" t="str">
        <f aca="false">IF($A4278="","",$B4278&amp;"|"&amp;TEXT($A4278,"yyyymmdd")&amp;"|"&amp;TEXT($I4278,"0.00"))</f>
        <v/>
      </c>
      <c r="V4278" s="35" t="str">
        <f aca="false">IF($A4278="","",COUNTIF($U$8:$U$5007,$U4278))</f>
        <v/>
      </c>
    </row>
    <row r="4279" customFormat="false" ht="15" hidden="false" customHeight="false" outlineLevel="0" collapsed="false">
      <c r="A4279" s="31"/>
      <c r="B4279" s="32"/>
      <c r="C4279" s="32"/>
      <c r="D4279" s="32"/>
      <c r="E4279" s="32"/>
      <c r="F4279" s="32"/>
      <c r="G4279" s="33"/>
      <c r="H4279" s="33"/>
      <c r="I4279" s="34" t="str">
        <f aca="false">IF($A4279="","",$G4279-$H4279)</f>
        <v/>
      </c>
      <c r="J4279" s="35" t="str">
        <f aca="false">IF($A4279="","",IF(Setup!$B$6=1,YEAR($A4279),YEAR($A4279)+IF(MONTH($A4279)&gt;=Setup!$B$6,1,0)))</f>
        <v/>
      </c>
      <c r="K4279" s="35" t="str">
        <f aca="false">IF($A4279="","",MOD(MONTH($A4279)-Setup!$B$6+12,12)+1)</f>
        <v/>
      </c>
      <c r="L4279" s="36" t="str">
        <f aca="false">IF($A4279="","",TEXT($A4279,"MMM-YY"))</f>
        <v/>
      </c>
      <c r="M4279" s="37" t="str">
        <f aca="false">IF($A4279="","",IF($Q4279=0,"UNMAPPED",INDEX(COA_Mapping!$C$7:$C$256,$Q4279)))</f>
        <v/>
      </c>
      <c r="N4279" s="38" t="str">
        <f aca="false">IF($A4279="","",IF($Q4279=0,"",INDEX(COA_Mapping!$E$7:$E$256,$Q4279)))</f>
        <v/>
      </c>
      <c r="O4279" s="38" t="n">
        <f aca="false">IF($A4279="",1,IF($Q4279=0,1,INDEX(COA_Mapping!$F$7:$F$256,$Q4279)))</f>
        <v>1</v>
      </c>
      <c r="P4279" s="34" t="str">
        <f aca="false">IF($A4279="","",$I4279*$O4279)</f>
        <v/>
      </c>
      <c r="Q4279" s="39" t="n">
        <f aca="false">IF($B4279="",0,IFERROR(MATCH($B4279,COA_Mapping!$A$7:$A$256,0),0))</f>
        <v>0</v>
      </c>
      <c r="R4279" s="39" t="n">
        <f aca="false">IF($A4279="",-1,IF($J4279=Setup!$B$7,1,IF($J4279=Setup!$B$9,0,-1)))</f>
        <v>-1</v>
      </c>
      <c r="S4279" s="35" t="n">
        <f aca="false">IF(OR($A4279="",$Q4279=0,$R4279=-1),0,$Q4279*1000+$R4279*100+$K4279)</f>
        <v>0</v>
      </c>
      <c r="T4279" s="37" t="str">
        <f aca="false">IF($A4279="","",IF($B4279="","NO ACCOUNT",IF($Q4279=0,"UNMAPPED",IF($R4279=-1,"OUTSIDE FY RANGE","OK"))))</f>
        <v/>
      </c>
      <c r="U4279" s="40" t="str">
        <f aca="false">IF($A4279="","",$B4279&amp;"|"&amp;TEXT($A4279,"yyyymmdd")&amp;"|"&amp;TEXT($I4279,"0.00"))</f>
        <v/>
      </c>
      <c r="V4279" s="35" t="str">
        <f aca="false">IF($A4279="","",COUNTIF($U$8:$U$5007,$U4279))</f>
        <v/>
      </c>
    </row>
    <row r="4280" customFormat="false" ht="15" hidden="false" customHeight="false" outlineLevel="0" collapsed="false">
      <c r="A4280" s="31"/>
      <c r="B4280" s="32"/>
      <c r="C4280" s="32"/>
      <c r="D4280" s="32"/>
      <c r="E4280" s="32"/>
      <c r="F4280" s="32"/>
      <c r="G4280" s="33"/>
      <c r="H4280" s="33"/>
      <c r="I4280" s="34" t="str">
        <f aca="false">IF($A4280="","",$G4280-$H4280)</f>
        <v/>
      </c>
      <c r="J4280" s="35" t="str">
        <f aca="false">IF($A4280="","",IF(Setup!$B$6=1,YEAR($A4280),YEAR($A4280)+IF(MONTH($A4280)&gt;=Setup!$B$6,1,0)))</f>
        <v/>
      </c>
      <c r="K4280" s="35" t="str">
        <f aca="false">IF($A4280="","",MOD(MONTH($A4280)-Setup!$B$6+12,12)+1)</f>
        <v/>
      </c>
      <c r="L4280" s="36" t="str">
        <f aca="false">IF($A4280="","",TEXT($A4280,"MMM-YY"))</f>
        <v/>
      </c>
      <c r="M4280" s="37" t="str">
        <f aca="false">IF($A4280="","",IF($Q4280=0,"UNMAPPED",INDEX(COA_Mapping!$C$7:$C$256,$Q4280)))</f>
        <v/>
      </c>
      <c r="N4280" s="38" t="str">
        <f aca="false">IF($A4280="","",IF($Q4280=0,"",INDEX(COA_Mapping!$E$7:$E$256,$Q4280)))</f>
        <v/>
      </c>
      <c r="O4280" s="38" t="n">
        <f aca="false">IF($A4280="",1,IF($Q4280=0,1,INDEX(COA_Mapping!$F$7:$F$256,$Q4280)))</f>
        <v>1</v>
      </c>
      <c r="P4280" s="34" t="str">
        <f aca="false">IF($A4280="","",$I4280*$O4280)</f>
        <v/>
      </c>
      <c r="Q4280" s="39" t="n">
        <f aca="false">IF($B4280="",0,IFERROR(MATCH($B4280,COA_Mapping!$A$7:$A$256,0),0))</f>
        <v>0</v>
      </c>
      <c r="R4280" s="39" t="n">
        <f aca="false">IF($A4280="",-1,IF($J4280=Setup!$B$7,1,IF($J4280=Setup!$B$9,0,-1)))</f>
        <v>-1</v>
      </c>
      <c r="S4280" s="35" t="n">
        <f aca="false">IF(OR($A4280="",$Q4280=0,$R4280=-1),0,$Q4280*1000+$R4280*100+$K4280)</f>
        <v>0</v>
      </c>
      <c r="T4280" s="37" t="str">
        <f aca="false">IF($A4280="","",IF($B4280="","NO ACCOUNT",IF($Q4280=0,"UNMAPPED",IF($R4280=-1,"OUTSIDE FY RANGE","OK"))))</f>
        <v/>
      </c>
      <c r="U4280" s="40" t="str">
        <f aca="false">IF($A4280="","",$B4280&amp;"|"&amp;TEXT($A4280,"yyyymmdd")&amp;"|"&amp;TEXT($I4280,"0.00"))</f>
        <v/>
      </c>
      <c r="V4280" s="35" t="str">
        <f aca="false">IF($A4280="","",COUNTIF($U$8:$U$5007,$U4280))</f>
        <v/>
      </c>
    </row>
    <row r="4281" customFormat="false" ht="15" hidden="false" customHeight="false" outlineLevel="0" collapsed="false">
      <c r="A4281" s="31"/>
      <c r="B4281" s="32"/>
      <c r="C4281" s="32"/>
      <c r="D4281" s="32"/>
      <c r="E4281" s="32"/>
      <c r="F4281" s="32"/>
      <c r="G4281" s="33"/>
      <c r="H4281" s="33"/>
      <c r="I4281" s="34" t="str">
        <f aca="false">IF($A4281="","",$G4281-$H4281)</f>
        <v/>
      </c>
      <c r="J4281" s="35" t="str">
        <f aca="false">IF($A4281="","",IF(Setup!$B$6=1,YEAR($A4281),YEAR($A4281)+IF(MONTH($A4281)&gt;=Setup!$B$6,1,0)))</f>
        <v/>
      </c>
      <c r="K4281" s="35" t="str">
        <f aca="false">IF($A4281="","",MOD(MONTH($A4281)-Setup!$B$6+12,12)+1)</f>
        <v/>
      </c>
      <c r="L4281" s="36" t="str">
        <f aca="false">IF($A4281="","",TEXT($A4281,"MMM-YY"))</f>
        <v/>
      </c>
      <c r="M4281" s="37" t="str">
        <f aca="false">IF($A4281="","",IF($Q4281=0,"UNMAPPED",INDEX(COA_Mapping!$C$7:$C$256,$Q4281)))</f>
        <v/>
      </c>
      <c r="N4281" s="38" t="str">
        <f aca="false">IF($A4281="","",IF($Q4281=0,"",INDEX(COA_Mapping!$E$7:$E$256,$Q4281)))</f>
        <v/>
      </c>
      <c r="O4281" s="38" t="n">
        <f aca="false">IF($A4281="",1,IF($Q4281=0,1,INDEX(COA_Mapping!$F$7:$F$256,$Q4281)))</f>
        <v>1</v>
      </c>
      <c r="P4281" s="34" t="str">
        <f aca="false">IF($A4281="","",$I4281*$O4281)</f>
        <v/>
      </c>
      <c r="Q4281" s="39" t="n">
        <f aca="false">IF($B4281="",0,IFERROR(MATCH($B4281,COA_Mapping!$A$7:$A$256,0),0))</f>
        <v>0</v>
      </c>
      <c r="R4281" s="39" t="n">
        <f aca="false">IF($A4281="",-1,IF($J4281=Setup!$B$7,1,IF($J4281=Setup!$B$9,0,-1)))</f>
        <v>-1</v>
      </c>
      <c r="S4281" s="35" t="n">
        <f aca="false">IF(OR($A4281="",$Q4281=0,$R4281=-1),0,$Q4281*1000+$R4281*100+$K4281)</f>
        <v>0</v>
      </c>
      <c r="T4281" s="37" t="str">
        <f aca="false">IF($A4281="","",IF($B4281="","NO ACCOUNT",IF($Q4281=0,"UNMAPPED",IF($R4281=-1,"OUTSIDE FY RANGE","OK"))))</f>
        <v/>
      </c>
      <c r="U4281" s="40" t="str">
        <f aca="false">IF($A4281="","",$B4281&amp;"|"&amp;TEXT($A4281,"yyyymmdd")&amp;"|"&amp;TEXT($I4281,"0.00"))</f>
        <v/>
      </c>
      <c r="V4281" s="35" t="str">
        <f aca="false">IF($A4281="","",COUNTIF($U$8:$U$5007,$U4281))</f>
        <v/>
      </c>
    </row>
    <row r="4282" customFormat="false" ht="15" hidden="false" customHeight="false" outlineLevel="0" collapsed="false">
      <c r="A4282" s="31"/>
      <c r="B4282" s="32"/>
      <c r="C4282" s="32"/>
      <c r="D4282" s="32"/>
      <c r="E4282" s="32"/>
      <c r="F4282" s="32"/>
      <c r="G4282" s="33"/>
      <c r="H4282" s="33"/>
      <c r="I4282" s="34" t="str">
        <f aca="false">IF($A4282="","",$G4282-$H4282)</f>
        <v/>
      </c>
      <c r="J4282" s="35" t="str">
        <f aca="false">IF($A4282="","",IF(Setup!$B$6=1,YEAR($A4282),YEAR($A4282)+IF(MONTH($A4282)&gt;=Setup!$B$6,1,0)))</f>
        <v/>
      </c>
      <c r="K4282" s="35" t="str">
        <f aca="false">IF($A4282="","",MOD(MONTH($A4282)-Setup!$B$6+12,12)+1)</f>
        <v/>
      </c>
      <c r="L4282" s="36" t="str">
        <f aca="false">IF($A4282="","",TEXT($A4282,"MMM-YY"))</f>
        <v/>
      </c>
      <c r="M4282" s="37" t="str">
        <f aca="false">IF($A4282="","",IF($Q4282=0,"UNMAPPED",INDEX(COA_Mapping!$C$7:$C$256,$Q4282)))</f>
        <v/>
      </c>
      <c r="N4282" s="38" t="str">
        <f aca="false">IF($A4282="","",IF($Q4282=0,"",INDEX(COA_Mapping!$E$7:$E$256,$Q4282)))</f>
        <v/>
      </c>
      <c r="O4282" s="38" t="n">
        <f aca="false">IF($A4282="",1,IF($Q4282=0,1,INDEX(COA_Mapping!$F$7:$F$256,$Q4282)))</f>
        <v>1</v>
      </c>
      <c r="P4282" s="34" t="str">
        <f aca="false">IF($A4282="","",$I4282*$O4282)</f>
        <v/>
      </c>
      <c r="Q4282" s="39" t="n">
        <f aca="false">IF($B4282="",0,IFERROR(MATCH($B4282,COA_Mapping!$A$7:$A$256,0),0))</f>
        <v>0</v>
      </c>
      <c r="R4282" s="39" t="n">
        <f aca="false">IF($A4282="",-1,IF($J4282=Setup!$B$7,1,IF($J4282=Setup!$B$9,0,-1)))</f>
        <v>-1</v>
      </c>
      <c r="S4282" s="35" t="n">
        <f aca="false">IF(OR($A4282="",$Q4282=0,$R4282=-1),0,$Q4282*1000+$R4282*100+$K4282)</f>
        <v>0</v>
      </c>
      <c r="T4282" s="37" t="str">
        <f aca="false">IF($A4282="","",IF($B4282="","NO ACCOUNT",IF($Q4282=0,"UNMAPPED",IF($R4282=-1,"OUTSIDE FY RANGE","OK"))))</f>
        <v/>
      </c>
      <c r="U4282" s="40" t="str">
        <f aca="false">IF($A4282="","",$B4282&amp;"|"&amp;TEXT($A4282,"yyyymmdd")&amp;"|"&amp;TEXT($I4282,"0.00"))</f>
        <v/>
      </c>
      <c r="V4282" s="35" t="str">
        <f aca="false">IF($A4282="","",COUNTIF($U$8:$U$5007,$U4282))</f>
        <v/>
      </c>
    </row>
    <row r="4283" customFormat="false" ht="15" hidden="false" customHeight="false" outlineLevel="0" collapsed="false">
      <c r="A4283" s="31"/>
      <c r="B4283" s="32"/>
      <c r="C4283" s="32"/>
      <c r="D4283" s="32"/>
      <c r="E4283" s="32"/>
      <c r="F4283" s="32"/>
      <c r="G4283" s="33"/>
      <c r="H4283" s="33"/>
      <c r="I4283" s="34" t="str">
        <f aca="false">IF($A4283="","",$G4283-$H4283)</f>
        <v/>
      </c>
      <c r="J4283" s="35" t="str">
        <f aca="false">IF($A4283="","",IF(Setup!$B$6=1,YEAR($A4283),YEAR($A4283)+IF(MONTH($A4283)&gt;=Setup!$B$6,1,0)))</f>
        <v/>
      </c>
      <c r="K4283" s="35" t="str">
        <f aca="false">IF($A4283="","",MOD(MONTH($A4283)-Setup!$B$6+12,12)+1)</f>
        <v/>
      </c>
      <c r="L4283" s="36" t="str">
        <f aca="false">IF($A4283="","",TEXT($A4283,"MMM-YY"))</f>
        <v/>
      </c>
      <c r="M4283" s="37" t="str">
        <f aca="false">IF($A4283="","",IF($Q4283=0,"UNMAPPED",INDEX(COA_Mapping!$C$7:$C$256,$Q4283)))</f>
        <v/>
      </c>
      <c r="N4283" s="38" t="str">
        <f aca="false">IF($A4283="","",IF($Q4283=0,"",INDEX(COA_Mapping!$E$7:$E$256,$Q4283)))</f>
        <v/>
      </c>
      <c r="O4283" s="38" t="n">
        <f aca="false">IF($A4283="",1,IF($Q4283=0,1,INDEX(COA_Mapping!$F$7:$F$256,$Q4283)))</f>
        <v>1</v>
      </c>
      <c r="P4283" s="34" t="str">
        <f aca="false">IF($A4283="","",$I4283*$O4283)</f>
        <v/>
      </c>
      <c r="Q4283" s="39" t="n">
        <f aca="false">IF($B4283="",0,IFERROR(MATCH($B4283,COA_Mapping!$A$7:$A$256,0),0))</f>
        <v>0</v>
      </c>
      <c r="R4283" s="39" t="n">
        <f aca="false">IF($A4283="",-1,IF($J4283=Setup!$B$7,1,IF($J4283=Setup!$B$9,0,-1)))</f>
        <v>-1</v>
      </c>
      <c r="S4283" s="35" t="n">
        <f aca="false">IF(OR($A4283="",$Q4283=0,$R4283=-1),0,$Q4283*1000+$R4283*100+$K4283)</f>
        <v>0</v>
      </c>
      <c r="T4283" s="37" t="str">
        <f aca="false">IF($A4283="","",IF($B4283="","NO ACCOUNT",IF($Q4283=0,"UNMAPPED",IF($R4283=-1,"OUTSIDE FY RANGE","OK"))))</f>
        <v/>
      </c>
      <c r="U4283" s="40" t="str">
        <f aca="false">IF($A4283="","",$B4283&amp;"|"&amp;TEXT($A4283,"yyyymmdd")&amp;"|"&amp;TEXT($I4283,"0.00"))</f>
        <v/>
      </c>
      <c r="V4283" s="35" t="str">
        <f aca="false">IF($A4283="","",COUNTIF($U$8:$U$5007,$U4283))</f>
        <v/>
      </c>
    </row>
    <row r="4284" customFormat="false" ht="15" hidden="false" customHeight="false" outlineLevel="0" collapsed="false">
      <c r="A4284" s="31"/>
      <c r="B4284" s="32"/>
      <c r="C4284" s="32"/>
      <c r="D4284" s="32"/>
      <c r="E4284" s="32"/>
      <c r="F4284" s="32"/>
      <c r="G4284" s="33"/>
      <c r="H4284" s="33"/>
      <c r="I4284" s="34" t="str">
        <f aca="false">IF($A4284="","",$G4284-$H4284)</f>
        <v/>
      </c>
      <c r="J4284" s="35" t="str">
        <f aca="false">IF($A4284="","",IF(Setup!$B$6=1,YEAR($A4284),YEAR($A4284)+IF(MONTH($A4284)&gt;=Setup!$B$6,1,0)))</f>
        <v/>
      </c>
      <c r="K4284" s="35" t="str">
        <f aca="false">IF($A4284="","",MOD(MONTH($A4284)-Setup!$B$6+12,12)+1)</f>
        <v/>
      </c>
      <c r="L4284" s="36" t="str">
        <f aca="false">IF($A4284="","",TEXT($A4284,"MMM-YY"))</f>
        <v/>
      </c>
      <c r="M4284" s="37" t="str">
        <f aca="false">IF($A4284="","",IF($Q4284=0,"UNMAPPED",INDEX(COA_Mapping!$C$7:$C$256,$Q4284)))</f>
        <v/>
      </c>
      <c r="N4284" s="38" t="str">
        <f aca="false">IF($A4284="","",IF($Q4284=0,"",INDEX(COA_Mapping!$E$7:$E$256,$Q4284)))</f>
        <v/>
      </c>
      <c r="O4284" s="38" t="n">
        <f aca="false">IF($A4284="",1,IF($Q4284=0,1,INDEX(COA_Mapping!$F$7:$F$256,$Q4284)))</f>
        <v>1</v>
      </c>
      <c r="P4284" s="34" t="str">
        <f aca="false">IF($A4284="","",$I4284*$O4284)</f>
        <v/>
      </c>
      <c r="Q4284" s="39" t="n">
        <f aca="false">IF($B4284="",0,IFERROR(MATCH($B4284,COA_Mapping!$A$7:$A$256,0),0))</f>
        <v>0</v>
      </c>
      <c r="R4284" s="39" t="n">
        <f aca="false">IF($A4284="",-1,IF($J4284=Setup!$B$7,1,IF($J4284=Setup!$B$9,0,-1)))</f>
        <v>-1</v>
      </c>
      <c r="S4284" s="35" t="n">
        <f aca="false">IF(OR($A4284="",$Q4284=0,$R4284=-1),0,$Q4284*1000+$R4284*100+$K4284)</f>
        <v>0</v>
      </c>
      <c r="T4284" s="37" t="str">
        <f aca="false">IF($A4284="","",IF($B4284="","NO ACCOUNT",IF($Q4284=0,"UNMAPPED",IF($R4284=-1,"OUTSIDE FY RANGE","OK"))))</f>
        <v/>
      </c>
      <c r="U4284" s="40" t="str">
        <f aca="false">IF($A4284="","",$B4284&amp;"|"&amp;TEXT($A4284,"yyyymmdd")&amp;"|"&amp;TEXT($I4284,"0.00"))</f>
        <v/>
      </c>
      <c r="V4284" s="35" t="str">
        <f aca="false">IF($A4284="","",COUNTIF($U$8:$U$5007,$U4284))</f>
        <v/>
      </c>
    </row>
    <row r="4285" customFormat="false" ht="15" hidden="false" customHeight="false" outlineLevel="0" collapsed="false">
      <c r="A4285" s="31"/>
      <c r="B4285" s="32"/>
      <c r="C4285" s="32"/>
      <c r="D4285" s="32"/>
      <c r="E4285" s="32"/>
      <c r="F4285" s="32"/>
      <c r="G4285" s="33"/>
      <c r="H4285" s="33"/>
      <c r="I4285" s="34" t="str">
        <f aca="false">IF($A4285="","",$G4285-$H4285)</f>
        <v/>
      </c>
      <c r="J4285" s="35" t="str">
        <f aca="false">IF($A4285="","",IF(Setup!$B$6=1,YEAR($A4285),YEAR($A4285)+IF(MONTH($A4285)&gt;=Setup!$B$6,1,0)))</f>
        <v/>
      </c>
      <c r="K4285" s="35" t="str">
        <f aca="false">IF($A4285="","",MOD(MONTH($A4285)-Setup!$B$6+12,12)+1)</f>
        <v/>
      </c>
      <c r="L4285" s="36" t="str">
        <f aca="false">IF($A4285="","",TEXT($A4285,"MMM-YY"))</f>
        <v/>
      </c>
      <c r="M4285" s="37" t="str">
        <f aca="false">IF($A4285="","",IF($Q4285=0,"UNMAPPED",INDEX(COA_Mapping!$C$7:$C$256,$Q4285)))</f>
        <v/>
      </c>
      <c r="N4285" s="38" t="str">
        <f aca="false">IF($A4285="","",IF($Q4285=0,"",INDEX(COA_Mapping!$E$7:$E$256,$Q4285)))</f>
        <v/>
      </c>
      <c r="O4285" s="38" t="n">
        <f aca="false">IF($A4285="",1,IF($Q4285=0,1,INDEX(COA_Mapping!$F$7:$F$256,$Q4285)))</f>
        <v>1</v>
      </c>
      <c r="P4285" s="34" t="str">
        <f aca="false">IF($A4285="","",$I4285*$O4285)</f>
        <v/>
      </c>
      <c r="Q4285" s="39" t="n">
        <f aca="false">IF($B4285="",0,IFERROR(MATCH($B4285,COA_Mapping!$A$7:$A$256,0),0))</f>
        <v>0</v>
      </c>
      <c r="R4285" s="39" t="n">
        <f aca="false">IF($A4285="",-1,IF($J4285=Setup!$B$7,1,IF($J4285=Setup!$B$9,0,-1)))</f>
        <v>-1</v>
      </c>
      <c r="S4285" s="35" t="n">
        <f aca="false">IF(OR($A4285="",$Q4285=0,$R4285=-1),0,$Q4285*1000+$R4285*100+$K4285)</f>
        <v>0</v>
      </c>
      <c r="T4285" s="37" t="str">
        <f aca="false">IF($A4285="","",IF($B4285="","NO ACCOUNT",IF($Q4285=0,"UNMAPPED",IF($R4285=-1,"OUTSIDE FY RANGE","OK"))))</f>
        <v/>
      </c>
      <c r="U4285" s="40" t="str">
        <f aca="false">IF($A4285="","",$B4285&amp;"|"&amp;TEXT($A4285,"yyyymmdd")&amp;"|"&amp;TEXT($I4285,"0.00"))</f>
        <v/>
      </c>
      <c r="V4285" s="35" t="str">
        <f aca="false">IF($A4285="","",COUNTIF($U$8:$U$5007,$U4285))</f>
        <v/>
      </c>
    </row>
    <row r="4286" customFormat="false" ht="15" hidden="false" customHeight="false" outlineLevel="0" collapsed="false">
      <c r="A4286" s="31"/>
      <c r="B4286" s="32"/>
      <c r="C4286" s="32"/>
      <c r="D4286" s="32"/>
      <c r="E4286" s="32"/>
      <c r="F4286" s="32"/>
      <c r="G4286" s="33"/>
      <c r="H4286" s="33"/>
      <c r="I4286" s="34" t="str">
        <f aca="false">IF($A4286="","",$G4286-$H4286)</f>
        <v/>
      </c>
      <c r="J4286" s="35" t="str">
        <f aca="false">IF($A4286="","",IF(Setup!$B$6=1,YEAR($A4286),YEAR($A4286)+IF(MONTH($A4286)&gt;=Setup!$B$6,1,0)))</f>
        <v/>
      </c>
      <c r="K4286" s="35" t="str">
        <f aca="false">IF($A4286="","",MOD(MONTH($A4286)-Setup!$B$6+12,12)+1)</f>
        <v/>
      </c>
      <c r="L4286" s="36" t="str">
        <f aca="false">IF($A4286="","",TEXT($A4286,"MMM-YY"))</f>
        <v/>
      </c>
      <c r="M4286" s="37" t="str">
        <f aca="false">IF($A4286="","",IF($Q4286=0,"UNMAPPED",INDEX(COA_Mapping!$C$7:$C$256,$Q4286)))</f>
        <v/>
      </c>
      <c r="N4286" s="38" t="str">
        <f aca="false">IF($A4286="","",IF($Q4286=0,"",INDEX(COA_Mapping!$E$7:$E$256,$Q4286)))</f>
        <v/>
      </c>
      <c r="O4286" s="38" t="n">
        <f aca="false">IF($A4286="",1,IF($Q4286=0,1,INDEX(COA_Mapping!$F$7:$F$256,$Q4286)))</f>
        <v>1</v>
      </c>
      <c r="P4286" s="34" t="str">
        <f aca="false">IF($A4286="","",$I4286*$O4286)</f>
        <v/>
      </c>
      <c r="Q4286" s="39" t="n">
        <f aca="false">IF($B4286="",0,IFERROR(MATCH($B4286,COA_Mapping!$A$7:$A$256,0),0))</f>
        <v>0</v>
      </c>
      <c r="R4286" s="39" t="n">
        <f aca="false">IF($A4286="",-1,IF($J4286=Setup!$B$7,1,IF($J4286=Setup!$B$9,0,-1)))</f>
        <v>-1</v>
      </c>
      <c r="S4286" s="35" t="n">
        <f aca="false">IF(OR($A4286="",$Q4286=0,$R4286=-1),0,$Q4286*1000+$R4286*100+$K4286)</f>
        <v>0</v>
      </c>
      <c r="T4286" s="37" t="str">
        <f aca="false">IF($A4286="","",IF($B4286="","NO ACCOUNT",IF($Q4286=0,"UNMAPPED",IF($R4286=-1,"OUTSIDE FY RANGE","OK"))))</f>
        <v/>
      </c>
      <c r="U4286" s="40" t="str">
        <f aca="false">IF($A4286="","",$B4286&amp;"|"&amp;TEXT($A4286,"yyyymmdd")&amp;"|"&amp;TEXT($I4286,"0.00"))</f>
        <v/>
      </c>
      <c r="V4286" s="35" t="str">
        <f aca="false">IF($A4286="","",COUNTIF($U$8:$U$5007,$U4286))</f>
        <v/>
      </c>
    </row>
    <row r="4287" customFormat="false" ht="15" hidden="false" customHeight="false" outlineLevel="0" collapsed="false">
      <c r="A4287" s="31"/>
      <c r="B4287" s="32"/>
      <c r="C4287" s="32"/>
      <c r="D4287" s="32"/>
      <c r="E4287" s="32"/>
      <c r="F4287" s="32"/>
      <c r="G4287" s="33"/>
      <c r="H4287" s="33"/>
      <c r="I4287" s="34" t="str">
        <f aca="false">IF($A4287="","",$G4287-$H4287)</f>
        <v/>
      </c>
      <c r="J4287" s="35" t="str">
        <f aca="false">IF($A4287="","",IF(Setup!$B$6=1,YEAR($A4287),YEAR($A4287)+IF(MONTH($A4287)&gt;=Setup!$B$6,1,0)))</f>
        <v/>
      </c>
      <c r="K4287" s="35" t="str">
        <f aca="false">IF($A4287="","",MOD(MONTH($A4287)-Setup!$B$6+12,12)+1)</f>
        <v/>
      </c>
      <c r="L4287" s="36" t="str">
        <f aca="false">IF($A4287="","",TEXT($A4287,"MMM-YY"))</f>
        <v/>
      </c>
      <c r="M4287" s="37" t="str">
        <f aca="false">IF($A4287="","",IF($Q4287=0,"UNMAPPED",INDEX(COA_Mapping!$C$7:$C$256,$Q4287)))</f>
        <v/>
      </c>
      <c r="N4287" s="38" t="str">
        <f aca="false">IF($A4287="","",IF($Q4287=0,"",INDEX(COA_Mapping!$E$7:$E$256,$Q4287)))</f>
        <v/>
      </c>
      <c r="O4287" s="38" t="n">
        <f aca="false">IF($A4287="",1,IF($Q4287=0,1,INDEX(COA_Mapping!$F$7:$F$256,$Q4287)))</f>
        <v>1</v>
      </c>
      <c r="P4287" s="34" t="str">
        <f aca="false">IF($A4287="","",$I4287*$O4287)</f>
        <v/>
      </c>
      <c r="Q4287" s="39" t="n">
        <f aca="false">IF($B4287="",0,IFERROR(MATCH($B4287,COA_Mapping!$A$7:$A$256,0),0))</f>
        <v>0</v>
      </c>
      <c r="R4287" s="39" t="n">
        <f aca="false">IF($A4287="",-1,IF($J4287=Setup!$B$7,1,IF($J4287=Setup!$B$9,0,-1)))</f>
        <v>-1</v>
      </c>
      <c r="S4287" s="35" t="n">
        <f aca="false">IF(OR($A4287="",$Q4287=0,$R4287=-1),0,$Q4287*1000+$R4287*100+$K4287)</f>
        <v>0</v>
      </c>
      <c r="T4287" s="37" t="str">
        <f aca="false">IF($A4287="","",IF($B4287="","NO ACCOUNT",IF($Q4287=0,"UNMAPPED",IF($R4287=-1,"OUTSIDE FY RANGE","OK"))))</f>
        <v/>
      </c>
      <c r="U4287" s="40" t="str">
        <f aca="false">IF($A4287="","",$B4287&amp;"|"&amp;TEXT($A4287,"yyyymmdd")&amp;"|"&amp;TEXT($I4287,"0.00"))</f>
        <v/>
      </c>
      <c r="V4287" s="35" t="str">
        <f aca="false">IF($A4287="","",COUNTIF($U$8:$U$5007,$U4287))</f>
        <v/>
      </c>
    </row>
    <row r="4288" customFormat="false" ht="15" hidden="false" customHeight="false" outlineLevel="0" collapsed="false">
      <c r="A4288" s="31"/>
      <c r="B4288" s="32"/>
      <c r="C4288" s="32"/>
      <c r="D4288" s="32"/>
      <c r="E4288" s="32"/>
      <c r="F4288" s="32"/>
      <c r="G4288" s="33"/>
      <c r="H4288" s="33"/>
      <c r="I4288" s="34" t="str">
        <f aca="false">IF($A4288="","",$G4288-$H4288)</f>
        <v/>
      </c>
      <c r="J4288" s="35" t="str">
        <f aca="false">IF($A4288="","",IF(Setup!$B$6=1,YEAR($A4288),YEAR($A4288)+IF(MONTH($A4288)&gt;=Setup!$B$6,1,0)))</f>
        <v/>
      </c>
      <c r="K4288" s="35" t="str">
        <f aca="false">IF($A4288="","",MOD(MONTH($A4288)-Setup!$B$6+12,12)+1)</f>
        <v/>
      </c>
      <c r="L4288" s="36" t="str">
        <f aca="false">IF($A4288="","",TEXT($A4288,"MMM-YY"))</f>
        <v/>
      </c>
      <c r="M4288" s="37" t="str">
        <f aca="false">IF($A4288="","",IF($Q4288=0,"UNMAPPED",INDEX(COA_Mapping!$C$7:$C$256,$Q4288)))</f>
        <v/>
      </c>
      <c r="N4288" s="38" t="str">
        <f aca="false">IF($A4288="","",IF($Q4288=0,"",INDEX(COA_Mapping!$E$7:$E$256,$Q4288)))</f>
        <v/>
      </c>
      <c r="O4288" s="38" t="n">
        <f aca="false">IF($A4288="",1,IF($Q4288=0,1,INDEX(COA_Mapping!$F$7:$F$256,$Q4288)))</f>
        <v>1</v>
      </c>
      <c r="P4288" s="34" t="str">
        <f aca="false">IF($A4288="","",$I4288*$O4288)</f>
        <v/>
      </c>
      <c r="Q4288" s="39" t="n">
        <f aca="false">IF($B4288="",0,IFERROR(MATCH($B4288,COA_Mapping!$A$7:$A$256,0),0))</f>
        <v>0</v>
      </c>
      <c r="R4288" s="39" t="n">
        <f aca="false">IF($A4288="",-1,IF($J4288=Setup!$B$7,1,IF($J4288=Setup!$B$9,0,-1)))</f>
        <v>-1</v>
      </c>
      <c r="S4288" s="35" t="n">
        <f aca="false">IF(OR($A4288="",$Q4288=0,$R4288=-1),0,$Q4288*1000+$R4288*100+$K4288)</f>
        <v>0</v>
      </c>
      <c r="T4288" s="37" t="str">
        <f aca="false">IF($A4288="","",IF($B4288="","NO ACCOUNT",IF($Q4288=0,"UNMAPPED",IF($R4288=-1,"OUTSIDE FY RANGE","OK"))))</f>
        <v/>
      </c>
      <c r="U4288" s="40" t="str">
        <f aca="false">IF($A4288="","",$B4288&amp;"|"&amp;TEXT($A4288,"yyyymmdd")&amp;"|"&amp;TEXT($I4288,"0.00"))</f>
        <v/>
      </c>
      <c r="V4288" s="35" t="str">
        <f aca="false">IF($A4288="","",COUNTIF($U$8:$U$5007,$U4288))</f>
        <v/>
      </c>
    </row>
    <row r="4289" customFormat="false" ht="15" hidden="false" customHeight="false" outlineLevel="0" collapsed="false">
      <c r="A4289" s="31"/>
      <c r="B4289" s="32"/>
      <c r="C4289" s="32"/>
      <c r="D4289" s="32"/>
      <c r="E4289" s="32"/>
      <c r="F4289" s="32"/>
      <c r="G4289" s="33"/>
      <c r="H4289" s="33"/>
      <c r="I4289" s="34" t="str">
        <f aca="false">IF($A4289="","",$G4289-$H4289)</f>
        <v/>
      </c>
      <c r="J4289" s="35" t="str">
        <f aca="false">IF($A4289="","",IF(Setup!$B$6=1,YEAR($A4289),YEAR($A4289)+IF(MONTH($A4289)&gt;=Setup!$B$6,1,0)))</f>
        <v/>
      </c>
      <c r="K4289" s="35" t="str">
        <f aca="false">IF($A4289="","",MOD(MONTH($A4289)-Setup!$B$6+12,12)+1)</f>
        <v/>
      </c>
      <c r="L4289" s="36" t="str">
        <f aca="false">IF($A4289="","",TEXT($A4289,"MMM-YY"))</f>
        <v/>
      </c>
      <c r="M4289" s="37" t="str">
        <f aca="false">IF($A4289="","",IF($Q4289=0,"UNMAPPED",INDEX(COA_Mapping!$C$7:$C$256,$Q4289)))</f>
        <v/>
      </c>
      <c r="N4289" s="38" t="str">
        <f aca="false">IF($A4289="","",IF($Q4289=0,"",INDEX(COA_Mapping!$E$7:$E$256,$Q4289)))</f>
        <v/>
      </c>
      <c r="O4289" s="38" t="n">
        <f aca="false">IF($A4289="",1,IF($Q4289=0,1,INDEX(COA_Mapping!$F$7:$F$256,$Q4289)))</f>
        <v>1</v>
      </c>
      <c r="P4289" s="34" t="str">
        <f aca="false">IF($A4289="","",$I4289*$O4289)</f>
        <v/>
      </c>
      <c r="Q4289" s="39" t="n">
        <f aca="false">IF($B4289="",0,IFERROR(MATCH($B4289,COA_Mapping!$A$7:$A$256,0),0))</f>
        <v>0</v>
      </c>
      <c r="R4289" s="39" t="n">
        <f aca="false">IF($A4289="",-1,IF($J4289=Setup!$B$7,1,IF($J4289=Setup!$B$9,0,-1)))</f>
        <v>-1</v>
      </c>
      <c r="S4289" s="35" t="n">
        <f aca="false">IF(OR($A4289="",$Q4289=0,$R4289=-1),0,$Q4289*1000+$R4289*100+$K4289)</f>
        <v>0</v>
      </c>
      <c r="T4289" s="37" t="str">
        <f aca="false">IF($A4289="","",IF($B4289="","NO ACCOUNT",IF($Q4289=0,"UNMAPPED",IF($R4289=-1,"OUTSIDE FY RANGE","OK"))))</f>
        <v/>
      </c>
      <c r="U4289" s="40" t="str">
        <f aca="false">IF($A4289="","",$B4289&amp;"|"&amp;TEXT($A4289,"yyyymmdd")&amp;"|"&amp;TEXT($I4289,"0.00"))</f>
        <v/>
      </c>
      <c r="V4289" s="35" t="str">
        <f aca="false">IF($A4289="","",COUNTIF($U$8:$U$5007,$U4289))</f>
        <v/>
      </c>
    </row>
    <row r="4290" customFormat="false" ht="15" hidden="false" customHeight="false" outlineLevel="0" collapsed="false">
      <c r="A4290" s="31"/>
      <c r="B4290" s="32"/>
      <c r="C4290" s="32"/>
      <c r="D4290" s="32"/>
      <c r="E4290" s="32"/>
      <c r="F4290" s="32"/>
      <c r="G4290" s="33"/>
      <c r="H4290" s="33"/>
      <c r="I4290" s="34" t="str">
        <f aca="false">IF($A4290="","",$G4290-$H4290)</f>
        <v/>
      </c>
      <c r="J4290" s="35" t="str">
        <f aca="false">IF($A4290="","",IF(Setup!$B$6=1,YEAR($A4290),YEAR($A4290)+IF(MONTH($A4290)&gt;=Setup!$B$6,1,0)))</f>
        <v/>
      </c>
      <c r="K4290" s="35" t="str">
        <f aca="false">IF($A4290="","",MOD(MONTH($A4290)-Setup!$B$6+12,12)+1)</f>
        <v/>
      </c>
      <c r="L4290" s="36" t="str">
        <f aca="false">IF($A4290="","",TEXT($A4290,"MMM-YY"))</f>
        <v/>
      </c>
      <c r="M4290" s="37" t="str">
        <f aca="false">IF($A4290="","",IF($Q4290=0,"UNMAPPED",INDEX(COA_Mapping!$C$7:$C$256,$Q4290)))</f>
        <v/>
      </c>
      <c r="N4290" s="38" t="str">
        <f aca="false">IF($A4290="","",IF($Q4290=0,"",INDEX(COA_Mapping!$E$7:$E$256,$Q4290)))</f>
        <v/>
      </c>
      <c r="O4290" s="38" t="n">
        <f aca="false">IF($A4290="",1,IF($Q4290=0,1,INDEX(COA_Mapping!$F$7:$F$256,$Q4290)))</f>
        <v>1</v>
      </c>
      <c r="P4290" s="34" t="str">
        <f aca="false">IF($A4290="","",$I4290*$O4290)</f>
        <v/>
      </c>
      <c r="Q4290" s="39" t="n">
        <f aca="false">IF($B4290="",0,IFERROR(MATCH($B4290,COA_Mapping!$A$7:$A$256,0),0))</f>
        <v>0</v>
      </c>
      <c r="R4290" s="39" t="n">
        <f aca="false">IF($A4290="",-1,IF($J4290=Setup!$B$7,1,IF($J4290=Setup!$B$9,0,-1)))</f>
        <v>-1</v>
      </c>
      <c r="S4290" s="35" t="n">
        <f aca="false">IF(OR($A4290="",$Q4290=0,$R4290=-1),0,$Q4290*1000+$R4290*100+$K4290)</f>
        <v>0</v>
      </c>
      <c r="T4290" s="37" t="str">
        <f aca="false">IF($A4290="","",IF($B4290="","NO ACCOUNT",IF($Q4290=0,"UNMAPPED",IF($R4290=-1,"OUTSIDE FY RANGE","OK"))))</f>
        <v/>
      </c>
      <c r="U4290" s="40" t="str">
        <f aca="false">IF($A4290="","",$B4290&amp;"|"&amp;TEXT($A4290,"yyyymmdd")&amp;"|"&amp;TEXT($I4290,"0.00"))</f>
        <v/>
      </c>
      <c r="V4290" s="35" t="str">
        <f aca="false">IF($A4290="","",COUNTIF($U$8:$U$5007,$U4290))</f>
        <v/>
      </c>
    </row>
    <row r="4291" customFormat="false" ht="15" hidden="false" customHeight="false" outlineLevel="0" collapsed="false">
      <c r="A4291" s="31"/>
      <c r="B4291" s="32"/>
      <c r="C4291" s="32"/>
      <c r="D4291" s="32"/>
      <c r="E4291" s="32"/>
      <c r="F4291" s="32"/>
      <c r="G4291" s="33"/>
      <c r="H4291" s="33"/>
      <c r="I4291" s="34" t="str">
        <f aca="false">IF($A4291="","",$G4291-$H4291)</f>
        <v/>
      </c>
      <c r="J4291" s="35" t="str">
        <f aca="false">IF($A4291="","",IF(Setup!$B$6=1,YEAR($A4291),YEAR($A4291)+IF(MONTH($A4291)&gt;=Setup!$B$6,1,0)))</f>
        <v/>
      </c>
      <c r="K4291" s="35" t="str">
        <f aca="false">IF($A4291="","",MOD(MONTH($A4291)-Setup!$B$6+12,12)+1)</f>
        <v/>
      </c>
      <c r="L4291" s="36" t="str">
        <f aca="false">IF($A4291="","",TEXT($A4291,"MMM-YY"))</f>
        <v/>
      </c>
      <c r="M4291" s="37" t="str">
        <f aca="false">IF($A4291="","",IF($Q4291=0,"UNMAPPED",INDEX(COA_Mapping!$C$7:$C$256,$Q4291)))</f>
        <v/>
      </c>
      <c r="N4291" s="38" t="str">
        <f aca="false">IF($A4291="","",IF($Q4291=0,"",INDEX(COA_Mapping!$E$7:$E$256,$Q4291)))</f>
        <v/>
      </c>
      <c r="O4291" s="38" t="n">
        <f aca="false">IF($A4291="",1,IF($Q4291=0,1,INDEX(COA_Mapping!$F$7:$F$256,$Q4291)))</f>
        <v>1</v>
      </c>
      <c r="P4291" s="34" t="str">
        <f aca="false">IF($A4291="","",$I4291*$O4291)</f>
        <v/>
      </c>
      <c r="Q4291" s="39" t="n">
        <f aca="false">IF($B4291="",0,IFERROR(MATCH($B4291,COA_Mapping!$A$7:$A$256,0),0))</f>
        <v>0</v>
      </c>
      <c r="R4291" s="39" t="n">
        <f aca="false">IF($A4291="",-1,IF($J4291=Setup!$B$7,1,IF($J4291=Setup!$B$9,0,-1)))</f>
        <v>-1</v>
      </c>
      <c r="S4291" s="35" t="n">
        <f aca="false">IF(OR($A4291="",$Q4291=0,$R4291=-1),0,$Q4291*1000+$R4291*100+$K4291)</f>
        <v>0</v>
      </c>
      <c r="T4291" s="37" t="str">
        <f aca="false">IF($A4291="","",IF($B4291="","NO ACCOUNT",IF($Q4291=0,"UNMAPPED",IF($R4291=-1,"OUTSIDE FY RANGE","OK"))))</f>
        <v/>
      </c>
      <c r="U4291" s="40" t="str">
        <f aca="false">IF($A4291="","",$B4291&amp;"|"&amp;TEXT($A4291,"yyyymmdd")&amp;"|"&amp;TEXT($I4291,"0.00"))</f>
        <v/>
      </c>
      <c r="V4291" s="35" t="str">
        <f aca="false">IF($A4291="","",COUNTIF($U$8:$U$5007,$U4291))</f>
        <v/>
      </c>
    </row>
    <row r="4292" customFormat="false" ht="15" hidden="false" customHeight="false" outlineLevel="0" collapsed="false">
      <c r="A4292" s="31"/>
      <c r="B4292" s="32"/>
      <c r="C4292" s="32"/>
      <c r="D4292" s="32"/>
      <c r="E4292" s="32"/>
      <c r="F4292" s="32"/>
      <c r="G4292" s="33"/>
      <c r="H4292" s="33"/>
      <c r="I4292" s="34" t="str">
        <f aca="false">IF($A4292="","",$G4292-$H4292)</f>
        <v/>
      </c>
      <c r="J4292" s="35" t="str">
        <f aca="false">IF($A4292="","",IF(Setup!$B$6=1,YEAR($A4292),YEAR($A4292)+IF(MONTH($A4292)&gt;=Setup!$B$6,1,0)))</f>
        <v/>
      </c>
      <c r="K4292" s="35" t="str">
        <f aca="false">IF($A4292="","",MOD(MONTH($A4292)-Setup!$B$6+12,12)+1)</f>
        <v/>
      </c>
      <c r="L4292" s="36" t="str">
        <f aca="false">IF($A4292="","",TEXT($A4292,"MMM-YY"))</f>
        <v/>
      </c>
      <c r="M4292" s="37" t="str">
        <f aca="false">IF($A4292="","",IF($Q4292=0,"UNMAPPED",INDEX(COA_Mapping!$C$7:$C$256,$Q4292)))</f>
        <v/>
      </c>
      <c r="N4292" s="38" t="str">
        <f aca="false">IF($A4292="","",IF($Q4292=0,"",INDEX(COA_Mapping!$E$7:$E$256,$Q4292)))</f>
        <v/>
      </c>
      <c r="O4292" s="38" t="n">
        <f aca="false">IF($A4292="",1,IF($Q4292=0,1,INDEX(COA_Mapping!$F$7:$F$256,$Q4292)))</f>
        <v>1</v>
      </c>
      <c r="P4292" s="34" t="str">
        <f aca="false">IF($A4292="","",$I4292*$O4292)</f>
        <v/>
      </c>
      <c r="Q4292" s="39" t="n">
        <f aca="false">IF($B4292="",0,IFERROR(MATCH($B4292,COA_Mapping!$A$7:$A$256,0),0))</f>
        <v>0</v>
      </c>
      <c r="R4292" s="39" t="n">
        <f aca="false">IF($A4292="",-1,IF($J4292=Setup!$B$7,1,IF($J4292=Setup!$B$9,0,-1)))</f>
        <v>-1</v>
      </c>
      <c r="S4292" s="35" t="n">
        <f aca="false">IF(OR($A4292="",$Q4292=0,$R4292=-1),0,$Q4292*1000+$R4292*100+$K4292)</f>
        <v>0</v>
      </c>
      <c r="T4292" s="37" t="str">
        <f aca="false">IF($A4292="","",IF($B4292="","NO ACCOUNT",IF($Q4292=0,"UNMAPPED",IF($R4292=-1,"OUTSIDE FY RANGE","OK"))))</f>
        <v/>
      </c>
      <c r="U4292" s="40" t="str">
        <f aca="false">IF($A4292="","",$B4292&amp;"|"&amp;TEXT($A4292,"yyyymmdd")&amp;"|"&amp;TEXT($I4292,"0.00"))</f>
        <v/>
      </c>
      <c r="V4292" s="35" t="str">
        <f aca="false">IF($A4292="","",COUNTIF($U$8:$U$5007,$U4292))</f>
        <v/>
      </c>
    </row>
    <row r="4293" customFormat="false" ht="15" hidden="false" customHeight="false" outlineLevel="0" collapsed="false">
      <c r="A4293" s="31"/>
      <c r="B4293" s="32"/>
      <c r="C4293" s="32"/>
      <c r="D4293" s="32"/>
      <c r="E4293" s="32"/>
      <c r="F4293" s="32"/>
      <c r="G4293" s="33"/>
      <c r="H4293" s="33"/>
      <c r="I4293" s="34" t="str">
        <f aca="false">IF($A4293="","",$G4293-$H4293)</f>
        <v/>
      </c>
      <c r="J4293" s="35" t="str">
        <f aca="false">IF($A4293="","",IF(Setup!$B$6=1,YEAR($A4293),YEAR($A4293)+IF(MONTH($A4293)&gt;=Setup!$B$6,1,0)))</f>
        <v/>
      </c>
      <c r="K4293" s="35" t="str">
        <f aca="false">IF($A4293="","",MOD(MONTH($A4293)-Setup!$B$6+12,12)+1)</f>
        <v/>
      </c>
      <c r="L4293" s="36" t="str">
        <f aca="false">IF($A4293="","",TEXT($A4293,"MMM-YY"))</f>
        <v/>
      </c>
      <c r="M4293" s="37" t="str">
        <f aca="false">IF($A4293="","",IF($Q4293=0,"UNMAPPED",INDEX(COA_Mapping!$C$7:$C$256,$Q4293)))</f>
        <v/>
      </c>
      <c r="N4293" s="38" t="str">
        <f aca="false">IF($A4293="","",IF($Q4293=0,"",INDEX(COA_Mapping!$E$7:$E$256,$Q4293)))</f>
        <v/>
      </c>
      <c r="O4293" s="38" t="n">
        <f aca="false">IF($A4293="",1,IF($Q4293=0,1,INDEX(COA_Mapping!$F$7:$F$256,$Q4293)))</f>
        <v>1</v>
      </c>
      <c r="P4293" s="34" t="str">
        <f aca="false">IF($A4293="","",$I4293*$O4293)</f>
        <v/>
      </c>
      <c r="Q4293" s="39" t="n">
        <f aca="false">IF($B4293="",0,IFERROR(MATCH($B4293,COA_Mapping!$A$7:$A$256,0),0))</f>
        <v>0</v>
      </c>
      <c r="R4293" s="39" t="n">
        <f aca="false">IF($A4293="",-1,IF($J4293=Setup!$B$7,1,IF($J4293=Setup!$B$9,0,-1)))</f>
        <v>-1</v>
      </c>
      <c r="S4293" s="35" t="n">
        <f aca="false">IF(OR($A4293="",$Q4293=0,$R4293=-1),0,$Q4293*1000+$R4293*100+$K4293)</f>
        <v>0</v>
      </c>
      <c r="T4293" s="37" t="str">
        <f aca="false">IF($A4293="","",IF($B4293="","NO ACCOUNT",IF($Q4293=0,"UNMAPPED",IF($R4293=-1,"OUTSIDE FY RANGE","OK"))))</f>
        <v/>
      </c>
      <c r="U4293" s="40" t="str">
        <f aca="false">IF($A4293="","",$B4293&amp;"|"&amp;TEXT($A4293,"yyyymmdd")&amp;"|"&amp;TEXT($I4293,"0.00"))</f>
        <v/>
      </c>
      <c r="V4293" s="35" t="str">
        <f aca="false">IF($A4293="","",COUNTIF($U$8:$U$5007,$U4293))</f>
        <v/>
      </c>
    </row>
    <row r="4294" customFormat="false" ht="15" hidden="false" customHeight="false" outlineLevel="0" collapsed="false">
      <c r="A4294" s="31"/>
      <c r="B4294" s="32"/>
      <c r="C4294" s="32"/>
      <c r="D4294" s="32"/>
      <c r="E4294" s="32"/>
      <c r="F4294" s="32"/>
      <c r="G4294" s="33"/>
      <c r="H4294" s="33"/>
      <c r="I4294" s="34" t="str">
        <f aca="false">IF($A4294="","",$G4294-$H4294)</f>
        <v/>
      </c>
      <c r="J4294" s="35" t="str">
        <f aca="false">IF($A4294="","",IF(Setup!$B$6=1,YEAR($A4294),YEAR($A4294)+IF(MONTH($A4294)&gt;=Setup!$B$6,1,0)))</f>
        <v/>
      </c>
      <c r="K4294" s="35" t="str">
        <f aca="false">IF($A4294="","",MOD(MONTH($A4294)-Setup!$B$6+12,12)+1)</f>
        <v/>
      </c>
      <c r="L4294" s="36" t="str">
        <f aca="false">IF($A4294="","",TEXT($A4294,"MMM-YY"))</f>
        <v/>
      </c>
      <c r="M4294" s="37" t="str">
        <f aca="false">IF($A4294="","",IF($Q4294=0,"UNMAPPED",INDEX(COA_Mapping!$C$7:$C$256,$Q4294)))</f>
        <v/>
      </c>
      <c r="N4294" s="38" t="str">
        <f aca="false">IF($A4294="","",IF($Q4294=0,"",INDEX(COA_Mapping!$E$7:$E$256,$Q4294)))</f>
        <v/>
      </c>
      <c r="O4294" s="38" t="n">
        <f aca="false">IF($A4294="",1,IF($Q4294=0,1,INDEX(COA_Mapping!$F$7:$F$256,$Q4294)))</f>
        <v>1</v>
      </c>
      <c r="P4294" s="34" t="str">
        <f aca="false">IF($A4294="","",$I4294*$O4294)</f>
        <v/>
      </c>
      <c r="Q4294" s="39" t="n">
        <f aca="false">IF($B4294="",0,IFERROR(MATCH($B4294,COA_Mapping!$A$7:$A$256,0),0))</f>
        <v>0</v>
      </c>
      <c r="R4294" s="39" t="n">
        <f aca="false">IF($A4294="",-1,IF($J4294=Setup!$B$7,1,IF($J4294=Setup!$B$9,0,-1)))</f>
        <v>-1</v>
      </c>
      <c r="S4294" s="35" t="n">
        <f aca="false">IF(OR($A4294="",$Q4294=0,$R4294=-1),0,$Q4294*1000+$R4294*100+$K4294)</f>
        <v>0</v>
      </c>
      <c r="T4294" s="37" t="str">
        <f aca="false">IF($A4294="","",IF($B4294="","NO ACCOUNT",IF($Q4294=0,"UNMAPPED",IF($R4294=-1,"OUTSIDE FY RANGE","OK"))))</f>
        <v/>
      </c>
      <c r="U4294" s="40" t="str">
        <f aca="false">IF($A4294="","",$B4294&amp;"|"&amp;TEXT($A4294,"yyyymmdd")&amp;"|"&amp;TEXT($I4294,"0.00"))</f>
        <v/>
      </c>
      <c r="V4294" s="35" t="str">
        <f aca="false">IF($A4294="","",COUNTIF($U$8:$U$5007,$U4294))</f>
        <v/>
      </c>
    </row>
    <row r="4295" customFormat="false" ht="15" hidden="false" customHeight="false" outlineLevel="0" collapsed="false">
      <c r="A4295" s="31"/>
      <c r="B4295" s="32"/>
      <c r="C4295" s="32"/>
      <c r="D4295" s="32"/>
      <c r="E4295" s="32"/>
      <c r="F4295" s="32"/>
      <c r="G4295" s="33"/>
      <c r="H4295" s="33"/>
      <c r="I4295" s="34" t="str">
        <f aca="false">IF($A4295="","",$G4295-$H4295)</f>
        <v/>
      </c>
      <c r="J4295" s="35" t="str">
        <f aca="false">IF($A4295="","",IF(Setup!$B$6=1,YEAR($A4295),YEAR($A4295)+IF(MONTH($A4295)&gt;=Setup!$B$6,1,0)))</f>
        <v/>
      </c>
      <c r="K4295" s="35" t="str">
        <f aca="false">IF($A4295="","",MOD(MONTH($A4295)-Setup!$B$6+12,12)+1)</f>
        <v/>
      </c>
      <c r="L4295" s="36" t="str">
        <f aca="false">IF($A4295="","",TEXT($A4295,"MMM-YY"))</f>
        <v/>
      </c>
      <c r="M4295" s="37" t="str">
        <f aca="false">IF($A4295="","",IF($Q4295=0,"UNMAPPED",INDEX(COA_Mapping!$C$7:$C$256,$Q4295)))</f>
        <v/>
      </c>
      <c r="N4295" s="38" t="str">
        <f aca="false">IF($A4295="","",IF($Q4295=0,"",INDEX(COA_Mapping!$E$7:$E$256,$Q4295)))</f>
        <v/>
      </c>
      <c r="O4295" s="38" t="n">
        <f aca="false">IF($A4295="",1,IF($Q4295=0,1,INDEX(COA_Mapping!$F$7:$F$256,$Q4295)))</f>
        <v>1</v>
      </c>
      <c r="P4295" s="34" t="str">
        <f aca="false">IF($A4295="","",$I4295*$O4295)</f>
        <v/>
      </c>
      <c r="Q4295" s="39" t="n">
        <f aca="false">IF($B4295="",0,IFERROR(MATCH($B4295,COA_Mapping!$A$7:$A$256,0),0))</f>
        <v>0</v>
      </c>
      <c r="R4295" s="39" t="n">
        <f aca="false">IF($A4295="",-1,IF($J4295=Setup!$B$7,1,IF($J4295=Setup!$B$9,0,-1)))</f>
        <v>-1</v>
      </c>
      <c r="S4295" s="35" t="n">
        <f aca="false">IF(OR($A4295="",$Q4295=0,$R4295=-1),0,$Q4295*1000+$R4295*100+$K4295)</f>
        <v>0</v>
      </c>
      <c r="T4295" s="37" t="str">
        <f aca="false">IF($A4295="","",IF($B4295="","NO ACCOUNT",IF($Q4295=0,"UNMAPPED",IF($R4295=-1,"OUTSIDE FY RANGE","OK"))))</f>
        <v/>
      </c>
      <c r="U4295" s="40" t="str">
        <f aca="false">IF($A4295="","",$B4295&amp;"|"&amp;TEXT($A4295,"yyyymmdd")&amp;"|"&amp;TEXT($I4295,"0.00"))</f>
        <v/>
      </c>
      <c r="V4295" s="35" t="str">
        <f aca="false">IF($A4295="","",COUNTIF($U$8:$U$5007,$U4295))</f>
        <v/>
      </c>
    </row>
    <row r="4296" customFormat="false" ht="15" hidden="false" customHeight="false" outlineLevel="0" collapsed="false">
      <c r="A4296" s="31"/>
      <c r="B4296" s="32"/>
      <c r="C4296" s="32"/>
      <c r="D4296" s="32"/>
      <c r="E4296" s="32"/>
      <c r="F4296" s="32"/>
      <c r="G4296" s="33"/>
      <c r="H4296" s="33"/>
      <c r="I4296" s="34" t="str">
        <f aca="false">IF($A4296="","",$G4296-$H4296)</f>
        <v/>
      </c>
      <c r="J4296" s="35" t="str">
        <f aca="false">IF($A4296="","",IF(Setup!$B$6=1,YEAR($A4296),YEAR($A4296)+IF(MONTH($A4296)&gt;=Setup!$B$6,1,0)))</f>
        <v/>
      </c>
      <c r="K4296" s="35" t="str">
        <f aca="false">IF($A4296="","",MOD(MONTH($A4296)-Setup!$B$6+12,12)+1)</f>
        <v/>
      </c>
      <c r="L4296" s="36" t="str">
        <f aca="false">IF($A4296="","",TEXT($A4296,"MMM-YY"))</f>
        <v/>
      </c>
      <c r="M4296" s="37" t="str">
        <f aca="false">IF($A4296="","",IF($Q4296=0,"UNMAPPED",INDEX(COA_Mapping!$C$7:$C$256,$Q4296)))</f>
        <v/>
      </c>
      <c r="N4296" s="38" t="str">
        <f aca="false">IF($A4296="","",IF($Q4296=0,"",INDEX(COA_Mapping!$E$7:$E$256,$Q4296)))</f>
        <v/>
      </c>
      <c r="O4296" s="38" t="n">
        <f aca="false">IF($A4296="",1,IF($Q4296=0,1,INDEX(COA_Mapping!$F$7:$F$256,$Q4296)))</f>
        <v>1</v>
      </c>
      <c r="P4296" s="34" t="str">
        <f aca="false">IF($A4296="","",$I4296*$O4296)</f>
        <v/>
      </c>
      <c r="Q4296" s="39" t="n">
        <f aca="false">IF($B4296="",0,IFERROR(MATCH($B4296,COA_Mapping!$A$7:$A$256,0),0))</f>
        <v>0</v>
      </c>
      <c r="R4296" s="39" t="n">
        <f aca="false">IF($A4296="",-1,IF($J4296=Setup!$B$7,1,IF($J4296=Setup!$B$9,0,-1)))</f>
        <v>-1</v>
      </c>
      <c r="S4296" s="35" t="n">
        <f aca="false">IF(OR($A4296="",$Q4296=0,$R4296=-1),0,$Q4296*1000+$R4296*100+$K4296)</f>
        <v>0</v>
      </c>
      <c r="T4296" s="37" t="str">
        <f aca="false">IF($A4296="","",IF($B4296="","NO ACCOUNT",IF($Q4296=0,"UNMAPPED",IF($R4296=-1,"OUTSIDE FY RANGE","OK"))))</f>
        <v/>
      </c>
      <c r="U4296" s="40" t="str">
        <f aca="false">IF($A4296="","",$B4296&amp;"|"&amp;TEXT($A4296,"yyyymmdd")&amp;"|"&amp;TEXT($I4296,"0.00"))</f>
        <v/>
      </c>
      <c r="V4296" s="35" t="str">
        <f aca="false">IF($A4296="","",COUNTIF($U$8:$U$5007,$U4296))</f>
        <v/>
      </c>
    </row>
    <row r="4297" customFormat="false" ht="15" hidden="false" customHeight="false" outlineLevel="0" collapsed="false">
      <c r="A4297" s="31"/>
      <c r="B4297" s="32"/>
      <c r="C4297" s="32"/>
      <c r="D4297" s="32"/>
      <c r="E4297" s="32"/>
      <c r="F4297" s="32"/>
      <c r="G4297" s="33"/>
      <c r="H4297" s="33"/>
      <c r="I4297" s="34" t="str">
        <f aca="false">IF($A4297="","",$G4297-$H4297)</f>
        <v/>
      </c>
      <c r="J4297" s="35" t="str">
        <f aca="false">IF($A4297="","",IF(Setup!$B$6=1,YEAR($A4297),YEAR($A4297)+IF(MONTH($A4297)&gt;=Setup!$B$6,1,0)))</f>
        <v/>
      </c>
      <c r="K4297" s="35" t="str">
        <f aca="false">IF($A4297="","",MOD(MONTH($A4297)-Setup!$B$6+12,12)+1)</f>
        <v/>
      </c>
      <c r="L4297" s="36" t="str">
        <f aca="false">IF($A4297="","",TEXT($A4297,"MMM-YY"))</f>
        <v/>
      </c>
      <c r="M4297" s="37" t="str">
        <f aca="false">IF($A4297="","",IF($Q4297=0,"UNMAPPED",INDEX(COA_Mapping!$C$7:$C$256,$Q4297)))</f>
        <v/>
      </c>
      <c r="N4297" s="38" t="str">
        <f aca="false">IF($A4297="","",IF($Q4297=0,"",INDEX(COA_Mapping!$E$7:$E$256,$Q4297)))</f>
        <v/>
      </c>
      <c r="O4297" s="38" t="n">
        <f aca="false">IF($A4297="",1,IF($Q4297=0,1,INDEX(COA_Mapping!$F$7:$F$256,$Q4297)))</f>
        <v>1</v>
      </c>
      <c r="P4297" s="34" t="str">
        <f aca="false">IF($A4297="","",$I4297*$O4297)</f>
        <v/>
      </c>
      <c r="Q4297" s="39" t="n">
        <f aca="false">IF($B4297="",0,IFERROR(MATCH($B4297,COA_Mapping!$A$7:$A$256,0),0))</f>
        <v>0</v>
      </c>
      <c r="R4297" s="39" t="n">
        <f aca="false">IF($A4297="",-1,IF($J4297=Setup!$B$7,1,IF($J4297=Setup!$B$9,0,-1)))</f>
        <v>-1</v>
      </c>
      <c r="S4297" s="35" t="n">
        <f aca="false">IF(OR($A4297="",$Q4297=0,$R4297=-1),0,$Q4297*1000+$R4297*100+$K4297)</f>
        <v>0</v>
      </c>
      <c r="T4297" s="37" t="str">
        <f aca="false">IF($A4297="","",IF($B4297="","NO ACCOUNT",IF($Q4297=0,"UNMAPPED",IF($R4297=-1,"OUTSIDE FY RANGE","OK"))))</f>
        <v/>
      </c>
      <c r="U4297" s="40" t="str">
        <f aca="false">IF($A4297="","",$B4297&amp;"|"&amp;TEXT($A4297,"yyyymmdd")&amp;"|"&amp;TEXT($I4297,"0.00"))</f>
        <v/>
      </c>
      <c r="V4297" s="35" t="str">
        <f aca="false">IF($A4297="","",COUNTIF($U$8:$U$5007,$U4297))</f>
        <v/>
      </c>
    </row>
    <row r="4298" customFormat="false" ht="15" hidden="false" customHeight="false" outlineLevel="0" collapsed="false">
      <c r="A4298" s="31"/>
      <c r="B4298" s="32"/>
      <c r="C4298" s="32"/>
      <c r="D4298" s="32"/>
      <c r="E4298" s="32"/>
      <c r="F4298" s="32"/>
      <c r="G4298" s="33"/>
      <c r="H4298" s="33"/>
      <c r="I4298" s="34" t="str">
        <f aca="false">IF($A4298="","",$G4298-$H4298)</f>
        <v/>
      </c>
      <c r="J4298" s="35" t="str">
        <f aca="false">IF($A4298="","",IF(Setup!$B$6=1,YEAR($A4298),YEAR($A4298)+IF(MONTH($A4298)&gt;=Setup!$B$6,1,0)))</f>
        <v/>
      </c>
      <c r="K4298" s="35" t="str">
        <f aca="false">IF($A4298="","",MOD(MONTH($A4298)-Setup!$B$6+12,12)+1)</f>
        <v/>
      </c>
      <c r="L4298" s="36" t="str">
        <f aca="false">IF($A4298="","",TEXT($A4298,"MMM-YY"))</f>
        <v/>
      </c>
      <c r="M4298" s="37" t="str">
        <f aca="false">IF($A4298="","",IF($Q4298=0,"UNMAPPED",INDEX(COA_Mapping!$C$7:$C$256,$Q4298)))</f>
        <v/>
      </c>
      <c r="N4298" s="38" t="str">
        <f aca="false">IF($A4298="","",IF($Q4298=0,"",INDEX(COA_Mapping!$E$7:$E$256,$Q4298)))</f>
        <v/>
      </c>
      <c r="O4298" s="38" t="n">
        <f aca="false">IF($A4298="",1,IF($Q4298=0,1,INDEX(COA_Mapping!$F$7:$F$256,$Q4298)))</f>
        <v>1</v>
      </c>
      <c r="P4298" s="34" t="str">
        <f aca="false">IF($A4298="","",$I4298*$O4298)</f>
        <v/>
      </c>
      <c r="Q4298" s="39" t="n">
        <f aca="false">IF($B4298="",0,IFERROR(MATCH($B4298,COA_Mapping!$A$7:$A$256,0),0))</f>
        <v>0</v>
      </c>
      <c r="R4298" s="39" t="n">
        <f aca="false">IF($A4298="",-1,IF($J4298=Setup!$B$7,1,IF($J4298=Setup!$B$9,0,-1)))</f>
        <v>-1</v>
      </c>
      <c r="S4298" s="35" t="n">
        <f aca="false">IF(OR($A4298="",$Q4298=0,$R4298=-1),0,$Q4298*1000+$R4298*100+$K4298)</f>
        <v>0</v>
      </c>
      <c r="T4298" s="37" t="str">
        <f aca="false">IF($A4298="","",IF($B4298="","NO ACCOUNT",IF($Q4298=0,"UNMAPPED",IF($R4298=-1,"OUTSIDE FY RANGE","OK"))))</f>
        <v/>
      </c>
      <c r="U4298" s="40" t="str">
        <f aca="false">IF($A4298="","",$B4298&amp;"|"&amp;TEXT($A4298,"yyyymmdd")&amp;"|"&amp;TEXT($I4298,"0.00"))</f>
        <v/>
      </c>
      <c r="V4298" s="35" t="str">
        <f aca="false">IF($A4298="","",COUNTIF($U$8:$U$5007,$U4298))</f>
        <v/>
      </c>
    </row>
    <row r="4299" customFormat="false" ht="15" hidden="false" customHeight="false" outlineLevel="0" collapsed="false">
      <c r="A4299" s="31"/>
      <c r="B4299" s="32"/>
      <c r="C4299" s="32"/>
      <c r="D4299" s="32"/>
      <c r="E4299" s="32"/>
      <c r="F4299" s="32"/>
      <c r="G4299" s="33"/>
      <c r="H4299" s="33"/>
      <c r="I4299" s="34" t="str">
        <f aca="false">IF($A4299="","",$G4299-$H4299)</f>
        <v/>
      </c>
      <c r="J4299" s="35" t="str">
        <f aca="false">IF($A4299="","",IF(Setup!$B$6=1,YEAR($A4299),YEAR($A4299)+IF(MONTH($A4299)&gt;=Setup!$B$6,1,0)))</f>
        <v/>
      </c>
      <c r="K4299" s="35" t="str">
        <f aca="false">IF($A4299="","",MOD(MONTH($A4299)-Setup!$B$6+12,12)+1)</f>
        <v/>
      </c>
      <c r="L4299" s="36" t="str">
        <f aca="false">IF($A4299="","",TEXT($A4299,"MMM-YY"))</f>
        <v/>
      </c>
      <c r="M4299" s="37" t="str">
        <f aca="false">IF($A4299="","",IF($Q4299=0,"UNMAPPED",INDEX(COA_Mapping!$C$7:$C$256,$Q4299)))</f>
        <v/>
      </c>
      <c r="N4299" s="38" t="str">
        <f aca="false">IF($A4299="","",IF($Q4299=0,"",INDEX(COA_Mapping!$E$7:$E$256,$Q4299)))</f>
        <v/>
      </c>
      <c r="O4299" s="38" t="n">
        <f aca="false">IF($A4299="",1,IF($Q4299=0,1,INDEX(COA_Mapping!$F$7:$F$256,$Q4299)))</f>
        <v>1</v>
      </c>
      <c r="P4299" s="34" t="str">
        <f aca="false">IF($A4299="","",$I4299*$O4299)</f>
        <v/>
      </c>
      <c r="Q4299" s="39" t="n">
        <f aca="false">IF($B4299="",0,IFERROR(MATCH($B4299,COA_Mapping!$A$7:$A$256,0),0))</f>
        <v>0</v>
      </c>
      <c r="R4299" s="39" t="n">
        <f aca="false">IF($A4299="",-1,IF($J4299=Setup!$B$7,1,IF($J4299=Setup!$B$9,0,-1)))</f>
        <v>-1</v>
      </c>
      <c r="S4299" s="35" t="n">
        <f aca="false">IF(OR($A4299="",$Q4299=0,$R4299=-1),0,$Q4299*1000+$R4299*100+$K4299)</f>
        <v>0</v>
      </c>
      <c r="T4299" s="37" t="str">
        <f aca="false">IF($A4299="","",IF($B4299="","NO ACCOUNT",IF($Q4299=0,"UNMAPPED",IF($R4299=-1,"OUTSIDE FY RANGE","OK"))))</f>
        <v/>
      </c>
      <c r="U4299" s="40" t="str">
        <f aca="false">IF($A4299="","",$B4299&amp;"|"&amp;TEXT($A4299,"yyyymmdd")&amp;"|"&amp;TEXT($I4299,"0.00"))</f>
        <v/>
      </c>
      <c r="V4299" s="35" t="str">
        <f aca="false">IF($A4299="","",COUNTIF($U$8:$U$5007,$U4299))</f>
        <v/>
      </c>
    </row>
    <row r="4300" customFormat="false" ht="15" hidden="false" customHeight="false" outlineLevel="0" collapsed="false">
      <c r="A4300" s="31"/>
      <c r="B4300" s="32"/>
      <c r="C4300" s="32"/>
      <c r="D4300" s="32"/>
      <c r="E4300" s="32"/>
      <c r="F4300" s="32"/>
      <c r="G4300" s="33"/>
      <c r="H4300" s="33"/>
      <c r="I4300" s="34" t="str">
        <f aca="false">IF($A4300="","",$G4300-$H4300)</f>
        <v/>
      </c>
      <c r="J4300" s="35" t="str">
        <f aca="false">IF($A4300="","",IF(Setup!$B$6=1,YEAR($A4300),YEAR($A4300)+IF(MONTH($A4300)&gt;=Setup!$B$6,1,0)))</f>
        <v/>
      </c>
      <c r="K4300" s="35" t="str">
        <f aca="false">IF($A4300="","",MOD(MONTH($A4300)-Setup!$B$6+12,12)+1)</f>
        <v/>
      </c>
      <c r="L4300" s="36" t="str">
        <f aca="false">IF($A4300="","",TEXT($A4300,"MMM-YY"))</f>
        <v/>
      </c>
      <c r="M4300" s="37" t="str">
        <f aca="false">IF($A4300="","",IF($Q4300=0,"UNMAPPED",INDEX(COA_Mapping!$C$7:$C$256,$Q4300)))</f>
        <v/>
      </c>
      <c r="N4300" s="38" t="str">
        <f aca="false">IF($A4300="","",IF($Q4300=0,"",INDEX(COA_Mapping!$E$7:$E$256,$Q4300)))</f>
        <v/>
      </c>
      <c r="O4300" s="38" t="n">
        <f aca="false">IF($A4300="",1,IF($Q4300=0,1,INDEX(COA_Mapping!$F$7:$F$256,$Q4300)))</f>
        <v>1</v>
      </c>
      <c r="P4300" s="34" t="str">
        <f aca="false">IF($A4300="","",$I4300*$O4300)</f>
        <v/>
      </c>
      <c r="Q4300" s="39" t="n">
        <f aca="false">IF($B4300="",0,IFERROR(MATCH($B4300,COA_Mapping!$A$7:$A$256,0),0))</f>
        <v>0</v>
      </c>
      <c r="R4300" s="39" t="n">
        <f aca="false">IF($A4300="",-1,IF($J4300=Setup!$B$7,1,IF($J4300=Setup!$B$9,0,-1)))</f>
        <v>-1</v>
      </c>
      <c r="S4300" s="35" t="n">
        <f aca="false">IF(OR($A4300="",$Q4300=0,$R4300=-1),0,$Q4300*1000+$R4300*100+$K4300)</f>
        <v>0</v>
      </c>
      <c r="T4300" s="37" t="str">
        <f aca="false">IF($A4300="","",IF($B4300="","NO ACCOUNT",IF($Q4300=0,"UNMAPPED",IF($R4300=-1,"OUTSIDE FY RANGE","OK"))))</f>
        <v/>
      </c>
      <c r="U4300" s="40" t="str">
        <f aca="false">IF($A4300="","",$B4300&amp;"|"&amp;TEXT($A4300,"yyyymmdd")&amp;"|"&amp;TEXT($I4300,"0.00"))</f>
        <v/>
      </c>
      <c r="V4300" s="35" t="str">
        <f aca="false">IF($A4300="","",COUNTIF($U$8:$U$5007,$U4300))</f>
        <v/>
      </c>
    </row>
    <row r="4301" customFormat="false" ht="15" hidden="false" customHeight="false" outlineLevel="0" collapsed="false">
      <c r="A4301" s="31"/>
      <c r="B4301" s="32"/>
      <c r="C4301" s="32"/>
      <c r="D4301" s="32"/>
      <c r="E4301" s="32"/>
      <c r="F4301" s="32"/>
      <c r="G4301" s="33"/>
      <c r="H4301" s="33"/>
      <c r="I4301" s="34" t="str">
        <f aca="false">IF($A4301="","",$G4301-$H4301)</f>
        <v/>
      </c>
      <c r="J4301" s="35" t="str">
        <f aca="false">IF($A4301="","",IF(Setup!$B$6=1,YEAR($A4301),YEAR($A4301)+IF(MONTH($A4301)&gt;=Setup!$B$6,1,0)))</f>
        <v/>
      </c>
      <c r="K4301" s="35" t="str">
        <f aca="false">IF($A4301="","",MOD(MONTH($A4301)-Setup!$B$6+12,12)+1)</f>
        <v/>
      </c>
      <c r="L4301" s="36" t="str">
        <f aca="false">IF($A4301="","",TEXT($A4301,"MMM-YY"))</f>
        <v/>
      </c>
      <c r="M4301" s="37" t="str">
        <f aca="false">IF($A4301="","",IF($Q4301=0,"UNMAPPED",INDEX(COA_Mapping!$C$7:$C$256,$Q4301)))</f>
        <v/>
      </c>
      <c r="N4301" s="38" t="str">
        <f aca="false">IF($A4301="","",IF($Q4301=0,"",INDEX(COA_Mapping!$E$7:$E$256,$Q4301)))</f>
        <v/>
      </c>
      <c r="O4301" s="38" t="n">
        <f aca="false">IF($A4301="",1,IF($Q4301=0,1,INDEX(COA_Mapping!$F$7:$F$256,$Q4301)))</f>
        <v>1</v>
      </c>
      <c r="P4301" s="34" t="str">
        <f aca="false">IF($A4301="","",$I4301*$O4301)</f>
        <v/>
      </c>
      <c r="Q4301" s="39" t="n">
        <f aca="false">IF($B4301="",0,IFERROR(MATCH($B4301,COA_Mapping!$A$7:$A$256,0),0))</f>
        <v>0</v>
      </c>
      <c r="R4301" s="39" t="n">
        <f aca="false">IF($A4301="",-1,IF($J4301=Setup!$B$7,1,IF($J4301=Setup!$B$9,0,-1)))</f>
        <v>-1</v>
      </c>
      <c r="S4301" s="35" t="n">
        <f aca="false">IF(OR($A4301="",$Q4301=0,$R4301=-1),0,$Q4301*1000+$R4301*100+$K4301)</f>
        <v>0</v>
      </c>
      <c r="T4301" s="37" t="str">
        <f aca="false">IF($A4301="","",IF($B4301="","NO ACCOUNT",IF($Q4301=0,"UNMAPPED",IF($R4301=-1,"OUTSIDE FY RANGE","OK"))))</f>
        <v/>
      </c>
      <c r="U4301" s="40" t="str">
        <f aca="false">IF($A4301="","",$B4301&amp;"|"&amp;TEXT($A4301,"yyyymmdd")&amp;"|"&amp;TEXT($I4301,"0.00"))</f>
        <v/>
      </c>
      <c r="V4301" s="35" t="str">
        <f aca="false">IF($A4301="","",COUNTIF($U$8:$U$5007,$U4301))</f>
        <v/>
      </c>
    </row>
    <row r="4302" customFormat="false" ht="15" hidden="false" customHeight="false" outlineLevel="0" collapsed="false">
      <c r="A4302" s="31"/>
      <c r="B4302" s="32"/>
      <c r="C4302" s="32"/>
      <c r="D4302" s="32"/>
      <c r="E4302" s="32"/>
      <c r="F4302" s="32"/>
      <c r="G4302" s="33"/>
      <c r="H4302" s="33"/>
      <c r="I4302" s="34" t="str">
        <f aca="false">IF($A4302="","",$G4302-$H4302)</f>
        <v/>
      </c>
      <c r="J4302" s="35" t="str">
        <f aca="false">IF($A4302="","",IF(Setup!$B$6=1,YEAR($A4302),YEAR($A4302)+IF(MONTH($A4302)&gt;=Setup!$B$6,1,0)))</f>
        <v/>
      </c>
      <c r="K4302" s="35" t="str">
        <f aca="false">IF($A4302="","",MOD(MONTH($A4302)-Setup!$B$6+12,12)+1)</f>
        <v/>
      </c>
      <c r="L4302" s="36" t="str">
        <f aca="false">IF($A4302="","",TEXT($A4302,"MMM-YY"))</f>
        <v/>
      </c>
      <c r="M4302" s="37" t="str">
        <f aca="false">IF($A4302="","",IF($Q4302=0,"UNMAPPED",INDEX(COA_Mapping!$C$7:$C$256,$Q4302)))</f>
        <v/>
      </c>
      <c r="N4302" s="38" t="str">
        <f aca="false">IF($A4302="","",IF($Q4302=0,"",INDEX(COA_Mapping!$E$7:$E$256,$Q4302)))</f>
        <v/>
      </c>
      <c r="O4302" s="38" t="n">
        <f aca="false">IF($A4302="",1,IF($Q4302=0,1,INDEX(COA_Mapping!$F$7:$F$256,$Q4302)))</f>
        <v>1</v>
      </c>
      <c r="P4302" s="34" t="str">
        <f aca="false">IF($A4302="","",$I4302*$O4302)</f>
        <v/>
      </c>
      <c r="Q4302" s="39" t="n">
        <f aca="false">IF($B4302="",0,IFERROR(MATCH($B4302,COA_Mapping!$A$7:$A$256,0),0))</f>
        <v>0</v>
      </c>
      <c r="R4302" s="39" t="n">
        <f aca="false">IF($A4302="",-1,IF($J4302=Setup!$B$7,1,IF($J4302=Setup!$B$9,0,-1)))</f>
        <v>-1</v>
      </c>
      <c r="S4302" s="35" t="n">
        <f aca="false">IF(OR($A4302="",$Q4302=0,$R4302=-1),0,$Q4302*1000+$R4302*100+$K4302)</f>
        <v>0</v>
      </c>
      <c r="T4302" s="37" t="str">
        <f aca="false">IF($A4302="","",IF($B4302="","NO ACCOUNT",IF($Q4302=0,"UNMAPPED",IF($R4302=-1,"OUTSIDE FY RANGE","OK"))))</f>
        <v/>
      </c>
      <c r="U4302" s="40" t="str">
        <f aca="false">IF($A4302="","",$B4302&amp;"|"&amp;TEXT($A4302,"yyyymmdd")&amp;"|"&amp;TEXT($I4302,"0.00"))</f>
        <v/>
      </c>
      <c r="V4302" s="35" t="str">
        <f aca="false">IF($A4302="","",COUNTIF($U$8:$U$5007,$U4302))</f>
        <v/>
      </c>
    </row>
    <row r="4303" customFormat="false" ht="15" hidden="false" customHeight="false" outlineLevel="0" collapsed="false">
      <c r="A4303" s="31"/>
      <c r="B4303" s="32"/>
      <c r="C4303" s="32"/>
      <c r="D4303" s="32"/>
      <c r="E4303" s="32"/>
      <c r="F4303" s="32"/>
      <c r="G4303" s="33"/>
      <c r="H4303" s="33"/>
      <c r="I4303" s="34" t="str">
        <f aca="false">IF($A4303="","",$G4303-$H4303)</f>
        <v/>
      </c>
      <c r="J4303" s="35" t="str">
        <f aca="false">IF($A4303="","",IF(Setup!$B$6=1,YEAR($A4303),YEAR($A4303)+IF(MONTH($A4303)&gt;=Setup!$B$6,1,0)))</f>
        <v/>
      </c>
      <c r="K4303" s="35" t="str">
        <f aca="false">IF($A4303="","",MOD(MONTH($A4303)-Setup!$B$6+12,12)+1)</f>
        <v/>
      </c>
      <c r="L4303" s="36" t="str">
        <f aca="false">IF($A4303="","",TEXT($A4303,"MMM-YY"))</f>
        <v/>
      </c>
      <c r="M4303" s="37" t="str">
        <f aca="false">IF($A4303="","",IF($Q4303=0,"UNMAPPED",INDEX(COA_Mapping!$C$7:$C$256,$Q4303)))</f>
        <v/>
      </c>
      <c r="N4303" s="38" t="str">
        <f aca="false">IF($A4303="","",IF($Q4303=0,"",INDEX(COA_Mapping!$E$7:$E$256,$Q4303)))</f>
        <v/>
      </c>
      <c r="O4303" s="38" t="n">
        <f aca="false">IF($A4303="",1,IF($Q4303=0,1,INDEX(COA_Mapping!$F$7:$F$256,$Q4303)))</f>
        <v>1</v>
      </c>
      <c r="P4303" s="34" t="str">
        <f aca="false">IF($A4303="","",$I4303*$O4303)</f>
        <v/>
      </c>
      <c r="Q4303" s="39" t="n">
        <f aca="false">IF($B4303="",0,IFERROR(MATCH($B4303,COA_Mapping!$A$7:$A$256,0),0))</f>
        <v>0</v>
      </c>
      <c r="R4303" s="39" t="n">
        <f aca="false">IF($A4303="",-1,IF($J4303=Setup!$B$7,1,IF($J4303=Setup!$B$9,0,-1)))</f>
        <v>-1</v>
      </c>
      <c r="S4303" s="35" t="n">
        <f aca="false">IF(OR($A4303="",$Q4303=0,$R4303=-1),0,$Q4303*1000+$R4303*100+$K4303)</f>
        <v>0</v>
      </c>
      <c r="T4303" s="37" t="str">
        <f aca="false">IF($A4303="","",IF($B4303="","NO ACCOUNT",IF($Q4303=0,"UNMAPPED",IF($R4303=-1,"OUTSIDE FY RANGE","OK"))))</f>
        <v/>
      </c>
      <c r="U4303" s="40" t="str">
        <f aca="false">IF($A4303="","",$B4303&amp;"|"&amp;TEXT($A4303,"yyyymmdd")&amp;"|"&amp;TEXT($I4303,"0.00"))</f>
        <v/>
      </c>
      <c r="V4303" s="35" t="str">
        <f aca="false">IF($A4303="","",COUNTIF($U$8:$U$5007,$U4303))</f>
        <v/>
      </c>
    </row>
    <row r="4304" customFormat="false" ht="15" hidden="false" customHeight="false" outlineLevel="0" collapsed="false">
      <c r="A4304" s="31"/>
      <c r="B4304" s="32"/>
      <c r="C4304" s="32"/>
      <c r="D4304" s="32"/>
      <c r="E4304" s="32"/>
      <c r="F4304" s="32"/>
      <c r="G4304" s="33"/>
      <c r="H4304" s="33"/>
      <c r="I4304" s="34" t="str">
        <f aca="false">IF($A4304="","",$G4304-$H4304)</f>
        <v/>
      </c>
      <c r="J4304" s="35" t="str">
        <f aca="false">IF($A4304="","",IF(Setup!$B$6=1,YEAR($A4304),YEAR($A4304)+IF(MONTH($A4304)&gt;=Setup!$B$6,1,0)))</f>
        <v/>
      </c>
      <c r="K4304" s="35" t="str">
        <f aca="false">IF($A4304="","",MOD(MONTH($A4304)-Setup!$B$6+12,12)+1)</f>
        <v/>
      </c>
      <c r="L4304" s="36" t="str">
        <f aca="false">IF($A4304="","",TEXT($A4304,"MMM-YY"))</f>
        <v/>
      </c>
      <c r="M4304" s="37" t="str">
        <f aca="false">IF($A4304="","",IF($Q4304=0,"UNMAPPED",INDEX(COA_Mapping!$C$7:$C$256,$Q4304)))</f>
        <v/>
      </c>
      <c r="N4304" s="38" t="str">
        <f aca="false">IF($A4304="","",IF($Q4304=0,"",INDEX(COA_Mapping!$E$7:$E$256,$Q4304)))</f>
        <v/>
      </c>
      <c r="O4304" s="38" t="n">
        <f aca="false">IF($A4304="",1,IF($Q4304=0,1,INDEX(COA_Mapping!$F$7:$F$256,$Q4304)))</f>
        <v>1</v>
      </c>
      <c r="P4304" s="34" t="str">
        <f aca="false">IF($A4304="","",$I4304*$O4304)</f>
        <v/>
      </c>
      <c r="Q4304" s="39" t="n">
        <f aca="false">IF($B4304="",0,IFERROR(MATCH($B4304,COA_Mapping!$A$7:$A$256,0),0))</f>
        <v>0</v>
      </c>
      <c r="R4304" s="39" t="n">
        <f aca="false">IF($A4304="",-1,IF($J4304=Setup!$B$7,1,IF($J4304=Setup!$B$9,0,-1)))</f>
        <v>-1</v>
      </c>
      <c r="S4304" s="35" t="n">
        <f aca="false">IF(OR($A4304="",$Q4304=0,$R4304=-1),0,$Q4304*1000+$R4304*100+$K4304)</f>
        <v>0</v>
      </c>
      <c r="T4304" s="37" t="str">
        <f aca="false">IF($A4304="","",IF($B4304="","NO ACCOUNT",IF($Q4304=0,"UNMAPPED",IF($R4304=-1,"OUTSIDE FY RANGE","OK"))))</f>
        <v/>
      </c>
      <c r="U4304" s="40" t="str">
        <f aca="false">IF($A4304="","",$B4304&amp;"|"&amp;TEXT($A4304,"yyyymmdd")&amp;"|"&amp;TEXT($I4304,"0.00"))</f>
        <v/>
      </c>
      <c r="V4304" s="35" t="str">
        <f aca="false">IF($A4304="","",COUNTIF($U$8:$U$5007,$U4304))</f>
        <v/>
      </c>
    </row>
    <row r="4305" customFormat="false" ht="15" hidden="false" customHeight="false" outlineLevel="0" collapsed="false">
      <c r="A4305" s="31"/>
      <c r="B4305" s="32"/>
      <c r="C4305" s="32"/>
      <c r="D4305" s="32"/>
      <c r="E4305" s="32"/>
      <c r="F4305" s="32"/>
      <c r="G4305" s="33"/>
      <c r="H4305" s="33"/>
      <c r="I4305" s="34" t="str">
        <f aca="false">IF($A4305="","",$G4305-$H4305)</f>
        <v/>
      </c>
      <c r="J4305" s="35" t="str">
        <f aca="false">IF($A4305="","",IF(Setup!$B$6=1,YEAR($A4305),YEAR($A4305)+IF(MONTH($A4305)&gt;=Setup!$B$6,1,0)))</f>
        <v/>
      </c>
      <c r="K4305" s="35" t="str">
        <f aca="false">IF($A4305="","",MOD(MONTH($A4305)-Setup!$B$6+12,12)+1)</f>
        <v/>
      </c>
      <c r="L4305" s="36" t="str">
        <f aca="false">IF($A4305="","",TEXT($A4305,"MMM-YY"))</f>
        <v/>
      </c>
      <c r="M4305" s="37" t="str">
        <f aca="false">IF($A4305="","",IF($Q4305=0,"UNMAPPED",INDEX(COA_Mapping!$C$7:$C$256,$Q4305)))</f>
        <v/>
      </c>
      <c r="N4305" s="38" t="str">
        <f aca="false">IF($A4305="","",IF($Q4305=0,"",INDEX(COA_Mapping!$E$7:$E$256,$Q4305)))</f>
        <v/>
      </c>
      <c r="O4305" s="38" t="n">
        <f aca="false">IF($A4305="",1,IF($Q4305=0,1,INDEX(COA_Mapping!$F$7:$F$256,$Q4305)))</f>
        <v>1</v>
      </c>
      <c r="P4305" s="34" t="str">
        <f aca="false">IF($A4305="","",$I4305*$O4305)</f>
        <v/>
      </c>
      <c r="Q4305" s="39" t="n">
        <f aca="false">IF($B4305="",0,IFERROR(MATCH($B4305,COA_Mapping!$A$7:$A$256,0),0))</f>
        <v>0</v>
      </c>
      <c r="R4305" s="39" t="n">
        <f aca="false">IF($A4305="",-1,IF($J4305=Setup!$B$7,1,IF($J4305=Setup!$B$9,0,-1)))</f>
        <v>-1</v>
      </c>
      <c r="S4305" s="35" t="n">
        <f aca="false">IF(OR($A4305="",$Q4305=0,$R4305=-1),0,$Q4305*1000+$R4305*100+$K4305)</f>
        <v>0</v>
      </c>
      <c r="T4305" s="37" t="str">
        <f aca="false">IF($A4305="","",IF($B4305="","NO ACCOUNT",IF($Q4305=0,"UNMAPPED",IF($R4305=-1,"OUTSIDE FY RANGE","OK"))))</f>
        <v/>
      </c>
      <c r="U4305" s="40" t="str">
        <f aca="false">IF($A4305="","",$B4305&amp;"|"&amp;TEXT($A4305,"yyyymmdd")&amp;"|"&amp;TEXT($I4305,"0.00"))</f>
        <v/>
      </c>
      <c r="V4305" s="35" t="str">
        <f aca="false">IF($A4305="","",COUNTIF($U$8:$U$5007,$U4305))</f>
        <v/>
      </c>
    </row>
    <row r="4306" customFormat="false" ht="15" hidden="false" customHeight="false" outlineLevel="0" collapsed="false">
      <c r="A4306" s="31"/>
      <c r="B4306" s="32"/>
      <c r="C4306" s="32"/>
      <c r="D4306" s="32"/>
      <c r="E4306" s="32"/>
      <c r="F4306" s="32"/>
      <c r="G4306" s="33"/>
      <c r="H4306" s="33"/>
      <c r="I4306" s="34" t="str">
        <f aca="false">IF($A4306="","",$G4306-$H4306)</f>
        <v/>
      </c>
      <c r="J4306" s="35" t="str">
        <f aca="false">IF($A4306="","",IF(Setup!$B$6=1,YEAR($A4306),YEAR($A4306)+IF(MONTH($A4306)&gt;=Setup!$B$6,1,0)))</f>
        <v/>
      </c>
      <c r="K4306" s="35" t="str">
        <f aca="false">IF($A4306="","",MOD(MONTH($A4306)-Setup!$B$6+12,12)+1)</f>
        <v/>
      </c>
      <c r="L4306" s="36" t="str">
        <f aca="false">IF($A4306="","",TEXT($A4306,"MMM-YY"))</f>
        <v/>
      </c>
      <c r="M4306" s="37" t="str">
        <f aca="false">IF($A4306="","",IF($Q4306=0,"UNMAPPED",INDEX(COA_Mapping!$C$7:$C$256,$Q4306)))</f>
        <v/>
      </c>
      <c r="N4306" s="38" t="str">
        <f aca="false">IF($A4306="","",IF($Q4306=0,"",INDEX(COA_Mapping!$E$7:$E$256,$Q4306)))</f>
        <v/>
      </c>
      <c r="O4306" s="38" t="n">
        <f aca="false">IF($A4306="",1,IF($Q4306=0,1,INDEX(COA_Mapping!$F$7:$F$256,$Q4306)))</f>
        <v>1</v>
      </c>
      <c r="P4306" s="34" t="str">
        <f aca="false">IF($A4306="","",$I4306*$O4306)</f>
        <v/>
      </c>
      <c r="Q4306" s="39" t="n">
        <f aca="false">IF($B4306="",0,IFERROR(MATCH($B4306,COA_Mapping!$A$7:$A$256,0),0))</f>
        <v>0</v>
      </c>
      <c r="R4306" s="39" t="n">
        <f aca="false">IF($A4306="",-1,IF($J4306=Setup!$B$7,1,IF($J4306=Setup!$B$9,0,-1)))</f>
        <v>-1</v>
      </c>
      <c r="S4306" s="35" t="n">
        <f aca="false">IF(OR($A4306="",$Q4306=0,$R4306=-1),0,$Q4306*1000+$R4306*100+$K4306)</f>
        <v>0</v>
      </c>
      <c r="T4306" s="37" t="str">
        <f aca="false">IF($A4306="","",IF($B4306="","NO ACCOUNT",IF($Q4306=0,"UNMAPPED",IF($R4306=-1,"OUTSIDE FY RANGE","OK"))))</f>
        <v/>
      </c>
      <c r="U4306" s="40" t="str">
        <f aca="false">IF($A4306="","",$B4306&amp;"|"&amp;TEXT($A4306,"yyyymmdd")&amp;"|"&amp;TEXT($I4306,"0.00"))</f>
        <v/>
      </c>
      <c r="V4306" s="35" t="str">
        <f aca="false">IF($A4306="","",COUNTIF($U$8:$U$5007,$U4306))</f>
        <v/>
      </c>
    </row>
    <row r="4307" customFormat="false" ht="15" hidden="false" customHeight="false" outlineLevel="0" collapsed="false">
      <c r="A4307" s="31"/>
      <c r="B4307" s="32"/>
      <c r="C4307" s="32"/>
      <c r="D4307" s="32"/>
      <c r="E4307" s="32"/>
      <c r="F4307" s="32"/>
      <c r="G4307" s="33"/>
      <c r="H4307" s="33"/>
      <c r="I4307" s="34" t="str">
        <f aca="false">IF($A4307="","",$G4307-$H4307)</f>
        <v/>
      </c>
      <c r="J4307" s="35" t="str">
        <f aca="false">IF($A4307="","",IF(Setup!$B$6=1,YEAR($A4307),YEAR($A4307)+IF(MONTH($A4307)&gt;=Setup!$B$6,1,0)))</f>
        <v/>
      </c>
      <c r="K4307" s="35" t="str">
        <f aca="false">IF($A4307="","",MOD(MONTH($A4307)-Setup!$B$6+12,12)+1)</f>
        <v/>
      </c>
      <c r="L4307" s="36" t="str">
        <f aca="false">IF($A4307="","",TEXT($A4307,"MMM-YY"))</f>
        <v/>
      </c>
      <c r="M4307" s="37" t="str">
        <f aca="false">IF($A4307="","",IF($Q4307=0,"UNMAPPED",INDEX(COA_Mapping!$C$7:$C$256,$Q4307)))</f>
        <v/>
      </c>
      <c r="N4307" s="38" t="str">
        <f aca="false">IF($A4307="","",IF($Q4307=0,"",INDEX(COA_Mapping!$E$7:$E$256,$Q4307)))</f>
        <v/>
      </c>
      <c r="O4307" s="38" t="n">
        <f aca="false">IF($A4307="",1,IF($Q4307=0,1,INDEX(COA_Mapping!$F$7:$F$256,$Q4307)))</f>
        <v>1</v>
      </c>
      <c r="P4307" s="34" t="str">
        <f aca="false">IF($A4307="","",$I4307*$O4307)</f>
        <v/>
      </c>
      <c r="Q4307" s="39" t="n">
        <f aca="false">IF($B4307="",0,IFERROR(MATCH($B4307,COA_Mapping!$A$7:$A$256,0),0))</f>
        <v>0</v>
      </c>
      <c r="R4307" s="39" t="n">
        <f aca="false">IF($A4307="",-1,IF($J4307=Setup!$B$7,1,IF($J4307=Setup!$B$9,0,-1)))</f>
        <v>-1</v>
      </c>
      <c r="S4307" s="35" t="n">
        <f aca="false">IF(OR($A4307="",$Q4307=0,$R4307=-1),0,$Q4307*1000+$R4307*100+$K4307)</f>
        <v>0</v>
      </c>
      <c r="T4307" s="37" t="str">
        <f aca="false">IF($A4307="","",IF($B4307="","NO ACCOUNT",IF($Q4307=0,"UNMAPPED",IF($R4307=-1,"OUTSIDE FY RANGE","OK"))))</f>
        <v/>
      </c>
      <c r="U4307" s="40" t="str">
        <f aca="false">IF($A4307="","",$B4307&amp;"|"&amp;TEXT($A4307,"yyyymmdd")&amp;"|"&amp;TEXT($I4307,"0.00"))</f>
        <v/>
      </c>
      <c r="V4307" s="35" t="str">
        <f aca="false">IF($A4307="","",COUNTIF($U$8:$U$5007,$U4307))</f>
        <v/>
      </c>
    </row>
    <row r="4308" customFormat="false" ht="15" hidden="false" customHeight="false" outlineLevel="0" collapsed="false">
      <c r="A4308" s="31"/>
      <c r="B4308" s="32"/>
      <c r="C4308" s="32"/>
      <c r="D4308" s="32"/>
      <c r="E4308" s="32"/>
      <c r="F4308" s="32"/>
      <c r="G4308" s="33"/>
      <c r="H4308" s="33"/>
      <c r="I4308" s="34" t="str">
        <f aca="false">IF($A4308="","",$G4308-$H4308)</f>
        <v/>
      </c>
      <c r="J4308" s="35" t="str">
        <f aca="false">IF($A4308="","",IF(Setup!$B$6=1,YEAR($A4308),YEAR($A4308)+IF(MONTH($A4308)&gt;=Setup!$B$6,1,0)))</f>
        <v/>
      </c>
      <c r="K4308" s="35" t="str">
        <f aca="false">IF($A4308="","",MOD(MONTH($A4308)-Setup!$B$6+12,12)+1)</f>
        <v/>
      </c>
      <c r="L4308" s="36" t="str">
        <f aca="false">IF($A4308="","",TEXT($A4308,"MMM-YY"))</f>
        <v/>
      </c>
      <c r="M4308" s="37" t="str">
        <f aca="false">IF($A4308="","",IF($Q4308=0,"UNMAPPED",INDEX(COA_Mapping!$C$7:$C$256,$Q4308)))</f>
        <v/>
      </c>
      <c r="N4308" s="38" t="str">
        <f aca="false">IF($A4308="","",IF($Q4308=0,"",INDEX(COA_Mapping!$E$7:$E$256,$Q4308)))</f>
        <v/>
      </c>
      <c r="O4308" s="38" t="n">
        <f aca="false">IF($A4308="",1,IF($Q4308=0,1,INDEX(COA_Mapping!$F$7:$F$256,$Q4308)))</f>
        <v>1</v>
      </c>
      <c r="P4308" s="34" t="str">
        <f aca="false">IF($A4308="","",$I4308*$O4308)</f>
        <v/>
      </c>
      <c r="Q4308" s="39" t="n">
        <f aca="false">IF($B4308="",0,IFERROR(MATCH($B4308,COA_Mapping!$A$7:$A$256,0),0))</f>
        <v>0</v>
      </c>
      <c r="R4308" s="39" t="n">
        <f aca="false">IF($A4308="",-1,IF($J4308=Setup!$B$7,1,IF($J4308=Setup!$B$9,0,-1)))</f>
        <v>-1</v>
      </c>
      <c r="S4308" s="35" t="n">
        <f aca="false">IF(OR($A4308="",$Q4308=0,$R4308=-1),0,$Q4308*1000+$R4308*100+$K4308)</f>
        <v>0</v>
      </c>
      <c r="T4308" s="37" t="str">
        <f aca="false">IF($A4308="","",IF($B4308="","NO ACCOUNT",IF($Q4308=0,"UNMAPPED",IF($R4308=-1,"OUTSIDE FY RANGE","OK"))))</f>
        <v/>
      </c>
      <c r="U4308" s="40" t="str">
        <f aca="false">IF($A4308="","",$B4308&amp;"|"&amp;TEXT($A4308,"yyyymmdd")&amp;"|"&amp;TEXT($I4308,"0.00"))</f>
        <v/>
      </c>
      <c r="V4308" s="35" t="str">
        <f aca="false">IF($A4308="","",COUNTIF($U$8:$U$5007,$U4308))</f>
        <v/>
      </c>
    </row>
    <row r="4309" customFormat="false" ht="15" hidden="false" customHeight="false" outlineLevel="0" collapsed="false">
      <c r="A4309" s="31"/>
      <c r="B4309" s="32"/>
      <c r="C4309" s="32"/>
      <c r="D4309" s="32"/>
      <c r="E4309" s="32"/>
      <c r="F4309" s="32"/>
      <c r="G4309" s="33"/>
      <c r="H4309" s="33"/>
      <c r="I4309" s="34" t="str">
        <f aca="false">IF($A4309="","",$G4309-$H4309)</f>
        <v/>
      </c>
      <c r="J4309" s="35" t="str">
        <f aca="false">IF($A4309="","",IF(Setup!$B$6=1,YEAR($A4309),YEAR($A4309)+IF(MONTH($A4309)&gt;=Setup!$B$6,1,0)))</f>
        <v/>
      </c>
      <c r="K4309" s="35" t="str">
        <f aca="false">IF($A4309="","",MOD(MONTH($A4309)-Setup!$B$6+12,12)+1)</f>
        <v/>
      </c>
      <c r="L4309" s="36" t="str">
        <f aca="false">IF($A4309="","",TEXT($A4309,"MMM-YY"))</f>
        <v/>
      </c>
      <c r="M4309" s="37" t="str">
        <f aca="false">IF($A4309="","",IF($Q4309=0,"UNMAPPED",INDEX(COA_Mapping!$C$7:$C$256,$Q4309)))</f>
        <v/>
      </c>
      <c r="N4309" s="38" t="str">
        <f aca="false">IF($A4309="","",IF($Q4309=0,"",INDEX(COA_Mapping!$E$7:$E$256,$Q4309)))</f>
        <v/>
      </c>
      <c r="O4309" s="38" t="n">
        <f aca="false">IF($A4309="",1,IF($Q4309=0,1,INDEX(COA_Mapping!$F$7:$F$256,$Q4309)))</f>
        <v>1</v>
      </c>
      <c r="P4309" s="34" t="str">
        <f aca="false">IF($A4309="","",$I4309*$O4309)</f>
        <v/>
      </c>
      <c r="Q4309" s="39" t="n">
        <f aca="false">IF($B4309="",0,IFERROR(MATCH($B4309,COA_Mapping!$A$7:$A$256,0),0))</f>
        <v>0</v>
      </c>
      <c r="R4309" s="39" t="n">
        <f aca="false">IF($A4309="",-1,IF($J4309=Setup!$B$7,1,IF($J4309=Setup!$B$9,0,-1)))</f>
        <v>-1</v>
      </c>
      <c r="S4309" s="35" t="n">
        <f aca="false">IF(OR($A4309="",$Q4309=0,$R4309=-1),0,$Q4309*1000+$R4309*100+$K4309)</f>
        <v>0</v>
      </c>
      <c r="T4309" s="37" t="str">
        <f aca="false">IF($A4309="","",IF($B4309="","NO ACCOUNT",IF($Q4309=0,"UNMAPPED",IF($R4309=-1,"OUTSIDE FY RANGE","OK"))))</f>
        <v/>
      </c>
      <c r="U4309" s="40" t="str">
        <f aca="false">IF($A4309="","",$B4309&amp;"|"&amp;TEXT($A4309,"yyyymmdd")&amp;"|"&amp;TEXT($I4309,"0.00"))</f>
        <v/>
      </c>
      <c r="V4309" s="35" t="str">
        <f aca="false">IF($A4309="","",COUNTIF($U$8:$U$5007,$U4309))</f>
        <v/>
      </c>
    </row>
    <row r="4310" customFormat="false" ht="15" hidden="false" customHeight="false" outlineLevel="0" collapsed="false">
      <c r="A4310" s="31"/>
      <c r="B4310" s="32"/>
      <c r="C4310" s="32"/>
      <c r="D4310" s="32"/>
      <c r="E4310" s="32"/>
      <c r="F4310" s="32"/>
      <c r="G4310" s="33"/>
      <c r="H4310" s="33"/>
      <c r="I4310" s="34" t="str">
        <f aca="false">IF($A4310="","",$G4310-$H4310)</f>
        <v/>
      </c>
      <c r="J4310" s="35" t="str">
        <f aca="false">IF($A4310="","",IF(Setup!$B$6=1,YEAR($A4310),YEAR($A4310)+IF(MONTH($A4310)&gt;=Setup!$B$6,1,0)))</f>
        <v/>
      </c>
      <c r="K4310" s="35" t="str">
        <f aca="false">IF($A4310="","",MOD(MONTH($A4310)-Setup!$B$6+12,12)+1)</f>
        <v/>
      </c>
      <c r="L4310" s="36" t="str">
        <f aca="false">IF($A4310="","",TEXT($A4310,"MMM-YY"))</f>
        <v/>
      </c>
      <c r="M4310" s="37" t="str">
        <f aca="false">IF($A4310="","",IF($Q4310=0,"UNMAPPED",INDEX(COA_Mapping!$C$7:$C$256,$Q4310)))</f>
        <v/>
      </c>
      <c r="N4310" s="38" t="str">
        <f aca="false">IF($A4310="","",IF($Q4310=0,"",INDEX(COA_Mapping!$E$7:$E$256,$Q4310)))</f>
        <v/>
      </c>
      <c r="O4310" s="38" t="n">
        <f aca="false">IF($A4310="",1,IF($Q4310=0,1,INDEX(COA_Mapping!$F$7:$F$256,$Q4310)))</f>
        <v>1</v>
      </c>
      <c r="P4310" s="34" t="str">
        <f aca="false">IF($A4310="","",$I4310*$O4310)</f>
        <v/>
      </c>
      <c r="Q4310" s="39" t="n">
        <f aca="false">IF($B4310="",0,IFERROR(MATCH($B4310,COA_Mapping!$A$7:$A$256,0),0))</f>
        <v>0</v>
      </c>
      <c r="R4310" s="39" t="n">
        <f aca="false">IF($A4310="",-1,IF($J4310=Setup!$B$7,1,IF($J4310=Setup!$B$9,0,-1)))</f>
        <v>-1</v>
      </c>
      <c r="S4310" s="35" t="n">
        <f aca="false">IF(OR($A4310="",$Q4310=0,$R4310=-1),0,$Q4310*1000+$R4310*100+$K4310)</f>
        <v>0</v>
      </c>
      <c r="T4310" s="37" t="str">
        <f aca="false">IF($A4310="","",IF($B4310="","NO ACCOUNT",IF($Q4310=0,"UNMAPPED",IF($R4310=-1,"OUTSIDE FY RANGE","OK"))))</f>
        <v/>
      </c>
      <c r="U4310" s="40" t="str">
        <f aca="false">IF($A4310="","",$B4310&amp;"|"&amp;TEXT($A4310,"yyyymmdd")&amp;"|"&amp;TEXT($I4310,"0.00"))</f>
        <v/>
      </c>
      <c r="V4310" s="35" t="str">
        <f aca="false">IF($A4310="","",COUNTIF($U$8:$U$5007,$U4310))</f>
        <v/>
      </c>
    </row>
    <row r="4311" customFormat="false" ht="15" hidden="false" customHeight="false" outlineLevel="0" collapsed="false">
      <c r="A4311" s="31"/>
      <c r="B4311" s="32"/>
      <c r="C4311" s="32"/>
      <c r="D4311" s="32"/>
      <c r="E4311" s="32"/>
      <c r="F4311" s="32"/>
      <c r="G4311" s="33"/>
      <c r="H4311" s="33"/>
      <c r="I4311" s="34" t="str">
        <f aca="false">IF($A4311="","",$G4311-$H4311)</f>
        <v/>
      </c>
      <c r="J4311" s="35" t="str">
        <f aca="false">IF($A4311="","",IF(Setup!$B$6=1,YEAR($A4311),YEAR($A4311)+IF(MONTH($A4311)&gt;=Setup!$B$6,1,0)))</f>
        <v/>
      </c>
      <c r="K4311" s="35" t="str">
        <f aca="false">IF($A4311="","",MOD(MONTH($A4311)-Setup!$B$6+12,12)+1)</f>
        <v/>
      </c>
      <c r="L4311" s="36" t="str">
        <f aca="false">IF($A4311="","",TEXT($A4311,"MMM-YY"))</f>
        <v/>
      </c>
      <c r="M4311" s="37" t="str">
        <f aca="false">IF($A4311="","",IF($Q4311=0,"UNMAPPED",INDEX(COA_Mapping!$C$7:$C$256,$Q4311)))</f>
        <v/>
      </c>
      <c r="N4311" s="38" t="str">
        <f aca="false">IF($A4311="","",IF($Q4311=0,"",INDEX(COA_Mapping!$E$7:$E$256,$Q4311)))</f>
        <v/>
      </c>
      <c r="O4311" s="38" t="n">
        <f aca="false">IF($A4311="",1,IF($Q4311=0,1,INDEX(COA_Mapping!$F$7:$F$256,$Q4311)))</f>
        <v>1</v>
      </c>
      <c r="P4311" s="34" t="str">
        <f aca="false">IF($A4311="","",$I4311*$O4311)</f>
        <v/>
      </c>
      <c r="Q4311" s="39" t="n">
        <f aca="false">IF($B4311="",0,IFERROR(MATCH($B4311,COA_Mapping!$A$7:$A$256,0),0))</f>
        <v>0</v>
      </c>
      <c r="R4311" s="39" t="n">
        <f aca="false">IF($A4311="",-1,IF($J4311=Setup!$B$7,1,IF($J4311=Setup!$B$9,0,-1)))</f>
        <v>-1</v>
      </c>
      <c r="S4311" s="35" t="n">
        <f aca="false">IF(OR($A4311="",$Q4311=0,$R4311=-1),0,$Q4311*1000+$R4311*100+$K4311)</f>
        <v>0</v>
      </c>
      <c r="T4311" s="37" t="str">
        <f aca="false">IF($A4311="","",IF($B4311="","NO ACCOUNT",IF($Q4311=0,"UNMAPPED",IF($R4311=-1,"OUTSIDE FY RANGE","OK"))))</f>
        <v/>
      </c>
      <c r="U4311" s="40" t="str">
        <f aca="false">IF($A4311="","",$B4311&amp;"|"&amp;TEXT($A4311,"yyyymmdd")&amp;"|"&amp;TEXT($I4311,"0.00"))</f>
        <v/>
      </c>
      <c r="V4311" s="35" t="str">
        <f aca="false">IF($A4311="","",COUNTIF($U$8:$U$5007,$U4311))</f>
        <v/>
      </c>
    </row>
    <row r="4312" customFormat="false" ht="15" hidden="false" customHeight="false" outlineLevel="0" collapsed="false">
      <c r="A4312" s="31"/>
      <c r="B4312" s="32"/>
      <c r="C4312" s="32"/>
      <c r="D4312" s="32"/>
      <c r="E4312" s="32"/>
      <c r="F4312" s="32"/>
      <c r="G4312" s="33"/>
      <c r="H4312" s="33"/>
      <c r="I4312" s="34" t="str">
        <f aca="false">IF($A4312="","",$G4312-$H4312)</f>
        <v/>
      </c>
      <c r="J4312" s="35" t="str">
        <f aca="false">IF($A4312="","",IF(Setup!$B$6=1,YEAR($A4312),YEAR($A4312)+IF(MONTH($A4312)&gt;=Setup!$B$6,1,0)))</f>
        <v/>
      </c>
      <c r="K4312" s="35" t="str">
        <f aca="false">IF($A4312="","",MOD(MONTH($A4312)-Setup!$B$6+12,12)+1)</f>
        <v/>
      </c>
      <c r="L4312" s="36" t="str">
        <f aca="false">IF($A4312="","",TEXT($A4312,"MMM-YY"))</f>
        <v/>
      </c>
      <c r="M4312" s="37" t="str">
        <f aca="false">IF($A4312="","",IF($Q4312=0,"UNMAPPED",INDEX(COA_Mapping!$C$7:$C$256,$Q4312)))</f>
        <v/>
      </c>
      <c r="N4312" s="38" t="str">
        <f aca="false">IF($A4312="","",IF($Q4312=0,"",INDEX(COA_Mapping!$E$7:$E$256,$Q4312)))</f>
        <v/>
      </c>
      <c r="O4312" s="38" t="n">
        <f aca="false">IF($A4312="",1,IF($Q4312=0,1,INDEX(COA_Mapping!$F$7:$F$256,$Q4312)))</f>
        <v>1</v>
      </c>
      <c r="P4312" s="34" t="str">
        <f aca="false">IF($A4312="","",$I4312*$O4312)</f>
        <v/>
      </c>
      <c r="Q4312" s="39" t="n">
        <f aca="false">IF($B4312="",0,IFERROR(MATCH($B4312,COA_Mapping!$A$7:$A$256,0),0))</f>
        <v>0</v>
      </c>
      <c r="R4312" s="39" t="n">
        <f aca="false">IF($A4312="",-1,IF($J4312=Setup!$B$7,1,IF($J4312=Setup!$B$9,0,-1)))</f>
        <v>-1</v>
      </c>
      <c r="S4312" s="35" t="n">
        <f aca="false">IF(OR($A4312="",$Q4312=0,$R4312=-1),0,$Q4312*1000+$R4312*100+$K4312)</f>
        <v>0</v>
      </c>
      <c r="T4312" s="37" t="str">
        <f aca="false">IF($A4312="","",IF($B4312="","NO ACCOUNT",IF($Q4312=0,"UNMAPPED",IF($R4312=-1,"OUTSIDE FY RANGE","OK"))))</f>
        <v/>
      </c>
      <c r="U4312" s="40" t="str">
        <f aca="false">IF($A4312="","",$B4312&amp;"|"&amp;TEXT($A4312,"yyyymmdd")&amp;"|"&amp;TEXT($I4312,"0.00"))</f>
        <v/>
      </c>
      <c r="V4312" s="35" t="str">
        <f aca="false">IF($A4312="","",COUNTIF($U$8:$U$5007,$U4312))</f>
        <v/>
      </c>
    </row>
    <row r="4313" customFormat="false" ht="15" hidden="false" customHeight="false" outlineLevel="0" collapsed="false">
      <c r="A4313" s="31"/>
      <c r="B4313" s="32"/>
      <c r="C4313" s="32"/>
      <c r="D4313" s="32"/>
      <c r="E4313" s="32"/>
      <c r="F4313" s="32"/>
      <c r="G4313" s="33"/>
      <c r="H4313" s="33"/>
      <c r="I4313" s="34" t="str">
        <f aca="false">IF($A4313="","",$G4313-$H4313)</f>
        <v/>
      </c>
      <c r="J4313" s="35" t="str">
        <f aca="false">IF($A4313="","",IF(Setup!$B$6=1,YEAR($A4313),YEAR($A4313)+IF(MONTH($A4313)&gt;=Setup!$B$6,1,0)))</f>
        <v/>
      </c>
      <c r="K4313" s="35" t="str">
        <f aca="false">IF($A4313="","",MOD(MONTH($A4313)-Setup!$B$6+12,12)+1)</f>
        <v/>
      </c>
      <c r="L4313" s="36" t="str">
        <f aca="false">IF($A4313="","",TEXT($A4313,"MMM-YY"))</f>
        <v/>
      </c>
      <c r="M4313" s="37" t="str">
        <f aca="false">IF($A4313="","",IF($Q4313=0,"UNMAPPED",INDEX(COA_Mapping!$C$7:$C$256,$Q4313)))</f>
        <v/>
      </c>
      <c r="N4313" s="38" t="str">
        <f aca="false">IF($A4313="","",IF($Q4313=0,"",INDEX(COA_Mapping!$E$7:$E$256,$Q4313)))</f>
        <v/>
      </c>
      <c r="O4313" s="38" t="n">
        <f aca="false">IF($A4313="",1,IF($Q4313=0,1,INDEX(COA_Mapping!$F$7:$F$256,$Q4313)))</f>
        <v>1</v>
      </c>
      <c r="P4313" s="34" t="str">
        <f aca="false">IF($A4313="","",$I4313*$O4313)</f>
        <v/>
      </c>
      <c r="Q4313" s="39" t="n">
        <f aca="false">IF($B4313="",0,IFERROR(MATCH($B4313,COA_Mapping!$A$7:$A$256,0),0))</f>
        <v>0</v>
      </c>
      <c r="R4313" s="39" t="n">
        <f aca="false">IF($A4313="",-1,IF($J4313=Setup!$B$7,1,IF($J4313=Setup!$B$9,0,-1)))</f>
        <v>-1</v>
      </c>
      <c r="S4313" s="35" t="n">
        <f aca="false">IF(OR($A4313="",$Q4313=0,$R4313=-1),0,$Q4313*1000+$R4313*100+$K4313)</f>
        <v>0</v>
      </c>
      <c r="T4313" s="37" t="str">
        <f aca="false">IF($A4313="","",IF($B4313="","NO ACCOUNT",IF($Q4313=0,"UNMAPPED",IF($R4313=-1,"OUTSIDE FY RANGE","OK"))))</f>
        <v/>
      </c>
      <c r="U4313" s="40" t="str">
        <f aca="false">IF($A4313="","",$B4313&amp;"|"&amp;TEXT($A4313,"yyyymmdd")&amp;"|"&amp;TEXT($I4313,"0.00"))</f>
        <v/>
      </c>
      <c r="V4313" s="35" t="str">
        <f aca="false">IF($A4313="","",COUNTIF($U$8:$U$5007,$U4313))</f>
        <v/>
      </c>
    </row>
    <row r="4314" customFormat="false" ht="15" hidden="false" customHeight="false" outlineLevel="0" collapsed="false">
      <c r="A4314" s="31"/>
      <c r="B4314" s="32"/>
      <c r="C4314" s="32"/>
      <c r="D4314" s="32"/>
      <c r="E4314" s="32"/>
      <c r="F4314" s="32"/>
      <c r="G4314" s="33"/>
      <c r="H4314" s="33"/>
      <c r="I4314" s="34" t="str">
        <f aca="false">IF($A4314="","",$G4314-$H4314)</f>
        <v/>
      </c>
      <c r="J4314" s="35" t="str">
        <f aca="false">IF($A4314="","",IF(Setup!$B$6=1,YEAR($A4314),YEAR($A4314)+IF(MONTH($A4314)&gt;=Setup!$B$6,1,0)))</f>
        <v/>
      </c>
      <c r="K4314" s="35" t="str">
        <f aca="false">IF($A4314="","",MOD(MONTH($A4314)-Setup!$B$6+12,12)+1)</f>
        <v/>
      </c>
      <c r="L4314" s="36" t="str">
        <f aca="false">IF($A4314="","",TEXT($A4314,"MMM-YY"))</f>
        <v/>
      </c>
      <c r="M4314" s="37" t="str">
        <f aca="false">IF($A4314="","",IF($Q4314=0,"UNMAPPED",INDEX(COA_Mapping!$C$7:$C$256,$Q4314)))</f>
        <v/>
      </c>
      <c r="N4314" s="38" t="str">
        <f aca="false">IF($A4314="","",IF($Q4314=0,"",INDEX(COA_Mapping!$E$7:$E$256,$Q4314)))</f>
        <v/>
      </c>
      <c r="O4314" s="38" t="n">
        <f aca="false">IF($A4314="",1,IF($Q4314=0,1,INDEX(COA_Mapping!$F$7:$F$256,$Q4314)))</f>
        <v>1</v>
      </c>
      <c r="P4314" s="34" t="str">
        <f aca="false">IF($A4314="","",$I4314*$O4314)</f>
        <v/>
      </c>
      <c r="Q4314" s="39" t="n">
        <f aca="false">IF($B4314="",0,IFERROR(MATCH($B4314,COA_Mapping!$A$7:$A$256,0),0))</f>
        <v>0</v>
      </c>
      <c r="R4314" s="39" t="n">
        <f aca="false">IF($A4314="",-1,IF($J4314=Setup!$B$7,1,IF($J4314=Setup!$B$9,0,-1)))</f>
        <v>-1</v>
      </c>
      <c r="S4314" s="35" t="n">
        <f aca="false">IF(OR($A4314="",$Q4314=0,$R4314=-1),0,$Q4314*1000+$R4314*100+$K4314)</f>
        <v>0</v>
      </c>
      <c r="T4314" s="37" t="str">
        <f aca="false">IF($A4314="","",IF($B4314="","NO ACCOUNT",IF($Q4314=0,"UNMAPPED",IF($R4314=-1,"OUTSIDE FY RANGE","OK"))))</f>
        <v/>
      </c>
      <c r="U4314" s="40" t="str">
        <f aca="false">IF($A4314="","",$B4314&amp;"|"&amp;TEXT($A4314,"yyyymmdd")&amp;"|"&amp;TEXT($I4314,"0.00"))</f>
        <v/>
      </c>
      <c r="V4314" s="35" t="str">
        <f aca="false">IF($A4314="","",COUNTIF($U$8:$U$5007,$U4314))</f>
        <v/>
      </c>
    </row>
    <row r="4315" customFormat="false" ht="15" hidden="false" customHeight="false" outlineLevel="0" collapsed="false">
      <c r="A4315" s="31"/>
      <c r="B4315" s="32"/>
      <c r="C4315" s="32"/>
      <c r="D4315" s="32"/>
      <c r="E4315" s="32"/>
      <c r="F4315" s="32"/>
      <c r="G4315" s="33"/>
      <c r="H4315" s="33"/>
      <c r="I4315" s="34" t="str">
        <f aca="false">IF($A4315="","",$G4315-$H4315)</f>
        <v/>
      </c>
      <c r="J4315" s="35" t="str">
        <f aca="false">IF($A4315="","",IF(Setup!$B$6=1,YEAR($A4315),YEAR($A4315)+IF(MONTH($A4315)&gt;=Setup!$B$6,1,0)))</f>
        <v/>
      </c>
      <c r="K4315" s="35" t="str">
        <f aca="false">IF($A4315="","",MOD(MONTH($A4315)-Setup!$B$6+12,12)+1)</f>
        <v/>
      </c>
      <c r="L4315" s="36" t="str">
        <f aca="false">IF($A4315="","",TEXT($A4315,"MMM-YY"))</f>
        <v/>
      </c>
      <c r="M4315" s="37" t="str">
        <f aca="false">IF($A4315="","",IF($Q4315=0,"UNMAPPED",INDEX(COA_Mapping!$C$7:$C$256,$Q4315)))</f>
        <v/>
      </c>
      <c r="N4315" s="38" t="str">
        <f aca="false">IF($A4315="","",IF($Q4315=0,"",INDEX(COA_Mapping!$E$7:$E$256,$Q4315)))</f>
        <v/>
      </c>
      <c r="O4315" s="38" t="n">
        <f aca="false">IF($A4315="",1,IF($Q4315=0,1,INDEX(COA_Mapping!$F$7:$F$256,$Q4315)))</f>
        <v>1</v>
      </c>
      <c r="P4315" s="34" t="str">
        <f aca="false">IF($A4315="","",$I4315*$O4315)</f>
        <v/>
      </c>
      <c r="Q4315" s="39" t="n">
        <f aca="false">IF($B4315="",0,IFERROR(MATCH($B4315,COA_Mapping!$A$7:$A$256,0),0))</f>
        <v>0</v>
      </c>
      <c r="R4315" s="39" t="n">
        <f aca="false">IF($A4315="",-1,IF($J4315=Setup!$B$7,1,IF($J4315=Setup!$B$9,0,-1)))</f>
        <v>-1</v>
      </c>
      <c r="S4315" s="35" t="n">
        <f aca="false">IF(OR($A4315="",$Q4315=0,$R4315=-1),0,$Q4315*1000+$R4315*100+$K4315)</f>
        <v>0</v>
      </c>
      <c r="T4315" s="37" t="str">
        <f aca="false">IF($A4315="","",IF($B4315="","NO ACCOUNT",IF($Q4315=0,"UNMAPPED",IF($R4315=-1,"OUTSIDE FY RANGE","OK"))))</f>
        <v/>
      </c>
      <c r="U4315" s="40" t="str">
        <f aca="false">IF($A4315="","",$B4315&amp;"|"&amp;TEXT($A4315,"yyyymmdd")&amp;"|"&amp;TEXT($I4315,"0.00"))</f>
        <v/>
      </c>
      <c r="V4315" s="35" t="str">
        <f aca="false">IF($A4315="","",COUNTIF($U$8:$U$5007,$U4315))</f>
        <v/>
      </c>
    </row>
    <row r="4316" customFormat="false" ht="15" hidden="false" customHeight="false" outlineLevel="0" collapsed="false">
      <c r="A4316" s="31"/>
      <c r="B4316" s="32"/>
      <c r="C4316" s="32"/>
      <c r="D4316" s="32"/>
      <c r="E4316" s="32"/>
      <c r="F4316" s="32"/>
      <c r="G4316" s="33"/>
      <c r="H4316" s="33"/>
      <c r="I4316" s="34" t="str">
        <f aca="false">IF($A4316="","",$G4316-$H4316)</f>
        <v/>
      </c>
      <c r="J4316" s="35" t="str">
        <f aca="false">IF($A4316="","",IF(Setup!$B$6=1,YEAR($A4316),YEAR($A4316)+IF(MONTH($A4316)&gt;=Setup!$B$6,1,0)))</f>
        <v/>
      </c>
      <c r="K4316" s="35" t="str">
        <f aca="false">IF($A4316="","",MOD(MONTH($A4316)-Setup!$B$6+12,12)+1)</f>
        <v/>
      </c>
      <c r="L4316" s="36" t="str">
        <f aca="false">IF($A4316="","",TEXT($A4316,"MMM-YY"))</f>
        <v/>
      </c>
      <c r="M4316" s="37" t="str">
        <f aca="false">IF($A4316="","",IF($Q4316=0,"UNMAPPED",INDEX(COA_Mapping!$C$7:$C$256,$Q4316)))</f>
        <v/>
      </c>
      <c r="N4316" s="38" t="str">
        <f aca="false">IF($A4316="","",IF($Q4316=0,"",INDEX(COA_Mapping!$E$7:$E$256,$Q4316)))</f>
        <v/>
      </c>
      <c r="O4316" s="38" t="n">
        <f aca="false">IF($A4316="",1,IF($Q4316=0,1,INDEX(COA_Mapping!$F$7:$F$256,$Q4316)))</f>
        <v>1</v>
      </c>
      <c r="P4316" s="34" t="str">
        <f aca="false">IF($A4316="","",$I4316*$O4316)</f>
        <v/>
      </c>
      <c r="Q4316" s="39" t="n">
        <f aca="false">IF($B4316="",0,IFERROR(MATCH($B4316,COA_Mapping!$A$7:$A$256,0),0))</f>
        <v>0</v>
      </c>
      <c r="R4316" s="39" t="n">
        <f aca="false">IF($A4316="",-1,IF($J4316=Setup!$B$7,1,IF($J4316=Setup!$B$9,0,-1)))</f>
        <v>-1</v>
      </c>
      <c r="S4316" s="35" t="n">
        <f aca="false">IF(OR($A4316="",$Q4316=0,$R4316=-1),0,$Q4316*1000+$R4316*100+$K4316)</f>
        <v>0</v>
      </c>
      <c r="T4316" s="37" t="str">
        <f aca="false">IF($A4316="","",IF($B4316="","NO ACCOUNT",IF($Q4316=0,"UNMAPPED",IF($R4316=-1,"OUTSIDE FY RANGE","OK"))))</f>
        <v/>
      </c>
      <c r="U4316" s="40" t="str">
        <f aca="false">IF($A4316="","",$B4316&amp;"|"&amp;TEXT($A4316,"yyyymmdd")&amp;"|"&amp;TEXT($I4316,"0.00"))</f>
        <v/>
      </c>
      <c r="V4316" s="35" t="str">
        <f aca="false">IF($A4316="","",COUNTIF($U$8:$U$5007,$U4316))</f>
        <v/>
      </c>
    </row>
    <row r="4317" customFormat="false" ht="15" hidden="false" customHeight="false" outlineLevel="0" collapsed="false">
      <c r="A4317" s="31"/>
      <c r="B4317" s="32"/>
      <c r="C4317" s="32"/>
      <c r="D4317" s="32"/>
      <c r="E4317" s="32"/>
      <c r="F4317" s="32"/>
      <c r="G4317" s="33"/>
      <c r="H4317" s="33"/>
      <c r="I4317" s="34" t="str">
        <f aca="false">IF($A4317="","",$G4317-$H4317)</f>
        <v/>
      </c>
      <c r="J4317" s="35" t="str">
        <f aca="false">IF($A4317="","",IF(Setup!$B$6=1,YEAR($A4317),YEAR($A4317)+IF(MONTH($A4317)&gt;=Setup!$B$6,1,0)))</f>
        <v/>
      </c>
      <c r="K4317" s="35" t="str">
        <f aca="false">IF($A4317="","",MOD(MONTH($A4317)-Setup!$B$6+12,12)+1)</f>
        <v/>
      </c>
      <c r="L4317" s="36" t="str">
        <f aca="false">IF($A4317="","",TEXT($A4317,"MMM-YY"))</f>
        <v/>
      </c>
      <c r="M4317" s="37" t="str">
        <f aca="false">IF($A4317="","",IF($Q4317=0,"UNMAPPED",INDEX(COA_Mapping!$C$7:$C$256,$Q4317)))</f>
        <v/>
      </c>
      <c r="N4317" s="38" t="str">
        <f aca="false">IF($A4317="","",IF($Q4317=0,"",INDEX(COA_Mapping!$E$7:$E$256,$Q4317)))</f>
        <v/>
      </c>
      <c r="O4317" s="38" t="n">
        <f aca="false">IF($A4317="",1,IF($Q4317=0,1,INDEX(COA_Mapping!$F$7:$F$256,$Q4317)))</f>
        <v>1</v>
      </c>
      <c r="P4317" s="34" t="str">
        <f aca="false">IF($A4317="","",$I4317*$O4317)</f>
        <v/>
      </c>
      <c r="Q4317" s="39" t="n">
        <f aca="false">IF($B4317="",0,IFERROR(MATCH($B4317,COA_Mapping!$A$7:$A$256,0),0))</f>
        <v>0</v>
      </c>
      <c r="R4317" s="39" t="n">
        <f aca="false">IF($A4317="",-1,IF($J4317=Setup!$B$7,1,IF($J4317=Setup!$B$9,0,-1)))</f>
        <v>-1</v>
      </c>
      <c r="S4317" s="35" t="n">
        <f aca="false">IF(OR($A4317="",$Q4317=0,$R4317=-1),0,$Q4317*1000+$R4317*100+$K4317)</f>
        <v>0</v>
      </c>
      <c r="T4317" s="37" t="str">
        <f aca="false">IF($A4317="","",IF($B4317="","NO ACCOUNT",IF($Q4317=0,"UNMAPPED",IF($R4317=-1,"OUTSIDE FY RANGE","OK"))))</f>
        <v/>
      </c>
      <c r="U4317" s="40" t="str">
        <f aca="false">IF($A4317="","",$B4317&amp;"|"&amp;TEXT($A4317,"yyyymmdd")&amp;"|"&amp;TEXT($I4317,"0.00"))</f>
        <v/>
      </c>
      <c r="V4317" s="35" t="str">
        <f aca="false">IF($A4317="","",COUNTIF($U$8:$U$5007,$U4317))</f>
        <v/>
      </c>
    </row>
    <row r="4318" customFormat="false" ht="15" hidden="false" customHeight="false" outlineLevel="0" collapsed="false">
      <c r="A4318" s="31"/>
      <c r="B4318" s="32"/>
      <c r="C4318" s="32"/>
      <c r="D4318" s="32"/>
      <c r="E4318" s="32"/>
      <c r="F4318" s="32"/>
      <c r="G4318" s="33"/>
      <c r="H4318" s="33"/>
      <c r="I4318" s="34" t="str">
        <f aca="false">IF($A4318="","",$G4318-$H4318)</f>
        <v/>
      </c>
      <c r="J4318" s="35" t="str">
        <f aca="false">IF($A4318="","",IF(Setup!$B$6=1,YEAR($A4318),YEAR($A4318)+IF(MONTH($A4318)&gt;=Setup!$B$6,1,0)))</f>
        <v/>
      </c>
      <c r="K4318" s="35" t="str">
        <f aca="false">IF($A4318="","",MOD(MONTH($A4318)-Setup!$B$6+12,12)+1)</f>
        <v/>
      </c>
      <c r="L4318" s="36" t="str">
        <f aca="false">IF($A4318="","",TEXT($A4318,"MMM-YY"))</f>
        <v/>
      </c>
      <c r="M4318" s="37" t="str">
        <f aca="false">IF($A4318="","",IF($Q4318=0,"UNMAPPED",INDEX(COA_Mapping!$C$7:$C$256,$Q4318)))</f>
        <v/>
      </c>
      <c r="N4318" s="38" t="str">
        <f aca="false">IF($A4318="","",IF($Q4318=0,"",INDEX(COA_Mapping!$E$7:$E$256,$Q4318)))</f>
        <v/>
      </c>
      <c r="O4318" s="38" t="n">
        <f aca="false">IF($A4318="",1,IF($Q4318=0,1,INDEX(COA_Mapping!$F$7:$F$256,$Q4318)))</f>
        <v>1</v>
      </c>
      <c r="P4318" s="34" t="str">
        <f aca="false">IF($A4318="","",$I4318*$O4318)</f>
        <v/>
      </c>
      <c r="Q4318" s="39" t="n">
        <f aca="false">IF($B4318="",0,IFERROR(MATCH($B4318,COA_Mapping!$A$7:$A$256,0),0))</f>
        <v>0</v>
      </c>
      <c r="R4318" s="39" t="n">
        <f aca="false">IF($A4318="",-1,IF($J4318=Setup!$B$7,1,IF($J4318=Setup!$B$9,0,-1)))</f>
        <v>-1</v>
      </c>
      <c r="S4318" s="35" t="n">
        <f aca="false">IF(OR($A4318="",$Q4318=0,$R4318=-1),0,$Q4318*1000+$R4318*100+$K4318)</f>
        <v>0</v>
      </c>
      <c r="T4318" s="37" t="str">
        <f aca="false">IF($A4318="","",IF($B4318="","NO ACCOUNT",IF($Q4318=0,"UNMAPPED",IF($R4318=-1,"OUTSIDE FY RANGE","OK"))))</f>
        <v/>
      </c>
      <c r="U4318" s="40" t="str">
        <f aca="false">IF($A4318="","",$B4318&amp;"|"&amp;TEXT($A4318,"yyyymmdd")&amp;"|"&amp;TEXT($I4318,"0.00"))</f>
        <v/>
      </c>
      <c r="V4318" s="35" t="str">
        <f aca="false">IF($A4318="","",COUNTIF($U$8:$U$5007,$U4318))</f>
        <v/>
      </c>
    </row>
    <row r="4319" customFormat="false" ht="15" hidden="false" customHeight="false" outlineLevel="0" collapsed="false">
      <c r="A4319" s="31"/>
      <c r="B4319" s="32"/>
      <c r="C4319" s="32"/>
      <c r="D4319" s="32"/>
      <c r="E4319" s="32"/>
      <c r="F4319" s="32"/>
      <c r="G4319" s="33"/>
      <c r="H4319" s="33"/>
      <c r="I4319" s="34" t="str">
        <f aca="false">IF($A4319="","",$G4319-$H4319)</f>
        <v/>
      </c>
      <c r="J4319" s="35" t="str">
        <f aca="false">IF($A4319="","",IF(Setup!$B$6=1,YEAR($A4319),YEAR($A4319)+IF(MONTH($A4319)&gt;=Setup!$B$6,1,0)))</f>
        <v/>
      </c>
      <c r="K4319" s="35" t="str">
        <f aca="false">IF($A4319="","",MOD(MONTH($A4319)-Setup!$B$6+12,12)+1)</f>
        <v/>
      </c>
      <c r="L4319" s="36" t="str">
        <f aca="false">IF($A4319="","",TEXT($A4319,"MMM-YY"))</f>
        <v/>
      </c>
      <c r="M4319" s="37" t="str">
        <f aca="false">IF($A4319="","",IF($Q4319=0,"UNMAPPED",INDEX(COA_Mapping!$C$7:$C$256,$Q4319)))</f>
        <v/>
      </c>
      <c r="N4319" s="38" t="str">
        <f aca="false">IF($A4319="","",IF($Q4319=0,"",INDEX(COA_Mapping!$E$7:$E$256,$Q4319)))</f>
        <v/>
      </c>
      <c r="O4319" s="38" t="n">
        <f aca="false">IF($A4319="",1,IF($Q4319=0,1,INDEX(COA_Mapping!$F$7:$F$256,$Q4319)))</f>
        <v>1</v>
      </c>
      <c r="P4319" s="34" t="str">
        <f aca="false">IF($A4319="","",$I4319*$O4319)</f>
        <v/>
      </c>
      <c r="Q4319" s="39" t="n">
        <f aca="false">IF($B4319="",0,IFERROR(MATCH($B4319,COA_Mapping!$A$7:$A$256,0),0))</f>
        <v>0</v>
      </c>
      <c r="R4319" s="39" t="n">
        <f aca="false">IF($A4319="",-1,IF($J4319=Setup!$B$7,1,IF($J4319=Setup!$B$9,0,-1)))</f>
        <v>-1</v>
      </c>
      <c r="S4319" s="35" t="n">
        <f aca="false">IF(OR($A4319="",$Q4319=0,$R4319=-1),0,$Q4319*1000+$R4319*100+$K4319)</f>
        <v>0</v>
      </c>
      <c r="T4319" s="37" t="str">
        <f aca="false">IF($A4319="","",IF($B4319="","NO ACCOUNT",IF($Q4319=0,"UNMAPPED",IF($R4319=-1,"OUTSIDE FY RANGE","OK"))))</f>
        <v/>
      </c>
      <c r="U4319" s="40" t="str">
        <f aca="false">IF($A4319="","",$B4319&amp;"|"&amp;TEXT($A4319,"yyyymmdd")&amp;"|"&amp;TEXT($I4319,"0.00"))</f>
        <v/>
      </c>
      <c r="V4319" s="35" t="str">
        <f aca="false">IF($A4319="","",COUNTIF($U$8:$U$5007,$U4319))</f>
        <v/>
      </c>
    </row>
    <row r="4320" customFormat="false" ht="15" hidden="false" customHeight="false" outlineLevel="0" collapsed="false">
      <c r="A4320" s="31"/>
      <c r="B4320" s="32"/>
      <c r="C4320" s="32"/>
      <c r="D4320" s="32"/>
      <c r="E4320" s="32"/>
      <c r="F4320" s="32"/>
      <c r="G4320" s="33"/>
      <c r="H4320" s="33"/>
      <c r="I4320" s="34" t="str">
        <f aca="false">IF($A4320="","",$G4320-$H4320)</f>
        <v/>
      </c>
      <c r="J4320" s="35" t="str">
        <f aca="false">IF($A4320="","",IF(Setup!$B$6=1,YEAR($A4320),YEAR($A4320)+IF(MONTH($A4320)&gt;=Setup!$B$6,1,0)))</f>
        <v/>
      </c>
      <c r="K4320" s="35" t="str">
        <f aca="false">IF($A4320="","",MOD(MONTH($A4320)-Setup!$B$6+12,12)+1)</f>
        <v/>
      </c>
      <c r="L4320" s="36" t="str">
        <f aca="false">IF($A4320="","",TEXT($A4320,"MMM-YY"))</f>
        <v/>
      </c>
      <c r="M4320" s="37" t="str">
        <f aca="false">IF($A4320="","",IF($Q4320=0,"UNMAPPED",INDEX(COA_Mapping!$C$7:$C$256,$Q4320)))</f>
        <v/>
      </c>
      <c r="N4320" s="38" t="str">
        <f aca="false">IF($A4320="","",IF($Q4320=0,"",INDEX(COA_Mapping!$E$7:$E$256,$Q4320)))</f>
        <v/>
      </c>
      <c r="O4320" s="38" t="n">
        <f aca="false">IF($A4320="",1,IF($Q4320=0,1,INDEX(COA_Mapping!$F$7:$F$256,$Q4320)))</f>
        <v>1</v>
      </c>
      <c r="P4320" s="34" t="str">
        <f aca="false">IF($A4320="","",$I4320*$O4320)</f>
        <v/>
      </c>
      <c r="Q4320" s="39" t="n">
        <f aca="false">IF($B4320="",0,IFERROR(MATCH($B4320,COA_Mapping!$A$7:$A$256,0),0))</f>
        <v>0</v>
      </c>
      <c r="R4320" s="39" t="n">
        <f aca="false">IF($A4320="",-1,IF($J4320=Setup!$B$7,1,IF($J4320=Setup!$B$9,0,-1)))</f>
        <v>-1</v>
      </c>
      <c r="S4320" s="35" t="n">
        <f aca="false">IF(OR($A4320="",$Q4320=0,$R4320=-1),0,$Q4320*1000+$R4320*100+$K4320)</f>
        <v>0</v>
      </c>
      <c r="T4320" s="37" t="str">
        <f aca="false">IF($A4320="","",IF($B4320="","NO ACCOUNT",IF($Q4320=0,"UNMAPPED",IF($R4320=-1,"OUTSIDE FY RANGE","OK"))))</f>
        <v/>
      </c>
      <c r="U4320" s="40" t="str">
        <f aca="false">IF($A4320="","",$B4320&amp;"|"&amp;TEXT($A4320,"yyyymmdd")&amp;"|"&amp;TEXT($I4320,"0.00"))</f>
        <v/>
      </c>
      <c r="V4320" s="35" t="str">
        <f aca="false">IF($A4320="","",COUNTIF($U$8:$U$5007,$U4320))</f>
        <v/>
      </c>
    </row>
    <row r="4321" customFormat="false" ht="15" hidden="false" customHeight="false" outlineLevel="0" collapsed="false">
      <c r="A4321" s="31"/>
      <c r="B4321" s="32"/>
      <c r="C4321" s="32"/>
      <c r="D4321" s="32"/>
      <c r="E4321" s="32"/>
      <c r="F4321" s="32"/>
      <c r="G4321" s="33"/>
      <c r="H4321" s="33"/>
      <c r="I4321" s="34" t="str">
        <f aca="false">IF($A4321="","",$G4321-$H4321)</f>
        <v/>
      </c>
      <c r="J4321" s="35" t="str">
        <f aca="false">IF($A4321="","",IF(Setup!$B$6=1,YEAR($A4321),YEAR($A4321)+IF(MONTH($A4321)&gt;=Setup!$B$6,1,0)))</f>
        <v/>
      </c>
      <c r="K4321" s="35" t="str">
        <f aca="false">IF($A4321="","",MOD(MONTH($A4321)-Setup!$B$6+12,12)+1)</f>
        <v/>
      </c>
      <c r="L4321" s="36" t="str">
        <f aca="false">IF($A4321="","",TEXT($A4321,"MMM-YY"))</f>
        <v/>
      </c>
      <c r="M4321" s="37" t="str">
        <f aca="false">IF($A4321="","",IF($Q4321=0,"UNMAPPED",INDEX(COA_Mapping!$C$7:$C$256,$Q4321)))</f>
        <v/>
      </c>
      <c r="N4321" s="38" t="str">
        <f aca="false">IF($A4321="","",IF($Q4321=0,"",INDEX(COA_Mapping!$E$7:$E$256,$Q4321)))</f>
        <v/>
      </c>
      <c r="O4321" s="38" t="n">
        <f aca="false">IF($A4321="",1,IF($Q4321=0,1,INDEX(COA_Mapping!$F$7:$F$256,$Q4321)))</f>
        <v>1</v>
      </c>
      <c r="P4321" s="34" t="str">
        <f aca="false">IF($A4321="","",$I4321*$O4321)</f>
        <v/>
      </c>
      <c r="Q4321" s="39" t="n">
        <f aca="false">IF($B4321="",0,IFERROR(MATCH($B4321,COA_Mapping!$A$7:$A$256,0),0))</f>
        <v>0</v>
      </c>
      <c r="R4321" s="39" t="n">
        <f aca="false">IF($A4321="",-1,IF($J4321=Setup!$B$7,1,IF($J4321=Setup!$B$9,0,-1)))</f>
        <v>-1</v>
      </c>
      <c r="S4321" s="35" t="n">
        <f aca="false">IF(OR($A4321="",$Q4321=0,$R4321=-1),0,$Q4321*1000+$R4321*100+$K4321)</f>
        <v>0</v>
      </c>
      <c r="T4321" s="37" t="str">
        <f aca="false">IF($A4321="","",IF($B4321="","NO ACCOUNT",IF($Q4321=0,"UNMAPPED",IF($R4321=-1,"OUTSIDE FY RANGE","OK"))))</f>
        <v/>
      </c>
      <c r="U4321" s="40" t="str">
        <f aca="false">IF($A4321="","",$B4321&amp;"|"&amp;TEXT($A4321,"yyyymmdd")&amp;"|"&amp;TEXT($I4321,"0.00"))</f>
        <v/>
      </c>
      <c r="V4321" s="35" t="str">
        <f aca="false">IF($A4321="","",COUNTIF($U$8:$U$5007,$U4321))</f>
        <v/>
      </c>
    </row>
    <row r="4322" customFormat="false" ht="15" hidden="false" customHeight="false" outlineLevel="0" collapsed="false">
      <c r="A4322" s="31"/>
      <c r="B4322" s="32"/>
      <c r="C4322" s="32"/>
      <c r="D4322" s="32"/>
      <c r="E4322" s="32"/>
      <c r="F4322" s="32"/>
      <c r="G4322" s="33"/>
      <c r="H4322" s="33"/>
      <c r="I4322" s="34" t="str">
        <f aca="false">IF($A4322="","",$G4322-$H4322)</f>
        <v/>
      </c>
      <c r="J4322" s="35" t="str">
        <f aca="false">IF($A4322="","",IF(Setup!$B$6=1,YEAR($A4322),YEAR($A4322)+IF(MONTH($A4322)&gt;=Setup!$B$6,1,0)))</f>
        <v/>
      </c>
      <c r="K4322" s="35" t="str">
        <f aca="false">IF($A4322="","",MOD(MONTH($A4322)-Setup!$B$6+12,12)+1)</f>
        <v/>
      </c>
      <c r="L4322" s="36" t="str">
        <f aca="false">IF($A4322="","",TEXT($A4322,"MMM-YY"))</f>
        <v/>
      </c>
      <c r="M4322" s="37" t="str">
        <f aca="false">IF($A4322="","",IF($Q4322=0,"UNMAPPED",INDEX(COA_Mapping!$C$7:$C$256,$Q4322)))</f>
        <v/>
      </c>
      <c r="N4322" s="38" t="str">
        <f aca="false">IF($A4322="","",IF($Q4322=0,"",INDEX(COA_Mapping!$E$7:$E$256,$Q4322)))</f>
        <v/>
      </c>
      <c r="O4322" s="38" t="n">
        <f aca="false">IF($A4322="",1,IF($Q4322=0,1,INDEX(COA_Mapping!$F$7:$F$256,$Q4322)))</f>
        <v>1</v>
      </c>
      <c r="P4322" s="34" t="str">
        <f aca="false">IF($A4322="","",$I4322*$O4322)</f>
        <v/>
      </c>
      <c r="Q4322" s="39" t="n">
        <f aca="false">IF($B4322="",0,IFERROR(MATCH($B4322,COA_Mapping!$A$7:$A$256,0),0))</f>
        <v>0</v>
      </c>
      <c r="R4322" s="39" t="n">
        <f aca="false">IF($A4322="",-1,IF($J4322=Setup!$B$7,1,IF($J4322=Setup!$B$9,0,-1)))</f>
        <v>-1</v>
      </c>
      <c r="S4322" s="35" t="n">
        <f aca="false">IF(OR($A4322="",$Q4322=0,$R4322=-1),0,$Q4322*1000+$R4322*100+$K4322)</f>
        <v>0</v>
      </c>
      <c r="T4322" s="37" t="str">
        <f aca="false">IF($A4322="","",IF($B4322="","NO ACCOUNT",IF($Q4322=0,"UNMAPPED",IF($R4322=-1,"OUTSIDE FY RANGE","OK"))))</f>
        <v/>
      </c>
      <c r="U4322" s="40" t="str">
        <f aca="false">IF($A4322="","",$B4322&amp;"|"&amp;TEXT($A4322,"yyyymmdd")&amp;"|"&amp;TEXT($I4322,"0.00"))</f>
        <v/>
      </c>
      <c r="V4322" s="35" t="str">
        <f aca="false">IF($A4322="","",COUNTIF($U$8:$U$5007,$U4322))</f>
        <v/>
      </c>
    </row>
    <row r="4323" customFormat="false" ht="15" hidden="false" customHeight="false" outlineLevel="0" collapsed="false">
      <c r="A4323" s="31"/>
      <c r="B4323" s="32"/>
      <c r="C4323" s="32"/>
      <c r="D4323" s="32"/>
      <c r="E4323" s="32"/>
      <c r="F4323" s="32"/>
      <c r="G4323" s="33"/>
      <c r="H4323" s="33"/>
      <c r="I4323" s="34" t="str">
        <f aca="false">IF($A4323="","",$G4323-$H4323)</f>
        <v/>
      </c>
      <c r="J4323" s="35" t="str">
        <f aca="false">IF($A4323="","",IF(Setup!$B$6=1,YEAR($A4323),YEAR($A4323)+IF(MONTH($A4323)&gt;=Setup!$B$6,1,0)))</f>
        <v/>
      </c>
      <c r="K4323" s="35" t="str">
        <f aca="false">IF($A4323="","",MOD(MONTH($A4323)-Setup!$B$6+12,12)+1)</f>
        <v/>
      </c>
      <c r="L4323" s="36" t="str">
        <f aca="false">IF($A4323="","",TEXT($A4323,"MMM-YY"))</f>
        <v/>
      </c>
      <c r="M4323" s="37" t="str">
        <f aca="false">IF($A4323="","",IF($Q4323=0,"UNMAPPED",INDEX(COA_Mapping!$C$7:$C$256,$Q4323)))</f>
        <v/>
      </c>
      <c r="N4323" s="38" t="str">
        <f aca="false">IF($A4323="","",IF($Q4323=0,"",INDEX(COA_Mapping!$E$7:$E$256,$Q4323)))</f>
        <v/>
      </c>
      <c r="O4323" s="38" t="n">
        <f aca="false">IF($A4323="",1,IF($Q4323=0,1,INDEX(COA_Mapping!$F$7:$F$256,$Q4323)))</f>
        <v>1</v>
      </c>
      <c r="P4323" s="34" t="str">
        <f aca="false">IF($A4323="","",$I4323*$O4323)</f>
        <v/>
      </c>
      <c r="Q4323" s="39" t="n">
        <f aca="false">IF($B4323="",0,IFERROR(MATCH($B4323,COA_Mapping!$A$7:$A$256,0),0))</f>
        <v>0</v>
      </c>
      <c r="R4323" s="39" t="n">
        <f aca="false">IF($A4323="",-1,IF($J4323=Setup!$B$7,1,IF($J4323=Setup!$B$9,0,-1)))</f>
        <v>-1</v>
      </c>
      <c r="S4323" s="35" t="n">
        <f aca="false">IF(OR($A4323="",$Q4323=0,$R4323=-1),0,$Q4323*1000+$R4323*100+$K4323)</f>
        <v>0</v>
      </c>
      <c r="T4323" s="37" t="str">
        <f aca="false">IF($A4323="","",IF($B4323="","NO ACCOUNT",IF($Q4323=0,"UNMAPPED",IF($R4323=-1,"OUTSIDE FY RANGE","OK"))))</f>
        <v/>
      </c>
      <c r="U4323" s="40" t="str">
        <f aca="false">IF($A4323="","",$B4323&amp;"|"&amp;TEXT($A4323,"yyyymmdd")&amp;"|"&amp;TEXT($I4323,"0.00"))</f>
        <v/>
      </c>
      <c r="V4323" s="35" t="str">
        <f aca="false">IF($A4323="","",COUNTIF($U$8:$U$5007,$U4323))</f>
        <v/>
      </c>
    </row>
    <row r="4324" customFormat="false" ht="15" hidden="false" customHeight="false" outlineLevel="0" collapsed="false">
      <c r="A4324" s="31"/>
      <c r="B4324" s="32"/>
      <c r="C4324" s="32"/>
      <c r="D4324" s="32"/>
      <c r="E4324" s="32"/>
      <c r="F4324" s="32"/>
      <c r="G4324" s="33"/>
      <c r="H4324" s="33"/>
      <c r="I4324" s="34" t="str">
        <f aca="false">IF($A4324="","",$G4324-$H4324)</f>
        <v/>
      </c>
      <c r="J4324" s="35" t="str">
        <f aca="false">IF($A4324="","",IF(Setup!$B$6=1,YEAR($A4324),YEAR($A4324)+IF(MONTH($A4324)&gt;=Setup!$B$6,1,0)))</f>
        <v/>
      </c>
      <c r="K4324" s="35" t="str">
        <f aca="false">IF($A4324="","",MOD(MONTH($A4324)-Setup!$B$6+12,12)+1)</f>
        <v/>
      </c>
      <c r="L4324" s="36" t="str">
        <f aca="false">IF($A4324="","",TEXT($A4324,"MMM-YY"))</f>
        <v/>
      </c>
      <c r="M4324" s="37" t="str">
        <f aca="false">IF($A4324="","",IF($Q4324=0,"UNMAPPED",INDEX(COA_Mapping!$C$7:$C$256,$Q4324)))</f>
        <v/>
      </c>
      <c r="N4324" s="38" t="str">
        <f aca="false">IF($A4324="","",IF($Q4324=0,"",INDEX(COA_Mapping!$E$7:$E$256,$Q4324)))</f>
        <v/>
      </c>
      <c r="O4324" s="38" t="n">
        <f aca="false">IF($A4324="",1,IF($Q4324=0,1,INDEX(COA_Mapping!$F$7:$F$256,$Q4324)))</f>
        <v>1</v>
      </c>
      <c r="P4324" s="34" t="str">
        <f aca="false">IF($A4324="","",$I4324*$O4324)</f>
        <v/>
      </c>
      <c r="Q4324" s="39" t="n">
        <f aca="false">IF($B4324="",0,IFERROR(MATCH($B4324,COA_Mapping!$A$7:$A$256,0),0))</f>
        <v>0</v>
      </c>
      <c r="R4324" s="39" t="n">
        <f aca="false">IF($A4324="",-1,IF($J4324=Setup!$B$7,1,IF($J4324=Setup!$B$9,0,-1)))</f>
        <v>-1</v>
      </c>
      <c r="S4324" s="35" t="n">
        <f aca="false">IF(OR($A4324="",$Q4324=0,$R4324=-1),0,$Q4324*1000+$R4324*100+$K4324)</f>
        <v>0</v>
      </c>
      <c r="T4324" s="37" t="str">
        <f aca="false">IF($A4324="","",IF($B4324="","NO ACCOUNT",IF($Q4324=0,"UNMAPPED",IF($R4324=-1,"OUTSIDE FY RANGE","OK"))))</f>
        <v/>
      </c>
      <c r="U4324" s="40" t="str">
        <f aca="false">IF($A4324="","",$B4324&amp;"|"&amp;TEXT($A4324,"yyyymmdd")&amp;"|"&amp;TEXT($I4324,"0.00"))</f>
        <v/>
      </c>
      <c r="V4324" s="35" t="str">
        <f aca="false">IF($A4324="","",COUNTIF($U$8:$U$5007,$U4324))</f>
        <v/>
      </c>
    </row>
    <row r="4325" customFormat="false" ht="15" hidden="false" customHeight="false" outlineLevel="0" collapsed="false">
      <c r="A4325" s="31"/>
      <c r="B4325" s="32"/>
      <c r="C4325" s="32"/>
      <c r="D4325" s="32"/>
      <c r="E4325" s="32"/>
      <c r="F4325" s="32"/>
      <c r="G4325" s="33"/>
      <c r="H4325" s="33"/>
      <c r="I4325" s="34" t="str">
        <f aca="false">IF($A4325="","",$G4325-$H4325)</f>
        <v/>
      </c>
      <c r="J4325" s="35" t="str">
        <f aca="false">IF($A4325="","",IF(Setup!$B$6=1,YEAR($A4325),YEAR($A4325)+IF(MONTH($A4325)&gt;=Setup!$B$6,1,0)))</f>
        <v/>
      </c>
      <c r="K4325" s="35" t="str">
        <f aca="false">IF($A4325="","",MOD(MONTH($A4325)-Setup!$B$6+12,12)+1)</f>
        <v/>
      </c>
      <c r="L4325" s="36" t="str">
        <f aca="false">IF($A4325="","",TEXT($A4325,"MMM-YY"))</f>
        <v/>
      </c>
      <c r="M4325" s="37" t="str">
        <f aca="false">IF($A4325="","",IF($Q4325=0,"UNMAPPED",INDEX(COA_Mapping!$C$7:$C$256,$Q4325)))</f>
        <v/>
      </c>
      <c r="N4325" s="38" t="str">
        <f aca="false">IF($A4325="","",IF($Q4325=0,"",INDEX(COA_Mapping!$E$7:$E$256,$Q4325)))</f>
        <v/>
      </c>
      <c r="O4325" s="38" t="n">
        <f aca="false">IF($A4325="",1,IF($Q4325=0,1,INDEX(COA_Mapping!$F$7:$F$256,$Q4325)))</f>
        <v>1</v>
      </c>
      <c r="P4325" s="34" t="str">
        <f aca="false">IF($A4325="","",$I4325*$O4325)</f>
        <v/>
      </c>
      <c r="Q4325" s="39" t="n">
        <f aca="false">IF($B4325="",0,IFERROR(MATCH($B4325,COA_Mapping!$A$7:$A$256,0),0))</f>
        <v>0</v>
      </c>
      <c r="R4325" s="39" t="n">
        <f aca="false">IF($A4325="",-1,IF($J4325=Setup!$B$7,1,IF($J4325=Setup!$B$9,0,-1)))</f>
        <v>-1</v>
      </c>
      <c r="S4325" s="35" t="n">
        <f aca="false">IF(OR($A4325="",$Q4325=0,$R4325=-1),0,$Q4325*1000+$R4325*100+$K4325)</f>
        <v>0</v>
      </c>
      <c r="T4325" s="37" t="str">
        <f aca="false">IF($A4325="","",IF($B4325="","NO ACCOUNT",IF($Q4325=0,"UNMAPPED",IF($R4325=-1,"OUTSIDE FY RANGE","OK"))))</f>
        <v/>
      </c>
      <c r="U4325" s="40" t="str">
        <f aca="false">IF($A4325="","",$B4325&amp;"|"&amp;TEXT($A4325,"yyyymmdd")&amp;"|"&amp;TEXT($I4325,"0.00"))</f>
        <v/>
      </c>
      <c r="V4325" s="35" t="str">
        <f aca="false">IF($A4325="","",COUNTIF($U$8:$U$5007,$U4325))</f>
        <v/>
      </c>
    </row>
    <row r="4326" customFormat="false" ht="15" hidden="false" customHeight="false" outlineLevel="0" collapsed="false">
      <c r="A4326" s="31"/>
      <c r="B4326" s="32"/>
      <c r="C4326" s="32"/>
      <c r="D4326" s="32"/>
      <c r="E4326" s="32"/>
      <c r="F4326" s="32"/>
      <c r="G4326" s="33"/>
      <c r="H4326" s="33"/>
      <c r="I4326" s="34" t="str">
        <f aca="false">IF($A4326="","",$G4326-$H4326)</f>
        <v/>
      </c>
      <c r="J4326" s="35" t="str">
        <f aca="false">IF($A4326="","",IF(Setup!$B$6=1,YEAR($A4326),YEAR($A4326)+IF(MONTH($A4326)&gt;=Setup!$B$6,1,0)))</f>
        <v/>
      </c>
      <c r="K4326" s="35" t="str">
        <f aca="false">IF($A4326="","",MOD(MONTH($A4326)-Setup!$B$6+12,12)+1)</f>
        <v/>
      </c>
      <c r="L4326" s="36" t="str">
        <f aca="false">IF($A4326="","",TEXT($A4326,"MMM-YY"))</f>
        <v/>
      </c>
      <c r="M4326" s="37" t="str">
        <f aca="false">IF($A4326="","",IF($Q4326=0,"UNMAPPED",INDEX(COA_Mapping!$C$7:$C$256,$Q4326)))</f>
        <v/>
      </c>
      <c r="N4326" s="38" t="str">
        <f aca="false">IF($A4326="","",IF($Q4326=0,"",INDEX(COA_Mapping!$E$7:$E$256,$Q4326)))</f>
        <v/>
      </c>
      <c r="O4326" s="38" t="n">
        <f aca="false">IF($A4326="",1,IF($Q4326=0,1,INDEX(COA_Mapping!$F$7:$F$256,$Q4326)))</f>
        <v>1</v>
      </c>
      <c r="P4326" s="34" t="str">
        <f aca="false">IF($A4326="","",$I4326*$O4326)</f>
        <v/>
      </c>
      <c r="Q4326" s="39" t="n">
        <f aca="false">IF($B4326="",0,IFERROR(MATCH($B4326,COA_Mapping!$A$7:$A$256,0),0))</f>
        <v>0</v>
      </c>
      <c r="R4326" s="39" t="n">
        <f aca="false">IF($A4326="",-1,IF($J4326=Setup!$B$7,1,IF($J4326=Setup!$B$9,0,-1)))</f>
        <v>-1</v>
      </c>
      <c r="S4326" s="35" t="n">
        <f aca="false">IF(OR($A4326="",$Q4326=0,$R4326=-1),0,$Q4326*1000+$R4326*100+$K4326)</f>
        <v>0</v>
      </c>
      <c r="T4326" s="37" t="str">
        <f aca="false">IF($A4326="","",IF($B4326="","NO ACCOUNT",IF($Q4326=0,"UNMAPPED",IF($R4326=-1,"OUTSIDE FY RANGE","OK"))))</f>
        <v/>
      </c>
      <c r="U4326" s="40" t="str">
        <f aca="false">IF($A4326="","",$B4326&amp;"|"&amp;TEXT($A4326,"yyyymmdd")&amp;"|"&amp;TEXT($I4326,"0.00"))</f>
        <v/>
      </c>
      <c r="V4326" s="35" t="str">
        <f aca="false">IF($A4326="","",COUNTIF($U$8:$U$5007,$U4326))</f>
        <v/>
      </c>
    </row>
    <row r="4327" customFormat="false" ht="15" hidden="false" customHeight="false" outlineLevel="0" collapsed="false">
      <c r="A4327" s="31"/>
      <c r="B4327" s="32"/>
      <c r="C4327" s="32"/>
      <c r="D4327" s="32"/>
      <c r="E4327" s="32"/>
      <c r="F4327" s="32"/>
      <c r="G4327" s="33"/>
      <c r="H4327" s="33"/>
      <c r="I4327" s="34" t="str">
        <f aca="false">IF($A4327="","",$G4327-$H4327)</f>
        <v/>
      </c>
      <c r="J4327" s="35" t="str">
        <f aca="false">IF($A4327="","",IF(Setup!$B$6=1,YEAR($A4327),YEAR($A4327)+IF(MONTH($A4327)&gt;=Setup!$B$6,1,0)))</f>
        <v/>
      </c>
      <c r="K4327" s="35" t="str">
        <f aca="false">IF($A4327="","",MOD(MONTH($A4327)-Setup!$B$6+12,12)+1)</f>
        <v/>
      </c>
      <c r="L4327" s="36" t="str">
        <f aca="false">IF($A4327="","",TEXT($A4327,"MMM-YY"))</f>
        <v/>
      </c>
      <c r="M4327" s="37" t="str">
        <f aca="false">IF($A4327="","",IF($Q4327=0,"UNMAPPED",INDEX(COA_Mapping!$C$7:$C$256,$Q4327)))</f>
        <v/>
      </c>
      <c r="N4327" s="38" t="str">
        <f aca="false">IF($A4327="","",IF($Q4327=0,"",INDEX(COA_Mapping!$E$7:$E$256,$Q4327)))</f>
        <v/>
      </c>
      <c r="O4327" s="38" t="n">
        <f aca="false">IF($A4327="",1,IF($Q4327=0,1,INDEX(COA_Mapping!$F$7:$F$256,$Q4327)))</f>
        <v>1</v>
      </c>
      <c r="P4327" s="34" t="str">
        <f aca="false">IF($A4327="","",$I4327*$O4327)</f>
        <v/>
      </c>
      <c r="Q4327" s="39" t="n">
        <f aca="false">IF($B4327="",0,IFERROR(MATCH($B4327,COA_Mapping!$A$7:$A$256,0),0))</f>
        <v>0</v>
      </c>
      <c r="R4327" s="39" t="n">
        <f aca="false">IF($A4327="",-1,IF($J4327=Setup!$B$7,1,IF($J4327=Setup!$B$9,0,-1)))</f>
        <v>-1</v>
      </c>
      <c r="S4327" s="35" t="n">
        <f aca="false">IF(OR($A4327="",$Q4327=0,$R4327=-1),0,$Q4327*1000+$R4327*100+$K4327)</f>
        <v>0</v>
      </c>
      <c r="T4327" s="37" t="str">
        <f aca="false">IF($A4327="","",IF($B4327="","NO ACCOUNT",IF($Q4327=0,"UNMAPPED",IF($R4327=-1,"OUTSIDE FY RANGE","OK"))))</f>
        <v/>
      </c>
      <c r="U4327" s="40" t="str">
        <f aca="false">IF($A4327="","",$B4327&amp;"|"&amp;TEXT($A4327,"yyyymmdd")&amp;"|"&amp;TEXT($I4327,"0.00"))</f>
        <v/>
      </c>
      <c r="V4327" s="35" t="str">
        <f aca="false">IF($A4327="","",COUNTIF($U$8:$U$5007,$U4327))</f>
        <v/>
      </c>
    </row>
    <row r="4328" customFormat="false" ht="15" hidden="false" customHeight="false" outlineLevel="0" collapsed="false">
      <c r="A4328" s="31"/>
      <c r="B4328" s="32"/>
      <c r="C4328" s="32"/>
      <c r="D4328" s="32"/>
      <c r="E4328" s="32"/>
      <c r="F4328" s="32"/>
      <c r="G4328" s="33"/>
      <c r="H4328" s="33"/>
      <c r="I4328" s="34" t="str">
        <f aca="false">IF($A4328="","",$G4328-$H4328)</f>
        <v/>
      </c>
      <c r="J4328" s="35" t="str">
        <f aca="false">IF($A4328="","",IF(Setup!$B$6=1,YEAR($A4328),YEAR($A4328)+IF(MONTH($A4328)&gt;=Setup!$B$6,1,0)))</f>
        <v/>
      </c>
      <c r="K4328" s="35" t="str">
        <f aca="false">IF($A4328="","",MOD(MONTH($A4328)-Setup!$B$6+12,12)+1)</f>
        <v/>
      </c>
      <c r="L4328" s="36" t="str">
        <f aca="false">IF($A4328="","",TEXT($A4328,"MMM-YY"))</f>
        <v/>
      </c>
      <c r="M4328" s="37" t="str">
        <f aca="false">IF($A4328="","",IF($Q4328=0,"UNMAPPED",INDEX(COA_Mapping!$C$7:$C$256,$Q4328)))</f>
        <v/>
      </c>
      <c r="N4328" s="38" t="str">
        <f aca="false">IF($A4328="","",IF($Q4328=0,"",INDEX(COA_Mapping!$E$7:$E$256,$Q4328)))</f>
        <v/>
      </c>
      <c r="O4328" s="38" t="n">
        <f aca="false">IF($A4328="",1,IF($Q4328=0,1,INDEX(COA_Mapping!$F$7:$F$256,$Q4328)))</f>
        <v>1</v>
      </c>
      <c r="P4328" s="34" t="str">
        <f aca="false">IF($A4328="","",$I4328*$O4328)</f>
        <v/>
      </c>
      <c r="Q4328" s="39" t="n">
        <f aca="false">IF($B4328="",0,IFERROR(MATCH($B4328,COA_Mapping!$A$7:$A$256,0),0))</f>
        <v>0</v>
      </c>
      <c r="R4328" s="39" t="n">
        <f aca="false">IF($A4328="",-1,IF($J4328=Setup!$B$7,1,IF($J4328=Setup!$B$9,0,-1)))</f>
        <v>-1</v>
      </c>
      <c r="S4328" s="35" t="n">
        <f aca="false">IF(OR($A4328="",$Q4328=0,$R4328=-1),0,$Q4328*1000+$R4328*100+$K4328)</f>
        <v>0</v>
      </c>
      <c r="T4328" s="37" t="str">
        <f aca="false">IF($A4328="","",IF($B4328="","NO ACCOUNT",IF($Q4328=0,"UNMAPPED",IF($R4328=-1,"OUTSIDE FY RANGE","OK"))))</f>
        <v/>
      </c>
      <c r="U4328" s="40" t="str">
        <f aca="false">IF($A4328="","",$B4328&amp;"|"&amp;TEXT($A4328,"yyyymmdd")&amp;"|"&amp;TEXT($I4328,"0.00"))</f>
        <v/>
      </c>
      <c r="V4328" s="35" t="str">
        <f aca="false">IF($A4328="","",COUNTIF($U$8:$U$5007,$U4328))</f>
        <v/>
      </c>
    </row>
    <row r="4329" customFormat="false" ht="15" hidden="false" customHeight="false" outlineLevel="0" collapsed="false">
      <c r="A4329" s="31"/>
      <c r="B4329" s="32"/>
      <c r="C4329" s="32"/>
      <c r="D4329" s="32"/>
      <c r="E4329" s="32"/>
      <c r="F4329" s="32"/>
      <c r="G4329" s="33"/>
      <c r="H4329" s="33"/>
      <c r="I4329" s="34" t="str">
        <f aca="false">IF($A4329="","",$G4329-$H4329)</f>
        <v/>
      </c>
      <c r="J4329" s="35" t="str">
        <f aca="false">IF($A4329="","",IF(Setup!$B$6=1,YEAR($A4329),YEAR($A4329)+IF(MONTH($A4329)&gt;=Setup!$B$6,1,0)))</f>
        <v/>
      </c>
      <c r="K4329" s="35" t="str">
        <f aca="false">IF($A4329="","",MOD(MONTH($A4329)-Setup!$B$6+12,12)+1)</f>
        <v/>
      </c>
      <c r="L4329" s="36" t="str">
        <f aca="false">IF($A4329="","",TEXT($A4329,"MMM-YY"))</f>
        <v/>
      </c>
      <c r="M4329" s="37" t="str">
        <f aca="false">IF($A4329="","",IF($Q4329=0,"UNMAPPED",INDEX(COA_Mapping!$C$7:$C$256,$Q4329)))</f>
        <v/>
      </c>
      <c r="N4329" s="38" t="str">
        <f aca="false">IF($A4329="","",IF($Q4329=0,"",INDEX(COA_Mapping!$E$7:$E$256,$Q4329)))</f>
        <v/>
      </c>
      <c r="O4329" s="38" t="n">
        <f aca="false">IF($A4329="",1,IF($Q4329=0,1,INDEX(COA_Mapping!$F$7:$F$256,$Q4329)))</f>
        <v>1</v>
      </c>
      <c r="P4329" s="34" t="str">
        <f aca="false">IF($A4329="","",$I4329*$O4329)</f>
        <v/>
      </c>
      <c r="Q4329" s="39" t="n">
        <f aca="false">IF($B4329="",0,IFERROR(MATCH($B4329,COA_Mapping!$A$7:$A$256,0),0))</f>
        <v>0</v>
      </c>
      <c r="R4329" s="39" t="n">
        <f aca="false">IF($A4329="",-1,IF($J4329=Setup!$B$7,1,IF($J4329=Setup!$B$9,0,-1)))</f>
        <v>-1</v>
      </c>
      <c r="S4329" s="35" t="n">
        <f aca="false">IF(OR($A4329="",$Q4329=0,$R4329=-1),0,$Q4329*1000+$R4329*100+$K4329)</f>
        <v>0</v>
      </c>
      <c r="T4329" s="37" t="str">
        <f aca="false">IF($A4329="","",IF($B4329="","NO ACCOUNT",IF($Q4329=0,"UNMAPPED",IF($R4329=-1,"OUTSIDE FY RANGE","OK"))))</f>
        <v/>
      </c>
      <c r="U4329" s="40" t="str">
        <f aca="false">IF($A4329="","",$B4329&amp;"|"&amp;TEXT($A4329,"yyyymmdd")&amp;"|"&amp;TEXT($I4329,"0.00"))</f>
        <v/>
      </c>
      <c r="V4329" s="35" t="str">
        <f aca="false">IF($A4329="","",COUNTIF($U$8:$U$5007,$U4329))</f>
        <v/>
      </c>
    </row>
    <row r="4330" customFormat="false" ht="15" hidden="false" customHeight="false" outlineLevel="0" collapsed="false">
      <c r="A4330" s="31"/>
      <c r="B4330" s="32"/>
      <c r="C4330" s="32"/>
      <c r="D4330" s="32"/>
      <c r="E4330" s="32"/>
      <c r="F4330" s="32"/>
      <c r="G4330" s="33"/>
      <c r="H4330" s="33"/>
      <c r="I4330" s="34" t="str">
        <f aca="false">IF($A4330="","",$G4330-$H4330)</f>
        <v/>
      </c>
      <c r="J4330" s="35" t="str">
        <f aca="false">IF($A4330="","",IF(Setup!$B$6=1,YEAR($A4330),YEAR($A4330)+IF(MONTH($A4330)&gt;=Setup!$B$6,1,0)))</f>
        <v/>
      </c>
      <c r="K4330" s="35" t="str">
        <f aca="false">IF($A4330="","",MOD(MONTH($A4330)-Setup!$B$6+12,12)+1)</f>
        <v/>
      </c>
      <c r="L4330" s="36" t="str">
        <f aca="false">IF($A4330="","",TEXT($A4330,"MMM-YY"))</f>
        <v/>
      </c>
      <c r="M4330" s="37" t="str">
        <f aca="false">IF($A4330="","",IF($Q4330=0,"UNMAPPED",INDEX(COA_Mapping!$C$7:$C$256,$Q4330)))</f>
        <v/>
      </c>
      <c r="N4330" s="38" t="str">
        <f aca="false">IF($A4330="","",IF($Q4330=0,"",INDEX(COA_Mapping!$E$7:$E$256,$Q4330)))</f>
        <v/>
      </c>
      <c r="O4330" s="38" t="n">
        <f aca="false">IF($A4330="",1,IF($Q4330=0,1,INDEX(COA_Mapping!$F$7:$F$256,$Q4330)))</f>
        <v>1</v>
      </c>
      <c r="P4330" s="34" t="str">
        <f aca="false">IF($A4330="","",$I4330*$O4330)</f>
        <v/>
      </c>
      <c r="Q4330" s="39" t="n">
        <f aca="false">IF($B4330="",0,IFERROR(MATCH($B4330,COA_Mapping!$A$7:$A$256,0),0))</f>
        <v>0</v>
      </c>
      <c r="R4330" s="39" t="n">
        <f aca="false">IF($A4330="",-1,IF($J4330=Setup!$B$7,1,IF($J4330=Setup!$B$9,0,-1)))</f>
        <v>-1</v>
      </c>
      <c r="S4330" s="35" t="n">
        <f aca="false">IF(OR($A4330="",$Q4330=0,$R4330=-1),0,$Q4330*1000+$R4330*100+$K4330)</f>
        <v>0</v>
      </c>
      <c r="T4330" s="37" t="str">
        <f aca="false">IF($A4330="","",IF($B4330="","NO ACCOUNT",IF($Q4330=0,"UNMAPPED",IF($R4330=-1,"OUTSIDE FY RANGE","OK"))))</f>
        <v/>
      </c>
      <c r="U4330" s="40" t="str">
        <f aca="false">IF($A4330="","",$B4330&amp;"|"&amp;TEXT($A4330,"yyyymmdd")&amp;"|"&amp;TEXT($I4330,"0.00"))</f>
        <v/>
      </c>
      <c r="V4330" s="35" t="str">
        <f aca="false">IF($A4330="","",COUNTIF($U$8:$U$5007,$U4330))</f>
        <v/>
      </c>
    </row>
    <row r="4331" customFormat="false" ht="15" hidden="false" customHeight="false" outlineLevel="0" collapsed="false">
      <c r="A4331" s="31"/>
      <c r="B4331" s="32"/>
      <c r="C4331" s="32"/>
      <c r="D4331" s="32"/>
      <c r="E4331" s="32"/>
      <c r="F4331" s="32"/>
      <c r="G4331" s="33"/>
      <c r="H4331" s="33"/>
      <c r="I4331" s="34" t="str">
        <f aca="false">IF($A4331="","",$G4331-$H4331)</f>
        <v/>
      </c>
      <c r="J4331" s="35" t="str">
        <f aca="false">IF($A4331="","",IF(Setup!$B$6=1,YEAR($A4331),YEAR($A4331)+IF(MONTH($A4331)&gt;=Setup!$B$6,1,0)))</f>
        <v/>
      </c>
      <c r="K4331" s="35" t="str">
        <f aca="false">IF($A4331="","",MOD(MONTH($A4331)-Setup!$B$6+12,12)+1)</f>
        <v/>
      </c>
      <c r="L4331" s="36" t="str">
        <f aca="false">IF($A4331="","",TEXT($A4331,"MMM-YY"))</f>
        <v/>
      </c>
      <c r="M4331" s="37" t="str">
        <f aca="false">IF($A4331="","",IF($Q4331=0,"UNMAPPED",INDEX(COA_Mapping!$C$7:$C$256,$Q4331)))</f>
        <v/>
      </c>
      <c r="N4331" s="38" t="str">
        <f aca="false">IF($A4331="","",IF($Q4331=0,"",INDEX(COA_Mapping!$E$7:$E$256,$Q4331)))</f>
        <v/>
      </c>
      <c r="O4331" s="38" t="n">
        <f aca="false">IF($A4331="",1,IF($Q4331=0,1,INDEX(COA_Mapping!$F$7:$F$256,$Q4331)))</f>
        <v>1</v>
      </c>
      <c r="P4331" s="34" t="str">
        <f aca="false">IF($A4331="","",$I4331*$O4331)</f>
        <v/>
      </c>
      <c r="Q4331" s="39" t="n">
        <f aca="false">IF($B4331="",0,IFERROR(MATCH($B4331,COA_Mapping!$A$7:$A$256,0),0))</f>
        <v>0</v>
      </c>
      <c r="R4331" s="39" t="n">
        <f aca="false">IF($A4331="",-1,IF($J4331=Setup!$B$7,1,IF($J4331=Setup!$B$9,0,-1)))</f>
        <v>-1</v>
      </c>
      <c r="S4331" s="35" t="n">
        <f aca="false">IF(OR($A4331="",$Q4331=0,$R4331=-1),0,$Q4331*1000+$R4331*100+$K4331)</f>
        <v>0</v>
      </c>
      <c r="T4331" s="37" t="str">
        <f aca="false">IF($A4331="","",IF($B4331="","NO ACCOUNT",IF($Q4331=0,"UNMAPPED",IF($R4331=-1,"OUTSIDE FY RANGE","OK"))))</f>
        <v/>
      </c>
      <c r="U4331" s="40" t="str">
        <f aca="false">IF($A4331="","",$B4331&amp;"|"&amp;TEXT($A4331,"yyyymmdd")&amp;"|"&amp;TEXT($I4331,"0.00"))</f>
        <v/>
      </c>
      <c r="V4331" s="35" t="str">
        <f aca="false">IF($A4331="","",COUNTIF($U$8:$U$5007,$U4331))</f>
        <v/>
      </c>
    </row>
    <row r="4332" customFormat="false" ht="15" hidden="false" customHeight="false" outlineLevel="0" collapsed="false">
      <c r="A4332" s="31"/>
      <c r="B4332" s="32"/>
      <c r="C4332" s="32"/>
      <c r="D4332" s="32"/>
      <c r="E4332" s="32"/>
      <c r="F4332" s="32"/>
      <c r="G4332" s="33"/>
      <c r="H4332" s="33"/>
      <c r="I4332" s="34" t="str">
        <f aca="false">IF($A4332="","",$G4332-$H4332)</f>
        <v/>
      </c>
      <c r="J4332" s="35" t="str">
        <f aca="false">IF($A4332="","",IF(Setup!$B$6=1,YEAR($A4332),YEAR($A4332)+IF(MONTH($A4332)&gt;=Setup!$B$6,1,0)))</f>
        <v/>
      </c>
      <c r="K4332" s="35" t="str">
        <f aca="false">IF($A4332="","",MOD(MONTH($A4332)-Setup!$B$6+12,12)+1)</f>
        <v/>
      </c>
      <c r="L4332" s="36" t="str">
        <f aca="false">IF($A4332="","",TEXT($A4332,"MMM-YY"))</f>
        <v/>
      </c>
      <c r="M4332" s="37" t="str">
        <f aca="false">IF($A4332="","",IF($Q4332=0,"UNMAPPED",INDEX(COA_Mapping!$C$7:$C$256,$Q4332)))</f>
        <v/>
      </c>
      <c r="N4332" s="38" t="str">
        <f aca="false">IF($A4332="","",IF($Q4332=0,"",INDEX(COA_Mapping!$E$7:$E$256,$Q4332)))</f>
        <v/>
      </c>
      <c r="O4332" s="38" t="n">
        <f aca="false">IF($A4332="",1,IF($Q4332=0,1,INDEX(COA_Mapping!$F$7:$F$256,$Q4332)))</f>
        <v>1</v>
      </c>
      <c r="P4332" s="34" t="str">
        <f aca="false">IF($A4332="","",$I4332*$O4332)</f>
        <v/>
      </c>
      <c r="Q4332" s="39" t="n">
        <f aca="false">IF($B4332="",0,IFERROR(MATCH($B4332,COA_Mapping!$A$7:$A$256,0),0))</f>
        <v>0</v>
      </c>
      <c r="R4332" s="39" t="n">
        <f aca="false">IF($A4332="",-1,IF($J4332=Setup!$B$7,1,IF($J4332=Setup!$B$9,0,-1)))</f>
        <v>-1</v>
      </c>
      <c r="S4332" s="35" t="n">
        <f aca="false">IF(OR($A4332="",$Q4332=0,$R4332=-1),0,$Q4332*1000+$R4332*100+$K4332)</f>
        <v>0</v>
      </c>
      <c r="T4332" s="37" t="str">
        <f aca="false">IF($A4332="","",IF($B4332="","NO ACCOUNT",IF($Q4332=0,"UNMAPPED",IF($R4332=-1,"OUTSIDE FY RANGE","OK"))))</f>
        <v/>
      </c>
      <c r="U4332" s="40" t="str">
        <f aca="false">IF($A4332="","",$B4332&amp;"|"&amp;TEXT($A4332,"yyyymmdd")&amp;"|"&amp;TEXT($I4332,"0.00"))</f>
        <v/>
      </c>
      <c r="V4332" s="35" t="str">
        <f aca="false">IF($A4332="","",COUNTIF($U$8:$U$5007,$U4332))</f>
        <v/>
      </c>
    </row>
    <row r="4333" customFormat="false" ht="15" hidden="false" customHeight="false" outlineLevel="0" collapsed="false">
      <c r="A4333" s="31"/>
      <c r="B4333" s="32"/>
      <c r="C4333" s="32"/>
      <c r="D4333" s="32"/>
      <c r="E4333" s="32"/>
      <c r="F4333" s="32"/>
      <c r="G4333" s="33"/>
      <c r="H4333" s="33"/>
      <c r="I4333" s="34" t="str">
        <f aca="false">IF($A4333="","",$G4333-$H4333)</f>
        <v/>
      </c>
      <c r="J4333" s="35" t="str">
        <f aca="false">IF($A4333="","",IF(Setup!$B$6=1,YEAR($A4333),YEAR($A4333)+IF(MONTH($A4333)&gt;=Setup!$B$6,1,0)))</f>
        <v/>
      </c>
      <c r="K4333" s="35" t="str">
        <f aca="false">IF($A4333="","",MOD(MONTH($A4333)-Setup!$B$6+12,12)+1)</f>
        <v/>
      </c>
      <c r="L4333" s="36" t="str">
        <f aca="false">IF($A4333="","",TEXT($A4333,"MMM-YY"))</f>
        <v/>
      </c>
      <c r="M4333" s="37" t="str">
        <f aca="false">IF($A4333="","",IF($Q4333=0,"UNMAPPED",INDEX(COA_Mapping!$C$7:$C$256,$Q4333)))</f>
        <v/>
      </c>
      <c r="N4333" s="38" t="str">
        <f aca="false">IF($A4333="","",IF($Q4333=0,"",INDEX(COA_Mapping!$E$7:$E$256,$Q4333)))</f>
        <v/>
      </c>
      <c r="O4333" s="38" t="n">
        <f aca="false">IF($A4333="",1,IF($Q4333=0,1,INDEX(COA_Mapping!$F$7:$F$256,$Q4333)))</f>
        <v>1</v>
      </c>
      <c r="P4333" s="34" t="str">
        <f aca="false">IF($A4333="","",$I4333*$O4333)</f>
        <v/>
      </c>
      <c r="Q4333" s="39" t="n">
        <f aca="false">IF($B4333="",0,IFERROR(MATCH($B4333,COA_Mapping!$A$7:$A$256,0),0))</f>
        <v>0</v>
      </c>
      <c r="R4333" s="39" t="n">
        <f aca="false">IF($A4333="",-1,IF($J4333=Setup!$B$7,1,IF($J4333=Setup!$B$9,0,-1)))</f>
        <v>-1</v>
      </c>
      <c r="S4333" s="35" t="n">
        <f aca="false">IF(OR($A4333="",$Q4333=0,$R4333=-1),0,$Q4333*1000+$R4333*100+$K4333)</f>
        <v>0</v>
      </c>
      <c r="T4333" s="37" t="str">
        <f aca="false">IF($A4333="","",IF($B4333="","NO ACCOUNT",IF($Q4333=0,"UNMAPPED",IF($R4333=-1,"OUTSIDE FY RANGE","OK"))))</f>
        <v/>
      </c>
      <c r="U4333" s="40" t="str">
        <f aca="false">IF($A4333="","",$B4333&amp;"|"&amp;TEXT($A4333,"yyyymmdd")&amp;"|"&amp;TEXT($I4333,"0.00"))</f>
        <v/>
      </c>
      <c r="V4333" s="35" t="str">
        <f aca="false">IF($A4333="","",COUNTIF($U$8:$U$5007,$U4333))</f>
        <v/>
      </c>
    </row>
    <row r="4334" customFormat="false" ht="15" hidden="false" customHeight="false" outlineLevel="0" collapsed="false">
      <c r="A4334" s="31"/>
      <c r="B4334" s="32"/>
      <c r="C4334" s="32"/>
      <c r="D4334" s="32"/>
      <c r="E4334" s="32"/>
      <c r="F4334" s="32"/>
      <c r="G4334" s="33"/>
      <c r="H4334" s="33"/>
      <c r="I4334" s="34" t="str">
        <f aca="false">IF($A4334="","",$G4334-$H4334)</f>
        <v/>
      </c>
      <c r="J4334" s="35" t="str">
        <f aca="false">IF($A4334="","",IF(Setup!$B$6=1,YEAR($A4334),YEAR($A4334)+IF(MONTH($A4334)&gt;=Setup!$B$6,1,0)))</f>
        <v/>
      </c>
      <c r="K4334" s="35" t="str">
        <f aca="false">IF($A4334="","",MOD(MONTH($A4334)-Setup!$B$6+12,12)+1)</f>
        <v/>
      </c>
      <c r="L4334" s="36" t="str">
        <f aca="false">IF($A4334="","",TEXT($A4334,"MMM-YY"))</f>
        <v/>
      </c>
      <c r="M4334" s="37" t="str">
        <f aca="false">IF($A4334="","",IF($Q4334=0,"UNMAPPED",INDEX(COA_Mapping!$C$7:$C$256,$Q4334)))</f>
        <v/>
      </c>
      <c r="N4334" s="38" t="str">
        <f aca="false">IF($A4334="","",IF($Q4334=0,"",INDEX(COA_Mapping!$E$7:$E$256,$Q4334)))</f>
        <v/>
      </c>
      <c r="O4334" s="38" t="n">
        <f aca="false">IF($A4334="",1,IF($Q4334=0,1,INDEX(COA_Mapping!$F$7:$F$256,$Q4334)))</f>
        <v>1</v>
      </c>
      <c r="P4334" s="34" t="str">
        <f aca="false">IF($A4334="","",$I4334*$O4334)</f>
        <v/>
      </c>
      <c r="Q4334" s="39" t="n">
        <f aca="false">IF($B4334="",0,IFERROR(MATCH($B4334,COA_Mapping!$A$7:$A$256,0),0))</f>
        <v>0</v>
      </c>
      <c r="R4334" s="39" t="n">
        <f aca="false">IF($A4334="",-1,IF($J4334=Setup!$B$7,1,IF($J4334=Setup!$B$9,0,-1)))</f>
        <v>-1</v>
      </c>
      <c r="S4334" s="35" t="n">
        <f aca="false">IF(OR($A4334="",$Q4334=0,$R4334=-1),0,$Q4334*1000+$R4334*100+$K4334)</f>
        <v>0</v>
      </c>
      <c r="T4334" s="37" t="str">
        <f aca="false">IF($A4334="","",IF($B4334="","NO ACCOUNT",IF($Q4334=0,"UNMAPPED",IF($R4334=-1,"OUTSIDE FY RANGE","OK"))))</f>
        <v/>
      </c>
      <c r="U4334" s="40" t="str">
        <f aca="false">IF($A4334="","",$B4334&amp;"|"&amp;TEXT($A4334,"yyyymmdd")&amp;"|"&amp;TEXT($I4334,"0.00"))</f>
        <v/>
      </c>
      <c r="V4334" s="35" t="str">
        <f aca="false">IF($A4334="","",COUNTIF($U$8:$U$5007,$U4334))</f>
        <v/>
      </c>
    </row>
    <row r="4335" customFormat="false" ht="15" hidden="false" customHeight="false" outlineLevel="0" collapsed="false">
      <c r="A4335" s="31"/>
      <c r="B4335" s="32"/>
      <c r="C4335" s="32"/>
      <c r="D4335" s="32"/>
      <c r="E4335" s="32"/>
      <c r="F4335" s="32"/>
      <c r="G4335" s="33"/>
      <c r="H4335" s="33"/>
      <c r="I4335" s="34" t="str">
        <f aca="false">IF($A4335="","",$G4335-$H4335)</f>
        <v/>
      </c>
      <c r="J4335" s="35" t="str">
        <f aca="false">IF($A4335="","",IF(Setup!$B$6=1,YEAR($A4335),YEAR($A4335)+IF(MONTH($A4335)&gt;=Setup!$B$6,1,0)))</f>
        <v/>
      </c>
      <c r="K4335" s="35" t="str">
        <f aca="false">IF($A4335="","",MOD(MONTH($A4335)-Setup!$B$6+12,12)+1)</f>
        <v/>
      </c>
      <c r="L4335" s="36" t="str">
        <f aca="false">IF($A4335="","",TEXT($A4335,"MMM-YY"))</f>
        <v/>
      </c>
      <c r="M4335" s="37" t="str">
        <f aca="false">IF($A4335="","",IF($Q4335=0,"UNMAPPED",INDEX(COA_Mapping!$C$7:$C$256,$Q4335)))</f>
        <v/>
      </c>
      <c r="N4335" s="38" t="str">
        <f aca="false">IF($A4335="","",IF($Q4335=0,"",INDEX(COA_Mapping!$E$7:$E$256,$Q4335)))</f>
        <v/>
      </c>
      <c r="O4335" s="38" t="n">
        <f aca="false">IF($A4335="",1,IF($Q4335=0,1,INDEX(COA_Mapping!$F$7:$F$256,$Q4335)))</f>
        <v>1</v>
      </c>
      <c r="P4335" s="34" t="str">
        <f aca="false">IF($A4335="","",$I4335*$O4335)</f>
        <v/>
      </c>
      <c r="Q4335" s="39" t="n">
        <f aca="false">IF($B4335="",0,IFERROR(MATCH($B4335,COA_Mapping!$A$7:$A$256,0),0))</f>
        <v>0</v>
      </c>
      <c r="R4335" s="39" t="n">
        <f aca="false">IF($A4335="",-1,IF($J4335=Setup!$B$7,1,IF($J4335=Setup!$B$9,0,-1)))</f>
        <v>-1</v>
      </c>
      <c r="S4335" s="35" t="n">
        <f aca="false">IF(OR($A4335="",$Q4335=0,$R4335=-1),0,$Q4335*1000+$R4335*100+$K4335)</f>
        <v>0</v>
      </c>
      <c r="T4335" s="37" t="str">
        <f aca="false">IF($A4335="","",IF($B4335="","NO ACCOUNT",IF($Q4335=0,"UNMAPPED",IF($R4335=-1,"OUTSIDE FY RANGE","OK"))))</f>
        <v/>
      </c>
      <c r="U4335" s="40" t="str">
        <f aca="false">IF($A4335="","",$B4335&amp;"|"&amp;TEXT($A4335,"yyyymmdd")&amp;"|"&amp;TEXT($I4335,"0.00"))</f>
        <v/>
      </c>
      <c r="V4335" s="35" t="str">
        <f aca="false">IF($A4335="","",COUNTIF($U$8:$U$5007,$U4335))</f>
        <v/>
      </c>
    </row>
    <row r="4336" customFormat="false" ht="15" hidden="false" customHeight="false" outlineLevel="0" collapsed="false">
      <c r="A4336" s="31"/>
      <c r="B4336" s="32"/>
      <c r="C4336" s="32"/>
      <c r="D4336" s="32"/>
      <c r="E4336" s="32"/>
      <c r="F4336" s="32"/>
      <c r="G4336" s="33"/>
      <c r="H4336" s="33"/>
      <c r="I4336" s="34" t="str">
        <f aca="false">IF($A4336="","",$G4336-$H4336)</f>
        <v/>
      </c>
      <c r="J4336" s="35" t="str">
        <f aca="false">IF($A4336="","",IF(Setup!$B$6=1,YEAR($A4336),YEAR($A4336)+IF(MONTH($A4336)&gt;=Setup!$B$6,1,0)))</f>
        <v/>
      </c>
      <c r="K4336" s="35" t="str">
        <f aca="false">IF($A4336="","",MOD(MONTH($A4336)-Setup!$B$6+12,12)+1)</f>
        <v/>
      </c>
      <c r="L4336" s="36" t="str">
        <f aca="false">IF($A4336="","",TEXT($A4336,"MMM-YY"))</f>
        <v/>
      </c>
      <c r="M4336" s="37" t="str">
        <f aca="false">IF($A4336="","",IF($Q4336=0,"UNMAPPED",INDEX(COA_Mapping!$C$7:$C$256,$Q4336)))</f>
        <v/>
      </c>
      <c r="N4336" s="38" t="str">
        <f aca="false">IF($A4336="","",IF($Q4336=0,"",INDEX(COA_Mapping!$E$7:$E$256,$Q4336)))</f>
        <v/>
      </c>
      <c r="O4336" s="38" t="n">
        <f aca="false">IF($A4336="",1,IF($Q4336=0,1,INDEX(COA_Mapping!$F$7:$F$256,$Q4336)))</f>
        <v>1</v>
      </c>
      <c r="P4336" s="34" t="str">
        <f aca="false">IF($A4336="","",$I4336*$O4336)</f>
        <v/>
      </c>
      <c r="Q4336" s="39" t="n">
        <f aca="false">IF($B4336="",0,IFERROR(MATCH($B4336,COA_Mapping!$A$7:$A$256,0),0))</f>
        <v>0</v>
      </c>
      <c r="R4336" s="39" t="n">
        <f aca="false">IF($A4336="",-1,IF($J4336=Setup!$B$7,1,IF($J4336=Setup!$B$9,0,-1)))</f>
        <v>-1</v>
      </c>
      <c r="S4336" s="35" t="n">
        <f aca="false">IF(OR($A4336="",$Q4336=0,$R4336=-1),0,$Q4336*1000+$R4336*100+$K4336)</f>
        <v>0</v>
      </c>
      <c r="T4336" s="37" t="str">
        <f aca="false">IF($A4336="","",IF($B4336="","NO ACCOUNT",IF($Q4336=0,"UNMAPPED",IF($R4336=-1,"OUTSIDE FY RANGE","OK"))))</f>
        <v/>
      </c>
      <c r="U4336" s="40" t="str">
        <f aca="false">IF($A4336="","",$B4336&amp;"|"&amp;TEXT($A4336,"yyyymmdd")&amp;"|"&amp;TEXT($I4336,"0.00"))</f>
        <v/>
      </c>
      <c r="V4336" s="35" t="str">
        <f aca="false">IF($A4336="","",COUNTIF($U$8:$U$5007,$U4336))</f>
        <v/>
      </c>
    </row>
    <row r="4337" customFormat="false" ht="15" hidden="false" customHeight="false" outlineLevel="0" collapsed="false">
      <c r="A4337" s="31"/>
      <c r="B4337" s="32"/>
      <c r="C4337" s="32"/>
      <c r="D4337" s="32"/>
      <c r="E4337" s="32"/>
      <c r="F4337" s="32"/>
      <c r="G4337" s="33"/>
      <c r="H4337" s="33"/>
      <c r="I4337" s="34" t="str">
        <f aca="false">IF($A4337="","",$G4337-$H4337)</f>
        <v/>
      </c>
      <c r="J4337" s="35" t="str">
        <f aca="false">IF($A4337="","",IF(Setup!$B$6=1,YEAR($A4337),YEAR($A4337)+IF(MONTH($A4337)&gt;=Setup!$B$6,1,0)))</f>
        <v/>
      </c>
      <c r="K4337" s="35" t="str">
        <f aca="false">IF($A4337="","",MOD(MONTH($A4337)-Setup!$B$6+12,12)+1)</f>
        <v/>
      </c>
      <c r="L4337" s="36" t="str">
        <f aca="false">IF($A4337="","",TEXT($A4337,"MMM-YY"))</f>
        <v/>
      </c>
      <c r="M4337" s="37" t="str">
        <f aca="false">IF($A4337="","",IF($Q4337=0,"UNMAPPED",INDEX(COA_Mapping!$C$7:$C$256,$Q4337)))</f>
        <v/>
      </c>
      <c r="N4337" s="38" t="str">
        <f aca="false">IF($A4337="","",IF($Q4337=0,"",INDEX(COA_Mapping!$E$7:$E$256,$Q4337)))</f>
        <v/>
      </c>
      <c r="O4337" s="38" t="n">
        <f aca="false">IF($A4337="",1,IF($Q4337=0,1,INDEX(COA_Mapping!$F$7:$F$256,$Q4337)))</f>
        <v>1</v>
      </c>
      <c r="P4337" s="34" t="str">
        <f aca="false">IF($A4337="","",$I4337*$O4337)</f>
        <v/>
      </c>
      <c r="Q4337" s="39" t="n">
        <f aca="false">IF($B4337="",0,IFERROR(MATCH($B4337,COA_Mapping!$A$7:$A$256,0),0))</f>
        <v>0</v>
      </c>
      <c r="R4337" s="39" t="n">
        <f aca="false">IF($A4337="",-1,IF($J4337=Setup!$B$7,1,IF($J4337=Setup!$B$9,0,-1)))</f>
        <v>-1</v>
      </c>
      <c r="S4337" s="35" t="n">
        <f aca="false">IF(OR($A4337="",$Q4337=0,$R4337=-1),0,$Q4337*1000+$R4337*100+$K4337)</f>
        <v>0</v>
      </c>
      <c r="T4337" s="37" t="str">
        <f aca="false">IF($A4337="","",IF($B4337="","NO ACCOUNT",IF($Q4337=0,"UNMAPPED",IF($R4337=-1,"OUTSIDE FY RANGE","OK"))))</f>
        <v/>
      </c>
      <c r="U4337" s="40" t="str">
        <f aca="false">IF($A4337="","",$B4337&amp;"|"&amp;TEXT($A4337,"yyyymmdd")&amp;"|"&amp;TEXT($I4337,"0.00"))</f>
        <v/>
      </c>
      <c r="V4337" s="35" t="str">
        <f aca="false">IF($A4337="","",COUNTIF($U$8:$U$5007,$U4337))</f>
        <v/>
      </c>
    </row>
    <row r="4338" customFormat="false" ht="15" hidden="false" customHeight="false" outlineLevel="0" collapsed="false">
      <c r="A4338" s="31"/>
      <c r="B4338" s="32"/>
      <c r="C4338" s="32"/>
      <c r="D4338" s="32"/>
      <c r="E4338" s="32"/>
      <c r="F4338" s="32"/>
      <c r="G4338" s="33"/>
      <c r="H4338" s="33"/>
      <c r="I4338" s="34" t="str">
        <f aca="false">IF($A4338="","",$G4338-$H4338)</f>
        <v/>
      </c>
      <c r="J4338" s="35" t="str">
        <f aca="false">IF($A4338="","",IF(Setup!$B$6=1,YEAR($A4338),YEAR($A4338)+IF(MONTH($A4338)&gt;=Setup!$B$6,1,0)))</f>
        <v/>
      </c>
      <c r="K4338" s="35" t="str">
        <f aca="false">IF($A4338="","",MOD(MONTH($A4338)-Setup!$B$6+12,12)+1)</f>
        <v/>
      </c>
      <c r="L4338" s="36" t="str">
        <f aca="false">IF($A4338="","",TEXT($A4338,"MMM-YY"))</f>
        <v/>
      </c>
      <c r="M4338" s="37" t="str">
        <f aca="false">IF($A4338="","",IF($Q4338=0,"UNMAPPED",INDEX(COA_Mapping!$C$7:$C$256,$Q4338)))</f>
        <v/>
      </c>
      <c r="N4338" s="38" t="str">
        <f aca="false">IF($A4338="","",IF($Q4338=0,"",INDEX(COA_Mapping!$E$7:$E$256,$Q4338)))</f>
        <v/>
      </c>
      <c r="O4338" s="38" t="n">
        <f aca="false">IF($A4338="",1,IF($Q4338=0,1,INDEX(COA_Mapping!$F$7:$F$256,$Q4338)))</f>
        <v>1</v>
      </c>
      <c r="P4338" s="34" t="str">
        <f aca="false">IF($A4338="","",$I4338*$O4338)</f>
        <v/>
      </c>
      <c r="Q4338" s="39" t="n">
        <f aca="false">IF($B4338="",0,IFERROR(MATCH($B4338,COA_Mapping!$A$7:$A$256,0),0))</f>
        <v>0</v>
      </c>
      <c r="R4338" s="39" t="n">
        <f aca="false">IF($A4338="",-1,IF($J4338=Setup!$B$7,1,IF($J4338=Setup!$B$9,0,-1)))</f>
        <v>-1</v>
      </c>
      <c r="S4338" s="35" t="n">
        <f aca="false">IF(OR($A4338="",$Q4338=0,$R4338=-1),0,$Q4338*1000+$R4338*100+$K4338)</f>
        <v>0</v>
      </c>
      <c r="T4338" s="37" t="str">
        <f aca="false">IF($A4338="","",IF($B4338="","NO ACCOUNT",IF($Q4338=0,"UNMAPPED",IF($R4338=-1,"OUTSIDE FY RANGE","OK"))))</f>
        <v/>
      </c>
      <c r="U4338" s="40" t="str">
        <f aca="false">IF($A4338="","",$B4338&amp;"|"&amp;TEXT($A4338,"yyyymmdd")&amp;"|"&amp;TEXT($I4338,"0.00"))</f>
        <v/>
      </c>
      <c r="V4338" s="35" t="str">
        <f aca="false">IF($A4338="","",COUNTIF($U$8:$U$5007,$U4338))</f>
        <v/>
      </c>
    </row>
    <row r="4339" customFormat="false" ht="15" hidden="false" customHeight="false" outlineLevel="0" collapsed="false">
      <c r="A4339" s="31"/>
      <c r="B4339" s="32"/>
      <c r="C4339" s="32"/>
      <c r="D4339" s="32"/>
      <c r="E4339" s="32"/>
      <c r="F4339" s="32"/>
      <c r="G4339" s="33"/>
      <c r="H4339" s="33"/>
      <c r="I4339" s="34" t="str">
        <f aca="false">IF($A4339="","",$G4339-$H4339)</f>
        <v/>
      </c>
      <c r="J4339" s="35" t="str">
        <f aca="false">IF($A4339="","",IF(Setup!$B$6=1,YEAR($A4339),YEAR($A4339)+IF(MONTH($A4339)&gt;=Setup!$B$6,1,0)))</f>
        <v/>
      </c>
      <c r="K4339" s="35" t="str">
        <f aca="false">IF($A4339="","",MOD(MONTH($A4339)-Setup!$B$6+12,12)+1)</f>
        <v/>
      </c>
      <c r="L4339" s="36" t="str">
        <f aca="false">IF($A4339="","",TEXT($A4339,"MMM-YY"))</f>
        <v/>
      </c>
      <c r="M4339" s="37" t="str">
        <f aca="false">IF($A4339="","",IF($Q4339=0,"UNMAPPED",INDEX(COA_Mapping!$C$7:$C$256,$Q4339)))</f>
        <v/>
      </c>
      <c r="N4339" s="38" t="str">
        <f aca="false">IF($A4339="","",IF($Q4339=0,"",INDEX(COA_Mapping!$E$7:$E$256,$Q4339)))</f>
        <v/>
      </c>
      <c r="O4339" s="38" t="n">
        <f aca="false">IF($A4339="",1,IF($Q4339=0,1,INDEX(COA_Mapping!$F$7:$F$256,$Q4339)))</f>
        <v>1</v>
      </c>
      <c r="P4339" s="34" t="str">
        <f aca="false">IF($A4339="","",$I4339*$O4339)</f>
        <v/>
      </c>
      <c r="Q4339" s="39" t="n">
        <f aca="false">IF($B4339="",0,IFERROR(MATCH($B4339,COA_Mapping!$A$7:$A$256,0),0))</f>
        <v>0</v>
      </c>
      <c r="R4339" s="39" t="n">
        <f aca="false">IF($A4339="",-1,IF($J4339=Setup!$B$7,1,IF($J4339=Setup!$B$9,0,-1)))</f>
        <v>-1</v>
      </c>
      <c r="S4339" s="35" t="n">
        <f aca="false">IF(OR($A4339="",$Q4339=0,$R4339=-1),0,$Q4339*1000+$R4339*100+$K4339)</f>
        <v>0</v>
      </c>
      <c r="T4339" s="37" t="str">
        <f aca="false">IF($A4339="","",IF($B4339="","NO ACCOUNT",IF($Q4339=0,"UNMAPPED",IF($R4339=-1,"OUTSIDE FY RANGE","OK"))))</f>
        <v/>
      </c>
      <c r="U4339" s="40" t="str">
        <f aca="false">IF($A4339="","",$B4339&amp;"|"&amp;TEXT($A4339,"yyyymmdd")&amp;"|"&amp;TEXT($I4339,"0.00"))</f>
        <v/>
      </c>
      <c r="V4339" s="35" t="str">
        <f aca="false">IF($A4339="","",COUNTIF($U$8:$U$5007,$U4339))</f>
        <v/>
      </c>
    </row>
    <row r="4340" customFormat="false" ht="15" hidden="false" customHeight="false" outlineLevel="0" collapsed="false">
      <c r="A4340" s="31"/>
      <c r="B4340" s="32"/>
      <c r="C4340" s="32"/>
      <c r="D4340" s="32"/>
      <c r="E4340" s="32"/>
      <c r="F4340" s="32"/>
      <c r="G4340" s="33"/>
      <c r="H4340" s="33"/>
      <c r="I4340" s="34" t="str">
        <f aca="false">IF($A4340="","",$G4340-$H4340)</f>
        <v/>
      </c>
      <c r="J4340" s="35" t="str">
        <f aca="false">IF($A4340="","",IF(Setup!$B$6=1,YEAR($A4340),YEAR($A4340)+IF(MONTH($A4340)&gt;=Setup!$B$6,1,0)))</f>
        <v/>
      </c>
      <c r="K4340" s="35" t="str">
        <f aca="false">IF($A4340="","",MOD(MONTH($A4340)-Setup!$B$6+12,12)+1)</f>
        <v/>
      </c>
      <c r="L4340" s="36" t="str">
        <f aca="false">IF($A4340="","",TEXT($A4340,"MMM-YY"))</f>
        <v/>
      </c>
      <c r="M4340" s="37" t="str">
        <f aca="false">IF($A4340="","",IF($Q4340=0,"UNMAPPED",INDEX(COA_Mapping!$C$7:$C$256,$Q4340)))</f>
        <v/>
      </c>
      <c r="N4340" s="38" t="str">
        <f aca="false">IF($A4340="","",IF($Q4340=0,"",INDEX(COA_Mapping!$E$7:$E$256,$Q4340)))</f>
        <v/>
      </c>
      <c r="O4340" s="38" t="n">
        <f aca="false">IF($A4340="",1,IF($Q4340=0,1,INDEX(COA_Mapping!$F$7:$F$256,$Q4340)))</f>
        <v>1</v>
      </c>
      <c r="P4340" s="34" t="str">
        <f aca="false">IF($A4340="","",$I4340*$O4340)</f>
        <v/>
      </c>
      <c r="Q4340" s="39" t="n">
        <f aca="false">IF($B4340="",0,IFERROR(MATCH($B4340,COA_Mapping!$A$7:$A$256,0),0))</f>
        <v>0</v>
      </c>
      <c r="R4340" s="39" t="n">
        <f aca="false">IF($A4340="",-1,IF($J4340=Setup!$B$7,1,IF($J4340=Setup!$B$9,0,-1)))</f>
        <v>-1</v>
      </c>
      <c r="S4340" s="35" t="n">
        <f aca="false">IF(OR($A4340="",$Q4340=0,$R4340=-1),0,$Q4340*1000+$R4340*100+$K4340)</f>
        <v>0</v>
      </c>
      <c r="T4340" s="37" t="str">
        <f aca="false">IF($A4340="","",IF($B4340="","NO ACCOUNT",IF($Q4340=0,"UNMAPPED",IF($R4340=-1,"OUTSIDE FY RANGE","OK"))))</f>
        <v/>
      </c>
      <c r="U4340" s="40" t="str">
        <f aca="false">IF($A4340="","",$B4340&amp;"|"&amp;TEXT($A4340,"yyyymmdd")&amp;"|"&amp;TEXT($I4340,"0.00"))</f>
        <v/>
      </c>
      <c r="V4340" s="35" t="str">
        <f aca="false">IF($A4340="","",COUNTIF($U$8:$U$5007,$U4340))</f>
        <v/>
      </c>
    </row>
    <row r="4341" customFormat="false" ht="15" hidden="false" customHeight="false" outlineLevel="0" collapsed="false">
      <c r="A4341" s="31"/>
      <c r="B4341" s="32"/>
      <c r="C4341" s="32"/>
      <c r="D4341" s="32"/>
      <c r="E4341" s="32"/>
      <c r="F4341" s="32"/>
      <c r="G4341" s="33"/>
      <c r="H4341" s="33"/>
      <c r="I4341" s="34" t="str">
        <f aca="false">IF($A4341="","",$G4341-$H4341)</f>
        <v/>
      </c>
      <c r="J4341" s="35" t="str">
        <f aca="false">IF($A4341="","",IF(Setup!$B$6=1,YEAR($A4341),YEAR($A4341)+IF(MONTH($A4341)&gt;=Setup!$B$6,1,0)))</f>
        <v/>
      </c>
      <c r="K4341" s="35" t="str">
        <f aca="false">IF($A4341="","",MOD(MONTH($A4341)-Setup!$B$6+12,12)+1)</f>
        <v/>
      </c>
      <c r="L4341" s="36" t="str">
        <f aca="false">IF($A4341="","",TEXT($A4341,"MMM-YY"))</f>
        <v/>
      </c>
      <c r="M4341" s="37" t="str">
        <f aca="false">IF($A4341="","",IF($Q4341=0,"UNMAPPED",INDEX(COA_Mapping!$C$7:$C$256,$Q4341)))</f>
        <v/>
      </c>
      <c r="N4341" s="38" t="str">
        <f aca="false">IF($A4341="","",IF($Q4341=0,"",INDEX(COA_Mapping!$E$7:$E$256,$Q4341)))</f>
        <v/>
      </c>
      <c r="O4341" s="38" t="n">
        <f aca="false">IF($A4341="",1,IF($Q4341=0,1,INDEX(COA_Mapping!$F$7:$F$256,$Q4341)))</f>
        <v>1</v>
      </c>
      <c r="P4341" s="34" t="str">
        <f aca="false">IF($A4341="","",$I4341*$O4341)</f>
        <v/>
      </c>
      <c r="Q4341" s="39" t="n">
        <f aca="false">IF($B4341="",0,IFERROR(MATCH($B4341,COA_Mapping!$A$7:$A$256,0),0))</f>
        <v>0</v>
      </c>
      <c r="R4341" s="39" t="n">
        <f aca="false">IF($A4341="",-1,IF($J4341=Setup!$B$7,1,IF($J4341=Setup!$B$9,0,-1)))</f>
        <v>-1</v>
      </c>
      <c r="S4341" s="35" t="n">
        <f aca="false">IF(OR($A4341="",$Q4341=0,$R4341=-1),0,$Q4341*1000+$R4341*100+$K4341)</f>
        <v>0</v>
      </c>
      <c r="T4341" s="37" t="str">
        <f aca="false">IF($A4341="","",IF($B4341="","NO ACCOUNT",IF($Q4341=0,"UNMAPPED",IF($R4341=-1,"OUTSIDE FY RANGE","OK"))))</f>
        <v/>
      </c>
      <c r="U4341" s="40" t="str">
        <f aca="false">IF($A4341="","",$B4341&amp;"|"&amp;TEXT($A4341,"yyyymmdd")&amp;"|"&amp;TEXT($I4341,"0.00"))</f>
        <v/>
      </c>
      <c r="V4341" s="35" t="str">
        <f aca="false">IF($A4341="","",COUNTIF($U$8:$U$5007,$U4341))</f>
        <v/>
      </c>
    </row>
    <row r="4342" customFormat="false" ht="15" hidden="false" customHeight="false" outlineLevel="0" collapsed="false">
      <c r="A4342" s="31"/>
      <c r="B4342" s="32"/>
      <c r="C4342" s="32"/>
      <c r="D4342" s="32"/>
      <c r="E4342" s="32"/>
      <c r="F4342" s="32"/>
      <c r="G4342" s="33"/>
      <c r="H4342" s="33"/>
      <c r="I4342" s="34" t="str">
        <f aca="false">IF($A4342="","",$G4342-$H4342)</f>
        <v/>
      </c>
      <c r="J4342" s="35" t="str">
        <f aca="false">IF($A4342="","",IF(Setup!$B$6=1,YEAR($A4342),YEAR($A4342)+IF(MONTH($A4342)&gt;=Setup!$B$6,1,0)))</f>
        <v/>
      </c>
      <c r="K4342" s="35" t="str">
        <f aca="false">IF($A4342="","",MOD(MONTH($A4342)-Setup!$B$6+12,12)+1)</f>
        <v/>
      </c>
      <c r="L4342" s="36" t="str">
        <f aca="false">IF($A4342="","",TEXT($A4342,"MMM-YY"))</f>
        <v/>
      </c>
      <c r="M4342" s="37" t="str">
        <f aca="false">IF($A4342="","",IF($Q4342=0,"UNMAPPED",INDEX(COA_Mapping!$C$7:$C$256,$Q4342)))</f>
        <v/>
      </c>
      <c r="N4342" s="38" t="str">
        <f aca="false">IF($A4342="","",IF($Q4342=0,"",INDEX(COA_Mapping!$E$7:$E$256,$Q4342)))</f>
        <v/>
      </c>
      <c r="O4342" s="38" t="n">
        <f aca="false">IF($A4342="",1,IF($Q4342=0,1,INDEX(COA_Mapping!$F$7:$F$256,$Q4342)))</f>
        <v>1</v>
      </c>
      <c r="P4342" s="34" t="str">
        <f aca="false">IF($A4342="","",$I4342*$O4342)</f>
        <v/>
      </c>
      <c r="Q4342" s="39" t="n">
        <f aca="false">IF($B4342="",0,IFERROR(MATCH($B4342,COA_Mapping!$A$7:$A$256,0),0))</f>
        <v>0</v>
      </c>
      <c r="R4342" s="39" t="n">
        <f aca="false">IF($A4342="",-1,IF($J4342=Setup!$B$7,1,IF($J4342=Setup!$B$9,0,-1)))</f>
        <v>-1</v>
      </c>
      <c r="S4342" s="35" t="n">
        <f aca="false">IF(OR($A4342="",$Q4342=0,$R4342=-1),0,$Q4342*1000+$R4342*100+$K4342)</f>
        <v>0</v>
      </c>
      <c r="T4342" s="37" t="str">
        <f aca="false">IF($A4342="","",IF($B4342="","NO ACCOUNT",IF($Q4342=0,"UNMAPPED",IF($R4342=-1,"OUTSIDE FY RANGE","OK"))))</f>
        <v/>
      </c>
      <c r="U4342" s="40" t="str">
        <f aca="false">IF($A4342="","",$B4342&amp;"|"&amp;TEXT($A4342,"yyyymmdd")&amp;"|"&amp;TEXT($I4342,"0.00"))</f>
        <v/>
      </c>
      <c r="V4342" s="35" t="str">
        <f aca="false">IF($A4342="","",COUNTIF($U$8:$U$5007,$U4342))</f>
        <v/>
      </c>
    </row>
    <row r="4343" customFormat="false" ht="15" hidden="false" customHeight="false" outlineLevel="0" collapsed="false">
      <c r="A4343" s="31"/>
      <c r="B4343" s="32"/>
      <c r="C4343" s="32"/>
      <c r="D4343" s="32"/>
      <c r="E4343" s="32"/>
      <c r="F4343" s="32"/>
      <c r="G4343" s="33"/>
      <c r="H4343" s="33"/>
      <c r="I4343" s="34" t="str">
        <f aca="false">IF($A4343="","",$G4343-$H4343)</f>
        <v/>
      </c>
      <c r="J4343" s="35" t="str">
        <f aca="false">IF($A4343="","",IF(Setup!$B$6=1,YEAR($A4343),YEAR($A4343)+IF(MONTH($A4343)&gt;=Setup!$B$6,1,0)))</f>
        <v/>
      </c>
      <c r="K4343" s="35" t="str">
        <f aca="false">IF($A4343="","",MOD(MONTH($A4343)-Setup!$B$6+12,12)+1)</f>
        <v/>
      </c>
      <c r="L4343" s="36" t="str">
        <f aca="false">IF($A4343="","",TEXT($A4343,"MMM-YY"))</f>
        <v/>
      </c>
      <c r="M4343" s="37" t="str">
        <f aca="false">IF($A4343="","",IF($Q4343=0,"UNMAPPED",INDEX(COA_Mapping!$C$7:$C$256,$Q4343)))</f>
        <v/>
      </c>
      <c r="N4343" s="38" t="str">
        <f aca="false">IF($A4343="","",IF($Q4343=0,"",INDEX(COA_Mapping!$E$7:$E$256,$Q4343)))</f>
        <v/>
      </c>
      <c r="O4343" s="38" t="n">
        <f aca="false">IF($A4343="",1,IF($Q4343=0,1,INDEX(COA_Mapping!$F$7:$F$256,$Q4343)))</f>
        <v>1</v>
      </c>
      <c r="P4343" s="34" t="str">
        <f aca="false">IF($A4343="","",$I4343*$O4343)</f>
        <v/>
      </c>
      <c r="Q4343" s="39" t="n">
        <f aca="false">IF($B4343="",0,IFERROR(MATCH($B4343,COA_Mapping!$A$7:$A$256,0),0))</f>
        <v>0</v>
      </c>
      <c r="R4343" s="39" t="n">
        <f aca="false">IF($A4343="",-1,IF($J4343=Setup!$B$7,1,IF($J4343=Setup!$B$9,0,-1)))</f>
        <v>-1</v>
      </c>
      <c r="S4343" s="35" t="n">
        <f aca="false">IF(OR($A4343="",$Q4343=0,$R4343=-1),0,$Q4343*1000+$R4343*100+$K4343)</f>
        <v>0</v>
      </c>
      <c r="T4343" s="37" t="str">
        <f aca="false">IF($A4343="","",IF($B4343="","NO ACCOUNT",IF($Q4343=0,"UNMAPPED",IF($R4343=-1,"OUTSIDE FY RANGE","OK"))))</f>
        <v/>
      </c>
      <c r="U4343" s="40" t="str">
        <f aca="false">IF($A4343="","",$B4343&amp;"|"&amp;TEXT($A4343,"yyyymmdd")&amp;"|"&amp;TEXT($I4343,"0.00"))</f>
        <v/>
      </c>
      <c r="V4343" s="35" t="str">
        <f aca="false">IF($A4343="","",COUNTIF($U$8:$U$5007,$U4343))</f>
        <v/>
      </c>
    </row>
    <row r="4344" customFormat="false" ht="15" hidden="false" customHeight="false" outlineLevel="0" collapsed="false">
      <c r="A4344" s="31"/>
      <c r="B4344" s="32"/>
      <c r="C4344" s="32"/>
      <c r="D4344" s="32"/>
      <c r="E4344" s="32"/>
      <c r="F4344" s="32"/>
      <c r="G4344" s="33"/>
      <c r="H4344" s="33"/>
      <c r="I4344" s="34" t="str">
        <f aca="false">IF($A4344="","",$G4344-$H4344)</f>
        <v/>
      </c>
      <c r="J4344" s="35" t="str">
        <f aca="false">IF($A4344="","",IF(Setup!$B$6=1,YEAR($A4344),YEAR($A4344)+IF(MONTH($A4344)&gt;=Setup!$B$6,1,0)))</f>
        <v/>
      </c>
      <c r="K4344" s="35" t="str">
        <f aca="false">IF($A4344="","",MOD(MONTH($A4344)-Setup!$B$6+12,12)+1)</f>
        <v/>
      </c>
      <c r="L4344" s="36" t="str">
        <f aca="false">IF($A4344="","",TEXT($A4344,"MMM-YY"))</f>
        <v/>
      </c>
      <c r="M4344" s="37" t="str">
        <f aca="false">IF($A4344="","",IF($Q4344=0,"UNMAPPED",INDEX(COA_Mapping!$C$7:$C$256,$Q4344)))</f>
        <v/>
      </c>
      <c r="N4344" s="38" t="str">
        <f aca="false">IF($A4344="","",IF($Q4344=0,"",INDEX(COA_Mapping!$E$7:$E$256,$Q4344)))</f>
        <v/>
      </c>
      <c r="O4344" s="38" t="n">
        <f aca="false">IF($A4344="",1,IF($Q4344=0,1,INDEX(COA_Mapping!$F$7:$F$256,$Q4344)))</f>
        <v>1</v>
      </c>
      <c r="P4344" s="34" t="str">
        <f aca="false">IF($A4344="","",$I4344*$O4344)</f>
        <v/>
      </c>
      <c r="Q4344" s="39" t="n">
        <f aca="false">IF($B4344="",0,IFERROR(MATCH($B4344,COA_Mapping!$A$7:$A$256,0),0))</f>
        <v>0</v>
      </c>
      <c r="R4344" s="39" t="n">
        <f aca="false">IF($A4344="",-1,IF($J4344=Setup!$B$7,1,IF($J4344=Setup!$B$9,0,-1)))</f>
        <v>-1</v>
      </c>
      <c r="S4344" s="35" t="n">
        <f aca="false">IF(OR($A4344="",$Q4344=0,$R4344=-1),0,$Q4344*1000+$R4344*100+$K4344)</f>
        <v>0</v>
      </c>
      <c r="T4344" s="37" t="str">
        <f aca="false">IF($A4344="","",IF($B4344="","NO ACCOUNT",IF($Q4344=0,"UNMAPPED",IF($R4344=-1,"OUTSIDE FY RANGE","OK"))))</f>
        <v/>
      </c>
      <c r="U4344" s="40" t="str">
        <f aca="false">IF($A4344="","",$B4344&amp;"|"&amp;TEXT($A4344,"yyyymmdd")&amp;"|"&amp;TEXT($I4344,"0.00"))</f>
        <v/>
      </c>
      <c r="V4344" s="35" t="str">
        <f aca="false">IF($A4344="","",COUNTIF($U$8:$U$5007,$U4344))</f>
        <v/>
      </c>
    </row>
    <row r="4345" customFormat="false" ht="15" hidden="false" customHeight="false" outlineLevel="0" collapsed="false">
      <c r="A4345" s="31"/>
      <c r="B4345" s="32"/>
      <c r="C4345" s="32"/>
      <c r="D4345" s="32"/>
      <c r="E4345" s="32"/>
      <c r="F4345" s="32"/>
      <c r="G4345" s="33"/>
      <c r="H4345" s="33"/>
      <c r="I4345" s="34" t="str">
        <f aca="false">IF($A4345="","",$G4345-$H4345)</f>
        <v/>
      </c>
      <c r="J4345" s="35" t="str">
        <f aca="false">IF($A4345="","",IF(Setup!$B$6=1,YEAR($A4345),YEAR($A4345)+IF(MONTH($A4345)&gt;=Setup!$B$6,1,0)))</f>
        <v/>
      </c>
      <c r="K4345" s="35" t="str">
        <f aca="false">IF($A4345="","",MOD(MONTH($A4345)-Setup!$B$6+12,12)+1)</f>
        <v/>
      </c>
      <c r="L4345" s="36" t="str">
        <f aca="false">IF($A4345="","",TEXT($A4345,"MMM-YY"))</f>
        <v/>
      </c>
      <c r="M4345" s="37" t="str">
        <f aca="false">IF($A4345="","",IF($Q4345=0,"UNMAPPED",INDEX(COA_Mapping!$C$7:$C$256,$Q4345)))</f>
        <v/>
      </c>
      <c r="N4345" s="38" t="str">
        <f aca="false">IF($A4345="","",IF($Q4345=0,"",INDEX(COA_Mapping!$E$7:$E$256,$Q4345)))</f>
        <v/>
      </c>
      <c r="O4345" s="38" t="n">
        <f aca="false">IF($A4345="",1,IF($Q4345=0,1,INDEX(COA_Mapping!$F$7:$F$256,$Q4345)))</f>
        <v>1</v>
      </c>
      <c r="P4345" s="34" t="str">
        <f aca="false">IF($A4345="","",$I4345*$O4345)</f>
        <v/>
      </c>
      <c r="Q4345" s="39" t="n">
        <f aca="false">IF($B4345="",0,IFERROR(MATCH($B4345,COA_Mapping!$A$7:$A$256,0),0))</f>
        <v>0</v>
      </c>
      <c r="R4345" s="39" t="n">
        <f aca="false">IF($A4345="",-1,IF($J4345=Setup!$B$7,1,IF($J4345=Setup!$B$9,0,-1)))</f>
        <v>-1</v>
      </c>
      <c r="S4345" s="35" t="n">
        <f aca="false">IF(OR($A4345="",$Q4345=0,$R4345=-1),0,$Q4345*1000+$R4345*100+$K4345)</f>
        <v>0</v>
      </c>
      <c r="T4345" s="37" t="str">
        <f aca="false">IF($A4345="","",IF($B4345="","NO ACCOUNT",IF($Q4345=0,"UNMAPPED",IF($R4345=-1,"OUTSIDE FY RANGE","OK"))))</f>
        <v/>
      </c>
      <c r="U4345" s="40" t="str">
        <f aca="false">IF($A4345="","",$B4345&amp;"|"&amp;TEXT($A4345,"yyyymmdd")&amp;"|"&amp;TEXT($I4345,"0.00"))</f>
        <v/>
      </c>
      <c r="V4345" s="35" t="str">
        <f aca="false">IF($A4345="","",COUNTIF($U$8:$U$5007,$U4345))</f>
        <v/>
      </c>
    </row>
    <row r="4346" customFormat="false" ht="15" hidden="false" customHeight="false" outlineLevel="0" collapsed="false">
      <c r="A4346" s="31"/>
      <c r="B4346" s="32"/>
      <c r="C4346" s="32"/>
      <c r="D4346" s="32"/>
      <c r="E4346" s="32"/>
      <c r="F4346" s="32"/>
      <c r="G4346" s="33"/>
      <c r="H4346" s="33"/>
      <c r="I4346" s="34" t="str">
        <f aca="false">IF($A4346="","",$G4346-$H4346)</f>
        <v/>
      </c>
      <c r="J4346" s="35" t="str">
        <f aca="false">IF($A4346="","",IF(Setup!$B$6=1,YEAR($A4346),YEAR($A4346)+IF(MONTH($A4346)&gt;=Setup!$B$6,1,0)))</f>
        <v/>
      </c>
      <c r="K4346" s="35" t="str">
        <f aca="false">IF($A4346="","",MOD(MONTH($A4346)-Setup!$B$6+12,12)+1)</f>
        <v/>
      </c>
      <c r="L4346" s="36" t="str">
        <f aca="false">IF($A4346="","",TEXT($A4346,"MMM-YY"))</f>
        <v/>
      </c>
      <c r="M4346" s="37" t="str">
        <f aca="false">IF($A4346="","",IF($Q4346=0,"UNMAPPED",INDEX(COA_Mapping!$C$7:$C$256,$Q4346)))</f>
        <v/>
      </c>
      <c r="N4346" s="38" t="str">
        <f aca="false">IF($A4346="","",IF($Q4346=0,"",INDEX(COA_Mapping!$E$7:$E$256,$Q4346)))</f>
        <v/>
      </c>
      <c r="O4346" s="38" t="n">
        <f aca="false">IF($A4346="",1,IF($Q4346=0,1,INDEX(COA_Mapping!$F$7:$F$256,$Q4346)))</f>
        <v>1</v>
      </c>
      <c r="P4346" s="34" t="str">
        <f aca="false">IF($A4346="","",$I4346*$O4346)</f>
        <v/>
      </c>
      <c r="Q4346" s="39" t="n">
        <f aca="false">IF($B4346="",0,IFERROR(MATCH($B4346,COA_Mapping!$A$7:$A$256,0),0))</f>
        <v>0</v>
      </c>
      <c r="R4346" s="39" t="n">
        <f aca="false">IF($A4346="",-1,IF($J4346=Setup!$B$7,1,IF($J4346=Setup!$B$9,0,-1)))</f>
        <v>-1</v>
      </c>
      <c r="S4346" s="35" t="n">
        <f aca="false">IF(OR($A4346="",$Q4346=0,$R4346=-1),0,$Q4346*1000+$R4346*100+$K4346)</f>
        <v>0</v>
      </c>
      <c r="T4346" s="37" t="str">
        <f aca="false">IF($A4346="","",IF($B4346="","NO ACCOUNT",IF($Q4346=0,"UNMAPPED",IF($R4346=-1,"OUTSIDE FY RANGE","OK"))))</f>
        <v/>
      </c>
      <c r="U4346" s="40" t="str">
        <f aca="false">IF($A4346="","",$B4346&amp;"|"&amp;TEXT($A4346,"yyyymmdd")&amp;"|"&amp;TEXT($I4346,"0.00"))</f>
        <v/>
      </c>
      <c r="V4346" s="35" t="str">
        <f aca="false">IF($A4346="","",COUNTIF($U$8:$U$5007,$U4346))</f>
        <v/>
      </c>
    </row>
    <row r="4347" customFormat="false" ht="15" hidden="false" customHeight="false" outlineLevel="0" collapsed="false">
      <c r="A4347" s="31"/>
      <c r="B4347" s="32"/>
      <c r="C4347" s="32"/>
      <c r="D4347" s="32"/>
      <c r="E4347" s="32"/>
      <c r="F4347" s="32"/>
      <c r="G4347" s="33"/>
      <c r="H4347" s="33"/>
      <c r="I4347" s="34" t="str">
        <f aca="false">IF($A4347="","",$G4347-$H4347)</f>
        <v/>
      </c>
      <c r="J4347" s="35" t="str">
        <f aca="false">IF($A4347="","",IF(Setup!$B$6=1,YEAR($A4347),YEAR($A4347)+IF(MONTH($A4347)&gt;=Setup!$B$6,1,0)))</f>
        <v/>
      </c>
      <c r="K4347" s="35" t="str">
        <f aca="false">IF($A4347="","",MOD(MONTH($A4347)-Setup!$B$6+12,12)+1)</f>
        <v/>
      </c>
      <c r="L4347" s="36" t="str">
        <f aca="false">IF($A4347="","",TEXT($A4347,"MMM-YY"))</f>
        <v/>
      </c>
      <c r="M4347" s="37" t="str">
        <f aca="false">IF($A4347="","",IF($Q4347=0,"UNMAPPED",INDEX(COA_Mapping!$C$7:$C$256,$Q4347)))</f>
        <v/>
      </c>
      <c r="N4347" s="38" t="str">
        <f aca="false">IF($A4347="","",IF($Q4347=0,"",INDEX(COA_Mapping!$E$7:$E$256,$Q4347)))</f>
        <v/>
      </c>
      <c r="O4347" s="38" t="n">
        <f aca="false">IF($A4347="",1,IF($Q4347=0,1,INDEX(COA_Mapping!$F$7:$F$256,$Q4347)))</f>
        <v>1</v>
      </c>
      <c r="P4347" s="34" t="str">
        <f aca="false">IF($A4347="","",$I4347*$O4347)</f>
        <v/>
      </c>
      <c r="Q4347" s="39" t="n">
        <f aca="false">IF($B4347="",0,IFERROR(MATCH($B4347,COA_Mapping!$A$7:$A$256,0),0))</f>
        <v>0</v>
      </c>
      <c r="R4347" s="39" t="n">
        <f aca="false">IF($A4347="",-1,IF($J4347=Setup!$B$7,1,IF($J4347=Setup!$B$9,0,-1)))</f>
        <v>-1</v>
      </c>
      <c r="S4347" s="35" t="n">
        <f aca="false">IF(OR($A4347="",$Q4347=0,$R4347=-1),0,$Q4347*1000+$R4347*100+$K4347)</f>
        <v>0</v>
      </c>
      <c r="T4347" s="37" t="str">
        <f aca="false">IF($A4347="","",IF($B4347="","NO ACCOUNT",IF($Q4347=0,"UNMAPPED",IF($R4347=-1,"OUTSIDE FY RANGE","OK"))))</f>
        <v/>
      </c>
      <c r="U4347" s="40" t="str">
        <f aca="false">IF($A4347="","",$B4347&amp;"|"&amp;TEXT($A4347,"yyyymmdd")&amp;"|"&amp;TEXT($I4347,"0.00"))</f>
        <v/>
      </c>
      <c r="V4347" s="35" t="str">
        <f aca="false">IF($A4347="","",COUNTIF($U$8:$U$5007,$U4347))</f>
        <v/>
      </c>
    </row>
    <row r="4348" customFormat="false" ht="15" hidden="false" customHeight="false" outlineLevel="0" collapsed="false">
      <c r="A4348" s="31"/>
      <c r="B4348" s="32"/>
      <c r="C4348" s="32"/>
      <c r="D4348" s="32"/>
      <c r="E4348" s="32"/>
      <c r="F4348" s="32"/>
      <c r="G4348" s="33"/>
      <c r="H4348" s="33"/>
      <c r="I4348" s="34" t="str">
        <f aca="false">IF($A4348="","",$G4348-$H4348)</f>
        <v/>
      </c>
      <c r="J4348" s="35" t="str">
        <f aca="false">IF($A4348="","",IF(Setup!$B$6=1,YEAR($A4348),YEAR($A4348)+IF(MONTH($A4348)&gt;=Setup!$B$6,1,0)))</f>
        <v/>
      </c>
      <c r="K4348" s="35" t="str">
        <f aca="false">IF($A4348="","",MOD(MONTH($A4348)-Setup!$B$6+12,12)+1)</f>
        <v/>
      </c>
      <c r="L4348" s="36" t="str">
        <f aca="false">IF($A4348="","",TEXT($A4348,"MMM-YY"))</f>
        <v/>
      </c>
      <c r="M4348" s="37" t="str">
        <f aca="false">IF($A4348="","",IF($Q4348=0,"UNMAPPED",INDEX(COA_Mapping!$C$7:$C$256,$Q4348)))</f>
        <v/>
      </c>
      <c r="N4348" s="38" t="str">
        <f aca="false">IF($A4348="","",IF($Q4348=0,"",INDEX(COA_Mapping!$E$7:$E$256,$Q4348)))</f>
        <v/>
      </c>
      <c r="O4348" s="38" t="n">
        <f aca="false">IF($A4348="",1,IF($Q4348=0,1,INDEX(COA_Mapping!$F$7:$F$256,$Q4348)))</f>
        <v>1</v>
      </c>
      <c r="P4348" s="34" t="str">
        <f aca="false">IF($A4348="","",$I4348*$O4348)</f>
        <v/>
      </c>
      <c r="Q4348" s="39" t="n">
        <f aca="false">IF($B4348="",0,IFERROR(MATCH($B4348,COA_Mapping!$A$7:$A$256,0),0))</f>
        <v>0</v>
      </c>
      <c r="R4348" s="39" t="n">
        <f aca="false">IF($A4348="",-1,IF($J4348=Setup!$B$7,1,IF($J4348=Setup!$B$9,0,-1)))</f>
        <v>-1</v>
      </c>
      <c r="S4348" s="35" t="n">
        <f aca="false">IF(OR($A4348="",$Q4348=0,$R4348=-1),0,$Q4348*1000+$R4348*100+$K4348)</f>
        <v>0</v>
      </c>
      <c r="T4348" s="37" t="str">
        <f aca="false">IF($A4348="","",IF($B4348="","NO ACCOUNT",IF($Q4348=0,"UNMAPPED",IF($R4348=-1,"OUTSIDE FY RANGE","OK"))))</f>
        <v/>
      </c>
      <c r="U4348" s="40" t="str">
        <f aca="false">IF($A4348="","",$B4348&amp;"|"&amp;TEXT($A4348,"yyyymmdd")&amp;"|"&amp;TEXT($I4348,"0.00"))</f>
        <v/>
      </c>
      <c r="V4348" s="35" t="str">
        <f aca="false">IF($A4348="","",COUNTIF($U$8:$U$5007,$U4348))</f>
        <v/>
      </c>
    </row>
    <row r="4349" customFormat="false" ht="15" hidden="false" customHeight="false" outlineLevel="0" collapsed="false">
      <c r="A4349" s="31"/>
      <c r="B4349" s="32"/>
      <c r="C4349" s="32"/>
      <c r="D4349" s="32"/>
      <c r="E4349" s="32"/>
      <c r="F4349" s="32"/>
      <c r="G4349" s="33"/>
      <c r="H4349" s="33"/>
      <c r="I4349" s="34" t="str">
        <f aca="false">IF($A4349="","",$G4349-$H4349)</f>
        <v/>
      </c>
      <c r="J4349" s="35" t="str">
        <f aca="false">IF($A4349="","",IF(Setup!$B$6=1,YEAR($A4349),YEAR($A4349)+IF(MONTH($A4349)&gt;=Setup!$B$6,1,0)))</f>
        <v/>
      </c>
      <c r="K4349" s="35" t="str">
        <f aca="false">IF($A4349="","",MOD(MONTH($A4349)-Setup!$B$6+12,12)+1)</f>
        <v/>
      </c>
      <c r="L4349" s="36" t="str">
        <f aca="false">IF($A4349="","",TEXT($A4349,"MMM-YY"))</f>
        <v/>
      </c>
      <c r="M4349" s="37" t="str">
        <f aca="false">IF($A4349="","",IF($Q4349=0,"UNMAPPED",INDEX(COA_Mapping!$C$7:$C$256,$Q4349)))</f>
        <v/>
      </c>
      <c r="N4349" s="38" t="str">
        <f aca="false">IF($A4349="","",IF($Q4349=0,"",INDEX(COA_Mapping!$E$7:$E$256,$Q4349)))</f>
        <v/>
      </c>
      <c r="O4349" s="38" t="n">
        <f aca="false">IF($A4349="",1,IF($Q4349=0,1,INDEX(COA_Mapping!$F$7:$F$256,$Q4349)))</f>
        <v>1</v>
      </c>
      <c r="P4349" s="34" t="str">
        <f aca="false">IF($A4349="","",$I4349*$O4349)</f>
        <v/>
      </c>
      <c r="Q4349" s="39" t="n">
        <f aca="false">IF($B4349="",0,IFERROR(MATCH($B4349,COA_Mapping!$A$7:$A$256,0),0))</f>
        <v>0</v>
      </c>
      <c r="R4349" s="39" t="n">
        <f aca="false">IF($A4349="",-1,IF($J4349=Setup!$B$7,1,IF($J4349=Setup!$B$9,0,-1)))</f>
        <v>-1</v>
      </c>
      <c r="S4349" s="35" t="n">
        <f aca="false">IF(OR($A4349="",$Q4349=0,$R4349=-1),0,$Q4349*1000+$R4349*100+$K4349)</f>
        <v>0</v>
      </c>
      <c r="T4349" s="37" t="str">
        <f aca="false">IF($A4349="","",IF($B4349="","NO ACCOUNT",IF($Q4349=0,"UNMAPPED",IF($R4349=-1,"OUTSIDE FY RANGE","OK"))))</f>
        <v/>
      </c>
      <c r="U4349" s="40" t="str">
        <f aca="false">IF($A4349="","",$B4349&amp;"|"&amp;TEXT($A4349,"yyyymmdd")&amp;"|"&amp;TEXT($I4349,"0.00"))</f>
        <v/>
      </c>
      <c r="V4349" s="35" t="str">
        <f aca="false">IF($A4349="","",COUNTIF($U$8:$U$5007,$U4349))</f>
        <v/>
      </c>
    </row>
    <row r="4350" customFormat="false" ht="15" hidden="false" customHeight="false" outlineLevel="0" collapsed="false">
      <c r="A4350" s="31"/>
      <c r="B4350" s="32"/>
      <c r="C4350" s="32"/>
      <c r="D4350" s="32"/>
      <c r="E4350" s="32"/>
      <c r="F4350" s="32"/>
      <c r="G4350" s="33"/>
      <c r="H4350" s="33"/>
      <c r="I4350" s="34" t="str">
        <f aca="false">IF($A4350="","",$G4350-$H4350)</f>
        <v/>
      </c>
      <c r="J4350" s="35" t="str">
        <f aca="false">IF($A4350="","",IF(Setup!$B$6=1,YEAR($A4350),YEAR($A4350)+IF(MONTH($A4350)&gt;=Setup!$B$6,1,0)))</f>
        <v/>
      </c>
      <c r="K4350" s="35" t="str">
        <f aca="false">IF($A4350="","",MOD(MONTH($A4350)-Setup!$B$6+12,12)+1)</f>
        <v/>
      </c>
      <c r="L4350" s="36" t="str">
        <f aca="false">IF($A4350="","",TEXT($A4350,"MMM-YY"))</f>
        <v/>
      </c>
      <c r="M4350" s="37" t="str">
        <f aca="false">IF($A4350="","",IF($Q4350=0,"UNMAPPED",INDEX(COA_Mapping!$C$7:$C$256,$Q4350)))</f>
        <v/>
      </c>
      <c r="N4350" s="38" t="str">
        <f aca="false">IF($A4350="","",IF($Q4350=0,"",INDEX(COA_Mapping!$E$7:$E$256,$Q4350)))</f>
        <v/>
      </c>
      <c r="O4350" s="38" t="n">
        <f aca="false">IF($A4350="",1,IF($Q4350=0,1,INDEX(COA_Mapping!$F$7:$F$256,$Q4350)))</f>
        <v>1</v>
      </c>
      <c r="P4350" s="34" t="str">
        <f aca="false">IF($A4350="","",$I4350*$O4350)</f>
        <v/>
      </c>
      <c r="Q4350" s="39" t="n">
        <f aca="false">IF($B4350="",0,IFERROR(MATCH($B4350,COA_Mapping!$A$7:$A$256,0),0))</f>
        <v>0</v>
      </c>
      <c r="R4350" s="39" t="n">
        <f aca="false">IF($A4350="",-1,IF($J4350=Setup!$B$7,1,IF($J4350=Setup!$B$9,0,-1)))</f>
        <v>-1</v>
      </c>
      <c r="S4350" s="35" t="n">
        <f aca="false">IF(OR($A4350="",$Q4350=0,$R4350=-1),0,$Q4350*1000+$R4350*100+$K4350)</f>
        <v>0</v>
      </c>
      <c r="T4350" s="37" t="str">
        <f aca="false">IF($A4350="","",IF($B4350="","NO ACCOUNT",IF($Q4350=0,"UNMAPPED",IF($R4350=-1,"OUTSIDE FY RANGE","OK"))))</f>
        <v/>
      </c>
      <c r="U4350" s="40" t="str">
        <f aca="false">IF($A4350="","",$B4350&amp;"|"&amp;TEXT($A4350,"yyyymmdd")&amp;"|"&amp;TEXT($I4350,"0.00"))</f>
        <v/>
      </c>
      <c r="V4350" s="35" t="str">
        <f aca="false">IF($A4350="","",COUNTIF($U$8:$U$5007,$U4350))</f>
        <v/>
      </c>
    </row>
    <row r="4351" customFormat="false" ht="15" hidden="false" customHeight="false" outlineLevel="0" collapsed="false">
      <c r="A4351" s="31"/>
      <c r="B4351" s="32"/>
      <c r="C4351" s="32"/>
      <c r="D4351" s="32"/>
      <c r="E4351" s="32"/>
      <c r="F4351" s="32"/>
      <c r="G4351" s="33"/>
      <c r="H4351" s="33"/>
      <c r="I4351" s="34" t="str">
        <f aca="false">IF($A4351="","",$G4351-$H4351)</f>
        <v/>
      </c>
      <c r="J4351" s="35" t="str">
        <f aca="false">IF($A4351="","",IF(Setup!$B$6=1,YEAR($A4351),YEAR($A4351)+IF(MONTH($A4351)&gt;=Setup!$B$6,1,0)))</f>
        <v/>
      </c>
      <c r="K4351" s="35" t="str">
        <f aca="false">IF($A4351="","",MOD(MONTH($A4351)-Setup!$B$6+12,12)+1)</f>
        <v/>
      </c>
      <c r="L4351" s="36" t="str">
        <f aca="false">IF($A4351="","",TEXT($A4351,"MMM-YY"))</f>
        <v/>
      </c>
      <c r="M4351" s="37" t="str">
        <f aca="false">IF($A4351="","",IF($Q4351=0,"UNMAPPED",INDEX(COA_Mapping!$C$7:$C$256,$Q4351)))</f>
        <v/>
      </c>
      <c r="N4351" s="38" t="str">
        <f aca="false">IF($A4351="","",IF($Q4351=0,"",INDEX(COA_Mapping!$E$7:$E$256,$Q4351)))</f>
        <v/>
      </c>
      <c r="O4351" s="38" t="n">
        <f aca="false">IF($A4351="",1,IF($Q4351=0,1,INDEX(COA_Mapping!$F$7:$F$256,$Q4351)))</f>
        <v>1</v>
      </c>
      <c r="P4351" s="34" t="str">
        <f aca="false">IF($A4351="","",$I4351*$O4351)</f>
        <v/>
      </c>
      <c r="Q4351" s="39" t="n">
        <f aca="false">IF($B4351="",0,IFERROR(MATCH($B4351,COA_Mapping!$A$7:$A$256,0),0))</f>
        <v>0</v>
      </c>
      <c r="R4351" s="39" t="n">
        <f aca="false">IF($A4351="",-1,IF($J4351=Setup!$B$7,1,IF($J4351=Setup!$B$9,0,-1)))</f>
        <v>-1</v>
      </c>
      <c r="S4351" s="35" t="n">
        <f aca="false">IF(OR($A4351="",$Q4351=0,$R4351=-1),0,$Q4351*1000+$R4351*100+$K4351)</f>
        <v>0</v>
      </c>
      <c r="T4351" s="37" t="str">
        <f aca="false">IF($A4351="","",IF($B4351="","NO ACCOUNT",IF($Q4351=0,"UNMAPPED",IF($R4351=-1,"OUTSIDE FY RANGE","OK"))))</f>
        <v/>
      </c>
      <c r="U4351" s="40" t="str">
        <f aca="false">IF($A4351="","",$B4351&amp;"|"&amp;TEXT($A4351,"yyyymmdd")&amp;"|"&amp;TEXT($I4351,"0.00"))</f>
        <v/>
      </c>
      <c r="V4351" s="35" t="str">
        <f aca="false">IF($A4351="","",COUNTIF($U$8:$U$5007,$U4351))</f>
        <v/>
      </c>
    </row>
    <row r="4352" customFormat="false" ht="15" hidden="false" customHeight="false" outlineLevel="0" collapsed="false">
      <c r="A4352" s="31"/>
      <c r="B4352" s="32"/>
      <c r="C4352" s="32"/>
      <c r="D4352" s="32"/>
      <c r="E4352" s="32"/>
      <c r="F4352" s="32"/>
      <c r="G4352" s="33"/>
      <c r="H4352" s="33"/>
      <c r="I4352" s="34" t="str">
        <f aca="false">IF($A4352="","",$G4352-$H4352)</f>
        <v/>
      </c>
      <c r="J4352" s="35" t="str">
        <f aca="false">IF($A4352="","",IF(Setup!$B$6=1,YEAR($A4352),YEAR($A4352)+IF(MONTH($A4352)&gt;=Setup!$B$6,1,0)))</f>
        <v/>
      </c>
      <c r="K4352" s="35" t="str">
        <f aca="false">IF($A4352="","",MOD(MONTH($A4352)-Setup!$B$6+12,12)+1)</f>
        <v/>
      </c>
      <c r="L4352" s="36" t="str">
        <f aca="false">IF($A4352="","",TEXT($A4352,"MMM-YY"))</f>
        <v/>
      </c>
      <c r="M4352" s="37" t="str">
        <f aca="false">IF($A4352="","",IF($Q4352=0,"UNMAPPED",INDEX(COA_Mapping!$C$7:$C$256,$Q4352)))</f>
        <v/>
      </c>
      <c r="N4352" s="38" t="str">
        <f aca="false">IF($A4352="","",IF($Q4352=0,"",INDEX(COA_Mapping!$E$7:$E$256,$Q4352)))</f>
        <v/>
      </c>
      <c r="O4352" s="38" t="n">
        <f aca="false">IF($A4352="",1,IF($Q4352=0,1,INDEX(COA_Mapping!$F$7:$F$256,$Q4352)))</f>
        <v>1</v>
      </c>
      <c r="P4352" s="34" t="str">
        <f aca="false">IF($A4352="","",$I4352*$O4352)</f>
        <v/>
      </c>
      <c r="Q4352" s="39" t="n">
        <f aca="false">IF($B4352="",0,IFERROR(MATCH($B4352,COA_Mapping!$A$7:$A$256,0),0))</f>
        <v>0</v>
      </c>
      <c r="R4352" s="39" t="n">
        <f aca="false">IF($A4352="",-1,IF($J4352=Setup!$B$7,1,IF($J4352=Setup!$B$9,0,-1)))</f>
        <v>-1</v>
      </c>
      <c r="S4352" s="35" t="n">
        <f aca="false">IF(OR($A4352="",$Q4352=0,$R4352=-1),0,$Q4352*1000+$R4352*100+$K4352)</f>
        <v>0</v>
      </c>
      <c r="T4352" s="37" t="str">
        <f aca="false">IF($A4352="","",IF($B4352="","NO ACCOUNT",IF($Q4352=0,"UNMAPPED",IF($R4352=-1,"OUTSIDE FY RANGE","OK"))))</f>
        <v/>
      </c>
      <c r="U4352" s="40" t="str">
        <f aca="false">IF($A4352="","",$B4352&amp;"|"&amp;TEXT($A4352,"yyyymmdd")&amp;"|"&amp;TEXT($I4352,"0.00"))</f>
        <v/>
      </c>
      <c r="V4352" s="35" t="str">
        <f aca="false">IF($A4352="","",COUNTIF($U$8:$U$5007,$U4352))</f>
        <v/>
      </c>
    </row>
    <row r="4353" customFormat="false" ht="15" hidden="false" customHeight="false" outlineLevel="0" collapsed="false">
      <c r="A4353" s="31"/>
      <c r="B4353" s="32"/>
      <c r="C4353" s="32"/>
      <c r="D4353" s="32"/>
      <c r="E4353" s="32"/>
      <c r="F4353" s="32"/>
      <c r="G4353" s="33"/>
      <c r="H4353" s="33"/>
      <c r="I4353" s="34" t="str">
        <f aca="false">IF($A4353="","",$G4353-$H4353)</f>
        <v/>
      </c>
      <c r="J4353" s="35" t="str">
        <f aca="false">IF($A4353="","",IF(Setup!$B$6=1,YEAR($A4353),YEAR($A4353)+IF(MONTH($A4353)&gt;=Setup!$B$6,1,0)))</f>
        <v/>
      </c>
      <c r="K4353" s="35" t="str">
        <f aca="false">IF($A4353="","",MOD(MONTH($A4353)-Setup!$B$6+12,12)+1)</f>
        <v/>
      </c>
      <c r="L4353" s="36" t="str">
        <f aca="false">IF($A4353="","",TEXT($A4353,"MMM-YY"))</f>
        <v/>
      </c>
      <c r="M4353" s="37" t="str">
        <f aca="false">IF($A4353="","",IF($Q4353=0,"UNMAPPED",INDEX(COA_Mapping!$C$7:$C$256,$Q4353)))</f>
        <v/>
      </c>
      <c r="N4353" s="38" t="str">
        <f aca="false">IF($A4353="","",IF($Q4353=0,"",INDEX(COA_Mapping!$E$7:$E$256,$Q4353)))</f>
        <v/>
      </c>
      <c r="O4353" s="38" t="n">
        <f aca="false">IF($A4353="",1,IF($Q4353=0,1,INDEX(COA_Mapping!$F$7:$F$256,$Q4353)))</f>
        <v>1</v>
      </c>
      <c r="P4353" s="34" t="str">
        <f aca="false">IF($A4353="","",$I4353*$O4353)</f>
        <v/>
      </c>
      <c r="Q4353" s="39" t="n">
        <f aca="false">IF($B4353="",0,IFERROR(MATCH($B4353,COA_Mapping!$A$7:$A$256,0),0))</f>
        <v>0</v>
      </c>
      <c r="R4353" s="39" t="n">
        <f aca="false">IF($A4353="",-1,IF($J4353=Setup!$B$7,1,IF($J4353=Setup!$B$9,0,-1)))</f>
        <v>-1</v>
      </c>
      <c r="S4353" s="35" t="n">
        <f aca="false">IF(OR($A4353="",$Q4353=0,$R4353=-1),0,$Q4353*1000+$R4353*100+$K4353)</f>
        <v>0</v>
      </c>
      <c r="T4353" s="37" t="str">
        <f aca="false">IF($A4353="","",IF($B4353="","NO ACCOUNT",IF($Q4353=0,"UNMAPPED",IF($R4353=-1,"OUTSIDE FY RANGE","OK"))))</f>
        <v/>
      </c>
      <c r="U4353" s="40" t="str">
        <f aca="false">IF($A4353="","",$B4353&amp;"|"&amp;TEXT($A4353,"yyyymmdd")&amp;"|"&amp;TEXT($I4353,"0.00"))</f>
        <v/>
      </c>
      <c r="V4353" s="35" t="str">
        <f aca="false">IF($A4353="","",COUNTIF($U$8:$U$5007,$U4353))</f>
        <v/>
      </c>
    </row>
    <row r="4354" customFormat="false" ht="15" hidden="false" customHeight="false" outlineLevel="0" collapsed="false">
      <c r="A4354" s="31"/>
      <c r="B4354" s="32"/>
      <c r="C4354" s="32"/>
      <c r="D4354" s="32"/>
      <c r="E4354" s="32"/>
      <c r="F4354" s="32"/>
      <c r="G4354" s="33"/>
      <c r="H4354" s="33"/>
      <c r="I4354" s="34" t="str">
        <f aca="false">IF($A4354="","",$G4354-$H4354)</f>
        <v/>
      </c>
      <c r="J4354" s="35" t="str">
        <f aca="false">IF($A4354="","",IF(Setup!$B$6=1,YEAR($A4354),YEAR($A4354)+IF(MONTH($A4354)&gt;=Setup!$B$6,1,0)))</f>
        <v/>
      </c>
      <c r="K4354" s="35" t="str">
        <f aca="false">IF($A4354="","",MOD(MONTH($A4354)-Setup!$B$6+12,12)+1)</f>
        <v/>
      </c>
      <c r="L4354" s="36" t="str">
        <f aca="false">IF($A4354="","",TEXT($A4354,"MMM-YY"))</f>
        <v/>
      </c>
      <c r="M4354" s="37" t="str">
        <f aca="false">IF($A4354="","",IF($Q4354=0,"UNMAPPED",INDEX(COA_Mapping!$C$7:$C$256,$Q4354)))</f>
        <v/>
      </c>
      <c r="N4354" s="38" t="str">
        <f aca="false">IF($A4354="","",IF($Q4354=0,"",INDEX(COA_Mapping!$E$7:$E$256,$Q4354)))</f>
        <v/>
      </c>
      <c r="O4354" s="38" t="n">
        <f aca="false">IF($A4354="",1,IF($Q4354=0,1,INDEX(COA_Mapping!$F$7:$F$256,$Q4354)))</f>
        <v>1</v>
      </c>
      <c r="P4354" s="34" t="str">
        <f aca="false">IF($A4354="","",$I4354*$O4354)</f>
        <v/>
      </c>
      <c r="Q4354" s="39" t="n">
        <f aca="false">IF($B4354="",0,IFERROR(MATCH($B4354,COA_Mapping!$A$7:$A$256,0),0))</f>
        <v>0</v>
      </c>
      <c r="R4354" s="39" t="n">
        <f aca="false">IF($A4354="",-1,IF($J4354=Setup!$B$7,1,IF($J4354=Setup!$B$9,0,-1)))</f>
        <v>-1</v>
      </c>
      <c r="S4354" s="35" t="n">
        <f aca="false">IF(OR($A4354="",$Q4354=0,$R4354=-1),0,$Q4354*1000+$R4354*100+$K4354)</f>
        <v>0</v>
      </c>
      <c r="T4354" s="37" t="str">
        <f aca="false">IF($A4354="","",IF($B4354="","NO ACCOUNT",IF($Q4354=0,"UNMAPPED",IF($R4354=-1,"OUTSIDE FY RANGE","OK"))))</f>
        <v/>
      </c>
      <c r="U4354" s="40" t="str">
        <f aca="false">IF($A4354="","",$B4354&amp;"|"&amp;TEXT($A4354,"yyyymmdd")&amp;"|"&amp;TEXT($I4354,"0.00"))</f>
        <v/>
      </c>
      <c r="V4354" s="35" t="str">
        <f aca="false">IF($A4354="","",COUNTIF($U$8:$U$5007,$U4354))</f>
        <v/>
      </c>
    </row>
    <row r="4355" customFormat="false" ht="15" hidden="false" customHeight="false" outlineLevel="0" collapsed="false">
      <c r="A4355" s="31"/>
      <c r="B4355" s="32"/>
      <c r="C4355" s="32"/>
      <c r="D4355" s="32"/>
      <c r="E4355" s="32"/>
      <c r="F4355" s="32"/>
      <c r="G4355" s="33"/>
      <c r="H4355" s="33"/>
      <c r="I4355" s="34" t="str">
        <f aca="false">IF($A4355="","",$G4355-$H4355)</f>
        <v/>
      </c>
      <c r="J4355" s="35" t="str">
        <f aca="false">IF($A4355="","",IF(Setup!$B$6=1,YEAR($A4355),YEAR($A4355)+IF(MONTH($A4355)&gt;=Setup!$B$6,1,0)))</f>
        <v/>
      </c>
      <c r="K4355" s="35" t="str">
        <f aca="false">IF($A4355="","",MOD(MONTH($A4355)-Setup!$B$6+12,12)+1)</f>
        <v/>
      </c>
      <c r="L4355" s="36" t="str">
        <f aca="false">IF($A4355="","",TEXT($A4355,"MMM-YY"))</f>
        <v/>
      </c>
      <c r="M4355" s="37" t="str">
        <f aca="false">IF($A4355="","",IF($Q4355=0,"UNMAPPED",INDEX(COA_Mapping!$C$7:$C$256,$Q4355)))</f>
        <v/>
      </c>
      <c r="N4355" s="38" t="str">
        <f aca="false">IF($A4355="","",IF($Q4355=0,"",INDEX(COA_Mapping!$E$7:$E$256,$Q4355)))</f>
        <v/>
      </c>
      <c r="O4355" s="38" t="n">
        <f aca="false">IF($A4355="",1,IF($Q4355=0,1,INDEX(COA_Mapping!$F$7:$F$256,$Q4355)))</f>
        <v>1</v>
      </c>
      <c r="P4355" s="34" t="str">
        <f aca="false">IF($A4355="","",$I4355*$O4355)</f>
        <v/>
      </c>
      <c r="Q4355" s="39" t="n">
        <f aca="false">IF($B4355="",0,IFERROR(MATCH($B4355,COA_Mapping!$A$7:$A$256,0),0))</f>
        <v>0</v>
      </c>
      <c r="R4355" s="39" t="n">
        <f aca="false">IF($A4355="",-1,IF($J4355=Setup!$B$7,1,IF($J4355=Setup!$B$9,0,-1)))</f>
        <v>-1</v>
      </c>
      <c r="S4355" s="35" t="n">
        <f aca="false">IF(OR($A4355="",$Q4355=0,$R4355=-1),0,$Q4355*1000+$R4355*100+$K4355)</f>
        <v>0</v>
      </c>
      <c r="T4355" s="37" t="str">
        <f aca="false">IF($A4355="","",IF($B4355="","NO ACCOUNT",IF($Q4355=0,"UNMAPPED",IF($R4355=-1,"OUTSIDE FY RANGE","OK"))))</f>
        <v/>
      </c>
      <c r="U4355" s="40" t="str">
        <f aca="false">IF($A4355="","",$B4355&amp;"|"&amp;TEXT($A4355,"yyyymmdd")&amp;"|"&amp;TEXT($I4355,"0.00"))</f>
        <v/>
      </c>
      <c r="V4355" s="35" t="str">
        <f aca="false">IF($A4355="","",COUNTIF($U$8:$U$5007,$U4355))</f>
        <v/>
      </c>
    </row>
    <row r="4356" customFormat="false" ht="15" hidden="false" customHeight="false" outlineLevel="0" collapsed="false">
      <c r="A4356" s="31"/>
      <c r="B4356" s="32"/>
      <c r="C4356" s="32"/>
      <c r="D4356" s="32"/>
      <c r="E4356" s="32"/>
      <c r="F4356" s="32"/>
      <c r="G4356" s="33"/>
      <c r="H4356" s="33"/>
      <c r="I4356" s="34" t="str">
        <f aca="false">IF($A4356="","",$G4356-$H4356)</f>
        <v/>
      </c>
      <c r="J4356" s="35" t="str">
        <f aca="false">IF($A4356="","",IF(Setup!$B$6=1,YEAR($A4356),YEAR($A4356)+IF(MONTH($A4356)&gt;=Setup!$B$6,1,0)))</f>
        <v/>
      </c>
      <c r="K4356" s="35" t="str">
        <f aca="false">IF($A4356="","",MOD(MONTH($A4356)-Setup!$B$6+12,12)+1)</f>
        <v/>
      </c>
      <c r="L4356" s="36" t="str">
        <f aca="false">IF($A4356="","",TEXT($A4356,"MMM-YY"))</f>
        <v/>
      </c>
      <c r="M4356" s="37" t="str">
        <f aca="false">IF($A4356="","",IF($Q4356=0,"UNMAPPED",INDEX(COA_Mapping!$C$7:$C$256,$Q4356)))</f>
        <v/>
      </c>
      <c r="N4356" s="38" t="str">
        <f aca="false">IF($A4356="","",IF($Q4356=0,"",INDEX(COA_Mapping!$E$7:$E$256,$Q4356)))</f>
        <v/>
      </c>
      <c r="O4356" s="38" t="n">
        <f aca="false">IF($A4356="",1,IF($Q4356=0,1,INDEX(COA_Mapping!$F$7:$F$256,$Q4356)))</f>
        <v>1</v>
      </c>
      <c r="P4356" s="34" t="str">
        <f aca="false">IF($A4356="","",$I4356*$O4356)</f>
        <v/>
      </c>
      <c r="Q4356" s="39" t="n">
        <f aca="false">IF($B4356="",0,IFERROR(MATCH($B4356,COA_Mapping!$A$7:$A$256,0),0))</f>
        <v>0</v>
      </c>
      <c r="R4356" s="39" t="n">
        <f aca="false">IF($A4356="",-1,IF($J4356=Setup!$B$7,1,IF($J4356=Setup!$B$9,0,-1)))</f>
        <v>-1</v>
      </c>
      <c r="S4356" s="35" t="n">
        <f aca="false">IF(OR($A4356="",$Q4356=0,$R4356=-1),0,$Q4356*1000+$R4356*100+$K4356)</f>
        <v>0</v>
      </c>
      <c r="T4356" s="37" t="str">
        <f aca="false">IF($A4356="","",IF($B4356="","NO ACCOUNT",IF($Q4356=0,"UNMAPPED",IF($R4356=-1,"OUTSIDE FY RANGE","OK"))))</f>
        <v/>
      </c>
      <c r="U4356" s="40" t="str">
        <f aca="false">IF($A4356="","",$B4356&amp;"|"&amp;TEXT($A4356,"yyyymmdd")&amp;"|"&amp;TEXT($I4356,"0.00"))</f>
        <v/>
      </c>
      <c r="V4356" s="35" t="str">
        <f aca="false">IF($A4356="","",COUNTIF($U$8:$U$5007,$U4356))</f>
        <v/>
      </c>
    </row>
    <row r="4357" customFormat="false" ht="15" hidden="false" customHeight="false" outlineLevel="0" collapsed="false">
      <c r="A4357" s="31"/>
      <c r="B4357" s="32"/>
      <c r="C4357" s="32"/>
      <c r="D4357" s="32"/>
      <c r="E4357" s="32"/>
      <c r="F4357" s="32"/>
      <c r="G4357" s="33"/>
      <c r="H4357" s="33"/>
      <c r="I4357" s="34" t="str">
        <f aca="false">IF($A4357="","",$G4357-$H4357)</f>
        <v/>
      </c>
      <c r="J4357" s="35" t="str">
        <f aca="false">IF($A4357="","",IF(Setup!$B$6=1,YEAR($A4357),YEAR($A4357)+IF(MONTH($A4357)&gt;=Setup!$B$6,1,0)))</f>
        <v/>
      </c>
      <c r="K4357" s="35" t="str">
        <f aca="false">IF($A4357="","",MOD(MONTH($A4357)-Setup!$B$6+12,12)+1)</f>
        <v/>
      </c>
      <c r="L4357" s="36" t="str">
        <f aca="false">IF($A4357="","",TEXT($A4357,"MMM-YY"))</f>
        <v/>
      </c>
      <c r="M4357" s="37" t="str">
        <f aca="false">IF($A4357="","",IF($Q4357=0,"UNMAPPED",INDEX(COA_Mapping!$C$7:$C$256,$Q4357)))</f>
        <v/>
      </c>
      <c r="N4357" s="38" t="str">
        <f aca="false">IF($A4357="","",IF($Q4357=0,"",INDEX(COA_Mapping!$E$7:$E$256,$Q4357)))</f>
        <v/>
      </c>
      <c r="O4357" s="38" t="n">
        <f aca="false">IF($A4357="",1,IF($Q4357=0,1,INDEX(COA_Mapping!$F$7:$F$256,$Q4357)))</f>
        <v>1</v>
      </c>
      <c r="P4357" s="34" t="str">
        <f aca="false">IF($A4357="","",$I4357*$O4357)</f>
        <v/>
      </c>
      <c r="Q4357" s="39" t="n">
        <f aca="false">IF($B4357="",0,IFERROR(MATCH($B4357,COA_Mapping!$A$7:$A$256,0),0))</f>
        <v>0</v>
      </c>
      <c r="R4357" s="39" t="n">
        <f aca="false">IF($A4357="",-1,IF($J4357=Setup!$B$7,1,IF($J4357=Setup!$B$9,0,-1)))</f>
        <v>-1</v>
      </c>
      <c r="S4357" s="35" t="n">
        <f aca="false">IF(OR($A4357="",$Q4357=0,$R4357=-1),0,$Q4357*1000+$R4357*100+$K4357)</f>
        <v>0</v>
      </c>
      <c r="T4357" s="37" t="str">
        <f aca="false">IF($A4357="","",IF($B4357="","NO ACCOUNT",IF($Q4357=0,"UNMAPPED",IF($R4357=-1,"OUTSIDE FY RANGE","OK"))))</f>
        <v/>
      </c>
      <c r="U4357" s="40" t="str">
        <f aca="false">IF($A4357="","",$B4357&amp;"|"&amp;TEXT($A4357,"yyyymmdd")&amp;"|"&amp;TEXT($I4357,"0.00"))</f>
        <v/>
      </c>
      <c r="V4357" s="35" t="str">
        <f aca="false">IF($A4357="","",COUNTIF($U$8:$U$5007,$U4357))</f>
        <v/>
      </c>
    </row>
    <row r="4358" customFormat="false" ht="15" hidden="false" customHeight="false" outlineLevel="0" collapsed="false">
      <c r="A4358" s="31"/>
      <c r="B4358" s="32"/>
      <c r="C4358" s="32"/>
      <c r="D4358" s="32"/>
      <c r="E4358" s="32"/>
      <c r="F4358" s="32"/>
      <c r="G4358" s="33"/>
      <c r="H4358" s="33"/>
      <c r="I4358" s="34" t="str">
        <f aca="false">IF($A4358="","",$G4358-$H4358)</f>
        <v/>
      </c>
      <c r="J4358" s="35" t="str">
        <f aca="false">IF($A4358="","",IF(Setup!$B$6=1,YEAR($A4358),YEAR($A4358)+IF(MONTH($A4358)&gt;=Setup!$B$6,1,0)))</f>
        <v/>
      </c>
      <c r="K4358" s="35" t="str">
        <f aca="false">IF($A4358="","",MOD(MONTH($A4358)-Setup!$B$6+12,12)+1)</f>
        <v/>
      </c>
      <c r="L4358" s="36" t="str">
        <f aca="false">IF($A4358="","",TEXT($A4358,"MMM-YY"))</f>
        <v/>
      </c>
      <c r="M4358" s="37" t="str">
        <f aca="false">IF($A4358="","",IF($Q4358=0,"UNMAPPED",INDEX(COA_Mapping!$C$7:$C$256,$Q4358)))</f>
        <v/>
      </c>
      <c r="N4358" s="38" t="str">
        <f aca="false">IF($A4358="","",IF($Q4358=0,"",INDEX(COA_Mapping!$E$7:$E$256,$Q4358)))</f>
        <v/>
      </c>
      <c r="O4358" s="38" t="n">
        <f aca="false">IF($A4358="",1,IF($Q4358=0,1,INDEX(COA_Mapping!$F$7:$F$256,$Q4358)))</f>
        <v>1</v>
      </c>
      <c r="P4358" s="34" t="str">
        <f aca="false">IF($A4358="","",$I4358*$O4358)</f>
        <v/>
      </c>
      <c r="Q4358" s="39" t="n">
        <f aca="false">IF($B4358="",0,IFERROR(MATCH($B4358,COA_Mapping!$A$7:$A$256,0),0))</f>
        <v>0</v>
      </c>
      <c r="R4358" s="39" t="n">
        <f aca="false">IF($A4358="",-1,IF($J4358=Setup!$B$7,1,IF($J4358=Setup!$B$9,0,-1)))</f>
        <v>-1</v>
      </c>
      <c r="S4358" s="35" t="n">
        <f aca="false">IF(OR($A4358="",$Q4358=0,$R4358=-1),0,$Q4358*1000+$R4358*100+$K4358)</f>
        <v>0</v>
      </c>
      <c r="T4358" s="37" t="str">
        <f aca="false">IF($A4358="","",IF($B4358="","NO ACCOUNT",IF($Q4358=0,"UNMAPPED",IF($R4358=-1,"OUTSIDE FY RANGE","OK"))))</f>
        <v/>
      </c>
      <c r="U4358" s="40" t="str">
        <f aca="false">IF($A4358="","",$B4358&amp;"|"&amp;TEXT($A4358,"yyyymmdd")&amp;"|"&amp;TEXT($I4358,"0.00"))</f>
        <v/>
      </c>
      <c r="V4358" s="35" t="str">
        <f aca="false">IF($A4358="","",COUNTIF($U$8:$U$5007,$U4358))</f>
        <v/>
      </c>
    </row>
    <row r="4359" customFormat="false" ht="15" hidden="false" customHeight="false" outlineLevel="0" collapsed="false">
      <c r="A4359" s="31"/>
      <c r="B4359" s="32"/>
      <c r="C4359" s="32"/>
      <c r="D4359" s="32"/>
      <c r="E4359" s="32"/>
      <c r="F4359" s="32"/>
      <c r="G4359" s="33"/>
      <c r="H4359" s="33"/>
      <c r="I4359" s="34" t="str">
        <f aca="false">IF($A4359="","",$G4359-$H4359)</f>
        <v/>
      </c>
      <c r="J4359" s="35" t="str">
        <f aca="false">IF($A4359="","",IF(Setup!$B$6=1,YEAR($A4359),YEAR($A4359)+IF(MONTH($A4359)&gt;=Setup!$B$6,1,0)))</f>
        <v/>
      </c>
      <c r="K4359" s="35" t="str">
        <f aca="false">IF($A4359="","",MOD(MONTH($A4359)-Setup!$B$6+12,12)+1)</f>
        <v/>
      </c>
      <c r="L4359" s="36" t="str">
        <f aca="false">IF($A4359="","",TEXT($A4359,"MMM-YY"))</f>
        <v/>
      </c>
      <c r="M4359" s="37" t="str">
        <f aca="false">IF($A4359="","",IF($Q4359=0,"UNMAPPED",INDEX(COA_Mapping!$C$7:$C$256,$Q4359)))</f>
        <v/>
      </c>
      <c r="N4359" s="38" t="str">
        <f aca="false">IF($A4359="","",IF($Q4359=0,"",INDEX(COA_Mapping!$E$7:$E$256,$Q4359)))</f>
        <v/>
      </c>
      <c r="O4359" s="38" t="n">
        <f aca="false">IF($A4359="",1,IF($Q4359=0,1,INDEX(COA_Mapping!$F$7:$F$256,$Q4359)))</f>
        <v>1</v>
      </c>
      <c r="P4359" s="34" t="str">
        <f aca="false">IF($A4359="","",$I4359*$O4359)</f>
        <v/>
      </c>
      <c r="Q4359" s="39" t="n">
        <f aca="false">IF($B4359="",0,IFERROR(MATCH($B4359,COA_Mapping!$A$7:$A$256,0),0))</f>
        <v>0</v>
      </c>
      <c r="R4359" s="39" t="n">
        <f aca="false">IF($A4359="",-1,IF($J4359=Setup!$B$7,1,IF($J4359=Setup!$B$9,0,-1)))</f>
        <v>-1</v>
      </c>
      <c r="S4359" s="35" t="n">
        <f aca="false">IF(OR($A4359="",$Q4359=0,$R4359=-1),0,$Q4359*1000+$R4359*100+$K4359)</f>
        <v>0</v>
      </c>
      <c r="T4359" s="37" t="str">
        <f aca="false">IF($A4359="","",IF($B4359="","NO ACCOUNT",IF($Q4359=0,"UNMAPPED",IF($R4359=-1,"OUTSIDE FY RANGE","OK"))))</f>
        <v/>
      </c>
      <c r="U4359" s="40" t="str">
        <f aca="false">IF($A4359="","",$B4359&amp;"|"&amp;TEXT($A4359,"yyyymmdd")&amp;"|"&amp;TEXT($I4359,"0.00"))</f>
        <v/>
      </c>
      <c r="V4359" s="35" t="str">
        <f aca="false">IF($A4359="","",COUNTIF($U$8:$U$5007,$U4359))</f>
        <v/>
      </c>
    </row>
    <row r="4360" customFormat="false" ht="15" hidden="false" customHeight="false" outlineLevel="0" collapsed="false">
      <c r="A4360" s="31"/>
      <c r="B4360" s="32"/>
      <c r="C4360" s="32"/>
      <c r="D4360" s="32"/>
      <c r="E4360" s="32"/>
      <c r="F4360" s="32"/>
      <c r="G4360" s="33"/>
      <c r="H4360" s="33"/>
      <c r="I4360" s="34" t="str">
        <f aca="false">IF($A4360="","",$G4360-$H4360)</f>
        <v/>
      </c>
      <c r="J4360" s="35" t="str">
        <f aca="false">IF($A4360="","",IF(Setup!$B$6=1,YEAR($A4360),YEAR($A4360)+IF(MONTH($A4360)&gt;=Setup!$B$6,1,0)))</f>
        <v/>
      </c>
      <c r="K4360" s="35" t="str">
        <f aca="false">IF($A4360="","",MOD(MONTH($A4360)-Setup!$B$6+12,12)+1)</f>
        <v/>
      </c>
      <c r="L4360" s="36" t="str">
        <f aca="false">IF($A4360="","",TEXT($A4360,"MMM-YY"))</f>
        <v/>
      </c>
      <c r="M4360" s="37" t="str">
        <f aca="false">IF($A4360="","",IF($Q4360=0,"UNMAPPED",INDEX(COA_Mapping!$C$7:$C$256,$Q4360)))</f>
        <v/>
      </c>
      <c r="N4360" s="38" t="str">
        <f aca="false">IF($A4360="","",IF($Q4360=0,"",INDEX(COA_Mapping!$E$7:$E$256,$Q4360)))</f>
        <v/>
      </c>
      <c r="O4360" s="38" t="n">
        <f aca="false">IF($A4360="",1,IF($Q4360=0,1,INDEX(COA_Mapping!$F$7:$F$256,$Q4360)))</f>
        <v>1</v>
      </c>
      <c r="P4360" s="34" t="str">
        <f aca="false">IF($A4360="","",$I4360*$O4360)</f>
        <v/>
      </c>
      <c r="Q4360" s="39" t="n">
        <f aca="false">IF($B4360="",0,IFERROR(MATCH($B4360,COA_Mapping!$A$7:$A$256,0),0))</f>
        <v>0</v>
      </c>
      <c r="R4360" s="39" t="n">
        <f aca="false">IF($A4360="",-1,IF($J4360=Setup!$B$7,1,IF($J4360=Setup!$B$9,0,-1)))</f>
        <v>-1</v>
      </c>
      <c r="S4360" s="35" t="n">
        <f aca="false">IF(OR($A4360="",$Q4360=0,$R4360=-1),0,$Q4360*1000+$R4360*100+$K4360)</f>
        <v>0</v>
      </c>
      <c r="T4360" s="37" t="str">
        <f aca="false">IF($A4360="","",IF($B4360="","NO ACCOUNT",IF($Q4360=0,"UNMAPPED",IF($R4360=-1,"OUTSIDE FY RANGE","OK"))))</f>
        <v/>
      </c>
      <c r="U4360" s="40" t="str">
        <f aca="false">IF($A4360="","",$B4360&amp;"|"&amp;TEXT($A4360,"yyyymmdd")&amp;"|"&amp;TEXT($I4360,"0.00"))</f>
        <v/>
      </c>
      <c r="V4360" s="35" t="str">
        <f aca="false">IF($A4360="","",COUNTIF($U$8:$U$5007,$U4360))</f>
        <v/>
      </c>
    </row>
    <row r="4361" customFormat="false" ht="15" hidden="false" customHeight="false" outlineLevel="0" collapsed="false">
      <c r="A4361" s="31"/>
      <c r="B4361" s="32"/>
      <c r="C4361" s="32"/>
      <c r="D4361" s="32"/>
      <c r="E4361" s="32"/>
      <c r="F4361" s="32"/>
      <c r="G4361" s="33"/>
      <c r="H4361" s="33"/>
      <c r="I4361" s="34" t="str">
        <f aca="false">IF($A4361="","",$G4361-$H4361)</f>
        <v/>
      </c>
      <c r="J4361" s="35" t="str">
        <f aca="false">IF($A4361="","",IF(Setup!$B$6=1,YEAR($A4361),YEAR($A4361)+IF(MONTH($A4361)&gt;=Setup!$B$6,1,0)))</f>
        <v/>
      </c>
      <c r="K4361" s="35" t="str">
        <f aca="false">IF($A4361="","",MOD(MONTH($A4361)-Setup!$B$6+12,12)+1)</f>
        <v/>
      </c>
      <c r="L4361" s="36" t="str">
        <f aca="false">IF($A4361="","",TEXT($A4361,"MMM-YY"))</f>
        <v/>
      </c>
      <c r="M4361" s="37" t="str">
        <f aca="false">IF($A4361="","",IF($Q4361=0,"UNMAPPED",INDEX(COA_Mapping!$C$7:$C$256,$Q4361)))</f>
        <v/>
      </c>
      <c r="N4361" s="38" t="str">
        <f aca="false">IF($A4361="","",IF($Q4361=0,"",INDEX(COA_Mapping!$E$7:$E$256,$Q4361)))</f>
        <v/>
      </c>
      <c r="O4361" s="38" t="n">
        <f aca="false">IF($A4361="",1,IF($Q4361=0,1,INDEX(COA_Mapping!$F$7:$F$256,$Q4361)))</f>
        <v>1</v>
      </c>
      <c r="P4361" s="34" t="str">
        <f aca="false">IF($A4361="","",$I4361*$O4361)</f>
        <v/>
      </c>
      <c r="Q4361" s="39" t="n">
        <f aca="false">IF($B4361="",0,IFERROR(MATCH($B4361,COA_Mapping!$A$7:$A$256,0),0))</f>
        <v>0</v>
      </c>
      <c r="R4361" s="39" t="n">
        <f aca="false">IF($A4361="",-1,IF($J4361=Setup!$B$7,1,IF($J4361=Setup!$B$9,0,-1)))</f>
        <v>-1</v>
      </c>
      <c r="S4361" s="35" t="n">
        <f aca="false">IF(OR($A4361="",$Q4361=0,$R4361=-1),0,$Q4361*1000+$R4361*100+$K4361)</f>
        <v>0</v>
      </c>
      <c r="T4361" s="37" t="str">
        <f aca="false">IF($A4361="","",IF($B4361="","NO ACCOUNT",IF($Q4361=0,"UNMAPPED",IF($R4361=-1,"OUTSIDE FY RANGE","OK"))))</f>
        <v/>
      </c>
      <c r="U4361" s="40" t="str">
        <f aca="false">IF($A4361="","",$B4361&amp;"|"&amp;TEXT($A4361,"yyyymmdd")&amp;"|"&amp;TEXT($I4361,"0.00"))</f>
        <v/>
      </c>
      <c r="V4361" s="35" t="str">
        <f aca="false">IF($A4361="","",COUNTIF($U$8:$U$5007,$U4361))</f>
        <v/>
      </c>
    </row>
    <row r="4362" customFormat="false" ht="15" hidden="false" customHeight="false" outlineLevel="0" collapsed="false">
      <c r="A4362" s="31"/>
      <c r="B4362" s="32"/>
      <c r="C4362" s="32"/>
      <c r="D4362" s="32"/>
      <c r="E4362" s="32"/>
      <c r="F4362" s="32"/>
      <c r="G4362" s="33"/>
      <c r="H4362" s="33"/>
      <c r="I4362" s="34" t="str">
        <f aca="false">IF($A4362="","",$G4362-$H4362)</f>
        <v/>
      </c>
      <c r="J4362" s="35" t="str">
        <f aca="false">IF($A4362="","",IF(Setup!$B$6=1,YEAR($A4362),YEAR($A4362)+IF(MONTH($A4362)&gt;=Setup!$B$6,1,0)))</f>
        <v/>
      </c>
      <c r="K4362" s="35" t="str">
        <f aca="false">IF($A4362="","",MOD(MONTH($A4362)-Setup!$B$6+12,12)+1)</f>
        <v/>
      </c>
      <c r="L4362" s="36" t="str">
        <f aca="false">IF($A4362="","",TEXT($A4362,"MMM-YY"))</f>
        <v/>
      </c>
      <c r="M4362" s="37" t="str">
        <f aca="false">IF($A4362="","",IF($Q4362=0,"UNMAPPED",INDEX(COA_Mapping!$C$7:$C$256,$Q4362)))</f>
        <v/>
      </c>
      <c r="N4362" s="38" t="str">
        <f aca="false">IF($A4362="","",IF($Q4362=0,"",INDEX(COA_Mapping!$E$7:$E$256,$Q4362)))</f>
        <v/>
      </c>
      <c r="O4362" s="38" t="n">
        <f aca="false">IF($A4362="",1,IF($Q4362=0,1,INDEX(COA_Mapping!$F$7:$F$256,$Q4362)))</f>
        <v>1</v>
      </c>
      <c r="P4362" s="34" t="str">
        <f aca="false">IF($A4362="","",$I4362*$O4362)</f>
        <v/>
      </c>
      <c r="Q4362" s="39" t="n">
        <f aca="false">IF($B4362="",0,IFERROR(MATCH($B4362,COA_Mapping!$A$7:$A$256,0),0))</f>
        <v>0</v>
      </c>
      <c r="R4362" s="39" t="n">
        <f aca="false">IF($A4362="",-1,IF($J4362=Setup!$B$7,1,IF($J4362=Setup!$B$9,0,-1)))</f>
        <v>-1</v>
      </c>
      <c r="S4362" s="35" t="n">
        <f aca="false">IF(OR($A4362="",$Q4362=0,$R4362=-1),0,$Q4362*1000+$R4362*100+$K4362)</f>
        <v>0</v>
      </c>
      <c r="T4362" s="37" t="str">
        <f aca="false">IF($A4362="","",IF($B4362="","NO ACCOUNT",IF($Q4362=0,"UNMAPPED",IF($R4362=-1,"OUTSIDE FY RANGE","OK"))))</f>
        <v/>
      </c>
      <c r="U4362" s="40" t="str">
        <f aca="false">IF($A4362="","",$B4362&amp;"|"&amp;TEXT($A4362,"yyyymmdd")&amp;"|"&amp;TEXT($I4362,"0.00"))</f>
        <v/>
      </c>
      <c r="V4362" s="35" t="str">
        <f aca="false">IF($A4362="","",COUNTIF($U$8:$U$5007,$U4362))</f>
        <v/>
      </c>
    </row>
    <row r="4363" customFormat="false" ht="15" hidden="false" customHeight="false" outlineLevel="0" collapsed="false">
      <c r="A4363" s="31"/>
      <c r="B4363" s="32"/>
      <c r="C4363" s="32"/>
      <c r="D4363" s="32"/>
      <c r="E4363" s="32"/>
      <c r="F4363" s="32"/>
      <c r="G4363" s="33"/>
      <c r="H4363" s="33"/>
      <c r="I4363" s="34" t="str">
        <f aca="false">IF($A4363="","",$G4363-$H4363)</f>
        <v/>
      </c>
      <c r="J4363" s="35" t="str">
        <f aca="false">IF($A4363="","",IF(Setup!$B$6=1,YEAR($A4363),YEAR($A4363)+IF(MONTH($A4363)&gt;=Setup!$B$6,1,0)))</f>
        <v/>
      </c>
      <c r="K4363" s="35" t="str">
        <f aca="false">IF($A4363="","",MOD(MONTH($A4363)-Setup!$B$6+12,12)+1)</f>
        <v/>
      </c>
      <c r="L4363" s="36" t="str">
        <f aca="false">IF($A4363="","",TEXT($A4363,"MMM-YY"))</f>
        <v/>
      </c>
      <c r="M4363" s="37" t="str">
        <f aca="false">IF($A4363="","",IF($Q4363=0,"UNMAPPED",INDEX(COA_Mapping!$C$7:$C$256,$Q4363)))</f>
        <v/>
      </c>
      <c r="N4363" s="38" t="str">
        <f aca="false">IF($A4363="","",IF($Q4363=0,"",INDEX(COA_Mapping!$E$7:$E$256,$Q4363)))</f>
        <v/>
      </c>
      <c r="O4363" s="38" t="n">
        <f aca="false">IF($A4363="",1,IF($Q4363=0,1,INDEX(COA_Mapping!$F$7:$F$256,$Q4363)))</f>
        <v>1</v>
      </c>
      <c r="P4363" s="34" t="str">
        <f aca="false">IF($A4363="","",$I4363*$O4363)</f>
        <v/>
      </c>
      <c r="Q4363" s="39" t="n">
        <f aca="false">IF($B4363="",0,IFERROR(MATCH($B4363,COA_Mapping!$A$7:$A$256,0),0))</f>
        <v>0</v>
      </c>
      <c r="R4363" s="39" t="n">
        <f aca="false">IF($A4363="",-1,IF($J4363=Setup!$B$7,1,IF($J4363=Setup!$B$9,0,-1)))</f>
        <v>-1</v>
      </c>
      <c r="S4363" s="35" t="n">
        <f aca="false">IF(OR($A4363="",$Q4363=0,$R4363=-1),0,$Q4363*1000+$R4363*100+$K4363)</f>
        <v>0</v>
      </c>
      <c r="T4363" s="37" t="str">
        <f aca="false">IF($A4363="","",IF($B4363="","NO ACCOUNT",IF($Q4363=0,"UNMAPPED",IF($R4363=-1,"OUTSIDE FY RANGE","OK"))))</f>
        <v/>
      </c>
      <c r="U4363" s="40" t="str">
        <f aca="false">IF($A4363="","",$B4363&amp;"|"&amp;TEXT($A4363,"yyyymmdd")&amp;"|"&amp;TEXT($I4363,"0.00"))</f>
        <v/>
      </c>
      <c r="V4363" s="35" t="str">
        <f aca="false">IF($A4363="","",COUNTIF($U$8:$U$5007,$U4363))</f>
        <v/>
      </c>
    </row>
    <row r="4364" customFormat="false" ht="15" hidden="false" customHeight="false" outlineLevel="0" collapsed="false">
      <c r="A4364" s="31"/>
      <c r="B4364" s="32"/>
      <c r="C4364" s="32"/>
      <c r="D4364" s="32"/>
      <c r="E4364" s="32"/>
      <c r="F4364" s="32"/>
      <c r="G4364" s="33"/>
      <c r="H4364" s="33"/>
      <c r="I4364" s="34" t="str">
        <f aca="false">IF($A4364="","",$G4364-$H4364)</f>
        <v/>
      </c>
      <c r="J4364" s="35" t="str">
        <f aca="false">IF($A4364="","",IF(Setup!$B$6=1,YEAR($A4364),YEAR($A4364)+IF(MONTH($A4364)&gt;=Setup!$B$6,1,0)))</f>
        <v/>
      </c>
      <c r="K4364" s="35" t="str">
        <f aca="false">IF($A4364="","",MOD(MONTH($A4364)-Setup!$B$6+12,12)+1)</f>
        <v/>
      </c>
      <c r="L4364" s="36" t="str">
        <f aca="false">IF($A4364="","",TEXT($A4364,"MMM-YY"))</f>
        <v/>
      </c>
      <c r="M4364" s="37" t="str">
        <f aca="false">IF($A4364="","",IF($Q4364=0,"UNMAPPED",INDEX(COA_Mapping!$C$7:$C$256,$Q4364)))</f>
        <v/>
      </c>
      <c r="N4364" s="38" t="str">
        <f aca="false">IF($A4364="","",IF($Q4364=0,"",INDEX(COA_Mapping!$E$7:$E$256,$Q4364)))</f>
        <v/>
      </c>
      <c r="O4364" s="38" t="n">
        <f aca="false">IF($A4364="",1,IF($Q4364=0,1,INDEX(COA_Mapping!$F$7:$F$256,$Q4364)))</f>
        <v>1</v>
      </c>
      <c r="P4364" s="34" t="str">
        <f aca="false">IF($A4364="","",$I4364*$O4364)</f>
        <v/>
      </c>
      <c r="Q4364" s="39" t="n">
        <f aca="false">IF($B4364="",0,IFERROR(MATCH($B4364,COA_Mapping!$A$7:$A$256,0),0))</f>
        <v>0</v>
      </c>
      <c r="R4364" s="39" t="n">
        <f aca="false">IF($A4364="",-1,IF($J4364=Setup!$B$7,1,IF($J4364=Setup!$B$9,0,-1)))</f>
        <v>-1</v>
      </c>
      <c r="S4364" s="35" t="n">
        <f aca="false">IF(OR($A4364="",$Q4364=0,$R4364=-1),0,$Q4364*1000+$R4364*100+$K4364)</f>
        <v>0</v>
      </c>
      <c r="T4364" s="37" t="str">
        <f aca="false">IF($A4364="","",IF($B4364="","NO ACCOUNT",IF($Q4364=0,"UNMAPPED",IF($R4364=-1,"OUTSIDE FY RANGE","OK"))))</f>
        <v/>
      </c>
      <c r="U4364" s="40" t="str">
        <f aca="false">IF($A4364="","",$B4364&amp;"|"&amp;TEXT($A4364,"yyyymmdd")&amp;"|"&amp;TEXT($I4364,"0.00"))</f>
        <v/>
      </c>
      <c r="V4364" s="35" t="str">
        <f aca="false">IF($A4364="","",COUNTIF($U$8:$U$5007,$U4364))</f>
        <v/>
      </c>
    </row>
    <row r="4365" customFormat="false" ht="15" hidden="false" customHeight="false" outlineLevel="0" collapsed="false">
      <c r="A4365" s="31"/>
      <c r="B4365" s="32"/>
      <c r="C4365" s="32"/>
      <c r="D4365" s="32"/>
      <c r="E4365" s="32"/>
      <c r="F4365" s="32"/>
      <c r="G4365" s="33"/>
      <c r="H4365" s="33"/>
      <c r="I4365" s="34" t="str">
        <f aca="false">IF($A4365="","",$G4365-$H4365)</f>
        <v/>
      </c>
      <c r="J4365" s="35" t="str">
        <f aca="false">IF($A4365="","",IF(Setup!$B$6=1,YEAR($A4365),YEAR($A4365)+IF(MONTH($A4365)&gt;=Setup!$B$6,1,0)))</f>
        <v/>
      </c>
      <c r="K4365" s="35" t="str">
        <f aca="false">IF($A4365="","",MOD(MONTH($A4365)-Setup!$B$6+12,12)+1)</f>
        <v/>
      </c>
      <c r="L4365" s="36" t="str">
        <f aca="false">IF($A4365="","",TEXT($A4365,"MMM-YY"))</f>
        <v/>
      </c>
      <c r="M4365" s="37" t="str">
        <f aca="false">IF($A4365="","",IF($Q4365=0,"UNMAPPED",INDEX(COA_Mapping!$C$7:$C$256,$Q4365)))</f>
        <v/>
      </c>
      <c r="N4365" s="38" t="str">
        <f aca="false">IF($A4365="","",IF($Q4365=0,"",INDEX(COA_Mapping!$E$7:$E$256,$Q4365)))</f>
        <v/>
      </c>
      <c r="O4365" s="38" t="n">
        <f aca="false">IF($A4365="",1,IF($Q4365=0,1,INDEX(COA_Mapping!$F$7:$F$256,$Q4365)))</f>
        <v>1</v>
      </c>
      <c r="P4365" s="34" t="str">
        <f aca="false">IF($A4365="","",$I4365*$O4365)</f>
        <v/>
      </c>
      <c r="Q4365" s="39" t="n">
        <f aca="false">IF($B4365="",0,IFERROR(MATCH($B4365,COA_Mapping!$A$7:$A$256,0),0))</f>
        <v>0</v>
      </c>
      <c r="R4365" s="39" t="n">
        <f aca="false">IF($A4365="",-1,IF($J4365=Setup!$B$7,1,IF($J4365=Setup!$B$9,0,-1)))</f>
        <v>-1</v>
      </c>
      <c r="S4365" s="35" t="n">
        <f aca="false">IF(OR($A4365="",$Q4365=0,$R4365=-1),0,$Q4365*1000+$R4365*100+$K4365)</f>
        <v>0</v>
      </c>
      <c r="T4365" s="37" t="str">
        <f aca="false">IF($A4365="","",IF($B4365="","NO ACCOUNT",IF($Q4365=0,"UNMAPPED",IF($R4365=-1,"OUTSIDE FY RANGE","OK"))))</f>
        <v/>
      </c>
      <c r="U4365" s="40" t="str">
        <f aca="false">IF($A4365="","",$B4365&amp;"|"&amp;TEXT($A4365,"yyyymmdd")&amp;"|"&amp;TEXT($I4365,"0.00"))</f>
        <v/>
      </c>
      <c r="V4365" s="35" t="str">
        <f aca="false">IF($A4365="","",COUNTIF($U$8:$U$5007,$U4365))</f>
        <v/>
      </c>
    </row>
    <row r="4366" customFormat="false" ht="15" hidden="false" customHeight="false" outlineLevel="0" collapsed="false">
      <c r="A4366" s="31"/>
      <c r="B4366" s="32"/>
      <c r="C4366" s="32"/>
      <c r="D4366" s="32"/>
      <c r="E4366" s="32"/>
      <c r="F4366" s="32"/>
      <c r="G4366" s="33"/>
      <c r="H4366" s="33"/>
      <c r="I4366" s="34" t="str">
        <f aca="false">IF($A4366="","",$G4366-$H4366)</f>
        <v/>
      </c>
      <c r="J4366" s="35" t="str">
        <f aca="false">IF($A4366="","",IF(Setup!$B$6=1,YEAR($A4366),YEAR($A4366)+IF(MONTH($A4366)&gt;=Setup!$B$6,1,0)))</f>
        <v/>
      </c>
      <c r="K4366" s="35" t="str">
        <f aca="false">IF($A4366="","",MOD(MONTH($A4366)-Setup!$B$6+12,12)+1)</f>
        <v/>
      </c>
      <c r="L4366" s="36" t="str">
        <f aca="false">IF($A4366="","",TEXT($A4366,"MMM-YY"))</f>
        <v/>
      </c>
      <c r="M4366" s="37" t="str">
        <f aca="false">IF($A4366="","",IF($Q4366=0,"UNMAPPED",INDEX(COA_Mapping!$C$7:$C$256,$Q4366)))</f>
        <v/>
      </c>
      <c r="N4366" s="38" t="str">
        <f aca="false">IF($A4366="","",IF($Q4366=0,"",INDEX(COA_Mapping!$E$7:$E$256,$Q4366)))</f>
        <v/>
      </c>
      <c r="O4366" s="38" t="n">
        <f aca="false">IF($A4366="",1,IF($Q4366=0,1,INDEX(COA_Mapping!$F$7:$F$256,$Q4366)))</f>
        <v>1</v>
      </c>
      <c r="P4366" s="34" t="str">
        <f aca="false">IF($A4366="","",$I4366*$O4366)</f>
        <v/>
      </c>
      <c r="Q4366" s="39" t="n">
        <f aca="false">IF($B4366="",0,IFERROR(MATCH($B4366,COA_Mapping!$A$7:$A$256,0),0))</f>
        <v>0</v>
      </c>
      <c r="R4366" s="39" t="n">
        <f aca="false">IF($A4366="",-1,IF($J4366=Setup!$B$7,1,IF($J4366=Setup!$B$9,0,-1)))</f>
        <v>-1</v>
      </c>
      <c r="S4366" s="35" t="n">
        <f aca="false">IF(OR($A4366="",$Q4366=0,$R4366=-1),0,$Q4366*1000+$R4366*100+$K4366)</f>
        <v>0</v>
      </c>
      <c r="T4366" s="37" t="str">
        <f aca="false">IF($A4366="","",IF($B4366="","NO ACCOUNT",IF($Q4366=0,"UNMAPPED",IF($R4366=-1,"OUTSIDE FY RANGE","OK"))))</f>
        <v/>
      </c>
      <c r="U4366" s="40" t="str">
        <f aca="false">IF($A4366="","",$B4366&amp;"|"&amp;TEXT($A4366,"yyyymmdd")&amp;"|"&amp;TEXT($I4366,"0.00"))</f>
        <v/>
      </c>
      <c r="V4366" s="35" t="str">
        <f aca="false">IF($A4366="","",COUNTIF($U$8:$U$5007,$U4366))</f>
        <v/>
      </c>
    </row>
    <row r="4367" customFormat="false" ht="15" hidden="false" customHeight="false" outlineLevel="0" collapsed="false">
      <c r="A4367" s="31"/>
      <c r="B4367" s="32"/>
      <c r="C4367" s="32"/>
      <c r="D4367" s="32"/>
      <c r="E4367" s="32"/>
      <c r="F4367" s="32"/>
      <c r="G4367" s="33"/>
      <c r="H4367" s="33"/>
      <c r="I4367" s="34" t="str">
        <f aca="false">IF($A4367="","",$G4367-$H4367)</f>
        <v/>
      </c>
      <c r="J4367" s="35" t="str">
        <f aca="false">IF($A4367="","",IF(Setup!$B$6=1,YEAR($A4367),YEAR($A4367)+IF(MONTH($A4367)&gt;=Setup!$B$6,1,0)))</f>
        <v/>
      </c>
      <c r="K4367" s="35" t="str">
        <f aca="false">IF($A4367="","",MOD(MONTH($A4367)-Setup!$B$6+12,12)+1)</f>
        <v/>
      </c>
      <c r="L4367" s="36" t="str">
        <f aca="false">IF($A4367="","",TEXT($A4367,"MMM-YY"))</f>
        <v/>
      </c>
      <c r="M4367" s="37" t="str">
        <f aca="false">IF($A4367="","",IF($Q4367=0,"UNMAPPED",INDEX(COA_Mapping!$C$7:$C$256,$Q4367)))</f>
        <v/>
      </c>
      <c r="N4367" s="38" t="str">
        <f aca="false">IF($A4367="","",IF($Q4367=0,"",INDEX(COA_Mapping!$E$7:$E$256,$Q4367)))</f>
        <v/>
      </c>
      <c r="O4367" s="38" t="n">
        <f aca="false">IF($A4367="",1,IF($Q4367=0,1,INDEX(COA_Mapping!$F$7:$F$256,$Q4367)))</f>
        <v>1</v>
      </c>
      <c r="P4367" s="34" t="str">
        <f aca="false">IF($A4367="","",$I4367*$O4367)</f>
        <v/>
      </c>
      <c r="Q4367" s="39" t="n">
        <f aca="false">IF($B4367="",0,IFERROR(MATCH($B4367,COA_Mapping!$A$7:$A$256,0),0))</f>
        <v>0</v>
      </c>
      <c r="R4367" s="39" t="n">
        <f aca="false">IF($A4367="",-1,IF($J4367=Setup!$B$7,1,IF($J4367=Setup!$B$9,0,-1)))</f>
        <v>-1</v>
      </c>
      <c r="S4367" s="35" t="n">
        <f aca="false">IF(OR($A4367="",$Q4367=0,$R4367=-1),0,$Q4367*1000+$R4367*100+$K4367)</f>
        <v>0</v>
      </c>
      <c r="T4367" s="37" t="str">
        <f aca="false">IF($A4367="","",IF($B4367="","NO ACCOUNT",IF($Q4367=0,"UNMAPPED",IF($R4367=-1,"OUTSIDE FY RANGE","OK"))))</f>
        <v/>
      </c>
      <c r="U4367" s="40" t="str">
        <f aca="false">IF($A4367="","",$B4367&amp;"|"&amp;TEXT($A4367,"yyyymmdd")&amp;"|"&amp;TEXT($I4367,"0.00"))</f>
        <v/>
      </c>
      <c r="V4367" s="35" t="str">
        <f aca="false">IF($A4367="","",COUNTIF($U$8:$U$5007,$U4367))</f>
        <v/>
      </c>
    </row>
    <row r="4368" customFormat="false" ht="15" hidden="false" customHeight="false" outlineLevel="0" collapsed="false">
      <c r="A4368" s="31"/>
      <c r="B4368" s="32"/>
      <c r="C4368" s="32"/>
      <c r="D4368" s="32"/>
      <c r="E4368" s="32"/>
      <c r="F4368" s="32"/>
      <c r="G4368" s="33"/>
      <c r="H4368" s="33"/>
      <c r="I4368" s="34" t="str">
        <f aca="false">IF($A4368="","",$G4368-$H4368)</f>
        <v/>
      </c>
      <c r="J4368" s="35" t="str">
        <f aca="false">IF($A4368="","",IF(Setup!$B$6=1,YEAR($A4368),YEAR($A4368)+IF(MONTH($A4368)&gt;=Setup!$B$6,1,0)))</f>
        <v/>
      </c>
      <c r="K4368" s="35" t="str">
        <f aca="false">IF($A4368="","",MOD(MONTH($A4368)-Setup!$B$6+12,12)+1)</f>
        <v/>
      </c>
      <c r="L4368" s="36" t="str">
        <f aca="false">IF($A4368="","",TEXT($A4368,"MMM-YY"))</f>
        <v/>
      </c>
      <c r="M4368" s="37" t="str">
        <f aca="false">IF($A4368="","",IF($Q4368=0,"UNMAPPED",INDEX(COA_Mapping!$C$7:$C$256,$Q4368)))</f>
        <v/>
      </c>
      <c r="N4368" s="38" t="str">
        <f aca="false">IF($A4368="","",IF($Q4368=0,"",INDEX(COA_Mapping!$E$7:$E$256,$Q4368)))</f>
        <v/>
      </c>
      <c r="O4368" s="38" t="n">
        <f aca="false">IF($A4368="",1,IF($Q4368=0,1,INDEX(COA_Mapping!$F$7:$F$256,$Q4368)))</f>
        <v>1</v>
      </c>
      <c r="P4368" s="34" t="str">
        <f aca="false">IF($A4368="","",$I4368*$O4368)</f>
        <v/>
      </c>
      <c r="Q4368" s="39" t="n">
        <f aca="false">IF($B4368="",0,IFERROR(MATCH($B4368,COA_Mapping!$A$7:$A$256,0),0))</f>
        <v>0</v>
      </c>
      <c r="R4368" s="39" t="n">
        <f aca="false">IF($A4368="",-1,IF($J4368=Setup!$B$7,1,IF($J4368=Setup!$B$9,0,-1)))</f>
        <v>-1</v>
      </c>
      <c r="S4368" s="35" t="n">
        <f aca="false">IF(OR($A4368="",$Q4368=0,$R4368=-1),0,$Q4368*1000+$R4368*100+$K4368)</f>
        <v>0</v>
      </c>
      <c r="T4368" s="37" t="str">
        <f aca="false">IF($A4368="","",IF($B4368="","NO ACCOUNT",IF($Q4368=0,"UNMAPPED",IF($R4368=-1,"OUTSIDE FY RANGE","OK"))))</f>
        <v/>
      </c>
      <c r="U4368" s="40" t="str">
        <f aca="false">IF($A4368="","",$B4368&amp;"|"&amp;TEXT($A4368,"yyyymmdd")&amp;"|"&amp;TEXT($I4368,"0.00"))</f>
        <v/>
      </c>
      <c r="V4368" s="35" t="str">
        <f aca="false">IF($A4368="","",COUNTIF($U$8:$U$5007,$U4368))</f>
        <v/>
      </c>
    </row>
    <row r="4369" customFormat="false" ht="15" hidden="false" customHeight="false" outlineLevel="0" collapsed="false">
      <c r="A4369" s="31"/>
      <c r="B4369" s="32"/>
      <c r="C4369" s="32"/>
      <c r="D4369" s="32"/>
      <c r="E4369" s="32"/>
      <c r="F4369" s="32"/>
      <c r="G4369" s="33"/>
      <c r="H4369" s="33"/>
      <c r="I4369" s="34" t="str">
        <f aca="false">IF($A4369="","",$G4369-$H4369)</f>
        <v/>
      </c>
      <c r="J4369" s="35" t="str">
        <f aca="false">IF($A4369="","",IF(Setup!$B$6=1,YEAR($A4369),YEAR($A4369)+IF(MONTH($A4369)&gt;=Setup!$B$6,1,0)))</f>
        <v/>
      </c>
      <c r="K4369" s="35" t="str">
        <f aca="false">IF($A4369="","",MOD(MONTH($A4369)-Setup!$B$6+12,12)+1)</f>
        <v/>
      </c>
      <c r="L4369" s="36" t="str">
        <f aca="false">IF($A4369="","",TEXT($A4369,"MMM-YY"))</f>
        <v/>
      </c>
      <c r="M4369" s="37" t="str">
        <f aca="false">IF($A4369="","",IF($Q4369=0,"UNMAPPED",INDEX(COA_Mapping!$C$7:$C$256,$Q4369)))</f>
        <v/>
      </c>
      <c r="N4369" s="38" t="str">
        <f aca="false">IF($A4369="","",IF($Q4369=0,"",INDEX(COA_Mapping!$E$7:$E$256,$Q4369)))</f>
        <v/>
      </c>
      <c r="O4369" s="38" t="n">
        <f aca="false">IF($A4369="",1,IF($Q4369=0,1,INDEX(COA_Mapping!$F$7:$F$256,$Q4369)))</f>
        <v>1</v>
      </c>
      <c r="P4369" s="34" t="str">
        <f aca="false">IF($A4369="","",$I4369*$O4369)</f>
        <v/>
      </c>
      <c r="Q4369" s="39" t="n">
        <f aca="false">IF($B4369="",0,IFERROR(MATCH($B4369,COA_Mapping!$A$7:$A$256,0),0))</f>
        <v>0</v>
      </c>
      <c r="R4369" s="39" t="n">
        <f aca="false">IF($A4369="",-1,IF($J4369=Setup!$B$7,1,IF($J4369=Setup!$B$9,0,-1)))</f>
        <v>-1</v>
      </c>
      <c r="S4369" s="35" t="n">
        <f aca="false">IF(OR($A4369="",$Q4369=0,$R4369=-1),0,$Q4369*1000+$R4369*100+$K4369)</f>
        <v>0</v>
      </c>
      <c r="T4369" s="37" t="str">
        <f aca="false">IF($A4369="","",IF($B4369="","NO ACCOUNT",IF($Q4369=0,"UNMAPPED",IF($R4369=-1,"OUTSIDE FY RANGE","OK"))))</f>
        <v/>
      </c>
      <c r="U4369" s="40" t="str">
        <f aca="false">IF($A4369="","",$B4369&amp;"|"&amp;TEXT($A4369,"yyyymmdd")&amp;"|"&amp;TEXT($I4369,"0.00"))</f>
        <v/>
      </c>
      <c r="V4369" s="35" t="str">
        <f aca="false">IF($A4369="","",COUNTIF($U$8:$U$5007,$U4369))</f>
        <v/>
      </c>
    </row>
    <row r="4370" customFormat="false" ht="15" hidden="false" customHeight="false" outlineLevel="0" collapsed="false">
      <c r="A4370" s="31"/>
      <c r="B4370" s="32"/>
      <c r="C4370" s="32"/>
      <c r="D4370" s="32"/>
      <c r="E4370" s="32"/>
      <c r="F4370" s="32"/>
      <c r="G4370" s="33"/>
      <c r="H4370" s="33"/>
      <c r="I4370" s="34" t="str">
        <f aca="false">IF($A4370="","",$G4370-$H4370)</f>
        <v/>
      </c>
      <c r="J4370" s="35" t="str">
        <f aca="false">IF($A4370="","",IF(Setup!$B$6=1,YEAR($A4370),YEAR($A4370)+IF(MONTH($A4370)&gt;=Setup!$B$6,1,0)))</f>
        <v/>
      </c>
      <c r="K4370" s="35" t="str">
        <f aca="false">IF($A4370="","",MOD(MONTH($A4370)-Setup!$B$6+12,12)+1)</f>
        <v/>
      </c>
      <c r="L4370" s="36" t="str">
        <f aca="false">IF($A4370="","",TEXT($A4370,"MMM-YY"))</f>
        <v/>
      </c>
      <c r="M4370" s="37" t="str">
        <f aca="false">IF($A4370="","",IF($Q4370=0,"UNMAPPED",INDEX(COA_Mapping!$C$7:$C$256,$Q4370)))</f>
        <v/>
      </c>
      <c r="N4370" s="38" t="str">
        <f aca="false">IF($A4370="","",IF($Q4370=0,"",INDEX(COA_Mapping!$E$7:$E$256,$Q4370)))</f>
        <v/>
      </c>
      <c r="O4370" s="38" t="n">
        <f aca="false">IF($A4370="",1,IF($Q4370=0,1,INDEX(COA_Mapping!$F$7:$F$256,$Q4370)))</f>
        <v>1</v>
      </c>
      <c r="P4370" s="34" t="str">
        <f aca="false">IF($A4370="","",$I4370*$O4370)</f>
        <v/>
      </c>
      <c r="Q4370" s="39" t="n">
        <f aca="false">IF($B4370="",0,IFERROR(MATCH($B4370,COA_Mapping!$A$7:$A$256,0),0))</f>
        <v>0</v>
      </c>
      <c r="R4370" s="39" t="n">
        <f aca="false">IF($A4370="",-1,IF($J4370=Setup!$B$7,1,IF($J4370=Setup!$B$9,0,-1)))</f>
        <v>-1</v>
      </c>
      <c r="S4370" s="35" t="n">
        <f aca="false">IF(OR($A4370="",$Q4370=0,$R4370=-1),0,$Q4370*1000+$R4370*100+$K4370)</f>
        <v>0</v>
      </c>
      <c r="T4370" s="37" t="str">
        <f aca="false">IF($A4370="","",IF($B4370="","NO ACCOUNT",IF($Q4370=0,"UNMAPPED",IF($R4370=-1,"OUTSIDE FY RANGE","OK"))))</f>
        <v/>
      </c>
      <c r="U4370" s="40" t="str">
        <f aca="false">IF($A4370="","",$B4370&amp;"|"&amp;TEXT($A4370,"yyyymmdd")&amp;"|"&amp;TEXT($I4370,"0.00"))</f>
        <v/>
      </c>
      <c r="V4370" s="35" t="str">
        <f aca="false">IF($A4370="","",COUNTIF($U$8:$U$5007,$U4370))</f>
        <v/>
      </c>
    </row>
    <row r="4371" customFormat="false" ht="15" hidden="false" customHeight="false" outlineLevel="0" collapsed="false">
      <c r="A4371" s="31"/>
      <c r="B4371" s="32"/>
      <c r="C4371" s="32"/>
      <c r="D4371" s="32"/>
      <c r="E4371" s="32"/>
      <c r="F4371" s="32"/>
      <c r="G4371" s="33"/>
      <c r="H4371" s="33"/>
      <c r="I4371" s="34" t="str">
        <f aca="false">IF($A4371="","",$G4371-$H4371)</f>
        <v/>
      </c>
      <c r="J4371" s="35" t="str">
        <f aca="false">IF($A4371="","",IF(Setup!$B$6=1,YEAR($A4371),YEAR($A4371)+IF(MONTH($A4371)&gt;=Setup!$B$6,1,0)))</f>
        <v/>
      </c>
      <c r="K4371" s="35" t="str">
        <f aca="false">IF($A4371="","",MOD(MONTH($A4371)-Setup!$B$6+12,12)+1)</f>
        <v/>
      </c>
      <c r="L4371" s="36" t="str">
        <f aca="false">IF($A4371="","",TEXT($A4371,"MMM-YY"))</f>
        <v/>
      </c>
      <c r="M4371" s="37" t="str">
        <f aca="false">IF($A4371="","",IF($Q4371=0,"UNMAPPED",INDEX(COA_Mapping!$C$7:$C$256,$Q4371)))</f>
        <v/>
      </c>
      <c r="N4371" s="38" t="str">
        <f aca="false">IF($A4371="","",IF($Q4371=0,"",INDEX(COA_Mapping!$E$7:$E$256,$Q4371)))</f>
        <v/>
      </c>
      <c r="O4371" s="38" t="n">
        <f aca="false">IF($A4371="",1,IF($Q4371=0,1,INDEX(COA_Mapping!$F$7:$F$256,$Q4371)))</f>
        <v>1</v>
      </c>
      <c r="P4371" s="34" t="str">
        <f aca="false">IF($A4371="","",$I4371*$O4371)</f>
        <v/>
      </c>
      <c r="Q4371" s="39" t="n">
        <f aca="false">IF($B4371="",0,IFERROR(MATCH($B4371,COA_Mapping!$A$7:$A$256,0),0))</f>
        <v>0</v>
      </c>
      <c r="R4371" s="39" t="n">
        <f aca="false">IF($A4371="",-1,IF($J4371=Setup!$B$7,1,IF($J4371=Setup!$B$9,0,-1)))</f>
        <v>-1</v>
      </c>
      <c r="S4371" s="35" t="n">
        <f aca="false">IF(OR($A4371="",$Q4371=0,$R4371=-1),0,$Q4371*1000+$R4371*100+$K4371)</f>
        <v>0</v>
      </c>
      <c r="T4371" s="37" t="str">
        <f aca="false">IF($A4371="","",IF($B4371="","NO ACCOUNT",IF($Q4371=0,"UNMAPPED",IF($R4371=-1,"OUTSIDE FY RANGE","OK"))))</f>
        <v/>
      </c>
      <c r="U4371" s="40" t="str">
        <f aca="false">IF($A4371="","",$B4371&amp;"|"&amp;TEXT($A4371,"yyyymmdd")&amp;"|"&amp;TEXT($I4371,"0.00"))</f>
        <v/>
      </c>
      <c r="V4371" s="35" t="str">
        <f aca="false">IF($A4371="","",COUNTIF($U$8:$U$5007,$U4371))</f>
        <v/>
      </c>
    </row>
    <row r="4372" customFormat="false" ht="15" hidden="false" customHeight="false" outlineLevel="0" collapsed="false">
      <c r="A4372" s="31"/>
      <c r="B4372" s="32"/>
      <c r="C4372" s="32"/>
      <c r="D4372" s="32"/>
      <c r="E4372" s="32"/>
      <c r="F4372" s="32"/>
      <c r="G4372" s="33"/>
      <c r="H4372" s="33"/>
      <c r="I4372" s="34" t="str">
        <f aca="false">IF($A4372="","",$G4372-$H4372)</f>
        <v/>
      </c>
      <c r="J4372" s="35" t="str">
        <f aca="false">IF($A4372="","",IF(Setup!$B$6=1,YEAR($A4372),YEAR($A4372)+IF(MONTH($A4372)&gt;=Setup!$B$6,1,0)))</f>
        <v/>
      </c>
      <c r="K4372" s="35" t="str">
        <f aca="false">IF($A4372="","",MOD(MONTH($A4372)-Setup!$B$6+12,12)+1)</f>
        <v/>
      </c>
      <c r="L4372" s="36" t="str">
        <f aca="false">IF($A4372="","",TEXT($A4372,"MMM-YY"))</f>
        <v/>
      </c>
      <c r="M4372" s="37" t="str">
        <f aca="false">IF($A4372="","",IF($Q4372=0,"UNMAPPED",INDEX(COA_Mapping!$C$7:$C$256,$Q4372)))</f>
        <v/>
      </c>
      <c r="N4372" s="38" t="str">
        <f aca="false">IF($A4372="","",IF($Q4372=0,"",INDEX(COA_Mapping!$E$7:$E$256,$Q4372)))</f>
        <v/>
      </c>
      <c r="O4372" s="38" t="n">
        <f aca="false">IF($A4372="",1,IF($Q4372=0,1,INDEX(COA_Mapping!$F$7:$F$256,$Q4372)))</f>
        <v>1</v>
      </c>
      <c r="P4372" s="34" t="str">
        <f aca="false">IF($A4372="","",$I4372*$O4372)</f>
        <v/>
      </c>
      <c r="Q4372" s="39" t="n">
        <f aca="false">IF($B4372="",0,IFERROR(MATCH($B4372,COA_Mapping!$A$7:$A$256,0),0))</f>
        <v>0</v>
      </c>
      <c r="R4372" s="39" t="n">
        <f aca="false">IF($A4372="",-1,IF($J4372=Setup!$B$7,1,IF($J4372=Setup!$B$9,0,-1)))</f>
        <v>-1</v>
      </c>
      <c r="S4372" s="35" t="n">
        <f aca="false">IF(OR($A4372="",$Q4372=0,$R4372=-1),0,$Q4372*1000+$R4372*100+$K4372)</f>
        <v>0</v>
      </c>
      <c r="T4372" s="37" t="str">
        <f aca="false">IF($A4372="","",IF($B4372="","NO ACCOUNT",IF($Q4372=0,"UNMAPPED",IF($R4372=-1,"OUTSIDE FY RANGE","OK"))))</f>
        <v/>
      </c>
      <c r="U4372" s="40" t="str">
        <f aca="false">IF($A4372="","",$B4372&amp;"|"&amp;TEXT($A4372,"yyyymmdd")&amp;"|"&amp;TEXT($I4372,"0.00"))</f>
        <v/>
      </c>
      <c r="V4372" s="35" t="str">
        <f aca="false">IF($A4372="","",COUNTIF($U$8:$U$5007,$U4372))</f>
        <v/>
      </c>
    </row>
    <row r="4373" customFormat="false" ht="15" hidden="false" customHeight="false" outlineLevel="0" collapsed="false">
      <c r="A4373" s="31"/>
      <c r="B4373" s="32"/>
      <c r="C4373" s="32"/>
      <c r="D4373" s="32"/>
      <c r="E4373" s="32"/>
      <c r="F4373" s="32"/>
      <c r="G4373" s="33"/>
      <c r="H4373" s="33"/>
      <c r="I4373" s="34" t="str">
        <f aca="false">IF($A4373="","",$G4373-$H4373)</f>
        <v/>
      </c>
      <c r="J4373" s="35" t="str">
        <f aca="false">IF($A4373="","",IF(Setup!$B$6=1,YEAR($A4373),YEAR($A4373)+IF(MONTH($A4373)&gt;=Setup!$B$6,1,0)))</f>
        <v/>
      </c>
      <c r="K4373" s="35" t="str">
        <f aca="false">IF($A4373="","",MOD(MONTH($A4373)-Setup!$B$6+12,12)+1)</f>
        <v/>
      </c>
      <c r="L4373" s="36" t="str">
        <f aca="false">IF($A4373="","",TEXT($A4373,"MMM-YY"))</f>
        <v/>
      </c>
      <c r="M4373" s="37" t="str">
        <f aca="false">IF($A4373="","",IF($Q4373=0,"UNMAPPED",INDEX(COA_Mapping!$C$7:$C$256,$Q4373)))</f>
        <v/>
      </c>
      <c r="N4373" s="38" t="str">
        <f aca="false">IF($A4373="","",IF($Q4373=0,"",INDEX(COA_Mapping!$E$7:$E$256,$Q4373)))</f>
        <v/>
      </c>
      <c r="O4373" s="38" t="n">
        <f aca="false">IF($A4373="",1,IF($Q4373=0,1,INDEX(COA_Mapping!$F$7:$F$256,$Q4373)))</f>
        <v>1</v>
      </c>
      <c r="P4373" s="34" t="str">
        <f aca="false">IF($A4373="","",$I4373*$O4373)</f>
        <v/>
      </c>
      <c r="Q4373" s="39" t="n">
        <f aca="false">IF($B4373="",0,IFERROR(MATCH($B4373,COA_Mapping!$A$7:$A$256,0),0))</f>
        <v>0</v>
      </c>
      <c r="R4373" s="39" t="n">
        <f aca="false">IF($A4373="",-1,IF($J4373=Setup!$B$7,1,IF($J4373=Setup!$B$9,0,-1)))</f>
        <v>-1</v>
      </c>
      <c r="S4373" s="35" t="n">
        <f aca="false">IF(OR($A4373="",$Q4373=0,$R4373=-1),0,$Q4373*1000+$R4373*100+$K4373)</f>
        <v>0</v>
      </c>
      <c r="T4373" s="37" t="str">
        <f aca="false">IF($A4373="","",IF($B4373="","NO ACCOUNT",IF($Q4373=0,"UNMAPPED",IF($R4373=-1,"OUTSIDE FY RANGE","OK"))))</f>
        <v/>
      </c>
      <c r="U4373" s="40" t="str">
        <f aca="false">IF($A4373="","",$B4373&amp;"|"&amp;TEXT($A4373,"yyyymmdd")&amp;"|"&amp;TEXT($I4373,"0.00"))</f>
        <v/>
      </c>
      <c r="V4373" s="35" t="str">
        <f aca="false">IF($A4373="","",COUNTIF($U$8:$U$5007,$U4373))</f>
        <v/>
      </c>
    </row>
    <row r="4374" customFormat="false" ht="15" hidden="false" customHeight="false" outlineLevel="0" collapsed="false">
      <c r="A4374" s="31"/>
      <c r="B4374" s="32"/>
      <c r="C4374" s="32"/>
      <c r="D4374" s="32"/>
      <c r="E4374" s="32"/>
      <c r="F4374" s="32"/>
      <c r="G4374" s="33"/>
      <c r="H4374" s="33"/>
      <c r="I4374" s="34" t="str">
        <f aca="false">IF($A4374="","",$G4374-$H4374)</f>
        <v/>
      </c>
      <c r="J4374" s="35" t="str">
        <f aca="false">IF($A4374="","",IF(Setup!$B$6=1,YEAR($A4374),YEAR($A4374)+IF(MONTH($A4374)&gt;=Setup!$B$6,1,0)))</f>
        <v/>
      </c>
      <c r="K4374" s="35" t="str">
        <f aca="false">IF($A4374="","",MOD(MONTH($A4374)-Setup!$B$6+12,12)+1)</f>
        <v/>
      </c>
      <c r="L4374" s="36" t="str">
        <f aca="false">IF($A4374="","",TEXT($A4374,"MMM-YY"))</f>
        <v/>
      </c>
      <c r="M4374" s="37" t="str">
        <f aca="false">IF($A4374="","",IF($Q4374=0,"UNMAPPED",INDEX(COA_Mapping!$C$7:$C$256,$Q4374)))</f>
        <v/>
      </c>
      <c r="N4374" s="38" t="str">
        <f aca="false">IF($A4374="","",IF($Q4374=0,"",INDEX(COA_Mapping!$E$7:$E$256,$Q4374)))</f>
        <v/>
      </c>
      <c r="O4374" s="38" t="n">
        <f aca="false">IF($A4374="",1,IF($Q4374=0,1,INDEX(COA_Mapping!$F$7:$F$256,$Q4374)))</f>
        <v>1</v>
      </c>
      <c r="P4374" s="34" t="str">
        <f aca="false">IF($A4374="","",$I4374*$O4374)</f>
        <v/>
      </c>
      <c r="Q4374" s="39" t="n">
        <f aca="false">IF($B4374="",0,IFERROR(MATCH($B4374,COA_Mapping!$A$7:$A$256,0),0))</f>
        <v>0</v>
      </c>
      <c r="R4374" s="39" t="n">
        <f aca="false">IF($A4374="",-1,IF($J4374=Setup!$B$7,1,IF($J4374=Setup!$B$9,0,-1)))</f>
        <v>-1</v>
      </c>
      <c r="S4374" s="35" t="n">
        <f aca="false">IF(OR($A4374="",$Q4374=0,$R4374=-1),0,$Q4374*1000+$R4374*100+$K4374)</f>
        <v>0</v>
      </c>
      <c r="T4374" s="37" t="str">
        <f aca="false">IF($A4374="","",IF($B4374="","NO ACCOUNT",IF($Q4374=0,"UNMAPPED",IF($R4374=-1,"OUTSIDE FY RANGE","OK"))))</f>
        <v/>
      </c>
      <c r="U4374" s="40" t="str">
        <f aca="false">IF($A4374="","",$B4374&amp;"|"&amp;TEXT($A4374,"yyyymmdd")&amp;"|"&amp;TEXT($I4374,"0.00"))</f>
        <v/>
      </c>
      <c r="V4374" s="35" t="str">
        <f aca="false">IF($A4374="","",COUNTIF($U$8:$U$5007,$U4374))</f>
        <v/>
      </c>
    </row>
    <row r="4375" customFormat="false" ht="15" hidden="false" customHeight="false" outlineLevel="0" collapsed="false">
      <c r="A4375" s="31"/>
      <c r="B4375" s="32"/>
      <c r="C4375" s="32"/>
      <c r="D4375" s="32"/>
      <c r="E4375" s="32"/>
      <c r="F4375" s="32"/>
      <c r="G4375" s="33"/>
      <c r="H4375" s="33"/>
      <c r="I4375" s="34" t="str">
        <f aca="false">IF($A4375="","",$G4375-$H4375)</f>
        <v/>
      </c>
      <c r="J4375" s="35" t="str">
        <f aca="false">IF($A4375="","",IF(Setup!$B$6=1,YEAR($A4375),YEAR($A4375)+IF(MONTH($A4375)&gt;=Setup!$B$6,1,0)))</f>
        <v/>
      </c>
      <c r="K4375" s="35" t="str">
        <f aca="false">IF($A4375="","",MOD(MONTH($A4375)-Setup!$B$6+12,12)+1)</f>
        <v/>
      </c>
      <c r="L4375" s="36" t="str">
        <f aca="false">IF($A4375="","",TEXT($A4375,"MMM-YY"))</f>
        <v/>
      </c>
      <c r="M4375" s="37" t="str">
        <f aca="false">IF($A4375="","",IF($Q4375=0,"UNMAPPED",INDEX(COA_Mapping!$C$7:$C$256,$Q4375)))</f>
        <v/>
      </c>
      <c r="N4375" s="38" t="str">
        <f aca="false">IF($A4375="","",IF($Q4375=0,"",INDEX(COA_Mapping!$E$7:$E$256,$Q4375)))</f>
        <v/>
      </c>
      <c r="O4375" s="38" t="n">
        <f aca="false">IF($A4375="",1,IF($Q4375=0,1,INDEX(COA_Mapping!$F$7:$F$256,$Q4375)))</f>
        <v>1</v>
      </c>
      <c r="P4375" s="34" t="str">
        <f aca="false">IF($A4375="","",$I4375*$O4375)</f>
        <v/>
      </c>
      <c r="Q4375" s="39" t="n">
        <f aca="false">IF($B4375="",0,IFERROR(MATCH($B4375,COA_Mapping!$A$7:$A$256,0),0))</f>
        <v>0</v>
      </c>
      <c r="R4375" s="39" t="n">
        <f aca="false">IF($A4375="",-1,IF($J4375=Setup!$B$7,1,IF($J4375=Setup!$B$9,0,-1)))</f>
        <v>-1</v>
      </c>
      <c r="S4375" s="35" t="n">
        <f aca="false">IF(OR($A4375="",$Q4375=0,$R4375=-1),0,$Q4375*1000+$R4375*100+$K4375)</f>
        <v>0</v>
      </c>
      <c r="T4375" s="37" t="str">
        <f aca="false">IF($A4375="","",IF($B4375="","NO ACCOUNT",IF($Q4375=0,"UNMAPPED",IF($R4375=-1,"OUTSIDE FY RANGE","OK"))))</f>
        <v/>
      </c>
      <c r="U4375" s="40" t="str">
        <f aca="false">IF($A4375="","",$B4375&amp;"|"&amp;TEXT($A4375,"yyyymmdd")&amp;"|"&amp;TEXT($I4375,"0.00"))</f>
        <v/>
      </c>
      <c r="V4375" s="35" t="str">
        <f aca="false">IF($A4375="","",COUNTIF($U$8:$U$5007,$U4375))</f>
        <v/>
      </c>
    </row>
    <row r="4376" customFormat="false" ht="15" hidden="false" customHeight="false" outlineLevel="0" collapsed="false">
      <c r="A4376" s="31"/>
      <c r="B4376" s="32"/>
      <c r="C4376" s="32"/>
      <c r="D4376" s="32"/>
      <c r="E4376" s="32"/>
      <c r="F4376" s="32"/>
      <c r="G4376" s="33"/>
      <c r="H4376" s="33"/>
      <c r="I4376" s="34" t="str">
        <f aca="false">IF($A4376="","",$G4376-$H4376)</f>
        <v/>
      </c>
      <c r="J4376" s="35" t="str">
        <f aca="false">IF($A4376="","",IF(Setup!$B$6=1,YEAR($A4376),YEAR($A4376)+IF(MONTH($A4376)&gt;=Setup!$B$6,1,0)))</f>
        <v/>
      </c>
      <c r="K4376" s="35" t="str">
        <f aca="false">IF($A4376="","",MOD(MONTH($A4376)-Setup!$B$6+12,12)+1)</f>
        <v/>
      </c>
      <c r="L4376" s="36" t="str">
        <f aca="false">IF($A4376="","",TEXT($A4376,"MMM-YY"))</f>
        <v/>
      </c>
      <c r="M4376" s="37" t="str">
        <f aca="false">IF($A4376="","",IF($Q4376=0,"UNMAPPED",INDEX(COA_Mapping!$C$7:$C$256,$Q4376)))</f>
        <v/>
      </c>
      <c r="N4376" s="38" t="str">
        <f aca="false">IF($A4376="","",IF($Q4376=0,"",INDEX(COA_Mapping!$E$7:$E$256,$Q4376)))</f>
        <v/>
      </c>
      <c r="O4376" s="38" t="n">
        <f aca="false">IF($A4376="",1,IF($Q4376=0,1,INDEX(COA_Mapping!$F$7:$F$256,$Q4376)))</f>
        <v>1</v>
      </c>
      <c r="P4376" s="34" t="str">
        <f aca="false">IF($A4376="","",$I4376*$O4376)</f>
        <v/>
      </c>
      <c r="Q4376" s="39" t="n">
        <f aca="false">IF($B4376="",0,IFERROR(MATCH($B4376,COA_Mapping!$A$7:$A$256,0),0))</f>
        <v>0</v>
      </c>
      <c r="R4376" s="39" t="n">
        <f aca="false">IF($A4376="",-1,IF($J4376=Setup!$B$7,1,IF($J4376=Setup!$B$9,0,-1)))</f>
        <v>-1</v>
      </c>
      <c r="S4376" s="35" t="n">
        <f aca="false">IF(OR($A4376="",$Q4376=0,$R4376=-1),0,$Q4376*1000+$R4376*100+$K4376)</f>
        <v>0</v>
      </c>
      <c r="T4376" s="37" t="str">
        <f aca="false">IF($A4376="","",IF($B4376="","NO ACCOUNT",IF($Q4376=0,"UNMAPPED",IF($R4376=-1,"OUTSIDE FY RANGE","OK"))))</f>
        <v/>
      </c>
      <c r="U4376" s="40" t="str">
        <f aca="false">IF($A4376="","",$B4376&amp;"|"&amp;TEXT($A4376,"yyyymmdd")&amp;"|"&amp;TEXT($I4376,"0.00"))</f>
        <v/>
      </c>
      <c r="V4376" s="35" t="str">
        <f aca="false">IF($A4376="","",COUNTIF($U$8:$U$5007,$U4376))</f>
        <v/>
      </c>
    </row>
    <row r="4377" customFormat="false" ht="15" hidden="false" customHeight="false" outlineLevel="0" collapsed="false">
      <c r="A4377" s="31"/>
      <c r="B4377" s="32"/>
      <c r="C4377" s="32"/>
      <c r="D4377" s="32"/>
      <c r="E4377" s="32"/>
      <c r="F4377" s="32"/>
      <c r="G4377" s="33"/>
      <c r="H4377" s="33"/>
      <c r="I4377" s="34" t="str">
        <f aca="false">IF($A4377="","",$G4377-$H4377)</f>
        <v/>
      </c>
      <c r="J4377" s="35" t="str">
        <f aca="false">IF($A4377="","",IF(Setup!$B$6=1,YEAR($A4377),YEAR($A4377)+IF(MONTH($A4377)&gt;=Setup!$B$6,1,0)))</f>
        <v/>
      </c>
      <c r="K4377" s="35" t="str">
        <f aca="false">IF($A4377="","",MOD(MONTH($A4377)-Setup!$B$6+12,12)+1)</f>
        <v/>
      </c>
      <c r="L4377" s="36" t="str">
        <f aca="false">IF($A4377="","",TEXT($A4377,"MMM-YY"))</f>
        <v/>
      </c>
      <c r="M4377" s="37" t="str">
        <f aca="false">IF($A4377="","",IF($Q4377=0,"UNMAPPED",INDEX(COA_Mapping!$C$7:$C$256,$Q4377)))</f>
        <v/>
      </c>
      <c r="N4377" s="38" t="str">
        <f aca="false">IF($A4377="","",IF($Q4377=0,"",INDEX(COA_Mapping!$E$7:$E$256,$Q4377)))</f>
        <v/>
      </c>
      <c r="O4377" s="38" t="n">
        <f aca="false">IF($A4377="",1,IF($Q4377=0,1,INDEX(COA_Mapping!$F$7:$F$256,$Q4377)))</f>
        <v>1</v>
      </c>
      <c r="P4377" s="34" t="str">
        <f aca="false">IF($A4377="","",$I4377*$O4377)</f>
        <v/>
      </c>
      <c r="Q4377" s="39" t="n">
        <f aca="false">IF($B4377="",0,IFERROR(MATCH($B4377,COA_Mapping!$A$7:$A$256,0),0))</f>
        <v>0</v>
      </c>
      <c r="R4377" s="39" t="n">
        <f aca="false">IF($A4377="",-1,IF($J4377=Setup!$B$7,1,IF($J4377=Setup!$B$9,0,-1)))</f>
        <v>-1</v>
      </c>
      <c r="S4377" s="35" t="n">
        <f aca="false">IF(OR($A4377="",$Q4377=0,$R4377=-1),0,$Q4377*1000+$R4377*100+$K4377)</f>
        <v>0</v>
      </c>
      <c r="T4377" s="37" t="str">
        <f aca="false">IF($A4377="","",IF($B4377="","NO ACCOUNT",IF($Q4377=0,"UNMAPPED",IF($R4377=-1,"OUTSIDE FY RANGE","OK"))))</f>
        <v/>
      </c>
      <c r="U4377" s="40" t="str">
        <f aca="false">IF($A4377="","",$B4377&amp;"|"&amp;TEXT($A4377,"yyyymmdd")&amp;"|"&amp;TEXT($I4377,"0.00"))</f>
        <v/>
      </c>
      <c r="V4377" s="35" t="str">
        <f aca="false">IF($A4377="","",COUNTIF($U$8:$U$5007,$U4377))</f>
        <v/>
      </c>
    </row>
    <row r="4378" customFormat="false" ht="15" hidden="false" customHeight="false" outlineLevel="0" collapsed="false">
      <c r="A4378" s="31"/>
      <c r="B4378" s="32"/>
      <c r="C4378" s="32"/>
      <c r="D4378" s="32"/>
      <c r="E4378" s="32"/>
      <c r="F4378" s="32"/>
      <c r="G4378" s="33"/>
      <c r="H4378" s="33"/>
      <c r="I4378" s="34" t="str">
        <f aca="false">IF($A4378="","",$G4378-$H4378)</f>
        <v/>
      </c>
      <c r="J4378" s="35" t="str">
        <f aca="false">IF($A4378="","",IF(Setup!$B$6=1,YEAR($A4378),YEAR($A4378)+IF(MONTH($A4378)&gt;=Setup!$B$6,1,0)))</f>
        <v/>
      </c>
      <c r="K4378" s="35" t="str">
        <f aca="false">IF($A4378="","",MOD(MONTH($A4378)-Setup!$B$6+12,12)+1)</f>
        <v/>
      </c>
      <c r="L4378" s="36" t="str">
        <f aca="false">IF($A4378="","",TEXT($A4378,"MMM-YY"))</f>
        <v/>
      </c>
      <c r="M4378" s="37" t="str">
        <f aca="false">IF($A4378="","",IF($Q4378=0,"UNMAPPED",INDEX(COA_Mapping!$C$7:$C$256,$Q4378)))</f>
        <v/>
      </c>
      <c r="N4378" s="38" t="str">
        <f aca="false">IF($A4378="","",IF($Q4378=0,"",INDEX(COA_Mapping!$E$7:$E$256,$Q4378)))</f>
        <v/>
      </c>
      <c r="O4378" s="38" t="n">
        <f aca="false">IF($A4378="",1,IF($Q4378=0,1,INDEX(COA_Mapping!$F$7:$F$256,$Q4378)))</f>
        <v>1</v>
      </c>
      <c r="P4378" s="34" t="str">
        <f aca="false">IF($A4378="","",$I4378*$O4378)</f>
        <v/>
      </c>
      <c r="Q4378" s="39" t="n">
        <f aca="false">IF($B4378="",0,IFERROR(MATCH($B4378,COA_Mapping!$A$7:$A$256,0),0))</f>
        <v>0</v>
      </c>
      <c r="R4378" s="39" t="n">
        <f aca="false">IF($A4378="",-1,IF($J4378=Setup!$B$7,1,IF($J4378=Setup!$B$9,0,-1)))</f>
        <v>-1</v>
      </c>
      <c r="S4378" s="35" t="n">
        <f aca="false">IF(OR($A4378="",$Q4378=0,$R4378=-1),0,$Q4378*1000+$R4378*100+$K4378)</f>
        <v>0</v>
      </c>
      <c r="T4378" s="37" t="str">
        <f aca="false">IF($A4378="","",IF($B4378="","NO ACCOUNT",IF($Q4378=0,"UNMAPPED",IF($R4378=-1,"OUTSIDE FY RANGE","OK"))))</f>
        <v/>
      </c>
      <c r="U4378" s="40" t="str">
        <f aca="false">IF($A4378="","",$B4378&amp;"|"&amp;TEXT($A4378,"yyyymmdd")&amp;"|"&amp;TEXT($I4378,"0.00"))</f>
        <v/>
      </c>
      <c r="V4378" s="35" t="str">
        <f aca="false">IF($A4378="","",COUNTIF($U$8:$U$5007,$U4378))</f>
        <v/>
      </c>
    </row>
    <row r="4379" customFormat="false" ht="15" hidden="false" customHeight="false" outlineLevel="0" collapsed="false">
      <c r="A4379" s="31"/>
      <c r="B4379" s="32"/>
      <c r="C4379" s="32"/>
      <c r="D4379" s="32"/>
      <c r="E4379" s="32"/>
      <c r="F4379" s="32"/>
      <c r="G4379" s="33"/>
      <c r="H4379" s="33"/>
      <c r="I4379" s="34" t="str">
        <f aca="false">IF($A4379="","",$G4379-$H4379)</f>
        <v/>
      </c>
      <c r="J4379" s="35" t="str">
        <f aca="false">IF($A4379="","",IF(Setup!$B$6=1,YEAR($A4379),YEAR($A4379)+IF(MONTH($A4379)&gt;=Setup!$B$6,1,0)))</f>
        <v/>
      </c>
      <c r="K4379" s="35" t="str">
        <f aca="false">IF($A4379="","",MOD(MONTH($A4379)-Setup!$B$6+12,12)+1)</f>
        <v/>
      </c>
      <c r="L4379" s="36" t="str">
        <f aca="false">IF($A4379="","",TEXT($A4379,"MMM-YY"))</f>
        <v/>
      </c>
      <c r="M4379" s="37" t="str">
        <f aca="false">IF($A4379="","",IF($Q4379=0,"UNMAPPED",INDEX(COA_Mapping!$C$7:$C$256,$Q4379)))</f>
        <v/>
      </c>
      <c r="N4379" s="38" t="str">
        <f aca="false">IF($A4379="","",IF($Q4379=0,"",INDEX(COA_Mapping!$E$7:$E$256,$Q4379)))</f>
        <v/>
      </c>
      <c r="O4379" s="38" t="n">
        <f aca="false">IF($A4379="",1,IF($Q4379=0,1,INDEX(COA_Mapping!$F$7:$F$256,$Q4379)))</f>
        <v>1</v>
      </c>
      <c r="P4379" s="34" t="str">
        <f aca="false">IF($A4379="","",$I4379*$O4379)</f>
        <v/>
      </c>
      <c r="Q4379" s="39" t="n">
        <f aca="false">IF($B4379="",0,IFERROR(MATCH($B4379,COA_Mapping!$A$7:$A$256,0),0))</f>
        <v>0</v>
      </c>
      <c r="R4379" s="39" t="n">
        <f aca="false">IF($A4379="",-1,IF($J4379=Setup!$B$7,1,IF($J4379=Setup!$B$9,0,-1)))</f>
        <v>-1</v>
      </c>
      <c r="S4379" s="35" t="n">
        <f aca="false">IF(OR($A4379="",$Q4379=0,$R4379=-1),0,$Q4379*1000+$R4379*100+$K4379)</f>
        <v>0</v>
      </c>
      <c r="T4379" s="37" t="str">
        <f aca="false">IF($A4379="","",IF($B4379="","NO ACCOUNT",IF($Q4379=0,"UNMAPPED",IF($R4379=-1,"OUTSIDE FY RANGE","OK"))))</f>
        <v/>
      </c>
      <c r="U4379" s="40" t="str">
        <f aca="false">IF($A4379="","",$B4379&amp;"|"&amp;TEXT($A4379,"yyyymmdd")&amp;"|"&amp;TEXT($I4379,"0.00"))</f>
        <v/>
      </c>
      <c r="V4379" s="35" t="str">
        <f aca="false">IF($A4379="","",COUNTIF($U$8:$U$5007,$U4379))</f>
        <v/>
      </c>
    </row>
    <row r="4380" customFormat="false" ht="15" hidden="false" customHeight="false" outlineLevel="0" collapsed="false">
      <c r="A4380" s="31"/>
      <c r="B4380" s="32"/>
      <c r="C4380" s="32"/>
      <c r="D4380" s="32"/>
      <c r="E4380" s="32"/>
      <c r="F4380" s="32"/>
      <c r="G4380" s="33"/>
      <c r="H4380" s="33"/>
      <c r="I4380" s="34" t="str">
        <f aca="false">IF($A4380="","",$G4380-$H4380)</f>
        <v/>
      </c>
      <c r="J4380" s="35" t="str">
        <f aca="false">IF($A4380="","",IF(Setup!$B$6=1,YEAR($A4380),YEAR($A4380)+IF(MONTH($A4380)&gt;=Setup!$B$6,1,0)))</f>
        <v/>
      </c>
      <c r="K4380" s="35" t="str">
        <f aca="false">IF($A4380="","",MOD(MONTH($A4380)-Setup!$B$6+12,12)+1)</f>
        <v/>
      </c>
      <c r="L4380" s="36" t="str">
        <f aca="false">IF($A4380="","",TEXT($A4380,"MMM-YY"))</f>
        <v/>
      </c>
      <c r="M4380" s="37" t="str">
        <f aca="false">IF($A4380="","",IF($Q4380=0,"UNMAPPED",INDEX(COA_Mapping!$C$7:$C$256,$Q4380)))</f>
        <v/>
      </c>
      <c r="N4380" s="38" t="str">
        <f aca="false">IF($A4380="","",IF($Q4380=0,"",INDEX(COA_Mapping!$E$7:$E$256,$Q4380)))</f>
        <v/>
      </c>
      <c r="O4380" s="38" t="n">
        <f aca="false">IF($A4380="",1,IF($Q4380=0,1,INDEX(COA_Mapping!$F$7:$F$256,$Q4380)))</f>
        <v>1</v>
      </c>
      <c r="P4380" s="34" t="str">
        <f aca="false">IF($A4380="","",$I4380*$O4380)</f>
        <v/>
      </c>
      <c r="Q4380" s="39" t="n">
        <f aca="false">IF($B4380="",0,IFERROR(MATCH($B4380,COA_Mapping!$A$7:$A$256,0),0))</f>
        <v>0</v>
      </c>
      <c r="R4380" s="39" t="n">
        <f aca="false">IF($A4380="",-1,IF($J4380=Setup!$B$7,1,IF($J4380=Setup!$B$9,0,-1)))</f>
        <v>-1</v>
      </c>
      <c r="S4380" s="35" t="n">
        <f aca="false">IF(OR($A4380="",$Q4380=0,$R4380=-1),0,$Q4380*1000+$R4380*100+$K4380)</f>
        <v>0</v>
      </c>
      <c r="T4380" s="37" t="str">
        <f aca="false">IF($A4380="","",IF($B4380="","NO ACCOUNT",IF($Q4380=0,"UNMAPPED",IF($R4380=-1,"OUTSIDE FY RANGE","OK"))))</f>
        <v/>
      </c>
      <c r="U4380" s="40" t="str">
        <f aca="false">IF($A4380="","",$B4380&amp;"|"&amp;TEXT($A4380,"yyyymmdd")&amp;"|"&amp;TEXT($I4380,"0.00"))</f>
        <v/>
      </c>
      <c r="V4380" s="35" t="str">
        <f aca="false">IF($A4380="","",COUNTIF($U$8:$U$5007,$U4380))</f>
        <v/>
      </c>
    </row>
    <row r="4381" customFormat="false" ht="15" hidden="false" customHeight="false" outlineLevel="0" collapsed="false">
      <c r="A4381" s="31"/>
      <c r="B4381" s="32"/>
      <c r="C4381" s="32"/>
      <c r="D4381" s="32"/>
      <c r="E4381" s="32"/>
      <c r="F4381" s="32"/>
      <c r="G4381" s="33"/>
      <c r="H4381" s="33"/>
      <c r="I4381" s="34" t="str">
        <f aca="false">IF($A4381="","",$G4381-$H4381)</f>
        <v/>
      </c>
      <c r="J4381" s="35" t="str">
        <f aca="false">IF($A4381="","",IF(Setup!$B$6=1,YEAR($A4381),YEAR($A4381)+IF(MONTH($A4381)&gt;=Setup!$B$6,1,0)))</f>
        <v/>
      </c>
      <c r="K4381" s="35" t="str">
        <f aca="false">IF($A4381="","",MOD(MONTH($A4381)-Setup!$B$6+12,12)+1)</f>
        <v/>
      </c>
      <c r="L4381" s="36" t="str">
        <f aca="false">IF($A4381="","",TEXT($A4381,"MMM-YY"))</f>
        <v/>
      </c>
      <c r="M4381" s="37" t="str">
        <f aca="false">IF($A4381="","",IF($Q4381=0,"UNMAPPED",INDEX(COA_Mapping!$C$7:$C$256,$Q4381)))</f>
        <v/>
      </c>
      <c r="N4381" s="38" t="str">
        <f aca="false">IF($A4381="","",IF($Q4381=0,"",INDEX(COA_Mapping!$E$7:$E$256,$Q4381)))</f>
        <v/>
      </c>
      <c r="O4381" s="38" t="n">
        <f aca="false">IF($A4381="",1,IF($Q4381=0,1,INDEX(COA_Mapping!$F$7:$F$256,$Q4381)))</f>
        <v>1</v>
      </c>
      <c r="P4381" s="34" t="str">
        <f aca="false">IF($A4381="","",$I4381*$O4381)</f>
        <v/>
      </c>
      <c r="Q4381" s="39" t="n">
        <f aca="false">IF($B4381="",0,IFERROR(MATCH($B4381,COA_Mapping!$A$7:$A$256,0),0))</f>
        <v>0</v>
      </c>
      <c r="R4381" s="39" t="n">
        <f aca="false">IF($A4381="",-1,IF($J4381=Setup!$B$7,1,IF($J4381=Setup!$B$9,0,-1)))</f>
        <v>-1</v>
      </c>
      <c r="S4381" s="35" t="n">
        <f aca="false">IF(OR($A4381="",$Q4381=0,$R4381=-1),0,$Q4381*1000+$R4381*100+$K4381)</f>
        <v>0</v>
      </c>
      <c r="T4381" s="37" t="str">
        <f aca="false">IF($A4381="","",IF($B4381="","NO ACCOUNT",IF($Q4381=0,"UNMAPPED",IF($R4381=-1,"OUTSIDE FY RANGE","OK"))))</f>
        <v/>
      </c>
      <c r="U4381" s="40" t="str">
        <f aca="false">IF($A4381="","",$B4381&amp;"|"&amp;TEXT($A4381,"yyyymmdd")&amp;"|"&amp;TEXT($I4381,"0.00"))</f>
        <v/>
      </c>
      <c r="V4381" s="35" t="str">
        <f aca="false">IF($A4381="","",COUNTIF($U$8:$U$5007,$U4381))</f>
        <v/>
      </c>
    </row>
    <row r="4382" customFormat="false" ht="15" hidden="false" customHeight="false" outlineLevel="0" collapsed="false">
      <c r="A4382" s="31"/>
      <c r="B4382" s="32"/>
      <c r="C4382" s="32"/>
      <c r="D4382" s="32"/>
      <c r="E4382" s="32"/>
      <c r="F4382" s="32"/>
      <c r="G4382" s="33"/>
      <c r="H4382" s="33"/>
      <c r="I4382" s="34" t="str">
        <f aca="false">IF($A4382="","",$G4382-$H4382)</f>
        <v/>
      </c>
      <c r="J4382" s="35" t="str">
        <f aca="false">IF($A4382="","",IF(Setup!$B$6=1,YEAR($A4382),YEAR($A4382)+IF(MONTH($A4382)&gt;=Setup!$B$6,1,0)))</f>
        <v/>
      </c>
      <c r="K4382" s="35" t="str">
        <f aca="false">IF($A4382="","",MOD(MONTH($A4382)-Setup!$B$6+12,12)+1)</f>
        <v/>
      </c>
      <c r="L4382" s="36" t="str">
        <f aca="false">IF($A4382="","",TEXT($A4382,"MMM-YY"))</f>
        <v/>
      </c>
      <c r="M4382" s="37" t="str">
        <f aca="false">IF($A4382="","",IF($Q4382=0,"UNMAPPED",INDEX(COA_Mapping!$C$7:$C$256,$Q4382)))</f>
        <v/>
      </c>
      <c r="N4382" s="38" t="str">
        <f aca="false">IF($A4382="","",IF($Q4382=0,"",INDEX(COA_Mapping!$E$7:$E$256,$Q4382)))</f>
        <v/>
      </c>
      <c r="O4382" s="38" t="n">
        <f aca="false">IF($A4382="",1,IF($Q4382=0,1,INDEX(COA_Mapping!$F$7:$F$256,$Q4382)))</f>
        <v>1</v>
      </c>
      <c r="P4382" s="34" t="str">
        <f aca="false">IF($A4382="","",$I4382*$O4382)</f>
        <v/>
      </c>
      <c r="Q4382" s="39" t="n">
        <f aca="false">IF($B4382="",0,IFERROR(MATCH($B4382,COA_Mapping!$A$7:$A$256,0),0))</f>
        <v>0</v>
      </c>
      <c r="R4382" s="39" t="n">
        <f aca="false">IF($A4382="",-1,IF($J4382=Setup!$B$7,1,IF($J4382=Setup!$B$9,0,-1)))</f>
        <v>-1</v>
      </c>
      <c r="S4382" s="35" t="n">
        <f aca="false">IF(OR($A4382="",$Q4382=0,$R4382=-1),0,$Q4382*1000+$R4382*100+$K4382)</f>
        <v>0</v>
      </c>
      <c r="T4382" s="37" t="str">
        <f aca="false">IF($A4382="","",IF($B4382="","NO ACCOUNT",IF($Q4382=0,"UNMAPPED",IF($R4382=-1,"OUTSIDE FY RANGE","OK"))))</f>
        <v/>
      </c>
      <c r="U4382" s="40" t="str">
        <f aca="false">IF($A4382="","",$B4382&amp;"|"&amp;TEXT($A4382,"yyyymmdd")&amp;"|"&amp;TEXT($I4382,"0.00"))</f>
        <v/>
      </c>
      <c r="V4382" s="35" t="str">
        <f aca="false">IF($A4382="","",COUNTIF($U$8:$U$5007,$U4382))</f>
        <v/>
      </c>
    </row>
    <row r="4383" customFormat="false" ht="15" hidden="false" customHeight="false" outlineLevel="0" collapsed="false">
      <c r="A4383" s="31"/>
      <c r="B4383" s="32"/>
      <c r="C4383" s="32"/>
      <c r="D4383" s="32"/>
      <c r="E4383" s="32"/>
      <c r="F4383" s="32"/>
      <c r="G4383" s="33"/>
      <c r="H4383" s="33"/>
      <c r="I4383" s="34" t="str">
        <f aca="false">IF($A4383="","",$G4383-$H4383)</f>
        <v/>
      </c>
      <c r="J4383" s="35" t="str">
        <f aca="false">IF($A4383="","",IF(Setup!$B$6=1,YEAR($A4383),YEAR($A4383)+IF(MONTH($A4383)&gt;=Setup!$B$6,1,0)))</f>
        <v/>
      </c>
      <c r="K4383" s="35" t="str">
        <f aca="false">IF($A4383="","",MOD(MONTH($A4383)-Setup!$B$6+12,12)+1)</f>
        <v/>
      </c>
      <c r="L4383" s="36" t="str">
        <f aca="false">IF($A4383="","",TEXT($A4383,"MMM-YY"))</f>
        <v/>
      </c>
      <c r="M4383" s="37" t="str">
        <f aca="false">IF($A4383="","",IF($Q4383=0,"UNMAPPED",INDEX(COA_Mapping!$C$7:$C$256,$Q4383)))</f>
        <v/>
      </c>
      <c r="N4383" s="38" t="str">
        <f aca="false">IF($A4383="","",IF($Q4383=0,"",INDEX(COA_Mapping!$E$7:$E$256,$Q4383)))</f>
        <v/>
      </c>
      <c r="O4383" s="38" t="n">
        <f aca="false">IF($A4383="",1,IF($Q4383=0,1,INDEX(COA_Mapping!$F$7:$F$256,$Q4383)))</f>
        <v>1</v>
      </c>
      <c r="P4383" s="34" t="str">
        <f aca="false">IF($A4383="","",$I4383*$O4383)</f>
        <v/>
      </c>
      <c r="Q4383" s="39" t="n">
        <f aca="false">IF($B4383="",0,IFERROR(MATCH($B4383,COA_Mapping!$A$7:$A$256,0),0))</f>
        <v>0</v>
      </c>
      <c r="R4383" s="39" t="n">
        <f aca="false">IF($A4383="",-1,IF($J4383=Setup!$B$7,1,IF($J4383=Setup!$B$9,0,-1)))</f>
        <v>-1</v>
      </c>
      <c r="S4383" s="35" t="n">
        <f aca="false">IF(OR($A4383="",$Q4383=0,$R4383=-1),0,$Q4383*1000+$R4383*100+$K4383)</f>
        <v>0</v>
      </c>
      <c r="T4383" s="37" t="str">
        <f aca="false">IF($A4383="","",IF($B4383="","NO ACCOUNT",IF($Q4383=0,"UNMAPPED",IF($R4383=-1,"OUTSIDE FY RANGE","OK"))))</f>
        <v/>
      </c>
      <c r="U4383" s="40" t="str">
        <f aca="false">IF($A4383="","",$B4383&amp;"|"&amp;TEXT($A4383,"yyyymmdd")&amp;"|"&amp;TEXT($I4383,"0.00"))</f>
        <v/>
      </c>
      <c r="V4383" s="35" t="str">
        <f aca="false">IF($A4383="","",COUNTIF($U$8:$U$5007,$U4383))</f>
        <v/>
      </c>
    </row>
    <row r="4384" customFormat="false" ht="15" hidden="false" customHeight="false" outlineLevel="0" collapsed="false">
      <c r="A4384" s="31"/>
      <c r="B4384" s="32"/>
      <c r="C4384" s="32"/>
      <c r="D4384" s="32"/>
      <c r="E4384" s="32"/>
      <c r="F4384" s="32"/>
      <c r="G4384" s="33"/>
      <c r="H4384" s="33"/>
      <c r="I4384" s="34" t="str">
        <f aca="false">IF($A4384="","",$G4384-$H4384)</f>
        <v/>
      </c>
      <c r="J4384" s="35" t="str">
        <f aca="false">IF($A4384="","",IF(Setup!$B$6=1,YEAR($A4384),YEAR($A4384)+IF(MONTH($A4384)&gt;=Setup!$B$6,1,0)))</f>
        <v/>
      </c>
      <c r="K4384" s="35" t="str">
        <f aca="false">IF($A4384="","",MOD(MONTH($A4384)-Setup!$B$6+12,12)+1)</f>
        <v/>
      </c>
      <c r="L4384" s="36" t="str">
        <f aca="false">IF($A4384="","",TEXT($A4384,"MMM-YY"))</f>
        <v/>
      </c>
      <c r="M4384" s="37" t="str">
        <f aca="false">IF($A4384="","",IF($Q4384=0,"UNMAPPED",INDEX(COA_Mapping!$C$7:$C$256,$Q4384)))</f>
        <v/>
      </c>
      <c r="N4384" s="38" t="str">
        <f aca="false">IF($A4384="","",IF($Q4384=0,"",INDEX(COA_Mapping!$E$7:$E$256,$Q4384)))</f>
        <v/>
      </c>
      <c r="O4384" s="38" t="n">
        <f aca="false">IF($A4384="",1,IF($Q4384=0,1,INDEX(COA_Mapping!$F$7:$F$256,$Q4384)))</f>
        <v>1</v>
      </c>
      <c r="P4384" s="34" t="str">
        <f aca="false">IF($A4384="","",$I4384*$O4384)</f>
        <v/>
      </c>
      <c r="Q4384" s="39" t="n">
        <f aca="false">IF($B4384="",0,IFERROR(MATCH($B4384,COA_Mapping!$A$7:$A$256,0),0))</f>
        <v>0</v>
      </c>
      <c r="R4384" s="39" t="n">
        <f aca="false">IF($A4384="",-1,IF($J4384=Setup!$B$7,1,IF($J4384=Setup!$B$9,0,-1)))</f>
        <v>-1</v>
      </c>
      <c r="S4384" s="35" t="n">
        <f aca="false">IF(OR($A4384="",$Q4384=0,$R4384=-1),0,$Q4384*1000+$R4384*100+$K4384)</f>
        <v>0</v>
      </c>
      <c r="T4384" s="37" t="str">
        <f aca="false">IF($A4384="","",IF($B4384="","NO ACCOUNT",IF($Q4384=0,"UNMAPPED",IF($R4384=-1,"OUTSIDE FY RANGE","OK"))))</f>
        <v/>
      </c>
      <c r="U4384" s="40" t="str">
        <f aca="false">IF($A4384="","",$B4384&amp;"|"&amp;TEXT($A4384,"yyyymmdd")&amp;"|"&amp;TEXT($I4384,"0.00"))</f>
        <v/>
      </c>
      <c r="V4384" s="35" t="str">
        <f aca="false">IF($A4384="","",COUNTIF($U$8:$U$5007,$U4384))</f>
        <v/>
      </c>
    </row>
    <row r="4385" customFormat="false" ht="15" hidden="false" customHeight="false" outlineLevel="0" collapsed="false">
      <c r="A4385" s="31"/>
      <c r="B4385" s="32"/>
      <c r="C4385" s="32"/>
      <c r="D4385" s="32"/>
      <c r="E4385" s="32"/>
      <c r="F4385" s="32"/>
      <c r="G4385" s="33"/>
      <c r="H4385" s="33"/>
      <c r="I4385" s="34" t="str">
        <f aca="false">IF($A4385="","",$G4385-$H4385)</f>
        <v/>
      </c>
      <c r="J4385" s="35" t="str">
        <f aca="false">IF($A4385="","",IF(Setup!$B$6=1,YEAR($A4385),YEAR($A4385)+IF(MONTH($A4385)&gt;=Setup!$B$6,1,0)))</f>
        <v/>
      </c>
      <c r="K4385" s="35" t="str">
        <f aca="false">IF($A4385="","",MOD(MONTH($A4385)-Setup!$B$6+12,12)+1)</f>
        <v/>
      </c>
      <c r="L4385" s="36" t="str">
        <f aca="false">IF($A4385="","",TEXT($A4385,"MMM-YY"))</f>
        <v/>
      </c>
      <c r="M4385" s="37" t="str">
        <f aca="false">IF($A4385="","",IF($Q4385=0,"UNMAPPED",INDEX(COA_Mapping!$C$7:$C$256,$Q4385)))</f>
        <v/>
      </c>
      <c r="N4385" s="38" t="str">
        <f aca="false">IF($A4385="","",IF($Q4385=0,"",INDEX(COA_Mapping!$E$7:$E$256,$Q4385)))</f>
        <v/>
      </c>
      <c r="O4385" s="38" t="n">
        <f aca="false">IF($A4385="",1,IF($Q4385=0,1,INDEX(COA_Mapping!$F$7:$F$256,$Q4385)))</f>
        <v>1</v>
      </c>
      <c r="P4385" s="34" t="str">
        <f aca="false">IF($A4385="","",$I4385*$O4385)</f>
        <v/>
      </c>
      <c r="Q4385" s="39" t="n">
        <f aca="false">IF($B4385="",0,IFERROR(MATCH($B4385,COA_Mapping!$A$7:$A$256,0),0))</f>
        <v>0</v>
      </c>
      <c r="R4385" s="39" t="n">
        <f aca="false">IF($A4385="",-1,IF($J4385=Setup!$B$7,1,IF($J4385=Setup!$B$9,0,-1)))</f>
        <v>-1</v>
      </c>
      <c r="S4385" s="35" t="n">
        <f aca="false">IF(OR($A4385="",$Q4385=0,$R4385=-1),0,$Q4385*1000+$R4385*100+$K4385)</f>
        <v>0</v>
      </c>
      <c r="T4385" s="37" t="str">
        <f aca="false">IF($A4385="","",IF($B4385="","NO ACCOUNT",IF($Q4385=0,"UNMAPPED",IF($R4385=-1,"OUTSIDE FY RANGE","OK"))))</f>
        <v/>
      </c>
      <c r="U4385" s="40" t="str">
        <f aca="false">IF($A4385="","",$B4385&amp;"|"&amp;TEXT($A4385,"yyyymmdd")&amp;"|"&amp;TEXT($I4385,"0.00"))</f>
        <v/>
      </c>
      <c r="V4385" s="35" t="str">
        <f aca="false">IF($A4385="","",COUNTIF($U$8:$U$5007,$U4385))</f>
        <v/>
      </c>
    </row>
    <row r="4386" customFormat="false" ht="15" hidden="false" customHeight="false" outlineLevel="0" collapsed="false">
      <c r="A4386" s="31"/>
      <c r="B4386" s="32"/>
      <c r="C4386" s="32"/>
      <c r="D4386" s="32"/>
      <c r="E4386" s="32"/>
      <c r="F4386" s="32"/>
      <c r="G4386" s="33"/>
      <c r="H4386" s="33"/>
      <c r="I4386" s="34" t="str">
        <f aca="false">IF($A4386="","",$G4386-$H4386)</f>
        <v/>
      </c>
      <c r="J4386" s="35" t="str">
        <f aca="false">IF($A4386="","",IF(Setup!$B$6=1,YEAR($A4386),YEAR($A4386)+IF(MONTH($A4386)&gt;=Setup!$B$6,1,0)))</f>
        <v/>
      </c>
      <c r="K4386" s="35" t="str">
        <f aca="false">IF($A4386="","",MOD(MONTH($A4386)-Setup!$B$6+12,12)+1)</f>
        <v/>
      </c>
      <c r="L4386" s="36" t="str">
        <f aca="false">IF($A4386="","",TEXT($A4386,"MMM-YY"))</f>
        <v/>
      </c>
      <c r="M4386" s="37" t="str">
        <f aca="false">IF($A4386="","",IF($Q4386=0,"UNMAPPED",INDEX(COA_Mapping!$C$7:$C$256,$Q4386)))</f>
        <v/>
      </c>
      <c r="N4386" s="38" t="str">
        <f aca="false">IF($A4386="","",IF($Q4386=0,"",INDEX(COA_Mapping!$E$7:$E$256,$Q4386)))</f>
        <v/>
      </c>
      <c r="O4386" s="38" t="n">
        <f aca="false">IF($A4386="",1,IF($Q4386=0,1,INDEX(COA_Mapping!$F$7:$F$256,$Q4386)))</f>
        <v>1</v>
      </c>
      <c r="P4386" s="34" t="str">
        <f aca="false">IF($A4386="","",$I4386*$O4386)</f>
        <v/>
      </c>
      <c r="Q4386" s="39" t="n">
        <f aca="false">IF($B4386="",0,IFERROR(MATCH($B4386,COA_Mapping!$A$7:$A$256,0),0))</f>
        <v>0</v>
      </c>
      <c r="R4386" s="39" t="n">
        <f aca="false">IF($A4386="",-1,IF($J4386=Setup!$B$7,1,IF($J4386=Setup!$B$9,0,-1)))</f>
        <v>-1</v>
      </c>
      <c r="S4386" s="35" t="n">
        <f aca="false">IF(OR($A4386="",$Q4386=0,$R4386=-1),0,$Q4386*1000+$R4386*100+$K4386)</f>
        <v>0</v>
      </c>
      <c r="T4386" s="37" t="str">
        <f aca="false">IF($A4386="","",IF($B4386="","NO ACCOUNT",IF($Q4386=0,"UNMAPPED",IF($R4386=-1,"OUTSIDE FY RANGE","OK"))))</f>
        <v/>
      </c>
      <c r="U4386" s="40" t="str">
        <f aca="false">IF($A4386="","",$B4386&amp;"|"&amp;TEXT($A4386,"yyyymmdd")&amp;"|"&amp;TEXT($I4386,"0.00"))</f>
        <v/>
      </c>
      <c r="V4386" s="35" t="str">
        <f aca="false">IF($A4386="","",COUNTIF($U$8:$U$5007,$U4386))</f>
        <v/>
      </c>
    </row>
    <row r="4387" customFormat="false" ht="15" hidden="false" customHeight="false" outlineLevel="0" collapsed="false">
      <c r="A4387" s="31"/>
      <c r="B4387" s="32"/>
      <c r="C4387" s="32"/>
      <c r="D4387" s="32"/>
      <c r="E4387" s="32"/>
      <c r="F4387" s="32"/>
      <c r="G4387" s="33"/>
      <c r="H4387" s="33"/>
      <c r="I4387" s="34" t="str">
        <f aca="false">IF($A4387="","",$G4387-$H4387)</f>
        <v/>
      </c>
      <c r="J4387" s="35" t="str">
        <f aca="false">IF($A4387="","",IF(Setup!$B$6=1,YEAR($A4387),YEAR($A4387)+IF(MONTH($A4387)&gt;=Setup!$B$6,1,0)))</f>
        <v/>
      </c>
      <c r="K4387" s="35" t="str">
        <f aca="false">IF($A4387="","",MOD(MONTH($A4387)-Setup!$B$6+12,12)+1)</f>
        <v/>
      </c>
      <c r="L4387" s="36" t="str">
        <f aca="false">IF($A4387="","",TEXT($A4387,"MMM-YY"))</f>
        <v/>
      </c>
      <c r="M4387" s="37" t="str">
        <f aca="false">IF($A4387="","",IF($Q4387=0,"UNMAPPED",INDEX(COA_Mapping!$C$7:$C$256,$Q4387)))</f>
        <v/>
      </c>
      <c r="N4387" s="38" t="str">
        <f aca="false">IF($A4387="","",IF($Q4387=0,"",INDEX(COA_Mapping!$E$7:$E$256,$Q4387)))</f>
        <v/>
      </c>
      <c r="O4387" s="38" t="n">
        <f aca="false">IF($A4387="",1,IF($Q4387=0,1,INDEX(COA_Mapping!$F$7:$F$256,$Q4387)))</f>
        <v>1</v>
      </c>
      <c r="P4387" s="34" t="str">
        <f aca="false">IF($A4387="","",$I4387*$O4387)</f>
        <v/>
      </c>
      <c r="Q4387" s="39" t="n">
        <f aca="false">IF($B4387="",0,IFERROR(MATCH($B4387,COA_Mapping!$A$7:$A$256,0),0))</f>
        <v>0</v>
      </c>
      <c r="R4387" s="39" t="n">
        <f aca="false">IF($A4387="",-1,IF($J4387=Setup!$B$7,1,IF($J4387=Setup!$B$9,0,-1)))</f>
        <v>-1</v>
      </c>
      <c r="S4387" s="35" t="n">
        <f aca="false">IF(OR($A4387="",$Q4387=0,$R4387=-1),0,$Q4387*1000+$R4387*100+$K4387)</f>
        <v>0</v>
      </c>
      <c r="T4387" s="37" t="str">
        <f aca="false">IF($A4387="","",IF($B4387="","NO ACCOUNT",IF($Q4387=0,"UNMAPPED",IF($R4387=-1,"OUTSIDE FY RANGE","OK"))))</f>
        <v/>
      </c>
      <c r="U4387" s="40" t="str">
        <f aca="false">IF($A4387="","",$B4387&amp;"|"&amp;TEXT($A4387,"yyyymmdd")&amp;"|"&amp;TEXT($I4387,"0.00"))</f>
        <v/>
      </c>
      <c r="V4387" s="35" t="str">
        <f aca="false">IF($A4387="","",COUNTIF($U$8:$U$5007,$U4387))</f>
        <v/>
      </c>
    </row>
    <row r="4388" customFormat="false" ht="15" hidden="false" customHeight="false" outlineLevel="0" collapsed="false">
      <c r="A4388" s="31"/>
      <c r="B4388" s="32"/>
      <c r="C4388" s="32"/>
      <c r="D4388" s="32"/>
      <c r="E4388" s="32"/>
      <c r="F4388" s="32"/>
      <c r="G4388" s="33"/>
      <c r="H4388" s="33"/>
      <c r="I4388" s="34" t="str">
        <f aca="false">IF($A4388="","",$G4388-$H4388)</f>
        <v/>
      </c>
      <c r="J4388" s="35" t="str">
        <f aca="false">IF($A4388="","",IF(Setup!$B$6=1,YEAR($A4388),YEAR($A4388)+IF(MONTH($A4388)&gt;=Setup!$B$6,1,0)))</f>
        <v/>
      </c>
      <c r="K4388" s="35" t="str">
        <f aca="false">IF($A4388="","",MOD(MONTH($A4388)-Setup!$B$6+12,12)+1)</f>
        <v/>
      </c>
      <c r="L4388" s="36" t="str">
        <f aca="false">IF($A4388="","",TEXT($A4388,"MMM-YY"))</f>
        <v/>
      </c>
      <c r="M4388" s="37" t="str">
        <f aca="false">IF($A4388="","",IF($Q4388=0,"UNMAPPED",INDEX(COA_Mapping!$C$7:$C$256,$Q4388)))</f>
        <v/>
      </c>
      <c r="N4388" s="38" t="str">
        <f aca="false">IF($A4388="","",IF($Q4388=0,"",INDEX(COA_Mapping!$E$7:$E$256,$Q4388)))</f>
        <v/>
      </c>
      <c r="O4388" s="38" t="n">
        <f aca="false">IF($A4388="",1,IF($Q4388=0,1,INDEX(COA_Mapping!$F$7:$F$256,$Q4388)))</f>
        <v>1</v>
      </c>
      <c r="P4388" s="34" t="str">
        <f aca="false">IF($A4388="","",$I4388*$O4388)</f>
        <v/>
      </c>
      <c r="Q4388" s="39" t="n">
        <f aca="false">IF($B4388="",0,IFERROR(MATCH($B4388,COA_Mapping!$A$7:$A$256,0),0))</f>
        <v>0</v>
      </c>
      <c r="R4388" s="39" t="n">
        <f aca="false">IF($A4388="",-1,IF($J4388=Setup!$B$7,1,IF($J4388=Setup!$B$9,0,-1)))</f>
        <v>-1</v>
      </c>
      <c r="S4388" s="35" t="n">
        <f aca="false">IF(OR($A4388="",$Q4388=0,$R4388=-1),0,$Q4388*1000+$R4388*100+$K4388)</f>
        <v>0</v>
      </c>
      <c r="T4388" s="37" t="str">
        <f aca="false">IF($A4388="","",IF($B4388="","NO ACCOUNT",IF($Q4388=0,"UNMAPPED",IF($R4388=-1,"OUTSIDE FY RANGE","OK"))))</f>
        <v/>
      </c>
      <c r="U4388" s="40" t="str">
        <f aca="false">IF($A4388="","",$B4388&amp;"|"&amp;TEXT($A4388,"yyyymmdd")&amp;"|"&amp;TEXT($I4388,"0.00"))</f>
        <v/>
      </c>
      <c r="V4388" s="35" t="str">
        <f aca="false">IF($A4388="","",COUNTIF($U$8:$U$5007,$U4388))</f>
        <v/>
      </c>
    </row>
    <row r="4389" customFormat="false" ht="15" hidden="false" customHeight="false" outlineLevel="0" collapsed="false">
      <c r="A4389" s="31"/>
      <c r="B4389" s="32"/>
      <c r="C4389" s="32"/>
      <c r="D4389" s="32"/>
      <c r="E4389" s="32"/>
      <c r="F4389" s="32"/>
      <c r="G4389" s="33"/>
      <c r="H4389" s="33"/>
      <c r="I4389" s="34" t="str">
        <f aca="false">IF($A4389="","",$G4389-$H4389)</f>
        <v/>
      </c>
      <c r="J4389" s="35" t="str">
        <f aca="false">IF($A4389="","",IF(Setup!$B$6=1,YEAR($A4389),YEAR($A4389)+IF(MONTH($A4389)&gt;=Setup!$B$6,1,0)))</f>
        <v/>
      </c>
      <c r="K4389" s="35" t="str">
        <f aca="false">IF($A4389="","",MOD(MONTH($A4389)-Setup!$B$6+12,12)+1)</f>
        <v/>
      </c>
      <c r="L4389" s="36" t="str">
        <f aca="false">IF($A4389="","",TEXT($A4389,"MMM-YY"))</f>
        <v/>
      </c>
      <c r="M4389" s="37" t="str">
        <f aca="false">IF($A4389="","",IF($Q4389=0,"UNMAPPED",INDEX(COA_Mapping!$C$7:$C$256,$Q4389)))</f>
        <v/>
      </c>
      <c r="N4389" s="38" t="str">
        <f aca="false">IF($A4389="","",IF($Q4389=0,"",INDEX(COA_Mapping!$E$7:$E$256,$Q4389)))</f>
        <v/>
      </c>
      <c r="O4389" s="38" t="n">
        <f aca="false">IF($A4389="",1,IF($Q4389=0,1,INDEX(COA_Mapping!$F$7:$F$256,$Q4389)))</f>
        <v>1</v>
      </c>
      <c r="P4389" s="34" t="str">
        <f aca="false">IF($A4389="","",$I4389*$O4389)</f>
        <v/>
      </c>
      <c r="Q4389" s="39" t="n">
        <f aca="false">IF($B4389="",0,IFERROR(MATCH($B4389,COA_Mapping!$A$7:$A$256,0),0))</f>
        <v>0</v>
      </c>
      <c r="R4389" s="39" t="n">
        <f aca="false">IF($A4389="",-1,IF($J4389=Setup!$B$7,1,IF($J4389=Setup!$B$9,0,-1)))</f>
        <v>-1</v>
      </c>
      <c r="S4389" s="35" t="n">
        <f aca="false">IF(OR($A4389="",$Q4389=0,$R4389=-1),0,$Q4389*1000+$R4389*100+$K4389)</f>
        <v>0</v>
      </c>
      <c r="T4389" s="37" t="str">
        <f aca="false">IF($A4389="","",IF($B4389="","NO ACCOUNT",IF($Q4389=0,"UNMAPPED",IF($R4389=-1,"OUTSIDE FY RANGE","OK"))))</f>
        <v/>
      </c>
      <c r="U4389" s="40" t="str">
        <f aca="false">IF($A4389="","",$B4389&amp;"|"&amp;TEXT($A4389,"yyyymmdd")&amp;"|"&amp;TEXT($I4389,"0.00"))</f>
        <v/>
      </c>
      <c r="V4389" s="35" t="str">
        <f aca="false">IF($A4389="","",COUNTIF($U$8:$U$5007,$U4389))</f>
        <v/>
      </c>
    </row>
    <row r="4390" customFormat="false" ht="15" hidden="false" customHeight="false" outlineLevel="0" collapsed="false">
      <c r="A4390" s="31"/>
      <c r="B4390" s="32"/>
      <c r="C4390" s="32"/>
      <c r="D4390" s="32"/>
      <c r="E4390" s="32"/>
      <c r="F4390" s="32"/>
      <c r="G4390" s="33"/>
      <c r="H4390" s="33"/>
      <c r="I4390" s="34" t="str">
        <f aca="false">IF($A4390="","",$G4390-$H4390)</f>
        <v/>
      </c>
      <c r="J4390" s="35" t="str">
        <f aca="false">IF($A4390="","",IF(Setup!$B$6=1,YEAR($A4390),YEAR($A4390)+IF(MONTH($A4390)&gt;=Setup!$B$6,1,0)))</f>
        <v/>
      </c>
      <c r="K4390" s="35" t="str">
        <f aca="false">IF($A4390="","",MOD(MONTH($A4390)-Setup!$B$6+12,12)+1)</f>
        <v/>
      </c>
      <c r="L4390" s="36" t="str">
        <f aca="false">IF($A4390="","",TEXT($A4390,"MMM-YY"))</f>
        <v/>
      </c>
      <c r="M4390" s="37" t="str">
        <f aca="false">IF($A4390="","",IF($Q4390=0,"UNMAPPED",INDEX(COA_Mapping!$C$7:$C$256,$Q4390)))</f>
        <v/>
      </c>
      <c r="N4390" s="38" t="str">
        <f aca="false">IF($A4390="","",IF($Q4390=0,"",INDEX(COA_Mapping!$E$7:$E$256,$Q4390)))</f>
        <v/>
      </c>
      <c r="O4390" s="38" t="n">
        <f aca="false">IF($A4390="",1,IF($Q4390=0,1,INDEX(COA_Mapping!$F$7:$F$256,$Q4390)))</f>
        <v>1</v>
      </c>
      <c r="P4390" s="34" t="str">
        <f aca="false">IF($A4390="","",$I4390*$O4390)</f>
        <v/>
      </c>
      <c r="Q4390" s="39" t="n">
        <f aca="false">IF($B4390="",0,IFERROR(MATCH($B4390,COA_Mapping!$A$7:$A$256,0),0))</f>
        <v>0</v>
      </c>
      <c r="R4390" s="39" t="n">
        <f aca="false">IF($A4390="",-1,IF($J4390=Setup!$B$7,1,IF($J4390=Setup!$B$9,0,-1)))</f>
        <v>-1</v>
      </c>
      <c r="S4390" s="35" t="n">
        <f aca="false">IF(OR($A4390="",$Q4390=0,$R4390=-1),0,$Q4390*1000+$R4390*100+$K4390)</f>
        <v>0</v>
      </c>
      <c r="T4390" s="37" t="str">
        <f aca="false">IF($A4390="","",IF($B4390="","NO ACCOUNT",IF($Q4390=0,"UNMAPPED",IF($R4390=-1,"OUTSIDE FY RANGE","OK"))))</f>
        <v/>
      </c>
      <c r="U4390" s="40" t="str">
        <f aca="false">IF($A4390="","",$B4390&amp;"|"&amp;TEXT($A4390,"yyyymmdd")&amp;"|"&amp;TEXT($I4390,"0.00"))</f>
        <v/>
      </c>
      <c r="V4390" s="35" t="str">
        <f aca="false">IF($A4390="","",COUNTIF($U$8:$U$5007,$U4390))</f>
        <v/>
      </c>
    </row>
    <row r="4391" customFormat="false" ht="15" hidden="false" customHeight="false" outlineLevel="0" collapsed="false">
      <c r="A4391" s="31"/>
      <c r="B4391" s="32"/>
      <c r="C4391" s="32"/>
      <c r="D4391" s="32"/>
      <c r="E4391" s="32"/>
      <c r="F4391" s="32"/>
      <c r="G4391" s="33"/>
      <c r="H4391" s="33"/>
      <c r="I4391" s="34" t="str">
        <f aca="false">IF($A4391="","",$G4391-$H4391)</f>
        <v/>
      </c>
      <c r="J4391" s="35" t="str">
        <f aca="false">IF($A4391="","",IF(Setup!$B$6=1,YEAR($A4391),YEAR($A4391)+IF(MONTH($A4391)&gt;=Setup!$B$6,1,0)))</f>
        <v/>
      </c>
      <c r="K4391" s="35" t="str">
        <f aca="false">IF($A4391="","",MOD(MONTH($A4391)-Setup!$B$6+12,12)+1)</f>
        <v/>
      </c>
      <c r="L4391" s="36" t="str">
        <f aca="false">IF($A4391="","",TEXT($A4391,"MMM-YY"))</f>
        <v/>
      </c>
      <c r="M4391" s="37" t="str">
        <f aca="false">IF($A4391="","",IF($Q4391=0,"UNMAPPED",INDEX(COA_Mapping!$C$7:$C$256,$Q4391)))</f>
        <v/>
      </c>
      <c r="N4391" s="38" t="str">
        <f aca="false">IF($A4391="","",IF($Q4391=0,"",INDEX(COA_Mapping!$E$7:$E$256,$Q4391)))</f>
        <v/>
      </c>
      <c r="O4391" s="38" t="n">
        <f aca="false">IF($A4391="",1,IF($Q4391=0,1,INDEX(COA_Mapping!$F$7:$F$256,$Q4391)))</f>
        <v>1</v>
      </c>
      <c r="P4391" s="34" t="str">
        <f aca="false">IF($A4391="","",$I4391*$O4391)</f>
        <v/>
      </c>
      <c r="Q4391" s="39" t="n">
        <f aca="false">IF($B4391="",0,IFERROR(MATCH($B4391,COA_Mapping!$A$7:$A$256,0),0))</f>
        <v>0</v>
      </c>
      <c r="R4391" s="39" t="n">
        <f aca="false">IF($A4391="",-1,IF($J4391=Setup!$B$7,1,IF($J4391=Setup!$B$9,0,-1)))</f>
        <v>-1</v>
      </c>
      <c r="S4391" s="35" t="n">
        <f aca="false">IF(OR($A4391="",$Q4391=0,$R4391=-1),0,$Q4391*1000+$R4391*100+$K4391)</f>
        <v>0</v>
      </c>
      <c r="T4391" s="37" t="str">
        <f aca="false">IF($A4391="","",IF($B4391="","NO ACCOUNT",IF($Q4391=0,"UNMAPPED",IF($R4391=-1,"OUTSIDE FY RANGE","OK"))))</f>
        <v/>
      </c>
      <c r="U4391" s="40" t="str">
        <f aca="false">IF($A4391="","",$B4391&amp;"|"&amp;TEXT($A4391,"yyyymmdd")&amp;"|"&amp;TEXT($I4391,"0.00"))</f>
        <v/>
      </c>
      <c r="V4391" s="35" t="str">
        <f aca="false">IF($A4391="","",COUNTIF($U$8:$U$5007,$U4391))</f>
        <v/>
      </c>
    </row>
    <row r="4392" customFormat="false" ht="15" hidden="false" customHeight="false" outlineLevel="0" collapsed="false">
      <c r="A4392" s="31"/>
      <c r="B4392" s="32"/>
      <c r="C4392" s="32"/>
      <c r="D4392" s="32"/>
      <c r="E4392" s="32"/>
      <c r="F4392" s="32"/>
      <c r="G4392" s="33"/>
      <c r="H4392" s="33"/>
      <c r="I4392" s="34" t="str">
        <f aca="false">IF($A4392="","",$G4392-$H4392)</f>
        <v/>
      </c>
      <c r="J4392" s="35" t="str">
        <f aca="false">IF($A4392="","",IF(Setup!$B$6=1,YEAR($A4392),YEAR($A4392)+IF(MONTH($A4392)&gt;=Setup!$B$6,1,0)))</f>
        <v/>
      </c>
      <c r="K4392" s="35" t="str">
        <f aca="false">IF($A4392="","",MOD(MONTH($A4392)-Setup!$B$6+12,12)+1)</f>
        <v/>
      </c>
      <c r="L4392" s="36" t="str">
        <f aca="false">IF($A4392="","",TEXT($A4392,"MMM-YY"))</f>
        <v/>
      </c>
      <c r="M4392" s="37" t="str">
        <f aca="false">IF($A4392="","",IF($Q4392=0,"UNMAPPED",INDEX(COA_Mapping!$C$7:$C$256,$Q4392)))</f>
        <v/>
      </c>
      <c r="N4392" s="38" t="str">
        <f aca="false">IF($A4392="","",IF($Q4392=0,"",INDEX(COA_Mapping!$E$7:$E$256,$Q4392)))</f>
        <v/>
      </c>
      <c r="O4392" s="38" t="n">
        <f aca="false">IF($A4392="",1,IF($Q4392=0,1,INDEX(COA_Mapping!$F$7:$F$256,$Q4392)))</f>
        <v>1</v>
      </c>
      <c r="P4392" s="34" t="str">
        <f aca="false">IF($A4392="","",$I4392*$O4392)</f>
        <v/>
      </c>
      <c r="Q4392" s="39" t="n">
        <f aca="false">IF($B4392="",0,IFERROR(MATCH($B4392,COA_Mapping!$A$7:$A$256,0),0))</f>
        <v>0</v>
      </c>
      <c r="R4392" s="39" t="n">
        <f aca="false">IF($A4392="",-1,IF($J4392=Setup!$B$7,1,IF($J4392=Setup!$B$9,0,-1)))</f>
        <v>-1</v>
      </c>
      <c r="S4392" s="35" t="n">
        <f aca="false">IF(OR($A4392="",$Q4392=0,$R4392=-1),0,$Q4392*1000+$R4392*100+$K4392)</f>
        <v>0</v>
      </c>
      <c r="T4392" s="37" t="str">
        <f aca="false">IF($A4392="","",IF($B4392="","NO ACCOUNT",IF($Q4392=0,"UNMAPPED",IF($R4392=-1,"OUTSIDE FY RANGE","OK"))))</f>
        <v/>
      </c>
      <c r="U4392" s="40" t="str">
        <f aca="false">IF($A4392="","",$B4392&amp;"|"&amp;TEXT($A4392,"yyyymmdd")&amp;"|"&amp;TEXT($I4392,"0.00"))</f>
        <v/>
      </c>
      <c r="V4392" s="35" t="str">
        <f aca="false">IF($A4392="","",COUNTIF($U$8:$U$5007,$U4392))</f>
        <v/>
      </c>
    </row>
    <row r="4393" customFormat="false" ht="15" hidden="false" customHeight="false" outlineLevel="0" collapsed="false">
      <c r="A4393" s="31"/>
      <c r="B4393" s="32"/>
      <c r="C4393" s="32"/>
      <c r="D4393" s="32"/>
      <c r="E4393" s="32"/>
      <c r="F4393" s="32"/>
      <c r="G4393" s="33"/>
      <c r="H4393" s="33"/>
      <c r="I4393" s="34" t="str">
        <f aca="false">IF($A4393="","",$G4393-$H4393)</f>
        <v/>
      </c>
      <c r="J4393" s="35" t="str">
        <f aca="false">IF($A4393="","",IF(Setup!$B$6=1,YEAR($A4393),YEAR($A4393)+IF(MONTH($A4393)&gt;=Setup!$B$6,1,0)))</f>
        <v/>
      </c>
      <c r="K4393" s="35" t="str">
        <f aca="false">IF($A4393="","",MOD(MONTH($A4393)-Setup!$B$6+12,12)+1)</f>
        <v/>
      </c>
      <c r="L4393" s="36" t="str">
        <f aca="false">IF($A4393="","",TEXT($A4393,"MMM-YY"))</f>
        <v/>
      </c>
      <c r="M4393" s="37" t="str">
        <f aca="false">IF($A4393="","",IF($Q4393=0,"UNMAPPED",INDEX(COA_Mapping!$C$7:$C$256,$Q4393)))</f>
        <v/>
      </c>
      <c r="N4393" s="38" t="str">
        <f aca="false">IF($A4393="","",IF($Q4393=0,"",INDEX(COA_Mapping!$E$7:$E$256,$Q4393)))</f>
        <v/>
      </c>
      <c r="O4393" s="38" t="n">
        <f aca="false">IF($A4393="",1,IF($Q4393=0,1,INDEX(COA_Mapping!$F$7:$F$256,$Q4393)))</f>
        <v>1</v>
      </c>
      <c r="P4393" s="34" t="str">
        <f aca="false">IF($A4393="","",$I4393*$O4393)</f>
        <v/>
      </c>
      <c r="Q4393" s="39" t="n">
        <f aca="false">IF($B4393="",0,IFERROR(MATCH($B4393,COA_Mapping!$A$7:$A$256,0),0))</f>
        <v>0</v>
      </c>
      <c r="R4393" s="39" t="n">
        <f aca="false">IF($A4393="",-1,IF($J4393=Setup!$B$7,1,IF($J4393=Setup!$B$9,0,-1)))</f>
        <v>-1</v>
      </c>
      <c r="S4393" s="35" t="n">
        <f aca="false">IF(OR($A4393="",$Q4393=0,$R4393=-1),0,$Q4393*1000+$R4393*100+$K4393)</f>
        <v>0</v>
      </c>
      <c r="T4393" s="37" t="str">
        <f aca="false">IF($A4393="","",IF($B4393="","NO ACCOUNT",IF($Q4393=0,"UNMAPPED",IF($R4393=-1,"OUTSIDE FY RANGE","OK"))))</f>
        <v/>
      </c>
      <c r="U4393" s="40" t="str">
        <f aca="false">IF($A4393="","",$B4393&amp;"|"&amp;TEXT($A4393,"yyyymmdd")&amp;"|"&amp;TEXT($I4393,"0.00"))</f>
        <v/>
      </c>
      <c r="V4393" s="35" t="str">
        <f aca="false">IF($A4393="","",COUNTIF($U$8:$U$5007,$U4393))</f>
        <v/>
      </c>
    </row>
    <row r="4394" customFormat="false" ht="15" hidden="false" customHeight="false" outlineLevel="0" collapsed="false">
      <c r="A4394" s="31"/>
      <c r="B4394" s="32"/>
      <c r="C4394" s="32"/>
      <c r="D4394" s="32"/>
      <c r="E4394" s="32"/>
      <c r="F4394" s="32"/>
      <c r="G4394" s="33"/>
      <c r="H4394" s="33"/>
      <c r="I4394" s="34" t="str">
        <f aca="false">IF($A4394="","",$G4394-$H4394)</f>
        <v/>
      </c>
      <c r="J4394" s="35" t="str">
        <f aca="false">IF($A4394="","",IF(Setup!$B$6=1,YEAR($A4394),YEAR($A4394)+IF(MONTH($A4394)&gt;=Setup!$B$6,1,0)))</f>
        <v/>
      </c>
      <c r="K4394" s="35" t="str">
        <f aca="false">IF($A4394="","",MOD(MONTH($A4394)-Setup!$B$6+12,12)+1)</f>
        <v/>
      </c>
      <c r="L4394" s="36" t="str">
        <f aca="false">IF($A4394="","",TEXT($A4394,"MMM-YY"))</f>
        <v/>
      </c>
      <c r="M4394" s="37" t="str">
        <f aca="false">IF($A4394="","",IF($Q4394=0,"UNMAPPED",INDEX(COA_Mapping!$C$7:$C$256,$Q4394)))</f>
        <v/>
      </c>
      <c r="N4394" s="38" t="str">
        <f aca="false">IF($A4394="","",IF($Q4394=0,"",INDEX(COA_Mapping!$E$7:$E$256,$Q4394)))</f>
        <v/>
      </c>
      <c r="O4394" s="38" t="n">
        <f aca="false">IF($A4394="",1,IF($Q4394=0,1,INDEX(COA_Mapping!$F$7:$F$256,$Q4394)))</f>
        <v>1</v>
      </c>
      <c r="P4394" s="34" t="str">
        <f aca="false">IF($A4394="","",$I4394*$O4394)</f>
        <v/>
      </c>
      <c r="Q4394" s="39" t="n">
        <f aca="false">IF($B4394="",0,IFERROR(MATCH($B4394,COA_Mapping!$A$7:$A$256,0),0))</f>
        <v>0</v>
      </c>
      <c r="R4394" s="39" t="n">
        <f aca="false">IF($A4394="",-1,IF($J4394=Setup!$B$7,1,IF($J4394=Setup!$B$9,0,-1)))</f>
        <v>-1</v>
      </c>
      <c r="S4394" s="35" t="n">
        <f aca="false">IF(OR($A4394="",$Q4394=0,$R4394=-1),0,$Q4394*1000+$R4394*100+$K4394)</f>
        <v>0</v>
      </c>
      <c r="T4394" s="37" t="str">
        <f aca="false">IF($A4394="","",IF($B4394="","NO ACCOUNT",IF($Q4394=0,"UNMAPPED",IF($R4394=-1,"OUTSIDE FY RANGE","OK"))))</f>
        <v/>
      </c>
      <c r="U4394" s="40" t="str">
        <f aca="false">IF($A4394="","",$B4394&amp;"|"&amp;TEXT($A4394,"yyyymmdd")&amp;"|"&amp;TEXT($I4394,"0.00"))</f>
        <v/>
      </c>
      <c r="V4394" s="35" t="str">
        <f aca="false">IF($A4394="","",COUNTIF($U$8:$U$5007,$U4394))</f>
        <v/>
      </c>
    </row>
    <row r="4395" customFormat="false" ht="15" hidden="false" customHeight="false" outlineLevel="0" collapsed="false">
      <c r="A4395" s="31"/>
      <c r="B4395" s="32"/>
      <c r="C4395" s="32"/>
      <c r="D4395" s="32"/>
      <c r="E4395" s="32"/>
      <c r="F4395" s="32"/>
      <c r="G4395" s="33"/>
      <c r="H4395" s="33"/>
      <c r="I4395" s="34" t="str">
        <f aca="false">IF($A4395="","",$G4395-$H4395)</f>
        <v/>
      </c>
      <c r="J4395" s="35" t="str">
        <f aca="false">IF($A4395="","",IF(Setup!$B$6=1,YEAR($A4395),YEAR($A4395)+IF(MONTH($A4395)&gt;=Setup!$B$6,1,0)))</f>
        <v/>
      </c>
      <c r="K4395" s="35" t="str">
        <f aca="false">IF($A4395="","",MOD(MONTH($A4395)-Setup!$B$6+12,12)+1)</f>
        <v/>
      </c>
      <c r="L4395" s="36" t="str">
        <f aca="false">IF($A4395="","",TEXT($A4395,"MMM-YY"))</f>
        <v/>
      </c>
      <c r="M4395" s="37" t="str">
        <f aca="false">IF($A4395="","",IF($Q4395=0,"UNMAPPED",INDEX(COA_Mapping!$C$7:$C$256,$Q4395)))</f>
        <v/>
      </c>
      <c r="N4395" s="38" t="str">
        <f aca="false">IF($A4395="","",IF($Q4395=0,"",INDEX(COA_Mapping!$E$7:$E$256,$Q4395)))</f>
        <v/>
      </c>
      <c r="O4395" s="38" t="n">
        <f aca="false">IF($A4395="",1,IF($Q4395=0,1,INDEX(COA_Mapping!$F$7:$F$256,$Q4395)))</f>
        <v>1</v>
      </c>
      <c r="P4395" s="34" t="str">
        <f aca="false">IF($A4395="","",$I4395*$O4395)</f>
        <v/>
      </c>
      <c r="Q4395" s="39" t="n">
        <f aca="false">IF($B4395="",0,IFERROR(MATCH($B4395,COA_Mapping!$A$7:$A$256,0),0))</f>
        <v>0</v>
      </c>
      <c r="R4395" s="39" t="n">
        <f aca="false">IF($A4395="",-1,IF($J4395=Setup!$B$7,1,IF($J4395=Setup!$B$9,0,-1)))</f>
        <v>-1</v>
      </c>
      <c r="S4395" s="35" t="n">
        <f aca="false">IF(OR($A4395="",$Q4395=0,$R4395=-1),0,$Q4395*1000+$R4395*100+$K4395)</f>
        <v>0</v>
      </c>
      <c r="T4395" s="37" t="str">
        <f aca="false">IF($A4395="","",IF($B4395="","NO ACCOUNT",IF($Q4395=0,"UNMAPPED",IF($R4395=-1,"OUTSIDE FY RANGE","OK"))))</f>
        <v/>
      </c>
      <c r="U4395" s="40" t="str">
        <f aca="false">IF($A4395="","",$B4395&amp;"|"&amp;TEXT($A4395,"yyyymmdd")&amp;"|"&amp;TEXT($I4395,"0.00"))</f>
        <v/>
      </c>
      <c r="V4395" s="35" t="str">
        <f aca="false">IF($A4395="","",COUNTIF($U$8:$U$5007,$U4395))</f>
        <v/>
      </c>
    </row>
    <row r="4396" customFormat="false" ht="15" hidden="false" customHeight="false" outlineLevel="0" collapsed="false">
      <c r="A4396" s="31"/>
      <c r="B4396" s="32"/>
      <c r="C4396" s="32"/>
      <c r="D4396" s="32"/>
      <c r="E4396" s="32"/>
      <c r="F4396" s="32"/>
      <c r="G4396" s="33"/>
      <c r="H4396" s="33"/>
      <c r="I4396" s="34" t="str">
        <f aca="false">IF($A4396="","",$G4396-$H4396)</f>
        <v/>
      </c>
      <c r="J4396" s="35" t="str">
        <f aca="false">IF($A4396="","",IF(Setup!$B$6=1,YEAR($A4396),YEAR($A4396)+IF(MONTH($A4396)&gt;=Setup!$B$6,1,0)))</f>
        <v/>
      </c>
      <c r="K4396" s="35" t="str">
        <f aca="false">IF($A4396="","",MOD(MONTH($A4396)-Setup!$B$6+12,12)+1)</f>
        <v/>
      </c>
      <c r="L4396" s="36" t="str">
        <f aca="false">IF($A4396="","",TEXT($A4396,"MMM-YY"))</f>
        <v/>
      </c>
      <c r="M4396" s="37" t="str">
        <f aca="false">IF($A4396="","",IF($Q4396=0,"UNMAPPED",INDEX(COA_Mapping!$C$7:$C$256,$Q4396)))</f>
        <v/>
      </c>
      <c r="N4396" s="38" t="str">
        <f aca="false">IF($A4396="","",IF($Q4396=0,"",INDEX(COA_Mapping!$E$7:$E$256,$Q4396)))</f>
        <v/>
      </c>
      <c r="O4396" s="38" t="n">
        <f aca="false">IF($A4396="",1,IF($Q4396=0,1,INDEX(COA_Mapping!$F$7:$F$256,$Q4396)))</f>
        <v>1</v>
      </c>
      <c r="P4396" s="34" t="str">
        <f aca="false">IF($A4396="","",$I4396*$O4396)</f>
        <v/>
      </c>
      <c r="Q4396" s="39" t="n">
        <f aca="false">IF($B4396="",0,IFERROR(MATCH($B4396,COA_Mapping!$A$7:$A$256,0),0))</f>
        <v>0</v>
      </c>
      <c r="R4396" s="39" t="n">
        <f aca="false">IF($A4396="",-1,IF($J4396=Setup!$B$7,1,IF($J4396=Setup!$B$9,0,-1)))</f>
        <v>-1</v>
      </c>
      <c r="S4396" s="35" t="n">
        <f aca="false">IF(OR($A4396="",$Q4396=0,$R4396=-1),0,$Q4396*1000+$R4396*100+$K4396)</f>
        <v>0</v>
      </c>
      <c r="T4396" s="37" t="str">
        <f aca="false">IF($A4396="","",IF($B4396="","NO ACCOUNT",IF($Q4396=0,"UNMAPPED",IF($R4396=-1,"OUTSIDE FY RANGE","OK"))))</f>
        <v/>
      </c>
      <c r="U4396" s="40" t="str">
        <f aca="false">IF($A4396="","",$B4396&amp;"|"&amp;TEXT($A4396,"yyyymmdd")&amp;"|"&amp;TEXT($I4396,"0.00"))</f>
        <v/>
      </c>
      <c r="V4396" s="35" t="str">
        <f aca="false">IF($A4396="","",COUNTIF($U$8:$U$5007,$U4396))</f>
        <v/>
      </c>
    </row>
    <row r="4397" customFormat="false" ht="15" hidden="false" customHeight="false" outlineLevel="0" collapsed="false">
      <c r="A4397" s="31"/>
      <c r="B4397" s="32"/>
      <c r="C4397" s="32"/>
      <c r="D4397" s="32"/>
      <c r="E4397" s="32"/>
      <c r="F4397" s="32"/>
      <c r="G4397" s="33"/>
      <c r="H4397" s="33"/>
      <c r="I4397" s="34" t="str">
        <f aca="false">IF($A4397="","",$G4397-$H4397)</f>
        <v/>
      </c>
      <c r="J4397" s="35" t="str">
        <f aca="false">IF($A4397="","",IF(Setup!$B$6=1,YEAR($A4397),YEAR($A4397)+IF(MONTH($A4397)&gt;=Setup!$B$6,1,0)))</f>
        <v/>
      </c>
      <c r="K4397" s="35" t="str">
        <f aca="false">IF($A4397="","",MOD(MONTH($A4397)-Setup!$B$6+12,12)+1)</f>
        <v/>
      </c>
      <c r="L4397" s="36" t="str">
        <f aca="false">IF($A4397="","",TEXT($A4397,"MMM-YY"))</f>
        <v/>
      </c>
      <c r="M4397" s="37" t="str">
        <f aca="false">IF($A4397="","",IF($Q4397=0,"UNMAPPED",INDEX(COA_Mapping!$C$7:$C$256,$Q4397)))</f>
        <v/>
      </c>
      <c r="N4397" s="38" t="str">
        <f aca="false">IF($A4397="","",IF($Q4397=0,"",INDEX(COA_Mapping!$E$7:$E$256,$Q4397)))</f>
        <v/>
      </c>
      <c r="O4397" s="38" t="n">
        <f aca="false">IF($A4397="",1,IF($Q4397=0,1,INDEX(COA_Mapping!$F$7:$F$256,$Q4397)))</f>
        <v>1</v>
      </c>
      <c r="P4397" s="34" t="str">
        <f aca="false">IF($A4397="","",$I4397*$O4397)</f>
        <v/>
      </c>
      <c r="Q4397" s="39" t="n">
        <f aca="false">IF($B4397="",0,IFERROR(MATCH($B4397,COA_Mapping!$A$7:$A$256,0),0))</f>
        <v>0</v>
      </c>
      <c r="R4397" s="39" t="n">
        <f aca="false">IF($A4397="",-1,IF($J4397=Setup!$B$7,1,IF($J4397=Setup!$B$9,0,-1)))</f>
        <v>-1</v>
      </c>
      <c r="S4397" s="35" t="n">
        <f aca="false">IF(OR($A4397="",$Q4397=0,$R4397=-1),0,$Q4397*1000+$R4397*100+$K4397)</f>
        <v>0</v>
      </c>
      <c r="T4397" s="37" t="str">
        <f aca="false">IF($A4397="","",IF($B4397="","NO ACCOUNT",IF($Q4397=0,"UNMAPPED",IF($R4397=-1,"OUTSIDE FY RANGE","OK"))))</f>
        <v/>
      </c>
      <c r="U4397" s="40" t="str">
        <f aca="false">IF($A4397="","",$B4397&amp;"|"&amp;TEXT($A4397,"yyyymmdd")&amp;"|"&amp;TEXT($I4397,"0.00"))</f>
        <v/>
      </c>
      <c r="V4397" s="35" t="str">
        <f aca="false">IF($A4397="","",COUNTIF($U$8:$U$5007,$U4397))</f>
        <v/>
      </c>
    </row>
    <row r="4398" customFormat="false" ht="15" hidden="false" customHeight="false" outlineLevel="0" collapsed="false">
      <c r="A4398" s="31"/>
      <c r="B4398" s="32"/>
      <c r="C4398" s="32"/>
      <c r="D4398" s="32"/>
      <c r="E4398" s="32"/>
      <c r="F4398" s="32"/>
      <c r="G4398" s="33"/>
      <c r="H4398" s="33"/>
      <c r="I4398" s="34" t="str">
        <f aca="false">IF($A4398="","",$G4398-$H4398)</f>
        <v/>
      </c>
      <c r="J4398" s="35" t="str">
        <f aca="false">IF($A4398="","",IF(Setup!$B$6=1,YEAR($A4398),YEAR($A4398)+IF(MONTH($A4398)&gt;=Setup!$B$6,1,0)))</f>
        <v/>
      </c>
      <c r="K4398" s="35" t="str">
        <f aca="false">IF($A4398="","",MOD(MONTH($A4398)-Setup!$B$6+12,12)+1)</f>
        <v/>
      </c>
      <c r="L4398" s="36" t="str">
        <f aca="false">IF($A4398="","",TEXT($A4398,"MMM-YY"))</f>
        <v/>
      </c>
      <c r="M4398" s="37" t="str">
        <f aca="false">IF($A4398="","",IF($Q4398=0,"UNMAPPED",INDEX(COA_Mapping!$C$7:$C$256,$Q4398)))</f>
        <v/>
      </c>
      <c r="N4398" s="38" t="str">
        <f aca="false">IF($A4398="","",IF($Q4398=0,"",INDEX(COA_Mapping!$E$7:$E$256,$Q4398)))</f>
        <v/>
      </c>
      <c r="O4398" s="38" t="n">
        <f aca="false">IF($A4398="",1,IF($Q4398=0,1,INDEX(COA_Mapping!$F$7:$F$256,$Q4398)))</f>
        <v>1</v>
      </c>
      <c r="P4398" s="34" t="str">
        <f aca="false">IF($A4398="","",$I4398*$O4398)</f>
        <v/>
      </c>
      <c r="Q4398" s="39" t="n">
        <f aca="false">IF($B4398="",0,IFERROR(MATCH($B4398,COA_Mapping!$A$7:$A$256,0),0))</f>
        <v>0</v>
      </c>
      <c r="R4398" s="39" t="n">
        <f aca="false">IF($A4398="",-1,IF($J4398=Setup!$B$7,1,IF($J4398=Setup!$B$9,0,-1)))</f>
        <v>-1</v>
      </c>
      <c r="S4398" s="35" t="n">
        <f aca="false">IF(OR($A4398="",$Q4398=0,$R4398=-1),0,$Q4398*1000+$R4398*100+$K4398)</f>
        <v>0</v>
      </c>
      <c r="T4398" s="37" t="str">
        <f aca="false">IF($A4398="","",IF($B4398="","NO ACCOUNT",IF($Q4398=0,"UNMAPPED",IF($R4398=-1,"OUTSIDE FY RANGE","OK"))))</f>
        <v/>
      </c>
      <c r="U4398" s="40" t="str">
        <f aca="false">IF($A4398="","",$B4398&amp;"|"&amp;TEXT($A4398,"yyyymmdd")&amp;"|"&amp;TEXT($I4398,"0.00"))</f>
        <v/>
      </c>
      <c r="V4398" s="35" t="str">
        <f aca="false">IF($A4398="","",COUNTIF($U$8:$U$5007,$U4398))</f>
        <v/>
      </c>
    </row>
    <row r="4399" customFormat="false" ht="15" hidden="false" customHeight="false" outlineLevel="0" collapsed="false">
      <c r="A4399" s="31"/>
      <c r="B4399" s="32"/>
      <c r="C4399" s="32"/>
      <c r="D4399" s="32"/>
      <c r="E4399" s="32"/>
      <c r="F4399" s="32"/>
      <c r="G4399" s="33"/>
      <c r="H4399" s="33"/>
      <c r="I4399" s="34" t="str">
        <f aca="false">IF($A4399="","",$G4399-$H4399)</f>
        <v/>
      </c>
      <c r="J4399" s="35" t="str">
        <f aca="false">IF($A4399="","",IF(Setup!$B$6=1,YEAR($A4399),YEAR($A4399)+IF(MONTH($A4399)&gt;=Setup!$B$6,1,0)))</f>
        <v/>
      </c>
      <c r="K4399" s="35" t="str">
        <f aca="false">IF($A4399="","",MOD(MONTH($A4399)-Setup!$B$6+12,12)+1)</f>
        <v/>
      </c>
      <c r="L4399" s="36" t="str">
        <f aca="false">IF($A4399="","",TEXT($A4399,"MMM-YY"))</f>
        <v/>
      </c>
      <c r="M4399" s="37" t="str">
        <f aca="false">IF($A4399="","",IF($Q4399=0,"UNMAPPED",INDEX(COA_Mapping!$C$7:$C$256,$Q4399)))</f>
        <v/>
      </c>
      <c r="N4399" s="38" t="str">
        <f aca="false">IF($A4399="","",IF($Q4399=0,"",INDEX(COA_Mapping!$E$7:$E$256,$Q4399)))</f>
        <v/>
      </c>
      <c r="O4399" s="38" t="n">
        <f aca="false">IF($A4399="",1,IF($Q4399=0,1,INDEX(COA_Mapping!$F$7:$F$256,$Q4399)))</f>
        <v>1</v>
      </c>
      <c r="P4399" s="34" t="str">
        <f aca="false">IF($A4399="","",$I4399*$O4399)</f>
        <v/>
      </c>
      <c r="Q4399" s="39" t="n">
        <f aca="false">IF($B4399="",0,IFERROR(MATCH($B4399,COA_Mapping!$A$7:$A$256,0),0))</f>
        <v>0</v>
      </c>
      <c r="R4399" s="39" t="n">
        <f aca="false">IF($A4399="",-1,IF($J4399=Setup!$B$7,1,IF($J4399=Setup!$B$9,0,-1)))</f>
        <v>-1</v>
      </c>
      <c r="S4399" s="35" t="n">
        <f aca="false">IF(OR($A4399="",$Q4399=0,$R4399=-1),0,$Q4399*1000+$R4399*100+$K4399)</f>
        <v>0</v>
      </c>
      <c r="T4399" s="37" t="str">
        <f aca="false">IF($A4399="","",IF($B4399="","NO ACCOUNT",IF($Q4399=0,"UNMAPPED",IF($R4399=-1,"OUTSIDE FY RANGE","OK"))))</f>
        <v/>
      </c>
      <c r="U4399" s="40" t="str">
        <f aca="false">IF($A4399="","",$B4399&amp;"|"&amp;TEXT($A4399,"yyyymmdd")&amp;"|"&amp;TEXT($I4399,"0.00"))</f>
        <v/>
      </c>
      <c r="V4399" s="35" t="str">
        <f aca="false">IF($A4399="","",COUNTIF($U$8:$U$5007,$U4399))</f>
        <v/>
      </c>
    </row>
    <row r="4400" customFormat="false" ht="15" hidden="false" customHeight="false" outlineLevel="0" collapsed="false">
      <c r="A4400" s="31"/>
      <c r="B4400" s="32"/>
      <c r="C4400" s="32"/>
      <c r="D4400" s="32"/>
      <c r="E4400" s="32"/>
      <c r="F4400" s="32"/>
      <c r="G4400" s="33"/>
      <c r="H4400" s="33"/>
      <c r="I4400" s="34" t="str">
        <f aca="false">IF($A4400="","",$G4400-$H4400)</f>
        <v/>
      </c>
      <c r="J4400" s="35" t="str">
        <f aca="false">IF($A4400="","",IF(Setup!$B$6=1,YEAR($A4400),YEAR($A4400)+IF(MONTH($A4400)&gt;=Setup!$B$6,1,0)))</f>
        <v/>
      </c>
      <c r="K4400" s="35" t="str">
        <f aca="false">IF($A4400="","",MOD(MONTH($A4400)-Setup!$B$6+12,12)+1)</f>
        <v/>
      </c>
      <c r="L4400" s="36" t="str">
        <f aca="false">IF($A4400="","",TEXT($A4400,"MMM-YY"))</f>
        <v/>
      </c>
      <c r="M4400" s="37" t="str">
        <f aca="false">IF($A4400="","",IF($Q4400=0,"UNMAPPED",INDEX(COA_Mapping!$C$7:$C$256,$Q4400)))</f>
        <v/>
      </c>
      <c r="N4400" s="38" t="str">
        <f aca="false">IF($A4400="","",IF($Q4400=0,"",INDEX(COA_Mapping!$E$7:$E$256,$Q4400)))</f>
        <v/>
      </c>
      <c r="O4400" s="38" t="n">
        <f aca="false">IF($A4400="",1,IF($Q4400=0,1,INDEX(COA_Mapping!$F$7:$F$256,$Q4400)))</f>
        <v>1</v>
      </c>
      <c r="P4400" s="34" t="str">
        <f aca="false">IF($A4400="","",$I4400*$O4400)</f>
        <v/>
      </c>
      <c r="Q4400" s="39" t="n">
        <f aca="false">IF($B4400="",0,IFERROR(MATCH($B4400,COA_Mapping!$A$7:$A$256,0),0))</f>
        <v>0</v>
      </c>
      <c r="R4400" s="39" t="n">
        <f aca="false">IF($A4400="",-1,IF($J4400=Setup!$B$7,1,IF($J4400=Setup!$B$9,0,-1)))</f>
        <v>-1</v>
      </c>
      <c r="S4400" s="35" t="n">
        <f aca="false">IF(OR($A4400="",$Q4400=0,$R4400=-1),0,$Q4400*1000+$R4400*100+$K4400)</f>
        <v>0</v>
      </c>
      <c r="T4400" s="37" t="str">
        <f aca="false">IF($A4400="","",IF($B4400="","NO ACCOUNT",IF($Q4400=0,"UNMAPPED",IF($R4400=-1,"OUTSIDE FY RANGE","OK"))))</f>
        <v/>
      </c>
      <c r="U4400" s="40" t="str">
        <f aca="false">IF($A4400="","",$B4400&amp;"|"&amp;TEXT($A4400,"yyyymmdd")&amp;"|"&amp;TEXT($I4400,"0.00"))</f>
        <v/>
      </c>
      <c r="V4400" s="35" t="str">
        <f aca="false">IF($A4400="","",COUNTIF($U$8:$U$5007,$U4400))</f>
        <v/>
      </c>
    </row>
    <row r="4401" customFormat="false" ht="15" hidden="false" customHeight="false" outlineLevel="0" collapsed="false">
      <c r="A4401" s="31"/>
      <c r="B4401" s="32"/>
      <c r="C4401" s="32"/>
      <c r="D4401" s="32"/>
      <c r="E4401" s="32"/>
      <c r="F4401" s="32"/>
      <c r="G4401" s="33"/>
      <c r="H4401" s="33"/>
      <c r="I4401" s="34" t="str">
        <f aca="false">IF($A4401="","",$G4401-$H4401)</f>
        <v/>
      </c>
      <c r="J4401" s="35" t="str">
        <f aca="false">IF($A4401="","",IF(Setup!$B$6=1,YEAR($A4401),YEAR($A4401)+IF(MONTH($A4401)&gt;=Setup!$B$6,1,0)))</f>
        <v/>
      </c>
      <c r="K4401" s="35" t="str">
        <f aca="false">IF($A4401="","",MOD(MONTH($A4401)-Setup!$B$6+12,12)+1)</f>
        <v/>
      </c>
      <c r="L4401" s="36" t="str">
        <f aca="false">IF($A4401="","",TEXT($A4401,"MMM-YY"))</f>
        <v/>
      </c>
      <c r="M4401" s="37" t="str">
        <f aca="false">IF($A4401="","",IF($Q4401=0,"UNMAPPED",INDEX(COA_Mapping!$C$7:$C$256,$Q4401)))</f>
        <v/>
      </c>
      <c r="N4401" s="38" t="str">
        <f aca="false">IF($A4401="","",IF($Q4401=0,"",INDEX(COA_Mapping!$E$7:$E$256,$Q4401)))</f>
        <v/>
      </c>
      <c r="O4401" s="38" t="n">
        <f aca="false">IF($A4401="",1,IF($Q4401=0,1,INDEX(COA_Mapping!$F$7:$F$256,$Q4401)))</f>
        <v>1</v>
      </c>
      <c r="P4401" s="34" t="str">
        <f aca="false">IF($A4401="","",$I4401*$O4401)</f>
        <v/>
      </c>
      <c r="Q4401" s="39" t="n">
        <f aca="false">IF($B4401="",0,IFERROR(MATCH($B4401,COA_Mapping!$A$7:$A$256,0),0))</f>
        <v>0</v>
      </c>
      <c r="R4401" s="39" t="n">
        <f aca="false">IF($A4401="",-1,IF($J4401=Setup!$B$7,1,IF($J4401=Setup!$B$9,0,-1)))</f>
        <v>-1</v>
      </c>
      <c r="S4401" s="35" t="n">
        <f aca="false">IF(OR($A4401="",$Q4401=0,$R4401=-1),0,$Q4401*1000+$R4401*100+$K4401)</f>
        <v>0</v>
      </c>
      <c r="T4401" s="37" t="str">
        <f aca="false">IF($A4401="","",IF($B4401="","NO ACCOUNT",IF($Q4401=0,"UNMAPPED",IF($R4401=-1,"OUTSIDE FY RANGE","OK"))))</f>
        <v/>
      </c>
      <c r="U4401" s="40" t="str">
        <f aca="false">IF($A4401="","",$B4401&amp;"|"&amp;TEXT($A4401,"yyyymmdd")&amp;"|"&amp;TEXT($I4401,"0.00"))</f>
        <v/>
      </c>
      <c r="V4401" s="35" t="str">
        <f aca="false">IF($A4401="","",COUNTIF($U$8:$U$5007,$U4401))</f>
        <v/>
      </c>
    </row>
    <row r="4402" customFormat="false" ht="15" hidden="false" customHeight="false" outlineLevel="0" collapsed="false">
      <c r="A4402" s="31"/>
      <c r="B4402" s="32"/>
      <c r="C4402" s="32"/>
      <c r="D4402" s="32"/>
      <c r="E4402" s="32"/>
      <c r="F4402" s="32"/>
      <c r="G4402" s="33"/>
      <c r="H4402" s="33"/>
      <c r="I4402" s="34" t="str">
        <f aca="false">IF($A4402="","",$G4402-$H4402)</f>
        <v/>
      </c>
      <c r="J4402" s="35" t="str">
        <f aca="false">IF($A4402="","",IF(Setup!$B$6=1,YEAR($A4402),YEAR($A4402)+IF(MONTH($A4402)&gt;=Setup!$B$6,1,0)))</f>
        <v/>
      </c>
      <c r="K4402" s="35" t="str">
        <f aca="false">IF($A4402="","",MOD(MONTH($A4402)-Setup!$B$6+12,12)+1)</f>
        <v/>
      </c>
      <c r="L4402" s="36" t="str">
        <f aca="false">IF($A4402="","",TEXT($A4402,"MMM-YY"))</f>
        <v/>
      </c>
      <c r="M4402" s="37" t="str">
        <f aca="false">IF($A4402="","",IF($Q4402=0,"UNMAPPED",INDEX(COA_Mapping!$C$7:$C$256,$Q4402)))</f>
        <v/>
      </c>
      <c r="N4402" s="38" t="str">
        <f aca="false">IF($A4402="","",IF($Q4402=0,"",INDEX(COA_Mapping!$E$7:$E$256,$Q4402)))</f>
        <v/>
      </c>
      <c r="O4402" s="38" t="n">
        <f aca="false">IF($A4402="",1,IF($Q4402=0,1,INDEX(COA_Mapping!$F$7:$F$256,$Q4402)))</f>
        <v>1</v>
      </c>
      <c r="P4402" s="34" t="str">
        <f aca="false">IF($A4402="","",$I4402*$O4402)</f>
        <v/>
      </c>
      <c r="Q4402" s="39" t="n">
        <f aca="false">IF($B4402="",0,IFERROR(MATCH($B4402,COA_Mapping!$A$7:$A$256,0),0))</f>
        <v>0</v>
      </c>
      <c r="R4402" s="39" t="n">
        <f aca="false">IF($A4402="",-1,IF($J4402=Setup!$B$7,1,IF($J4402=Setup!$B$9,0,-1)))</f>
        <v>-1</v>
      </c>
      <c r="S4402" s="35" t="n">
        <f aca="false">IF(OR($A4402="",$Q4402=0,$R4402=-1),0,$Q4402*1000+$R4402*100+$K4402)</f>
        <v>0</v>
      </c>
      <c r="T4402" s="37" t="str">
        <f aca="false">IF($A4402="","",IF($B4402="","NO ACCOUNT",IF($Q4402=0,"UNMAPPED",IF($R4402=-1,"OUTSIDE FY RANGE","OK"))))</f>
        <v/>
      </c>
      <c r="U4402" s="40" t="str">
        <f aca="false">IF($A4402="","",$B4402&amp;"|"&amp;TEXT($A4402,"yyyymmdd")&amp;"|"&amp;TEXT($I4402,"0.00"))</f>
        <v/>
      </c>
      <c r="V4402" s="35" t="str">
        <f aca="false">IF($A4402="","",COUNTIF($U$8:$U$5007,$U4402))</f>
        <v/>
      </c>
    </row>
    <row r="4403" customFormat="false" ht="15" hidden="false" customHeight="false" outlineLevel="0" collapsed="false">
      <c r="A4403" s="31"/>
      <c r="B4403" s="32"/>
      <c r="C4403" s="32"/>
      <c r="D4403" s="32"/>
      <c r="E4403" s="32"/>
      <c r="F4403" s="32"/>
      <c r="G4403" s="33"/>
      <c r="H4403" s="33"/>
      <c r="I4403" s="34" t="str">
        <f aca="false">IF($A4403="","",$G4403-$H4403)</f>
        <v/>
      </c>
      <c r="J4403" s="35" t="str">
        <f aca="false">IF($A4403="","",IF(Setup!$B$6=1,YEAR($A4403),YEAR($A4403)+IF(MONTH($A4403)&gt;=Setup!$B$6,1,0)))</f>
        <v/>
      </c>
      <c r="K4403" s="35" t="str">
        <f aca="false">IF($A4403="","",MOD(MONTH($A4403)-Setup!$B$6+12,12)+1)</f>
        <v/>
      </c>
      <c r="L4403" s="36" t="str">
        <f aca="false">IF($A4403="","",TEXT($A4403,"MMM-YY"))</f>
        <v/>
      </c>
      <c r="M4403" s="37" t="str">
        <f aca="false">IF($A4403="","",IF($Q4403=0,"UNMAPPED",INDEX(COA_Mapping!$C$7:$C$256,$Q4403)))</f>
        <v/>
      </c>
      <c r="N4403" s="38" t="str">
        <f aca="false">IF($A4403="","",IF($Q4403=0,"",INDEX(COA_Mapping!$E$7:$E$256,$Q4403)))</f>
        <v/>
      </c>
      <c r="O4403" s="38" t="n">
        <f aca="false">IF($A4403="",1,IF($Q4403=0,1,INDEX(COA_Mapping!$F$7:$F$256,$Q4403)))</f>
        <v>1</v>
      </c>
      <c r="P4403" s="34" t="str">
        <f aca="false">IF($A4403="","",$I4403*$O4403)</f>
        <v/>
      </c>
      <c r="Q4403" s="39" t="n">
        <f aca="false">IF($B4403="",0,IFERROR(MATCH($B4403,COA_Mapping!$A$7:$A$256,0),0))</f>
        <v>0</v>
      </c>
      <c r="R4403" s="39" t="n">
        <f aca="false">IF($A4403="",-1,IF($J4403=Setup!$B$7,1,IF($J4403=Setup!$B$9,0,-1)))</f>
        <v>-1</v>
      </c>
      <c r="S4403" s="35" t="n">
        <f aca="false">IF(OR($A4403="",$Q4403=0,$R4403=-1),0,$Q4403*1000+$R4403*100+$K4403)</f>
        <v>0</v>
      </c>
      <c r="T4403" s="37" t="str">
        <f aca="false">IF($A4403="","",IF($B4403="","NO ACCOUNT",IF($Q4403=0,"UNMAPPED",IF($R4403=-1,"OUTSIDE FY RANGE","OK"))))</f>
        <v/>
      </c>
      <c r="U4403" s="40" t="str">
        <f aca="false">IF($A4403="","",$B4403&amp;"|"&amp;TEXT($A4403,"yyyymmdd")&amp;"|"&amp;TEXT($I4403,"0.00"))</f>
        <v/>
      </c>
      <c r="V4403" s="35" t="str">
        <f aca="false">IF($A4403="","",COUNTIF($U$8:$U$5007,$U4403))</f>
        <v/>
      </c>
    </row>
    <row r="4404" customFormat="false" ht="15" hidden="false" customHeight="false" outlineLevel="0" collapsed="false">
      <c r="A4404" s="31"/>
      <c r="B4404" s="32"/>
      <c r="C4404" s="32"/>
      <c r="D4404" s="32"/>
      <c r="E4404" s="32"/>
      <c r="F4404" s="32"/>
      <c r="G4404" s="33"/>
      <c r="H4404" s="33"/>
      <c r="I4404" s="34" t="str">
        <f aca="false">IF($A4404="","",$G4404-$H4404)</f>
        <v/>
      </c>
      <c r="J4404" s="35" t="str">
        <f aca="false">IF($A4404="","",IF(Setup!$B$6=1,YEAR($A4404),YEAR($A4404)+IF(MONTH($A4404)&gt;=Setup!$B$6,1,0)))</f>
        <v/>
      </c>
      <c r="K4404" s="35" t="str">
        <f aca="false">IF($A4404="","",MOD(MONTH($A4404)-Setup!$B$6+12,12)+1)</f>
        <v/>
      </c>
      <c r="L4404" s="36" t="str">
        <f aca="false">IF($A4404="","",TEXT($A4404,"MMM-YY"))</f>
        <v/>
      </c>
      <c r="M4404" s="37" t="str">
        <f aca="false">IF($A4404="","",IF($Q4404=0,"UNMAPPED",INDEX(COA_Mapping!$C$7:$C$256,$Q4404)))</f>
        <v/>
      </c>
      <c r="N4404" s="38" t="str">
        <f aca="false">IF($A4404="","",IF($Q4404=0,"",INDEX(COA_Mapping!$E$7:$E$256,$Q4404)))</f>
        <v/>
      </c>
      <c r="O4404" s="38" t="n">
        <f aca="false">IF($A4404="",1,IF($Q4404=0,1,INDEX(COA_Mapping!$F$7:$F$256,$Q4404)))</f>
        <v>1</v>
      </c>
      <c r="P4404" s="34" t="str">
        <f aca="false">IF($A4404="","",$I4404*$O4404)</f>
        <v/>
      </c>
      <c r="Q4404" s="39" t="n">
        <f aca="false">IF($B4404="",0,IFERROR(MATCH($B4404,COA_Mapping!$A$7:$A$256,0),0))</f>
        <v>0</v>
      </c>
      <c r="R4404" s="39" t="n">
        <f aca="false">IF($A4404="",-1,IF($J4404=Setup!$B$7,1,IF($J4404=Setup!$B$9,0,-1)))</f>
        <v>-1</v>
      </c>
      <c r="S4404" s="35" t="n">
        <f aca="false">IF(OR($A4404="",$Q4404=0,$R4404=-1),0,$Q4404*1000+$R4404*100+$K4404)</f>
        <v>0</v>
      </c>
      <c r="T4404" s="37" t="str">
        <f aca="false">IF($A4404="","",IF($B4404="","NO ACCOUNT",IF($Q4404=0,"UNMAPPED",IF($R4404=-1,"OUTSIDE FY RANGE","OK"))))</f>
        <v/>
      </c>
      <c r="U4404" s="40" t="str">
        <f aca="false">IF($A4404="","",$B4404&amp;"|"&amp;TEXT($A4404,"yyyymmdd")&amp;"|"&amp;TEXT($I4404,"0.00"))</f>
        <v/>
      </c>
      <c r="V4404" s="35" t="str">
        <f aca="false">IF($A4404="","",COUNTIF($U$8:$U$5007,$U4404))</f>
        <v/>
      </c>
    </row>
    <row r="4405" customFormat="false" ht="15" hidden="false" customHeight="false" outlineLevel="0" collapsed="false">
      <c r="A4405" s="31"/>
      <c r="B4405" s="32"/>
      <c r="C4405" s="32"/>
      <c r="D4405" s="32"/>
      <c r="E4405" s="32"/>
      <c r="F4405" s="32"/>
      <c r="G4405" s="33"/>
      <c r="H4405" s="33"/>
      <c r="I4405" s="34" t="str">
        <f aca="false">IF($A4405="","",$G4405-$H4405)</f>
        <v/>
      </c>
      <c r="J4405" s="35" t="str">
        <f aca="false">IF($A4405="","",IF(Setup!$B$6=1,YEAR($A4405),YEAR($A4405)+IF(MONTH($A4405)&gt;=Setup!$B$6,1,0)))</f>
        <v/>
      </c>
      <c r="K4405" s="35" t="str">
        <f aca="false">IF($A4405="","",MOD(MONTH($A4405)-Setup!$B$6+12,12)+1)</f>
        <v/>
      </c>
      <c r="L4405" s="36" t="str">
        <f aca="false">IF($A4405="","",TEXT($A4405,"MMM-YY"))</f>
        <v/>
      </c>
      <c r="M4405" s="37" t="str">
        <f aca="false">IF($A4405="","",IF($Q4405=0,"UNMAPPED",INDEX(COA_Mapping!$C$7:$C$256,$Q4405)))</f>
        <v/>
      </c>
      <c r="N4405" s="38" t="str">
        <f aca="false">IF($A4405="","",IF($Q4405=0,"",INDEX(COA_Mapping!$E$7:$E$256,$Q4405)))</f>
        <v/>
      </c>
      <c r="O4405" s="38" t="n">
        <f aca="false">IF($A4405="",1,IF($Q4405=0,1,INDEX(COA_Mapping!$F$7:$F$256,$Q4405)))</f>
        <v>1</v>
      </c>
      <c r="P4405" s="34" t="str">
        <f aca="false">IF($A4405="","",$I4405*$O4405)</f>
        <v/>
      </c>
      <c r="Q4405" s="39" t="n">
        <f aca="false">IF($B4405="",0,IFERROR(MATCH($B4405,COA_Mapping!$A$7:$A$256,0),0))</f>
        <v>0</v>
      </c>
      <c r="R4405" s="39" t="n">
        <f aca="false">IF($A4405="",-1,IF($J4405=Setup!$B$7,1,IF($J4405=Setup!$B$9,0,-1)))</f>
        <v>-1</v>
      </c>
      <c r="S4405" s="35" t="n">
        <f aca="false">IF(OR($A4405="",$Q4405=0,$R4405=-1),0,$Q4405*1000+$R4405*100+$K4405)</f>
        <v>0</v>
      </c>
      <c r="T4405" s="37" t="str">
        <f aca="false">IF($A4405="","",IF($B4405="","NO ACCOUNT",IF($Q4405=0,"UNMAPPED",IF($R4405=-1,"OUTSIDE FY RANGE","OK"))))</f>
        <v/>
      </c>
      <c r="U4405" s="40" t="str">
        <f aca="false">IF($A4405="","",$B4405&amp;"|"&amp;TEXT($A4405,"yyyymmdd")&amp;"|"&amp;TEXT($I4405,"0.00"))</f>
        <v/>
      </c>
      <c r="V4405" s="35" t="str">
        <f aca="false">IF($A4405="","",COUNTIF($U$8:$U$5007,$U4405))</f>
        <v/>
      </c>
    </row>
    <row r="4406" customFormat="false" ht="15" hidden="false" customHeight="false" outlineLevel="0" collapsed="false">
      <c r="A4406" s="31"/>
      <c r="B4406" s="32"/>
      <c r="C4406" s="32"/>
      <c r="D4406" s="32"/>
      <c r="E4406" s="32"/>
      <c r="F4406" s="32"/>
      <c r="G4406" s="33"/>
      <c r="H4406" s="33"/>
      <c r="I4406" s="34" t="str">
        <f aca="false">IF($A4406="","",$G4406-$H4406)</f>
        <v/>
      </c>
      <c r="J4406" s="35" t="str">
        <f aca="false">IF($A4406="","",IF(Setup!$B$6=1,YEAR($A4406),YEAR($A4406)+IF(MONTH($A4406)&gt;=Setup!$B$6,1,0)))</f>
        <v/>
      </c>
      <c r="K4406" s="35" t="str">
        <f aca="false">IF($A4406="","",MOD(MONTH($A4406)-Setup!$B$6+12,12)+1)</f>
        <v/>
      </c>
      <c r="L4406" s="36" t="str">
        <f aca="false">IF($A4406="","",TEXT($A4406,"MMM-YY"))</f>
        <v/>
      </c>
      <c r="M4406" s="37" t="str">
        <f aca="false">IF($A4406="","",IF($Q4406=0,"UNMAPPED",INDEX(COA_Mapping!$C$7:$C$256,$Q4406)))</f>
        <v/>
      </c>
      <c r="N4406" s="38" t="str">
        <f aca="false">IF($A4406="","",IF($Q4406=0,"",INDEX(COA_Mapping!$E$7:$E$256,$Q4406)))</f>
        <v/>
      </c>
      <c r="O4406" s="38" t="n">
        <f aca="false">IF($A4406="",1,IF($Q4406=0,1,INDEX(COA_Mapping!$F$7:$F$256,$Q4406)))</f>
        <v>1</v>
      </c>
      <c r="P4406" s="34" t="str">
        <f aca="false">IF($A4406="","",$I4406*$O4406)</f>
        <v/>
      </c>
      <c r="Q4406" s="39" t="n">
        <f aca="false">IF($B4406="",0,IFERROR(MATCH($B4406,COA_Mapping!$A$7:$A$256,0),0))</f>
        <v>0</v>
      </c>
      <c r="R4406" s="39" t="n">
        <f aca="false">IF($A4406="",-1,IF($J4406=Setup!$B$7,1,IF($J4406=Setup!$B$9,0,-1)))</f>
        <v>-1</v>
      </c>
      <c r="S4406" s="35" t="n">
        <f aca="false">IF(OR($A4406="",$Q4406=0,$R4406=-1),0,$Q4406*1000+$R4406*100+$K4406)</f>
        <v>0</v>
      </c>
      <c r="T4406" s="37" t="str">
        <f aca="false">IF($A4406="","",IF($B4406="","NO ACCOUNT",IF($Q4406=0,"UNMAPPED",IF($R4406=-1,"OUTSIDE FY RANGE","OK"))))</f>
        <v/>
      </c>
      <c r="U4406" s="40" t="str">
        <f aca="false">IF($A4406="","",$B4406&amp;"|"&amp;TEXT($A4406,"yyyymmdd")&amp;"|"&amp;TEXT($I4406,"0.00"))</f>
        <v/>
      </c>
      <c r="V4406" s="35" t="str">
        <f aca="false">IF($A4406="","",COUNTIF($U$8:$U$5007,$U4406))</f>
        <v/>
      </c>
    </row>
    <row r="4407" customFormat="false" ht="15" hidden="false" customHeight="false" outlineLevel="0" collapsed="false">
      <c r="A4407" s="31"/>
      <c r="B4407" s="32"/>
      <c r="C4407" s="32"/>
      <c r="D4407" s="32"/>
      <c r="E4407" s="32"/>
      <c r="F4407" s="32"/>
      <c r="G4407" s="33"/>
      <c r="H4407" s="33"/>
      <c r="I4407" s="34" t="str">
        <f aca="false">IF($A4407="","",$G4407-$H4407)</f>
        <v/>
      </c>
      <c r="J4407" s="35" t="str">
        <f aca="false">IF($A4407="","",IF(Setup!$B$6=1,YEAR($A4407),YEAR($A4407)+IF(MONTH($A4407)&gt;=Setup!$B$6,1,0)))</f>
        <v/>
      </c>
      <c r="K4407" s="35" t="str">
        <f aca="false">IF($A4407="","",MOD(MONTH($A4407)-Setup!$B$6+12,12)+1)</f>
        <v/>
      </c>
      <c r="L4407" s="36" t="str">
        <f aca="false">IF($A4407="","",TEXT($A4407,"MMM-YY"))</f>
        <v/>
      </c>
      <c r="M4407" s="37" t="str">
        <f aca="false">IF($A4407="","",IF($Q4407=0,"UNMAPPED",INDEX(COA_Mapping!$C$7:$C$256,$Q4407)))</f>
        <v/>
      </c>
      <c r="N4407" s="38" t="str">
        <f aca="false">IF($A4407="","",IF($Q4407=0,"",INDEX(COA_Mapping!$E$7:$E$256,$Q4407)))</f>
        <v/>
      </c>
      <c r="O4407" s="38" t="n">
        <f aca="false">IF($A4407="",1,IF($Q4407=0,1,INDEX(COA_Mapping!$F$7:$F$256,$Q4407)))</f>
        <v>1</v>
      </c>
      <c r="P4407" s="34" t="str">
        <f aca="false">IF($A4407="","",$I4407*$O4407)</f>
        <v/>
      </c>
      <c r="Q4407" s="39" t="n">
        <f aca="false">IF($B4407="",0,IFERROR(MATCH($B4407,COA_Mapping!$A$7:$A$256,0),0))</f>
        <v>0</v>
      </c>
      <c r="R4407" s="39" t="n">
        <f aca="false">IF($A4407="",-1,IF($J4407=Setup!$B$7,1,IF($J4407=Setup!$B$9,0,-1)))</f>
        <v>-1</v>
      </c>
      <c r="S4407" s="35" t="n">
        <f aca="false">IF(OR($A4407="",$Q4407=0,$R4407=-1),0,$Q4407*1000+$R4407*100+$K4407)</f>
        <v>0</v>
      </c>
      <c r="T4407" s="37" t="str">
        <f aca="false">IF($A4407="","",IF($B4407="","NO ACCOUNT",IF($Q4407=0,"UNMAPPED",IF($R4407=-1,"OUTSIDE FY RANGE","OK"))))</f>
        <v/>
      </c>
      <c r="U4407" s="40" t="str">
        <f aca="false">IF($A4407="","",$B4407&amp;"|"&amp;TEXT($A4407,"yyyymmdd")&amp;"|"&amp;TEXT($I4407,"0.00"))</f>
        <v/>
      </c>
      <c r="V4407" s="35" t="str">
        <f aca="false">IF($A4407="","",COUNTIF($U$8:$U$5007,$U4407))</f>
        <v/>
      </c>
    </row>
    <row r="4408" customFormat="false" ht="15" hidden="false" customHeight="false" outlineLevel="0" collapsed="false">
      <c r="A4408" s="31"/>
      <c r="B4408" s="32"/>
      <c r="C4408" s="32"/>
      <c r="D4408" s="32"/>
      <c r="E4408" s="32"/>
      <c r="F4408" s="32"/>
      <c r="G4408" s="33"/>
      <c r="H4408" s="33"/>
      <c r="I4408" s="34" t="str">
        <f aca="false">IF($A4408="","",$G4408-$H4408)</f>
        <v/>
      </c>
      <c r="J4408" s="35" t="str">
        <f aca="false">IF($A4408="","",IF(Setup!$B$6=1,YEAR($A4408),YEAR($A4408)+IF(MONTH($A4408)&gt;=Setup!$B$6,1,0)))</f>
        <v/>
      </c>
      <c r="K4408" s="35" t="str">
        <f aca="false">IF($A4408="","",MOD(MONTH($A4408)-Setup!$B$6+12,12)+1)</f>
        <v/>
      </c>
      <c r="L4408" s="36" t="str">
        <f aca="false">IF($A4408="","",TEXT($A4408,"MMM-YY"))</f>
        <v/>
      </c>
      <c r="M4408" s="37" t="str">
        <f aca="false">IF($A4408="","",IF($Q4408=0,"UNMAPPED",INDEX(COA_Mapping!$C$7:$C$256,$Q4408)))</f>
        <v/>
      </c>
      <c r="N4408" s="38" t="str">
        <f aca="false">IF($A4408="","",IF($Q4408=0,"",INDEX(COA_Mapping!$E$7:$E$256,$Q4408)))</f>
        <v/>
      </c>
      <c r="O4408" s="38" t="n">
        <f aca="false">IF($A4408="",1,IF($Q4408=0,1,INDEX(COA_Mapping!$F$7:$F$256,$Q4408)))</f>
        <v>1</v>
      </c>
      <c r="P4408" s="34" t="str">
        <f aca="false">IF($A4408="","",$I4408*$O4408)</f>
        <v/>
      </c>
      <c r="Q4408" s="39" t="n">
        <f aca="false">IF($B4408="",0,IFERROR(MATCH($B4408,COA_Mapping!$A$7:$A$256,0),0))</f>
        <v>0</v>
      </c>
      <c r="R4408" s="39" t="n">
        <f aca="false">IF($A4408="",-1,IF($J4408=Setup!$B$7,1,IF($J4408=Setup!$B$9,0,-1)))</f>
        <v>-1</v>
      </c>
      <c r="S4408" s="35" t="n">
        <f aca="false">IF(OR($A4408="",$Q4408=0,$R4408=-1),0,$Q4408*1000+$R4408*100+$K4408)</f>
        <v>0</v>
      </c>
      <c r="T4408" s="37" t="str">
        <f aca="false">IF($A4408="","",IF($B4408="","NO ACCOUNT",IF($Q4408=0,"UNMAPPED",IF($R4408=-1,"OUTSIDE FY RANGE","OK"))))</f>
        <v/>
      </c>
      <c r="U4408" s="40" t="str">
        <f aca="false">IF($A4408="","",$B4408&amp;"|"&amp;TEXT($A4408,"yyyymmdd")&amp;"|"&amp;TEXT($I4408,"0.00"))</f>
        <v/>
      </c>
      <c r="V4408" s="35" t="str">
        <f aca="false">IF($A4408="","",COUNTIF($U$8:$U$5007,$U4408))</f>
        <v/>
      </c>
    </row>
    <row r="4409" customFormat="false" ht="15" hidden="false" customHeight="false" outlineLevel="0" collapsed="false">
      <c r="A4409" s="31"/>
      <c r="B4409" s="32"/>
      <c r="C4409" s="32"/>
      <c r="D4409" s="32"/>
      <c r="E4409" s="32"/>
      <c r="F4409" s="32"/>
      <c r="G4409" s="33"/>
      <c r="H4409" s="33"/>
      <c r="I4409" s="34" t="str">
        <f aca="false">IF($A4409="","",$G4409-$H4409)</f>
        <v/>
      </c>
      <c r="J4409" s="35" t="str">
        <f aca="false">IF($A4409="","",IF(Setup!$B$6=1,YEAR($A4409),YEAR($A4409)+IF(MONTH($A4409)&gt;=Setup!$B$6,1,0)))</f>
        <v/>
      </c>
      <c r="K4409" s="35" t="str">
        <f aca="false">IF($A4409="","",MOD(MONTH($A4409)-Setup!$B$6+12,12)+1)</f>
        <v/>
      </c>
      <c r="L4409" s="36" t="str">
        <f aca="false">IF($A4409="","",TEXT($A4409,"MMM-YY"))</f>
        <v/>
      </c>
      <c r="M4409" s="37" t="str">
        <f aca="false">IF($A4409="","",IF($Q4409=0,"UNMAPPED",INDEX(COA_Mapping!$C$7:$C$256,$Q4409)))</f>
        <v/>
      </c>
      <c r="N4409" s="38" t="str">
        <f aca="false">IF($A4409="","",IF($Q4409=0,"",INDEX(COA_Mapping!$E$7:$E$256,$Q4409)))</f>
        <v/>
      </c>
      <c r="O4409" s="38" t="n">
        <f aca="false">IF($A4409="",1,IF($Q4409=0,1,INDEX(COA_Mapping!$F$7:$F$256,$Q4409)))</f>
        <v>1</v>
      </c>
      <c r="P4409" s="34" t="str">
        <f aca="false">IF($A4409="","",$I4409*$O4409)</f>
        <v/>
      </c>
      <c r="Q4409" s="39" t="n">
        <f aca="false">IF($B4409="",0,IFERROR(MATCH($B4409,COA_Mapping!$A$7:$A$256,0),0))</f>
        <v>0</v>
      </c>
      <c r="R4409" s="39" t="n">
        <f aca="false">IF($A4409="",-1,IF($J4409=Setup!$B$7,1,IF($J4409=Setup!$B$9,0,-1)))</f>
        <v>-1</v>
      </c>
      <c r="S4409" s="35" t="n">
        <f aca="false">IF(OR($A4409="",$Q4409=0,$R4409=-1),0,$Q4409*1000+$R4409*100+$K4409)</f>
        <v>0</v>
      </c>
      <c r="T4409" s="37" t="str">
        <f aca="false">IF($A4409="","",IF($B4409="","NO ACCOUNT",IF($Q4409=0,"UNMAPPED",IF($R4409=-1,"OUTSIDE FY RANGE","OK"))))</f>
        <v/>
      </c>
      <c r="U4409" s="40" t="str">
        <f aca="false">IF($A4409="","",$B4409&amp;"|"&amp;TEXT($A4409,"yyyymmdd")&amp;"|"&amp;TEXT($I4409,"0.00"))</f>
        <v/>
      </c>
      <c r="V4409" s="35" t="str">
        <f aca="false">IF($A4409="","",COUNTIF($U$8:$U$5007,$U4409))</f>
        <v/>
      </c>
    </row>
    <row r="4410" customFormat="false" ht="15" hidden="false" customHeight="false" outlineLevel="0" collapsed="false">
      <c r="A4410" s="31"/>
      <c r="B4410" s="32"/>
      <c r="C4410" s="32"/>
      <c r="D4410" s="32"/>
      <c r="E4410" s="32"/>
      <c r="F4410" s="32"/>
      <c r="G4410" s="33"/>
      <c r="H4410" s="33"/>
      <c r="I4410" s="34" t="str">
        <f aca="false">IF($A4410="","",$G4410-$H4410)</f>
        <v/>
      </c>
      <c r="J4410" s="35" t="str">
        <f aca="false">IF($A4410="","",IF(Setup!$B$6=1,YEAR($A4410),YEAR($A4410)+IF(MONTH($A4410)&gt;=Setup!$B$6,1,0)))</f>
        <v/>
      </c>
      <c r="K4410" s="35" t="str">
        <f aca="false">IF($A4410="","",MOD(MONTH($A4410)-Setup!$B$6+12,12)+1)</f>
        <v/>
      </c>
      <c r="L4410" s="36" t="str">
        <f aca="false">IF($A4410="","",TEXT($A4410,"MMM-YY"))</f>
        <v/>
      </c>
      <c r="M4410" s="37" t="str">
        <f aca="false">IF($A4410="","",IF($Q4410=0,"UNMAPPED",INDEX(COA_Mapping!$C$7:$C$256,$Q4410)))</f>
        <v/>
      </c>
      <c r="N4410" s="38" t="str">
        <f aca="false">IF($A4410="","",IF($Q4410=0,"",INDEX(COA_Mapping!$E$7:$E$256,$Q4410)))</f>
        <v/>
      </c>
      <c r="O4410" s="38" t="n">
        <f aca="false">IF($A4410="",1,IF($Q4410=0,1,INDEX(COA_Mapping!$F$7:$F$256,$Q4410)))</f>
        <v>1</v>
      </c>
      <c r="P4410" s="34" t="str">
        <f aca="false">IF($A4410="","",$I4410*$O4410)</f>
        <v/>
      </c>
      <c r="Q4410" s="39" t="n">
        <f aca="false">IF($B4410="",0,IFERROR(MATCH($B4410,COA_Mapping!$A$7:$A$256,0),0))</f>
        <v>0</v>
      </c>
      <c r="R4410" s="39" t="n">
        <f aca="false">IF($A4410="",-1,IF($J4410=Setup!$B$7,1,IF($J4410=Setup!$B$9,0,-1)))</f>
        <v>-1</v>
      </c>
      <c r="S4410" s="35" t="n">
        <f aca="false">IF(OR($A4410="",$Q4410=0,$R4410=-1),0,$Q4410*1000+$R4410*100+$K4410)</f>
        <v>0</v>
      </c>
      <c r="T4410" s="37" t="str">
        <f aca="false">IF($A4410="","",IF($B4410="","NO ACCOUNT",IF($Q4410=0,"UNMAPPED",IF($R4410=-1,"OUTSIDE FY RANGE","OK"))))</f>
        <v/>
      </c>
      <c r="U4410" s="40" t="str">
        <f aca="false">IF($A4410="","",$B4410&amp;"|"&amp;TEXT($A4410,"yyyymmdd")&amp;"|"&amp;TEXT($I4410,"0.00"))</f>
        <v/>
      </c>
      <c r="V4410" s="35" t="str">
        <f aca="false">IF($A4410="","",COUNTIF($U$8:$U$5007,$U4410))</f>
        <v/>
      </c>
    </row>
    <row r="4411" customFormat="false" ht="15" hidden="false" customHeight="false" outlineLevel="0" collapsed="false">
      <c r="A4411" s="31"/>
      <c r="B4411" s="32"/>
      <c r="C4411" s="32"/>
      <c r="D4411" s="32"/>
      <c r="E4411" s="32"/>
      <c r="F4411" s="32"/>
      <c r="G4411" s="33"/>
      <c r="H4411" s="33"/>
      <c r="I4411" s="34" t="str">
        <f aca="false">IF($A4411="","",$G4411-$H4411)</f>
        <v/>
      </c>
      <c r="J4411" s="35" t="str">
        <f aca="false">IF($A4411="","",IF(Setup!$B$6=1,YEAR($A4411),YEAR($A4411)+IF(MONTH($A4411)&gt;=Setup!$B$6,1,0)))</f>
        <v/>
      </c>
      <c r="K4411" s="35" t="str">
        <f aca="false">IF($A4411="","",MOD(MONTH($A4411)-Setup!$B$6+12,12)+1)</f>
        <v/>
      </c>
      <c r="L4411" s="36" t="str">
        <f aca="false">IF($A4411="","",TEXT($A4411,"MMM-YY"))</f>
        <v/>
      </c>
      <c r="M4411" s="37" t="str">
        <f aca="false">IF($A4411="","",IF($Q4411=0,"UNMAPPED",INDEX(COA_Mapping!$C$7:$C$256,$Q4411)))</f>
        <v/>
      </c>
      <c r="N4411" s="38" t="str">
        <f aca="false">IF($A4411="","",IF($Q4411=0,"",INDEX(COA_Mapping!$E$7:$E$256,$Q4411)))</f>
        <v/>
      </c>
      <c r="O4411" s="38" t="n">
        <f aca="false">IF($A4411="",1,IF($Q4411=0,1,INDEX(COA_Mapping!$F$7:$F$256,$Q4411)))</f>
        <v>1</v>
      </c>
      <c r="P4411" s="34" t="str">
        <f aca="false">IF($A4411="","",$I4411*$O4411)</f>
        <v/>
      </c>
      <c r="Q4411" s="39" t="n">
        <f aca="false">IF($B4411="",0,IFERROR(MATCH($B4411,COA_Mapping!$A$7:$A$256,0),0))</f>
        <v>0</v>
      </c>
      <c r="R4411" s="39" t="n">
        <f aca="false">IF($A4411="",-1,IF($J4411=Setup!$B$7,1,IF($J4411=Setup!$B$9,0,-1)))</f>
        <v>-1</v>
      </c>
      <c r="S4411" s="35" t="n">
        <f aca="false">IF(OR($A4411="",$Q4411=0,$R4411=-1),0,$Q4411*1000+$R4411*100+$K4411)</f>
        <v>0</v>
      </c>
      <c r="T4411" s="37" t="str">
        <f aca="false">IF($A4411="","",IF($B4411="","NO ACCOUNT",IF($Q4411=0,"UNMAPPED",IF($R4411=-1,"OUTSIDE FY RANGE","OK"))))</f>
        <v/>
      </c>
      <c r="U4411" s="40" t="str">
        <f aca="false">IF($A4411="","",$B4411&amp;"|"&amp;TEXT($A4411,"yyyymmdd")&amp;"|"&amp;TEXT($I4411,"0.00"))</f>
        <v/>
      </c>
      <c r="V4411" s="35" t="str">
        <f aca="false">IF($A4411="","",COUNTIF($U$8:$U$5007,$U4411))</f>
        <v/>
      </c>
    </row>
    <row r="4412" customFormat="false" ht="15" hidden="false" customHeight="false" outlineLevel="0" collapsed="false">
      <c r="A4412" s="31"/>
      <c r="B4412" s="32"/>
      <c r="C4412" s="32"/>
      <c r="D4412" s="32"/>
      <c r="E4412" s="32"/>
      <c r="F4412" s="32"/>
      <c r="G4412" s="33"/>
      <c r="H4412" s="33"/>
      <c r="I4412" s="34" t="str">
        <f aca="false">IF($A4412="","",$G4412-$H4412)</f>
        <v/>
      </c>
      <c r="J4412" s="35" t="str">
        <f aca="false">IF($A4412="","",IF(Setup!$B$6=1,YEAR($A4412),YEAR($A4412)+IF(MONTH($A4412)&gt;=Setup!$B$6,1,0)))</f>
        <v/>
      </c>
      <c r="K4412" s="35" t="str">
        <f aca="false">IF($A4412="","",MOD(MONTH($A4412)-Setup!$B$6+12,12)+1)</f>
        <v/>
      </c>
      <c r="L4412" s="36" t="str">
        <f aca="false">IF($A4412="","",TEXT($A4412,"MMM-YY"))</f>
        <v/>
      </c>
      <c r="M4412" s="37" t="str">
        <f aca="false">IF($A4412="","",IF($Q4412=0,"UNMAPPED",INDEX(COA_Mapping!$C$7:$C$256,$Q4412)))</f>
        <v/>
      </c>
      <c r="N4412" s="38" t="str">
        <f aca="false">IF($A4412="","",IF($Q4412=0,"",INDEX(COA_Mapping!$E$7:$E$256,$Q4412)))</f>
        <v/>
      </c>
      <c r="O4412" s="38" t="n">
        <f aca="false">IF($A4412="",1,IF($Q4412=0,1,INDEX(COA_Mapping!$F$7:$F$256,$Q4412)))</f>
        <v>1</v>
      </c>
      <c r="P4412" s="34" t="str">
        <f aca="false">IF($A4412="","",$I4412*$O4412)</f>
        <v/>
      </c>
      <c r="Q4412" s="39" t="n">
        <f aca="false">IF($B4412="",0,IFERROR(MATCH($B4412,COA_Mapping!$A$7:$A$256,0),0))</f>
        <v>0</v>
      </c>
      <c r="R4412" s="39" t="n">
        <f aca="false">IF($A4412="",-1,IF($J4412=Setup!$B$7,1,IF($J4412=Setup!$B$9,0,-1)))</f>
        <v>-1</v>
      </c>
      <c r="S4412" s="35" t="n">
        <f aca="false">IF(OR($A4412="",$Q4412=0,$R4412=-1),0,$Q4412*1000+$R4412*100+$K4412)</f>
        <v>0</v>
      </c>
      <c r="T4412" s="37" t="str">
        <f aca="false">IF($A4412="","",IF($B4412="","NO ACCOUNT",IF($Q4412=0,"UNMAPPED",IF($R4412=-1,"OUTSIDE FY RANGE","OK"))))</f>
        <v/>
      </c>
      <c r="U4412" s="40" t="str">
        <f aca="false">IF($A4412="","",$B4412&amp;"|"&amp;TEXT($A4412,"yyyymmdd")&amp;"|"&amp;TEXT($I4412,"0.00"))</f>
        <v/>
      </c>
      <c r="V4412" s="35" t="str">
        <f aca="false">IF($A4412="","",COUNTIF($U$8:$U$5007,$U4412))</f>
        <v/>
      </c>
    </row>
    <row r="4413" customFormat="false" ht="15" hidden="false" customHeight="false" outlineLevel="0" collapsed="false">
      <c r="A4413" s="31"/>
      <c r="B4413" s="32"/>
      <c r="C4413" s="32"/>
      <c r="D4413" s="32"/>
      <c r="E4413" s="32"/>
      <c r="F4413" s="32"/>
      <c r="G4413" s="33"/>
      <c r="H4413" s="33"/>
      <c r="I4413" s="34" t="str">
        <f aca="false">IF($A4413="","",$G4413-$H4413)</f>
        <v/>
      </c>
      <c r="J4413" s="35" t="str">
        <f aca="false">IF($A4413="","",IF(Setup!$B$6=1,YEAR($A4413),YEAR($A4413)+IF(MONTH($A4413)&gt;=Setup!$B$6,1,0)))</f>
        <v/>
      </c>
      <c r="K4413" s="35" t="str">
        <f aca="false">IF($A4413="","",MOD(MONTH($A4413)-Setup!$B$6+12,12)+1)</f>
        <v/>
      </c>
      <c r="L4413" s="36" t="str">
        <f aca="false">IF($A4413="","",TEXT($A4413,"MMM-YY"))</f>
        <v/>
      </c>
      <c r="M4413" s="37" t="str">
        <f aca="false">IF($A4413="","",IF($Q4413=0,"UNMAPPED",INDEX(COA_Mapping!$C$7:$C$256,$Q4413)))</f>
        <v/>
      </c>
      <c r="N4413" s="38" t="str">
        <f aca="false">IF($A4413="","",IF($Q4413=0,"",INDEX(COA_Mapping!$E$7:$E$256,$Q4413)))</f>
        <v/>
      </c>
      <c r="O4413" s="38" t="n">
        <f aca="false">IF($A4413="",1,IF($Q4413=0,1,INDEX(COA_Mapping!$F$7:$F$256,$Q4413)))</f>
        <v>1</v>
      </c>
      <c r="P4413" s="34" t="str">
        <f aca="false">IF($A4413="","",$I4413*$O4413)</f>
        <v/>
      </c>
      <c r="Q4413" s="39" t="n">
        <f aca="false">IF($B4413="",0,IFERROR(MATCH($B4413,COA_Mapping!$A$7:$A$256,0),0))</f>
        <v>0</v>
      </c>
      <c r="R4413" s="39" t="n">
        <f aca="false">IF($A4413="",-1,IF($J4413=Setup!$B$7,1,IF($J4413=Setup!$B$9,0,-1)))</f>
        <v>-1</v>
      </c>
      <c r="S4413" s="35" t="n">
        <f aca="false">IF(OR($A4413="",$Q4413=0,$R4413=-1),0,$Q4413*1000+$R4413*100+$K4413)</f>
        <v>0</v>
      </c>
      <c r="T4413" s="37" t="str">
        <f aca="false">IF($A4413="","",IF($B4413="","NO ACCOUNT",IF($Q4413=0,"UNMAPPED",IF($R4413=-1,"OUTSIDE FY RANGE","OK"))))</f>
        <v/>
      </c>
      <c r="U4413" s="40" t="str">
        <f aca="false">IF($A4413="","",$B4413&amp;"|"&amp;TEXT($A4413,"yyyymmdd")&amp;"|"&amp;TEXT($I4413,"0.00"))</f>
        <v/>
      </c>
      <c r="V4413" s="35" t="str">
        <f aca="false">IF($A4413="","",COUNTIF($U$8:$U$5007,$U4413))</f>
        <v/>
      </c>
    </row>
    <row r="4414" customFormat="false" ht="15" hidden="false" customHeight="false" outlineLevel="0" collapsed="false">
      <c r="A4414" s="31"/>
      <c r="B4414" s="32"/>
      <c r="C4414" s="32"/>
      <c r="D4414" s="32"/>
      <c r="E4414" s="32"/>
      <c r="F4414" s="32"/>
      <c r="G4414" s="33"/>
      <c r="H4414" s="33"/>
      <c r="I4414" s="34" t="str">
        <f aca="false">IF($A4414="","",$G4414-$H4414)</f>
        <v/>
      </c>
      <c r="J4414" s="35" t="str">
        <f aca="false">IF($A4414="","",IF(Setup!$B$6=1,YEAR($A4414),YEAR($A4414)+IF(MONTH($A4414)&gt;=Setup!$B$6,1,0)))</f>
        <v/>
      </c>
      <c r="K4414" s="35" t="str">
        <f aca="false">IF($A4414="","",MOD(MONTH($A4414)-Setup!$B$6+12,12)+1)</f>
        <v/>
      </c>
      <c r="L4414" s="36" t="str">
        <f aca="false">IF($A4414="","",TEXT($A4414,"MMM-YY"))</f>
        <v/>
      </c>
      <c r="M4414" s="37" t="str">
        <f aca="false">IF($A4414="","",IF($Q4414=0,"UNMAPPED",INDEX(COA_Mapping!$C$7:$C$256,$Q4414)))</f>
        <v/>
      </c>
      <c r="N4414" s="38" t="str">
        <f aca="false">IF($A4414="","",IF($Q4414=0,"",INDEX(COA_Mapping!$E$7:$E$256,$Q4414)))</f>
        <v/>
      </c>
      <c r="O4414" s="38" t="n">
        <f aca="false">IF($A4414="",1,IF($Q4414=0,1,INDEX(COA_Mapping!$F$7:$F$256,$Q4414)))</f>
        <v>1</v>
      </c>
      <c r="P4414" s="34" t="str">
        <f aca="false">IF($A4414="","",$I4414*$O4414)</f>
        <v/>
      </c>
      <c r="Q4414" s="39" t="n">
        <f aca="false">IF($B4414="",0,IFERROR(MATCH($B4414,COA_Mapping!$A$7:$A$256,0),0))</f>
        <v>0</v>
      </c>
      <c r="R4414" s="39" t="n">
        <f aca="false">IF($A4414="",-1,IF($J4414=Setup!$B$7,1,IF($J4414=Setup!$B$9,0,-1)))</f>
        <v>-1</v>
      </c>
      <c r="S4414" s="35" t="n">
        <f aca="false">IF(OR($A4414="",$Q4414=0,$R4414=-1),0,$Q4414*1000+$R4414*100+$K4414)</f>
        <v>0</v>
      </c>
      <c r="T4414" s="37" t="str">
        <f aca="false">IF($A4414="","",IF($B4414="","NO ACCOUNT",IF($Q4414=0,"UNMAPPED",IF($R4414=-1,"OUTSIDE FY RANGE","OK"))))</f>
        <v/>
      </c>
      <c r="U4414" s="40" t="str">
        <f aca="false">IF($A4414="","",$B4414&amp;"|"&amp;TEXT($A4414,"yyyymmdd")&amp;"|"&amp;TEXT($I4414,"0.00"))</f>
        <v/>
      </c>
      <c r="V4414" s="35" t="str">
        <f aca="false">IF($A4414="","",COUNTIF($U$8:$U$5007,$U4414))</f>
        <v/>
      </c>
    </row>
    <row r="4415" customFormat="false" ht="15" hidden="false" customHeight="false" outlineLevel="0" collapsed="false">
      <c r="A4415" s="31"/>
      <c r="B4415" s="32"/>
      <c r="C4415" s="32"/>
      <c r="D4415" s="32"/>
      <c r="E4415" s="32"/>
      <c r="F4415" s="32"/>
      <c r="G4415" s="33"/>
      <c r="H4415" s="33"/>
      <c r="I4415" s="34" t="str">
        <f aca="false">IF($A4415="","",$G4415-$H4415)</f>
        <v/>
      </c>
      <c r="J4415" s="35" t="str">
        <f aca="false">IF($A4415="","",IF(Setup!$B$6=1,YEAR($A4415),YEAR($A4415)+IF(MONTH($A4415)&gt;=Setup!$B$6,1,0)))</f>
        <v/>
      </c>
      <c r="K4415" s="35" t="str">
        <f aca="false">IF($A4415="","",MOD(MONTH($A4415)-Setup!$B$6+12,12)+1)</f>
        <v/>
      </c>
      <c r="L4415" s="36" t="str">
        <f aca="false">IF($A4415="","",TEXT($A4415,"MMM-YY"))</f>
        <v/>
      </c>
      <c r="M4415" s="37" t="str">
        <f aca="false">IF($A4415="","",IF($Q4415=0,"UNMAPPED",INDEX(COA_Mapping!$C$7:$C$256,$Q4415)))</f>
        <v/>
      </c>
      <c r="N4415" s="38" t="str">
        <f aca="false">IF($A4415="","",IF($Q4415=0,"",INDEX(COA_Mapping!$E$7:$E$256,$Q4415)))</f>
        <v/>
      </c>
      <c r="O4415" s="38" t="n">
        <f aca="false">IF($A4415="",1,IF($Q4415=0,1,INDEX(COA_Mapping!$F$7:$F$256,$Q4415)))</f>
        <v>1</v>
      </c>
      <c r="P4415" s="34" t="str">
        <f aca="false">IF($A4415="","",$I4415*$O4415)</f>
        <v/>
      </c>
      <c r="Q4415" s="39" t="n">
        <f aca="false">IF($B4415="",0,IFERROR(MATCH($B4415,COA_Mapping!$A$7:$A$256,0),0))</f>
        <v>0</v>
      </c>
      <c r="R4415" s="39" t="n">
        <f aca="false">IF($A4415="",-1,IF($J4415=Setup!$B$7,1,IF($J4415=Setup!$B$9,0,-1)))</f>
        <v>-1</v>
      </c>
      <c r="S4415" s="35" t="n">
        <f aca="false">IF(OR($A4415="",$Q4415=0,$R4415=-1),0,$Q4415*1000+$R4415*100+$K4415)</f>
        <v>0</v>
      </c>
      <c r="T4415" s="37" t="str">
        <f aca="false">IF($A4415="","",IF($B4415="","NO ACCOUNT",IF($Q4415=0,"UNMAPPED",IF($R4415=-1,"OUTSIDE FY RANGE","OK"))))</f>
        <v/>
      </c>
      <c r="U4415" s="40" t="str">
        <f aca="false">IF($A4415="","",$B4415&amp;"|"&amp;TEXT($A4415,"yyyymmdd")&amp;"|"&amp;TEXT($I4415,"0.00"))</f>
        <v/>
      </c>
      <c r="V4415" s="35" t="str">
        <f aca="false">IF($A4415="","",COUNTIF($U$8:$U$5007,$U4415))</f>
        <v/>
      </c>
    </row>
    <row r="4416" customFormat="false" ht="15" hidden="false" customHeight="false" outlineLevel="0" collapsed="false">
      <c r="A4416" s="31"/>
      <c r="B4416" s="32"/>
      <c r="C4416" s="32"/>
      <c r="D4416" s="32"/>
      <c r="E4416" s="32"/>
      <c r="F4416" s="32"/>
      <c r="G4416" s="33"/>
      <c r="H4416" s="33"/>
      <c r="I4416" s="34" t="str">
        <f aca="false">IF($A4416="","",$G4416-$H4416)</f>
        <v/>
      </c>
      <c r="J4416" s="35" t="str">
        <f aca="false">IF($A4416="","",IF(Setup!$B$6=1,YEAR($A4416),YEAR($A4416)+IF(MONTH($A4416)&gt;=Setup!$B$6,1,0)))</f>
        <v/>
      </c>
      <c r="K4416" s="35" t="str">
        <f aca="false">IF($A4416="","",MOD(MONTH($A4416)-Setup!$B$6+12,12)+1)</f>
        <v/>
      </c>
      <c r="L4416" s="36" t="str">
        <f aca="false">IF($A4416="","",TEXT($A4416,"MMM-YY"))</f>
        <v/>
      </c>
      <c r="M4416" s="37" t="str">
        <f aca="false">IF($A4416="","",IF($Q4416=0,"UNMAPPED",INDEX(COA_Mapping!$C$7:$C$256,$Q4416)))</f>
        <v/>
      </c>
      <c r="N4416" s="38" t="str">
        <f aca="false">IF($A4416="","",IF($Q4416=0,"",INDEX(COA_Mapping!$E$7:$E$256,$Q4416)))</f>
        <v/>
      </c>
      <c r="O4416" s="38" t="n">
        <f aca="false">IF($A4416="",1,IF($Q4416=0,1,INDEX(COA_Mapping!$F$7:$F$256,$Q4416)))</f>
        <v>1</v>
      </c>
      <c r="P4416" s="34" t="str">
        <f aca="false">IF($A4416="","",$I4416*$O4416)</f>
        <v/>
      </c>
      <c r="Q4416" s="39" t="n">
        <f aca="false">IF($B4416="",0,IFERROR(MATCH($B4416,COA_Mapping!$A$7:$A$256,0),0))</f>
        <v>0</v>
      </c>
      <c r="R4416" s="39" t="n">
        <f aca="false">IF($A4416="",-1,IF($J4416=Setup!$B$7,1,IF($J4416=Setup!$B$9,0,-1)))</f>
        <v>-1</v>
      </c>
      <c r="S4416" s="35" t="n">
        <f aca="false">IF(OR($A4416="",$Q4416=0,$R4416=-1),0,$Q4416*1000+$R4416*100+$K4416)</f>
        <v>0</v>
      </c>
      <c r="T4416" s="37" t="str">
        <f aca="false">IF($A4416="","",IF($B4416="","NO ACCOUNT",IF($Q4416=0,"UNMAPPED",IF($R4416=-1,"OUTSIDE FY RANGE","OK"))))</f>
        <v/>
      </c>
      <c r="U4416" s="40" t="str">
        <f aca="false">IF($A4416="","",$B4416&amp;"|"&amp;TEXT($A4416,"yyyymmdd")&amp;"|"&amp;TEXT($I4416,"0.00"))</f>
        <v/>
      </c>
      <c r="V4416" s="35" t="str">
        <f aca="false">IF($A4416="","",COUNTIF($U$8:$U$5007,$U4416))</f>
        <v/>
      </c>
    </row>
    <row r="4417" customFormat="false" ht="15" hidden="false" customHeight="false" outlineLevel="0" collapsed="false">
      <c r="A4417" s="31"/>
      <c r="B4417" s="32"/>
      <c r="C4417" s="32"/>
      <c r="D4417" s="32"/>
      <c r="E4417" s="32"/>
      <c r="F4417" s="32"/>
      <c r="G4417" s="33"/>
      <c r="H4417" s="33"/>
      <c r="I4417" s="34" t="str">
        <f aca="false">IF($A4417="","",$G4417-$H4417)</f>
        <v/>
      </c>
      <c r="J4417" s="35" t="str">
        <f aca="false">IF($A4417="","",IF(Setup!$B$6=1,YEAR($A4417),YEAR($A4417)+IF(MONTH($A4417)&gt;=Setup!$B$6,1,0)))</f>
        <v/>
      </c>
      <c r="K4417" s="35" t="str">
        <f aca="false">IF($A4417="","",MOD(MONTH($A4417)-Setup!$B$6+12,12)+1)</f>
        <v/>
      </c>
      <c r="L4417" s="36" t="str">
        <f aca="false">IF($A4417="","",TEXT($A4417,"MMM-YY"))</f>
        <v/>
      </c>
      <c r="M4417" s="37" t="str">
        <f aca="false">IF($A4417="","",IF($Q4417=0,"UNMAPPED",INDEX(COA_Mapping!$C$7:$C$256,$Q4417)))</f>
        <v/>
      </c>
      <c r="N4417" s="38" t="str">
        <f aca="false">IF($A4417="","",IF($Q4417=0,"",INDEX(COA_Mapping!$E$7:$E$256,$Q4417)))</f>
        <v/>
      </c>
      <c r="O4417" s="38" t="n">
        <f aca="false">IF($A4417="",1,IF($Q4417=0,1,INDEX(COA_Mapping!$F$7:$F$256,$Q4417)))</f>
        <v>1</v>
      </c>
      <c r="P4417" s="34" t="str">
        <f aca="false">IF($A4417="","",$I4417*$O4417)</f>
        <v/>
      </c>
      <c r="Q4417" s="39" t="n">
        <f aca="false">IF($B4417="",0,IFERROR(MATCH($B4417,COA_Mapping!$A$7:$A$256,0),0))</f>
        <v>0</v>
      </c>
      <c r="R4417" s="39" t="n">
        <f aca="false">IF($A4417="",-1,IF($J4417=Setup!$B$7,1,IF($J4417=Setup!$B$9,0,-1)))</f>
        <v>-1</v>
      </c>
      <c r="S4417" s="35" t="n">
        <f aca="false">IF(OR($A4417="",$Q4417=0,$R4417=-1),0,$Q4417*1000+$R4417*100+$K4417)</f>
        <v>0</v>
      </c>
      <c r="T4417" s="37" t="str">
        <f aca="false">IF($A4417="","",IF($B4417="","NO ACCOUNT",IF($Q4417=0,"UNMAPPED",IF($R4417=-1,"OUTSIDE FY RANGE","OK"))))</f>
        <v/>
      </c>
      <c r="U4417" s="40" t="str">
        <f aca="false">IF($A4417="","",$B4417&amp;"|"&amp;TEXT($A4417,"yyyymmdd")&amp;"|"&amp;TEXT($I4417,"0.00"))</f>
        <v/>
      </c>
      <c r="V4417" s="35" t="str">
        <f aca="false">IF($A4417="","",COUNTIF($U$8:$U$5007,$U4417))</f>
        <v/>
      </c>
    </row>
    <row r="4418" customFormat="false" ht="15" hidden="false" customHeight="false" outlineLevel="0" collapsed="false">
      <c r="A4418" s="31"/>
      <c r="B4418" s="32"/>
      <c r="C4418" s="32"/>
      <c r="D4418" s="32"/>
      <c r="E4418" s="32"/>
      <c r="F4418" s="32"/>
      <c r="G4418" s="33"/>
      <c r="H4418" s="33"/>
      <c r="I4418" s="34" t="str">
        <f aca="false">IF($A4418="","",$G4418-$H4418)</f>
        <v/>
      </c>
      <c r="J4418" s="35" t="str">
        <f aca="false">IF($A4418="","",IF(Setup!$B$6=1,YEAR($A4418),YEAR($A4418)+IF(MONTH($A4418)&gt;=Setup!$B$6,1,0)))</f>
        <v/>
      </c>
      <c r="K4418" s="35" t="str">
        <f aca="false">IF($A4418="","",MOD(MONTH($A4418)-Setup!$B$6+12,12)+1)</f>
        <v/>
      </c>
      <c r="L4418" s="36" t="str">
        <f aca="false">IF($A4418="","",TEXT($A4418,"MMM-YY"))</f>
        <v/>
      </c>
      <c r="M4418" s="37" t="str">
        <f aca="false">IF($A4418="","",IF($Q4418=0,"UNMAPPED",INDEX(COA_Mapping!$C$7:$C$256,$Q4418)))</f>
        <v/>
      </c>
      <c r="N4418" s="38" t="str">
        <f aca="false">IF($A4418="","",IF($Q4418=0,"",INDEX(COA_Mapping!$E$7:$E$256,$Q4418)))</f>
        <v/>
      </c>
      <c r="O4418" s="38" t="n">
        <f aca="false">IF($A4418="",1,IF($Q4418=0,1,INDEX(COA_Mapping!$F$7:$F$256,$Q4418)))</f>
        <v>1</v>
      </c>
      <c r="P4418" s="34" t="str">
        <f aca="false">IF($A4418="","",$I4418*$O4418)</f>
        <v/>
      </c>
      <c r="Q4418" s="39" t="n">
        <f aca="false">IF($B4418="",0,IFERROR(MATCH($B4418,COA_Mapping!$A$7:$A$256,0),0))</f>
        <v>0</v>
      </c>
      <c r="R4418" s="39" t="n">
        <f aca="false">IF($A4418="",-1,IF($J4418=Setup!$B$7,1,IF($J4418=Setup!$B$9,0,-1)))</f>
        <v>-1</v>
      </c>
      <c r="S4418" s="35" t="n">
        <f aca="false">IF(OR($A4418="",$Q4418=0,$R4418=-1),0,$Q4418*1000+$R4418*100+$K4418)</f>
        <v>0</v>
      </c>
      <c r="T4418" s="37" t="str">
        <f aca="false">IF($A4418="","",IF($B4418="","NO ACCOUNT",IF($Q4418=0,"UNMAPPED",IF($R4418=-1,"OUTSIDE FY RANGE","OK"))))</f>
        <v/>
      </c>
      <c r="U4418" s="40" t="str">
        <f aca="false">IF($A4418="","",$B4418&amp;"|"&amp;TEXT($A4418,"yyyymmdd")&amp;"|"&amp;TEXT($I4418,"0.00"))</f>
        <v/>
      </c>
      <c r="V4418" s="35" t="str">
        <f aca="false">IF($A4418="","",COUNTIF($U$8:$U$5007,$U4418))</f>
        <v/>
      </c>
    </row>
    <row r="4419" customFormat="false" ht="15" hidden="false" customHeight="false" outlineLevel="0" collapsed="false">
      <c r="A4419" s="31"/>
      <c r="B4419" s="32"/>
      <c r="C4419" s="32"/>
      <c r="D4419" s="32"/>
      <c r="E4419" s="32"/>
      <c r="F4419" s="32"/>
      <c r="G4419" s="33"/>
      <c r="H4419" s="33"/>
      <c r="I4419" s="34" t="str">
        <f aca="false">IF($A4419="","",$G4419-$H4419)</f>
        <v/>
      </c>
      <c r="J4419" s="35" t="str">
        <f aca="false">IF($A4419="","",IF(Setup!$B$6=1,YEAR($A4419),YEAR($A4419)+IF(MONTH($A4419)&gt;=Setup!$B$6,1,0)))</f>
        <v/>
      </c>
      <c r="K4419" s="35" t="str">
        <f aca="false">IF($A4419="","",MOD(MONTH($A4419)-Setup!$B$6+12,12)+1)</f>
        <v/>
      </c>
      <c r="L4419" s="36" t="str">
        <f aca="false">IF($A4419="","",TEXT($A4419,"MMM-YY"))</f>
        <v/>
      </c>
      <c r="M4419" s="37" t="str">
        <f aca="false">IF($A4419="","",IF($Q4419=0,"UNMAPPED",INDEX(COA_Mapping!$C$7:$C$256,$Q4419)))</f>
        <v/>
      </c>
      <c r="N4419" s="38" t="str">
        <f aca="false">IF($A4419="","",IF($Q4419=0,"",INDEX(COA_Mapping!$E$7:$E$256,$Q4419)))</f>
        <v/>
      </c>
      <c r="O4419" s="38" t="n">
        <f aca="false">IF($A4419="",1,IF($Q4419=0,1,INDEX(COA_Mapping!$F$7:$F$256,$Q4419)))</f>
        <v>1</v>
      </c>
      <c r="P4419" s="34" t="str">
        <f aca="false">IF($A4419="","",$I4419*$O4419)</f>
        <v/>
      </c>
      <c r="Q4419" s="39" t="n">
        <f aca="false">IF($B4419="",0,IFERROR(MATCH($B4419,COA_Mapping!$A$7:$A$256,0),0))</f>
        <v>0</v>
      </c>
      <c r="R4419" s="39" t="n">
        <f aca="false">IF($A4419="",-1,IF($J4419=Setup!$B$7,1,IF($J4419=Setup!$B$9,0,-1)))</f>
        <v>-1</v>
      </c>
      <c r="S4419" s="35" t="n">
        <f aca="false">IF(OR($A4419="",$Q4419=0,$R4419=-1),0,$Q4419*1000+$R4419*100+$K4419)</f>
        <v>0</v>
      </c>
      <c r="T4419" s="37" t="str">
        <f aca="false">IF($A4419="","",IF($B4419="","NO ACCOUNT",IF($Q4419=0,"UNMAPPED",IF($R4419=-1,"OUTSIDE FY RANGE","OK"))))</f>
        <v/>
      </c>
      <c r="U4419" s="40" t="str">
        <f aca="false">IF($A4419="","",$B4419&amp;"|"&amp;TEXT($A4419,"yyyymmdd")&amp;"|"&amp;TEXT($I4419,"0.00"))</f>
        <v/>
      </c>
      <c r="V4419" s="35" t="str">
        <f aca="false">IF($A4419="","",COUNTIF($U$8:$U$5007,$U4419))</f>
        <v/>
      </c>
    </row>
    <row r="4420" customFormat="false" ht="15" hidden="false" customHeight="false" outlineLevel="0" collapsed="false">
      <c r="A4420" s="31"/>
      <c r="B4420" s="32"/>
      <c r="C4420" s="32"/>
      <c r="D4420" s="32"/>
      <c r="E4420" s="32"/>
      <c r="F4420" s="32"/>
      <c r="G4420" s="33"/>
      <c r="H4420" s="33"/>
      <c r="I4420" s="34" t="str">
        <f aca="false">IF($A4420="","",$G4420-$H4420)</f>
        <v/>
      </c>
      <c r="J4420" s="35" t="str">
        <f aca="false">IF($A4420="","",IF(Setup!$B$6=1,YEAR($A4420),YEAR($A4420)+IF(MONTH($A4420)&gt;=Setup!$B$6,1,0)))</f>
        <v/>
      </c>
      <c r="K4420" s="35" t="str">
        <f aca="false">IF($A4420="","",MOD(MONTH($A4420)-Setup!$B$6+12,12)+1)</f>
        <v/>
      </c>
      <c r="L4420" s="36" t="str">
        <f aca="false">IF($A4420="","",TEXT($A4420,"MMM-YY"))</f>
        <v/>
      </c>
      <c r="M4420" s="37" t="str">
        <f aca="false">IF($A4420="","",IF($Q4420=0,"UNMAPPED",INDEX(COA_Mapping!$C$7:$C$256,$Q4420)))</f>
        <v/>
      </c>
      <c r="N4420" s="38" t="str">
        <f aca="false">IF($A4420="","",IF($Q4420=0,"",INDEX(COA_Mapping!$E$7:$E$256,$Q4420)))</f>
        <v/>
      </c>
      <c r="O4420" s="38" t="n">
        <f aca="false">IF($A4420="",1,IF($Q4420=0,1,INDEX(COA_Mapping!$F$7:$F$256,$Q4420)))</f>
        <v>1</v>
      </c>
      <c r="P4420" s="34" t="str">
        <f aca="false">IF($A4420="","",$I4420*$O4420)</f>
        <v/>
      </c>
      <c r="Q4420" s="39" t="n">
        <f aca="false">IF($B4420="",0,IFERROR(MATCH($B4420,COA_Mapping!$A$7:$A$256,0),0))</f>
        <v>0</v>
      </c>
      <c r="R4420" s="39" t="n">
        <f aca="false">IF($A4420="",-1,IF($J4420=Setup!$B$7,1,IF($J4420=Setup!$B$9,0,-1)))</f>
        <v>-1</v>
      </c>
      <c r="S4420" s="35" t="n">
        <f aca="false">IF(OR($A4420="",$Q4420=0,$R4420=-1),0,$Q4420*1000+$R4420*100+$K4420)</f>
        <v>0</v>
      </c>
      <c r="T4420" s="37" t="str">
        <f aca="false">IF($A4420="","",IF($B4420="","NO ACCOUNT",IF($Q4420=0,"UNMAPPED",IF($R4420=-1,"OUTSIDE FY RANGE","OK"))))</f>
        <v/>
      </c>
      <c r="U4420" s="40" t="str">
        <f aca="false">IF($A4420="","",$B4420&amp;"|"&amp;TEXT($A4420,"yyyymmdd")&amp;"|"&amp;TEXT($I4420,"0.00"))</f>
        <v/>
      </c>
      <c r="V4420" s="35" t="str">
        <f aca="false">IF($A4420="","",COUNTIF($U$8:$U$5007,$U4420))</f>
        <v/>
      </c>
    </row>
    <row r="4421" customFormat="false" ht="15" hidden="false" customHeight="false" outlineLevel="0" collapsed="false">
      <c r="A4421" s="31"/>
      <c r="B4421" s="32"/>
      <c r="C4421" s="32"/>
      <c r="D4421" s="32"/>
      <c r="E4421" s="32"/>
      <c r="F4421" s="32"/>
      <c r="G4421" s="33"/>
      <c r="H4421" s="33"/>
      <c r="I4421" s="34" t="str">
        <f aca="false">IF($A4421="","",$G4421-$H4421)</f>
        <v/>
      </c>
      <c r="J4421" s="35" t="str">
        <f aca="false">IF($A4421="","",IF(Setup!$B$6=1,YEAR($A4421),YEAR($A4421)+IF(MONTH($A4421)&gt;=Setup!$B$6,1,0)))</f>
        <v/>
      </c>
      <c r="K4421" s="35" t="str">
        <f aca="false">IF($A4421="","",MOD(MONTH($A4421)-Setup!$B$6+12,12)+1)</f>
        <v/>
      </c>
      <c r="L4421" s="36" t="str">
        <f aca="false">IF($A4421="","",TEXT($A4421,"MMM-YY"))</f>
        <v/>
      </c>
      <c r="M4421" s="37" t="str">
        <f aca="false">IF($A4421="","",IF($Q4421=0,"UNMAPPED",INDEX(COA_Mapping!$C$7:$C$256,$Q4421)))</f>
        <v/>
      </c>
      <c r="N4421" s="38" t="str">
        <f aca="false">IF($A4421="","",IF($Q4421=0,"",INDEX(COA_Mapping!$E$7:$E$256,$Q4421)))</f>
        <v/>
      </c>
      <c r="O4421" s="38" t="n">
        <f aca="false">IF($A4421="",1,IF($Q4421=0,1,INDEX(COA_Mapping!$F$7:$F$256,$Q4421)))</f>
        <v>1</v>
      </c>
      <c r="P4421" s="34" t="str">
        <f aca="false">IF($A4421="","",$I4421*$O4421)</f>
        <v/>
      </c>
      <c r="Q4421" s="39" t="n">
        <f aca="false">IF($B4421="",0,IFERROR(MATCH($B4421,COA_Mapping!$A$7:$A$256,0),0))</f>
        <v>0</v>
      </c>
      <c r="R4421" s="39" t="n">
        <f aca="false">IF($A4421="",-1,IF($J4421=Setup!$B$7,1,IF($J4421=Setup!$B$9,0,-1)))</f>
        <v>-1</v>
      </c>
      <c r="S4421" s="35" t="n">
        <f aca="false">IF(OR($A4421="",$Q4421=0,$R4421=-1),0,$Q4421*1000+$R4421*100+$K4421)</f>
        <v>0</v>
      </c>
      <c r="T4421" s="37" t="str">
        <f aca="false">IF($A4421="","",IF($B4421="","NO ACCOUNT",IF($Q4421=0,"UNMAPPED",IF($R4421=-1,"OUTSIDE FY RANGE","OK"))))</f>
        <v/>
      </c>
      <c r="U4421" s="40" t="str">
        <f aca="false">IF($A4421="","",$B4421&amp;"|"&amp;TEXT($A4421,"yyyymmdd")&amp;"|"&amp;TEXT($I4421,"0.00"))</f>
        <v/>
      </c>
      <c r="V4421" s="35" t="str">
        <f aca="false">IF($A4421="","",COUNTIF($U$8:$U$5007,$U4421))</f>
        <v/>
      </c>
    </row>
    <row r="4422" customFormat="false" ht="15" hidden="false" customHeight="false" outlineLevel="0" collapsed="false">
      <c r="A4422" s="31"/>
      <c r="B4422" s="32"/>
      <c r="C4422" s="32"/>
      <c r="D4422" s="32"/>
      <c r="E4422" s="32"/>
      <c r="F4422" s="32"/>
      <c r="G4422" s="33"/>
      <c r="H4422" s="33"/>
      <c r="I4422" s="34" t="str">
        <f aca="false">IF($A4422="","",$G4422-$H4422)</f>
        <v/>
      </c>
      <c r="J4422" s="35" t="str">
        <f aca="false">IF($A4422="","",IF(Setup!$B$6=1,YEAR($A4422),YEAR($A4422)+IF(MONTH($A4422)&gt;=Setup!$B$6,1,0)))</f>
        <v/>
      </c>
      <c r="K4422" s="35" t="str">
        <f aca="false">IF($A4422="","",MOD(MONTH($A4422)-Setup!$B$6+12,12)+1)</f>
        <v/>
      </c>
      <c r="L4422" s="36" t="str">
        <f aca="false">IF($A4422="","",TEXT($A4422,"MMM-YY"))</f>
        <v/>
      </c>
      <c r="M4422" s="37" t="str">
        <f aca="false">IF($A4422="","",IF($Q4422=0,"UNMAPPED",INDEX(COA_Mapping!$C$7:$C$256,$Q4422)))</f>
        <v/>
      </c>
      <c r="N4422" s="38" t="str">
        <f aca="false">IF($A4422="","",IF($Q4422=0,"",INDEX(COA_Mapping!$E$7:$E$256,$Q4422)))</f>
        <v/>
      </c>
      <c r="O4422" s="38" t="n">
        <f aca="false">IF($A4422="",1,IF($Q4422=0,1,INDEX(COA_Mapping!$F$7:$F$256,$Q4422)))</f>
        <v>1</v>
      </c>
      <c r="P4422" s="34" t="str">
        <f aca="false">IF($A4422="","",$I4422*$O4422)</f>
        <v/>
      </c>
      <c r="Q4422" s="39" t="n">
        <f aca="false">IF($B4422="",0,IFERROR(MATCH($B4422,COA_Mapping!$A$7:$A$256,0),0))</f>
        <v>0</v>
      </c>
      <c r="R4422" s="39" t="n">
        <f aca="false">IF($A4422="",-1,IF($J4422=Setup!$B$7,1,IF($J4422=Setup!$B$9,0,-1)))</f>
        <v>-1</v>
      </c>
      <c r="S4422" s="35" t="n">
        <f aca="false">IF(OR($A4422="",$Q4422=0,$R4422=-1),0,$Q4422*1000+$R4422*100+$K4422)</f>
        <v>0</v>
      </c>
      <c r="T4422" s="37" t="str">
        <f aca="false">IF($A4422="","",IF($B4422="","NO ACCOUNT",IF($Q4422=0,"UNMAPPED",IF($R4422=-1,"OUTSIDE FY RANGE","OK"))))</f>
        <v/>
      </c>
      <c r="U4422" s="40" t="str">
        <f aca="false">IF($A4422="","",$B4422&amp;"|"&amp;TEXT($A4422,"yyyymmdd")&amp;"|"&amp;TEXT($I4422,"0.00"))</f>
        <v/>
      </c>
      <c r="V4422" s="35" t="str">
        <f aca="false">IF($A4422="","",COUNTIF($U$8:$U$5007,$U4422))</f>
        <v/>
      </c>
    </row>
    <row r="4423" customFormat="false" ht="15" hidden="false" customHeight="false" outlineLevel="0" collapsed="false">
      <c r="A4423" s="31"/>
      <c r="B4423" s="32"/>
      <c r="C4423" s="32"/>
      <c r="D4423" s="32"/>
      <c r="E4423" s="32"/>
      <c r="F4423" s="32"/>
      <c r="G4423" s="33"/>
      <c r="H4423" s="33"/>
      <c r="I4423" s="34" t="str">
        <f aca="false">IF($A4423="","",$G4423-$H4423)</f>
        <v/>
      </c>
      <c r="J4423" s="35" t="str">
        <f aca="false">IF($A4423="","",IF(Setup!$B$6=1,YEAR($A4423),YEAR($A4423)+IF(MONTH($A4423)&gt;=Setup!$B$6,1,0)))</f>
        <v/>
      </c>
      <c r="K4423" s="35" t="str">
        <f aca="false">IF($A4423="","",MOD(MONTH($A4423)-Setup!$B$6+12,12)+1)</f>
        <v/>
      </c>
      <c r="L4423" s="36" t="str">
        <f aca="false">IF($A4423="","",TEXT($A4423,"MMM-YY"))</f>
        <v/>
      </c>
      <c r="M4423" s="37" t="str">
        <f aca="false">IF($A4423="","",IF($Q4423=0,"UNMAPPED",INDEX(COA_Mapping!$C$7:$C$256,$Q4423)))</f>
        <v/>
      </c>
      <c r="N4423" s="38" t="str">
        <f aca="false">IF($A4423="","",IF($Q4423=0,"",INDEX(COA_Mapping!$E$7:$E$256,$Q4423)))</f>
        <v/>
      </c>
      <c r="O4423" s="38" t="n">
        <f aca="false">IF($A4423="",1,IF($Q4423=0,1,INDEX(COA_Mapping!$F$7:$F$256,$Q4423)))</f>
        <v>1</v>
      </c>
      <c r="P4423" s="34" t="str">
        <f aca="false">IF($A4423="","",$I4423*$O4423)</f>
        <v/>
      </c>
      <c r="Q4423" s="39" t="n">
        <f aca="false">IF($B4423="",0,IFERROR(MATCH($B4423,COA_Mapping!$A$7:$A$256,0),0))</f>
        <v>0</v>
      </c>
      <c r="R4423" s="39" t="n">
        <f aca="false">IF($A4423="",-1,IF($J4423=Setup!$B$7,1,IF($J4423=Setup!$B$9,0,-1)))</f>
        <v>-1</v>
      </c>
      <c r="S4423" s="35" t="n">
        <f aca="false">IF(OR($A4423="",$Q4423=0,$R4423=-1),0,$Q4423*1000+$R4423*100+$K4423)</f>
        <v>0</v>
      </c>
      <c r="T4423" s="37" t="str">
        <f aca="false">IF($A4423="","",IF($B4423="","NO ACCOUNT",IF($Q4423=0,"UNMAPPED",IF($R4423=-1,"OUTSIDE FY RANGE","OK"))))</f>
        <v/>
      </c>
      <c r="U4423" s="40" t="str">
        <f aca="false">IF($A4423="","",$B4423&amp;"|"&amp;TEXT($A4423,"yyyymmdd")&amp;"|"&amp;TEXT($I4423,"0.00"))</f>
        <v/>
      </c>
      <c r="V4423" s="35" t="str">
        <f aca="false">IF($A4423="","",COUNTIF($U$8:$U$5007,$U4423))</f>
        <v/>
      </c>
    </row>
    <row r="4424" customFormat="false" ht="15" hidden="false" customHeight="false" outlineLevel="0" collapsed="false">
      <c r="A4424" s="31"/>
      <c r="B4424" s="32"/>
      <c r="C4424" s="32"/>
      <c r="D4424" s="32"/>
      <c r="E4424" s="32"/>
      <c r="F4424" s="32"/>
      <c r="G4424" s="33"/>
      <c r="H4424" s="33"/>
      <c r="I4424" s="34" t="str">
        <f aca="false">IF($A4424="","",$G4424-$H4424)</f>
        <v/>
      </c>
      <c r="J4424" s="35" t="str">
        <f aca="false">IF($A4424="","",IF(Setup!$B$6=1,YEAR($A4424),YEAR($A4424)+IF(MONTH($A4424)&gt;=Setup!$B$6,1,0)))</f>
        <v/>
      </c>
      <c r="K4424" s="35" t="str">
        <f aca="false">IF($A4424="","",MOD(MONTH($A4424)-Setup!$B$6+12,12)+1)</f>
        <v/>
      </c>
      <c r="L4424" s="36" t="str">
        <f aca="false">IF($A4424="","",TEXT($A4424,"MMM-YY"))</f>
        <v/>
      </c>
      <c r="M4424" s="37" t="str">
        <f aca="false">IF($A4424="","",IF($Q4424=0,"UNMAPPED",INDEX(COA_Mapping!$C$7:$C$256,$Q4424)))</f>
        <v/>
      </c>
      <c r="N4424" s="38" t="str">
        <f aca="false">IF($A4424="","",IF($Q4424=0,"",INDEX(COA_Mapping!$E$7:$E$256,$Q4424)))</f>
        <v/>
      </c>
      <c r="O4424" s="38" t="n">
        <f aca="false">IF($A4424="",1,IF($Q4424=0,1,INDEX(COA_Mapping!$F$7:$F$256,$Q4424)))</f>
        <v>1</v>
      </c>
      <c r="P4424" s="34" t="str">
        <f aca="false">IF($A4424="","",$I4424*$O4424)</f>
        <v/>
      </c>
      <c r="Q4424" s="39" t="n">
        <f aca="false">IF($B4424="",0,IFERROR(MATCH($B4424,COA_Mapping!$A$7:$A$256,0),0))</f>
        <v>0</v>
      </c>
      <c r="R4424" s="39" t="n">
        <f aca="false">IF($A4424="",-1,IF($J4424=Setup!$B$7,1,IF($J4424=Setup!$B$9,0,-1)))</f>
        <v>-1</v>
      </c>
      <c r="S4424" s="35" t="n">
        <f aca="false">IF(OR($A4424="",$Q4424=0,$R4424=-1),0,$Q4424*1000+$R4424*100+$K4424)</f>
        <v>0</v>
      </c>
      <c r="T4424" s="37" t="str">
        <f aca="false">IF($A4424="","",IF($B4424="","NO ACCOUNT",IF($Q4424=0,"UNMAPPED",IF($R4424=-1,"OUTSIDE FY RANGE","OK"))))</f>
        <v/>
      </c>
      <c r="U4424" s="40" t="str">
        <f aca="false">IF($A4424="","",$B4424&amp;"|"&amp;TEXT($A4424,"yyyymmdd")&amp;"|"&amp;TEXT($I4424,"0.00"))</f>
        <v/>
      </c>
      <c r="V4424" s="35" t="str">
        <f aca="false">IF($A4424="","",COUNTIF($U$8:$U$5007,$U4424))</f>
        <v/>
      </c>
    </row>
    <row r="4425" customFormat="false" ht="15" hidden="false" customHeight="false" outlineLevel="0" collapsed="false">
      <c r="A4425" s="31"/>
      <c r="B4425" s="32"/>
      <c r="C4425" s="32"/>
      <c r="D4425" s="32"/>
      <c r="E4425" s="32"/>
      <c r="F4425" s="32"/>
      <c r="G4425" s="33"/>
      <c r="H4425" s="33"/>
      <c r="I4425" s="34" t="str">
        <f aca="false">IF($A4425="","",$G4425-$H4425)</f>
        <v/>
      </c>
      <c r="J4425" s="35" t="str">
        <f aca="false">IF($A4425="","",IF(Setup!$B$6=1,YEAR($A4425),YEAR($A4425)+IF(MONTH($A4425)&gt;=Setup!$B$6,1,0)))</f>
        <v/>
      </c>
      <c r="K4425" s="35" t="str">
        <f aca="false">IF($A4425="","",MOD(MONTH($A4425)-Setup!$B$6+12,12)+1)</f>
        <v/>
      </c>
      <c r="L4425" s="36" t="str">
        <f aca="false">IF($A4425="","",TEXT($A4425,"MMM-YY"))</f>
        <v/>
      </c>
      <c r="M4425" s="37" t="str">
        <f aca="false">IF($A4425="","",IF($Q4425=0,"UNMAPPED",INDEX(COA_Mapping!$C$7:$C$256,$Q4425)))</f>
        <v/>
      </c>
      <c r="N4425" s="38" t="str">
        <f aca="false">IF($A4425="","",IF($Q4425=0,"",INDEX(COA_Mapping!$E$7:$E$256,$Q4425)))</f>
        <v/>
      </c>
      <c r="O4425" s="38" t="n">
        <f aca="false">IF($A4425="",1,IF($Q4425=0,1,INDEX(COA_Mapping!$F$7:$F$256,$Q4425)))</f>
        <v>1</v>
      </c>
      <c r="P4425" s="34" t="str">
        <f aca="false">IF($A4425="","",$I4425*$O4425)</f>
        <v/>
      </c>
      <c r="Q4425" s="39" t="n">
        <f aca="false">IF($B4425="",0,IFERROR(MATCH($B4425,COA_Mapping!$A$7:$A$256,0),0))</f>
        <v>0</v>
      </c>
      <c r="R4425" s="39" t="n">
        <f aca="false">IF($A4425="",-1,IF($J4425=Setup!$B$7,1,IF($J4425=Setup!$B$9,0,-1)))</f>
        <v>-1</v>
      </c>
      <c r="S4425" s="35" t="n">
        <f aca="false">IF(OR($A4425="",$Q4425=0,$R4425=-1),0,$Q4425*1000+$R4425*100+$K4425)</f>
        <v>0</v>
      </c>
      <c r="T4425" s="37" t="str">
        <f aca="false">IF($A4425="","",IF($B4425="","NO ACCOUNT",IF($Q4425=0,"UNMAPPED",IF($R4425=-1,"OUTSIDE FY RANGE","OK"))))</f>
        <v/>
      </c>
      <c r="U4425" s="40" t="str">
        <f aca="false">IF($A4425="","",$B4425&amp;"|"&amp;TEXT($A4425,"yyyymmdd")&amp;"|"&amp;TEXT($I4425,"0.00"))</f>
        <v/>
      </c>
      <c r="V4425" s="35" t="str">
        <f aca="false">IF($A4425="","",COUNTIF($U$8:$U$5007,$U4425))</f>
        <v/>
      </c>
    </row>
    <row r="4426" customFormat="false" ht="15" hidden="false" customHeight="false" outlineLevel="0" collapsed="false">
      <c r="A4426" s="31"/>
      <c r="B4426" s="32"/>
      <c r="C4426" s="32"/>
      <c r="D4426" s="32"/>
      <c r="E4426" s="32"/>
      <c r="F4426" s="32"/>
      <c r="G4426" s="33"/>
      <c r="H4426" s="33"/>
      <c r="I4426" s="34" t="str">
        <f aca="false">IF($A4426="","",$G4426-$H4426)</f>
        <v/>
      </c>
      <c r="J4426" s="35" t="str">
        <f aca="false">IF($A4426="","",IF(Setup!$B$6=1,YEAR($A4426),YEAR($A4426)+IF(MONTH($A4426)&gt;=Setup!$B$6,1,0)))</f>
        <v/>
      </c>
      <c r="K4426" s="35" t="str">
        <f aca="false">IF($A4426="","",MOD(MONTH($A4426)-Setup!$B$6+12,12)+1)</f>
        <v/>
      </c>
      <c r="L4426" s="36" t="str">
        <f aca="false">IF($A4426="","",TEXT($A4426,"MMM-YY"))</f>
        <v/>
      </c>
      <c r="M4426" s="37" t="str">
        <f aca="false">IF($A4426="","",IF($Q4426=0,"UNMAPPED",INDEX(COA_Mapping!$C$7:$C$256,$Q4426)))</f>
        <v/>
      </c>
      <c r="N4426" s="38" t="str">
        <f aca="false">IF($A4426="","",IF($Q4426=0,"",INDEX(COA_Mapping!$E$7:$E$256,$Q4426)))</f>
        <v/>
      </c>
      <c r="O4426" s="38" t="n">
        <f aca="false">IF($A4426="",1,IF($Q4426=0,1,INDEX(COA_Mapping!$F$7:$F$256,$Q4426)))</f>
        <v>1</v>
      </c>
      <c r="P4426" s="34" t="str">
        <f aca="false">IF($A4426="","",$I4426*$O4426)</f>
        <v/>
      </c>
      <c r="Q4426" s="39" t="n">
        <f aca="false">IF($B4426="",0,IFERROR(MATCH($B4426,COA_Mapping!$A$7:$A$256,0),0))</f>
        <v>0</v>
      </c>
      <c r="R4426" s="39" t="n">
        <f aca="false">IF($A4426="",-1,IF($J4426=Setup!$B$7,1,IF($J4426=Setup!$B$9,0,-1)))</f>
        <v>-1</v>
      </c>
      <c r="S4426" s="35" t="n">
        <f aca="false">IF(OR($A4426="",$Q4426=0,$R4426=-1),0,$Q4426*1000+$R4426*100+$K4426)</f>
        <v>0</v>
      </c>
      <c r="T4426" s="37" t="str">
        <f aca="false">IF($A4426="","",IF($B4426="","NO ACCOUNT",IF($Q4426=0,"UNMAPPED",IF($R4426=-1,"OUTSIDE FY RANGE","OK"))))</f>
        <v/>
      </c>
      <c r="U4426" s="40" t="str">
        <f aca="false">IF($A4426="","",$B4426&amp;"|"&amp;TEXT($A4426,"yyyymmdd")&amp;"|"&amp;TEXT($I4426,"0.00"))</f>
        <v/>
      </c>
      <c r="V4426" s="35" t="str">
        <f aca="false">IF($A4426="","",COUNTIF($U$8:$U$5007,$U4426))</f>
        <v/>
      </c>
    </row>
    <row r="4427" customFormat="false" ht="15" hidden="false" customHeight="false" outlineLevel="0" collapsed="false">
      <c r="A4427" s="31"/>
      <c r="B4427" s="32"/>
      <c r="C4427" s="32"/>
      <c r="D4427" s="32"/>
      <c r="E4427" s="32"/>
      <c r="F4427" s="32"/>
      <c r="G4427" s="33"/>
      <c r="H4427" s="33"/>
      <c r="I4427" s="34" t="str">
        <f aca="false">IF($A4427="","",$G4427-$H4427)</f>
        <v/>
      </c>
      <c r="J4427" s="35" t="str">
        <f aca="false">IF($A4427="","",IF(Setup!$B$6=1,YEAR($A4427),YEAR($A4427)+IF(MONTH($A4427)&gt;=Setup!$B$6,1,0)))</f>
        <v/>
      </c>
      <c r="K4427" s="35" t="str">
        <f aca="false">IF($A4427="","",MOD(MONTH($A4427)-Setup!$B$6+12,12)+1)</f>
        <v/>
      </c>
      <c r="L4427" s="36" t="str">
        <f aca="false">IF($A4427="","",TEXT($A4427,"MMM-YY"))</f>
        <v/>
      </c>
      <c r="M4427" s="37" t="str">
        <f aca="false">IF($A4427="","",IF($Q4427=0,"UNMAPPED",INDEX(COA_Mapping!$C$7:$C$256,$Q4427)))</f>
        <v/>
      </c>
      <c r="N4427" s="38" t="str">
        <f aca="false">IF($A4427="","",IF($Q4427=0,"",INDEX(COA_Mapping!$E$7:$E$256,$Q4427)))</f>
        <v/>
      </c>
      <c r="O4427" s="38" t="n">
        <f aca="false">IF($A4427="",1,IF($Q4427=0,1,INDEX(COA_Mapping!$F$7:$F$256,$Q4427)))</f>
        <v>1</v>
      </c>
      <c r="P4427" s="34" t="str">
        <f aca="false">IF($A4427="","",$I4427*$O4427)</f>
        <v/>
      </c>
      <c r="Q4427" s="39" t="n">
        <f aca="false">IF($B4427="",0,IFERROR(MATCH($B4427,COA_Mapping!$A$7:$A$256,0),0))</f>
        <v>0</v>
      </c>
      <c r="R4427" s="39" t="n">
        <f aca="false">IF($A4427="",-1,IF($J4427=Setup!$B$7,1,IF($J4427=Setup!$B$9,0,-1)))</f>
        <v>-1</v>
      </c>
      <c r="S4427" s="35" t="n">
        <f aca="false">IF(OR($A4427="",$Q4427=0,$R4427=-1),0,$Q4427*1000+$R4427*100+$K4427)</f>
        <v>0</v>
      </c>
      <c r="T4427" s="37" t="str">
        <f aca="false">IF($A4427="","",IF($B4427="","NO ACCOUNT",IF($Q4427=0,"UNMAPPED",IF($R4427=-1,"OUTSIDE FY RANGE","OK"))))</f>
        <v/>
      </c>
      <c r="U4427" s="40" t="str">
        <f aca="false">IF($A4427="","",$B4427&amp;"|"&amp;TEXT($A4427,"yyyymmdd")&amp;"|"&amp;TEXT($I4427,"0.00"))</f>
        <v/>
      </c>
      <c r="V4427" s="35" t="str">
        <f aca="false">IF($A4427="","",COUNTIF($U$8:$U$5007,$U4427))</f>
        <v/>
      </c>
    </row>
    <row r="4428" customFormat="false" ht="15" hidden="false" customHeight="false" outlineLevel="0" collapsed="false">
      <c r="A4428" s="31"/>
      <c r="B4428" s="32"/>
      <c r="C4428" s="32"/>
      <c r="D4428" s="32"/>
      <c r="E4428" s="32"/>
      <c r="F4428" s="32"/>
      <c r="G4428" s="33"/>
      <c r="H4428" s="33"/>
      <c r="I4428" s="34" t="str">
        <f aca="false">IF($A4428="","",$G4428-$H4428)</f>
        <v/>
      </c>
      <c r="J4428" s="35" t="str">
        <f aca="false">IF($A4428="","",IF(Setup!$B$6=1,YEAR($A4428),YEAR($A4428)+IF(MONTH($A4428)&gt;=Setup!$B$6,1,0)))</f>
        <v/>
      </c>
      <c r="K4428" s="35" t="str">
        <f aca="false">IF($A4428="","",MOD(MONTH($A4428)-Setup!$B$6+12,12)+1)</f>
        <v/>
      </c>
      <c r="L4428" s="36" t="str">
        <f aca="false">IF($A4428="","",TEXT($A4428,"MMM-YY"))</f>
        <v/>
      </c>
      <c r="M4428" s="37" t="str">
        <f aca="false">IF($A4428="","",IF($Q4428=0,"UNMAPPED",INDEX(COA_Mapping!$C$7:$C$256,$Q4428)))</f>
        <v/>
      </c>
      <c r="N4428" s="38" t="str">
        <f aca="false">IF($A4428="","",IF($Q4428=0,"",INDEX(COA_Mapping!$E$7:$E$256,$Q4428)))</f>
        <v/>
      </c>
      <c r="O4428" s="38" t="n">
        <f aca="false">IF($A4428="",1,IF($Q4428=0,1,INDEX(COA_Mapping!$F$7:$F$256,$Q4428)))</f>
        <v>1</v>
      </c>
      <c r="P4428" s="34" t="str">
        <f aca="false">IF($A4428="","",$I4428*$O4428)</f>
        <v/>
      </c>
      <c r="Q4428" s="39" t="n">
        <f aca="false">IF($B4428="",0,IFERROR(MATCH($B4428,COA_Mapping!$A$7:$A$256,0),0))</f>
        <v>0</v>
      </c>
      <c r="R4428" s="39" t="n">
        <f aca="false">IF($A4428="",-1,IF($J4428=Setup!$B$7,1,IF($J4428=Setup!$B$9,0,-1)))</f>
        <v>-1</v>
      </c>
      <c r="S4428" s="35" t="n">
        <f aca="false">IF(OR($A4428="",$Q4428=0,$R4428=-1),0,$Q4428*1000+$R4428*100+$K4428)</f>
        <v>0</v>
      </c>
      <c r="T4428" s="37" t="str">
        <f aca="false">IF($A4428="","",IF($B4428="","NO ACCOUNT",IF($Q4428=0,"UNMAPPED",IF($R4428=-1,"OUTSIDE FY RANGE","OK"))))</f>
        <v/>
      </c>
      <c r="U4428" s="40" t="str">
        <f aca="false">IF($A4428="","",$B4428&amp;"|"&amp;TEXT($A4428,"yyyymmdd")&amp;"|"&amp;TEXT($I4428,"0.00"))</f>
        <v/>
      </c>
      <c r="V4428" s="35" t="str">
        <f aca="false">IF($A4428="","",COUNTIF($U$8:$U$5007,$U4428))</f>
        <v/>
      </c>
    </row>
    <row r="4429" customFormat="false" ht="15" hidden="false" customHeight="false" outlineLevel="0" collapsed="false">
      <c r="A4429" s="31"/>
      <c r="B4429" s="32"/>
      <c r="C4429" s="32"/>
      <c r="D4429" s="32"/>
      <c r="E4429" s="32"/>
      <c r="F4429" s="32"/>
      <c r="G4429" s="33"/>
      <c r="H4429" s="33"/>
      <c r="I4429" s="34" t="str">
        <f aca="false">IF($A4429="","",$G4429-$H4429)</f>
        <v/>
      </c>
      <c r="J4429" s="35" t="str">
        <f aca="false">IF($A4429="","",IF(Setup!$B$6=1,YEAR($A4429),YEAR($A4429)+IF(MONTH($A4429)&gt;=Setup!$B$6,1,0)))</f>
        <v/>
      </c>
      <c r="K4429" s="35" t="str">
        <f aca="false">IF($A4429="","",MOD(MONTH($A4429)-Setup!$B$6+12,12)+1)</f>
        <v/>
      </c>
      <c r="L4429" s="36" t="str">
        <f aca="false">IF($A4429="","",TEXT($A4429,"MMM-YY"))</f>
        <v/>
      </c>
      <c r="M4429" s="37" t="str">
        <f aca="false">IF($A4429="","",IF($Q4429=0,"UNMAPPED",INDEX(COA_Mapping!$C$7:$C$256,$Q4429)))</f>
        <v/>
      </c>
      <c r="N4429" s="38" t="str">
        <f aca="false">IF($A4429="","",IF($Q4429=0,"",INDEX(COA_Mapping!$E$7:$E$256,$Q4429)))</f>
        <v/>
      </c>
      <c r="O4429" s="38" t="n">
        <f aca="false">IF($A4429="",1,IF($Q4429=0,1,INDEX(COA_Mapping!$F$7:$F$256,$Q4429)))</f>
        <v>1</v>
      </c>
      <c r="P4429" s="34" t="str">
        <f aca="false">IF($A4429="","",$I4429*$O4429)</f>
        <v/>
      </c>
      <c r="Q4429" s="39" t="n">
        <f aca="false">IF($B4429="",0,IFERROR(MATCH($B4429,COA_Mapping!$A$7:$A$256,0),0))</f>
        <v>0</v>
      </c>
      <c r="R4429" s="39" t="n">
        <f aca="false">IF($A4429="",-1,IF($J4429=Setup!$B$7,1,IF($J4429=Setup!$B$9,0,-1)))</f>
        <v>-1</v>
      </c>
      <c r="S4429" s="35" t="n">
        <f aca="false">IF(OR($A4429="",$Q4429=0,$R4429=-1),0,$Q4429*1000+$R4429*100+$K4429)</f>
        <v>0</v>
      </c>
      <c r="T4429" s="37" t="str">
        <f aca="false">IF($A4429="","",IF($B4429="","NO ACCOUNT",IF($Q4429=0,"UNMAPPED",IF($R4429=-1,"OUTSIDE FY RANGE","OK"))))</f>
        <v/>
      </c>
      <c r="U4429" s="40" t="str">
        <f aca="false">IF($A4429="","",$B4429&amp;"|"&amp;TEXT($A4429,"yyyymmdd")&amp;"|"&amp;TEXT($I4429,"0.00"))</f>
        <v/>
      </c>
      <c r="V4429" s="35" t="str">
        <f aca="false">IF($A4429="","",COUNTIF($U$8:$U$5007,$U4429))</f>
        <v/>
      </c>
    </row>
    <row r="4430" customFormat="false" ht="15" hidden="false" customHeight="false" outlineLevel="0" collapsed="false">
      <c r="A4430" s="31"/>
      <c r="B4430" s="32"/>
      <c r="C4430" s="32"/>
      <c r="D4430" s="32"/>
      <c r="E4430" s="32"/>
      <c r="F4430" s="32"/>
      <c r="G4430" s="33"/>
      <c r="H4430" s="33"/>
      <c r="I4430" s="34" t="str">
        <f aca="false">IF($A4430="","",$G4430-$H4430)</f>
        <v/>
      </c>
      <c r="J4430" s="35" t="str">
        <f aca="false">IF($A4430="","",IF(Setup!$B$6=1,YEAR($A4430),YEAR($A4430)+IF(MONTH($A4430)&gt;=Setup!$B$6,1,0)))</f>
        <v/>
      </c>
      <c r="K4430" s="35" t="str">
        <f aca="false">IF($A4430="","",MOD(MONTH($A4430)-Setup!$B$6+12,12)+1)</f>
        <v/>
      </c>
      <c r="L4430" s="36" t="str">
        <f aca="false">IF($A4430="","",TEXT($A4430,"MMM-YY"))</f>
        <v/>
      </c>
      <c r="M4430" s="37" t="str">
        <f aca="false">IF($A4430="","",IF($Q4430=0,"UNMAPPED",INDEX(COA_Mapping!$C$7:$C$256,$Q4430)))</f>
        <v/>
      </c>
      <c r="N4430" s="38" t="str">
        <f aca="false">IF($A4430="","",IF($Q4430=0,"",INDEX(COA_Mapping!$E$7:$E$256,$Q4430)))</f>
        <v/>
      </c>
      <c r="O4430" s="38" t="n">
        <f aca="false">IF($A4430="",1,IF($Q4430=0,1,INDEX(COA_Mapping!$F$7:$F$256,$Q4430)))</f>
        <v>1</v>
      </c>
      <c r="P4430" s="34" t="str">
        <f aca="false">IF($A4430="","",$I4430*$O4430)</f>
        <v/>
      </c>
      <c r="Q4430" s="39" t="n">
        <f aca="false">IF($B4430="",0,IFERROR(MATCH($B4430,COA_Mapping!$A$7:$A$256,0),0))</f>
        <v>0</v>
      </c>
      <c r="R4430" s="39" t="n">
        <f aca="false">IF($A4430="",-1,IF($J4430=Setup!$B$7,1,IF($J4430=Setup!$B$9,0,-1)))</f>
        <v>-1</v>
      </c>
      <c r="S4430" s="35" t="n">
        <f aca="false">IF(OR($A4430="",$Q4430=0,$R4430=-1),0,$Q4430*1000+$R4430*100+$K4430)</f>
        <v>0</v>
      </c>
      <c r="T4430" s="37" t="str">
        <f aca="false">IF($A4430="","",IF($B4430="","NO ACCOUNT",IF($Q4430=0,"UNMAPPED",IF($R4430=-1,"OUTSIDE FY RANGE","OK"))))</f>
        <v/>
      </c>
      <c r="U4430" s="40" t="str">
        <f aca="false">IF($A4430="","",$B4430&amp;"|"&amp;TEXT($A4430,"yyyymmdd")&amp;"|"&amp;TEXT($I4430,"0.00"))</f>
        <v/>
      </c>
      <c r="V4430" s="35" t="str">
        <f aca="false">IF($A4430="","",COUNTIF($U$8:$U$5007,$U4430))</f>
        <v/>
      </c>
    </row>
    <row r="4431" customFormat="false" ht="15" hidden="false" customHeight="false" outlineLevel="0" collapsed="false">
      <c r="A4431" s="31"/>
      <c r="B4431" s="32"/>
      <c r="C4431" s="32"/>
      <c r="D4431" s="32"/>
      <c r="E4431" s="32"/>
      <c r="F4431" s="32"/>
      <c r="G4431" s="33"/>
      <c r="H4431" s="33"/>
      <c r="I4431" s="34" t="str">
        <f aca="false">IF($A4431="","",$G4431-$H4431)</f>
        <v/>
      </c>
      <c r="J4431" s="35" t="str">
        <f aca="false">IF($A4431="","",IF(Setup!$B$6=1,YEAR($A4431),YEAR($A4431)+IF(MONTH($A4431)&gt;=Setup!$B$6,1,0)))</f>
        <v/>
      </c>
      <c r="K4431" s="35" t="str">
        <f aca="false">IF($A4431="","",MOD(MONTH($A4431)-Setup!$B$6+12,12)+1)</f>
        <v/>
      </c>
      <c r="L4431" s="36" t="str">
        <f aca="false">IF($A4431="","",TEXT($A4431,"MMM-YY"))</f>
        <v/>
      </c>
      <c r="M4431" s="37" t="str">
        <f aca="false">IF($A4431="","",IF($Q4431=0,"UNMAPPED",INDEX(COA_Mapping!$C$7:$C$256,$Q4431)))</f>
        <v/>
      </c>
      <c r="N4431" s="38" t="str">
        <f aca="false">IF($A4431="","",IF($Q4431=0,"",INDEX(COA_Mapping!$E$7:$E$256,$Q4431)))</f>
        <v/>
      </c>
      <c r="O4431" s="38" t="n">
        <f aca="false">IF($A4431="",1,IF($Q4431=0,1,INDEX(COA_Mapping!$F$7:$F$256,$Q4431)))</f>
        <v>1</v>
      </c>
      <c r="P4431" s="34" t="str">
        <f aca="false">IF($A4431="","",$I4431*$O4431)</f>
        <v/>
      </c>
      <c r="Q4431" s="39" t="n">
        <f aca="false">IF($B4431="",0,IFERROR(MATCH($B4431,COA_Mapping!$A$7:$A$256,0),0))</f>
        <v>0</v>
      </c>
      <c r="R4431" s="39" t="n">
        <f aca="false">IF($A4431="",-1,IF($J4431=Setup!$B$7,1,IF($J4431=Setup!$B$9,0,-1)))</f>
        <v>-1</v>
      </c>
      <c r="S4431" s="35" t="n">
        <f aca="false">IF(OR($A4431="",$Q4431=0,$R4431=-1),0,$Q4431*1000+$R4431*100+$K4431)</f>
        <v>0</v>
      </c>
      <c r="T4431" s="37" t="str">
        <f aca="false">IF($A4431="","",IF($B4431="","NO ACCOUNT",IF($Q4431=0,"UNMAPPED",IF($R4431=-1,"OUTSIDE FY RANGE","OK"))))</f>
        <v/>
      </c>
      <c r="U4431" s="40" t="str">
        <f aca="false">IF($A4431="","",$B4431&amp;"|"&amp;TEXT($A4431,"yyyymmdd")&amp;"|"&amp;TEXT($I4431,"0.00"))</f>
        <v/>
      </c>
      <c r="V4431" s="35" t="str">
        <f aca="false">IF($A4431="","",COUNTIF($U$8:$U$5007,$U4431))</f>
        <v/>
      </c>
    </row>
    <row r="4432" customFormat="false" ht="15" hidden="false" customHeight="false" outlineLevel="0" collapsed="false">
      <c r="A4432" s="31"/>
      <c r="B4432" s="32"/>
      <c r="C4432" s="32"/>
      <c r="D4432" s="32"/>
      <c r="E4432" s="32"/>
      <c r="F4432" s="32"/>
      <c r="G4432" s="33"/>
      <c r="H4432" s="33"/>
      <c r="I4432" s="34" t="str">
        <f aca="false">IF($A4432="","",$G4432-$H4432)</f>
        <v/>
      </c>
      <c r="J4432" s="35" t="str">
        <f aca="false">IF($A4432="","",IF(Setup!$B$6=1,YEAR($A4432),YEAR($A4432)+IF(MONTH($A4432)&gt;=Setup!$B$6,1,0)))</f>
        <v/>
      </c>
      <c r="K4432" s="35" t="str">
        <f aca="false">IF($A4432="","",MOD(MONTH($A4432)-Setup!$B$6+12,12)+1)</f>
        <v/>
      </c>
      <c r="L4432" s="36" t="str">
        <f aca="false">IF($A4432="","",TEXT($A4432,"MMM-YY"))</f>
        <v/>
      </c>
      <c r="M4432" s="37" t="str">
        <f aca="false">IF($A4432="","",IF($Q4432=0,"UNMAPPED",INDEX(COA_Mapping!$C$7:$C$256,$Q4432)))</f>
        <v/>
      </c>
      <c r="N4432" s="38" t="str">
        <f aca="false">IF($A4432="","",IF($Q4432=0,"",INDEX(COA_Mapping!$E$7:$E$256,$Q4432)))</f>
        <v/>
      </c>
      <c r="O4432" s="38" t="n">
        <f aca="false">IF($A4432="",1,IF($Q4432=0,1,INDEX(COA_Mapping!$F$7:$F$256,$Q4432)))</f>
        <v>1</v>
      </c>
      <c r="P4432" s="34" t="str">
        <f aca="false">IF($A4432="","",$I4432*$O4432)</f>
        <v/>
      </c>
      <c r="Q4432" s="39" t="n">
        <f aca="false">IF($B4432="",0,IFERROR(MATCH($B4432,COA_Mapping!$A$7:$A$256,0),0))</f>
        <v>0</v>
      </c>
      <c r="R4432" s="39" t="n">
        <f aca="false">IF($A4432="",-1,IF($J4432=Setup!$B$7,1,IF($J4432=Setup!$B$9,0,-1)))</f>
        <v>-1</v>
      </c>
      <c r="S4432" s="35" t="n">
        <f aca="false">IF(OR($A4432="",$Q4432=0,$R4432=-1),0,$Q4432*1000+$R4432*100+$K4432)</f>
        <v>0</v>
      </c>
      <c r="T4432" s="37" t="str">
        <f aca="false">IF($A4432="","",IF($B4432="","NO ACCOUNT",IF($Q4432=0,"UNMAPPED",IF($R4432=-1,"OUTSIDE FY RANGE","OK"))))</f>
        <v/>
      </c>
      <c r="U4432" s="40" t="str">
        <f aca="false">IF($A4432="","",$B4432&amp;"|"&amp;TEXT($A4432,"yyyymmdd")&amp;"|"&amp;TEXT($I4432,"0.00"))</f>
        <v/>
      </c>
      <c r="V4432" s="35" t="str">
        <f aca="false">IF($A4432="","",COUNTIF($U$8:$U$5007,$U4432))</f>
        <v/>
      </c>
    </row>
    <row r="4433" customFormat="false" ht="15" hidden="false" customHeight="false" outlineLevel="0" collapsed="false">
      <c r="A4433" s="31"/>
      <c r="B4433" s="32"/>
      <c r="C4433" s="32"/>
      <c r="D4433" s="32"/>
      <c r="E4433" s="32"/>
      <c r="F4433" s="32"/>
      <c r="G4433" s="33"/>
      <c r="H4433" s="33"/>
      <c r="I4433" s="34" t="str">
        <f aca="false">IF($A4433="","",$G4433-$H4433)</f>
        <v/>
      </c>
      <c r="J4433" s="35" t="str">
        <f aca="false">IF($A4433="","",IF(Setup!$B$6=1,YEAR($A4433),YEAR($A4433)+IF(MONTH($A4433)&gt;=Setup!$B$6,1,0)))</f>
        <v/>
      </c>
      <c r="K4433" s="35" t="str">
        <f aca="false">IF($A4433="","",MOD(MONTH($A4433)-Setup!$B$6+12,12)+1)</f>
        <v/>
      </c>
      <c r="L4433" s="36" t="str">
        <f aca="false">IF($A4433="","",TEXT($A4433,"MMM-YY"))</f>
        <v/>
      </c>
      <c r="M4433" s="37" t="str">
        <f aca="false">IF($A4433="","",IF($Q4433=0,"UNMAPPED",INDEX(COA_Mapping!$C$7:$C$256,$Q4433)))</f>
        <v/>
      </c>
      <c r="N4433" s="38" t="str">
        <f aca="false">IF($A4433="","",IF($Q4433=0,"",INDEX(COA_Mapping!$E$7:$E$256,$Q4433)))</f>
        <v/>
      </c>
      <c r="O4433" s="38" t="n">
        <f aca="false">IF($A4433="",1,IF($Q4433=0,1,INDEX(COA_Mapping!$F$7:$F$256,$Q4433)))</f>
        <v>1</v>
      </c>
      <c r="P4433" s="34" t="str">
        <f aca="false">IF($A4433="","",$I4433*$O4433)</f>
        <v/>
      </c>
      <c r="Q4433" s="39" t="n">
        <f aca="false">IF($B4433="",0,IFERROR(MATCH($B4433,COA_Mapping!$A$7:$A$256,0),0))</f>
        <v>0</v>
      </c>
      <c r="R4433" s="39" t="n">
        <f aca="false">IF($A4433="",-1,IF($J4433=Setup!$B$7,1,IF($J4433=Setup!$B$9,0,-1)))</f>
        <v>-1</v>
      </c>
      <c r="S4433" s="35" t="n">
        <f aca="false">IF(OR($A4433="",$Q4433=0,$R4433=-1),0,$Q4433*1000+$R4433*100+$K4433)</f>
        <v>0</v>
      </c>
      <c r="T4433" s="37" t="str">
        <f aca="false">IF($A4433="","",IF($B4433="","NO ACCOUNT",IF($Q4433=0,"UNMAPPED",IF($R4433=-1,"OUTSIDE FY RANGE","OK"))))</f>
        <v/>
      </c>
      <c r="U4433" s="40" t="str">
        <f aca="false">IF($A4433="","",$B4433&amp;"|"&amp;TEXT($A4433,"yyyymmdd")&amp;"|"&amp;TEXT($I4433,"0.00"))</f>
        <v/>
      </c>
      <c r="V4433" s="35" t="str">
        <f aca="false">IF($A4433="","",COUNTIF($U$8:$U$5007,$U4433))</f>
        <v/>
      </c>
    </row>
    <row r="4434" customFormat="false" ht="15" hidden="false" customHeight="false" outlineLevel="0" collapsed="false">
      <c r="A4434" s="31"/>
      <c r="B4434" s="32"/>
      <c r="C4434" s="32"/>
      <c r="D4434" s="32"/>
      <c r="E4434" s="32"/>
      <c r="F4434" s="32"/>
      <c r="G4434" s="33"/>
      <c r="H4434" s="33"/>
      <c r="I4434" s="34" t="str">
        <f aca="false">IF($A4434="","",$G4434-$H4434)</f>
        <v/>
      </c>
      <c r="J4434" s="35" t="str">
        <f aca="false">IF($A4434="","",IF(Setup!$B$6=1,YEAR($A4434),YEAR($A4434)+IF(MONTH($A4434)&gt;=Setup!$B$6,1,0)))</f>
        <v/>
      </c>
      <c r="K4434" s="35" t="str">
        <f aca="false">IF($A4434="","",MOD(MONTH($A4434)-Setup!$B$6+12,12)+1)</f>
        <v/>
      </c>
      <c r="L4434" s="36" t="str">
        <f aca="false">IF($A4434="","",TEXT($A4434,"MMM-YY"))</f>
        <v/>
      </c>
      <c r="M4434" s="37" t="str">
        <f aca="false">IF($A4434="","",IF($Q4434=0,"UNMAPPED",INDEX(COA_Mapping!$C$7:$C$256,$Q4434)))</f>
        <v/>
      </c>
      <c r="N4434" s="38" t="str">
        <f aca="false">IF($A4434="","",IF($Q4434=0,"",INDEX(COA_Mapping!$E$7:$E$256,$Q4434)))</f>
        <v/>
      </c>
      <c r="O4434" s="38" t="n">
        <f aca="false">IF($A4434="",1,IF($Q4434=0,1,INDEX(COA_Mapping!$F$7:$F$256,$Q4434)))</f>
        <v>1</v>
      </c>
      <c r="P4434" s="34" t="str">
        <f aca="false">IF($A4434="","",$I4434*$O4434)</f>
        <v/>
      </c>
      <c r="Q4434" s="39" t="n">
        <f aca="false">IF($B4434="",0,IFERROR(MATCH($B4434,COA_Mapping!$A$7:$A$256,0),0))</f>
        <v>0</v>
      </c>
      <c r="R4434" s="39" t="n">
        <f aca="false">IF($A4434="",-1,IF($J4434=Setup!$B$7,1,IF($J4434=Setup!$B$9,0,-1)))</f>
        <v>-1</v>
      </c>
      <c r="S4434" s="35" t="n">
        <f aca="false">IF(OR($A4434="",$Q4434=0,$R4434=-1),0,$Q4434*1000+$R4434*100+$K4434)</f>
        <v>0</v>
      </c>
      <c r="T4434" s="37" t="str">
        <f aca="false">IF($A4434="","",IF($B4434="","NO ACCOUNT",IF($Q4434=0,"UNMAPPED",IF($R4434=-1,"OUTSIDE FY RANGE","OK"))))</f>
        <v/>
      </c>
      <c r="U4434" s="40" t="str">
        <f aca="false">IF($A4434="","",$B4434&amp;"|"&amp;TEXT($A4434,"yyyymmdd")&amp;"|"&amp;TEXT($I4434,"0.00"))</f>
        <v/>
      </c>
      <c r="V4434" s="35" t="str">
        <f aca="false">IF($A4434="","",COUNTIF($U$8:$U$5007,$U4434))</f>
        <v/>
      </c>
    </row>
    <row r="4435" customFormat="false" ht="15" hidden="false" customHeight="false" outlineLevel="0" collapsed="false">
      <c r="A4435" s="31"/>
      <c r="B4435" s="32"/>
      <c r="C4435" s="32"/>
      <c r="D4435" s="32"/>
      <c r="E4435" s="32"/>
      <c r="F4435" s="32"/>
      <c r="G4435" s="33"/>
      <c r="H4435" s="33"/>
      <c r="I4435" s="34" t="str">
        <f aca="false">IF($A4435="","",$G4435-$H4435)</f>
        <v/>
      </c>
      <c r="J4435" s="35" t="str">
        <f aca="false">IF($A4435="","",IF(Setup!$B$6=1,YEAR($A4435),YEAR($A4435)+IF(MONTH($A4435)&gt;=Setup!$B$6,1,0)))</f>
        <v/>
      </c>
      <c r="K4435" s="35" t="str">
        <f aca="false">IF($A4435="","",MOD(MONTH($A4435)-Setup!$B$6+12,12)+1)</f>
        <v/>
      </c>
      <c r="L4435" s="36" t="str">
        <f aca="false">IF($A4435="","",TEXT($A4435,"MMM-YY"))</f>
        <v/>
      </c>
      <c r="M4435" s="37" t="str">
        <f aca="false">IF($A4435="","",IF($Q4435=0,"UNMAPPED",INDEX(COA_Mapping!$C$7:$C$256,$Q4435)))</f>
        <v/>
      </c>
      <c r="N4435" s="38" t="str">
        <f aca="false">IF($A4435="","",IF($Q4435=0,"",INDEX(COA_Mapping!$E$7:$E$256,$Q4435)))</f>
        <v/>
      </c>
      <c r="O4435" s="38" t="n">
        <f aca="false">IF($A4435="",1,IF($Q4435=0,1,INDEX(COA_Mapping!$F$7:$F$256,$Q4435)))</f>
        <v>1</v>
      </c>
      <c r="P4435" s="34" t="str">
        <f aca="false">IF($A4435="","",$I4435*$O4435)</f>
        <v/>
      </c>
      <c r="Q4435" s="39" t="n">
        <f aca="false">IF($B4435="",0,IFERROR(MATCH($B4435,COA_Mapping!$A$7:$A$256,0),0))</f>
        <v>0</v>
      </c>
      <c r="R4435" s="39" t="n">
        <f aca="false">IF($A4435="",-1,IF($J4435=Setup!$B$7,1,IF($J4435=Setup!$B$9,0,-1)))</f>
        <v>-1</v>
      </c>
      <c r="S4435" s="35" t="n">
        <f aca="false">IF(OR($A4435="",$Q4435=0,$R4435=-1),0,$Q4435*1000+$R4435*100+$K4435)</f>
        <v>0</v>
      </c>
      <c r="T4435" s="37" t="str">
        <f aca="false">IF($A4435="","",IF($B4435="","NO ACCOUNT",IF($Q4435=0,"UNMAPPED",IF($R4435=-1,"OUTSIDE FY RANGE","OK"))))</f>
        <v/>
      </c>
      <c r="U4435" s="40" t="str">
        <f aca="false">IF($A4435="","",$B4435&amp;"|"&amp;TEXT($A4435,"yyyymmdd")&amp;"|"&amp;TEXT($I4435,"0.00"))</f>
        <v/>
      </c>
      <c r="V4435" s="35" t="str">
        <f aca="false">IF($A4435="","",COUNTIF($U$8:$U$5007,$U4435))</f>
        <v/>
      </c>
    </row>
    <row r="4436" customFormat="false" ht="15" hidden="false" customHeight="false" outlineLevel="0" collapsed="false">
      <c r="A4436" s="31"/>
      <c r="B4436" s="32"/>
      <c r="C4436" s="32"/>
      <c r="D4436" s="32"/>
      <c r="E4436" s="32"/>
      <c r="F4436" s="32"/>
      <c r="G4436" s="33"/>
      <c r="H4436" s="33"/>
      <c r="I4436" s="34" t="str">
        <f aca="false">IF($A4436="","",$G4436-$H4436)</f>
        <v/>
      </c>
      <c r="J4436" s="35" t="str">
        <f aca="false">IF($A4436="","",IF(Setup!$B$6=1,YEAR($A4436),YEAR($A4436)+IF(MONTH($A4436)&gt;=Setup!$B$6,1,0)))</f>
        <v/>
      </c>
      <c r="K4436" s="35" t="str">
        <f aca="false">IF($A4436="","",MOD(MONTH($A4436)-Setup!$B$6+12,12)+1)</f>
        <v/>
      </c>
      <c r="L4436" s="36" t="str">
        <f aca="false">IF($A4436="","",TEXT($A4436,"MMM-YY"))</f>
        <v/>
      </c>
      <c r="M4436" s="37" t="str">
        <f aca="false">IF($A4436="","",IF($Q4436=0,"UNMAPPED",INDEX(COA_Mapping!$C$7:$C$256,$Q4436)))</f>
        <v/>
      </c>
      <c r="N4436" s="38" t="str">
        <f aca="false">IF($A4436="","",IF($Q4436=0,"",INDEX(COA_Mapping!$E$7:$E$256,$Q4436)))</f>
        <v/>
      </c>
      <c r="O4436" s="38" t="n">
        <f aca="false">IF($A4436="",1,IF($Q4436=0,1,INDEX(COA_Mapping!$F$7:$F$256,$Q4436)))</f>
        <v>1</v>
      </c>
      <c r="P4436" s="34" t="str">
        <f aca="false">IF($A4436="","",$I4436*$O4436)</f>
        <v/>
      </c>
      <c r="Q4436" s="39" t="n">
        <f aca="false">IF($B4436="",0,IFERROR(MATCH($B4436,COA_Mapping!$A$7:$A$256,0),0))</f>
        <v>0</v>
      </c>
      <c r="R4436" s="39" t="n">
        <f aca="false">IF($A4436="",-1,IF($J4436=Setup!$B$7,1,IF($J4436=Setup!$B$9,0,-1)))</f>
        <v>-1</v>
      </c>
      <c r="S4436" s="35" t="n">
        <f aca="false">IF(OR($A4436="",$Q4436=0,$R4436=-1),0,$Q4436*1000+$R4436*100+$K4436)</f>
        <v>0</v>
      </c>
      <c r="T4436" s="37" t="str">
        <f aca="false">IF($A4436="","",IF($B4436="","NO ACCOUNT",IF($Q4436=0,"UNMAPPED",IF($R4436=-1,"OUTSIDE FY RANGE","OK"))))</f>
        <v/>
      </c>
      <c r="U4436" s="40" t="str">
        <f aca="false">IF($A4436="","",$B4436&amp;"|"&amp;TEXT($A4436,"yyyymmdd")&amp;"|"&amp;TEXT($I4436,"0.00"))</f>
        <v/>
      </c>
      <c r="V4436" s="35" t="str">
        <f aca="false">IF($A4436="","",COUNTIF($U$8:$U$5007,$U4436))</f>
        <v/>
      </c>
    </row>
    <row r="4437" customFormat="false" ht="15" hidden="false" customHeight="false" outlineLevel="0" collapsed="false">
      <c r="A4437" s="31"/>
      <c r="B4437" s="32"/>
      <c r="C4437" s="32"/>
      <c r="D4437" s="32"/>
      <c r="E4437" s="32"/>
      <c r="F4437" s="32"/>
      <c r="G4437" s="33"/>
      <c r="H4437" s="33"/>
      <c r="I4437" s="34" t="str">
        <f aca="false">IF($A4437="","",$G4437-$H4437)</f>
        <v/>
      </c>
      <c r="J4437" s="35" t="str">
        <f aca="false">IF($A4437="","",IF(Setup!$B$6=1,YEAR($A4437),YEAR($A4437)+IF(MONTH($A4437)&gt;=Setup!$B$6,1,0)))</f>
        <v/>
      </c>
      <c r="K4437" s="35" t="str">
        <f aca="false">IF($A4437="","",MOD(MONTH($A4437)-Setup!$B$6+12,12)+1)</f>
        <v/>
      </c>
      <c r="L4437" s="36" t="str">
        <f aca="false">IF($A4437="","",TEXT($A4437,"MMM-YY"))</f>
        <v/>
      </c>
      <c r="M4437" s="37" t="str">
        <f aca="false">IF($A4437="","",IF($Q4437=0,"UNMAPPED",INDEX(COA_Mapping!$C$7:$C$256,$Q4437)))</f>
        <v/>
      </c>
      <c r="N4437" s="38" t="str">
        <f aca="false">IF($A4437="","",IF($Q4437=0,"",INDEX(COA_Mapping!$E$7:$E$256,$Q4437)))</f>
        <v/>
      </c>
      <c r="O4437" s="38" t="n">
        <f aca="false">IF($A4437="",1,IF($Q4437=0,1,INDEX(COA_Mapping!$F$7:$F$256,$Q4437)))</f>
        <v>1</v>
      </c>
      <c r="P4437" s="34" t="str">
        <f aca="false">IF($A4437="","",$I4437*$O4437)</f>
        <v/>
      </c>
      <c r="Q4437" s="39" t="n">
        <f aca="false">IF($B4437="",0,IFERROR(MATCH($B4437,COA_Mapping!$A$7:$A$256,0),0))</f>
        <v>0</v>
      </c>
      <c r="R4437" s="39" t="n">
        <f aca="false">IF($A4437="",-1,IF($J4437=Setup!$B$7,1,IF($J4437=Setup!$B$9,0,-1)))</f>
        <v>-1</v>
      </c>
      <c r="S4437" s="35" t="n">
        <f aca="false">IF(OR($A4437="",$Q4437=0,$R4437=-1),0,$Q4437*1000+$R4437*100+$K4437)</f>
        <v>0</v>
      </c>
      <c r="T4437" s="37" t="str">
        <f aca="false">IF($A4437="","",IF($B4437="","NO ACCOUNT",IF($Q4437=0,"UNMAPPED",IF($R4437=-1,"OUTSIDE FY RANGE","OK"))))</f>
        <v/>
      </c>
      <c r="U4437" s="40" t="str">
        <f aca="false">IF($A4437="","",$B4437&amp;"|"&amp;TEXT($A4437,"yyyymmdd")&amp;"|"&amp;TEXT($I4437,"0.00"))</f>
        <v/>
      </c>
      <c r="V4437" s="35" t="str">
        <f aca="false">IF($A4437="","",COUNTIF($U$8:$U$5007,$U4437))</f>
        <v/>
      </c>
    </row>
    <row r="4438" customFormat="false" ht="15" hidden="false" customHeight="false" outlineLevel="0" collapsed="false">
      <c r="A4438" s="31"/>
      <c r="B4438" s="32"/>
      <c r="C4438" s="32"/>
      <c r="D4438" s="32"/>
      <c r="E4438" s="32"/>
      <c r="F4438" s="32"/>
      <c r="G4438" s="33"/>
      <c r="H4438" s="33"/>
      <c r="I4438" s="34" t="str">
        <f aca="false">IF($A4438="","",$G4438-$H4438)</f>
        <v/>
      </c>
      <c r="J4438" s="35" t="str">
        <f aca="false">IF($A4438="","",IF(Setup!$B$6=1,YEAR($A4438),YEAR($A4438)+IF(MONTH($A4438)&gt;=Setup!$B$6,1,0)))</f>
        <v/>
      </c>
      <c r="K4438" s="35" t="str">
        <f aca="false">IF($A4438="","",MOD(MONTH($A4438)-Setup!$B$6+12,12)+1)</f>
        <v/>
      </c>
      <c r="L4438" s="36" t="str">
        <f aca="false">IF($A4438="","",TEXT($A4438,"MMM-YY"))</f>
        <v/>
      </c>
      <c r="M4438" s="37" t="str">
        <f aca="false">IF($A4438="","",IF($Q4438=0,"UNMAPPED",INDEX(COA_Mapping!$C$7:$C$256,$Q4438)))</f>
        <v/>
      </c>
      <c r="N4438" s="38" t="str">
        <f aca="false">IF($A4438="","",IF($Q4438=0,"",INDEX(COA_Mapping!$E$7:$E$256,$Q4438)))</f>
        <v/>
      </c>
      <c r="O4438" s="38" t="n">
        <f aca="false">IF($A4438="",1,IF($Q4438=0,1,INDEX(COA_Mapping!$F$7:$F$256,$Q4438)))</f>
        <v>1</v>
      </c>
      <c r="P4438" s="34" t="str">
        <f aca="false">IF($A4438="","",$I4438*$O4438)</f>
        <v/>
      </c>
      <c r="Q4438" s="39" t="n">
        <f aca="false">IF($B4438="",0,IFERROR(MATCH($B4438,COA_Mapping!$A$7:$A$256,0),0))</f>
        <v>0</v>
      </c>
      <c r="R4438" s="39" t="n">
        <f aca="false">IF($A4438="",-1,IF($J4438=Setup!$B$7,1,IF($J4438=Setup!$B$9,0,-1)))</f>
        <v>-1</v>
      </c>
      <c r="S4438" s="35" t="n">
        <f aca="false">IF(OR($A4438="",$Q4438=0,$R4438=-1),0,$Q4438*1000+$R4438*100+$K4438)</f>
        <v>0</v>
      </c>
      <c r="T4438" s="37" t="str">
        <f aca="false">IF($A4438="","",IF($B4438="","NO ACCOUNT",IF($Q4438=0,"UNMAPPED",IF($R4438=-1,"OUTSIDE FY RANGE","OK"))))</f>
        <v/>
      </c>
      <c r="U4438" s="40" t="str">
        <f aca="false">IF($A4438="","",$B4438&amp;"|"&amp;TEXT($A4438,"yyyymmdd")&amp;"|"&amp;TEXT($I4438,"0.00"))</f>
        <v/>
      </c>
      <c r="V4438" s="35" t="str">
        <f aca="false">IF($A4438="","",COUNTIF($U$8:$U$5007,$U4438))</f>
        <v/>
      </c>
    </row>
    <row r="4439" customFormat="false" ht="15" hidden="false" customHeight="false" outlineLevel="0" collapsed="false">
      <c r="A4439" s="31"/>
      <c r="B4439" s="32"/>
      <c r="C4439" s="32"/>
      <c r="D4439" s="32"/>
      <c r="E4439" s="32"/>
      <c r="F4439" s="32"/>
      <c r="G4439" s="33"/>
      <c r="H4439" s="33"/>
      <c r="I4439" s="34" t="str">
        <f aca="false">IF($A4439="","",$G4439-$H4439)</f>
        <v/>
      </c>
      <c r="J4439" s="35" t="str">
        <f aca="false">IF($A4439="","",IF(Setup!$B$6=1,YEAR($A4439),YEAR($A4439)+IF(MONTH($A4439)&gt;=Setup!$B$6,1,0)))</f>
        <v/>
      </c>
      <c r="K4439" s="35" t="str">
        <f aca="false">IF($A4439="","",MOD(MONTH($A4439)-Setup!$B$6+12,12)+1)</f>
        <v/>
      </c>
      <c r="L4439" s="36" t="str">
        <f aca="false">IF($A4439="","",TEXT($A4439,"MMM-YY"))</f>
        <v/>
      </c>
      <c r="M4439" s="37" t="str">
        <f aca="false">IF($A4439="","",IF($Q4439=0,"UNMAPPED",INDEX(COA_Mapping!$C$7:$C$256,$Q4439)))</f>
        <v/>
      </c>
      <c r="N4439" s="38" t="str">
        <f aca="false">IF($A4439="","",IF($Q4439=0,"",INDEX(COA_Mapping!$E$7:$E$256,$Q4439)))</f>
        <v/>
      </c>
      <c r="O4439" s="38" t="n">
        <f aca="false">IF($A4439="",1,IF($Q4439=0,1,INDEX(COA_Mapping!$F$7:$F$256,$Q4439)))</f>
        <v>1</v>
      </c>
      <c r="P4439" s="34" t="str">
        <f aca="false">IF($A4439="","",$I4439*$O4439)</f>
        <v/>
      </c>
      <c r="Q4439" s="39" t="n">
        <f aca="false">IF($B4439="",0,IFERROR(MATCH($B4439,COA_Mapping!$A$7:$A$256,0),0))</f>
        <v>0</v>
      </c>
      <c r="R4439" s="39" t="n">
        <f aca="false">IF($A4439="",-1,IF($J4439=Setup!$B$7,1,IF($J4439=Setup!$B$9,0,-1)))</f>
        <v>-1</v>
      </c>
      <c r="S4439" s="35" t="n">
        <f aca="false">IF(OR($A4439="",$Q4439=0,$R4439=-1),0,$Q4439*1000+$R4439*100+$K4439)</f>
        <v>0</v>
      </c>
      <c r="T4439" s="37" t="str">
        <f aca="false">IF($A4439="","",IF($B4439="","NO ACCOUNT",IF($Q4439=0,"UNMAPPED",IF($R4439=-1,"OUTSIDE FY RANGE","OK"))))</f>
        <v/>
      </c>
      <c r="U4439" s="40" t="str">
        <f aca="false">IF($A4439="","",$B4439&amp;"|"&amp;TEXT($A4439,"yyyymmdd")&amp;"|"&amp;TEXT($I4439,"0.00"))</f>
        <v/>
      </c>
      <c r="V4439" s="35" t="str">
        <f aca="false">IF($A4439="","",COUNTIF($U$8:$U$5007,$U4439))</f>
        <v/>
      </c>
    </row>
    <row r="4440" customFormat="false" ht="15" hidden="false" customHeight="false" outlineLevel="0" collapsed="false">
      <c r="A4440" s="31"/>
      <c r="B4440" s="32"/>
      <c r="C4440" s="32"/>
      <c r="D4440" s="32"/>
      <c r="E4440" s="32"/>
      <c r="F4440" s="32"/>
      <c r="G4440" s="33"/>
      <c r="H4440" s="33"/>
      <c r="I4440" s="34" t="str">
        <f aca="false">IF($A4440="","",$G4440-$H4440)</f>
        <v/>
      </c>
      <c r="J4440" s="35" t="str">
        <f aca="false">IF($A4440="","",IF(Setup!$B$6=1,YEAR($A4440),YEAR($A4440)+IF(MONTH($A4440)&gt;=Setup!$B$6,1,0)))</f>
        <v/>
      </c>
      <c r="K4440" s="35" t="str">
        <f aca="false">IF($A4440="","",MOD(MONTH($A4440)-Setup!$B$6+12,12)+1)</f>
        <v/>
      </c>
      <c r="L4440" s="36" t="str">
        <f aca="false">IF($A4440="","",TEXT($A4440,"MMM-YY"))</f>
        <v/>
      </c>
      <c r="M4440" s="37" t="str">
        <f aca="false">IF($A4440="","",IF($Q4440=0,"UNMAPPED",INDEX(COA_Mapping!$C$7:$C$256,$Q4440)))</f>
        <v/>
      </c>
      <c r="N4440" s="38" t="str">
        <f aca="false">IF($A4440="","",IF($Q4440=0,"",INDEX(COA_Mapping!$E$7:$E$256,$Q4440)))</f>
        <v/>
      </c>
      <c r="O4440" s="38" t="n">
        <f aca="false">IF($A4440="",1,IF($Q4440=0,1,INDEX(COA_Mapping!$F$7:$F$256,$Q4440)))</f>
        <v>1</v>
      </c>
      <c r="P4440" s="34" t="str">
        <f aca="false">IF($A4440="","",$I4440*$O4440)</f>
        <v/>
      </c>
      <c r="Q4440" s="39" t="n">
        <f aca="false">IF($B4440="",0,IFERROR(MATCH($B4440,COA_Mapping!$A$7:$A$256,0),0))</f>
        <v>0</v>
      </c>
      <c r="R4440" s="39" t="n">
        <f aca="false">IF($A4440="",-1,IF($J4440=Setup!$B$7,1,IF($J4440=Setup!$B$9,0,-1)))</f>
        <v>-1</v>
      </c>
      <c r="S4440" s="35" t="n">
        <f aca="false">IF(OR($A4440="",$Q4440=0,$R4440=-1),0,$Q4440*1000+$R4440*100+$K4440)</f>
        <v>0</v>
      </c>
      <c r="T4440" s="37" t="str">
        <f aca="false">IF($A4440="","",IF($B4440="","NO ACCOUNT",IF($Q4440=0,"UNMAPPED",IF($R4440=-1,"OUTSIDE FY RANGE","OK"))))</f>
        <v/>
      </c>
      <c r="U4440" s="40" t="str">
        <f aca="false">IF($A4440="","",$B4440&amp;"|"&amp;TEXT($A4440,"yyyymmdd")&amp;"|"&amp;TEXT($I4440,"0.00"))</f>
        <v/>
      </c>
      <c r="V4440" s="35" t="str">
        <f aca="false">IF($A4440="","",COUNTIF($U$8:$U$5007,$U4440))</f>
        <v/>
      </c>
    </row>
    <row r="4441" customFormat="false" ht="15" hidden="false" customHeight="false" outlineLevel="0" collapsed="false">
      <c r="A4441" s="31"/>
      <c r="B4441" s="32"/>
      <c r="C4441" s="32"/>
      <c r="D4441" s="32"/>
      <c r="E4441" s="32"/>
      <c r="F4441" s="32"/>
      <c r="G4441" s="33"/>
      <c r="H4441" s="33"/>
      <c r="I4441" s="34" t="str">
        <f aca="false">IF($A4441="","",$G4441-$H4441)</f>
        <v/>
      </c>
      <c r="J4441" s="35" t="str">
        <f aca="false">IF($A4441="","",IF(Setup!$B$6=1,YEAR($A4441),YEAR($A4441)+IF(MONTH($A4441)&gt;=Setup!$B$6,1,0)))</f>
        <v/>
      </c>
      <c r="K4441" s="35" t="str">
        <f aca="false">IF($A4441="","",MOD(MONTH($A4441)-Setup!$B$6+12,12)+1)</f>
        <v/>
      </c>
      <c r="L4441" s="36" t="str">
        <f aca="false">IF($A4441="","",TEXT($A4441,"MMM-YY"))</f>
        <v/>
      </c>
      <c r="M4441" s="37" t="str">
        <f aca="false">IF($A4441="","",IF($Q4441=0,"UNMAPPED",INDEX(COA_Mapping!$C$7:$C$256,$Q4441)))</f>
        <v/>
      </c>
      <c r="N4441" s="38" t="str">
        <f aca="false">IF($A4441="","",IF($Q4441=0,"",INDEX(COA_Mapping!$E$7:$E$256,$Q4441)))</f>
        <v/>
      </c>
      <c r="O4441" s="38" t="n">
        <f aca="false">IF($A4441="",1,IF($Q4441=0,1,INDEX(COA_Mapping!$F$7:$F$256,$Q4441)))</f>
        <v>1</v>
      </c>
      <c r="P4441" s="34" t="str">
        <f aca="false">IF($A4441="","",$I4441*$O4441)</f>
        <v/>
      </c>
      <c r="Q4441" s="39" t="n">
        <f aca="false">IF($B4441="",0,IFERROR(MATCH($B4441,COA_Mapping!$A$7:$A$256,0),0))</f>
        <v>0</v>
      </c>
      <c r="R4441" s="39" t="n">
        <f aca="false">IF($A4441="",-1,IF($J4441=Setup!$B$7,1,IF($J4441=Setup!$B$9,0,-1)))</f>
        <v>-1</v>
      </c>
      <c r="S4441" s="35" t="n">
        <f aca="false">IF(OR($A4441="",$Q4441=0,$R4441=-1),0,$Q4441*1000+$R4441*100+$K4441)</f>
        <v>0</v>
      </c>
      <c r="T4441" s="37" t="str">
        <f aca="false">IF($A4441="","",IF($B4441="","NO ACCOUNT",IF($Q4441=0,"UNMAPPED",IF($R4441=-1,"OUTSIDE FY RANGE","OK"))))</f>
        <v/>
      </c>
      <c r="U4441" s="40" t="str">
        <f aca="false">IF($A4441="","",$B4441&amp;"|"&amp;TEXT($A4441,"yyyymmdd")&amp;"|"&amp;TEXT($I4441,"0.00"))</f>
        <v/>
      </c>
      <c r="V4441" s="35" t="str">
        <f aca="false">IF($A4441="","",COUNTIF($U$8:$U$5007,$U4441))</f>
        <v/>
      </c>
    </row>
    <row r="4442" customFormat="false" ht="15" hidden="false" customHeight="false" outlineLevel="0" collapsed="false">
      <c r="A4442" s="31"/>
      <c r="B4442" s="32"/>
      <c r="C4442" s="32"/>
      <c r="D4442" s="32"/>
      <c r="E4442" s="32"/>
      <c r="F4442" s="32"/>
      <c r="G4442" s="33"/>
      <c r="H4442" s="33"/>
      <c r="I4442" s="34" t="str">
        <f aca="false">IF($A4442="","",$G4442-$H4442)</f>
        <v/>
      </c>
      <c r="J4442" s="35" t="str">
        <f aca="false">IF($A4442="","",IF(Setup!$B$6=1,YEAR($A4442),YEAR($A4442)+IF(MONTH($A4442)&gt;=Setup!$B$6,1,0)))</f>
        <v/>
      </c>
      <c r="K4442" s="35" t="str">
        <f aca="false">IF($A4442="","",MOD(MONTH($A4442)-Setup!$B$6+12,12)+1)</f>
        <v/>
      </c>
      <c r="L4442" s="36" t="str">
        <f aca="false">IF($A4442="","",TEXT($A4442,"MMM-YY"))</f>
        <v/>
      </c>
      <c r="M4442" s="37" t="str">
        <f aca="false">IF($A4442="","",IF($Q4442=0,"UNMAPPED",INDEX(COA_Mapping!$C$7:$C$256,$Q4442)))</f>
        <v/>
      </c>
      <c r="N4442" s="38" t="str">
        <f aca="false">IF($A4442="","",IF($Q4442=0,"",INDEX(COA_Mapping!$E$7:$E$256,$Q4442)))</f>
        <v/>
      </c>
      <c r="O4442" s="38" t="n">
        <f aca="false">IF($A4442="",1,IF($Q4442=0,1,INDEX(COA_Mapping!$F$7:$F$256,$Q4442)))</f>
        <v>1</v>
      </c>
      <c r="P4442" s="34" t="str">
        <f aca="false">IF($A4442="","",$I4442*$O4442)</f>
        <v/>
      </c>
      <c r="Q4442" s="39" t="n">
        <f aca="false">IF($B4442="",0,IFERROR(MATCH($B4442,COA_Mapping!$A$7:$A$256,0),0))</f>
        <v>0</v>
      </c>
      <c r="R4442" s="39" t="n">
        <f aca="false">IF($A4442="",-1,IF($J4442=Setup!$B$7,1,IF($J4442=Setup!$B$9,0,-1)))</f>
        <v>-1</v>
      </c>
      <c r="S4442" s="35" t="n">
        <f aca="false">IF(OR($A4442="",$Q4442=0,$R4442=-1),0,$Q4442*1000+$R4442*100+$K4442)</f>
        <v>0</v>
      </c>
      <c r="T4442" s="37" t="str">
        <f aca="false">IF($A4442="","",IF($B4442="","NO ACCOUNT",IF($Q4442=0,"UNMAPPED",IF($R4442=-1,"OUTSIDE FY RANGE","OK"))))</f>
        <v/>
      </c>
      <c r="U4442" s="40" t="str">
        <f aca="false">IF($A4442="","",$B4442&amp;"|"&amp;TEXT($A4442,"yyyymmdd")&amp;"|"&amp;TEXT($I4442,"0.00"))</f>
        <v/>
      </c>
      <c r="V4442" s="35" t="str">
        <f aca="false">IF($A4442="","",COUNTIF($U$8:$U$5007,$U4442))</f>
        <v/>
      </c>
    </row>
    <row r="4443" customFormat="false" ht="15" hidden="false" customHeight="false" outlineLevel="0" collapsed="false">
      <c r="A4443" s="31"/>
      <c r="B4443" s="32"/>
      <c r="C4443" s="32"/>
      <c r="D4443" s="32"/>
      <c r="E4443" s="32"/>
      <c r="F4443" s="32"/>
      <c r="G4443" s="33"/>
      <c r="H4443" s="33"/>
      <c r="I4443" s="34" t="str">
        <f aca="false">IF($A4443="","",$G4443-$H4443)</f>
        <v/>
      </c>
      <c r="J4443" s="35" t="str">
        <f aca="false">IF($A4443="","",IF(Setup!$B$6=1,YEAR($A4443),YEAR($A4443)+IF(MONTH($A4443)&gt;=Setup!$B$6,1,0)))</f>
        <v/>
      </c>
      <c r="K4443" s="35" t="str">
        <f aca="false">IF($A4443="","",MOD(MONTH($A4443)-Setup!$B$6+12,12)+1)</f>
        <v/>
      </c>
      <c r="L4443" s="36" t="str">
        <f aca="false">IF($A4443="","",TEXT($A4443,"MMM-YY"))</f>
        <v/>
      </c>
      <c r="M4443" s="37" t="str">
        <f aca="false">IF($A4443="","",IF($Q4443=0,"UNMAPPED",INDEX(COA_Mapping!$C$7:$C$256,$Q4443)))</f>
        <v/>
      </c>
      <c r="N4443" s="38" t="str">
        <f aca="false">IF($A4443="","",IF($Q4443=0,"",INDEX(COA_Mapping!$E$7:$E$256,$Q4443)))</f>
        <v/>
      </c>
      <c r="O4443" s="38" t="n">
        <f aca="false">IF($A4443="",1,IF($Q4443=0,1,INDEX(COA_Mapping!$F$7:$F$256,$Q4443)))</f>
        <v>1</v>
      </c>
      <c r="P4443" s="34" t="str">
        <f aca="false">IF($A4443="","",$I4443*$O4443)</f>
        <v/>
      </c>
      <c r="Q4443" s="39" t="n">
        <f aca="false">IF($B4443="",0,IFERROR(MATCH($B4443,COA_Mapping!$A$7:$A$256,0),0))</f>
        <v>0</v>
      </c>
      <c r="R4443" s="39" t="n">
        <f aca="false">IF($A4443="",-1,IF($J4443=Setup!$B$7,1,IF($J4443=Setup!$B$9,0,-1)))</f>
        <v>-1</v>
      </c>
      <c r="S4443" s="35" t="n">
        <f aca="false">IF(OR($A4443="",$Q4443=0,$R4443=-1),0,$Q4443*1000+$R4443*100+$K4443)</f>
        <v>0</v>
      </c>
      <c r="T4443" s="37" t="str">
        <f aca="false">IF($A4443="","",IF($B4443="","NO ACCOUNT",IF($Q4443=0,"UNMAPPED",IF($R4443=-1,"OUTSIDE FY RANGE","OK"))))</f>
        <v/>
      </c>
      <c r="U4443" s="40" t="str">
        <f aca="false">IF($A4443="","",$B4443&amp;"|"&amp;TEXT($A4443,"yyyymmdd")&amp;"|"&amp;TEXT($I4443,"0.00"))</f>
        <v/>
      </c>
      <c r="V4443" s="35" t="str">
        <f aca="false">IF($A4443="","",COUNTIF($U$8:$U$5007,$U4443))</f>
        <v/>
      </c>
    </row>
    <row r="4444" customFormat="false" ht="15" hidden="false" customHeight="false" outlineLevel="0" collapsed="false">
      <c r="A4444" s="31"/>
      <c r="B4444" s="32"/>
      <c r="C4444" s="32"/>
      <c r="D4444" s="32"/>
      <c r="E4444" s="32"/>
      <c r="F4444" s="32"/>
      <c r="G4444" s="33"/>
      <c r="H4444" s="33"/>
      <c r="I4444" s="34" t="str">
        <f aca="false">IF($A4444="","",$G4444-$H4444)</f>
        <v/>
      </c>
      <c r="J4444" s="35" t="str">
        <f aca="false">IF($A4444="","",IF(Setup!$B$6=1,YEAR($A4444),YEAR($A4444)+IF(MONTH($A4444)&gt;=Setup!$B$6,1,0)))</f>
        <v/>
      </c>
      <c r="K4444" s="35" t="str">
        <f aca="false">IF($A4444="","",MOD(MONTH($A4444)-Setup!$B$6+12,12)+1)</f>
        <v/>
      </c>
      <c r="L4444" s="36" t="str">
        <f aca="false">IF($A4444="","",TEXT($A4444,"MMM-YY"))</f>
        <v/>
      </c>
      <c r="M4444" s="37" t="str">
        <f aca="false">IF($A4444="","",IF($Q4444=0,"UNMAPPED",INDEX(COA_Mapping!$C$7:$C$256,$Q4444)))</f>
        <v/>
      </c>
      <c r="N4444" s="38" t="str">
        <f aca="false">IF($A4444="","",IF($Q4444=0,"",INDEX(COA_Mapping!$E$7:$E$256,$Q4444)))</f>
        <v/>
      </c>
      <c r="O4444" s="38" t="n">
        <f aca="false">IF($A4444="",1,IF($Q4444=0,1,INDEX(COA_Mapping!$F$7:$F$256,$Q4444)))</f>
        <v>1</v>
      </c>
      <c r="P4444" s="34" t="str">
        <f aca="false">IF($A4444="","",$I4444*$O4444)</f>
        <v/>
      </c>
      <c r="Q4444" s="39" t="n">
        <f aca="false">IF($B4444="",0,IFERROR(MATCH($B4444,COA_Mapping!$A$7:$A$256,0),0))</f>
        <v>0</v>
      </c>
      <c r="R4444" s="39" t="n">
        <f aca="false">IF($A4444="",-1,IF($J4444=Setup!$B$7,1,IF($J4444=Setup!$B$9,0,-1)))</f>
        <v>-1</v>
      </c>
      <c r="S4444" s="35" t="n">
        <f aca="false">IF(OR($A4444="",$Q4444=0,$R4444=-1),0,$Q4444*1000+$R4444*100+$K4444)</f>
        <v>0</v>
      </c>
      <c r="T4444" s="37" t="str">
        <f aca="false">IF($A4444="","",IF($B4444="","NO ACCOUNT",IF($Q4444=0,"UNMAPPED",IF($R4444=-1,"OUTSIDE FY RANGE","OK"))))</f>
        <v/>
      </c>
      <c r="U4444" s="40" t="str">
        <f aca="false">IF($A4444="","",$B4444&amp;"|"&amp;TEXT($A4444,"yyyymmdd")&amp;"|"&amp;TEXT($I4444,"0.00"))</f>
        <v/>
      </c>
      <c r="V4444" s="35" t="str">
        <f aca="false">IF($A4444="","",COUNTIF($U$8:$U$5007,$U4444))</f>
        <v/>
      </c>
    </row>
    <row r="4445" customFormat="false" ht="15" hidden="false" customHeight="false" outlineLevel="0" collapsed="false">
      <c r="A4445" s="31"/>
      <c r="B4445" s="32"/>
      <c r="C4445" s="32"/>
      <c r="D4445" s="32"/>
      <c r="E4445" s="32"/>
      <c r="F4445" s="32"/>
      <c r="G4445" s="33"/>
      <c r="H4445" s="33"/>
      <c r="I4445" s="34" t="str">
        <f aca="false">IF($A4445="","",$G4445-$H4445)</f>
        <v/>
      </c>
      <c r="J4445" s="35" t="str">
        <f aca="false">IF($A4445="","",IF(Setup!$B$6=1,YEAR($A4445),YEAR($A4445)+IF(MONTH($A4445)&gt;=Setup!$B$6,1,0)))</f>
        <v/>
      </c>
      <c r="K4445" s="35" t="str">
        <f aca="false">IF($A4445="","",MOD(MONTH($A4445)-Setup!$B$6+12,12)+1)</f>
        <v/>
      </c>
      <c r="L4445" s="36" t="str">
        <f aca="false">IF($A4445="","",TEXT($A4445,"MMM-YY"))</f>
        <v/>
      </c>
      <c r="M4445" s="37" t="str">
        <f aca="false">IF($A4445="","",IF($Q4445=0,"UNMAPPED",INDEX(COA_Mapping!$C$7:$C$256,$Q4445)))</f>
        <v/>
      </c>
      <c r="N4445" s="38" t="str">
        <f aca="false">IF($A4445="","",IF($Q4445=0,"",INDEX(COA_Mapping!$E$7:$E$256,$Q4445)))</f>
        <v/>
      </c>
      <c r="O4445" s="38" t="n">
        <f aca="false">IF($A4445="",1,IF($Q4445=0,1,INDEX(COA_Mapping!$F$7:$F$256,$Q4445)))</f>
        <v>1</v>
      </c>
      <c r="P4445" s="34" t="str">
        <f aca="false">IF($A4445="","",$I4445*$O4445)</f>
        <v/>
      </c>
      <c r="Q4445" s="39" t="n">
        <f aca="false">IF($B4445="",0,IFERROR(MATCH($B4445,COA_Mapping!$A$7:$A$256,0),0))</f>
        <v>0</v>
      </c>
      <c r="R4445" s="39" t="n">
        <f aca="false">IF($A4445="",-1,IF($J4445=Setup!$B$7,1,IF($J4445=Setup!$B$9,0,-1)))</f>
        <v>-1</v>
      </c>
      <c r="S4445" s="35" t="n">
        <f aca="false">IF(OR($A4445="",$Q4445=0,$R4445=-1),0,$Q4445*1000+$R4445*100+$K4445)</f>
        <v>0</v>
      </c>
      <c r="T4445" s="37" t="str">
        <f aca="false">IF($A4445="","",IF($B4445="","NO ACCOUNT",IF($Q4445=0,"UNMAPPED",IF($R4445=-1,"OUTSIDE FY RANGE","OK"))))</f>
        <v/>
      </c>
      <c r="U4445" s="40" t="str">
        <f aca="false">IF($A4445="","",$B4445&amp;"|"&amp;TEXT($A4445,"yyyymmdd")&amp;"|"&amp;TEXT($I4445,"0.00"))</f>
        <v/>
      </c>
      <c r="V4445" s="35" t="str">
        <f aca="false">IF($A4445="","",COUNTIF($U$8:$U$5007,$U4445))</f>
        <v/>
      </c>
    </row>
    <row r="4446" customFormat="false" ht="15" hidden="false" customHeight="false" outlineLevel="0" collapsed="false">
      <c r="A4446" s="31"/>
      <c r="B4446" s="32"/>
      <c r="C4446" s="32"/>
      <c r="D4446" s="32"/>
      <c r="E4446" s="32"/>
      <c r="F4446" s="32"/>
      <c r="G4446" s="33"/>
      <c r="H4446" s="33"/>
      <c r="I4446" s="34" t="str">
        <f aca="false">IF($A4446="","",$G4446-$H4446)</f>
        <v/>
      </c>
      <c r="J4446" s="35" t="str">
        <f aca="false">IF($A4446="","",IF(Setup!$B$6=1,YEAR($A4446),YEAR($A4446)+IF(MONTH($A4446)&gt;=Setup!$B$6,1,0)))</f>
        <v/>
      </c>
      <c r="K4446" s="35" t="str">
        <f aca="false">IF($A4446="","",MOD(MONTH($A4446)-Setup!$B$6+12,12)+1)</f>
        <v/>
      </c>
      <c r="L4446" s="36" t="str">
        <f aca="false">IF($A4446="","",TEXT($A4446,"MMM-YY"))</f>
        <v/>
      </c>
      <c r="M4446" s="37" t="str">
        <f aca="false">IF($A4446="","",IF($Q4446=0,"UNMAPPED",INDEX(COA_Mapping!$C$7:$C$256,$Q4446)))</f>
        <v/>
      </c>
      <c r="N4446" s="38" t="str">
        <f aca="false">IF($A4446="","",IF($Q4446=0,"",INDEX(COA_Mapping!$E$7:$E$256,$Q4446)))</f>
        <v/>
      </c>
      <c r="O4446" s="38" t="n">
        <f aca="false">IF($A4446="",1,IF($Q4446=0,1,INDEX(COA_Mapping!$F$7:$F$256,$Q4446)))</f>
        <v>1</v>
      </c>
      <c r="P4446" s="34" t="str">
        <f aca="false">IF($A4446="","",$I4446*$O4446)</f>
        <v/>
      </c>
      <c r="Q4446" s="39" t="n">
        <f aca="false">IF($B4446="",0,IFERROR(MATCH($B4446,COA_Mapping!$A$7:$A$256,0),0))</f>
        <v>0</v>
      </c>
      <c r="R4446" s="39" t="n">
        <f aca="false">IF($A4446="",-1,IF($J4446=Setup!$B$7,1,IF($J4446=Setup!$B$9,0,-1)))</f>
        <v>-1</v>
      </c>
      <c r="S4446" s="35" t="n">
        <f aca="false">IF(OR($A4446="",$Q4446=0,$R4446=-1),0,$Q4446*1000+$R4446*100+$K4446)</f>
        <v>0</v>
      </c>
      <c r="T4446" s="37" t="str">
        <f aca="false">IF($A4446="","",IF($B4446="","NO ACCOUNT",IF($Q4446=0,"UNMAPPED",IF($R4446=-1,"OUTSIDE FY RANGE","OK"))))</f>
        <v/>
      </c>
      <c r="U4446" s="40" t="str">
        <f aca="false">IF($A4446="","",$B4446&amp;"|"&amp;TEXT($A4446,"yyyymmdd")&amp;"|"&amp;TEXT($I4446,"0.00"))</f>
        <v/>
      </c>
      <c r="V4446" s="35" t="str">
        <f aca="false">IF($A4446="","",COUNTIF($U$8:$U$5007,$U4446))</f>
        <v/>
      </c>
    </row>
    <row r="4447" customFormat="false" ht="15" hidden="false" customHeight="false" outlineLevel="0" collapsed="false">
      <c r="A4447" s="31"/>
      <c r="B4447" s="32"/>
      <c r="C4447" s="32"/>
      <c r="D4447" s="32"/>
      <c r="E4447" s="32"/>
      <c r="F4447" s="32"/>
      <c r="G4447" s="33"/>
      <c r="H4447" s="33"/>
      <c r="I4447" s="34" t="str">
        <f aca="false">IF($A4447="","",$G4447-$H4447)</f>
        <v/>
      </c>
      <c r="J4447" s="35" t="str">
        <f aca="false">IF($A4447="","",IF(Setup!$B$6=1,YEAR($A4447),YEAR($A4447)+IF(MONTH($A4447)&gt;=Setup!$B$6,1,0)))</f>
        <v/>
      </c>
      <c r="K4447" s="35" t="str">
        <f aca="false">IF($A4447="","",MOD(MONTH($A4447)-Setup!$B$6+12,12)+1)</f>
        <v/>
      </c>
      <c r="L4447" s="36" t="str">
        <f aca="false">IF($A4447="","",TEXT($A4447,"MMM-YY"))</f>
        <v/>
      </c>
      <c r="M4447" s="37" t="str">
        <f aca="false">IF($A4447="","",IF($Q4447=0,"UNMAPPED",INDEX(COA_Mapping!$C$7:$C$256,$Q4447)))</f>
        <v/>
      </c>
      <c r="N4447" s="38" t="str">
        <f aca="false">IF($A4447="","",IF($Q4447=0,"",INDEX(COA_Mapping!$E$7:$E$256,$Q4447)))</f>
        <v/>
      </c>
      <c r="O4447" s="38" t="n">
        <f aca="false">IF($A4447="",1,IF($Q4447=0,1,INDEX(COA_Mapping!$F$7:$F$256,$Q4447)))</f>
        <v>1</v>
      </c>
      <c r="P4447" s="34" t="str">
        <f aca="false">IF($A4447="","",$I4447*$O4447)</f>
        <v/>
      </c>
      <c r="Q4447" s="39" t="n">
        <f aca="false">IF($B4447="",0,IFERROR(MATCH($B4447,COA_Mapping!$A$7:$A$256,0),0))</f>
        <v>0</v>
      </c>
      <c r="R4447" s="39" t="n">
        <f aca="false">IF($A4447="",-1,IF($J4447=Setup!$B$7,1,IF($J4447=Setup!$B$9,0,-1)))</f>
        <v>-1</v>
      </c>
      <c r="S4447" s="35" t="n">
        <f aca="false">IF(OR($A4447="",$Q4447=0,$R4447=-1),0,$Q4447*1000+$R4447*100+$K4447)</f>
        <v>0</v>
      </c>
      <c r="T4447" s="37" t="str">
        <f aca="false">IF($A4447="","",IF($B4447="","NO ACCOUNT",IF($Q4447=0,"UNMAPPED",IF($R4447=-1,"OUTSIDE FY RANGE","OK"))))</f>
        <v/>
      </c>
      <c r="U4447" s="40" t="str">
        <f aca="false">IF($A4447="","",$B4447&amp;"|"&amp;TEXT($A4447,"yyyymmdd")&amp;"|"&amp;TEXT($I4447,"0.00"))</f>
        <v/>
      </c>
      <c r="V4447" s="35" t="str">
        <f aca="false">IF($A4447="","",COUNTIF($U$8:$U$5007,$U4447))</f>
        <v/>
      </c>
    </row>
    <row r="4448" customFormat="false" ht="15" hidden="false" customHeight="false" outlineLevel="0" collapsed="false">
      <c r="A4448" s="31"/>
      <c r="B4448" s="32"/>
      <c r="C4448" s="32"/>
      <c r="D4448" s="32"/>
      <c r="E4448" s="32"/>
      <c r="F4448" s="32"/>
      <c r="G4448" s="33"/>
      <c r="H4448" s="33"/>
      <c r="I4448" s="34" t="str">
        <f aca="false">IF($A4448="","",$G4448-$H4448)</f>
        <v/>
      </c>
      <c r="J4448" s="35" t="str">
        <f aca="false">IF($A4448="","",IF(Setup!$B$6=1,YEAR($A4448),YEAR($A4448)+IF(MONTH($A4448)&gt;=Setup!$B$6,1,0)))</f>
        <v/>
      </c>
      <c r="K4448" s="35" t="str">
        <f aca="false">IF($A4448="","",MOD(MONTH($A4448)-Setup!$B$6+12,12)+1)</f>
        <v/>
      </c>
      <c r="L4448" s="36" t="str">
        <f aca="false">IF($A4448="","",TEXT($A4448,"MMM-YY"))</f>
        <v/>
      </c>
      <c r="M4448" s="37" t="str">
        <f aca="false">IF($A4448="","",IF($Q4448=0,"UNMAPPED",INDEX(COA_Mapping!$C$7:$C$256,$Q4448)))</f>
        <v/>
      </c>
      <c r="N4448" s="38" t="str">
        <f aca="false">IF($A4448="","",IF($Q4448=0,"",INDEX(COA_Mapping!$E$7:$E$256,$Q4448)))</f>
        <v/>
      </c>
      <c r="O4448" s="38" t="n">
        <f aca="false">IF($A4448="",1,IF($Q4448=0,1,INDEX(COA_Mapping!$F$7:$F$256,$Q4448)))</f>
        <v>1</v>
      </c>
      <c r="P4448" s="34" t="str">
        <f aca="false">IF($A4448="","",$I4448*$O4448)</f>
        <v/>
      </c>
      <c r="Q4448" s="39" t="n">
        <f aca="false">IF($B4448="",0,IFERROR(MATCH($B4448,COA_Mapping!$A$7:$A$256,0),0))</f>
        <v>0</v>
      </c>
      <c r="R4448" s="39" t="n">
        <f aca="false">IF($A4448="",-1,IF($J4448=Setup!$B$7,1,IF($J4448=Setup!$B$9,0,-1)))</f>
        <v>-1</v>
      </c>
      <c r="S4448" s="35" t="n">
        <f aca="false">IF(OR($A4448="",$Q4448=0,$R4448=-1),0,$Q4448*1000+$R4448*100+$K4448)</f>
        <v>0</v>
      </c>
      <c r="T4448" s="37" t="str">
        <f aca="false">IF($A4448="","",IF($B4448="","NO ACCOUNT",IF($Q4448=0,"UNMAPPED",IF($R4448=-1,"OUTSIDE FY RANGE","OK"))))</f>
        <v/>
      </c>
      <c r="U4448" s="40" t="str">
        <f aca="false">IF($A4448="","",$B4448&amp;"|"&amp;TEXT($A4448,"yyyymmdd")&amp;"|"&amp;TEXT($I4448,"0.00"))</f>
        <v/>
      </c>
      <c r="V4448" s="35" t="str">
        <f aca="false">IF($A4448="","",COUNTIF($U$8:$U$5007,$U4448))</f>
        <v/>
      </c>
    </row>
    <row r="4449" customFormat="false" ht="15" hidden="false" customHeight="false" outlineLevel="0" collapsed="false">
      <c r="A4449" s="31"/>
      <c r="B4449" s="32"/>
      <c r="C4449" s="32"/>
      <c r="D4449" s="32"/>
      <c r="E4449" s="32"/>
      <c r="F4449" s="32"/>
      <c r="G4449" s="33"/>
      <c r="H4449" s="33"/>
      <c r="I4449" s="34" t="str">
        <f aca="false">IF($A4449="","",$G4449-$H4449)</f>
        <v/>
      </c>
      <c r="J4449" s="35" t="str">
        <f aca="false">IF($A4449="","",IF(Setup!$B$6=1,YEAR($A4449),YEAR($A4449)+IF(MONTH($A4449)&gt;=Setup!$B$6,1,0)))</f>
        <v/>
      </c>
      <c r="K4449" s="35" t="str">
        <f aca="false">IF($A4449="","",MOD(MONTH($A4449)-Setup!$B$6+12,12)+1)</f>
        <v/>
      </c>
      <c r="L4449" s="36" t="str">
        <f aca="false">IF($A4449="","",TEXT($A4449,"MMM-YY"))</f>
        <v/>
      </c>
      <c r="M4449" s="37" t="str">
        <f aca="false">IF($A4449="","",IF($Q4449=0,"UNMAPPED",INDEX(COA_Mapping!$C$7:$C$256,$Q4449)))</f>
        <v/>
      </c>
      <c r="N4449" s="38" t="str">
        <f aca="false">IF($A4449="","",IF($Q4449=0,"",INDEX(COA_Mapping!$E$7:$E$256,$Q4449)))</f>
        <v/>
      </c>
      <c r="O4449" s="38" t="n">
        <f aca="false">IF($A4449="",1,IF($Q4449=0,1,INDEX(COA_Mapping!$F$7:$F$256,$Q4449)))</f>
        <v>1</v>
      </c>
      <c r="P4449" s="34" t="str">
        <f aca="false">IF($A4449="","",$I4449*$O4449)</f>
        <v/>
      </c>
      <c r="Q4449" s="39" t="n">
        <f aca="false">IF($B4449="",0,IFERROR(MATCH($B4449,COA_Mapping!$A$7:$A$256,0),0))</f>
        <v>0</v>
      </c>
      <c r="R4449" s="39" t="n">
        <f aca="false">IF($A4449="",-1,IF($J4449=Setup!$B$7,1,IF($J4449=Setup!$B$9,0,-1)))</f>
        <v>-1</v>
      </c>
      <c r="S4449" s="35" t="n">
        <f aca="false">IF(OR($A4449="",$Q4449=0,$R4449=-1),0,$Q4449*1000+$R4449*100+$K4449)</f>
        <v>0</v>
      </c>
      <c r="T4449" s="37" t="str">
        <f aca="false">IF($A4449="","",IF($B4449="","NO ACCOUNT",IF($Q4449=0,"UNMAPPED",IF($R4449=-1,"OUTSIDE FY RANGE","OK"))))</f>
        <v/>
      </c>
      <c r="U4449" s="40" t="str">
        <f aca="false">IF($A4449="","",$B4449&amp;"|"&amp;TEXT($A4449,"yyyymmdd")&amp;"|"&amp;TEXT($I4449,"0.00"))</f>
        <v/>
      </c>
      <c r="V4449" s="35" t="str">
        <f aca="false">IF($A4449="","",COUNTIF($U$8:$U$5007,$U4449))</f>
        <v/>
      </c>
    </row>
    <row r="4450" customFormat="false" ht="15" hidden="false" customHeight="false" outlineLevel="0" collapsed="false">
      <c r="A4450" s="31"/>
      <c r="B4450" s="32"/>
      <c r="C4450" s="32"/>
      <c r="D4450" s="32"/>
      <c r="E4450" s="32"/>
      <c r="F4450" s="32"/>
      <c r="G4450" s="33"/>
      <c r="H4450" s="33"/>
      <c r="I4450" s="34" t="str">
        <f aca="false">IF($A4450="","",$G4450-$H4450)</f>
        <v/>
      </c>
      <c r="J4450" s="35" t="str">
        <f aca="false">IF($A4450="","",IF(Setup!$B$6=1,YEAR($A4450),YEAR($A4450)+IF(MONTH($A4450)&gt;=Setup!$B$6,1,0)))</f>
        <v/>
      </c>
      <c r="K4450" s="35" t="str">
        <f aca="false">IF($A4450="","",MOD(MONTH($A4450)-Setup!$B$6+12,12)+1)</f>
        <v/>
      </c>
      <c r="L4450" s="36" t="str">
        <f aca="false">IF($A4450="","",TEXT($A4450,"MMM-YY"))</f>
        <v/>
      </c>
      <c r="M4450" s="37" t="str">
        <f aca="false">IF($A4450="","",IF($Q4450=0,"UNMAPPED",INDEX(COA_Mapping!$C$7:$C$256,$Q4450)))</f>
        <v/>
      </c>
      <c r="N4450" s="38" t="str">
        <f aca="false">IF($A4450="","",IF($Q4450=0,"",INDEX(COA_Mapping!$E$7:$E$256,$Q4450)))</f>
        <v/>
      </c>
      <c r="O4450" s="38" t="n">
        <f aca="false">IF($A4450="",1,IF($Q4450=0,1,INDEX(COA_Mapping!$F$7:$F$256,$Q4450)))</f>
        <v>1</v>
      </c>
      <c r="P4450" s="34" t="str">
        <f aca="false">IF($A4450="","",$I4450*$O4450)</f>
        <v/>
      </c>
      <c r="Q4450" s="39" t="n">
        <f aca="false">IF($B4450="",0,IFERROR(MATCH($B4450,COA_Mapping!$A$7:$A$256,0),0))</f>
        <v>0</v>
      </c>
      <c r="R4450" s="39" t="n">
        <f aca="false">IF($A4450="",-1,IF($J4450=Setup!$B$7,1,IF($J4450=Setup!$B$9,0,-1)))</f>
        <v>-1</v>
      </c>
      <c r="S4450" s="35" t="n">
        <f aca="false">IF(OR($A4450="",$Q4450=0,$R4450=-1),0,$Q4450*1000+$R4450*100+$K4450)</f>
        <v>0</v>
      </c>
      <c r="T4450" s="37" t="str">
        <f aca="false">IF($A4450="","",IF($B4450="","NO ACCOUNT",IF($Q4450=0,"UNMAPPED",IF($R4450=-1,"OUTSIDE FY RANGE","OK"))))</f>
        <v/>
      </c>
      <c r="U4450" s="40" t="str">
        <f aca="false">IF($A4450="","",$B4450&amp;"|"&amp;TEXT($A4450,"yyyymmdd")&amp;"|"&amp;TEXT($I4450,"0.00"))</f>
        <v/>
      </c>
      <c r="V4450" s="35" t="str">
        <f aca="false">IF($A4450="","",COUNTIF($U$8:$U$5007,$U4450))</f>
        <v/>
      </c>
    </row>
    <row r="4451" customFormat="false" ht="15" hidden="false" customHeight="false" outlineLevel="0" collapsed="false">
      <c r="A4451" s="31"/>
      <c r="B4451" s="32"/>
      <c r="C4451" s="32"/>
      <c r="D4451" s="32"/>
      <c r="E4451" s="32"/>
      <c r="F4451" s="32"/>
      <c r="G4451" s="33"/>
      <c r="H4451" s="33"/>
      <c r="I4451" s="34" t="str">
        <f aca="false">IF($A4451="","",$G4451-$H4451)</f>
        <v/>
      </c>
      <c r="J4451" s="35" t="str">
        <f aca="false">IF($A4451="","",IF(Setup!$B$6=1,YEAR($A4451),YEAR($A4451)+IF(MONTH($A4451)&gt;=Setup!$B$6,1,0)))</f>
        <v/>
      </c>
      <c r="K4451" s="35" t="str">
        <f aca="false">IF($A4451="","",MOD(MONTH($A4451)-Setup!$B$6+12,12)+1)</f>
        <v/>
      </c>
      <c r="L4451" s="36" t="str">
        <f aca="false">IF($A4451="","",TEXT($A4451,"MMM-YY"))</f>
        <v/>
      </c>
      <c r="M4451" s="37" t="str">
        <f aca="false">IF($A4451="","",IF($Q4451=0,"UNMAPPED",INDEX(COA_Mapping!$C$7:$C$256,$Q4451)))</f>
        <v/>
      </c>
      <c r="N4451" s="38" t="str">
        <f aca="false">IF($A4451="","",IF($Q4451=0,"",INDEX(COA_Mapping!$E$7:$E$256,$Q4451)))</f>
        <v/>
      </c>
      <c r="O4451" s="38" t="n">
        <f aca="false">IF($A4451="",1,IF($Q4451=0,1,INDEX(COA_Mapping!$F$7:$F$256,$Q4451)))</f>
        <v>1</v>
      </c>
      <c r="P4451" s="34" t="str">
        <f aca="false">IF($A4451="","",$I4451*$O4451)</f>
        <v/>
      </c>
      <c r="Q4451" s="39" t="n">
        <f aca="false">IF($B4451="",0,IFERROR(MATCH($B4451,COA_Mapping!$A$7:$A$256,0),0))</f>
        <v>0</v>
      </c>
      <c r="R4451" s="39" t="n">
        <f aca="false">IF($A4451="",-1,IF($J4451=Setup!$B$7,1,IF($J4451=Setup!$B$9,0,-1)))</f>
        <v>-1</v>
      </c>
      <c r="S4451" s="35" t="n">
        <f aca="false">IF(OR($A4451="",$Q4451=0,$R4451=-1),0,$Q4451*1000+$R4451*100+$K4451)</f>
        <v>0</v>
      </c>
      <c r="T4451" s="37" t="str">
        <f aca="false">IF($A4451="","",IF($B4451="","NO ACCOUNT",IF($Q4451=0,"UNMAPPED",IF($R4451=-1,"OUTSIDE FY RANGE","OK"))))</f>
        <v/>
      </c>
      <c r="U4451" s="40" t="str">
        <f aca="false">IF($A4451="","",$B4451&amp;"|"&amp;TEXT($A4451,"yyyymmdd")&amp;"|"&amp;TEXT($I4451,"0.00"))</f>
        <v/>
      </c>
      <c r="V4451" s="35" t="str">
        <f aca="false">IF($A4451="","",COUNTIF($U$8:$U$5007,$U4451))</f>
        <v/>
      </c>
    </row>
    <row r="4452" customFormat="false" ht="15" hidden="false" customHeight="false" outlineLevel="0" collapsed="false">
      <c r="A4452" s="31"/>
      <c r="B4452" s="32"/>
      <c r="C4452" s="32"/>
      <c r="D4452" s="32"/>
      <c r="E4452" s="32"/>
      <c r="F4452" s="32"/>
      <c r="G4452" s="33"/>
      <c r="H4452" s="33"/>
      <c r="I4452" s="34" t="str">
        <f aca="false">IF($A4452="","",$G4452-$H4452)</f>
        <v/>
      </c>
      <c r="J4452" s="35" t="str">
        <f aca="false">IF($A4452="","",IF(Setup!$B$6=1,YEAR($A4452),YEAR($A4452)+IF(MONTH($A4452)&gt;=Setup!$B$6,1,0)))</f>
        <v/>
      </c>
      <c r="K4452" s="35" t="str">
        <f aca="false">IF($A4452="","",MOD(MONTH($A4452)-Setup!$B$6+12,12)+1)</f>
        <v/>
      </c>
      <c r="L4452" s="36" t="str">
        <f aca="false">IF($A4452="","",TEXT($A4452,"MMM-YY"))</f>
        <v/>
      </c>
      <c r="M4452" s="37" t="str">
        <f aca="false">IF($A4452="","",IF($Q4452=0,"UNMAPPED",INDEX(COA_Mapping!$C$7:$C$256,$Q4452)))</f>
        <v/>
      </c>
      <c r="N4452" s="38" t="str">
        <f aca="false">IF($A4452="","",IF($Q4452=0,"",INDEX(COA_Mapping!$E$7:$E$256,$Q4452)))</f>
        <v/>
      </c>
      <c r="O4452" s="38" t="n">
        <f aca="false">IF($A4452="",1,IF($Q4452=0,1,INDEX(COA_Mapping!$F$7:$F$256,$Q4452)))</f>
        <v>1</v>
      </c>
      <c r="P4452" s="34" t="str">
        <f aca="false">IF($A4452="","",$I4452*$O4452)</f>
        <v/>
      </c>
      <c r="Q4452" s="39" t="n">
        <f aca="false">IF($B4452="",0,IFERROR(MATCH($B4452,COA_Mapping!$A$7:$A$256,0),0))</f>
        <v>0</v>
      </c>
      <c r="R4452" s="39" t="n">
        <f aca="false">IF($A4452="",-1,IF($J4452=Setup!$B$7,1,IF($J4452=Setup!$B$9,0,-1)))</f>
        <v>-1</v>
      </c>
      <c r="S4452" s="35" t="n">
        <f aca="false">IF(OR($A4452="",$Q4452=0,$R4452=-1),0,$Q4452*1000+$R4452*100+$K4452)</f>
        <v>0</v>
      </c>
      <c r="T4452" s="37" t="str">
        <f aca="false">IF($A4452="","",IF($B4452="","NO ACCOUNT",IF($Q4452=0,"UNMAPPED",IF($R4452=-1,"OUTSIDE FY RANGE","OK"))))</f>
        <v/>
      </c>
      <c r="U4452" s="40" t="str">
        <f aca="false">IF($A4452="","",$B4452&amp;"|"&amp;TEXT($A4452,"yyyymmdd")&amp;"|"&amp;TEXT($I4452,"0.00"))</f>
        <v/>
      </c>
      <c r="V4452" s="35" t="str">
        <f aca="false">IF($A4452="","",COUNTIF($U$8:$U$5007,$U4452))</f>
        <v/>
      </c>
    </row>
    <row r="4453" customFormat="false" ht="15" hidden="false" customHeight="false" outlineLevel="0" collapsed="false">
      <c r="A4453" s="31"/>
      <c r="B4453" s="32"/>
      <c r="C4453" s="32"/>
      <c r="D4453" s="32"/>
      <c r="E4453" s="32"/>
      <c r="F4453" s="32"/>
      <c r="G4453" s="33"/>
      <c r="H4453" s="33"/>
      <c r="I4453" s="34" t="str">
        <f aca="false">IF($A4453="","",$G4453-$H4453)</f>
        <v/>
      </c>
      <c r="J4453" s="35" t="str">
        <f aca="false">IF($A4453="","",IF(Setup!$B$6=1,YEAR($A4453),YEAR($A4453)+IF(MONTH($A4453)&gt;=Setup!$B$6,1,0)))</f>
        <v/>
      </c>
      <c r="K4453" s="35" t="str">
        <f aca="false">IF($A4453="","",MOD(MONTH($A4453)-Setup!$B$6+12,12)+1)</f>
        <v/>
      </c>
      <c r="L4453" s="36" t="str">
        <f aca="false">IF($A4453="","",TEXT($A4453,"MMM-YY"))</f>
        <v/>
      </c>
      <c r="M4453" s="37" t="str">
        <f aca="false">IF($A4453="","",IF($Q4453=0,"UNMAPPED",INDEX(COA_Mapping!$C$7:$C$256,$Q4453)))</f>
        <v/>
      </c>
      <c r="N4453" s="38" t="str">
        <f aca="false">IF($A4453="","",IF($Q4453=0,"",INDEX(COA_Mapping!$E$7:$E$256,$Q4453)))</f>
        <v/>
      </c>
      <c r="O4453" s="38" t="n">
        <f aca="false">IF($A4453="",1,IF($Q4453=0,1,INDEX(COA_Mapping!$F$7:$F$256,$Q4453)))</f>
        <v>1</v>
      </c>
      <c r="P4453" s="34" t="str">
        <f aca="false">IF($A4453="","",$I4453*$O4453)</f>
        <v/>
      </c>
      <c r="Q4453" s="39" t="n">
        <f aca="false">IF($B4453="",0,IFERROR(MATCH($B4453,COA_Mapping!$A$7:$A$256,0),0))</f>
        <v>0</v>
      </c>
      <c r="R4453" s="39" t="n">
        <f aca="false">IF($A4453="",-1,IF($J4453=Setup!$B$7,1,IF($J4453=Setup!$B$9,0,-1)))</f>
        <v>-1</v>
      </c>
      <c r="S4453" s="35" t="n">
        <f aca="false">IF(OR($A4453="",$Q4453=0,$R4453=-1),0,$Q4453*1000+$R4453*100+$K4453)</f>
        <v>0</v>
      </c>
      <c r="T4453" s="37" t="str">
        <f aca="false">IF($A4453="","",IF($B4453="","NO ACCOUNT",IF($Q4453=0,"UNMAPPED",IF($R4453=-1,"OUTSIDE FY RANGE","OK"))))</f>
        <v/>
      </c>
      <c r="U4453" s="40" t="str">
        <f aca="false">IF($A4453="","",$B4453&amp;"|"&amp;TEXT($A4453,"yyyymmdd")&amp;"|"&amp;TEXT($I4453,"0.00"))</f>
        <v/>
      </c>
      <c r="V4453" s="35" t="str">
        <f aca="false">IF($A4453="","",COUNTIF($U$8:$U$5007,$U4453))</f>
        <v/>
      </c>
    </row>
    <row r="4454" customFormat="false" ht="15" hidden="false" customHeight="false" outlineLevel="0" collapsed="false">
      <c r="A4454" s="31"/>
      <c r="B4454" s="32"/>
      <c r="C4454" s="32"/>
      <c r="D4454" s="32"/>
      <c r="E4454" s="32"/>
      <c r="F4454" s="32"/>
      <c r="G4454" s="33"/>
      <c r="H4454" s="33"/>
      <c r="I4454" s="34" t="str">
        <f aca="false">IF($A4454="","",$G4454-$H4454)</f>
        <v/>
      </c>
      <c r="J4454" s="35" t="str">
        <f aca="false">IF($A4454="","",IF(Setup!$B$6=1,YEAR($A4454),YEAR($A4454)+IF(MONTH($A4454)&gt;=Setup!$B$6,1,0)))</f>
        <v/>
      </c>
      <c r="K4454" s="35" t="str">
        <f aca="false">IF($A4454="","",MOD(MONTH($A4454)-Setup!$B$6+12,12)+1)</f>
        <v/>
      </c>
      <c r="L4454" s="36" t="str">
        <f aca="false">IF($A4454="","",TEXT($A4454,"MMM-YY"))</f>
        <v/>
      </c>
      <c r="M4454" s="37" t="str">
        <f aca="false">IF($A4454="","",IF($Q4454=0,"UNMAPPED",INDEX(COA_Mapping!$C$7:$C$256,$Q4454)))</f>
        <v/>
      </c>
      <c r="N4454" s="38" t="str">
        <f aca="false">IF($A4454="","",IF($Q4454=0,"",INDEX(COA_Mapping!$E$7:$E$256,$Q4454)))</f>
        <v/>
      </c>
      <c r="O4454" s="38" t="n">
        <f aca="false">IF($A4454="",1,IF($Q4454=0,1,INDEX(COA_Mapping!$F$7:$F$256,$Q4454)))</f>
        <v>1</v>
      </c>
      <c r="P4454" s="34" t="str">
        <f aca="false">IF($A4454="","",$I4454*$O4454)</f>
        <v/>
      </c>
      <c r="Q4454" s="39" t="n">
        <f aca="false">IF($B4454="",0,IFERROR(MATCH($B4454,COA_Mapping!$A$7:$A$256,0),0))</f>
        <v>0</v>
      </c>
      <c r="R4454" s="39" t="n">
        <f aca="false">IF($A4454="",-1,IF($J4454=Setup!$B$7,1,IF($J4454=Setup!$B$9,0,-1)))</f>
        <v>-1</v>
      </c>
      <c r="S4454" s="35" t="n">
        <f aca="false">IF(OR($A4454="",$Q4454=0,$R4454=-1),0,$Q4454*1000+$R4454*100+$K4454)</f>
        <v>0</v>
      </c>
      <c r="T4454" s="37" t="str">
        <f aca="false">IF($A4454="","",IF($B4454="","NO ACCOUNT",IF($Q4454=0,"UNMAPPED",IF($R4454=-1,"OUTSIDE FY RANGE","OK"))))</f>
        <v/>
      </c>
      <c r="U4454" s="40" t="str">
        <f aca="false">IF($A4454="","",$B4454&amp;"|"&amp;TEXT($A4454,"yyyymmdd")&amp;"|"&amp;TEXT($I4454,"0.00"))</f>
        <v/>
      </c>
      <c r="V4454" s="35" t="str">
        <f aca="false">IF($A4454="","",COUNTIF($U$8:$U$5007,$U4454))</f>
        <v/>
      </c>
    </row>
    <row r="4455" customFormat="false" ht="15" hidden="false" customHeight="false" outlineLevel="0" collapsed="false">
      <c r="A4455" s="31"/>
      <c r="B4455" s="32"/>
      <c r="C4455" s="32"/>
      <c r="D4455" s="32"/>
      <c r="E4455" s="32"/>
      <c r="F4455" s="32"/>
      <c r="G4455" s="33"/>
      <c r="H4455" s="33"/>
      <c r="I4455" s="34" t="str">
        <f aca="false">IF($A4455="","",$G4455-$H4455)</f>
        <v/>
      </c>
      <c r="J4455" s="35" t="str">
        <f aca="false">IF($A4455="","",IF(Setup!$B$6=1,YEAR($A4455),YEAR($A4455)+IF(MONTH($A4455)&gt;=Setup!$B$6,1,0)))</f>
        <v/>
      </c>
      <c r="K4455" s="35" t="str">
        <f aca="false">IF($A4455="","",MOD(MONTH($A4455)-Setup!$B$6+12,12)+1)</f>
        <v/>
      </c>
      <c r="L4455" s="36" t="str">
        <f aca="false">IF($A4455="","",TEXT($A4455,"MMM-YY"))</f>
        <v/>
      </c>
      <c r="M4455" s="37" t="str">
        <f aca="false">IF($A4455="","",IF($Q4455=0,"UNMAPPED",INDEX(COA_Mapping!$C$7:$C$256,$Q4455)))</f>
        <v/>
      </c>
      <c r="N4455" s="38" t="str">
        <f aca="false">IF($A4455="","",IF($Q4455=0,"",INDEX(COA_Mapping!$E$7:$E$256,$Q4455)))</f>
        <v/>
      </c>
      <c r="O4455" s="38" t="n">
        <f aca="false">IF($A4455="",1,IF($Q4455=0,1,INDEX(COA_Mapping!$F$7:$F$256,$Q4455)))</f>
        <v>1</v>
      </c>
      <c r="P4455" s="34" t="str">
        <f aca="false">IF($A4455="","",$I4455*$O4455)</f>
        <v/>
      </c>
      <c r="Q4455" s="39" t="n">
        <f aca="false">IF($B4455="",0,IFERROR(MATCH($B4455,COA_Mapping!$A$7:$A$256,0),0))</f>
        <v>0</v>
      </c>
      <c r="R4455" s="39" t="n">
        <f aca="false">IF($A4455="",-1,IF($J4455=Setup!$B$7,1,IF($J4455=Setup!$B$9,0,-1)))</f>
        <v>-1</v>
      </c>
      <c r="S4455" s="35" t="n">
        <f aca="false">IF(OR($A4455="",$Q4455=0,$R4455=-1),0,$Q4455*1000+$R4455*100+$K4455)</f>
        <v>0</v>
      </c>
      <c r="T4455" s="37" t="str">
        <f aca="false">IF($A4455="","",IF($B4455="","NO ACCOUNT",IF($Q4455=0,"UNMAPPED",IF($R4455=-1,"OUTSIDE FY RANGE","OK"))))</f>
        <v/>
      </c>
      <c r="U4455" s="40" t="str">
        <f aca="false">IF($A4455="","",$B4455&amp;"|"&amp;TEXT($A4455,"yyyymmdd")&amp;"|"&amp;TEXT($I4455,"0.00"))</f>
        <v/>
      </c>
      <c r="V4455" s="35" t="str">
        <f aca="false">IF($A4455="","",COUNTIF($U$8:$U$5007,$U4455))</f>
        <v/>
      </c>
    </row>
    <row r="4456" customFormat="false" ht="15" hidden="false" customHeight="false" outlineLevel="0" collapsed="false">
      <c r="A4456" s="31"/>
      <c r="B4456" s="32"/>
      <c r="C4456" s="32"/>
      <c r="D4456" s="32"/>
      <c r="E4456" s="32"/>
      <c r="F4456" s="32"/>
      <c r="G4456" s="33"/>
      <c r="H4456" s="33"/>
      <c r="I4456" s="34" t="str">
        <f aca="false">IF($A4456="","",$G4456-$H4456)</f>
        <v/>
      </c>
      <c r="J4456" s="35" t="str">
        <f aca="false">IF($A4456="","",IF(Setup!$B$6=1,YEAR($A4456),YEAR($A4456)+IF(MONTH($A4456)&gt;=Setup!$B$6,1,0)))</f>
        <v/>
      </c>
      <c r="K4456" s="35" t="str">
        <f aca="false">IF($A4456="","",MOD(MONTH($A4456)-Setup!$B$6+12,12)+1)</f>
        <v/>
      </c>
      <c r="L4456" s="36" t="str">
        <f aca="false">IF($A4456="","",TEXT($A4456,"MMM-YY"))</f>
        <v/>
      </c>
      <c r="M4456" s="37" t="str">
        <f aca="false">IF($A4456="","",IF($Q4456=0,"UNMAPPED",INDEX(COA_Mapping!$C$7:$C$256,$Q4456)))</f>
        <v/>
      </c>
      <c r="N4456" s="38" t="str">
        <f aca="false">IF($A4456="","",IF($Q4456=0,"",INDEX(COA_Mapping!$E$7:$E$256,$Q4456)))</f>
        <v/>
      </c>
      <c r="O4456" s="38" t="n">
        <f aca="false">IF($A4456="",1,IF($Q4456=0,1,INDEX(COA_Mapping!$F$7:$F$256,$Q4456)))</f>
        <v>1</v>
      </c>
      <c r="P4456" s="34" t="str">
        <f aca="false">IF($A4456="","",$I4456*$O4456)</f>
        <v/>
      </c>
      <c r="Q4456" s="39" t="n">
        <f aca="false">IF($B4456="",0,IFERROR(MATCH($B4456,COA_Mapping!$A$7:$A$256,0),0))</f>
        <v>0</v>
      </c>
      <c r="R4456" s="39" t="n">
        <f aca="false">IF($A4456="",-1,IF($J4456=Setup!$B$7,1,IF($J4456=Setup!$B$9,0,-1)))</f>
        <v>-1</v>
      </c>
      <c r="S4456" s="35" t="n">
        <f aca="false">IF(OR($A4456="",$Q4456=0,$R4456=-1),0,$Q4456*1000+$R4456*100+$K4456)</f>
        <v>0</v>
      </c>
      <c r="T4456" s="37" t="str">
        <f aca="false">IF($A4456="","",IF($B4456="","NO ACCOUNT",IF($Q4456=0,"UNMAPPED",IF($R4456=-1,"OUTSIDE FY RANGE","OK"))))</f>
        <v/>
      </c>
      <c r="U4456" s="40" t="str">
        <f aca="false">IF($A4456="","",$B4456&amp;"|"&amp;TEXT($A4456,"yyyymmdd")&amp;"|"&amp;TEXT($I4456,"0.00"))</f>
        <v/>
      </c>
      <c r="V4456" s="35" t="str">
        <f aca="false">IF($A4456="","",COUNTIF($U$8:$U$5007,$U4456))</f>
        <v/>
      </c>
    </row>
    <row r="4457" customFormat="false" ht="15" hidden="false" customHeight="false" outlineLevel="0" collapsed="false">
      <c r="A4457" s="31"/>
      <c r="B4457" s="32"/>
      <c r="C4457" s="32"/>
      <c r="D4457" s="32"/>
      <c r="E4457" s="32"/>
      <c r="F4457" s="32"/>
      <c r="G4457" s="33"/>
      <c r="H4457" s="33"/>
      <c r="I4457" s="34" t="str">
        <f aca="false">IF($A4457="","",$G4457-$H4457)</f>
        <v/>
      </c>
      <c r="J4457" s="35" t="str">
        <f aca="false">IF($A4457="","",IF(Setup!$B$6=1,YEAR($A4457),YEAR($A4457)+IF(MONTH($A4457)&gt;=Setup!$B$6,1,0)))</f>
        <v/>
      </c>
      <c r="K4457" s="35" t="str">
        <f aca="false">IF($A4457="","",MOD(MONTH($A4457)-Setup!$B$6+12,12)+1)</f>
        <v/>
      </c>
      <c r="L4457" s="36" t="str">
        <f aca="false">IF($A4457="","",TEXT($A4457,"MMM-YY"))</f>
        <v/>
      </c>
      <c r="M4457" s="37" t="str">
        <f aca="false">IF($A4457="","",IF($Q4457=0,"UNMAPPED",INDEX(COA_Mapping!$C$7:$C$256,$Q4457)))</f>
        <v/>
      </c>
      <c r="N4457" s="38" t="str">
        <f aca="false">IF($A4457="","",IF($Q4457=0,"",INDEX(COA_Mapping!$E$7:$E$256,$Q4457)))</f>
        <v/>
      </c>
      <c r="O4457" s="38" t="n">
        <f aca="false">IF($A4457="",1,IF($Q4457=0,1,INDEX(COA_Mapping!$F$7:$F$256,$Q4457)))</f>
        <v>1</v>
      </c>
      <c r="P4457" s="34" t="str">
        <f aca="false">IF($A4457="","",$I4457*$O4457)</f>
        <v/>
      </c>
      <c r="Q4457" s="39" t="n">
        <f aca="false">IF($B4457="",0,IFERROR(MATCH($B4457,COA_Mapping!$A$7:$A$256,0),0))</f>
        <v>0</v>
      </c>
      <c r="R4457" s="39" t="n">
        <f aca="false">IF($A4457="",-1,IF($J4457=Setup!$B$7,1,IF($J4457=Setup!$B$9,0,-1)))</f>
        <v>-1</v>
      </c>
      <c r="S4457" s="35" t="n">
        <f aca="false">IF(OR($A4457="",$Q4457=0,$R4457=-1),0,$Q4457*1000+$R4457*100+$K4457)</f>
        <v>0</v>
      </c>
      <c r="T4457" s="37" t="str">
        <f aca="false">IF($A4457="","",IF($B4457="","NO ACCOUNT",IF($Q4457=0,"UNMAPPED",IF($R4457=-1,"OUTSIDE FY RANGE","OK"))))</f>
        <v/>
      </c>
      <c r="U4457" s="40" t="str">
        <f aca="false">IF($A4457="","",$B4457&amp;"|"&amp;TEXT($A4457,"yyyymmdd")&amp;"|"&amp;TEXT($I4457,"0.00"))</f>
        <v/>
      </c>
      <c r="V4457" s="35" t="str">
        <f aca="false">IF($A4457="","",COUNTIF($U$8:$U$5007,$U4457))</f>
        <v/>
      </c>
    </row>
    <row r="4458" customFormat="false" ht="15" hidden="false" customHeight="false" outlineLevel="0" collapsed="false">
      <c r="A4458" s="31"/>
      <c r="B4458" s="32"/>
      <c r="C4458" s="32"/>
      <c r="D4458" s="32"/>
      <c r="E4458" s="32"/>
      <c r="F4458" s="32"/>
      <c r="G4458" s="33"/>
      <c r="H4458" s="33"/>
      <c r="I4458" s="34" t="str">
        <f aca="false">IF($A4458="","",$G4458-$H4458)</f>
        <v/>
      </c>
      <c r="J4458" s="35" t="str">
        <f aca="false">IF($A4458="","",IF(Setup!$B$6=1,YEAR($A4458),YEAR($A4458)+IF(MONTH($A4458)&gt;=Setup!$B$6,1,0)))</f>
        <v/>
      </c>
      <c r="K4458" s="35" t="str">
        <f aca="false">IF($A4458="","",MOD(MONTH($A4458)-Setup!$B$6+12,12)+1)</f>
        <v/>
      </c>
      <c r="L4458" s="36" t="str">
        <f aca="false">IF($A4458="","",TEXT($A4458,"MMM-YY"))</f>
        <v/>
      </c>
      <c r="M4458" s="37" t="str">
        <f aca="false">IF($A4458="","",IF($Q4458=0,"UNMAPPED",INDEX(COA_Mapping!$C$7:$C$256,$Q4458)))</f>
        <v/>
      </c>
      <c r="N4458" s="38" t="str">
        <f aca="false">IF($A4458="","",IF($Q4458=0,"",INDEX(COA_Mapping!$E$7:$E$256,$Q4458)))</f>
        <v/>
      </c>
      <c r="O4458" s="38" t="n">
        <f aca="false">IF($A4458="",1,IF($Q4458=0,1,INDEX(COA_Mapping!$F$7:$F$256,$Q4458)))</f>
        <v>1</v>
      </c>
      <c r="P4458" s="34" t="str">
        <f aca="false">IF($A4458="","",$I4458*$O4458)</f>
        <v/>
      </c>
      <c r="Q4458" s="39" t="n">
        <f aca="false">IF($B4458="",0,IFERROR(MATCH($B4458,COA_Mapping!$A$7:$A$256,0),0))</f>
        <v>0</v>
      </c>
      <c r="R4458" s="39" t="n">
        <f aca="false">IF($A4458="",-1,IF($J4458=Setup!$B$7,1,IF($J4458=Setup!$B$9,0,-1)))</f>
        <v>-1</v>
      </c>
      <c r="S4458" s="35" t="n">
        <f aca="false">IF(OR($A4458="",$Q4458=0,$R4458=-1),0,$Q4458*1000+$R4458*100+$K4458)</f>
        <v>0</v>
      </c>
      <c r="T4458" s="37" t="str">
        <f aca="false">IF($A4458="","",IF($B4458="","NO ACCOUNT",IF($Q4458=0,"UNMAPPED",IF($R4458=-1,"OUTSIDE FY RANGE","OK"))))</f>
        <v/>
      </c>
      <c r="U4458" s="40" t="str">
        <f aca="false">IF($A4458="","",$B4458&amp;"|"&amp;TEXT($A4458,"yyyymmdd")&amp;"|"&amp;TEXT($I4458,"0.00"))</f>
        <v/>
      </c>
      <c r="V4458" s="35" t="str">
        <f aca="false">IF($A4458="","",COUNTIF($U$8:$U$5007,$U4458))</f>
        <v/>
      </c>
    </row>
    <row r="4459" customFormat="false" ht="15" hidden="false" customHeight="false" outlineLevel="0" collapsed="false">
      <c r="A4459" s="31"/>
      <c r="B4459" s="32"/>
      <c r="C4459" s="32"/>
      <c r="D4459" s="32"/>
      <c r="E4459" s="32"/>
      <c r="F4459" s="32"/>
      <c r="G4459" s="33"/>
      <c r="H4459" s="33"/>
      <c r="I4459" s="34" t="str">
        <f aca="false">IF($A4459="","",$G4459-$H4459)</f>
        <v/>
      </c>
      <c r="J4459" s="35" t="str">
        <f aca="false">IF($A4459="","",IF(Setup!$B$6=1,YEAR($A4459),YEAR($A4459)+IF(MONTH($A4459)&gt;=Setup!$B$6,1,0)))</f>
        <v/>
      </c>
      <c r="K4459" s="35" t="str">
        <f aca="false">IF($A4459="","",MOD(MONTH($A4459)-Setup!$B$6+12,12)+1)</f>
        <v/>
      </c>
      <c r="L4459" s="36" t="str">
        <f aca="false">IF($A4459="","",TEXT($A4459,"MMM-YY"))</f>
        <v/>
      </c>
      <c r="M4459" s="37" t="str">
        <f aca="false">IF($A4459="","",IF($Q4459=0,"UNMAPPED",INDEX(COA_Mapping!$C$7:$C$256,$Q4459)))</f>
        <v/>
      </c>
      <c r="N4459" s="38" t="str">
        <f aca="false">IF($A4459="","",IF($Q4459=0,"",INDEX(COA_Mapping!$E$7:$E$256,$Q4459)))</f>
        <v/>
      </c>
      <c r="O4459" s="38" t="n">
        <f aca="false">IF($A4459="",1,IF($Q4459=0,1,INDEX(COA_Mapping!$F$7:$F$256,$Q4459)))</f>
        <v>1</v>
      </c>
      <c r="P4459" s="34" t="str">
        <f aca="false">IF($A4459="","",$I4459*$O4459)</f>
        <v/>
      </c>
      <c r="Q4459" s="39" t="n">
        <f aca="false">IF($B4459="",0,IFERROR(MATCH($B4459,COA_Mapping!$A$7:$A$256,0),0))</f>
        <v>0</v>
      </c>
      <c r="R4459" s="39" t="n">
        <f aca="false">IF($A4459="",-1,IF($J4459=Setup!$B$7,1,IF($J4459=Setup!$B$9,0,-1)))</f>
        <v>-1</v>
      </c>
      <c r="S4459" s="35" t="n">
        <f aca="false">IF(OR($A4459="",$Q4459=0,$R4459=-1),0,$Q4459*1000+$R4459*100+$K4459)</f>
        <v>0</v>
      </c>
      <c r="T4459" s="37" t="str">
        <f aca="false">IF($A4459="","",IF($B4459="","NO ACCOUNT",IF($Q4459=0,"UNMAPPED",IF($R4459=-1,"OUTSIDE FY RANGE","OK"))))</f>
        <v/>
      </c>
      <c r="U4459" s="40" t="str">
        <f aca="false">IF($A4459="","",$B4459&amp;"|"&amp;TEXT($A4459,"yyyymmdd")&amp;"|"&amp;TEXT($I4459,"0.00"))</f>
        <v/>
      </c>
      <c r="V4459" s="35" t="str">
        <f aca="false">IF($A4459="","",COUNTIF($U$8:$U$5007,$U4459))</f>
        <v/>
      </c>
    </row>
    <row r="4460" customFormat="false" ht="15" hidden="false" customHeight="false" outlineLevel="0" collapsed="false">
      <c r="A4460" s="31"/>
      <c r="B4460" s="32"/>
      <c r="C4460" s="32"/>
      <c r="D4460" s="32"/>
      <c r="E4460" s="32"/>
      <c r="F4460" s="32"/>
      <c r="G4460" s="33"/>
      <c r="H4460" s="33"/>
      <c r="I4460" s="34" t="str">
        <f aca="false">IF($A4460="","",$G4460-$H4460)</f>
        <v/>
      </c>
      <c r="J4460" s="35" t="str">
        <f aca="false">IF($A4460="","",IF(Setup!$B$6=1,YEAR($A4460),YEAR($A4460)+IF(MONTH($A4460)&gt;=Setup!$B$6,1,0)))</f>
        <v/>
      </c>
      <c r="K4460" s="35" t="str">
        <f aca="false">IF($A4460="","",MOD(MONTH($A4460)-Setup!$B$6+12,12)+1)</f>
        <v/>
      </c>
      <c r="L4460" s="36" t="str">
        <f aca="false">IF($A4460="","",TEXT($A4460,"MMM-YY"))</f>
        <v/>
      </c>
      <c r="M4460" s="37" t="str">
        <f aca="false">IF($A4460="","",IF($Q4460=0,"UNMAPPED",INDEX(COA_Mapping!$C$7:$C$256,$Q4460)))</f>
        <v/>
      </c>
      <c r="N4460" s="38" t="str">
        <f aca="false">IF($A4460="","",IF($Q4460=0,"",INDEX(COA_Mapping!$E$7:$E$256,$Q4460)))</f>
        <v/>
      </c>
      <c r="O4460" s="38" t="n">
        <f aca="false">IF($A4460="",1,IF($Q4460=0,1,INDEX(COA_Mapping!$F$7:$F$256,$Q4460)))</f>
        <v>1</v>
      </c>
      <c r="P4460" s="34" t="str">
        <f aca="false">IF($A4460="","",$I4460*$O4460)</f>
        <v/>
      </c>
      <c r="Q4460" s="39" t="n">
        <f aca="false">IF($B4460="",0,IFERROR(MATCH($B4460,COA_Mapping!$A$7:$A$256,0),0))</f>
        <v>0</v>
      </c>
      <c r="R4460" s="39" t="n">
        <f aca="false">IF($A4460="",-1,IF($J4460=Setup!$B$7,1,IF($J4460=Setup!$B$9,0,-1)))</f>
        <v>-1</v>
      </c>
      <c r="S4460" s="35" t="n">
        <f aca="false">IF(OR($A4460="",$Q4460=0,$R4460=-1),0,$Q4460*1000+$R4460*100+$K4460)</f>
        <v>0</v>
      </c>
      <c r="T4460" s="37" t="str">
        <f aca="false">IF($A4460="","",IF($B4460="","NO ACCOUNT",IF($Q4460=0,"UNMAPPED",IF($R4460=-1,"OUTSIDE FY RANGE","OK"))))</f>
        <v/>
      </c>
      <c r="U4460" s="40" t="str">
        <f aca="false">IF($A4460="","",$B4460&amp;"|"&amp;TEXT($A4460,"yyyymmdd")&amp;"|"&amp;TEXT($I4460,"0.00"))</f>
        <v/>
      </c>
      <c r="V4460" s="35" t="str">
        <f aca="false">IF($A4460="","",COUNTIF($U$8:$U$5007,$U4460))</f>
        <v/>
      </c>
    </row>
    <row r="4461" customFormat="false" ht="15" hidden="false" customHeight="false" outlineLevel="0" collapsed="false">
      <c r="A4461" s="31"/>
      <c r="B4461" s="32"/>
      <c r="C4461" s="32"/>
      <c r="D4461" s="32"/>
      <c r="E4461" s="32"/>
      <c r="F4461" s="32"/>
      <c r="G4461" s="33"/>
      <c r="H4461" s="33"/>
      <c r="I4461" s="34" t="str">
        <f aca="false">IF($A4461="","",$G4461-$H4461)</f>
        <v/>
      </c>
      <c r="J4461" s="35" t="str">
        <f aca="false">IF($A4461="","",IF(Setup!$B$6=1,YEAR($A4461),YEAR($A4461)+IF(MONTH($A4461)&gt;=Setup!$B$6,1,0)))</f>
        <v/>
      </c>
      <c r="K4461" s="35" t="str">
        <f aca="false">IF($A4461="","",MOD(MONTH($A4461)-Setup!$B$6+12,12)+1)</f>
        <v/>
      </c>
      <c r="L4461" s="36" t="str">
        <f aca="false">IF($A4461="","",TEXT($A4461,"MMM-YY"))</f>
        <v/>
      </c>
      <c r="M4461" s="37" t="str">
        <f aca="false">IF($A4461="","",IF($Q4461=0,"UNMAPPED",INDEX(COA_Mapping!$C$7:$C$256,$Q4461)))</f>
        <v/>
      </c>
      <c r="N4461" s="38" t="str">
        <f aca="false">IF($A4461="","",IF($Q4461=0,"",INDEX(COA_Mapping!$E$7:$E$256,$Q4461)))</f>
        <v/>
      </c>
      <c r="O4461" s="38" t="n">
        <f aca="false">IF($A4461="",1,IF($Q4461=0,1,INDEX(COA_Mapping!$F$7:$F$256,$Q4461)))</f>
        <v>1</v>
      </c>
      <c r="P4461" s="34" t="str">
        <f aca="false">IF($A4461="","",$I4461*$O4461)</f>
        <v/>
      </c>
      <c r="Q4461" s="39" t="n">
        <f aca="false">IF($B4461="",0,IFERROR(MATCH($B4461,COA_Mapping!$A$7:$A$256,0),0))</f>
        <v>0</v>
      </c>
      <c r="R4461" s="39" t="n">
        <f aca="false">IF($A4461="",-1,IF($J4461=Setup!$B$7,1,IF($J4461=Setup!$B$9,0,-1)))</f>
        <v>-1</v>
      </c>
      <c r="S4461" s="35" t="n">
        <f aca="false">IF(OR($A4461="",$Q4461=0,$R4461=-1),0,$Q4461*1000+$R4461*100+$K4461)</f>
        <v>0</v>
      </c>
      <c r="T4461" s="37" t="str">
        <f aca="false">IF($A4461="","",IF($B4461="","NO ACCOUNT",IF($Q4461=0,"UNMAPPED",IF($R4461=-1,"OUTSIDE FY RANGE","OK"))))</f>
        <v/>
      </c>
      <c r="U4461" s="40" t="str">
        <f aca="false">IF($A4461="","",$B4461&amp;"|"&amp;TEXT($A4461,"yyyymmdd")&amp;"|"&amp;TEXT($I4461,"0.00"))</f>
        <v/>
      </c>
      <c r="V4461" s="35" t="str">
        <f aca="false">IF($A4461="","",COUNTIF($U$8:$U$5007,$U4461))</f>
        <v/>
      </c>
    </row>
    <row r="4462" customFormat="false" ht="15" hidden="false" customHeight="false" outlineLevel="0" collapsed="false">
      <c r="A4462" s="31"/>
      <c r="B4462" s="32"/>
      <c r="C4462" s="32"/>
      <c r="D4462" s="32"/>
      <c r="E4462" s="32"/>
      <c r="F4462" s="32"/>
      <c r="G4462" s="33"/>
      <c r="H4462" s="33"/>
      <c r="I4462" s="34" t="str">
        <f aca="false">IF($A4462="","",$G4462-$H4462)</f>
        <v/>
      </c>
      <c r="J4462" s="35" t="str">
        <f aca="false">IF($A4462="","",IF(Setup!$B$6=1,YEAR($A4462),YEAR($A4462)+IF(MONTH($A4462)&gt;=Setup!$B$6,1,0)))</f>
        <v/>
      </c>
      <c r="K4462" s="35" t="str">
        <f aca="false">IF($A4462="","",MOD(MONTH($A4462)-Setup!$B$6+12,12)+1)</f>
        <v/>
      </c>
      <c r="L4462" s="36" t="str">
        <f aca="false">IF($A4462="","",TEXT($A4462,"MMM-YY"))</f>
        <v/>
      </c>
      <c r="M4462" s="37" t="str">
        <f aca="false">IF($A4462="","",IF($Q4462=0,"UNMAPPED",INDEX(COA_Mapping!$C$7:$C$256,$Q4462)))</f>
        <v/>
      </c>
      <c r="N4462" s="38" t="str">
        <f aca="false">IF($A4462="","",IF($Q4462=0,"",INDEX(COA_Mapping!$E$7:$E$256,$Q4462)))</f>
        <v/>
      </c>
      <c r="O4462" s="38" t="n">
        <f aca="false">IF($A4462="",1,IF($Q4462=0,1,INDEX(COA_Mapping!$F$7:$F$256,$Q4462)))</f>
        <v>1</v>
      </c>
      <c r="P4462" s="34" t="str">
        <f aca="false">IF($A4462="","",$I4462*$O4462)</f>
        <v/>
      </c>
      <c r="Q4462" s="39" t="n">
        <f aca="false">IF($B4462="",0,IFERROR(MATCH($B4462,COA_Mapping!$A$7:$A$256,0),0))</f>
        <v>0</v>
      </c>
      <c r="R4462" s="39" t="n">
        <f aca="false">IF($A4462="",-1,IF($J4462=Setup!$B$7,1,IF($J4462=Setup!$B$9,0,-1)))</f>
        <v>-1</v>
      </c>
      <c r="S4462" s="35" t="n">
        <f aca="false">IF(OR($A4462="",$Q4462=0,$R4462=-1),0,$Q4462*1000+$R4462*100+$K4462)</f>
        <v>0</v>
      </c>
      <c r="T4462" s="37" t="str">
        <f aca="false">IF($A4462="","",IF($B4462="","NO ACCOUNT",IF($Q4462=0,"UNMAPPED",IF($R4462=-1,"OUTSIDE FY RANGE","OK"))))</f>
        <v/>
      </c>
      <c r="U4462" s="40" t="str">
        <f aca="false">IF($A4462="","",$B4462&amp;"|"&amp;TEXT($A4462,"yyyymmdd")&amp;"|"&amp;TEXT($I4462,"0.00"))</f>
        <v/>
      </c>
      <c r="V4462" s="35" t="str">
        <f aca="false">IF($A4462="","",COUNTIF($U$8:$U$5007,$U4462))</f>
        <v/>
      </c>
    </row>
    <row r="4463" customFormat="false" ht="15" hidden="false" customHeight="false" outlineLevel="0" collapsed="false">
      <c r="A4463" s="31"/>
      <c r="B4463" s="32"/>
      <c r="C4463" s="32"/>
      <c r="D4463" s="32"/>
      <c r="E4463" s="32"/>
      <c r="F4463" s="32"/>
      <c r="G4463" s="33"/>
      <c r="H4463" s="33"/>
      <c r="I4463" s="34" t="str">
        <f aca="false">IF($A4463="","",$G4463-$H4463)</f>
        <v/>
      </c>
      <c r="J4463" s="35" t="str">
        <f aca="false">IF($A4463="","",IF(Setup!$B$6=1,YEAR($A4463),YEAR($A4463)+IF(MONTH($A4463)&gt;=Setup!$B$6,1,0)))</f>
        <v/>
      </c>
      <c r="K4463" s="35" t="str">
        <f aca="false">IF($A4463="","",MOD(MONTH($A4463)-Setup!$B$6+12,12)+1)</f>
        <v/>
      </c>
      <c r="L4463" s="36" t="str">
        <f aca="false">IF($A4463="","",TEXT($A4463,"MMM-YY"))</f>
        <v/>
      </c>
      <c r="M4463" s="37" t="str">
        <f aca="false">IF($A4463="","",IF($Q4463=0,"UNMAPPED",INDEX(COA_Mapping!$C$7:$C$256,$Q4463)))</f>
        <v/>
      </c>
      <c r="N4463" s="38" t="str">
        <f aca="false">IF($A4463="","",IF($Q4463=0,"",INDEX(COA_Mapping!$E$7:$E$256,$Q4463)))</f>
        <v/>
      </c>
      <c r="O4463" s="38" t="n">
        <f aca="false">IF($A4463="",1,IF($Q4463=0,1,INDEX(COA_Mapping!$F$7:$F$256,$Q4463)))</f>
        <v>1</v>
      </c>
      <c r="P4463" s="34" t="str">
        <f aca="false">IF($A4463="","",$I4463*$O4463)</f>
        <v/>
      </c>
      <c r="Q4463" s="39" t="n">
        <f aca="false">IF($B4463="",0,IFERROR(MATCH($B4463,COA_Mapping!$A$7:$A$256,0),0))</f>
        <v>0</v>
      </c>
      <c r="R4463" s="39" t="n">
        <f aca="false">IF($A4463="",-1,IF($J4463=Setup!$B$7,1,IF($J4463=Setup!$B$9,0,-1)))</f>
        <v>-1</v>
      </c>
      <c r="S4463" s="35" t="n">
        <f aca="false">IF(OR($A4463="",$Q4463=0,$R4463=-1),0,$Q4463*1000+$R4463*100+$K4463)</f>
        <v>0</v>
      </c>
      <c r="T4463" s="37" t="str">
        <f aca="false">IF($A4463="","",IF($B4463="","NO ACCOUNT",IF($Q4463=0,"UNMAPPED",IF($R4463=-1,"OUTSIDE FY RANGE","OK"))))</f>
        <v/>
      </c>
      <c r="U4463" s="40" t="str">
        <f aca="false">IF($A4463="","",$B4463&amp;"|"&amp;TEXT($A4463,"yyyymmdd")&amp;"|"&amp;TEXT($I4463,"0.00"))</f>
        <v/>
      </c>
      <c r="V4463" s="35" t="str">
        <f aca="false">IF($A4463="","",COUNTIF($U$8:$U$5007,$U4463))</f>
        <v/>
      </c>
    </row>
    <row r="4464" customFormat="false" ht="15" hidden="false" customHeight="false" outlineLevel="0" collapsed="false">
      <c r="A4464" s="31"/>
      <c r="B4464" s="32"/>
      <c r="C4464" s="32"/>
      <c r="D4464" s="32"/>
      <c r="E4464" s="32"/>
      <c r="F4464" s="32"/>
      <c r="G4464" s="33"/>
      <c r="H4464" s="33"/>
      <c r="I4464" s="34" t="str">
        <f aca="false">IF($A4464="","",$G4464-$H4464)</f>
        <v/>
      </c>
      <c r="J4464" s="35" t="str">
        <f aca="false">IF($A4464="","",IF(Setup!$B$6=1,YEAR($A4464),YEAR($A4464)+IF(MONTH($A4464)&gt;=Setup!$B$6,1,0)))</f>
        <v/>
      </c>
      <c r="K4464" s="35" t="str">
        <f aca="false">IF($A4464="","",MOD(MONTH($A4464)-Setup!$B$6+12,12)+1)</f>
        <v/>
      </c>
      <c r="L4464" s="36" t="str">
        <f aca="false">IF($A4464="","",TEXT($A4464,"MMM-YY"))</f>
        <v/>
      </c>
      <c r="M4464" s="37" t="str">
        <f aca="false">IF($A4464="","",IF($Q4464=0,"UNMAPPED",INDEX(COA_Mapping!$C$7:$C$256,$Q4464)))</f>
        <v/>
      </c>
      <c r="N4464" s="38" t="str">
        <f aca="false">IF($A4464="","",IF($Q4464=0,"",INDEX(COA_Mapping!$E$7:$E$256,$Q4464)))</f>
        <v/>
      </c>
      <c r="O4464" s="38" t="n">
        <f aca="false">IF($A4464="",1,IF($Q4464=0,1,INDEX(COA_Mapping!$F$7:$F$256,$Q4464)))</f>
        <v>1</v>
      </c>
      <c r="P4464" s="34" t="str">
        <f aca="false">IF($A4464="","",$I4464*$O4464)</f>
        <v/>
      </c>
      <c r="Q4464" s="39" t="n">
        <f aca="false">IF($B4464="",0,IFERROR(MATCH($B4464,COA_Mapping!$A$7:$A$256,0),0))</f>
        <v>0</v>
      </c>
      <c r="R4464" s="39" t="n">
        <f aca="false">IF($A4464="",-1,IF($J4464=Setup!$B$7,1,IF($J4464=Setup!$B$9,0,-1)))</f>
        <v>-1</v>
      </c>
      <c r="S4464" s="35" t="n">
        <f aca="false">IF(OR($A4464="",$Q4464=0,$R4464=-1),0,$Q4464*1000+$R4464*100+$K4464)</f>
        <v>0</v>
      </c>
      <c r="T4464" s="37" t="str">
        <f aca="false">IF($A4464="","",IF($B4464="","NO ACCOUNT",IF($Q4464=0,"UNMAPPED",IF($R4464=-1,"OUTSIDE FY RANGE","OK"))))</f>
        <v/>
      </c>
      <c r="U4464" s="40" t="str">
        <f aca="false">IF($A4464="","",$B4464&amp;"|"&amp;TEXT($A4464,"yyyymmdd")&amp;"|"&amp;TEXT($I4464,"0.00"))</f>
        <v/>
      </c>
      <c r="V4464" s="35" t="str">
        <f aca="false">IF($A4464="","",COUNTIF($U$8:$U$5007,$U4464))</f>
        <v/>
      </c>
    </row>
    <row r="4465" customFormat="false" ht="15" hidden="false" customHeight="false" outlineLevel="0" collapsed="false">
      <c r="A4465" s="31"/>
      <c r="B4465" s="32"/>
      <c r="C4465" s="32"/>
      <c r="D4465" s="32"/>
      <c r="E4465" s="32"/>
      <c r="F4465" s="32"/>
      <c r="G4465" s="33"/>
      <c r="H4465" s="33"/>
      <c r="I4465" s="34" t="str">
        <f aca="false">IF($A4465="","",$G4465-$H4465)</f>
        <v/>
      </c>
      <c r="J4465" s="35" t="str">
        <f aca="false">IF($A4465="","",IF(Setup!$B$6=1,YEAR($A4465),YEAR($A4465)+IF(MONTH($A4465)&gt;=Setup!$B$6,1,0)))</f>
        <v/>
      </c>
      <c r="K4465" s="35" t="str">
        <f aca="false">IF($A4465="","",MOD(MONTH($A4465)-Setup!$B$6+12,12)+1)</f>
        <v/>
      </c>
      <c r="L4465" s="36" t="str">
        <f aca="false">IF($A4465="","",TEXT($A4465,"MMM-YY"))</f>
        <v/>
      </c>
      <c r="M4465" s="37" t="str">
        <f aca="false">IF($A4465="","",IF($Q4465=0,"UNMAPPED",INDEX(COA_Mapping!$C$7:$C$256,$Q4465)))</f>
        <v/>
      </c>
      <c r="N4465" s="38" t="str">
        <f aca="false">IF($A4465="","",IF($Q4465=0,"",INDEX(COA_Mapping!$E$7:$E$256,$Q4465)))</f>
        <v/>
      </c>
      <c r="O4465" s="38" t="n">
        <f aca="false">IF($A4465="",1,IF($Q4465=0,1,INDEX(COA_Mapping!$F$7:$F$256,$Q4465)))</f>
        <v>1</v>
      </c>
      <c r="P4465" s="34" t="str">
        <f aca="false">IF($A4465="","",$I4465*$O4465)</f>
        <v/>
      </c>
      <c r="Q4465" s="39" t="n">
        <f aca="false">IF($B4465="",0,IFERROR(MATCH($B4465,COA_Mapping!$A$7:$A$256,0),0))</f>
        <v>0</v>
      </c>
      <c r="R4465" s="39" t="n">
        <f aca="false">IF($A4465="",-1,IF($J4465=Setup!$B$7,1,IF($J4465=Setup!$B$9,0,-1)))</f>
        <v>-1</v>
      </c>
      <c r="S4465" s="35" t="n">
        <f aca="false">IF(OR($A4465="",$Q4465=0,$R4465=-1),0,$Q4465*1000+$R4465*100+$K4465)</f>
        <v>0</v>
      </c>
      <c r="T4465" s="37" t="str">
        <f aca="false">IF($A4465="","",IF($B4465="","NO ACCOUNT",IF($Q4465=0,"UNMAPPED",IF($R4465=-1,"OUTSIDE FY RANGE","OK"))))</f>
        <v/>
      </c>
      <c r="U4465" s="40" t="str">
        <f aca="false">IF($A4465="","",$B4465&amp;"|"&amp;TEXT($A4465,"yyyymmdd")&amp;"|"&amp;TEXT($I4465,"0.00"))</f>
        <v/>
      </c>
      <c r="V4465" s="35" t="str">
        <f aca="false">IF($A4465="","",COUNTIF($U$8:$U$5007,$U4465))</f>
        <v/>
      </c>
    </row>
    <row r="4466" customFormat="false" ht="15" hidden="false" customHeight="false" outlineLevel="0" collapsed="false">
      <c r="A4466" s="31"/>
      <c r="B4466" s="32"/>
      <c r="C4466" s="32"/>
      <c r="D4466" s="32"/>
      <c r="E4466" s="32"/>
      <c r="F4466" s="32"/>
      <c r="G4466" s="33"/>
      <c r="H4466" s="33"/>
      <c r="I4466" s="34" t="str">
        <f aca="false">IF($A4466="","",$G4466-$H4466)</f>
        <v/>
      </c>
      <c r="J4466" s="35" t="str">
        <f aca="false">IF($A4466="","",IF(Setup!$B$6=1,YEAR($A4466),YEAR($A4466)+IF(MONTH($A4466)&gt;=Setup!$B$6,1,0)))</f>
        <v/>
      </c>
      <c r="K4466" s="35" t="str">
        <f aca="false">IF($A4466="","",MOD(MONTH($A4466)-Setup!$B$6+12,12)+1)</f>
        <v/>
      </c>
      <c r="L4466" s="36" t="str">
        <f aca="false">IF($A4466="","",TEXT($A4466,"MMM-YY"))</f>
        <v/>
      </c>
      <c r="M4466" s="37" t="str">
        <f aca="false">IF($A4466="","",IF($Q4466=0,"UNMAPPED",INDEX(COA_Mapping!$C$7:$C$256,$Q4466)))</f>
        <v/>
      </c>
      <c r="N4466" s="38" t="str">
        <f aca="false">IF($A4466="","",IF($Q4466=0,"",INDEX(COA_Mapping!$E$7:$E$256,$Q4466)))</f>
        <v/>
      </c>
      <c r="O4466" s="38" t="n">
        <f aca="false">IF($A4466="",1,IF($Q4466=0,1,INDEX(COA_Mapping!$F$7:$F$256,$Q4466)))</f>
        <v>1</v>
      </c>
      <c r="P4466" s="34" t="str">
        <f aca="false">IF($A4466="","",$I4466*$O4466)</f>
        <v/>
      </c>
      <c r="Q4466" s="39" t="n">
        <f aca="false">IF($B4466="",0,IFERROR(MATCH($B4466,COA_Mapping!$A$7:$A$256,0),0))</f>
        <v>0</v>
      </c>
      <c r="R4466" s="39" t="n">
        <f aca="false">IF($A4466="",-1,IF($J4466=Setup!$B$7,1,IF($J4466=Setup!$B$9,0,-1)))</f>
        <v>-1</v>
      </c>
      <c r="S4466" s="35" t="n">
        <f aca="false">IF(OR($A4466="",$Q4466=0,$R4466=-1),0,$Q4466*1000+$R4466*100+$K4466)</f>
        <v>0</v>
      </c>
      <c r="T4466" s="37" t="str">
        <f aca="false">IF($A4466="","",IF($B4466="","NO ACCOUNT",IF($Q4466=0,"UNMAPPED",IF($R4466=-1,"OUTSIDE FY RANGE","OK"))))</f>
        <v/>
      </c>
      <c r="U4466" s="40" t="str">
        <f aca="false">IF($A4466="","",$B4466&amp;"|"&amp;TEXT($A4466,"yyyymmdd")&amp;"|"&amp;TEXT($I4466,"0.00"))</f>
        <v/>
      </c>
      <c r="V4466" s="35" t="str">
        <f aca="false">IF($A4466="","",COUNTIF($U$8:$U$5007,$U4466))</f>
        <v/>
      </c>
    </row>
    <row r="4467" customFormat="false" ht="15" hidden="false" customHeight="false" outlineLevel="0" collapsed="false">
      <c r="A4467" s="31"/>
      <c r="B4467" s="32"/>
      <c r="C4467" s="32"/>
      <c r="D4467" s="32"/>
      <c r="E4467" s="32"/>
      <c r="F4467" s="32"/>
      <c r="G4467" s="33"/>
      <c r="H4467" s="33"/>
      <c r="I4467" s="34" t="str">
        <f aca="false">IF($A4467="","",$G4467-$H4467)</f>
        <v/>
      </c>
      <c r="J4467" s="35" t="str">
        <f aca="false">IF($A4467="","",IF(Setup!$B$6=1,YEAR($A4467),YEAR($A4467)+IF(MONTH($A4467)&gt;=Setup!$B$6,1,0)))</f>
        <v/>
      </c>
      <c r="K4467" s="35" t="str">
        <f aca="false">IF($A4467="","",MOD(MONTH($A4467)-Setup!$B$6+12,12)+1)</f>
        <v/>
      </c>
      <c r="L4467" s="36" t="str">
        <f aca="false">IF($A4467="","",TEXT($A4467,"MMM-YY"))</f>
        <v/>
      </c>
      <c r="M4467" s="37" t="str">
        <f aca="false">IF($A4467="","",IF($Q4467=0,"UNMAPPED",INDEX(COA_Mapping!$C$7:$C$256,$Q4467)))</f>
        <v/>
      </c>
      <c r="N4467" s="38" t="str">
        <f aca="false">IF($A4467="","",IF($Q4467=0,"",INDEX(COA_Mapping!$E$7:$E$256,$Q4467)))</f>
        <v/>
      </c>
      <c r="O4467" s="38" t="n">
        <f aca="false">IF($A4467="",1,IF($Q4467=0,1,INDEX(COA_Mapping!$F$7:$F$256,$Q4467)))</f>
        <v>1</v>
      </c>
      <c r="P4467" s="34" t="str">
        <f aca="false">IF($A4467="","",$I4467*$O4467)</f>
        <v/>
      </c>
      <c r="Q4467" s="39" t="n">
        <f aca="false">IF($B4467="",0,IFERROR(MATCH($B4467,COA_Mapping!$A$7:$A$256,0),0))</f>
        <v>0</v>
      </c>
      <c r="R4467" s="39" t="n">
        <f aca="false">IF($A4467="",-1,IF($J4467=Setup!$B$7,1,IF($J4467=Setup!$B$9,0,-1)))</f>
        <v>-1</v>
      </c>
      <c r="S4467" s="35" t="n">
        <f aca="false">IF(OR($A4467="",$Q4467=0,$R4467=-1),0,$Q4467*1000+$R4467*100+$K4467)</f>
        <v>0</v>
      </c>
      <c r="T4467" s="37" t="str">
        <f aca="false">IF($A4467="","",IF($B4467="","NO ACCOUNT",IF($Q4467=0,"UNMAPPED",IF($R4467=-1,"OUTSIDE FY RANGE","OK"))))</f>
        <v/>
      </c>
      <c r="U4467" s="40" t="str">
        <f aca="false">IF($A4467="","",$B4467&amp;"|"&amp;TEXT($A4467,"yyyymmdd")&amp;"|"&amp;TEXT($I4467,"0.00"))</f>
        <v/>
      </c>
      <c r="V4467" s="35" t="str">
        <f aca="false">IF($A4467="","",COUNTIF($U$8:$U$5007,$U4467))</f>
        <v/>
      </c>
    </row>
    <row r="4468" customFormat="false" ht="15" hidden="false" customHeight="false" outlineLevel="0" collapsed="false">
      <c r="A4468" s="31"/>
      <c r="B4468" s="32"/>
      <c r="C4468" s="32"/>
      <c r="D4468" s="32"/>
      <c r="E4468" s="32"/>
      <c r="F4468" s="32"/>
      <c r="G4468" s="33"/>
      <c r="H4468" s="33"/>
      <c r="I4468" s="34" t="str">
        <f aca="false">IF($A4468="","",$G4468-$H4468)</f>
        <v/>
      </c>
      <c r="J4468" s="35" t="str">
        <f aca="false">IF($A4468="","",IF(Setup!$B$6=1,YEAR($A4468),YEAR($A4468)+IF(MONTH($A4468)&gt;=Setup!$B$6,1,0)))</f>
        <v/>
      </c>
      <c r="K4468" s="35" t="str">
        <f aca="false">IF($A4468="","",MOD(MONTH($A4468)-Setup!$B$6+12,12)+1)</f>
        <v/>
      </c>
      <c r="L4468" s="36" t="str">
        <f aca="false">IF($A4468="","",TEXT($A4468,"MMM-YY"))</f>
        <v/>
      </c>
      <c r="M4468" s="37" t="str">
        <f aca="false">IF($A4468="","",IF($Q4468=0,"UNMAPPED",INDEX(COA_Mapping!$C$7:$C$256,$Q4468)))</f>
        <v/>
      </c>
      <c r="N4468" s="38" t="str">
        <f aca="false">IF($A4468="","",IF($Q4468=0,"",INDEX(COA_Mapping!$E$7:$E$256,$Q4468)))</f>
        <v/>
      </c>
      <c r="O4468" s="38" t="n">
        <f aca="false">IF($A4468="",1,IF($Q4468=0,1,INDEX(COA_Mapping!$F$7:$F$256,$Q4468)))</f>
        <v>1</v>
      </c>
      <c r="P4468" s="34" t="str">
        <f aca="false">IF($A4468="","",$I4468*$O4468)</f>
        <v/>
      </c>
      <c r="Q4468" s="39" t="n">
        <f aca="false">IF($B4468="",0,IFERROR(MATCH($B4468,COA_Mapping!$A$7:$A$256,0),0))</f>
        <v>0</v>
      </c>
      <c r="R4468" s="39" t="n">
        <f aca="false">IF($A4468="",-1,IF($J4468=Setup!$B$7,1,IF($J4468=Setup!$B$9,0,-1)))</f>
        <v>-1</v>
      </c>
      <c r="S4468" s="35" t="n">
        <f aca="false">IF(OR($A4468="",$Q4468=0,$R4468=-1),0,$Q4468*1000+$R4468*100+$K4468)</f>
        <v>0</v>
      </c>
      <c r="T4468" s="37" t="str">
        <f aca="false">IF($A4468="","",IF($B4468="","NO ACCOUNT",IF($Q4468=0,"UNMAPPED",IF($R4468=-1,"OUTSIDE FY RANGE","OK"))))</f>
        <v/>
      </c>
      <c r="U4468" s="40" t="str">
        <f aca="false">IF($A4468="","",$B4468&amp;"|"&amp;TEXT($A4468,"yyyymmdd")&amp;"|"&amp;TEXT($I4468,"0.00"))</f>
        <v/>
      </c>
      <c r="V4468" s="35" t="str">
        <f aca="false">IF($A4468="","",COUNTIF($U$8:$U$5007,$U4468))</f>
        <v/>
      </c>
    </row>
    <row r="4469" customFormat="false" ht="15" hidden="false" customHeight="false" outlineLevel="0" collapsed="false">
      <c r="A4469" s="31"/>
      <c r="B4469" s="32"/>
      <c r="C4469" s="32"/>
      <c r="D4469" s="32"/>
      <c r="E4469" s="32"/>
      <c r="F4469" s="32"/>
      <c r="G4469" s="33"/>
      <c r="H4469" s="33"/>
      <c r="I4469" s="34" t="str">
        <f aca="false">IF($A4469="","",$G4469-$H4469)</f>
        <v/>
      </c>
      <c r="J4469" s="35" t="str">
        <f aca="false">IF($A4469="","",IF(Setup!$B$6=1,YEAR($A4469),YEAR($A4469)+IF(MONTH($A4469)&gt;=Setup!$B$6,1,0)))</f>
        <v/>
      </c>
      <c r="K4469" s="35" t="str">
        <f aca="false">IF($A4469="","",MOD(MONTH($A4469)-Setup!$B$6+12,12)+1)</f>
        <v/>
      </c>
      <c r="L4469" s="36" t="str">
        <f aca="false">IF($A4469="","",TEXT($A4469,"MMM-YY"))</f>
        <v/>
      </c>
      <c r="M4469" s="37" t="str">
        <f aca="false">IF($A4469="","",IF($Q4469=0,"UNMAPPED",INDEX(COA_Mapping!$C$7:$C$256,$Q4469)))</f>
        <v/>
      </c>
      <c r="N4469" s="38" t="str">
        <f aca="false">IF($A4469="","",IF($Q4469=0,"",INDEX(COA_Mapping!$E$7:$E$256,$Q4469)))</f>
        <v/>
      </c>
      <c r="O4469" s="38" t="n">
        <f aca="false">IF($A4469="",1,IF($Q4469=0,1,INDEX(COA_Mapping!$F$7:$F$256,$Q4469)))</f>
        <v>1</v>
      </c>
      <c r="P4469" s="34" t="str">
        <f aca="false">IF($A4469="","",$I4469*$O4469)</f>
        <v/>
      </c>
      <c r="Q4469" s="39" t="n">
        <f aca="false">IF($B4469="",0,IFERROR(MATCH($B4469,COA_Mapping!$A$7:$A$256,0),0))</f>
        <v>0</v>
      </c>
      <c r="R4469" s="39" t="n">
        <f aca="false">IF($A4469="",-1,IF($J4469=Setup!$B$7,1,IF($J4469=Setup!$B$9,0,-1)))</f>
        <v>-1</v>
      </c>
      <c r="S4469" s="35" t="n">
        <f aca="false">IF(OR($A4469="",$Q4469=0,$R4469=-1),0,$Q4469*1000+$R4469*100+$K4469)</f>
        <v>0</v>
      </c>
      <c r="T4469" s="37" t="str">
        <f aca="false">IF($A4469="","",IF($B4469="","NO ACCOUNT",IF($Q4469=0,"UNMAPPED",IF($R4469=-1,"OUTSIDE FY RANGE","OK"))))</f>
        <v/>
      </c>
      <c r="U4469" s="40" t="str">
        <f aca="false">IF($A4469="","",$B4469&amp;"|"&amp;TEXT($A4469,"yyyymmdd")&amp;"|"&amp;TEXT($I4469,"0.00"))</f>
        <v/>
      </c>
      <c r="V4469" s="35" t="str">
        <f aca="false">IF($A4469="","",COUNTIF($U$8:$U$5007,$U4469))</f>
        <v/>
      </c>
    </row>
    <row r="4470" customFormat="false" ht="15" hidden="false" customHeight="false" outlineLevel="0" collapsed="false">
      <c r="A4470" s="31"/>
      <c r="B4470" s="32"/>
      <c r="C4470" s="32"/>
      <c r="D4470" s="32"/>
      <c r="E4470" s="32"/>
      <c r="F4470" s="32"/>
      <c r="G4470" s="33"/>
      <c r="H4470" s="33"/>
      <c r="I4470" s="34" t="str">
        <f aca="false">IF($A4470="","",$G4470-$H4470)</f>
        <v/>
      </c>
      <c r="J4470" s="35" t="str">
        <f aca="false">IF($A4470="","",IF(Setup!$B$6=1,YEAR($A4470),YEAR($A4470)+IF(MONTH($A4470)&gt;=Setup!$B$6,1,0)))</f>
        <v/>
      </c>
      <c r="K4470" s="35" t="str">
        <f aca="false">IF($A4470="","",MOD(MONTH($A4470)-Setup!$B$6+12,12)+1)</f>
        <v/>
      </c>
      <c r="L4470" s="36" t="str">
        <f aca="false">IF($A4470="","",TEXT($A4470,"MMM-YY"))</f>
        <v/>
      </c>
      <c r="M4470" s="37" t="str">
        <f aca="false">IF($A4470="","",IF($Q4470=0,"UNMAPPED",INDEX(COA_Mapping!$C$7:$C$256,$Q4470)))</f>
        <v/>
      </c>
      <c r="N4470" s="38" t="str">
        <f aca="false">IF($A4470="","",IF($Q4470=0,"",INDEX(COA_Mapping!$E$7:$E$256,$Q4470)))</f>
        <v/>
      </c>
      <c r="O4470" s="38" t="n">
        <f aca="false">IF($A4470="",1,IF($Q4470=0,1,INDEX(COA_Mapping!$F$7:$F$256,$Q4470)))</f>
        <v>1</v>
      </c>
      <c r="P4470" s="34" t="str">
        <f aca="false">IF($A4470="","",$I4470*$O4470)</f>
        <v/>
      </c>
      <c r="Q4470" s="39" t="n">
        <f aca="false">IF($B4470="",0,IFERROR(MATCH($B4470,COA_Mapping!$A$7:$A$256,0),0))</f>
        <v>0</v>
      </c>
      <c r="R4470" s="39" t="n">
        <f aca="false">IF($A4470="",-1,IF($J4470=Setup!$B$7,1,IF($J4470=Setup!$B$9,0,-1)))</f>
        <v>-1</v>
      </c>
      <c r="S4470" s="35" t="n">
        <f aca="false">IF(OR($A4470="",$Q4470=0,$R4470=-1),0,$Q4470*1000+$R4470*100+$K4470)</f>
        <v>0</v>
      </c>
      <c r="T4470" s="37" t="str">
        <f aca="false">IF($A4470="","",IF($B4470="","NO ACCOUNT",IF($Q4470=0,"UNMAPPED",IF($R4470=-1,"OUTSIDE FY RANGE","OK"))))</f>
        <v/>
      </c>
      <c r="U4470" s="40" t="str">
        <f aca="false">IF($A4470="","",$B4470&amp;"|"&amp;TEXT($A4470,"yyyymmdd")&amp;"|"&amp;TEXT($I4470,"0.00"))</f>
        <v/>
      </c>
      <c r="V4470" s="35" t="str">
        <f aca="false">IF($A4470="","",COUNTIF($U$8:$U$5007,$U4470))</f>
        <v/>
      </c>
    </row>
    <row r="4471" customFormat="false" ht="15" hidden="false" customHeight="false" outlineLevel="0" collapsed="false">
      <c r="A4471" s="31"/>
      <c r="B4471" s="32"/>
      <c r="C4471" s="32"/>
      <c r="D4471" s="32"/>
      <c r="E4471" s="32"/>
      <c r="F4471" s="32"/>
      <c r="G4471" s="33"/>
      <c r="H4471" s="33"/>
      <c r="I4471" s="34" t="str">
        <f aca="false">IF($A4471="","",$G4471-$H4471)</f>
        <v/>
      </c>
      <c r="J4471" s="35" t="str">
        <f aca="false">IF($A4471="","",IF(Setup!$B$6=1,YEAR($A4471),YEAR($A4471)+IF(MONTH($A4471)&gt;=Setup!$B$6,1,0)))</f>
        <v/>
      </c>
      <c r="K4471" s="35" t="str">
        <f aca="false">IF($A4471="","",MOD(MONTH($A4471)-Setup!$B$6+12,12)+1)</f>
        <v/>
      </c>
      <c r="L4471" s="36" t="str">
        <f aca="false">IF($A4471="","",TEXT($A4471,"MMM-YY"))</f>
        <v/>
      </c>
      <c r="M4471" s="37" t="str">
        <f aca="false">IF($A4471="","",IF($Q4471=0,"UNMAPPED",INDEX(COA_Mapping!$C$7:$C$256,$Q4471)))</f>
        <v/>
      </c>
      <c r="N4471" s="38" t="str">
        <f aca="false">IF($A4471="","",IF($Q4471=0,"",INDEX(COA_Mapping!$E$7:$E$256,$Q4471)))</f>
        <v/>
      </c>
      <c r="O4471" s="38" t="n">
        <f aca="false">IF($A4471="",1,IF($Q4471=0,1,INDEX(COA_Mapping!$F$7:$F$256,$Q4471)))</f>
        <v>1</v>
      </c>
      <c r="P4471" s="34" t="str">
        <f aca="false">IF($A4471="","",$I4471*$O4471)</f>
        <v/>
      </c>
      <c r="Q4471" s="39" t="n">
        <f aca="false">IF($B4471="",0,IFERROR(MATCH($B4471,COA_Mapping!$A$7:$A$256,0),0))</f>
        <v>0</v>
      </c>
      <c r="R4471" s="39" t="n">
        <f aca="false">IF($A4471="",-1,IF($J4471=Setup!$B$7,1,IF($J4471=Setup!$B$9,0,-1)))</f>
        <v>-1</v>
      </c>
      <c r="S4471" s="35" t="n">
        <f aca="false">IF(OR($A4471="",$Q4471=0,$R4471=-1),0,$Q4471*1000+$R4471*100+$K4471)</f>
        <v>0</v>
      </c>
      <c r="T4471" s="37" t="str">
        <f aca="false">IF($A4471="","",IF($B4471="","NO ACCOUNT",IF($Q4471=0,"UNMAPPED",IF($R4471=-1,"OUTSIDE FY RANGE","OK"))))</f>
        <v/>
      </c>
      <c r="U4471" s="40" t="str">
        <f aca="false">IF($A4471="","",$B4471&amp;"|"&amp;TEXT($A4471,"yyyymmdd")&amp;"|"&amp;TEXT($I4471,"0.00"))</f>
        <v/>
      </c>
      <c r="V4471" s="35" t="str">
        <f aca="false">IF($A4471="","",COUNTIF($U$8:$U$5007,$U4471))</f>
        <v/>
      </c>
    </row>
    <row r="4472" customFormat="false" ht="15" hidden="false" customHeight="false" outlineLevel="0" collapsed="false">
      <c r="A4472" s="31"/>
      <c r="B4472" s="32"/>
      <c r="C4472" s="32"/>
      <c r="D4472" s="32"/>
      <c r="E4472" s="32"/>
      <c r="F4472" s="32"/>
      <c r="G4472" s="33"/>
      <c r="H4472" s="33"/>
      <c r="I4472" s="34" t="str">
        <f aca="false">IF($A4472="","",$G4472-$H4472)</f>
        <v/>
      </c>
      <c r="J4472" s="35" t="str">
        <f aca="false">IF($A4472="","",IF(Setup!$B$6=1,YEAR($A4472),YEAR($A4472)+IF(MONTH($A4472)&gt;=Setup!$B$6,1,0)))</f>
        <v/>
      </c>
      <c r="K4472" s="35" t="str">
        <f aca="false">IF($A4472="","",MOD(MONTH($A4472)-Setup!$B$6+12,12)+1)</f>
        <v/>
      </c>
      <c r="L4472" s="36" t="str">
        <f aca="false">IF($A4472="","",TEXT($A4472,"MMM-YY"))</f>
        <v/>
      </c>
      <c r="M4472" s="37" t="str">
        <f aca="false">IF($A4472="","",IF($Q4472=0,"UNMAPPED",INDEX(COA_Mapping!$C$7:$C$256,$Q4472)))</f>
        <v/>
      </c>
      <c r="N4472" s="38" t="str">
        <f aca="false">IF($A4472="","",IF($Q4472=0,"",INDEX(COA_Mapping!$E$7:$E$256,$Q4472)))</f>
        <v/>
      </c>
      <c r="O4472" s="38" t="n">
        <f aca="false">IF($A4472="",1,IF($Q4472=0,1,INDEX(COA_Mapping!$F$7:$F$256,$Q4472)))</f>
        <v>1</v>
      </c>
      <c r="P4472" s="34" t="str">
        <f aca="false">IF($A4472="","",$I4472*$O4472)</f>
        <v/>
      </c>
      <c r="Q4472" s="39" t="n">
        <f aca="false">IF($B4472="",0,IFERROR(MATCH($B4472,COA_Mapping!$A$7:$A$256,0),0))</f>
        <v>0</v>
      </c>
      <c r="R4472" s="39" t="n">
        <f aca="false">IF($A4472="",-1,IF($J4472=Setup!$B$7,1,IF($J4472=Setup!$B$9,0,-1)))</f>
        <v>-1</v>
      </c>
      <c r="S4472" s="35" t="n">
        <f aca="false">IF(OR($A4472="",$Q4472=0,$R4472=-1),0,$Q4472*1000+$R4472*100+$K4472)</f>
        <v>0</v>
      </c>
      <c r="T4472" s="37" t="str">
        <f aca="false">IF($A4472="","",IF($B4472="","NO ACCOUNT",IF($Q4472=0,"UNMAPPED",IF($R4472=-1,"OUTSIDE FY RANGE","OK"))))</f>
        <v/>
      </c>
      <c r="U4472" s="40" t="str">
        <f aca="false">IF($A4472="","",$B4472&amp;"|"&amp;TEXT($A4472,"yyyymmdd")&amp;"|"&amp;TEXT($I4472,"0.00"))</f>
        <v/>
      </c>
      <c r="V4472" s="35" t="str">
        <f aca="false">IF($A4472="","",COUNTIF($U$8:$U$5007,$U4472))</f>
        <v/>
      </c>
    </row>
    <row r="4473" customFormat="false" ht="15" hidden="false" customHeight="false" outlineLevel="0" collapsed="false">
      <c r="A4473" s="31"/>
      <c r="B4473" s="32"/>
      <c r="C4473" s="32"/>
      <c r="D4473" s="32"/>
      <c r="E4473" s="32"/>
      <c r="F4473" s="32"/>
      <c r="G4473" s="33"/>
      <c r="H4473" s="33"/>
      <c r="I4473" s="34" t="str">
        <f aca="false">IF($A4473="","",$G4473-$H4473)</f>
        <v/>
      </c>
      <c r="J4473" s="35" t="str">
        <f aca="false">IF($A4473="","",IF(Setup!$B$6=1,YEAR($A4473),YEAR($A4473)+IF(MONTH($A4473)&gt;=Setup!$B$6,1,0)))</f>
        <v/>
      </c>
      <c r="K4473" s="35" t="str">
        <f aca="false">IF($A4473="","",MOD(MONTH($A4473)-Setup!$B$6+12,12)+1)</f>
        <v/>
      </c>
      <c r="L4473" s="36" t="str">
        <f aca="false">IF($A4473="","",TEXT($A4473,"MMM-YY"))</f>
        <v/>
      </c>
      <c r="M4473" s="37" t="str">
        <f aca="false">IF($A4473="","",IF($Q4473=0,"UNMAPPED",INDEX(COA_Mapping!$C$7:$C$256,$Q4473)))</f>
        <v/>
      </c>
      <c r="N4473" s="38" t="str">
        <f aca="false">IF($A4473="","",IF($Q4473=0,"",INDEX(COA_Mapping!$E$7:$E$256,$Q4473)))</f>
        <v/>
      </c>
      <c r="O4473" s="38" t="n">
        <f aca="false">IF($A4473="",1,IF($Q4473=0,1,INDEX(COA_Mapping!$F$7:$F$256,$Q4473)))</f>
        <v>1</v>
      </c>
      <c r="P4473" s="34" t="str">
        <f aca="false">IF($A4473="","",$I4473*$O4473)</f>
        <v/>
      </c>
      <c r="Q4473" s="39" t="n">
        <f aca="false">IF($B4473="",0,IFERROR(MATCH($B4473,COA_Mapping!$A$7:$A$256,0),0))</f>
        <v>0</v>
      </c>
      <c r="R4473" s="39" t="n">
        <f aca="false">IF($A4473="",-1,IF($J4473=Setup!$B$7,1,IF($J4473=Setup!$B$9,0,-1)))</f>
        <v>-1</v>
      </c>
      <c r="S4473" s="35" t="n">
        <f aca="false">IF(OR($A4473="",$Q4473=0,$R4473=-1),0,$Q4473*1000+$R4473*100+$K4473)</f>
        <v>0</v>
      </c>
      <c r="T4473" s="37" t="str">
        <f aca="false">IF($A4473="","",IF($B4473="","NO ACCOUNT",IF($Q4473=0,"UNMAPPED",IF($R4473=-1,"OUTSIDE FY RANGE","OK"))))</f>
        <v/>
      </c>
      <c r="U4473" s="40" t="str">
        <f aca="false">IF($A4473="","",$B4473&amp;"|"&amp;TEXT($A4473,"yyyymmdd")&amp;"|"&amp;TEXT($I4473,"0.00"))</f>
        <v/>
      </c>
      <c r="V4473" s="35" t="str">
        <f aca="false">IF($A4473="","",COUNTIF($U$8:$U$5007,$U4473))</f>
        <v/>
      </c>
    </row>
    <row r="4474" customFormat="false" ht="15" hidden="false" customHeight="false" outlineLevel="0" collapsed="false">
      <c r="A4474" s="31"/>
      <c r="B4474" s="32"/>
      <c r="C4474" s="32"/>
      <c r="D4474" s="32"/>
      <c r="E4474" s="32"/>
      <c r="F4474" s="32"/>
      <c r="G4474" s="33"/>
      <c r="H4474" s="33"/>
      <c r="I4474" s="34" t="str">
        <f aca="false">IF($A4474="","",$G4474-$H4474)</f>
        <v/>
      </c>
      <c r="J4474" s="35" t="str">
        <f aca="false">IF($A4474="","",IF(Setup!$B$6=1,YEAR($A4474),YEAR($A4474)+IF(MONTH($A4474)&gt;=Setup!$B$6,1,0)))</f>
        <v/>
      </c>
      <c r="K4474" s="35" t="str">
        <f aca="false">IF($A4474="","",MOD(MONTH($A4474)-Setup!$B$6+12,12)+1)</f>
        <v/>
      </c>
      <c r="L4474" s="36" t="str">
        <f aca="false">IF($A4474="","",TEXT($A4474,"MMM-YY"))</f>
        <v/>
      </c>
      <c r="M4474" s="37" t="str">
        <f aca="false">IF($A4474="","",IF($Q4474=0,"UNMAPPED",INDEX(COA_Mapping!$C$7:$C$256,$Q4474)))</f>
        <v/>
      </c>
      <c r="N4474" s="38" t="str">
        <f aca="false">IF($A4474="","",IF($Q4474=0,"",INDEX(COA_Mapping!$E$7:$E$256,$Q4474)))</f>
        <v/>
      </c>
      <c r="O4474" s="38" t="n">
        <f aca="false">IF($A4474="",1,IF($Q4474=0,1,INDEX(COA_Mapping!$F$7:$F$256,$Q4474)))</f>
        <v>1</v>
      </c>
      <c r="P4474" s="34" t="str">
        <f aca="false">IF($A4474="","",$I4474*$O4474)</f>
        <v/>
      </c>
      <c r="Q4474" s="39" t="n">
        <f aca="false">IF($B4474="",0,IFERROR(MATCH($B4474,COA_Mapping!$A$7:$A$256,0),0))</f>
        <v>0</v>
      </c>
      <c r="R4474" s="39" t="n">
        <f aca="false">IF($A4474="",-1,IF($J4474=Setup!$B$7,1,IF($J4474=Setup!$B$9,0,-1)))</f>
        <v>-1</v>
      </c>
      <c r="S4474" s="35" t="n">
        <f aca="false">IF(OR($A4474="",$Q4474=0,$R4474=-1),0,$Q4474*1000+$R4474*100+$K4474)</f>
        <v>0</v>
      </c>
      <c r="T4474" s="37" t="str">
        <f aca="false">IF($A4474="","",IF($B4474="","NO ACCOUNT",IF($Q4474=0,"UNMAPPED",IF($R4474=-1,"OUTSIDE FY RANGE","OK"))))</f>
        <v/>
      </c>
      <c r="U4474" s="40" t="str">
        <f aca="false">IF($A4474="","",$B4474&amp;"|"&amp;TEXT($A4474,"yyyymmdd")&amp;"|"&amp;TEXT($I4474,"0.00"))</f>
        <v/>
      </c>
      <c r="V4474" s="35" t="str">
        <f aca="false">IF($A4474="","",COUNTIF($U$8:$U$5007,$U4474))</f>
        <v/>
      </c>
    </row>
    <row r="4475" customFormat="false" ht="15" hidden="false" customHeight="false" outlineLevel="0" collapsed="false">
      <c r="A4475" s="31"/>
      <c r="B4475" s="32"/>
      <c r="C4475" s="32"/>
      <c r="D4475" s="32"/>
      <c r="E4475" s="32"/>
      <c r="F4475" s="32"/>
      <c r="G4475" s="33"/>
      <c r="H4475" s="33"/>
      <c r="I4475" s="34" t="str">
        <f aca="false">IF($A4475="","",$G4475-$H4475)</f>
        <v/>
      </c>
      <c r="J4475" s="35" t="str">
        <f aca="false">IF($A4475="","",IF(Setup!$B$6=1,YEAR($A4475),YEAR($A4475)+IF(MONTH($A4475)&gt;=Setup!$B$6,1,0)))</f>
        <v/>
      </c>
      <c r="K4475" s="35" t="str">
        <f aca="false">IF($A4475="","",MOD(MONTH($A4475)-Setup!$B$6+12,12)+1)</f>
        <v/>
      </c>
      <c r="L4475" s="36" t="str">
        <f aca="false">IF($A4475="","",TEXT($A4475,"MMM-YY"))</f>
        <v/>
      </c>
      <c r="M4475" s="37" t="str">
        <f aca="false">IF($A4475="","",IF($Q4475=0,"UNMAPPED",INDEX(COA_Mapping!$C$7:$C$256,$Q4475)))</f>
        <v/>
      </c>
      <c r="N4475" s="38" t="str">
        <f aca="false">IF($A4475="","",IF($Q4475=0,"",INDEX(COA_Mapping!$E$7:$E$256,$Q4475)))</f>
        <v/>
      </c>
      <c r="O4475" s="38" t="n">
        <f aca="false">IF($A4475="",1,IF($Q4475=0,1,INDEX(COA_Mapping!$F$7:$F$256,$Q4475)))</f>
        <v>1</v>
      </c>
      <c r="P4475" s="34" t="str">
        <f aca="false">IF($A4475="","",$I4475*$O4475)</f>
        <v/>
      </c>
      <c r="Q4475" s="39" t="n">
        <f aca="false">IF($B4475="",0,IFERROR(MATCH($B4475,COA_Mapping!$A$7:$A$256,0),0))</f>
        <v>0</v>
      </c>
      <c r="R4475" s="39" t="n">
        <f aca="false">IF($A4475="",-1,IF($J4475=Setup!$B$7,1,IF($J4475=Setup!$B$9,0,-1)))</f>
        <v>-1</v>
      </c>
      <c r="S4475" s="35" t="n">
        <f aca="false">IF(OR($A4475="",$Q4475=0,$R4475=-1),0,$Q4475*1000+$R4475*100+$K4475)</f>
        <v>0</v>
      </c>
      <c r="T4475" s="37" t="str">
        <f aca="false">IF($A4475="","",IF($B4475="","NO ACCOUNT",IF($Q4475=0,"UNMAPPED",IF($R4475=-1,"OUTSIDE FY RANGE","OK"))))</f>
        <v/>
      </c>
      <c r="U4475" s="40" t="str">
        <f aca="false">IF($A4475="","",$B4475&amp;"|"&amp;TEXT($A4475,"yyyymmdd")&amp;"|"&amp;TEXT($I4475,"0.00"))</f>
        <v/>
      </c>
      <c r="V4475" s="35" t="str">
        <f aca="false">IF($A4475="","",COUNTIF($U$8:$U$5007,$U4475))</f>
        <v/>
      </c>
    </row>
    <row r="4476" customFormat="false" ht="15" hidden="false" customHeight="false" outlineLevel="0" collapsed="false">
      <c r="A4476" s="31"/>
      <c r="B4476" s="32"/>
      <c r="C4476" s="32"/>
      <c r="D4476" s="32"/>
      <c r="E4476" s="32"/>
      <c r="F4476" s="32"/>
      <c r="G4476" s="33"/>
      <c r="H4476" s="33"/>
      <c r="I4476" s="34" t="str">
        <f aca="false">IF($A4476="","",$G4476-$H4476)</f>
        <v/>
      </c>
      <c r="J4476" s="35" t="str">
        <f aca="false">IF($A4476="","",IF(Setup!$B$6=1,YEAR($A4476),YEAR($A4476)+IF(MONTH($A4476)&gt;=Setup!$B$6,1,0)))</f>
        <v/>
      </c>
      <c r="K4476" s="35" t="str">
        <f aca="false">IF($A4476="","",MOD(MONTH($A4476)-Setup!$B$6+12,12)+1)</f>
        <v/>
      </c>
      <c r="L4476" s="36" t="str">
        <f aca="false">IF($A4476="","",TEXT($A4476,"MMM-YY"))</f>
        <v/>
      </c>
      <c r="M4476" s="37" t="str">
        <f aca="false">IF($A4476="","",IF($Q4476=0,"UNMAPPED",INDEX(COA_Mapping!$C$7:$C$256,$Q4476)))</f>
        <v/>
      </c>
      <c r="N4476" s="38" t="str">
        <f aca="false">IF($A4476="","",IF($Q4476=0,"",INDEX(COA_Mapping!$E$7:$E$256,$Q4476)))</f>
        <v/>
      </c>
      <c r="O4476" s="38" t="n">
        <f aca="false">IF($A4476="",1,IF($Q4476=0,1,INDEX(COA_Mapping!$F$7:$F$256,$Q4476)))</f>
        <v>1</v>
      </c>
      <c r="P4476" s="34" t="str">
        <f aca="false">IF($A4476="","",$I4476*$O4476)</f>
        <v/>
      </c>
      <c r="Q4476" s="39" t="n">
        <f aca="false">IF($B4476="",0,IFERROR(MATCH($B4476,COA_Mapping!$A$7:$A$256,0),0))</f>
        <v>0</v>
      </c>
      <c r="R4476" s="39" t="n">
        <f aca="false">IF($A4476="",-1,IF($J4476=Setup!$B$7,1,IF($J4476=Setup!$B$9,0,-1)))</f>
        <v>-1</v>
      </c>
      <c r="S4476" s="35" t="n">
        <f aca="false">IF(OR($A4476="",$Q4476=0,$R4476=-1),0,$Q4476*1000+$R4476*100+$K4476)</f>
        <v>0</v>
      </c>
      <c r="T4476" s="37" t="str">
        <f aca="false">IF($A4476="","",IF($B4476="","NO ACCOUNT",IF($Q4476=0,"UNMAPPED",IF($R4476=-1,"OUTSIDE FY RANGE","OK"))))</f>
        <v/>
      </c>
      <c r="U4476" s="40" t="str">
        <f aca="false">IF($A4476="","",$B4476&amp;"|"&amp;TEXT($A4476,"yyyymmdd")&amp;"|"&amp;TEXT($I4476,"0.00"))</f>
        <v/>
      </c>
      <c r="V4476" s="35" t="str">
        <f aca="false">IF($A4476="","",COUNTIF($U$8:$U$5007,$U4476))</f>
        <v/>
      </c>
    </row>
    <row r="4477" customFormat="false" ht="15" hidden="false" customHeight="false" outlineLevel="0" collapsed="false">
      <c r="A4477" s="31"/>
      <c r="B4477" s="32"/>
      <c r="C4477" s="32"/>
      <c r="D4477" s="32"/>
      <c r="E4477" s="32"/>
      <c r="F4477" s="32"/>
      <c r="G4477" s="33"/>
      <c r="H4477" s="33"/>
      <c r="I4477" s="34" t="str">
        <f aca="false">IF($A4477="","",$G4477-$H4477)</f>
        <v/>
      </c>
      <c r="J4477" s="35" t="str">
        <f aca="false">IF($A4477="","",IF(Setup!$B$6=1,YEAR($A4477),YEAR($A4477)+IF(MONTH($A4477)&gt;=Setup!$B$6,1,0)))</f>
        <v/>
      </c>
      <c r="K4477" s="35" t="str">
        <f aca="false">IF($A4477="","",MOD(MONTH($A4477)-Setup!$B$6+12,12)+1)</f>
        <v/>
      </c>
      <c r="L4477" s="36" t="str">
        <f aca="false">IF($A4477="","",TEXT($A4477,"MMM-YY"))</f>
        <v/>
      </c>
      <c r="M4477" s="37" t="str">
        <f aca="false">IF($A4477="","",IF($Q4477=0,"UNMAPPED",INDEX(COA_Mapping!$C$7:$C$256,$Q4477)))</f>
        <v/>
      </c>
      <c r="N4477" s="38" t="str">
        <f aca="false">IF($A4477="","",IF($Q4477=0,"",INDEX(COA_Mapping!$E$7:$E$256,$Q4477)))</f>
        <v/>
      </c>
      <c r="O4477" s="38" t="n">
        <f aca="false">IF($A4477="",1,IF($Q4477=0,1,INDEX(COA_Mapping!$F$7:$F$256,$Q4477)))</f>
        <v>1</v>
      </c>
      <c r="P4477" s="34" t="str">
        <f aca="false">IF($A4477="","",$I4477*$O4477)</f>
        <v/>
      </c>
      <c r="Q4477" s="39" t="n">
        <f aca="false">IF($B4477="",0,IFERROR(MATCH($B4477,COA_Mapping!$A$7:$A$256,0),0))</f>
        <v>0</v>
      </c>
      <c r="R4477" s="39" t="n">
        <f aca="false">IF($A4477="",-1,IF($J4477=Setup!$B$7,1,IF($J4477=Setup!$B$9,0,-1)))</f>
        <v>-1</v>
      </c>
      <c r="S4477" s="35" t="n">
        <f aca="false">IF(OR($A4477="",$Q4477=0,$R4477=-1),0,$Q4477*1000+$R4477*100+$K4477)</f>
        <v>0</v>
      </c>
      <c r="T4477" s="37" t="str">
        <f aca="false">IF($A4477="","",IF($B4477="","NO ACCOUNT",IF($Q4477=0,"UNMAPPED",IF($R4477=-1,"OUTSIDE FY RANGE","OK"))))</f>
        <v/>
      </c>
      <c r="U4477" s="40" t="str">
        <f aca="false">IF($A4477="","",$B4477&amp;"|"&amp;TEXT($A4477,"yyyymmdd")&amp;"|"&amp;TEXT($I4477,"0.00"))</f>
        <v/>
      </c>
      <c r="V4477" s="35" t="str">
        <f aca="false">IF($A4477="","",COUNTIF($U$8:$U$5007,$U4477))</f>
        <v/>
      </c>
    </row>
    <row r="4478" customFormat="false" ht="15" hidden="false" customHeight="false" outlineLevel="0" collapsed="false">
      <c r="A4478" s="31"/>
      <c r="B4478" s="32"/>
      <c r="C4478" s="32"/>
      <c r="D4478" s="32"/>
      <c r="E4478" s="32"/>
      <c r="F4478" s="32"/>
      <c r="G4478" s="33"/>
      <c r="H4478" s="33"/>
      <c r="I4478" s="34" t="str">
        <f aca="false">IF($A4478="","",$G4478-$H4478)</f>
        <v/>
      </c>
      <c r="J4478" s="35" t="str">
        <f aca="false">IF($A4478="","",IF(Setup!$B$6=1,YEAR($A4478),YEAR($A4478)+IF(MONTH($A4478)&gt;=Setup!$B$6,1,0)))</f>
        <v/>
      </c>
      <c r="K4478" s="35" t="str">
        <f aca="false">IF($A4478="","",MOD(MONTH($A4478)-Setup!$B$6+12,12)+1)</f>
        <v/>
      </c>
      <c r="L4478" s="36" t="str">
        <f aca="false">IF($A4478="","",TEXT($A4478,"MMM-YY"))</f>
        <v/>
      </c>
      <c r="M4478" s="37" t="str">
        <f aca="false">IF($A4478="","",IF($Q4478=0,"UNMAPPED",INDEX(COA_Mapping!$C$7:$C$256,$Q4478)))</f>
        <v/>
      </c>
      <c r="N4478" s="38" t="str">
        <f aca="false">IF($A4478="","",IF($Q4478=0,"",INDEX(COA_Mapping!$E$7:$E$256,$Q4478)))</f>
        <v/>
      </c>
      <c r="O4478" s="38" t="n">
        <f aca="false">IF($A4478="",1,IF($Q4478=0,1,INDEX(COA_Mapping!$F$7:$F$256,$Q4478)))</f>
        <v>1</v>
      </c>
      <c r="P4478" s="34" t="str">
        <f aca="false">IF($A4478="","",$I4478*$O4478)</f>
        <v/>
      </c>
      <c r="Q4478" s="39" t="n">
        <f aca="false">IF($B4478="",0,IFERROR(MATCH($B4478,COA_Mapping!$A$7:$A$256,0),0))</f>
        <v>0</v>
      </c>
      <c r="R4478" s="39" t="n">
        <f aca="false">IF($A4478="",-1,IF($J4478=Setup!$B$7,1,IF($J4478=Setup!$B$9,0,-1)))</f>
        <v>-1</v>
      </c>
      <c r="S4478" s="35" t="n">
        <f aca="false">IF(OR($A4478="",$Q4478=0,$R4478=-1),0,$Q4478*1000+$R4478*100+$K4478)</f>
        <v>0</v>
      </c>
      <c r="T4478" s="37" t="str">
        <f aca="false">IF($A4478="","",IF($B4478="","NO ACCOUNT",IF($Q4478=0,"UNMAPPED",IF($R4478=-1,"OUTSIDE FY RANGE","OK"))))</f>
        <v/>
      </c>
      <c r="U4478" s="40" t="str">
        <f aca="false">IF($A4478="","",$B4478&amp;"|"&amp;TEXT($A4478,"yyyymmdd")&amp;"|"&amp;TEXT($I4478,"0.00"))</f>
        <v/>
      </c>
      <c r="V4478" s="35" t="str">
        <f aca="false">IF($A4478="","",COUNTIF($U$8:$U$5007,$U4478))</f>
        <v/>
      </c>
    </row>
    <row r="4479" customFormat="false" ht="15" hidden="false" customHeight="false" outlineLevel="0" collapsed="false">
      <c r="A4479" s="31"/>
      <c r="B4479" s="32"/>
      <c r="C4479" s="32"/>
      <c r="D4479" s="32"/>
      <c r="E4479" s="32"/>
      <c r="F4479" s="32"/>
      <c r="G4479" s="33"/>
      <c r="H4479" s="33"/>
      <c r="I4479" s="34" t="str">
        <f aca="false">IF($A4479="","",$G4479-$H4479)</f>
        <v/>
      </c>
      <c r="J4479" s="35" t="str">
        <f aca="false">IF($A4479="","",IF(Setup!$B$6=1,YEAR($A4479),YEAR($A4479)+IF(MONTH($A4479)&gt;=Setup!$B$6,1,0)))</f>
        <v/>
      </c>
      <c r="K4479" s="35" t="str">
        <f aca="false">IF($A4479="","",MOD(MONTH($A4479)-Setup!$B$6+12,12)+1)</f>
        <v/>
      </c>
      <c r="L4479" s="36" t="str">
        <f aca="false">IF($A4479="","",TEXT($A4479,"MMM-YY"))</f>
        <v/>
      </c>
      <c r="M4479" s="37" t="str">
        <f aca="false">IF($A4479="","",IF($Q4479=0,"UNMAPPED",INDEX(COA_Mapping!$C$7:$C$256,$Q4479)))</f>
        <v/>
      </c>
      <c r="N4479" s="38" t="str">
        <f aca="false">IF($A4479="","",IF($Q4479=0,"",INDEX(COA_Mapping!$E$7:$E$256,$Q4479)))</f>
        <v/>
      </c>
      <c r="O4479" s="38" t="n">
        <f aca="false">IF($A4479="",1,IF($Q4479=0,1,INDEX(COA_Mapping!$F$7:$F$256,$Q4479)))</f>
        <v>1</v>
      </c>
      <c r="P4479" s="34" t="str">
        <f aca="false">IF($A4479="","",$I4479*$O4479)</f>
        <v/>
      </c>
      <c r="Q4479" s="39" t="n">
        <f aca="false">IF($B4479="",0,IFERROR(MATCH($B4479,COA_Mapping!$A$7:$A$256,0),0))</f>
        <v>0</v>
      </c>
      <c r="R4479" s="39" t="n">
        <f aca="false">IF($A4479="",-1,IF($J4479=Setup!$B$7,1,IF($J4479=Setup!$B$9,0,-1)))</f>
        <v>-1</v>
      </c>
      <c r="S4479" s="35" t="n">
        <f aca="false">IF(OR($A4479="",$Q4479=0,$R4479=-1),0,$Q4479*1000+$R4479*100+$K4479)</f>
        <v>0</v>
      </c>
      <c r="T4479" s="37" t="str">
        <f aca="false">IF($A4479="","",IF($B4479="","NO ACCOUNT",IF($Q4479=0,"UNMAPPED",IF($R4479=-1,"OUTSIDE FY RANGE","OK"))))</f>
        <v/>
      </c>
      <c r="U4479" s="40" t="str">
        <f aca="false">IF($A4479="","",$B4479&amp;"|"&amp;TEXT($A4479,"yyyymmdd")&amp;"|"&amp;TEXT($I4479,"0.00"))</f>
        <v/>
      </c>
      <c r="V4479" s="35" t="str">
        <f aca="false">IF($A4479="","",COUNTIF($U$8:$U$5007,$U4479))</f>
        <v/>
      </c>
    </row>
    <row r="4480" customFormat="false" ht="15" hidden="false" customHeight="false" outlineLevel="0" collapsed="false">
      <c r="A4480" s="31"/>
      <c r="B4480" s="32"/>
      <c r="C4480" s="32"/>
      <c r="D4480" s="32"/>
      <c r="E4480" s="32"/>
      <c r="F4480" s="32"/>
      <c r="G4480" s="33"/>
      <c r="H4480" s="33"/>
      <c r="I4480" s="34" t="str">
        <f aca="false">IF($A4480="","",$G4480-$H4480)</f>
        <v/>
      </c>
      <c r="J4480" s="35" t="str">
        <f aca="false">IF($A4480="","",IF(Setup!$B$6=1,YEAR($A4480),YEAR($A4480)+IF(MONTH($A4480)&gt;=Setup!$B$6,1,0)))</f>
        <v/>
      </c>
      <c r="K4480" s="35" t="str">
        <f aca="false">IF($A4480="","",MOD(MONTH($A4480)-Setup!$B$6+12,12)+1)</f>
        <v/>
      </c>
      <c r="L4480" s="36" t="str">
        <f aca="false">IF($A4480="","",TEXT($A4480,"MMM-YY"))</f>
        <v/>
      </c>
      <c r="M4480" s="37" t="str">
        <f aca="false">IF($A4480="","",IF($Q4480=0,"UNMAPPED",INDEX(COA_Mapping!$C$7:$C$256,$Q4480)))</f>
        <v/>
      </c>
      <c r="N4480" s="38" t="str">
        <f aca="false">IF($A4480="","",IF($Q4480=0,"",INDEX(COA_Mapping!$E$7:$E$256,$Q4480)))</f>
        <v/>
      </c>
      <c r="O4480" s="38" t="n">
        <f aca="false">IF($A4480="",1,IF($Q4480=0,1,INDEX(COA_Mapping!$F$7:$F$256,$Q4480)))</f>
        <v>1</v>
      </c>
      <c r="P4480" s="34" t="str">
        <f aca="false">IF($A4480="","",$I4480*$O4480)</f>
        <v/>
      </c>
      <c r="Q4480" s="39" t="n">
        <f aca="false">IF($B4480="",0,IFERROR(MATCH($B4480,COA_Mapping!$A$7:$A$256,0),0))</f>
        <v>0</v>
      </c>
      <c r="R4480" s="39" t="n">
        <f aca="false">IF($A4480="",-1,IF($J4480=Setup!$B$7,1,IF($J4480=Setup!$B$9,0,-1)))</f>
        <v>-1</v>
      </c>
      <c r="S4480" s="35" t="n">
        <f aca="false">IF(OR($A4480="",$Q4480=0,$R4480=-1),0,$Q4480*1000+$R4480*100+$K4480)</f>
        <v>0</v>
      </c>
      <c r="T4480" s="37" t="str">
        <f aca="false">IF($A4480="","",IF($B4480="","NO ACCOUNT",IF($Q4480=0,"UNMAPPED",IF($R4480=-1,"OUTSIDE FY RANGE","OK"))))</f>
        <v/>
      </c>
      <c r="U4480" s="40" t="str">
        <f aca="false">IF($A4480="","",$B4480&amp;"|"&amp;TEXT($A4480,"yyyymmdd")&amp;"|"&amp;TEXT($I4480,"0.00"))</f>
        <v/>
      </c>
      <c r="V4480" s="35" t="str">
        <f aca="false">IF($A4480="","",COUNTIF($U$8:$U$5007,$U4480))</f>
        <v/>
      </c>
    </row>
    <row r="4481" customFormat="false" ht="15" hidden="false" customHeight="false" outlineLevel="0" collapsed="false">
      <c r="A4481" s="31"/>
      <c r="B4481" s="32"/>
      <c r="C4481" s="32"/>
      <c r="D4481" s="32"/>
      <c r="E4481" s="32"/>
      <c r="F4481" s="32"/>
      <c r="G4481" s="33"/>
      <c r="H4481" s="33"/>
      <c r="I4481" s="34" t="str">
        <f aca="false">IF($A4481="","",$G4481-$H4481)</f>
        <v/>
      </c>
      <c r="J4481" s="35" t="str">
        <f aca="false">IF($A4481="","",IF(Setup!$B$6=1,YEAR($A4481),YEAR($A4481)+IF(MONTH($A4481)&gt;=Setup!$B$6,1,0)))</f>
        <v/>
      </c>
      <c r="K4481" s="35" t="str">
        <f aca="false">IF($A4481="","",MOD(MONTH($A4481)-Setup!$B$6+12,12)+1)</f>
        <v/>
      </c>
      <c r="L4481" s="36" t="str">
        <f aca="false">IF($A4481="","",TEXT($A4481,"MMM-YY"))</f>
        <v/>
      </c>
      <c r="M4481" s="37" t="str">
        <f aca="false">IF($A4481="","",IF($Q4481=0,"UNMAPPED",INDEX(COA_Mapping!$C$7:$C$256,$Q4481)))</f>
        <v/>
      </c>
      <c r="N4481" s="38" t="str">
        <f aca="false">IF($A4481="","",IF($Q4481=0,"",INDEX(COA_Mapping!$E$7:$E$256,$Q4481)))</f>
        <v/>
      </c>
      <c r="O4481" s="38" t="n">
        <f aca="false">IF($A4481="",1,IF($Q4481=0,1,INDEX(COA_Mapping!$F$7:$F$256,$Q4481)))</f>
        <v>1</v>
      </c>
      <c r="P4481" s="34" t="str">
        <f aca="false">IF($A4481="","",$I4481*$O4481)</f>
        <v/>
      </c>
      <c r="Q4481" s="39" t="n">
        <f aca="false">IF($B4481="",0,IFERROR(MATCH($B4481,COA_Mapping!$A$7:$A$256,0),0))</f>
        <v>0</v>
      </c>
      <c r="R4481" s="39" t="n">
        <f aca="false">IF($A4481="",-1,IF($J4481=Setup!$B$7,1,IF($J4481=Setup!$B$9,0,-1)))</f>
        <v>-1</v>
      </c>
      <c r="S4481" s="35" t="n">
        <f aca="false">IF(OR($A4481="",$Q4481=0,$R4481=-1),0,$Q4481*1000+$R4481*100+$K4481)</f>
        <v>0</v>
      </c>
      <c r="T4481" s="37" t="str">
        <f aca="false">IF($A4481="","",IF($B4481="","NO ACCOUNT",IF($Q4481=0,"UNMAPPED",IF($R4481=-1,"OUTSIDE FY RANGE","OK"))))</f>
        <v/>
      </c>
      <c r="U4481" s="40" t="str">
        <f aca="false">IF($A4481="","",$B4481&amp;"|"&amp;TEXT($A4481,"yyyymmdd")&amp;"|"&amp;TEXT($I4481,"0.00"))</f>
        <v/>
      </c>
      <c r="V4481" s="35" t="str">
        <f aca="false">IF($A4481="","",COUNTIF($U$8:$U$5007,$U4481))</f>
        <v/>
      </c>
    </row>
    <row r="4482" customFormat="false" ht="15" hidden="false" customHeight="false" outlineLevel="0" collapsed="false">
      <c r="A4482" s="31"/>
      <c r="B4482" s="32"/>
      <c r="C4482" s="32"/>
      <c r="D4482" s="32"/>
      <c r="E4482" s="32"/>
      <c r="F4482" s="32"/>
      <c r="G4482" s="33"/>
      <c r="H4482" s="33"/>
      <c r="I4482" s="34" t="str">
        <f aca="false">IF($A4482="","",$G4482-$H4482)</f>
        <v/>
      </c>
      <c r="J4482" s="35" t="str">
        <f aca="false">IF($A4482="","",IF(Setup!$B$6=1,YEAR($A4482),YEAR($A4482)+IF(MONTH($A4482)&gt;=Setup!$B$6,1,0)))</f>
        <v/>
      </c>
      <c r="K4482" s="35" t="str">
        <f aca="false">IF($A4482="","",MOD(MONTH($A4482)-Setup!$B$6+12,12)+1)</f>
        <v/>
      </c>
      <c r="L4482" s="36" t="str">
        <f aca="false">IF($A4482="","",TEXT($A4482,"MMM-YY"))</f>
        <v/>
      </c>
      <c r="M4482" s="37" t="str">
        <f aca="false">IF($A4482="","",IF($Q4482=0,"UNMAPPED",INDEX(COA_Mapping!$C$7:$C$256,$Q4482)))</f>
        <v/>
      </c>
      <c r="N4482" s="38" t="str">
        <f aca="false">IF($A4482="","",IF($Q4482=0,"",INDEX(COA_Mapping!$E$7:$E$256,$Q4482)))</f>
        <v/>
      </c>
      <c r="O4482" s="38" t="n">
        <f aca="false">IF($A4482="",1,IF($Q4482=0,1,INDEX(COA_Mapping!$F$7:$F$256,$Q4482)))</f>
        <v>1</v>
      </c>
      <c r="P4482" s="34" t="str">
        <f aca="false">IF($A4482="","",$I4482*$O4482)</f>
        <v/>
      </c>
      <c r="Q4482" s="39" t="n">
        <f aca="false">IF($B4482="",0,IFERROR(MATCH($B4482,COA_Mapping!$A$7:$A$256,0),0))</f>
        <v>0</v>
      </c>
      <c r="R4482" s="39" t="n">
        <f aca="false">IF($A4482="",-1,IF($J4482=Setup!$B$7,1,IF($J4482=Setup!$B$9,0,-1)))</f>
        <v>-1</v>
      </c>
      <c r="S4482" s="35" t="n">
        <f aca="false">IF(OR($A4482="",$Q4482=0,$R4482=-1),0,$Q4482*1000+$R4482*100+$K4482)</f>
        <v>0</v>
      </c>
      <c r="T4482" s="37" t="str">
        <f aca="false">IF($A4482="","",IF($B4482="","NO ACCOUNT",IF($Q4482=0,"UNMAPPED",IF($R4482=-1,"OUTSIDE FY RANGE","OK"))))</f>
        <v/>
      </c>
      <c r="U4482" s="40" t="str">
        <f aca="false">IF($A4482="","",$B4482&amp;"|"&amp;TEXT($A4482,"yyyymmdd")&amp;"|"&amp;TEXT($I4482,"0.00"))</f>
        <v/>
      </c>
      <c r="V4482" s="35" t="str">
        <f aca="false">IF($A4482="","",COUNTIF($U$8:$U$5007,$U4482))</f>
        <v/>
      </c>
    </row>
    <row r="4483" customFormat="false" ht="15" hidden="false" customHeight="false" outlineLevel="0" collapsed="false">
      <c r="A4483" s="31"/>
      <c r="B4483" s="32"/>
      <c r="C4483" s="32"/>
      <c r="D4483" s="32"/>
      <c r="E4483" s="32"/>
      <c r="F4483" s="32"/>
      <c r="G4483" s="33"/>
      <c r="H4483" s="33"/>
      <c r="I4483" s="34" t="str">
        <f aca="false">IF($A4483="","",$G4483-$H4483)</f>
        <v/>
      </c>
      <c r="J4483" s="35" t="str">
        <f aca="false">IF($A4483="","",IF(Setup!$B$6=1,YEAR($A4483),YEAR($A4483)+IF(MONTH($A4483)&gt;=Setup!$B$6,1,0)))</f>
        <v/>
      </c>
      <c r="K4483" s="35" t="str">
        <f aca="false">IF($A4483="","",MOD(MONTH($A4483)-Setup!$B$6+12,12)+1)</f>
        <v/>
      </c>
      <c r="L4483" s="36" t="str">
        <f aca="false">IF($A4483="","",TEXT($A4483,"MMM-YY"))</f>
        <v/>
      </c>
      <c r="M4483" s="37" t="str">
        <f aca="false">IF($A4483="","",IF($Q4483=0,"UNMAPPED",INDEX(COA_Mapping!$C$7:$C$256,$Q4483)))</f>
        <v/>
      </c>
      <c r="N4483" s="38" t="str">
        <f aca="false">IF($A4483="","",IF($Q4483=0,"",INDEX(COA_Mapping!$E$7:$E$256,$Q4483)))</f>
        <v/>
      </c>
      <c r="O4483" s="38" t="n">
        <f aca="false">IF($A4483="",1,IF($Q4483=0,1,INDEX(COA_Mapping!$F$7:$F$256,$Q4483)))</f>
        <v>1</v>
      </c>
      <c r="P4483" s="34" t="str">
        <f aca="false">IF($A4483="","",$I4483*$O4483)</f>
        <v/>
      </c>
      <c r="Q4483" s="39" t="n">
        <f aca="false">IF($B4483="",0,IFERROR(MATCH($B4483,COA_Mapping!$A$7:$A$256,0),0))</f>
        <v>0</v>
      </c>
      <c r="R4483" s="39" t="n">
        <f aca="false">IF($A4483="",-1,IF($J4483=Setup!$B$7,1,IF($J4483=Setup!$B$9,0,-1)))</f>
        <v>-1</v>
      </c>
      <c r="S4483" s="35" t="n">
        <f aca="false">IF(OR($A4483="",$Q4483=0,$R4483=-1),0,$Q4483*1000+$R4483*100+$K4483)</f>
        <v>0</v>
      </c>
      <c r="T4483" s="37" t="str">
        <f aca="false">IF($A4483="","",IF($B4483="","NO ACCOUNT",IF($Q4483=0,"UNMAPPED",IF($R4483=-1,"OUTSIDE FY RANGE","OK"))))</f>
        <v/>
      </c>
      <c r="U4483" s="40" t="str">
        <f aca="false">IF($A4483="","",$B4483&amp;"|"&amp;TEXT($A4483,"yyyymmdd")&amp;"|"&amp;TEXT($I4483,"0.00"))</f>
        <v/>
      </c>
      <c r="V4483" s="35" t="str">
        <f aca="false">IF($A4483="","",COUNTIF($U$8:$U$5007,$U4483))</f>
        <v/>
      </c>
    </row>
    <row r="4484" customFormat="false" ht="15" hidden="false" customHeight="false" outlineLevel="0" collapsed="false">
      <c r="A4484" s="31"/>
      <c r="B4484" s="32"/>
      <c r="C4484" s="32"/>
      <c r="D4484" s="32"/>
      <c r="E4484" s="32"/>
      <c r="F4484" s="32"/>
      <c r="G4484" s="33"/>
      <c r="H4484" s="33"/>
      <c r="I4484" s="34" t="str">
        <f aca="false">IF($A4484="","",$G4484-$H4484)</f>
        <v/>
      </c>
      <c r="J4484" s="35" t="str">
        <f aca="false">IF($A4484="","",IF(Setup!$B$6=1,YEAR($A4484),YEAR($A4484)+IF(MONTH($A4484)&gt;=Setup!$B$6,1,0)))</f>
        <v/>
      </c>
      <c r="K4484" s="35" t="str">
        <f aca="false">IF($A4484="","",MOD(MONTH($A4484)-Setup!$B$6+12,12)+1)</f>
        <v/>
      </c>
      <c r="L4484" s="36" t="str">
        <f aca="false">IF($A4484="","",TEXT($A4484,"MMM-YY"))</f>
        <v/>
      </c>
      <c r="M4484" s="37" t="str">
        <f aca="false">IF($A4484="","",IF($Q4484=0,"UNMAPPED",INDEX(COA_Mapping!$C$7:$C$256,$Q4484)))</f>
        <v/>
      </c>
      <c r="N4484" s="38" t="str">
        <f aca="false">IF($A4484="","",IF($Q4484=0,"",INDEX(COA_Mapping!$E$7:$E$256,$Q4484)))</f>
        <v/>
      </c>
      <c r="O4484" s="38" t="n">
        <f aca="false">IF($A4484="",1,IF($Q4484=0,1,INDEX(COA_Mapping!$F$7:$F$256,$Q4484)))</f>
        <v>1</v>
      </c>
      <c r="P4484" s="34" t="str">
        <f aca="false">IF($A4484="","",$I4484*$O4484)</f>
        <v/>
      </c>
      <c r="Q4484" s="39" t="n">
        <f aca="false">IF($B4484="",0,IFERROR(MATCH($B4484,COA_Mapping!$A$7:$A$256,0),0))</f>
        <v>0</v>
      </c>
      <c r="R4484" s="39" t="n">
        <f aca="false">IF($A4484="",-1,IF($J4484=Setup!$B$7,1,IF($J4484=Setup!$B$9,0,-1)))</f>
        <v>-1</v>
      </c>
      <c r="S4484" s="35" t="n">
        <f aca="false">IF(OR($A4484="",$Q4484=0,$R4484=-1),0,$Q4484*1000+$R4484*100+$K4484)</f>
        <v>0</v>
      </c>
      <c r="T4484" s="37" t="str">
        <f aca="false">IF($A4484="","",IF($B4484="","NO ACCOUNT",IF($Q4484=0,"UNMAPPED",IF($R4484=-1,"OUTSIDE FY RANGE","OK"))))</f>
        <v/>
      </c>
      <c r="U4484" s="40" t="str">
        <f aca="false">IF($A4484="","",$B4484&amp;"|"&amp;TEXT($A4484,"yyyymmdd")&amp;"|"&amp;TEXT($I4484,"0.00"))</f>
        <v/>
      </c>
      <c r="V4484" s="35" t="str">
        <f aca="false">IF($A4484="","",COUNTIF($U$8:$U$5007,$U4484))</f>
        <v/>
      </c>
    </row>
    <row r="4485" customFormat="false" ht="15" hidden="false" customHeight="false" outlineLevel="0" collapsed="false">
      <c r="A4485" s="31"/>
      <c r="B4485" s="32"/>
      <c r="C4485" s="32"/>
      <c r="D4485" s="32"/>
      <c r="E4485" s="32"/>
      <c r="F4485" s="32"/>
      <c r="G4485" s="33"/>
      <c r="H4485" s="33"/>
      <c r="I4485" s="34" t="str">
        <f aca="false">IF($A4485="","",$G4485-$H4485)</f>
        <v/>
      </c>
      <c r="J4485" s="35" t="str">
        <f aca="false">IF($A4485="","",IF(Setup!$B$6=1,YEAR($A4485),YEAR($A4485)+IF(MONTH($A4485)&gt;=Setup!$B$6,1,0)))</f>
        <v/>
      </c>
      <c r="K4485" s="35" t="str">
        <f aca="false">IF($A4485="","",MOD(MONTH($A4485)-Setup!$B$6+12,12)+1)</f>
        <v/>
      </c>
      <c r="L4485" s="36" t="str">
        <f aca="false">IF($A4485="","",TEXT($A4485,"MMM-YY"))</f>
        <v/>
      </c>
      <c r="M4485" s="37" t="str">
        <f aca="false">IF($A4485="","",IF($Q4485=0,"UNMAPPED",INDEX(COA_Mapping!$C$7:$C$256,$Q4485)))</f>
        <v/>
      </c>
      <c r="N4485" s="38" t="str">
        <f aca="false">IF($A4485="","",IF($Q4485=0,"",INDEX(COA_Mapping!$E$7:$E$256,$Q4485)))</f>
        <v/>
      </c>
      <c r="O4485" s="38" t="n">
        <f aca="false">IF($A4485="",1,IF($Q4485=0,1,INDEX(COA_Mapping!$F$7:$F$256,$Q4485)))</f>
        <v>1</v>
      </c>
      <c r="P4485" s="34" t="str">
        <f aca="false">IF($A4485="","",$I4485*$O4485)</f>
        <v/>
      </c>
      <c r="Q4485" s="39" t="n">
        <f aca="false">IF($B4485="",0,IFERROR(MATCH($B4485,COA_Mapping!$A$7:$A$256,0),0))</f>
        <v>0</v>
      </c>
      <c r="R4485" s="39" t="n">
        <f aca="false">IF($A4485="",-1,IF($J4485=Setup!$B$7,1,IF($J4485=Setup!$B$9,0,-1)))</f>
        <v>-1</v>
      </c>
      <c r="S4485" s="35" t="n">
        <f aca="false">IF(OR($A4485="",$Q4485=0,$R4485=-1),0,$Q4485*1000+$R4485*100+$K4485)</f>
        <v>0</v>
      </c>
      <c r="T4485" s="37" t="str">
        <f aca="false">IF($A4485="","",IF($B4485="","NO ACCOUNT",IF($Q4485=0,"UNMAPPED",IF($R4485=-1,"OUTSIDE FY RANGE","OK"))))</f>
        <v/>
      </c>
      <c r="U4485" s="40" t="str">
        <f aca="false">IF($A4485="","",$B4485&amp;"|"&amp;TEXT($A4485,"yyyymmdd")&amp;"|"&amp;TEXT($I4485,"0.00"))</f>
        <v/>
      </c>
      <c r="V4485" s="35" t="str">
        <f aca="false">IF($A4485="","",COUNTIF($U$8:$U$5007,$U4485))</f>
        <v/>
      </c>
    </row>
    <row r="4486" customFormat="false" ht="15" hidden="false" customHeight="false" outlineLevel="0" collapsed="false">
      <c r="A4486" s="31"/>
      <c r="B4486" s="32"/>
      <c r="C4486" s="32"/>
      <c r="D4486" s="32"/>
      <c r="E4486" s="32"/>
      <c r="F4486" s="32"/>
      <c r="G4486" s="33"/>
      <c r="H4486" s="33"/>
      <c r="I4486" s="34" t="str">
        <f aca="false">IF($A4486="","",$G4486-$H4486)</f>
        <v/>
      </c>
      <c r="J4486" s="35" t="str">
        <f aca="false">IF($A4486="","",IF(Setup!$B$6=1,YEAR($A4486),YEAR($A4486)+IF(MONTH($A4486)&gt;=Setup!$B$6,1,0)))</f>
        <v/>
      </c>
      <c r="K4486" s="35" t="str">
        <f aca="false">IF($A4486="","",MOD(MONTH($A4486)-Setup!$B$6+12,12)+1)</f>
        <v/>
      </c>
      <c r="L4486" s="36" t="str">
        <f aca="false">IF($A4486="","",TEXT($A4486,"MMM-YY"))</f>
        <v/>
      </c>
      <c r="M4486" s="37" t="str">
        <f aca="false">IF($A4486="","",IF($Q4486=0,"UNMAPPED",INDEX(COA_Mapping!$C$7:$C$256,$Q4486)))</f>
        <v/>
      </c>
      <c r="N4486" s="38" t="str">
        <f aca="false">IF($A4486="","",IF($Q4486=0,"",INDEX(COA_Mapping!$E$7:$E$256,$Q4486)))</f>
        <v/>
      </c>
      <c r="O4486" s="38" t="n">
        <f aca="false">IF($A4486="",1,IF($Q4486=0,1,INDEX(COA_Mapping!$F$7:$F$256,$Q4486)))</f>
        <v>1</v>
      </c>
      <c r="P4486" s="34" t="str">
        <f aca="false">IF($A4486="","",$I4486*$O4486)</f>
        <v/>
      </c>
      <c r="Q4486" s="39" t="n">
        <f aca="false">IF($B4486="",0,IFERROR(MATCH($B4486,COA_Mapping!$A$7:$A$256,0),0))</f>
        <v>0</v>
      </c>
      <c r="R4486" s="39" t="n">
        <f aca="false">IF($A4486="",-1,IF($J4486=Setup!$B$7,1,IF($J4486=Setup!$B$9,0,-1)))</f>
        <v>-1</v>
      </c>
      <c r="S4486" s="35" t="n">
        <f aca="false">IF(OR($A4486="",$Q4486=0,$R4486=-1),0,$Q4486*1000+$R4486*100+$K4486)</f>
        <v>0</v>
      </c>
      <c r="T4486" s="37" t="str">
        <f aca="false">IF($A4486="","",IF($B4486="","NO ACCOUNT",IF($Q4486=0,"UNMAPPED",IF($R4486=-1,"OUTSIDE FY RANGE","OK"))))</f>
        <v/>
      </c>
      <c r="U4486" s="40" t="str">
        <f aca="false">IF($A4486="","",$B4486&amp;"|"&amp;TEXT($A4486,"yyyymmdd")&amp;"|"&amp;TEXT($I4486,"0.00"))</f>
        <v/>
      </c>
      <c r="V4486" s="35" t="str">
        <f aca="false">IF($A4486="","",COUNTIF($U$8:$U$5007,$U4486))</f>
        <v/>
      </c>
    </row>
    <row r="4487" customFormat="false" ht="15" hidden="false" customHeight="false" outlineLevel="0" collapsed="false">
      <c r="A4487" s="31"/>
      <c r="B4487" s="32"/>
      <c r="C4487" s="32"/>
      <c r="D4487" s="32"/>
      <c r="E4487" s="32"/>
      <c r="F4487" s="32"/>
      <c r="G4487" s="33"/>
      <c r="H4487" s="33"/>
      <c r="I4487" s="34" t="str">
        <f aca="false">IF($A4487="","",$G4487-$H4487)</f>
        <v/>
      </c>
      <c r="J4487" s="35" t="str">
        <f aca="false">IF($A4487="","",IF(Setup!$B$6=1,YEAR($A4487),YEAR($A4487)+IF(MONTH($A4487)&gt;=Setup!$B$6,1,0)))</f>
        <v/>
      </c>
      <c r="K4487" s="35" t="str">
        <f aca="false">IF($A4487="","",MOD(MONTH($A4487)-Setup!$B$6+12,12)+1)</f>
        <v/>
      </c>
      <c r="L4487" s="36" t="str">
        <f aca="false">IF($A4487="","",TEXT($A4487,"MMM-YY"))</f>
        <v/>
      </c>
      <c r="M4487" s="37" t="str">
        <f aca="false">IF($A4487="","",IF($Q4487=0,"UNMAPPED",INDEX(COA_Mapping!$C$7:$C$256,$Q4487)))</f>
        <v/>
      </c>
      <c r="N4487" s="38" t="str">
        <f aca="false">IF($A4487="","",IF($Q4487=0,"",INDEX(COA_Mapping!$E$7:$E$256,$Q4487)))</f>
        <v/>
      </c>
      <c r="O4487" s="38" t="n">
        <f aca="false">IF($A4487="",1,IF($Q4487=0,1,INDEX(COA_Mapping!$F$7:$F$256,$Q4487)))</f>
        <v>1</v>
      </c>
      <c r="P4487" s="34" t="str">
        <f aca="false">IF($A4487="","",$I4487*$O4487)</f>
        <v/>
      </c>
      <c r="Q4487" s="39" t="n">
        <f aca="false">IF($B4487="",0,IFERROR(MATCH($B4487,COA_Mapping!$A$7:$A$256,0),0))</f>
        <v>0</v>
      </c>
      <c r="R4487" s="39" t="n">
        <f aca="false">IF($A4487="",-1,IF($J4487=Setup!$B$7,1,IF($J4487=Setup!$B$9,0,-1)))</f>
        <v>-1</v>
      </c>
      <c r="S4487" s="35" t="n">
        <f aca="false">IF(OR($A4487="",$Q4487=0,$R4487=-1),0,$Q4487*1000+$R4487*100+$K4487)</f>
        <v>0</v>
      </c>
      <c r="T4487" s="37" t="str">
        <f aca="false">IF($A4487="","",IF($B4487="","NO ACCOUNT",IF($Q4487=0,"UNMAPPED",IF($R4487=-1,"OUTSIDE FY RANGE","OK"))))</f>
        <v/>
      </c>
      <c r="U4487" s="40" t="str">
        <f aca="false">IF($A4487="","",$B4487&amp;"|"&amp;TEXT($A4487,"yyyymmdd")&amp;"|"&amp;TEXT($I4487,"0.00"))</f>
        <v/>
      </c>
      <c r="V4487" s="35" t="str">
        <f aca="false">IF($A4487="","",COUNTIF($U$8:$U$5007,$U4487))</f>
        <v/>
      </c>
    </row>
    <row r="4488" customFormat="false" ht="15" hidden="false" customHeight="false" outlineLevel="0" collapsed="false">
      <c r="A4488" s="31"/>
      <c r="B4488" s="32"/>
      <c r="C4488" s="32"/>
      <c r="D4488" s="32"/>
      <c r="E4488" s="32"/>
      <c r="F4488" s="32"/>
      <c r="G4488" s="33"/>
      <c r="H4488" s="33"/>
      <c r="I4488" s="34" t="str">
        <f aca="false">IF($A4488="","",$G4488-$H4488)</f>
        <v/>
      </c>
      <c r="J4488" s="35" t="str">
        <f aca="false">IF($A4488="","",IF(Setup!$B$6=1,YEAR($A4488),YEAR($A4488)+IF(MONTH($A4488)&gt;=Setup!$B$6,1,0)))</f>
        <v/>
      </c>
      <c r="K4488" s="35" t="str">
        <f aca="false">IF($A4488="","",MOD(MONTH($A4488)-Setup!$B$6+12,12)+1)</f>
        <v/>
      </c>
      <c r="L4488" s="36" t="str">
        <f aca="false">IF($A4488="","",TEXT($A4488,"MMM-YY"))</f>
        <v/>
      </c>
      <c r="M4488" s="37" t="str">
        <f aca="false">IF($A4488="","",IF($Q4488=0,"UNMAPPED",INDEX(COA_Mapping!$C$7:$C$256,$Q4488)))</f>
        <v/>
      </c>
      <c r="N4488" s="38" t="str">
        <f aca="false">IF($A4488="","",IF($Q4488=0,"",INDEX(COA_Mapping!$E$7:$E$256,$Q4488)))</f>
        <v/>
      </c>
      <c r="O4488" s="38" t="n">
        <f aca="false">IF($A4488="",1,IF($Q4488=0,1,INDEX(COA_Mapping!$F$7:$F$256,$Q4488)))</f>
        <v>1</v>
      </c>
      <c r="P4488" s="34" t="str">
        <f aca="false">IF($A4488="","",$I4488*$O4488)</f>
        <v/>
      </c>
      <c r="Q4488" s="39" t="n">
        <f aca="false">IF($B4488="",0,IFERROR(MATCH($B4488,COA_Mapping!$A$7:$A$256,0),0))</f>
        <v>0</v>
      </c>
      <c r="R4488" s="39" t="n">
        <f aca="false">IF($A4488="",-1,IF($J4488=Setup!$B$7,1,IF($J4488=Setup!$B$9,0,-1)))</f>
        <v>-1</v>
      </c>
      <c r="S4488" s="35" t="n">
        <f aca="false">IF(OR($A4488="",$Q4488=0,$R4488=-1),0,$Q4488*1000+$R4488*100+$K4488)</f>
        <v>0</v>
      </c>
      <c r="T4488" s="37" t="str">
        <f aca="false">IF($A4488="","",IF($B4488="","NO ACCOUNT",IF($Q4488=0,"UNMAPPED",IF($R4488=-1,"OUTSIDE FY RANGE","OK"))))</f>
        <v/>
      </c>
      <c r="U4488" s="40" t="str">
        <f aca="false">IF($A4488="","",$B4488&amp;"|"&amp;TEXT($A4488,"yyyymmdd")&amp;"|"&amp;TEXT($I4488,"0.00"))</f>
        <v/>
      </c>
      <c r="V4488" s="35" t="str">
        <f aca="false">IF($A4488="","",COUNTIF($U$8:$U$5007,$U4488))</f>
        <v/>
      </c>
    </row>
    <row r="4489" customFormat="false" ht="15" hidden="false" customHeight="false" outlineLevel="0" collapsed="false">
      <c r="A4489" s="31"/>
      <c r="B4489" s="32"/>
      <c r="C4489" s="32"/>
      <c r="D4489" s="32"/>
      <c r="E4489" s="32"/>
      <c r="F4489" s="32"/>
      <c r="G4489" s="33"/>
      <c r="H4489" s="33"/>
      <c r="I4489" s="34" t="str">
        <f aca="false">IF($A4489="","",$G4489-$H4489)</f>
        <v/>
      </c>
      <c r="J4489" s="35" t="str">
        <f aca="false">IF($A4489="","",IF(Setup!$B$6=1,YEAR($A4489),YEAR($A4489)+IF(MONTH($A4489)&gt;=Setup!$B$6,1,0)))</f>
        <v/>
      </c>
      <c r="K4489" s="35" t="str">
        <f aca="false">IF($A4489="","",MOD(MONTH($A4489)-Setup!$B$6+12,12)+1)</f>
        <v/>
      </c>
      <c r="L4489" s="36" t="str">
        <f aca="false">IF($A4489="","",TEXT($A4489,"MMM-YY"))</f>
        <v/>
      </c>
      <c r="M4489" s="37" t="str">
        <f aca="false">IF($A4489="","",IF($Q4489=0,"UNMAPPED",INDEX(COA_Mapping!$C$7:$C$256,$Q4489)))</f>
        <v/>
      </c>
      <c r="N4489" s="38" t="str">
        <f aca="false">IF($A4489="","",IF($Q4489=0,"",INDEX(COA_Mapping!$E$7:$E$256,$Q4489)))</f>
        <v/>
      </c>
      <c r="O4489" s="38" t="n">
        <f aca="false">IF($A4489="",1,IF($Q4489=0,1,INDEX(COA_Mapping!$F$7:$F$256,$Q4489)))</f>
        <v>1</v>
      </c>
      <c r="P4489" s="34" t="str">
        <f aca="false">IF($A4489="","",$I4489*$O4489)</f>
        <v/>
      </c>
      <c r="Q4489" s="39" t="n">
        <f aca="false">IF($B4489="",0,IFERROR(MATCH($B4489,COA_Mapping!$A$7:$A$256,0),0))</f>
        <v>0</v>
      </c>
      <c r="R4489" s="39" t="n">
        <f aca="false">IF($A4489="",-1,IF($J4489=Setup!$B$7,1,IF($J4489=Setup!$B$9,0,-1)))</f>
        <v>-1</v>
      </c>
      <c r="S4489" s="35" t="n">
        <f aca="false">IF(OR($A4489="",$Q4489=0,$R4489=-1),0,$Q4489*1000+$R4489*100+$K4489)</f>
        <v>0</v>
      </c>
      <c r="T4489" s="37" t="str">
        <f aca="false">IF($A4489="","",IF($B4489="","NO ACCOUNT",IF($Q4489=0,"UNMAPPED",IF($R4489=-1,"OUTSIDE FY RANGE","OK"))))</f>
        <v/>
      </c>
      <c r="U4489" s="40" t="str">
        <f aca="false">IF($A4489="","",$B4489&amp;"|"&amp;TEXT($A4489,"yyyymmdd")&amp;"|"&amp;TEXT($I4489,"0.00"))</f>
        <v/>
      </c>
      <c r="V4489" s="35" t="str">
        <f aca="false">IF($A4489="","",COUNTIF($U$8:$U$5007,$U4489))</f>
        <v/>
      </c>
    </row>
    <row r="4490" customFormat="false" ht="15" hidden="false" customHeight="false" outlineLevel="0" collapsed="false">
      <c r="A4490" s="31"/>
      <c r="B4490" s="32"/>
      <c r="C4490" s="32"/>
      <c r="D4490" s="32"/>
      <c r="E4490" s="32"/>
      <c r="F4490" s="32"/>
      <c r="G4490" s="33"/>
      <c r="H4490" s="33"/>
      <c r="I4490" s="34" t="str">
        <f aca="false">IF($A4490="","",$G4490-$H4490)</f>
        <v/>
      </c>
      <c r="J4490" s="35" t="str">
        <f aca="false">IF($A4490="","",IF(Setup!$B$6=1,YEAR($A4490),YEAR($A4490)+IF(MONTH($A4490)&gt;=Setup!$B$6,1,0)))</f>
        <v/>
      </c>
      <c r="K4490" s="35" t="str">
        <f aca="false">IF($A4490="","",MOD(MONTH($A4490)-Setup!$B$6+12,12)+1)</f>
        <v/>
      </c>
      <c r="L4490" s="36" t="str">
        <f aca="false">IF($A4490="","",TEXT($A4490,"MMM-YY"))</f>
        <v/>
      </c>
      <c r="M4490" s="37" t="str">
        <f aca="false">IF($A4490="","",IF($Q4490=0,"UNMAPPED",INDEX(COA_Mapping!$C$7:$C$256,$Q4490)))</f>
        <v/>
      </c>
      <c r="N4490" s="38" t="str">
        <f aca="false">IF($A4490="","",IF($Q4490=0,"",INDEX(COA_Mapping!$E$7:$E$256,$Q4490)))</f>
        <v/>
      </c>
      <c r="O4490" s="38" t="n">
        <f aca="false">IF($A4490="",1,IF($Q4490=0,1,INDEX(COA_Mapping!$F$7:$F$256,$Q4490)))</f>
        <v>1</v>
      </c>
      <c r="P4490" s="34" t="str">
        <f aca="false">IF($A4490="","",$I4490*$O4490)</f>
        <v/>
      </c>
      <c r="Q4490" s="39" t="n">
        <f aca="false">IF($B4490="",0,IFERROR(MATCH($B4490,COA_Mapping!$A$7:$A$256,0),0))</f>
        <v>0</v>
      </c>
      <c r="R4490" s="39" t="n">
        <f aca="false">IF($A4490="",-1,IF($J4490=Setup!$B$7,1,IF($J4490=Setup!$B$9,0,-1)))</f>
        <v>-1</v>
      </c>
      <c r="S4490" s="35" t="n">
        <f aca="false">IF(OR($A4490="",$Q4490=0,$R4490=-1),0,$Q4490*1000+$R4490*100+$K4490)</f>
        <v>0</v>
      </c>
      <c r="T4490" s="37" t="str">
        <f aca="false">IF($A4490="","",IF($B4490="","NO ACCOUNT",IF($Q4490=0,"UNMAPPED",IF($R4490=-1,"OUTSIDE FY RANGE","OK"))))</f>
        <v/>
      </c>
      <c r="U4490" s="40" t="str">
        <f aca="false">IF($A4490="","",$B4490&amp;"|"&amp;TEXT($A4490,"yyyymmdd")&amp;"|"&amp;TEXT($I4490,"0.00"))</f>
        <v/>
      </c>
      <c r="V4490" s="35" t="str">
        <f aca="false">IF($A4490="","",COUNTIF($U$8:$U$5007,$U4490))</f>
        <v/>
      </c>
    </row>
    <row r="4491" customFormat="false" ht="15" hidden="false" customHeight="false" outlineLevel="0" collapsed="false">
      <c r="A4491" s="31"/>
      <c r="B4491" s="32"/>
      <c r="C4491" s="32"/>
      <c r="D4491" s="32"/>
      <c r="E4491" s="32"/>
      <c r="F4491" s="32"/>
      <c r="G4491" s="33"/>
      <c r="H4491" s="33"/>
      <c r="I4491" s="34" t="str">
        <f aca="false">IF($A4491="","",$G4491-$H4491)</f>
        <v/>
      </c>
      <c r="J4491" s="35" t="str">
        <f aca="false">IF($A4491="","",IF(Setup!$B$6=1,YEAR($A4491),YEAR($A4491)+IF(MONTH($A4491)&gt;=Setup!$B$6,1,0)))</f>
        <v/>
      </c>
      <c r="K4491" s="35" t="str">
        <f aca="false">IF($A4491="","",MOD(MONTH($A4491)-Setup!$B$6+12,12)+1)</f>
        <v/>
      </c>
      <c r="L4491" s="36" t="str">
        <f aca="false">IF($A4491="","",TEXT($A4491,"MMM-YY"))</f>
        <v/>
      </c>
      <c r="M4491" s="37" t="str">
        <f aca="false">IF($A4491="","",IF($Q4491=0,"UNMAPPED",INDEX(COA_Mapping!$C$7:$C$256,$Q4491)))</f>
        <v/>
      </c>
      <c r="N4491" s="38" t="str">
        <f aca="false">IF($A4491="","",IF($Q4491=0,"",INDEX(COA_Mapping!$E$7:$E$256,$Q4491)))</f>
        <v/>
      </c>
      <c r="O4491" s="38" t="n">
        <f aca="false">IF($A4491="",1,IF($Q4491=0,1,INDEX(COA_Mapping!$F$7:$F$256,$Q4491)))</f>
        <v>1</v>
      </c>
      <c r="P4491" s="34" t="str">
        <f aca="false">IF($A4491="","",$I4491*$O4491)</f>
        <v/>
      </c>
      <c r="Q4491" s="39" t="n">
        <f aca="false">IF($B4491="",0,IFERROR(MATCH($B4491,COA_Mapping!$A$7:$A$256,0),0))</f>
        <v>0</v>
      </c>
      <c r="R4491" s="39" t="n">
        <f aca="false">IF($A4491="",-1,IF($J4491=Setup!$B$7,1,IF($J4491=Setup!$B$9,0,-1)))</f>
        <v>-1</v>
      </c>
      <c r="S4491" s="35" t="n">
        <f aca="false">IF(OR($A4491="",$Q4491=0,$R4491=-1),0,$Q4491*1000+$R4491*100+$K4491)</f>
        <v>0</v>
      </c>
      <c r="T4491" s="37" t="str">
        <f aca="false">IF($A4491="","",IF($B4491="","NO ACCOUNT",IF($Q4491=0,"UNMAPPED",IF($R4491=-1,"OUTSIDE FY RANGE","OK"))))</f>
        <v/>
      </c>
      <c r="U4491" s="40" t="str">
        <f aca="false">IF($A4491="","",$B4491&amp;"|"&amp;TEXT($A4491,"yyyymmdd")&amp;"|"&amp;TEXT($I4491,"0.00"))</f>
        <v/>
      </c>
      <c r="V4491" s="35" t="str">
        <f aca="false">IF($A4491="","",COUNTIF($U$8:$U$5007,$U4491))</f>
        <v/>
      </c>
    </row>
    <row r="4492" customFormat="false" ht="15" hidden="false" customHeight="false" outlineLevel="0" collapsed="false">
      <c r="A4492" s="31"/>
      <c r="B4492" s="32"/>
      <c r="C4492" s="32"/>
      <c r="D4492" s="32"/>
      <c r="E4492" s="32"/>
      <c r="F4492" s="32"/>
      <c r="G4492" s="33"/>
      <c r="H4492" s="33"/>
      <c r="I4492" s="34" t="str">
        <f aca="false">IF($A4492="","",$G4492-$H4492)</f>
        <v/>
      </c>
      <c r="J4492" s="35" t="str">
        <f aca="false">IF($A4492="","",IF(Setup!$B$6=1,YEAR($A4492),YEAR($A4492)+IF(MONTH($A4492)&gt;=Setup!$B$6,1,0)))</f>
        <v/>
      </c>
      <c r="K4492" s="35" t="str">
        <f aca="false">IF($A4492="","",MOD(MONTH($A4492)-Setup!$B$6+12,12)+1)</f>
        <v/>
      </c>
      <c r="L4492" s="36" t="str">
        <f aca="false">IF($A4492="","",TEXT($A4492,"MMM-YY"))</f>
        <v/>
      </c>
      <c r="M4492" s="37" t="str">
        <f aca="false">IF($A4492="","",IF($Q4492=0,"UNMAPPED",INDEX(COA_Mapping!$C$7:$C$256,$Q4492)))</f>
        <v/>
      </c>
      <c r="N4492" s="38" t="str">
        <f aca="false">IF($A4492="","",IF($Q4492=0,"",INDEX(COA_Mapping!$E$7:$E$256,$Q4492)))</f>
        <v/>
      </c>
      <c r="O4492" s="38" t="n">
        <f aca="false">IF($A4492="",1,IF($Q4492=0,1,INDEX(COA_Mapping!$F$7:$F$256,$Q4492)))</f>
        <v>1</v>
      </c>
      <c r="P4492" s="34" t="str">
        <f aca="false">IF($A4492="","",$I4492*$O4492)</f>
        <v/>
      </c>
      <c r="Q4492" s="39" t="n">
        <f aca="false">IF($B4492="",0,IFERROR(MATCH($B4492,COA_Mapping!$A$7:$A$256,0),0))</f>
        <v>0</v>
      </c>
      <c r="R4492" s="39" t="n">
        <f aca="false">IF($A4492="",-1,IF($J4492=Setup!$B$7,1,IF($J4492=Setup!$B$9,0,-1)))</f>
        <v>-1</v>
      </c>
      <c r="S4492" s="35" t="n">
        <f aca="false">IF(OR($A4492="",$Q4492=0,$R4492=-1),0,$Q4492*1000+$R4492*100+$K4492)</f>
        <v>0</v>
      </c>
      <c r="T4492" s="37" t="str">
        <f aca="false">IF($A4492="","",IF($B4492="","NO ACCOUNT",IF($Q4492=0,"UNMAPPED",IF($R4492=-1,"OUTSIDE FY RANGE","OK"))))</f>
        <v/>
      </c>
      <c r="U4492" s="40" t="str">
        <f aca="false">IF($A4492="","",$B4492&amp;"|"&amp;TEXT($A4492,"yyyymmdd")&amp;"|"&amp;TEXT($I4492,"0.00"))</f>
        <v/>
      </c>
      <c r="V4492" s="35" t="str">
        <f aca="false">IF($A4492="","",COUNTIF($U$8:$U$5007,$U4492))</f>
        <v/>
      </c>
    </row>
    <row r="4493" customFormat="false" ht="15" hidden="false" customHeight="false" outlineLevel="0" collapsed="false">
      <c r="A4493" s="31"/>
      <c r="B4493" s="32"/>
      <c r="C4493" s="32"/>
      <c r="D4493" s="32"/>
      <c r="E4493" s="32"/>
      <c r="F4493" s="32"/>
      <c r="G4493" s="33"/>
      <c r="H4493" s="33"/>
      <c r="I4493" s="34" t="str">
        <f aca="false">IF($A4493="","",$G4493-$H4493)</f>
        <v/>
      </c>
      <c r="J4493" s="35" t="str">
        <f aca="false">IF($A4493="","",IF(Setup!$B$6=1,YEAR($A4493),YEAR($A4493)+IF(MONTH($A4493)&gt;=Setup!$B$6,1,0)))</f>
        <v/>
      </c>
      <c r="K4493" s="35" t="str">
        <f aca="false">IF($A4493="","",MOD(MONTH($A4493)-Setup!$B$6+12,12)+1)</f>
        <v/>
      </c>
      <c r="L4493" s="36" t="str">
        <f aca="false">IF($A4493="","",TEXT($A4493,"MMM-YY"))</f>
        <v/>
      </c>
      <c r="M4493" s="37" t="str">
        <f aca="false">IF($A4493="","",IF($Q4493=0,"UNMAPPED",INDEX(COA_Mapping!$C$7:$C$256,$Q4493)))</f>
        <v/>
      </c>
      <c r="N4493" s="38" t="str">
        <f aca="false">IF($A4493="","",IF($Q4493=0,"",INDEX(COA_Mapping!$E$7:$E$256,$Q4493)))</f>
        <v/>
      </c>
      <c r="O4493" s="38" t="n">
        <f aca="false">IF($A4493="",1,IF($Q4493=0,1,INDEX(COA_Mapping!$F$7:$F$256,$Q4493)))</f>
        <v>1</v>
      </c>
      <c r="P4493" s="34" t="str">
        <f aca="false">IF($A4493="","",$I4493*$O4493)</f>
        <v/>
      </c>
      <c r="Q4493" s="39" t="n">
        <f aca="false">IF($B4493="",0,IFERROR(MATCH($B4493,COA_Mapping!$A$7:$A$256,0),0))</f>
        <v>0</v>
      </c>
      <c r="R4493" s="39" t="n">
        <f aca="false">IF($A4493="",-1,IF($J4493=Setup!$B$7,1,IF($J4493=Setup!$B$9,0,-1)))</f>
        <v>-1</v>
      </c>
      <c r="S4493" s="35" t="n">
        <f aca="false">IF(OR($A4493="",$Q4493=0,$R4493=-1),0,$Q4493*1000+$R4493*100+$K4493)</f>
        <v>0</v>
      </c>
      <c r="T4493" s="37" t="str">
        <f aca="false">IF($A4493="","",IF($B4493="","NO ACCOUNT",IF($Q4493=0,"UNMAPPED",IF($R4493=-1,"OUTSIDE FY RANGE","OK"))))</f>
        <v/>
      </c>
      <c r="U4493" s="40" t="str">
        <f aca="false">IF($A4493="","",$B4493&amp;"|"&amp;TEXT($A4493,"yyyymmdd")&amp;"|"&amp;TEXT($I4493,"0.00"))</f>
        <v/>
      </c>
      <c r="V4493" s="35" t="str">
        <f aca="false">IF($A4493="","",COUNTIF($U$8:$U$5007,$U4493))</f>
        <v/>
      </c>
    </row>
    <row r="4494" customFormat="false" ht="15" hidden="false" customHeight="false" outlineLevel="0" collapsed="false">
      <c r="A4494" s="31"/>
      <c r="B4494" s="32"/>
      <c r="C4494" s="32"/>
      <c r="D4494" s="32"/>
      <c r="E4494" s="32"/>
      <c r="F4494" s="32"/>
      <c r="G4494" s="33"/>
      <c r="H4494" s="33"/>
      <c r="I4494" s="34" t="str">
        <f aca="false">IF($A4494="","",$G4494-$H4494)</f>
        <v/>
      </c>
      <c r="J4494" s="35" t="str">
        <f aca="false">IF($A4494="","",IF(Setup!$B$6=1,YEAR($A4494),YEAR($A4494)+IF(MONTH($A4494)&gt;=Setup!$B$6,1,0)))</f>
        <v/>
      </c>
      <c r="K4494" s="35" t="str">
        <f aca="false">IF($A4494="","",MOD(MONTH($A4494)-Setup!$B$6+12,12)+1)</f>
        <v/>
      </c>
      <c r="L4494" s="36" t="str">
        <f aca="false">IF($A4494="","",TEXT($A4494,"MMM-YY"))</f>
        <v/>
      </c>
      <c r="M4494" s="37" t="str">
        <f aca="false">IF($A4494="","",IF($Q4494=0,"UNMAPPED",INDEX(COA_Mapping!$C$7:$C$256,$Q4494)))</f>
        <v/>
      </c>
      <c r="N4494" s="38" t="str">
        <f aca="false">IF($A4494="","",IF($Q4494=0,"",INDEX(COA_Mapping!$E$7:$E$256,$Q4494)))</f>
        <v/>
      </c>
      <c r="O4494" s="38" t="n">
        <f aca="false">IF($A4494="",1,IF($Q4494=0,1,INDEX(COA_Mapping!$F$7:$F$256,$Q4494)))</f>
        <v>1</v>
      </c>
      <c r="P4494" s="34" t="str">
        <f aca="false">IF($A4494="","",$I4494*$O4494)</f>
        <v/>
      </c>
      <c r="Q4494" s="39" t="n">
        <f aca="false">IF($B4494="",0,IFERROR(MATCH($B4494,COA_Mapping!$A$7:$A$256,0),0))</f>
        <v>0</v>
      </c>
      <c r="R4494" s="39" t="n">
        <f aca="false">IF($A4494="",-1,IF($J4494=Setup!$B$7,1,IF($J4494=Setup!$B$9,0,-1)))</f>
        <v>-1</v>
      </c>
      <c r="S4494" s="35" t="n">
        <f aca="false">IF(OR($A4494="",$Q4494=0,$R4494=-1),0,$Q4494*1000+$R4494*100+$K4494)</f>
        <v>0</v>
      </c>
      <c r="T4494" s="37" t="str">
        <f aca="false">IF($A4494="","",IF($B4494="","NO ACCOUNT",IF($Q4494=0,"UNMAPPED",IF($R4494=-1,"OUTSIDE FY RANGE","OK"))))</f>
        <v/>
      </c>
      <c r="U4494" s="40" t="str">
        <f aca="false">IF($A4494="","",$B4494&amp;"|"&amp;TEXT($A4494,"yyyymmdd")&amp;"|"&amp;TEXT($I4494,"0.00"))</f>
        <v/>
      </c>
      <c r="V4494" s="35" t="str">
        <f aca="false">IF($A4494="","",COUNTIF($U$8:$U$5007,$U4494))</f>
        <v/>
      </c>
    </row>
    <row r="4495" customFormat="false" ht="15" hidden="false" customHeight="false" outlineLevel="0" collapsed="false">
      <c r="A4495" s="31"/>
      <c r="B4495" s="32"/>
      <c r="C4495" s="32"/>
      <c r="D4495" s="32"/>
      <c r="E4495" s="32"/>
      <c r="F4495" s="32"/>
      <c r="G4495" s="33"/>
      <c r="H4495" s="33"/>
      <c r="I4495" s="34" t="str">
        <f aca="false">IF($A4495="","",$G4495-$H4495)</f>
        <v/>
      </c>
      <c r="J4495" s="35" t="str">
        <f aca="false">IF($A4495="","",IF(Setup!$B$6=1,YEAR($A4495),YEAR($A4495)+IF(MONTH($A4495)&gt;=Setup!$B$6,1,0)))</f>
        <v/>
      </c>
      <c r="K4495" s="35" t="str">
        <f aca="false">IF($A4495="","",MOD(MONTH($A4495)-Setup!$B$6+12,12)+1)</f>
        <v/>
      </c>
      <c r="L4495" s="36" t="str">
        <f aca="false">IF($A4495="","",TEXT($A4495,"MMM-YY"))</f>
        <v/>
      </c>
      <c r="M4495" s="37" t="str">
        <f aca="false">IF($A4495="","",IF($Q4495=0,"UNMAPPED",INDEX(COA_Mapping!$C$7:$C$256,$Q4495)))</f>
        <v/>
      </c>
      <c r="N4495" s="38" t="str">
        <f aca="false">IF($A4495="","",IF($Q4495=0,"",INDEX(COA_Mapping!$E$7:$E$256,$Q4495)))</f>
        <v/>
      </c>
      <c r="O4495" s="38" t="n">
        <f aca="false">IF($A4495="",1,IF($Q4495=0,1,INDEX(COA_Mapping!$F$7:$F$256,$Q4495)))</f>
        <v>1</v>
      </c>
      <c r="P4495" s="34" t="str">
        <f aca="false">IF($A4495="","",$I4495*$O4495)</f>
        <v/>
      </c>
      <c r="Q4495" s="39" t="n">
        <f aca="false">IF($B4495="",0,IFERROR(MATCH($B4495,COA_Mapping!$A$7:$A$256,0),0))</f>
        <v>0</v>
      </c>
      <c r="R4495" s="39" t="n">
        <f aca="false">IF($A4495="",-1,IF($J4495=Setup!$B$7,1,IF($J4495=Setup!$B$9,0,-1)))</f>
        <v>-1</v>
      </c>
      <c r="S4495" s="35" t="n">
        <f aca="false">IF(OR($A4495="",$Q4495=0,$R4495=-1),0,$Q4495*1000+$R4495*100+$K4495)</f>
        <v>0</v>
      </c>
      <c r="T4495" s="37" t="str">
        <f aca="false">IF($A4495="","",IF($B4495="","NO ACCOUNT",IF($Q4495=0,"UNMAPPED",IF($R4495=-1,"OUTSIDE FY RANGE","OK"))))</f>
        <v/>
      </c>
      <c r="U4495" s="40" t="str">
        <f aca="false">IF($A4495="","",$B4495&amp;"|"&amp;TEXT($A4495,"yyyymmdd")&amp;"|"&amp;TEXT($I4495,"0.00"))</f>
        <v/>
      </c>
      <c r="V4495" s="35" t="str">
        <f aca="false">IF($A4495="","",COUNTIF($U$8:$U$5007,$U4495))</f>
        <v/>
      </c>
    </row>
    <row r="4496" customFormat="false" ht="15" hidden="false" customHeight="false" outlineLevel="0" collapsed="false">
      <c r="A4496" s="31"/>
      <c r="B4496" s="32"/>
      <c r="C4496" s="32"/>
      <c r="D4496" s="32"/>
      <c r="E4496" s="32"/>
      <c r="F4496" s="32"/>
      <c r="G4496" s="33"/>
      <c r="H4496" s="33"/>
      <c r="I4496" s="34" t="str">
        <f aca="false">IF($A4496="","",$G4496-$H4496)</f>
        <v/>
      </c>
      <c r="J4496" s="35" t="str">
        <f aca="false">IF($A4496="","",IF(Setup!$B$6=1,YEAR($A4496),YEAR($A4496)+IF(MONTH($A4496)&gt;=Setup!$B$6,1,0)))</f>
        <v/>
      </c>
      <c r="K4496" s="35" t="str">
        <f aca="false">IF($A4496="","",MOD(MONTH($A4496)-Setup!$B$6+12,12)+1)</f>
        <v/>
      </c>
      <c r="L4496" s="36" t="str">
        <f aca="false">IF($A4496="","",TEXT($A4496,"MMM-YY"))</f>
        <v/>
      </c>
      <c r="M4496" s="37" t="str">
        <f aca="false">IF($A4496="","",IF($Q4496=0,"UNMAPPED",INDEX(COA_Mapping!$C$7:$C$256,$Q4496)))</f>
        <v/>
      </c>
      <c r="N4496" s="38" t="str">
        <f aca="false">IF($A4496="","",IF($Q4496=0,"",INDEX(COA_Mapping!$E$7:$E$256,$Q4496)))</f>
        <v/>
      </c>
      <c r="O4496" s="38" t="n">
        <f aca="false">IF($A4496="",1,IF($Q4496=0,1,INDEX(COA_Mapping!$F$7:$F$256,$Q4496)))</f>
        <v>1</v>
      </c>
      <c r="P4496" s="34" t="str">
        <f aca="false">IF($A4496="","",$I4496*$O4496)</f>
        <v/>
      </c>
      <c r="Q4496" s="39" t="n">
        <f aca="false">IF($B4496="",0,IFERROR(MATCH($B4496,COA_Mapping!$A$7:$A$256,0),0))</f>
        <v>0</v>
      </c>
      <c r="R4496" s="39" t="n">
        <f aca="false">IF($A4496="",-1,IF($J4496=Setup!$B$7,1,IF($J4496=Setup!$B$9,0,-1)))</f>
        <v>-1</v>
      </c>
      <c r="S4496" s="35" t="n">
        <f aca="false">IF(OR($A4496="",$Q4496=0,$R4496=-1),0,$Q4496*1000+$R4496*100+$K4496)</f>
        <v>0</v>
      </c>
      <c r="T4496" s="37" t="str">
        <f aca="false">IF($A4496="","",IF($B4496="","NO ACCOUNT",IF($Q4496=0,"UNMAPPED",IF($R4496=-1,"OUTSIDE FY RANGE","OK"))))</f>
        <v/>
      </c>
      <c r="U4496" s="40" t="str">
        <f aca="false">IF($A4496="","",$B4496&amp;"|"&amp;TEXT($A4496,"yyyymmdd")&amp;"|"&amp;TEXT($I4496,"0.00"))</f>
        <v/>
      </c>
      <c r="V4496" s="35" t="str">
        <f aca="false">IF($A4496="","",COUNTIF($U$8:$U$5007,$U4496))</f>
        <v/>
      </c>
    </row>
    <row r="4497" customFormat="false" ht="15" hidden="false" customHeight="false" outlineLevel="0" collapsed="false">
      <c r="A4497" s="31"/>
      <c r="B4497" s="32"/>
      <c r="C4497" s="32"/>
      <c r="D4497" s="32"/>
      <c r="E4497" s="32"/>
      <c r="F4497" s="32"/>
      <c r="G4497" s="33"/>
      <c r="H4497" s="33"/>
      <c r="I4497" s="34" t="str">
        <f aca="false">IF($A4497="","",$G4497-$H4497)</f>
        <v/>
      </c>
      <c r="J4497" s="35" t="str">
        <f aca="false">IF($A4497="","",IF(Setup!$B$6=1,YEAR($A4497),YEAR($A4497)+IF(MONTH($A4497)&gt;=Setup!$B$6,1,0)))</f>
        <v/>
      </c>
      <c r="K4497" s="35" t="str">
        <f aca="false">IF($A4497="","",MOD(MONTH($A4497)-Setup!$B$6+12,12)+1)</f>
        <v/>
      </c>
      <c r="L4497" s="36" t="str">
        <f aca="false">IF($A4497="","",TEXT($A4497,"MMM-YY"))</f>
        <v/>
      </c>
      <c r="M4497" s="37" t="str">
        <f aca="false">IF($A4497="","",IF($Q4497=0,"UNMAPPED",INDEX(COA_Mapping!$C$7:$C$256,$Q4497)))</f>
        <v/>
      </c>
      <c r="N4497" s="38" t="str">
        <f aca="false">IF($A4497="","",IF($Q4497=0,"",INDEX(COA_Mapping!$E$7:$E$256,$Q4497)))</f>
        <v/>
      </c>
      <c r="O4497" s="38" t="n">
        <f aca="false">IF($A4497="",1,IF($Q4497=0,1,INDEX(COA_Mapping!$F$7:$F$256,$Q4497)))</f>
        <v>1</v>
      </c>
      <c r="P4497" s="34" t="str">
        <f aca="false">IF($A4497="","",$I4497*$O4497)</f>
        <v/>
      </c>
      <c r="Q4497" s="39" t="n">
        <f aca="false">IF($B4497="",0,IFERROR(MATCH($B4497,COA_Mapping!$A$7:$A$256,0),0))</f>
        <v>0</v>
      </c>
      <c r="R4497" s="39" t="n">
        <f aca="false">IF($A4497="",-1,IF($J4497=Setup!$B$7,1,IF($J4497=Setup!$B$9,0,-1)))</f>
        <v>-1</v>
      </c>
      <c r="S4497" s="35" t="n">
        <f aca="false">IF(OR($A4497="",$Q4497=0,$R4497=-1),0,$Q4497*1000+$R4497*100+$K4497)</f>
        <v>0</v>
      </c>
      <c r="T4497" s="37" t="str">
        <f aca="false">IF($A4497="","",IF($B4497="","NO ACCOUNT",IF($Q4497=0,"UNMAPPED",IF($R4497=-1,"OUTSIDE FY RANGE","OK"))))</f>
        <v/>
      </c>
      <c r="U4497" s="40" t="str">
        <f aca="false">IF($A4497="","",$B4497&amp;"|"&amp;TEXT($A4497,"yyyymmdd")&amp;"|"&amp;TEXT($I4497,"0.00"))</f>
        <v/>
      </c>
      <c r="V4497" s="35" t="str">
        <f aca="false">IF($A4497="","",COUNTIF($U$8:$U$5007,$U4497))</f>
        <v/>
      </c>
    </row>
    <row r="4498" customFormat="false" ht="15" hidden="false" customHeight="false" outlineLevel="0" collapsed="false">
      <c r="A4498" s="31"/>
      <c r="B4498" s="32"/>
      <c r="C4498" s="32"/>
      <c r="D4498" s="32"/>
      <c r="E4498" s="32"/>
      <c r="F4498" s="32"/>
      <c r="G4498" s="33"/>
      <c r="H4498" s="33"/>
      <c r="I4498" s="34" t="str">
        <f aca="false">IF($A4498="","",$G4498-$H4498)</f>
        <v/>
      </c>
      <c r="J4498" s="35" t="str">
        <f aca="false">IF($A4498="","",IF(Setup!$B$6=1,YEAR($A4498),YEAR($A4498)+IF(MONTH($A4498)&gt;=Setup!$B$6,1,0)))</f>
        <v/>
      </c>
      <c r="K4498" s="35" t="str">
        <f aca="false">IF($A4498="","",MOD(MONTH($A4498)-Setup!$B$6+12,12)+1)</f>
        <v/>
      </c>
      <c r="L4498" s="36" t="str">
        <f aca="false">IF($A4498="","",TEXT($A4498,"MMM-YY"))</f>
        <v/>
      </c>
      <c r="M4498" s="37" t="str">
        <f aca="false">IF($A4498="","",IF($Q4498=0,"UNMAPPED",INDEX(COA_Mapping!$C$7:$C$256,$Q4498)))</f>
        <v/>
      </c>
      <c r="N4498" s="38" t="str">
        <f aca="false">IF($A4498="","",IF($Q4498=0,"",INDEX(COA_Mapping!$E$7:$E$256,$Q4498)))</f>
        <v/>
      </c>
      <c r="O4498" s="38" t="n">
        <f aca="false">IF($A4498="",1,IF($Q4498=0,1,INDEX(COA_Mapping!$F$7:$F$256,$Q4498)))</f>
        <v>1</v>
      </c>
      <c r="P4498" s="34" t="str">
        <f aca="false">IF($A4498="","",$I4498*$O4498)</f>
        <v/>
      </c>
      <c r="Q4498" s="39" t="n">
        <f aca="false">IF($B4498="",0,IFERROR(MATCH($B4498,COA_Mapping!$A$7:$A$256,0),0))</f>
        <v>0</v>
      </c>
      <c r="R4498" s="39" t="n">
        <f aca="false">IF($A4498="",-1,IF($J4498=Setup!$B$7,1,IF($J4498=Setup!$B$9,0,-1)))</f>
        <v>-1</v>
      </c>
      <c r="S4498" s="35" t="n">
        <f aca="false">IF(OR($A4498="",$Q4498=0,$R4498=-1),0,$Q4498*1000+$R4498*100+$K4498)</f>
        <v>0</v>
      </c>
      <c r="T4498" s="37" t="str">
        <f aca="false">IF($A4498="","",IF($B4498="","NO ACCOUNT",IF($Q4498=0,"UNMAPPED",IF($R4498=-1,"OUTSIDE FY RANGE","OK"))))</f>
        <v/>
      </c>
      <c r="U4498" s="40" t="str">
        <f aca="false">IF($A4498="","",$B4498&amp;"|"&amp;TEXT($A4498,"yyyymmdd")&amp;"|"&amp;TEXT($I4498,"0.00"))</f>
        <v/>
      </c>
      <c r="V4498" s="35" t="str">
        <f aca="false">IF($A4498="","",COUNTIF($U$8:$U$5007,$U4498))</f>
        <v/>
      </c>
    </row>
    <row r="4499" customFormat="false" ht="15" hidden="false" customHeight="false" outlineLevel="0" collapsed="false">
      <c r="A4499" s="31"/>
      <c r="B4499" s="32"/>
      <c r="C4499" s="32"/>
      <c r="D4499" s="32"/>
      <c r="E4499" s="32"/>
      <c r="F4499" s="32"/>
      <c r="G4499" s="33"/>
      <c r="H4499" s="33"/>
      <c r="I4499" s="34" t="str">
        <f aca="false">IF($A4499="","",$G4499-$H4499)</f>
        <v/>
      </c>
      <c r="J4499" s="35" t="str">
        <f aca="false">IF($A4499="","",IF(Setup!$B$6=1,YEAR($A4499),YEAR($A4499)+IF(MONTH($A4499)&gt;=Setup!$B$6,1,0)))</f>
        <v/>
      </c>
      <c r="K4499" s="35" t="str">
        <f aca="false">IF($A4499="","",MOD(MONTH($A4499)-Setup!$B$6+12,12)+1)</f>
        <v/>
      </c>
      <c r="L4499" s="36" t="str">
        <f aca="false">IF($A4499="","",TEXT($A4499,"MMM-YY"))</f>
        <v/>
      </c>
      <c r="M4499" s="37" t="str">
        <f aca="false">IF($A4499="","",IF($Q4499=0,"UNMAPPED",INDEX(COA_Mapping!$C$7:$C$256,$Q4499)))</f>
        <v/>
      </c>
      <c r="N4499" s="38" t="str">
        <f aca="false">IF($A4499="","",IF($Q4499=0,"",INDEX(COA_Mapping!$E$7:$E$256,$Q4499)))</f>
        <v/>
      </c>
      <c r="O4499" s="38" t="n">
        <f aca="false">IF($A4499="",1,IF($Q4499=0,1,INDEX(COA_Mapping!$F$7:$F$256,$Q4499)))</f>
        <v>1</v>
      </c>
      <c r="P4499" s="34" t="str">
        <f aca="false">IF($A4499="","",$I4499*$O4499)</f>
        <v/>
      </c>
      <c r="Q4499" s="39" t="n">
        <f aca="false">IF($B4499="",0,IFERROR(MATCH($B4499,COA_Mapping!$A$7:$A$256,0),0))</f>
        <v>0</v>
      </c>
      <c r="R4499" s="39" t="n">
        <f aca="false">IF($A4499="",-1,IF($J4499=Setup!$B$7,1,IF($J4499=Setup!$B$9,0,-1)))</f>
        <v>-1</v>
      </c>
      <c r="S4499" s="35" t="n">
        <f aca="false">IF(OR($A4499="",$Q4499=0,$R4499=-1),0,$Q4499*1000+$R4499*100+$K4499)</f>
        <v>0</v>
      </c>
      <c r="T4499" s="37" t="str">
        <f aca="false">IF($A4499="","",IF($B4499="","NO ACCOUNT",IF($Q4499=0,"UNMAPPED",IF($R4499=-1,"OUTSIDE FY RANGE","OK"))))</f>
        <v/>
      </c>
      <c r="U4499" s="40" t="str">
        <f aca="false">IF($A4499="","",$B4499&amp;"|"&amp;TEXT($A4499,"yyyymmdd")&amp;"|"&amp;TEXT($I4499,"0.00"))</f>
        <v/>
      </c>
      <c r="V4499" s="35" t="str">
        <f aca="false">IF($A4499="","",COUNTIF($U$8:$U$5007,$U4499))</f>
        <v/>
      </c>
    </row>
    <row r="4500" customFormat="false" ht="15" hidden="false" customHeight="false" outlineLevel="0" collapsed="false">
      <c r="A4500" s="31"/>
      <c r="B4500" s="32"/>
      <c r="C4500" s="32"/>
      <c r="D4500" s="32"/>
      <c r="E4500" s="32"/>
      <c r="F4500" s="32"/>
      <c r="G4500" s="33"/>
      <c r="H4500" s="33"/>
      <c r="I4500" s="34" t="str">
        <f aca="false">IF($A4500="","",$G4500-$H4500)</f>
        <v/>
      </c>
      <c r="J4500" s="35" t="str">
        <f aca="false">IF($A4500="","",IF(Setup!$B$6=1,YEAR($A4500),YEAR($A4500)+IF(MONTH($A4500)&gt;=Setup!$B$6,1,0)))</f>
        <v/>
      </c>
      <c r="K4500" s="35" t="str">
        <f aca="false">IF($A4500="","",MOD(MONTH($A4500)-Setup!$B$6+12,12)+1)</f>
        <v/>
      </c>
      <c r="L4500" s="36" t="str">
        <f aca="false">IF($A4500="","",TEXT($A4500,"MMM-YY"))</f>
        <v/>
      </c>
      <c r="M4500" s="37" t="str">
        <f aca="false">IF($A4500="","",IF($Q4500=0,"UNMAPPED",INDEX(COA_Mapping!$C$7:$C$256,$Q4500)))</f>
        <v/>
      </c>
      <c r="N4500" s="38" t="str">
        <f aca="false">IF($A4500="","",IF($Q4500=0,"",INDEX(COA_Mapping!$E$7:$E$256,$Q4500)))</f>
        <v/>
      </c>
      <c r="O4500" s="38" t="n">
        <f aca="false">IF($A4500="",1,IF($Q4500=0,1,INDEX(COA_Mapping!$F$7:$F$256,$Q4500)))</f>
        <v>1</v>
      </c>
      <c r="P4500" s="34" t="str">
        <f aca="false">IF($A4500="","",$I4500*$O4500)</f>
        <v/>
      </c>
      <c r="Q4500" s="39" t="n">
        <f aca="false">IF($B4500="",0,IFERROR(MATCH($B4500,COA_Mapping!$A$7:$A$256,0),0))</f>
        <v>0</v>
      </c>
      <c r="R4500" s="39" t="n">
        <f aca="false">IF($A4500="",-1,IF($J4500=Setup!$B$7,1,IF($J4500=Setup!$B$9,0,-1)))</f>
        <v>-1</v>
      </c>
      <c r="S4500" s="35" t="n">
        <f aca="false">IF(OR($A4500="",$Q4500=0,$R4500=-1),0,$Q4500*1000+$R4500*100+$K4500)</f>
        <v>0</v>
      </c>
      <c r="T4500" s="37" t="str">
        <f aca="false">IF($A4500="","",IF($B4500="","NO ACCOUNT",IF($Q4500=0,"UNMAPPED",IF($R4500=-1,"OUTSIDE FY RANGE","OK"))))</f>
        <v/>
      </c>
      <c r="U4500" s="40" t="str">
        <f aca="false">IF($A4500="","",$B4500&amp;"|"&amp;TEXT($A4500,"yyyymmdd")&amp;"|"&amp;TEXT($I4500,"0.00"))</f>
        <v/>
      </c>
      <c r="V4500" s="35" t="str">
        <f aca="false">IF($A4500="","",COUNTIF($U$8:$U$5007,$U4500))</f>
        <v/>
      </c>
    </row>
    <row r="4501" customFormat="false" ht="15" hidden="false" customHeight="false" outlineLevel="0" collapsed="false">
      <c r="A4501" s="31"/>
      <c r="B4501" s="32"/>
      <c r="C4501" s="32"/>
      <c r="D4501" s="32"/>
      <c r="E4501" s="32"/>
      <c r="F4501" s="32"/>
      <c r="G4501" s="33"/>
      <c r="H4501" s="33"/>
      <c r="I4501" s="34" t="str">
        <f aca="false">IF($A4501="","",$G4501-$H4501)</f>
        <v/>
      </c>
      <c r="J4501" s="35" t="str">
        <f aca="false">IF($A4501="","",IF(Setup!$B$6=1,YEAR($A4501),YEAR($A4501)+IF(MONTH($A4501)&gt;=Setup!$B$6,1,0)))</f>
        <v/>
      </c>
      <c r="K4501" s="35" t="str">
        <f aca="false">IF($A4501="","",MOD(MONTH($A4501)-Setup!$B$6+12,12)+1)</f>
        <v/>
      </c>
      <c r="L4501" s="36" t="str">
        <f aca="false">IF($A4501="","",TEXT($A4501,"MMM-YY"))</f>
        <v/>
      </c>
      <c r="M4501" s="37" t="str">
        <f aca="false">IF($A4501="","",IF($Q4501=0,"UNMAPPED",INDEX(COA_Mapping!$C$7:$C$256,$Q4501)))</f>
        <v/>
      </c>
      <c r="N4501" s="38" t="str">
        <f aca="false">IF($A4501="","",IF($Q4501=0,"",INDEX(COA_Mapping!$E$7:$E$256,$Q4501)))</f>
        <v/>
      </c>
      <c r="O4501" s="38" t="n">
        <f aca="false">IF($A4501="",1,IF($Q4501=0,1,INDEX(COA_Mapping!$F$7:$F$256,$Q4501)))</f>
        <v>1</v>
      </c>
      <c r="P4501" s="34" t="str">
        <f aca="false">IF($A4501="","",$I4501*$O4501)</f>
        <v/>
      </c>
      <c r="Q4501" s="39" t="n">
        <f aca="false">IF($B4501="",0,IFERROR(MATCH($B4501,COA_Mapping!$A$7:$A$256,0),0))</f>
        <v>0</v>
      </c>
      <c r="R4501" s="39" t="n">
        <f aca="false">IF($A4501="",-1,IF($J4501=Setup!$B$7,1,IF($J4501=Setup!$B$9,0,-1)))</f>
        <v>-1</v>
      </c>
      <c r="S4501" s="35" t="n">
        <f aca="false">IF(OR($A4501="",$Q4501=0,$R4501=-1),0,$Q4501*1000+$R4501*100+$K4501)</f>
        <v>0</v>
      </c>
      <c r="T4501" s="37" t="str">
        <f aca="false">IF($A4501="","",IF($B4501="","NO ACCOUNT",IF($Q4501=0,"UNMAPPED",IF($R4501=-1,"OUTSIDE FY RANGE","OK"))))</f>
        <v/>
      </c>
      <c r="U4501" s="40" t="str">
        <f aca="false">IF($A4501="","",$B4501&amp;"|"&amp;TEXT($A4501,"yyyymmdd")&amp;"|"&amp;TEXT($I4501,"0.00"))</f>
        <v/>
      </c>
      <c r="V4501" s="35" t="str">
        <f aca="false">IF($A4501="","",COUNTIF($U$8:$U$5007,$U4501))</f>
        <v/>
      </c>
    </row>
    <row r="4502" customFormat="false" ht="15" hidden="false" customHeight="false" outlineLevel="0" collapsed="false">
      <c r="A4502" s="31"/>
      <c r="B4502" s="32"/>
      <c r="C4502" s="32"/>
      <c r="D4502" s="32"/>
      <c r="E4502" s="32"/>
      <c r="F4502" s="32"/>
      <c r="G4502" s="33"/>
      <c r="H4502" s="33"/>
      <c r="I4502" s="34" t="str">
        <f aca="false">IF($A4502="","",$G4502-$H4502)</f>
        <v/>
      </c>
      <c r="J4502" s="35" t="str">
        <f aca="false">IF($A4502="","",IF(Setup!$B$6=1,YEAR($A4502),YEAR($A4502)+IF(MONTH($A4502)&gt;=Setup!$B$6,1,0)))</f>
        <v/>
      </c>
      <c r="K4502" s="35" t="str">
        <f aca="false">IF($A4502="","",MOD(MONTH($A4502)-Setup!$B$6+12,12)+1)</f>
        <v/>
      </c>
      <c r="L4502" s="36" t="str">
        <f aca="false">IF($A4502="","",TEXT($A4502,"MMM-YY"))</f>
        <v/>
      </c>
      <c r="M4502" s="37" t="str">
        <f aca="false">IF($A4502="","",IF($Q4502=0,"UNMAPPED",INDEX(COA_Mapping!$C$7:$C$256,$Q4502)))</f>
        <v/>
      </c>
      <c r="N4502" s="38" t="str">
        <f aca="false">IF($A4502="","",IF($Q4502=0,"",INDEX(COA_Mapping!$E$7:$E$256,$Q4502)))</f>
        <v/>
      </c>
      <c r="O4502" s="38" t="n">
        <f aca="false">IF($A4502="",1,IF($Q4502=0,1,INDEX(COA_Mapping!$F$7:$F$256,$Q4502)))</f>
        <v>1</v>
      </c>
      <c r="P4502" s="34" t="str">
        <f aca="false">IF($A4502="","",$I4502*$O4502)</f>
        <v/>
      </c>
      <c r="Q4502" s="39" t="n">
        <f aca="false">IF($B4502="",0,IFERROR(MATCH($B4502,COA_Mapping!$A$7:$A$256,0),0))</f>
        <v>0</v>
      </c>
      <c r="R4502" s="39" t="n">
        <f aca="false">IF($A4502="",-1,IF($J4502=Setup!$B$7,1,IF($J4502=Setup!$B$9,0,-1)))</f>
        <v>-1</v>
      </c>
      <c r="S4502" s="35" t="n">
        <f aca="false">IF(OR($A4502="",$Q4502=0,$R4502=-1),0,$Q4502*1000+$R4502*100+$K4502)</f>
        <v>0</v>
      </c>
      <c r="T4502" s="37" t="str">
        <f aca="false">IF($A4502="","",IF($B4502="","NO ACCOUNT",IF($Q4502=0,"UNMAPPED",IF($R4502=-1,"OUTSIDE FY RANGE","OK"))))</f>
        <v/>
      </c>
      <c r="U4502" s="40" t="str">
        <f aca="false">IF($A4502="","",$B4502&amp;"|"&amp;TEXT($A4502,"yyyymmdd")&amp;"|"&amp;TEXT($I4502,"0.00"))</f>
        <v/>
      </c>
      <c r="V4502" s="35" t="str">
        <f aca="false">IF($A4502="","",COUNTIF($U$8:$U$5007,$U4502))</f>
        <v/>
      </c>
    </row>
    <row r="4503" customFormat="false" ht="15" hidden="false" customHeight="false" outlineLevel="0" collapsed="false">
      <c r="A4503" s="31"/>
      <c r="B4503" s="32"/>
      <c r="C4503" s="32"/>
      <c r="D4503" s="32"/>
      <c r="E4503" s="32"/>
      <c r="F4503" s="32"/>
      <c r="G4503" s="33"/>
      <c r="H4503" s="33"/>
      <c r="I4503" s="34" t="str">
        <f aca="false">IF($A4503="","",$G4503-$H4503)</f>
        <v/>
      </c>
      <c r="J4503" s="35" t="str">
        <f aca="false">IF($A4503="","",IF(Setup!$B$6=1,YEAR($A4503),YEAR($A4503)+IF(MONTH($A4503)&gt;=Setup!$B$6,1,0)))</f>
        <v/>
      </c>
      <c r="K4503" s="35" t="str">
        <f aca="false">IF($A4503="","",MOD(MONTH($A4503)-Setup!$B$6+12,12)+1)</f>
        <v/>
      </c>
      <c r="L4503" s="36" t="str">
        <f aca="false">IF($A4503="","",TEXT($A4503,"MMM-YY"))</f>
        <v/>
      </c>
      <c r="M4503" s="37" t="str">
        <f aca="false">IF($A4503="","",IF($Q4503=0,"UNMAPPED",INDEX(COA_Mapping!$C$7:$C$256,$Q4503)))</f>
        <v/>
      </c>
      <c r="N4503" s="38" t="str">
        <f aca="false">IF($A4503="","",IF($Q4503=0,"",INDEX(COA_Mapping!$E$7:$E$256,$Q4503)))</f>
        <v/>
      </c>
      <c r="O4503" s="38" t="n">
        <f aca="false">IF($A4503="",1,IF($Q4503=0,1,INDEX(COA_Mapping!$F$7:$F$256,$Q4503)))</f>
        <v>1</v>
      </c>
      <c r="P4503" s="34" t="str">
        <f aca="false">IF($A4503="","",$I4503*$O4503)</f>
        <v/>
      </c>
      <c r="Q4503" s="39" t="n">
        <f aca="false">IF($B4503="",0,IFERROR(MATCH($B4503,COA_Mapping!$A$7:$A$256,0),0))</f>
        <v>0</v>
      </c>
      <c r="R4503" s="39" t="n">
        <f aca="false">IF($A4503="",-1,IF($J4503=Setup!$B$7,1,IF($J4503=Setup!$B$9,0,-1)))</f>
        <v>-1</v>
      </c>
      <c r="S4503" s="35" t="n">
        <f aca="false">IF(OR($A4503="",$Q4503=0,$R4503=-1),0,$Q4503*1000+$R4503*100+$K4503)</f>
        <v>0</v>
      </c>
      <c r="T4503" s="37" t="str">
        <f aca="false">IF($A4503="","",IF($B4503="","NO ACCOUNT",IF($Q4503=0,"UNMAPPED",IF($R4503=-1,"OUTSIDE FY RANGE","OK"))))</f>
        <v/>
      </c>
      <c r="U4503" s="40" t="str">
        <f aca="false">IF($A4503="","",$B4503&amp;"|"&amp;TEXT($A4503,"yyyymmdd")&amp;"|"&amp;TEXT($I4503,"0.00"))</f>
        <v/>
      </c>
      <c r="V4503" s="35" t="str">
        <f aca="false">IF($A4503="","",COUNTIF($U$8:$U$5007,$U4503))</f>
        <v/>
      </c>
    </row>
    <row r="4504" customFormat="false" ht="15" hidden="false" customHeight="false" outlineLevel="0" collapsed="false">
      <c r="A4504" s="31"/>
      <c r="B4504" s="32"/>
      <c r="C4504" s="32"/>
      <c r="D4504" s="32"/>
      <c r="E4504" s="32"/>
      <c r="F4504" s="32"/>
      <c r="G4504" s="33"/>
      <c r="H4504" s="33"/>
      <c r="I4504" s="34" t="str">
        <f aca="false">IF($A4504="","",$G4504-$H4504)</f>
        <v/>
      </c>
      <c r="J4504" s="35" t="str">
        <f aca="false">IF($A4504="","",IF(Setup!$B$6=1,YEAR($A4504),YEAR($A4504)+IF(MONTH($A4504)&gt;=Setup!$B$6,1,0)))</f>
        <v/>
      </c>
      <c r="K4504" s="35" t="str">
        <f aca="false">IF($A4504="","",MOD(MONTH($A4504)-Setup!$B$6+12,12)+1)</f>
        <v/>
      </c>
      <c r="L4504" s="36" t="str">
        <f aca="false">IF($A4504="","",TEXT($A4504,"MMM-YY"))</f>
        <v/>
      </c>
      <c r="M4504" s="37" t="str">
        <f aca="false">IF($A4504="","",IF($Q4504=0,"UNMAPPED",INDEX(COA_Mapping!$C$7:$C$256,$Q4504)))</f>
        <v/>
      </c>
      <c r="N4504" s="38" t="str">
        <f aca="false">IF($A4504="","",IF($Q4504=0,"",INDEX(COA_Mapping!$E$7:$E$256,$Q4504)))</f>
        <v/>
      </c>
      <c r="O4504" s="38" t="n">
        <f aca="false">IF($A4504="",1,IF($Q4504=0,1,INDEX(COA_Mapping!$F$7:$F$256,$Q4504)))</f>
        <v>1</v>
      </c>
      <c r="P4504" s="34" t="str">
        <f aca="false">IF($A4504="","",$I4504*$O4504)</f>
        <v/>
      </c>
      <c r="Q4504" s="39" t="n">
        <f aca="false">IF($B4504="",0,IFERROR(MATCH($B4504,COA_Mapping!$A$7:$A$256,0),0))</f>
        <v>0</v>
      </c>
      <c r="R4504" s="39" t="n">
        <f aca="false">IF($A4504="",-1,IF($J4504=Setup!$B$7,1,IF($J4504=Setup!$B$9,0,-1)))</f>
        <v>-1</v>
      </c>
      <c r="S4504" s="35" t="n">
        <f aca="false">IF(OR($A4504="",$Q4504=0,$R4504=-1),0,$Q4504*1000+$R4504*100+$K4504)</f>
        <v>0</v>
      </c>
      <c r="T4504" s="37" t="str">
        <f aca="false">IF($A4504="","",IF($B4504="","NO ACCOUNT",IF($Q4504=0,"UNMAPPED",IF($R4504=-1,"OUTSIDE FY RANGE","OK"))))</f>
        <v/>
      </c>
      <c r="U4504" s="40" t="str">
        <f aca="false">IF($A4504="","",$B4504&amp;"|"&amp;TEXT($A4504,"yyyymmdd")&amp;"|"&amp;TEXT($I4504,"0.00"))</f>
        <v/>
      </c>
      <c r="V4504" s="35" t="str">
        <f aca="false">IF($A4504="","",COUNTIF($U$8:$U$5007,$U4504))</f>
        <v/>
      </c>
    </row>
    <row r="4505" customFormat="false" ht="15" hidden="false" customHeight="false" outlineLevel="0" collapsed="false">
      <c r="A4505" s="31"/>
      <c r="B4505" s="32"/>
      <c r="C4505" s="32"/>
      <c r="D4505" s="32"/>
      <c r="E4505" s="32"/>
      <c r="F4505" s="32"/>
      <c r="G4505" s="33"/>
      <c r="H4505" s="33"/>
      <c r="I4505" s="34" t="str">
        <f aca="false">IF($A4505="","",$G4505-$H4505)</f>
        <v/>
      </c>
      <c r="J4505" s="35" t="str">
        <f aca="false">IF($A4505="","",IF(Setup!$B$6=1,YEAR($A4505),YEAR($A4505)+IF(MONTH($A4505)&gt;=Setup!$B$6,1,0)))</f>
        <v/>
      </c>
      <c r="K4505" s="35" t="str">
        <f aca="false">IF($A4505="","",MOD(MONTH($A4505)-Setup!$B$6+12,12)+1)</f>
        <v/>
      </c>
      <c r="L4505" s="36" t="str">
        <f aca="false">IF($A4505="","",TEXT($A4505,"MMM-YY"))</f>
        <v/>
      </c>
      <c r="M4505" s="37" t="str">
        <f aca="false">IF($A4505="","",IF($Q4505=0,"UNMAPPED",INDEX(COA_Mapping!$C$7:$C$256,$Q4505)))</f>
        <v/>
      </c>
      <c r="N4505" s="38" t="str">
        <f aca="false">IF($A4505="","",IF($Q4505=0,"",INDEX(COA_Mapping!$E$7:$E$256,$Q4505)))</f>
        <v/>
      </c>
      <c r="O4505" s="38" t="n">
        <f aca="false">IF($A4505="",1,IF($Q4505=0,1,INDEX(COA_Mapping!$F$7:$F$256,$Q4505)))</f>
        <v>1</v>
      </c>
      <c r="P4505" s="34" t="str">
        <f aca="false">IF($A4505="","",$I4505*$O4505)</f>
        <v/>
      </c>
      <c r="Q4505" s="39" t="n">
        <f aca="false">IF($B4505="",0,IFERROR(MATCH($B4505,COA_Mapping!$A$7:$A$256,0),0))</f>
        <v>0</v>
      </c>
      <c r="R4505" s="39" t="n">
        <f aca="false">IF($A4505="",-1,IF($J4505=Setup!$B$7,1,IF($J4505=Setup!$B$9,0,-1)))</f>
        <v>-1</v>
      </c>
      <c r="S4505" s="35" t="n">
        <f aca="false">IF(OR($A4505="",$Q4505=0,$R4505=-1),0,$Q4505*1000+$R4505*100+$K4505)</f>
        <v>0</v>
      </c>
      <c r="T4505" s="37" t="str">
        <f aca="false">IF($A4505="","",IF($B4505="","NO ACCOUNT",IF($Q4505=0,"UNMAPPED",IF($R4505=-1,"OUTSIDE FY RANGE","OK"))))</f>
        <v/>
      </c>
      <c r="U4505" s="40" t="str">
        <f aca="false">IF($A4505="","",$B4505&amp;"|"&amp;TEXT($A4505,"yyyymmdd")&amp;"|"&amp;TEXT($I4505,"0.00"))</f>
        <v/>
      </c>
      <c r="V4505" s="35" t="str">
        <f aca="false">IF($A4505="","",COUNTIF($U$8:$U$5007,$U4505))</f>
        <v/>
      </c>
    </row>
    <row r="4506" customFormat="false" ht="15" hidden="false" customHeight="false" outlineLevel="0" collapsed="false">
      <c r="A4506" s="31"/>
      <c r="B4506" s="32"/>
      <c r="C4506" s="32"/>
      <c r="D4506" s="32"/>
      <c r="E4506" s="32"/>
      <c r="F4506" s="32"/>
      <c r="G4506" s="33"/>
      <c r="H4506" s="33"/>
      <c r="I4506" s="34" t="str">
        <f aca="false">IF($A4506="","",$G4506-$H4506)</f>
        <v/>
      </c>
      <c r="J4506" s="35" t="str">
        <f aca="false">IF($A4506="","",IF(Setup!$B$6=1,YEAR($A4506),YEAR($A4506)+IF(MONTH($A4506)&gt;=Setup!$B$6,1,0)))</f>
        <v/>
      </c>
      <c r="K4506" s="35" t="str">
        <f aca="false">IF($A4506="","",MOD(MONTH($A4506)-Setup!$B$6+12,12)+1)</f>
        <v/>
      </c>
      <c r="L4506" s="36" t="str">
        <f aca="false">IF($A4506="","",TEXT($A4506,"MMM-YY"))</f>
        <v/>
      </c>
      <c r="M4506" s="37" t="str">
        <f aca="false">IF($A4506="","",IF($Q4506=0,"UNMAPPED",INDEX(COA_Mapping!$C$7:$C$256,$Q4506)))</f>
        <v/>
      </c>
      <c r="N4506" s="38" t="str">
        <f aca="false">IF($A4506="","",IF($Q4506=0,"",INDEX(COA_Mapping!$E$7:$E$256,$Q4506)))</f>
        <v/>
      </c>
      <c r="O4506" s="38" t="n">
        <f aca="false">IF($A4506="",1,IF($Q4506=0,1,INDEX(COA_Mapping!$F$7:$F$256,$Q4506)))</f>
        <v>1</v>
      </c>
      <c r="P4506" s="34" t="str">
        <f aca="false">IF($A4506="","",$I4506*$O4506)</f>
        <v/>
      </c>
      <c r="Q4506" s="39" t="n">
        <f aca="false">IF($B4506="",0,IFERROR(MATCH($B4506,COA_Mapping!$A$7:$A$256,0),0))</f>
        <v>0</v>
      </c>
      <c r="R4506" s="39" t="n">
        <f aca="false">IF($A4506="",-1,IF($J4506=Setup!$B$7,1,IF($J4506=Setup!$B$9,0,-1)))</f>
        <v>-1</v>
      </c>
      <c r="S4506" s="35" t="n">
        <f aca="false">IF(OR($A4506="",$Q4506=0,$R4506=-1),0,$Q4506*1000+$R4506*100+$K4506)</f>
        <v>0</v>
      </c>
      <c r="T4506" s="37" t="str">
        <f aca="false">IF($A4506="","",IF($B4506="","NO ACCOUNT",IF($Q4506=0,"UNMAPPED",IF($R4506=-1,"OUTSIDE FY RANGE","OK"))))</f>
        <v/>
      </c>
      <c r="U4506" s="40" t="str">
        <f aca="false">IF($A4506="","",$B4506&amp;"|"&amp;TEXT($A4506,"yyyymmdd")&amp;"|"&amp;TEXT($I4506,"0.00"))</f>
        <v/>
      </c>
      <c r="V4506" s="35" t="str">
        <f aca="false">IF($A4506="","",COUNTIF($U$8:$U$5007,$U4506))</f>
        <v/>
      </c>
    </row>
    <row r="4507" customFormat="false" ht="15" hidden="false" customHeight="false" outlineLevel="0" collapsed="false">
      <c r="A4507" s="31"/>
      <c r="B4507" s="32"/>
      <c r="C4507" s="32"/>
      <c r="D4507" s="32"/>
      <c r="E4507" s="32"/>
      <c r="F4507" s="32"/>
      <c r="G4507" s="33"/>
      <c r="H4507" s="33"/>
      <c r="I4507" s="34" t="str">
        <f aca="false">IF($A4507="","",$G4507-$H4507)</f>
        <v/>
      </c>
      <c r="J4507" s="35" t="str">
        <f aca="false">IF($A4507="","",IF(Setup!$B$6=1,YEAR($A4507),YEAR($A4507)+IF(MONTH($A4507)&gt;=Setup!$B$6,1,0)))</f>
        <v/>
      </c>
      <c r="K4507" s="35" t="str">
        <f aca="false">IF($A4507="","",MOD(MONTH($A4507)-Setup!$B$6+12,12)+1)</f>
        <v/>
      </c>
      <c r="L4507" s="36" t="str">
        <f aca="false">IF($A4507="","",TEXT($A4507,"MMM-YY"))</f>
        <v/>
      </c>
      <c r="M4507" s="37" t="str">
        <f aca="false">IF($A4507="","",IF($Q4507=0,"UNMAPPED",INDEX(COA_Mapping!$C$7:$C$256,$Q4507)))</f>
        <v/>
      </c>
      <c r="N4507" s="38" t="str">
        <f aca="false">IF($A4507="","",IF($Q4507=0,"",INDEX(COA_Mapping!$E$7:$E$256,$Q4507)))</f>
        <v/>
      </c>
      <c r="O4507" s="38" t="n">
        <f aca="false">IF($A4507="",1,IF($Q4507=0,1,INDEX(COA_Mapping!$F$7:$F$256,$Q4507)))</f>
        <v>1</v>
      </c>
      <c r="P4507" s="34" t="str">
        <f aca="false">IF($A4507="","",$I4507*$O4507)</f>
        <v/>
      </c>
      <c r="Q4507" s="39" t="n">
        <f aca="false">IF($B4507="",0,IFERROR(MATCH($B4507,COA_Mapping!$A$7:$A$256,0),0))</f>
        <v>0</v>
      </c>
      <c r="R4507" s="39" t="n">
        <f aca="false">IF($A4507="",-1,IF($J4507=Setup!$B$7,1,IF($J4507=Setup!$B$9,0,-1)))</f>
        <v>-1</v>
      </c>
      <c r="S4507" s="35" t="n">
        <f aca="false">IF(OR($A4507="",$Q4507=0,$R4507=-1),0,$Q4507*1000+$R4507*100+$K4507)</f>
        <v>0</v>
      </c>
      <c r="T4507" s="37" t="str">
        <f aca="false">IF($A4507="","",IF($B4507="","NO ACCOUNT",IF($Q4507=0,"UNMAPPED",IF($R4507=-1,"OUTSIDE FY RANGE","OK"))))</f>
        <v/>
      </c>
      <c r="U4507" s="40" t="str">
        <f aca="false">IF($A4507="","",$B4507&amp;"|"&amp;TEXT($A4507,"yyyymmdd")&amp;"|"&amp;TEXT($I4507,"0.00"))</f>
        <v/>
      </c>
      <c r="V4507" s="35" t="str">
        <f aca="false">IF($A4507="","",COUNTIF($U$8:$U$5007,$U4507))</f>
        <v/>
      </c>
    </row>
    <row r="4508" customFormat="false" ht="15" hidden="false" customHeight="false" outlineLevel="0" collapsed="false">
      <c r="A4508" s="31"/>
      <c r="B4508" s="32"/>
      <c r="C4508" s="32"/>
      <c r="D4508" s="32"/>
      <c r="E4508" s="32"/>
      <c r="F4508" s="32"/>
      <c r="G4508" s="33"/>
      <c r="H4508" s="33"/>
      <c r="I4508" s="34" t="str">
        <f aca="false">IF($A4508="","",$G4508-$H4508)</f>
        <v/>
      </c>
      <c r="J4508" s="35" t="str">
        <f aca="false">IF($A4508="","",IF(Setup!$B$6=1,YEAR($A4508),YEAR($A4508)+IF(MONTH($A4508)&gt;=Setup!$B$6,1,0)))</f>
        <v/>
      </c>
      <c r="K4508" s="35" t="str">
        <f aca="false">IF($A4508="","",MOD(MONTH($A4508)-Setup!$B$6+12,12)+1)</f>
        <v/>
      </c>
      <c r="L4508" s="36" t="str">
        <f aca="false">IF($A4508="","",TEXT($A4508,"MMM-YY"))</f>
        <v/>
      </c>
      <c r="M4508" s="37" t="str">
        <f aca="false">IF($A4508="","",IF($Q4508=0,"UNMAPPED",INDEX(COA_Mapping!$C$7:$C$256,$Q4508)))</f>
        <v/>
      </c>
      <c r="N4508" s="38" t="str">
        <f aca="false">IF($A4508="","",IF($Q4508=0,"",INDEX(COA_Mapping!$E$7:$E$256,$Q4508)))</f>
        <v/>
      </c>
      <c r="O4508" s="38" t="n">
        <f aca="false">IF($A4508="",1,IF($Q4508=0,1,INDEX(COA_Mapping!$F$7:$F$256,$Q4508)))</f>
        <v>1</v>
      </c>
      <c r="P4508" s="34" t="str">
        <f aca="false">IF($A4508="","",$I4508*$O4508)</f>
        <v/>
      </c>
      <c r="Q4508" s="39" t="n">
        <f aca="false">IF($B4508="",0,IFERROR(MATCH($B4508,COA_Mapping!$A$7:$A$256,0),0))</f>
        <v>0</v>
      </c>
      <c r="R4508" s="39" t="n">
        <f aca="false">IF($A4508="",-1,IF($J4508=Setup!$B$7,1,IF($J4508=Setup!$B$9,0,-1)))</f>
        <v>-1</v>
      </c>
      <c r="S4508" s="35" t="n">
        <f aca="false">IF(OR($A4508="",$Q4508=0,$R4508=-1),0,$Q4508*1000+$R4508*100+$K4508)</f>
        <v>0</v>
      </c>
      <c r="T4508" s="37" t="str">
        <f aca="false">IF($A4508="","",IF($B4508="","NO ACCOUNT",IF($Q4508=0,"UNMAPPED",IF($R4508=-1,"OUTSIDE FY RANGE","OK"))))</f>
        <v/>
      </c>
      <c r="U4508" s="40" t="str">
        <f aca="false">IF($A4508="","",$B4508&amp;"|"&amp;TEXT($A4508,"yyyymmdd")&amp;"|"&amp;TEXT($I4508,"0.00"))</f>
        <v/>
      </c>
      <c r="V4508" s="35" t="str">
        <f aca="false">IF($A4508="","",COUNTIF($U$8:$U$5007,$U4508))</f>
        <v/>
      </c>
    </row>
    <row r="4509" customFormat="false" ht="15" hidden="false" customHeight="false" outlineLevel="0" collapsed="false">
      <c r="A4509" s="31"/>
      <c r="B4509" s="32"/>
      <c r="C4509" s="32"/>
      <c r="D4509" s="32"/>
      <c r="E4509" s="32"/>
      <c r="F4509" s="32"/>
      <c r="G4509" s="33"/>
      <c r="H4509" s="33"/>
      <c r="I4509" s="34" t="str">
        <f aca="false">IF($A4509="","",$G4509-$H4509)</f>
        <v/>
      </c>
      <c r="J4509" s="35" t="str">
        <f aca="false">IF($A4509="","",IF(Setup!$B$6=1,YEAR($A4509),YEAR($A4509)+IF(MONTH($A4509)&gt;=Setup!$B$6,1,0)))</f>
        <v/>
      </c>
      <c r="K4509" s="35" t="str">
        <f aca="false">IF($A4509="","",MOD(MONTH($A4509)-Setup!$B$6+12,12)+1)</f>
        <v/>
      </c>
      <c r="L4509" s="36" t="str">
        <f aca="false">IF($A4509="","",TEXT($A4509,"MMM-YY"))</f>
        <v/>
      </c>
      <c r="M4509" s="37" t="str">
        <f aca="false">IF($A4509="","",IF($Q4509=0,"UNMAPPED",INDEX(COA_Mapping!$C$7:$C$256,$Q4509)))</f>
        <v/>
      </c>
      <c r="N4509" s="38" t="str">
        <f aca="false">IF($A4509="","",IF($Q4509=0,"",INDEX(COA_Mapping!$E$7:$E$256,$Q4509)))</f>
        <v/>
      </c>
      <c r="O4509" s="38" t="n">
        <f aca="false">IF($A4509="",1,IF($Q4509=0,1,INDEX(COA_Mapping!$F$7:$F$256,$Q4509)))</f>
        <v>1</v>
      </c>
      <c r="P4509" s="34" t="str">
        <f aca="false">IF($A4509="","",$I4509*$O4509)</f>
        <v/>
      </c>
      <c r="Q4509" s="39" t="n">
        <f aca="false">IF($B4509="",0,IFERROR(MATCH($B4509,COA_Mapping!$A$7:$A$256,0),0))</f>
        <v>0</v>
      </c>
      <c r="R4509" s="39" t="n">
        <f aca="false">IF($A4509="",-1,IF($J4509=Setup!$B$7,1,IF($J4509=Setup!$B$9,0,-1)))</f>
        <v>-1</v>
      </c>
      <c r="S4509" s="35" t="n">
        <f aca="false">IF(OR($A4509="",$Q4509=0,$R4509=-1),0,$Q4509*1000+$R4509*100+$K4509)</f>
        <v>0</v>
      </c>
      <c r="T4509" s="37" t="str">
        <f aca="false">IF($A4509="","",IF($B4509="","NO ACCOUNT",IF($Q4509=0,"UNMAPPED",IF($R4509=-1,"OUTSIDE FY RANGE","OK"))))</f>
        <v/>
      </c>
      <c r="U4509" s="40" t="str">
        <f aca="false">IF($A4509="","",$B4509&amp;"|"&amp;TEXT($A4509,"yyyymmdd")&amp;"|"&amp;TEXT($I4509,"0.00"))</f>
        <v/>
      </c>
      <c r="V4509" s="35" t="str">
        <f aca="false">IF($A4509="","",COUNTIF($U$8:$U$5007,$U4509))</f>
        <v/>
      </c>
    </row>
    <row r="4510" customFormat="false" ht="15" hidden="false" customHeight="false" outlineLevel="0" collapsed="false">
      <c r="A4510" s="31"/>
      <c r="B4510" s="32"/>
      <c r="C4510" s="32"/>
      <c r="D4510" s="32"/>
      <c r="E4510" s="32"/>
      <c r="F4510" s="32"/>
      <c r="G4510" s="33"/>
      <c r="H4510" s="33"/>
      <c r="I4510" s="34" t="str">
        <f aca="false">IF($A4510="","",$G4510-$H4510)</f>
        <v/>
      </c>
      <c r="J4510" s="35" t="str">
        <f aca="false">IF($A4510="","",IF(Setup!$B$6=1,YEAR($A4510),YEAR($A4510)+IF(MONTH($A4510)&gt;=Setup!$B$6,1,0)))</f>
        <v/>
      </c>
      <c r="K4510" s="35" t="str">
        <f aca="false">IF($A4510="","",MOD(MONTH($A4510)-Setup!$B$6+12,12)+1)</f>
        <v/>
      </c>
      <c r="L4510" s="36" t="str">
        <f aca="false">IF($A4510="","",TEXT($A4510,"MMM-YY"))</f>
        <v/>
      </c>
      <c r="M4510" s="37" t="str">
        <f aca="false">IF($A4510="","",IF($Q4510=0,"UNMAPPED",INDEX(COA_Mapping!$C$7:$C$256,$Q4510)))</f>
        <v/>
      </c>
      <c r="N4510" s="38" t="str">
        <f aca="false">IF($A4510="","",IF($Q4510=0,"",INDEX(COA_Mapping!$E$7:$E$256,$Q4510)))</f>
        <v/>
      </c>
      <c r="O4510" s="38" t="n">
        <f aca="false">IF($A4510="",1,IF($Q4510=0,1,INDEX(COA_Mapping!$F$7:$F$256,$Q4510)))</f>
        <v>1</v>
      </c>
      <c r="P4510" s="34" t="str">
        <f aca="false">IF($A4510="","",$I4510*$O4510)</f>
        <v/>
      </c>
      <c r="Q4510" s="39" t="n">
        <f aca="false">IF($B4510="",0,IFERROR(MATCH($B4510,COA_Mapping!$A$7:$A$256,0),0))</f>
        <v>0</v>
      </c>
      <c r="R4510" s="39" t="n">
        <f aca="false">IF($A4510="",-1,IF($J4510=Setup!$B$7,1,IF($J4510=Setup!$B$9,0,-1)))</f>
        <v>-1</v>
      </c>
      <c r="S4510" s="35" t="n">
        <f aca="false">IF(OR($A4510="",$Q4510=0,$R4510=-1),0,$Q4510*1000+$R4510*100+$K4510)</f>
        <v>0</v>
      </c>
      <c r="T4510" s="37" t="str">
        <f aca="false">IF($A4510="","",IF($B4510="","NO ACCOUNT",IF($Q4510=0,"UNMAPPED",IF($R4510=-1,"OUTSIDE FY RANGE","OK"))))</f>
        <v/>
      </c>
      <c r="U4510" s="40" t="str">
        <f aca="false">IF($A4510="","",$B4510&amp;"|"&amp;TEXT($A4510,"yyyymmdd")&amp;"|"&amp;TEXT($I4510,"0.00"))</f>
        <v/>
      </c>
      <c r="V4510" s="35" t="str">
        <f aca="false">IF($A4510="","",COUNTIF($U$8:$U$5007,$U4510))</f>
        <v/>
      </c>
    </row>
    <row r="4511" customFormat="false" ht="15" hidden="false" customHeight="false" outlineLevel="0" collapsed="false">
      <c r="A4511" s="31"/>
      <c r="B4511" s="32"/>
      <c r="C4511" s="32"/>
      <c r="D4511" s="32"/>
      <c r="E4511" s="32"/>
      <c r="F4511" s="32"/>
      <c r="G4511" s="33"/>
      <c r="H4511" s="33"/>
      <c r="I4511" s="34" t="str">
        <f aca="false">IF($A4511="","",$G4511-$H4511)</f>
        <v/>
      </c>
      <c r="J4511" s="35" t="str">
        <f aca="false">IF($A4511="","",IF(Setup!$B$6=1,YEAR($A4511),YEAR($A4511)+IF(MONTH($A4511)&gt;=Setup!$B$6,1,0)))</f>
        <v/>
      </c>
      <c r="K4511" s="35" t="str">
        <f aca="false">IF($A4511="","",MOD(MONTH($A4511)-Setup!$B$6+12,12)+1)</f>
        <v/>
      </c>
      <c r="L4511" s="36" t="str">
        <f aca="false">IF($A4511="","",TEXT($A4511,"MMM-YY"))</f>
        <v/>
      </c>
      <c r="M4511" s="37" t="str">
        <f aca="false">IF($A4511="","",IF($Q4511=0,"UNMAPPED",INDEX(COA_Mapping!$C$7:$C$256,$Q4511)))</f>
        <v/>
      </c>
      <c r="N4511" s="38" t="str">
        <f aca="false">IF($A4511="","",IF($Q4511=0,"",INDEX(COA_Mapping!$E$7:$E$256,$Q4511)))</f>
        <v/>
      </c>
      <c r="O4511" s="38" t="n">
        <f aca="false">IF($A4511="",1,IF($Q4511=0,1,INDEX(COA_Mapping!$F$7:$F$256,$Q4511)))</f>
        <v>1</v>
      </c>
      <c r="P4511" s="34" t="str">
        <f aca="false">IF($A4511="","",$I4511*$O4511)</f>
        <v/>
      </c>
      <c r="Q4511" s="39" t="n">
        <f aca="false">IF($B4511="",0,IFERROR(MATCH($B4511,COA_Mapping!$A$7:$A$256,0),0))</f>
        <v>0</v>
      </c>
      <c r="R4511" s="39" t="n">
        <f aca="false">IF($A4511="",-1,IF($J4511=Setup!$B$7,1,IF($J4511=Setup!$B$9,0,-1)))</f>
        <v>-1</v>
      </c>
      <c r="S4511" s="35" t="n">
        <f aca="false">IF(OR($A4511="",$Q4511=0,$R4511=-1),0,$Q4511*1000+$R4511*100+$K4511)</f>
        <v>0</v>
      </c>
      <c r="T4511" s="37" t="str">
        <f aca="false">IF($A4511="","",IF($B4511="","NO ACCOUNT",IF($Q4511=0,"UNMAPPED",IF($R4511=-1,"OUTSIDE FY RANGE","OK"))))</f>
        <v/>
      </c>
      <c r="U4511" s="40" t="str">
        <f aca="false">IF($A4511="","",$B4511&amp;"|"&amp;TEXT($A4511,"yyyymmdd")&amp;"|"&amp;TEXT($I4511,"0.00"))</f>
        <v/>
      </c>
      <c r="V4511" s="35" t="str">
        <f aca="false">IF($A4511="","",COUNTIF($U$8:$U$5007,$U4511))</f>
        <v/>
      </c>
    </row>
    <row r="4512" customFormat="false" ht="15" hidden="false" customHeight="false" outlineLevel="0" collapsed="false">
      <c r="A4512" s="31"/>
      <c r="B4512" s="32"/>
      <c r="C4512" s="32"/>
      <c r="D4512" s="32"/>
      <c r="E4512" s="32"/>
      <c r="F4512" s="32"/>
      <c r="G4512" s="33"/>
      <c r="H4512" s="33"/>
      <c r="I4512" s="34" t="str">
        <f aca="false">IF($A4512="","",$G4512-$H4512)</f>
        <v/>
      </c>
      <c r="J4512" s="35" t="str">
        <f aca="false">IF($A4512="","",IF(Setup!$B$6=1,YEAR($A4512),YEAR($A4512)+IF(MONTH($A4512)&gt;=Setup!$B$6,1,0)))</f>
        <v/>
      </c>
      <c r="K4512" s="35" t="str">
        <f aca="false">IF($A4512="","",MOD(MONTH($A4512)-Setup!$B$6+12,12)+1)</f>
        <v/>
      </c>
      <c r="L4512" s="36" t="str">
        <f aca="false">IF($A4512="","",TEXT($A4512,"MMM-YY"))</f>
        <v/>
      </c>
      <c r="M4512" s="37" t="str">
        <f aca="false">IF($A4512="","",IF($Q4512=0,"UNMAPPED",INDEX(COA_Mapping!$C$7:$C$256,$Q4512)))</f>
        <v/>
      </c>
      <c r="N4512" s="38" t="str">
        <f aca="false">IF($A4512="","",IF($Q4512=0,"",INDEX(COA_Mapping!$E$7:$E$256,$Q4512)))</f>
        <v/>
      </c>
      <c r="O4512" s="38" t="n">
        <f aca="false">IF($A4512="",1,IF($Q4512=0,1,INDEX(COA_Mapping!$F$7:$F$256,$Q4512)))</f>
        <v>1</v>
      </c>
      <c r="P4512" s="34" t="str">
        <f aca="false">IF($A4512="","",$I4512*$O4512)</f>
        <v/>
      </c>
      <c r="Q4512" s="39" t="n">
        <f aca="false">IF($B4512="",0,IFERROR(MATCH($B4512,COA_Mapping!$A$7:$A$256,0),0))</f>
        <v>0</v>
      </c>
      <c r="R4512" s="39" t="n">
        <f aca="false">IF($A4512="",-1,IF($J4512=Setup!$B$7,1,IF($J4512=Setup!$B$9,0,-1)))</f>
        <v>-1</v>
      </c>
      <c r="S4512" s="35" t="n">
        <f aca="false">IF(OR($A4512="",$Q4512=0,$R4512=-1),0,$Q4512*1000+$R4512*100+$K4512)</f>
        <v>0</v>
      </c>
      <c r="T4512" s="37" t="str">
        <f aca="false">IF($A4512="","",IF($B4512="","NO ACCOUNT",IF($Q4512=0,"UNMAPPED",IF($R4512=-1,"OUTSIDE FY RANGE","OK"))))</f>
        <v/>
      </c>
      <c r="U4512" s="40" t="str">
        <f aca="false">IF($A4512="","",$B4512&amp;"|"&amp;TEXT($A4512,"yyyymmdd")&amp;"|"&amp;TEXT($I4512,"0.00"))</f>
        <v/>
      </c>
      <c r="V4512" s="35" t="str">
        <f aca="false">IF($A4512="","",COUNTIF($U$8:$U$5007,$U4512))</f>
        <v/>
      </c>
    </row>
    <row r="4513" customFormat="false" ht="15" hidden="false" customHeight="false" outlineLevel="0" collapsed="false">
      <c r="A4513" s="31"/>
      <c r="B4513" s="32"/>
      <c r="C4513" s="32"/>
      <c r="D4513" s="32"/>
      <c r="E4513" s="32"/>
      <c r="F4513" s="32"/>
      <c r="G4513" s="33"/>
      <c r="H4513" s="33"/>
      <c r="I4513" s="34" t="str">
        <f aca="false">IF($A4513="","",$G4513-$H4513)</f>
        <v/>
      </c>
      <c r="J4513" s="35" t="str">
        <f aca="false">IF($A4513="","",IF(Setup!$B$6=1,YEAR($A4513),YEAR($A4513)+IF(MONTH($A4513)&gt;=Setup!$B$6,1,0)))</f>
        <v/>
      </c>
      <c r="K4513" s="35" t="str">
        <f aca="false">IF($A4513="","",MOD(MONTH($A4513)-Setup!$B$6+12,12)+1)</f>
        <v/>
      </c>
      <c r="L4513" s="36" t="str">
        <f aca="false">IF($A4513="","",TEXT($A4513,"MMM-YY"))</f>
        <v/>
      </c>
      <c r="M4513" s="37" t="str">
        <f aca="false">IF($A4513="","",IF($Q4513=0,"UNMAPPED",INDEX(COA_Mapping!$C$7:$C$256,$Q4513)))</f>
        <v/>
      </c>
      <c r="N4513" s="38" t="str">
        <f aca="false">IF($A4513="","",IF($Q4513=0,"",INDEX(COA_Mapping!$E$7:$E$256,$Q4513)))</f>
        <v/>
      </c>
      <c r="O4513" s="38" t="n">
        <f aca="false">IF($A4513="",1,IF($Q4513=0,1,INDEX(COA_Mapping!$F$7:$F$256,$Q4513)))</f>
        <v>1</v>
      </c>
      <c r="P4513" s="34" t="str">
        <f aca="false">IF($A4513="","",$I4513*$O4513)</f>
        <v/>
      </c>
      <c r="Q4513" s="39" t="n">
        <f aca="false">IF($B4513="",0,IFERROR(MATCH($B4513,COA_Mapping!$A$7:$A$256,0),0))</f>
        <v>0</v>
      </c>
      <c r="R4513" s="39" t="n">
        <f aca="false">IF($A4513="",-1,IF($J4513=Setup!$B$7,1,IF($J4513=Setup!$B$9,0,-1)))</f>
        <v>-1</v>
      </c>
      <c r="S4513" s="35" t="n">
        <f aca="false">IF(OR($A4513="",$Q4513=0,$R4513=-1),0,$Q4513*1000+$R4513*100+$K4513)</f>
        <v>0</v>
      </c>
      <c r="T4513" s="37" t="str">
        <f aca="false">IF($A4513="","",IF($B4513="","NO ACCOUNT",IF($Q4513=0,"UNMAPPED",IF($R4513=-1,"OUTSIDE FY RANGE","OK"))))</f>
        <v/>
      </c>
      <c r="U4513" s="40" t="str">
        <f aca="false">IF($A4513="","",$B4513&amp;"|"&amp;TEXT($A4513,"yyyymmdd")&amp;"|"&amp;TEXT($I4513,"0.00"))</f>
        <v/>
      </c>
      <c r="V4513" s="35" t="str">
        <f aca="false">IF($A4513="","",COUNTIF($U$8:$U$5007,$U4513))</f>
        <v/>
      </c>
    </row>
    <row r="4514" customFormat="false" ht="15" hidden="false" customHeight="false" outlineLevel="0" collapsed="false">
      <c r="A4514" s="31"/>
      <c r="B4514" s="32"/>
      <c r="C4514" s="32"/>
      <c r="D4514" s="32"/>
      <c r="E4514" s="32"/>
      <c r="F4514" s="32"/>
      <c r="G4514" s="33"/>
      <c r="H4514" s="33"/>
      <c r="I4514" s="34" t="str">
        <f aca="false">IF($A4514="","",$G4514-$H4514)</f>
        <v/>
      </c>
      <c r="J4514" s="35" t="str">
        <f aca="false">IF($A4514="","",IF(Setup!$B$6=1,YEAR($A4514),YEAR($A4514)+IF(MONTH($A4514)&gt;=Setup!$B$6,1,0)))</f>
        <v/>
      </c>
      <c r="K4514" s="35" t="str">
        <f aca="false">IF($A4514="","",MOD(MONTH($A4514)-Setup!$B$6+12,12)+1)</f>
        <v/>
      </c>
      <c r="L4514" s="36" t="str">
        <f aca="false">IF($A4514="","",TEXT($A4514,"MMM-YY"))</f>
        <v/>
      </c>
      <c r="M4514" s="37" t="str">
        <f aca="false">IF($A4514="","",IF($Q4514=0,"UNMAPPED",INDEX(COA_Mapping!$C$7:$C$256,$Q4514)))</f>
        <v/>
      </c>
      <c r="N4514" s="38" t="str">
        <f aca="false">IF($A4514="","",IF($Q4514=0,"",INDEX(COA_Mapping!$E$7:$E$256,$Q4514)))</f>
        <v/>
      </c>
      <c r="O4514" s="38" t="n">
        <f aca="false">IF($A4514="",1,IF($Q4514=0,1,INDEX(COA_Mapping!$F$7:$F$256,$Q4514)))</f>
        <v>1</v>
      </c>
      <c r="P4514" s="34" t="str">
        <f aca="false">IF($A4514="","",$I4514*$O4514)</f>
        <v/>
      </c>
      <c r="Q4514" s="39" t="n">
        <f aca="false">IF($B4514="",0,IFERROR(MATCH($B4514,COA_Mapping!$A$7:$A$256,0),0))</f>
        <v>0</v>
      </c>
      <c r="R4514" s="39" t="n">
        <f aca="false">IF($A4514="",-1,IF($J4514=Setup!$B$7,1,IF($J4514=Setup!$B$9,0,-1)))</f>
        <v>-1</v>
      </c>
      <c r="S4514" s="35" t="n">
        <f aca="false">IF(OR($A4514="",$Q4514=0,$R4514=-1),0,$Q4514*1000+$R4514*100+$K4514)</f>
        <v>0</v>
      </c>
      <c r="T4514" s="37" t="str">
        <f aca="false">IF($A4514="","",IF($B4514="","NO ACCOUNT",IF($Q4514=0,"UNMAPPED",IF($R4514=-1,"OUTSIDE FY RANGE","OK"))))</f>
        <v/>
      </c>
      <c r="U4514" s="40" t="str">
        <f aca="false">IF($A4514="","",$B4514&amp;"|"&amp;TEXT($A4514,"yyyymmdd")&amp;"|"&amp;TEXT($I4514,"0.00"))</f>
        <v/>
      </c>
      <c r="V4514" s="35" t="str">
        <f aca="false">IF($A4514="","",COUNTIF($U$8:$U$5007,$U4514))</f>
        <v/>
      </c>
    </row>
    <row r="4515" customFormat="false" ht="15" hidden="false" customHeight="false" outlineLevel="0" collapsed="false">
      <c r="A4515" s="31"/>
      <c r="B4515" s="32"/>
      <c r="C4515" s="32"/>
      <c r="D4515" s="32"/>
      <c r="E4515" s="32"/>
      <c r="F4515" s="32"/>
      <c r="G4515" s="33"/>
      <c r="H4515" s="33"/>
      <c r="I4515" s="34" t="str">
        <f aca="false">IF($A4515="","",$G4515-$H4515)</f>
        <v/>
      </c>
      <c r="J4515" s="35" t="str">
        <f aca="false">IF($A4515="","",IF(Setup!$B$6=1,YEAR($A4515),YEAR($A4515)+IF(MONTH($A4515)&gt;=Setup!$B$6,1,0)))</f>
        <v/>
      </c>
      <c r="K4515" s="35" t="str">
        <f aca="false">IF($A4515="","",MOD(MONTH($A4515)-Setup!$B$6+12,12)+1)</f>
        <v/>
      </c>
      <c r="L4515" s="36" t="str">
        <f aca="false">IF($A4515="","",TEXT($A4515,"MMM-YY"))</f>
        <v/>
      </c>
      <c r="M4515" s="37" t="str">
        <f aca="false">IF($A4515="","",IF($Q4515=0,"UNMAPPED",INDEX(COA_Mapping!$C$7:$C$256,$Q4515)))</f>
        <v/>
      </c>
      <c r="N4515" s="38" t="str">
        <f aca="false">IF($A4515="","",IF($Q4515=0,"",INDEX(COA_Mapping!$E$7:$E$256,$Q4515)))</f>
        <v/>
      </c>
      <c r="O4515" s="38" t="n">
        <f aca="false">IF($A4515="",1,IF($Q4515=0,1,INDEX(COA_Mapping!$F$7:$F$256,$Q4515)))</f>
        <v>1</v>
      </c>
      <c r="P4515" s="34" t="str">
        <f aca="false">IF($A4515="","",$I4515*$O4515)</f>
        <v/>
      </c>
      <c r="Q4515" s="39" t="n">
        <f aca="false">IF($B4515="",0,IFERROR(MATCH($B4515,COA_Mapping!$A$7:$A$256,0),0))</f>
        <v>0</v>
      </c>
      <c r="R4515" s="39" t="n">
        <f aca="false">IF($A4515="",-1,IF($J4515=Setup!$B$7,1,IF($J4515=Setup!$B$9,0,-1)))</f>
        <v>-1</v>
      </c>
      <c r="S4515" s="35" t="n">
        <f aca="false">IF(OR($A4515="",$Q4515=0,$R4515=-1),0,$Q4515*1000+$R4515*100+$K4515)</f>
        <v>0</v>
      </c>
      <c r="T4515" s="37" t="str">
        <f aca="false">IF($A4515="","",IF($B4515="","NO ACCOUNT",IF($Q4515=0,"UNMAPPED",IF($R4515=-1,"OUTSIDE FY RANGE","OK"))))</f>
        <v/>
      </c>
      <c r="U4515" s="40" t="str">
        <f aca="false">IF($A4515="","",$B4515&amp;"|"&amp;TEXT($A4515,"yyyymmdd")&amp;"|"&amp;TEXT($I4515,"0.00"))</f>
        <v/>
      </c>
      <c r="V4515" s="35" t="str">
        <f aca="false">IF($A4515="","",COUNTIF($U$8:$U$5007,$U4515))</f>
        <v/>
      </c>
    </row>
    <row r="4516" customFormat="false" ht="15" hidden="false" customHeight="false" outlineLevel="0" collapsed="false">
      <c r="A4516" s="31"/>
      <c r="B4516" s="32"/>
      <c r="C4516" s="32"/>
      <c r="D4516" s="32"/>
      <c r="E4516" s="32"/>
      <c r="F4516" s="32"/>
      <c r="G4516" s="33"/>
      <c r="H4516" s="33"/>
      <c r="I4516" s="34" t="str">
        <f aca="false">IF($A4516="","",$G4516-$H4516)</f>
        <v/>
      </c>
      <c r="J4516" s="35" t="str">
        <f aca="false">IF($A4516="","",IF(Setup!$B$6=1,YEAR($A4516),YEAR($A4516)+IF(MONTH($A4516)&gt;=Setup!$B$6,1,0)))</f>
        <v/>
      </c>
      <c r="K4516" s="35" t="str">
        <f aca="false">IF($A4516="","",MOD(MONTH($A4516)-Setup!$B$6+12,12)+1)</f>
        <v/>
      </c>
      <c r="L4516" s="36" t="str">
        <f aca="false">IF($A4516="","",TEXT($A4516,"MMM-YY"))</f>
        <v/>
      </c>
      <c r="M4516" s="37" t="str">
        <f aca="false">IF($A4516="","",IF($Q4516=0,"UNMAPPED",INDEX(COA_Mapping!$C$7:$C$256,$Q4516)))</f>
        <v/>
      </c>
      <c r="N4516" s="38" t="str">
        <f aca="false">IF($A4516="","",IF($Q4516=0,"",INDEX(COA_Mapping!$E$7:$E$256,$Q4516)))</f>
        <v/>
      </c>
      <c r="O4516" s="38" t="n">
        <f aca="false">IF($A4516="",1,IF($Q4516=0,1,INDEX(COA_Mapping!$F$7:$F$256,$Q4516)))</f>
        <v>1</v>
      </c>
      <c r="P4516" s="34" t="str">
        <f aca="false">IF($A4516="","",$I4516*$O4516)</f>
        <v/>
      </c>
      <c r="Q4516" s="39" t="n">
        <f aca="false">IF($B4516="",0,IFERROR(MATCH($B4516,COA_Mapping!$A$7:$A$256,0),0))</f>
        <v>0</v>
      </c>
      <c r="R4516" s="39" t="n">
        <f aca="false">IF($A4516="",-1,IF($J4516=Setup!$B$7,1,IF($J4516=Setup!$B$9,0,-1)))</f>
        <v>-1</v>
      </c>
      <c r="S4516" s="35" t="n">
        <f aca="false">IF(OR($A4516="",$Q4516=0,$R4516=-1),0,$Q4516*1000+$R4516*100+$K4516)</f>
        <v>0</v>
      </c>
      <c r="T4516" s="37" t="str">
        <f aca="false">IF($A4516="","",IF($B4516="","NO ACCOUNT",IF($Q4516=0,"UNMAPPED",IF($R4516=-1,"OUTSIDE FY RANGE","OK"))))</f>
        <v/>
      </c>
      <c r="U4516" s="40" t="str">
        <f aca="false">IF($A4516="","",$B4516&amp;"|"&amp;TEXT($A4516,"yyyymmdd")&amp;"|"&amp;TEXT($I4516,"0.00"))</f>
        <v/>
      </c>
      <c r="V4516" s="35" t="str">
        <f aca="false">IF($A4516="","",COUNTIF($U$8:$U$5007,$U4516))</f>
        <v/>
      </c>
    </row>
    <row r="4517" customFormat="false" ht="15" hidden="false" customHeight="false" outlineLevel="0" collapsed="false">
      <c r="A4517" s="31"/>
      <c r="B4517" s="32"/>
      <c r="C4517" s="32"/>
      <c r="D4517" s="32"/>
      <c r="E4517" s="32"/>
      <c r="F4517" s="32"/>
      <c r="G4517" s="33"/>
      <c r="H4517" s="33"/>
      <c r="I4517" s="34" t="str">
        <f aca="false">IF($A4517="","",$G4517-$H4517)</f>
        <v/>
      </c>
      <c r="J4517" s="35" t="str">
        <f aca="false">IF($A4517="","",IF(Setup!$B$6=1,YEAR($A4517),YEAR($A4517)+IF(MONTH($A4517)&gt;=Setup!$B$6,1,0)))</f>
        <v/>
      </c>
      <c r="K4517" s="35" t="str">
        <f aca="false">IF($A4517="","",MOD(MONTH($A4517)-Setup!$B$6+12,12)+1)</f>
        <v/>
      </c>
      <c r="L4517" s="36" t="str">
        <f aca="false">IF($A4517="","",TEXT($A4517,"MMM-YY"))</f>
        <v/>
      </c>
      <c r="M4517" s="37" t="str">
        <f aca="false">IF($A4517="","",IF($Q4517=0,"UNMAPPED",INDEX(COA_Mapping!$C$7:$C$256,$Q4517)))</f>
        <v/>
      </c>
      <c r="N4517" s="38" t="str">
        <f aca="false">IF($A4517="","",IF($Q4517=0,"",INDEX(COA_Mapping!$E$7:$E$256,$Q4517)))</f>
        <v/>
      </c>
      <c r="O4517" s="38" t="n">
        <f aca="false">IF($A4517="",1,IF($Q4517=0,1,INDEX(COA_Mapping!$F$7:$F$256,$Q4517)))</f>
        <v>1</v>
      </c>
      <c r="P4517" s="34" t="str">
        <f aca="false">IF($A4517="","",$I4517*$O4517)</f>
        <v/>
      </c>
      <c r="Q4517" s="39" t="n">
        <f aca="false">IF($B4517="",0,IFERROR(MATCH($B4517,COA_Mapping!$A$7:$A$256,0),0))</f>
        <v>0</v>
      </c>
      <c r="R4517" s="39" t="n">
        <f aca="false">IF($A4517="",-1,IF($J4517=Setup!$B$7,1,IF($J4517=Setup!$B$9,0,-1)))</f>
        <v>-1</v>
      </c>
      <c r="S4517" s="35" t="n">
        <f aca="false">IF(OR($A4517="",$Q4517=0,$R4517=-1),0,$Q4517*1000+$R4517*100+$K4517)</f>
        <v>0</v>
      </c>
      <c r="T4517" s="37" t="str">
        <f aca="false">IF($A4517="","",IF($B4517="","NO ACCOUNT",IF($Q4517=0,"UNMAPPED",IF($R4517=-1,"OUTSIDE FY RANGE","OK"))))</f>
        <v/>
      </c>
      <c r="U4517" s="40" t="str">
        <f aca="false">IF($A4517="","",$B4517&amp;"|"&amp;TEXT($A4517,"yyyymmdd")&amp;"|"&amp;TEXT($I4517,"0.00"))</f>
        <v/>
      </c>
      <c r="V4517" s="35" t="str">
        <f aca="false">IF($A4517="","",COUNTIF($U$8:$U$5007,$U4517))</f>
        <v/>
      </c>
    </row>
    <row r="4518" customFormat="false" ht="15" hidden="false" customHeight="false" outlineLevel="0" collapsed="false">
      <c r="A4518" s="31"/>
      <c r="B4518" s="32"/>
      <c r="C4518" s="32"/>
      <c r="D4518" s="32"/>
      <c r="E4518" s="32"/>
      <c r="F4518" s="32"/>
      <c r="G4518" s="33"/>
      <c r="H4518" s="33"/>
      <c r="I4518" s="34" t="str">
        <f aca="false">IF($A4518="","",$G4518-$H4518)</f>
        <v/>
      </c>
      <c r="J4518" s="35" t="str">
        <f aca="false">IF($A4518="","",IF(Setup!$B$6=1,YEAR($A4518),YEAR($A4518)+IF(MONTH($A4518)&gt;=Setup!$B$6,1,0)))</f>
        <v/>
      </c>
      <c r="K4518" s="35" t="str">
        <f aca="false">IF($A4518="","",MOD(MONTH($A4518)-Setup!$B$6+12,12)+1)</f>
        <v/>
      </c>
      <c r="L4518" s="36" t="str">
        <f aca="false">IF($A4518="","",TEXT($A4518,"MMM-YY"))</f>
        <v/>
      </c>
      <c r="M4518" s="37" t="str">
        <f aca="false">IF($A4518="","",IF($Q4518=0,"UNMAPPED",INDEX(COA_Mapping!$C$7:$C$256,$Q4518)))</f>
        <v/>
      </c>
      <c r="N4518" s="38" t="str">
        <f aca="false">IF($A4518="","",IF($Q4518=0,"",INDEX(COA_Mapping!$E$7:$E$256,$Q4518)))</f>
        <v/>
      </c>
      <c r="O4518" s="38" t="n">
        <f aca="false">IF($A4518="",1,IF($Q4518=0,1,INDEX(COA_Mapping!$F$7:$F$256,$Q4518)))</f>
        <v>1</v>
      </c>
      <c r="P4518" s="34" t="str">
        <f aca="false">IF($A4518="","",$I4518*$O4518)</f>
        <v/>
      </c>
      <c r="Q4518" s="39" t="n">
        <f aca="false">IF($B4518="",0,IFERROR(MATCH($B4518,COA_Mapping!$A$7:$A$256,0),0))</f>
        <v>0</v>
      </c>
      <c r="R4518" s="39" t="n">
        <f aca="false">IF($A4518="",-1,IF($J4518=Setup!$B$7,1,IF($J4518=Setup!$B$9,0,-1)))</f>
        <v>-1</v>
      </c>
      <c r="S4518" s="35" t="n">
        <f aca="false">IF(OR($A4518="",$Q4518=0,$R4518=-1),0,$Q4518*1000+$R4518*100+$K4518)</f>
        <v>0</v>
      </c>
      <c r="T4518" s="37" t="str">
        <f aca="false">IF($A4518="","",IF($B4518="","NO ACCOUNT",IF($Q4518=0,"UNMAPPED",IF($R4518=-1,"OUTSIDE FY RANGE","OK"))))</f>
        <v/>
      </c>
      <c r="U4518" s="40" t="str">
        <f aca="false">IF($A4518="","",$B4518&amp;"|"&amp;TEXT($A4518,"yyyymmdd")&amp;"|"&amp;TEXT($I4518,"0.00"))</f>
        <v/>
      </c>
      <c r="V4518" s="35" t="str">
        <f aca="false">IF($A4518="","",COUNTIF($U$8:$U$5007,$U4518))</f>
        <v/>
      </c>
    </row>
    <row r="4519" customFormat="false" ht="15" hidden="false" customHeight="false" outlineLevel="0" collapsed="false">
      <c r="A4519" s="31"/>
      <c r="B4519" s="32"/>
      <c r="C4519" s="32"/>
      <c r="D4519" s="32"/>
      <c r="E4519" s="32"/>
      <c r="F4519" s="32"/>
      <c r="G4519" s="33"/>
      <c r="H4519" s="33"/>
      <c r="I4519" s="34" t="str">
        <f aca="false">IF($A4519="","",$G4519-$H4519)</f>
        <v/>
      </c>
      <c r="J4519" s="35" t="str">
        <f aca="false">IF($A4519="","",IF(Setup!$B$6=1,YEAR($A4519),YEAR($A4519)+IF(MONTH($A4519)&gt;=Setup!$B$6,1,0)))</f>
        <v/>
      </c>
      <c r="K4519" s="35" t="str">
        <f aca="false">IF($A4519="","",MOD(MONTH($A4519)-Setup!$B$6+12,12)+1)</f>
        <v/>
      </c>
      <c r="L4519" s="36" t="str">
        <f aca="false">IF($A4519="","",TEXT($A4519,"MMM-YY"))</f>
        <v/>
      </c>
      <c r="M4519" s="37" t="str">
        <f aca="false">IF($A4519="","",IF($Q4519=0,"UNMAPPED",INDEX(COA_Mapping!$C$7:$C$256,$Q4519)))</f>
        <v/>
      </c>
      <c r="N4519" s="38" t="str">
        <f aca="false">IF($A4519="","",IF($Q4519=0,"",INDEX(COA_Mapping!$E$7:$E$256,$Q4519)))</f>
        <v/>
      </c>
      <c r="O4519" s="38" t="n">
        <f aca="false">IF($A4519="",1,IF($Q4519=0,1,INDEX(COA_Mapping!$F$7:$F$256,$Q4519)))</f>
        <v>1</v>
      </c>
      <c r="P4519" s="34" t="str">
        <f aca="false">IF($A4519="","",$I4519*$O4519)</f>
        <v/>
      </c>
      <c r="Q4519" s="39" t="n">
        <f aca="false">IF($B4519="",0,IFERROR(MATCH($B4519,COA_Mapping!$A$7:$A$256,0),0))</f>
        <v>0</v>
      </c>
      <c r="R4519" s="39" t="n">
        <f aca="false">IF($A4519="",-1,IF($J4519=Setup!$B$7,1,IF($J4519=Setup!$B$9,0,-1)))</f>
        <v>-1</v>
      </c>
      <c r="S4519" s="35" t="n">
        <f aca="false">IF(OR($A4519="",$Q4519=0,$R4519=-1),0,$Q4519*1000+$R4519*100+$K4519)</f>
        <v>0</v>
      </c>
      <c r="T4519" s="37" t="str">
        <f aca="false">IF($A4519="","",IF($B4519="","NO ACCOUNT",IF($Q4519=0,"UNMAPPED",IF($R4519=-1,"OUTSIDE FY RANGE","OK"))))</f>
        <v/>
      </c>
      <c r="U4519" s="40" t="str">
        <f aca="false">IF($A4519="","",$B4519&amp;"|"&amp;TEXT($A4519,"yyyymmdd")&amp;"|"&amp;TEXT($I4519,"0.00"))</f>
        <v/>
      </c>
      <c r="V4519" s="35" t="str">
        <f aca="false">IF($A4519="","",COUNTIF($U$8:$U$5007,$U4519))</f>
        <v/>
      </c>
    </row>
    <row r="4520" customFormat="false" ht="15" hidden="false" customHeight="false" outlineLevel="0" collapsed="false">
      <c r="A4520" s="31"/>
      <c r="B4520" s="32"/>
      <c r="C4520" s="32"/>
      <c r="D4520" s="32"/>
      <c r="E4520" s="32"/>
      <c r="F4520" s="32"/>
      <c r="G4520" s="33"/>
      <c r="H4520" s="33"/>
      <c r="I4520" s="34" t="str">
        <f aca="false">IF($A4520="","",$G4520-$H4520)</f>
        <v/>
      </c>
      <c r="J4520" s="35" t="str">
        <f aca="false">IF($A4520="","",IF(Setup!$B$6=1,YEAR($A4520),YEAR($A4520)+IF(MONTH($A4520)&gt;=Setup!$B$6,1,0)))</f>
        <v/>
      </c>
      <c r="K4520" s="35" t="str">
        <f aca="false">IF($A4520="","",MOD(MONTH($A4520)-Setup!$B$6+12,12)+1)</f>
        <v/>
      </c>
      <c r="L4520" s="36" t="str">
        <f aca="false">IF($A4520="","",TEXT($A4520,"MMM-YY"))</f>
        <v/>
      </c>
      <c r="M4520" s="37" t="str">
        <f aca="false">IF($A4520="","",IF($Q4520=0,"UNMAPPED",INDEX(COA_Mapping!$C$7:$C$256,$Q4520)))</f>
        <v/>
      </c>
      <c r="N4520" s="38" t="str">
        <f aca="false">IF($A4520="","",IF($Q4520=0,"",INDEX(COA_Mapping!$E$7:$E$256,$Q4520)))</f>
        <v/>
      </c>
      <c r="O4520" s="38" t="n">
        <f aca="false">IF($A4520="",1,IF($Q4520=0,1,INDEX(COA_Mapping!$F$7:$F$256,$Q4520)))</f>
        <v>1</v>
      </c>
      <c r="P4520" s="34" t="str">
        <f aca="false">IF($A4520="","",$I4520*$O4520)</f>
        <v/>
      </c>
      <c r="Q4520" s="39" t="n">
        <f aca="false">IF($B4520="",0,IFERROR(MATCH($B4520,COA_Mapping!$A$7:$A$256,0),0))</f>
        <v>0</v>
      </c>
      <c r="R4520" s="39" t="n">
        <f aca="false">IF($A4520="",-1,IF($J4520=Setup!$B$7,1,IF($J4520=Setup!$B$9,0,-1)))</f>
        <v>-1</v>
      </c>
      <c r="S4520" s="35" t="n">
        <f aca="false">IF(OR($A4520="",$Q4520=0,$R4520=-1),0,$Q4520*1000+$R4520*100+$K4520)</f>
        <v>0</v>
      </c>
      <c r="T4520" s="37" t="str">
        <f aca="false">IF($A4520="","",IF($B4520="","NO ACCOUNT",IF($Q4520=0,"UNMAPPED",IF($R4520=-1,"OUTSIDE FY RANGE","OK"))))</f>
        <v/>
      </c>
      <c r="U4520" s="40" t="str">
        <f aca="false">IF($A4520="","",$B4520&amp;"|"&amp;TEXT($A4520,"yyyymmdd")&amp;"|"&amp;TEXT($I4520,"0.00"))</f>
        <v/>
      </c>
      <c r="V4520" s="35" t="str">
        <f aca="false">IF($A4520="","",COUNTIF($U$8:$U$5007,$U4520))</f>
        <v/>
      </c>
    </row>
    <row r="4521" customFormat="false" ht="15" hidden="false" customHeight="false" outlineLevel="0" collapsed="false">
      <c r="A4521" s="31"/>
      <c r="B4521" s="32"/>
      <c r="C4521" s="32"/>
      <c r="D4521" s="32"/>
      <c r="E4521" s="32"/>
      <c r="F4521" s="32"/>
      <c r="G4521" s="33"/>
      <c r="H4521" s="33"/>
      <c r="I4521" s="34" t="str">
        <f aca="false">IF($A4521="","",$G4521-$H4521)</f>
        <v/>
      </c>
      <c r="J4521" s="35" t="str">
        <f aca="false">IF($A4521="","",IF(Setup!$B$6=1,YEAR($A4521),YEAR($A4521)+IF(MONTH($A4521)&gt;=Setup!$B$6,1,0)))</f>
        <v/>
      </c>
      <c r="K4521" s="35" t="str">
        <f aca="false">IF($A4521="","",MOD(MONTH($A4521)-Setup!$B$6+12,12)+1)</f>
        <v/>
      </c>
      <c r="L4521" s="36" t="str">
        <f aca="false">IF($A4521="","",TEXT($A4521,"MMM-YY"))</f>
        <v/>
      </c>
      <c r="M4521" s="37" t="str">
        <f aca="false">IF($A4521="","",IF($Q4521=0,"UNMAPPED",INDEX(COA_Mapping!$C$7:$C$256,$Q4521)))</f>
        <v/>
      </c>
      <c r="N4521" s="38" t="str">
        <f aca="false">IF($A4521="","",IF($Q4521=0,"",INDEX(COA_Mapping!$E$7:$E$256,$Q4521)))</f>
        <v/>
      </c>
      <c r="O4521" s="38" t="n">
        <f aca="false">IF($A4521="",1,IF($Q4521=0,1,INDEX(COA_Mapping!$F$7:$F$256,$Q4521)))</f>
        <v>1</v>
      </c>
      <c r="P4521" s="34" t="str">
        <f aca="false">IF($A4521="","",$I4521*$O4521)</f>
        <v/>
      </c>
      <c r="Q4521" s="39" t="n">
        <f aca="false">IF($B4521="",0,IFERROR(MATCH($B4521,COA_Mapping!$A$7:$A$256,0),0))</f>
        <v>0</v>
      </c>
      <c r="R4521" s="39" t="n">
        <f aca="false">IF($A4521="",-1,IF($J4521=Setup!$B$7,1,IF($J4521=Setup!$B$9,0,-1)))</f>
        <v>-1</v>
      </c>
      <c r="S4521" s="35" t="n">
        <f aca="false">IF(OR($A4521="",$Q4521=0,$R4521=-1),0,$Q4521*1000+$R4521*100+$K4521)</f>
        <v>0</v>
      </c>
      <c r="T4521" s="37" t="str">
        <f aca="false">IF($A4521="","",IF($B4521="","NO ACCOUNT",IF($Q4521=0,"UNMAPPED",IF($R4521=-1,"OUTSIDE FY RANGE","OK"))))</f>
        <v/>
      </c>
      <c r="U4521" s="40" t="str">
        <f aca="false">IF($A4521="","",$B4521&amp;"|"&amp;TEXT($A4521,"yyyymmdd")&amp;"|"&amp;TEXT($I4521,"0.00"))</f>
        <v/>
      </c>
      <c r="V4521" s="35" t="str">
        <f aca="false">IF($A4521="","",COUNTIF($U$8:$U$5007,$U4521))</f>
        <v/>
      </c>
    </row>
    <row r="4522" customFormat="false" ht="15" hidden="false" customHeight="false" outlineLevel="0" collapsed="false">
      <c r="A4522" s="31"/>
      <c r="B4522" s="32"/>
      <c r="C4522" s="32"/>
      <c r="D4522" s="32"/>
      <c r="E4522" s="32"/>
      <c r="F4522" s="32"/>
      <c r="G4522" s="33"/>
      <c r="H4522" s="33"/>
      <c r="I4522" s="34" t="str">
        <f aca="false">IF($A4522="","",$G4522-$H4522)</f>
        <v/>
      </c>
      <c r="J4522" s="35" t="str">
        <f aca="false">IF($A4522="","",IF(Setup!$B$6=1,YEAR($A4522),YEAR($A4522)+IF(MONTH($A4522)&gt;=Setup!$B$6,1,0)))</f>
        <v/>
      </c>
      <c r="K4522" s="35" t="str">
        <f aca="false">IF($A4522="","",MOD(MONTH($A4522)-Setup!$B$6+12,12)+1)</f>
        <v/>
      </c>
      <c r="L4522" s="36" t="str">
        <f aca="false">IF($A4522="","",TEXT($A4522,"MMM-YY"))</f>
        <v/>
      </c>
      <c r="M4522" s="37" t="str">
        <f aca="false">IF($A4522="","",IF($Q4522=0,"UNMAPPED",INDEX(COA_Mapping!$C$7:$C$256,$Q4522)))</f>
        <v/>
      </c>
      <c r="N4522" s="38" t="str">
        <f aca="false">IF($A4522="","",IF($Q4522=0,"",INDEX(COA_Mapping!$E$7:$E$256,$Q4522)))</f>
        <v/>
      </c>
      <c r="O4522" s="38" t="n">
        <f aca="false">IF($A4522="",1,IF($Q4522=0,1,INDEX(COA_Mapping!$F$7:$F$256,$Q4522)))</f>
        <v>1</v>
      </c>
      <c r="P4522" s="34" t="str">
        <f aca="false">IF($A4522="","",$I4522*$O4522)</f>
        <v/>
      </c>
      <c r="Q4522" s="39" t="n">
        <f aca="false">IF($B4522="",0,IFERROR(MATCH($B4522,COA_Mapping!$A$7:$A$256,0),0))</f>
        <v>0</v>
      </c>
      <c r="R4522" s="39" t="n">
        <f aca="false">IF($A4522="",-1,IF($J4522=Setup!$B$7,1,IF($J4522=Setup!$B$9,0,-1)))</f>
        <v>-1</v>
      </c>
      <c r="S4522" s="35" t="n">
        <f aca="false">IF(OR($A4522="",$Q4522=0,$R4522=-1),0,$Q4522*1000+$R4522*100+$K4522)</f>
        <v>0</v>
      </c>
      <c r="T4522" s="37" t="str">
        <f aca="false">IF($A4522="","",IF($B4522="","NO ACCOUNT",IF($Q4522=0,"UNMAPPED",IF($R4522=-1,"OUTSIDE FY RANGE","OK"))))</f>
        <v/>
      </c>
      <c r="U4522" s="40" t="str">
        <f aca="false">IF($A4522="","",$B4522&amp;"|"&amp;TEXT($A4522,"yyyymmdd")&amp;"|"&amp;TEXT($I4522,"0.00"))</f>
        <v/>
      </c>
      <c r="V4522" s="35" t="str">
        <f aca="false">IF($A4522="","",COUNTIF($U$8:$U$5007,$U4522))</f>
        <v/>
      </c>
    </row>
    <row r="4523" customFormat="false" ht="15" hidden="false" customHeight="false" outlineLevel="0" collapsed="false">
      <c r="A4523" s="31"/>
      <c r="B4523" s="32"/>
      <c r="C4523" s="32"/>
      <c r="D4523" s="32"/>
      <c r="E4523" s="32"/>
      <c r="F4523" s="32"/>
      <c r="G4523" s="33"/>
      <c r="H4523" s="33"/>
      <c r="I4523" s="34" t="str">
        <f aca="false">IF($A4523="","",$G4523-$H4523)</f>
        <v/>
      </c>
      <c r="J4523" s="35" t="str">
        <f aca="false">IF($A4523="","",IF(Setup!$B$6=1,YEAR($A4523),YEAR($A4523)+IF(MONTH($A4523)&gt;=Setup!$B$6,1,0)))</f>
        <v/>
      </c>
      <c r="K4523" s="35" t="str">
        <f aca="false">IF($A4523="","",MOD(MONTH($A4523)-Setup!$B$6+12,12)+1)</f>
        <v/>
      </c>
      <c r="L4523" s="36" t="str">
        <f aca="false">IF($A4523="","",TEXT($A4523,"MMM-YY"))</f>
        <v/>
      </c>
      <c r="M4523" s="37" t="str">
        <f aca="false">IF($A4523="","",IF($Q4523=0,"UNMAPPED",INDEX(COA_Mapping!$C$7:$C$256,$Q4523)))</f>
        <v/>
      </c>
      <c r="N4523" s="38" t="str">
        <f aca="false">IF($A4523="","",IF($Q4523=0,"",INDEX(COA_Mapping!$E$7:$E$256,$Q4523)))</f>
        <v/>
      </c>
      <c r="O4523" s="38" t="n">
        <f aca="false">IF($A4523="",1,IF($Q4523=0,1,INDEX(COA_Mapping!$F$7:$F$256,$Q4523)))</f>
        <v>1</v>
      </c>
      <c r="P4523" s="34" t="str">
        <f aca="false">IF($A4523="","",$I4523*$O4523)</f>
        <v/>
      </c>
      <c r="Q4523" s="39" t="n">
        <f aca="false">IF($B4523="",0,IFERROR(MATCH($B4523,COA_Mapping!$A$7:$A$256,0),0))</f>
        <v>0</v>
      </c>
      <c r="R4523" s="39" t="n">
        <f aca="false">IF($A4523="",-1,IF($J4523=Setup!$B$7,1,IF($J4523=Setup!$B$9,0,-1)))</f>
        <v>-1</v>
      </c>
      <c r="S4523" s="35" t="n">
        <f aca="false">IF(OR($A4523="",$Q4523=0,$R4523=-1),0,$Q4523*1000+$R4523*100+$K4523)</f>
        <v>0</v>
      </c>
      <c r="T4523" s="37" t="str">
        <f aca="false">IF($A4523="","",IF($B4523="","NO ACCOUNT",IF($Q4523=0,"UNMAPPED",IF($R4523=-1,"OUTSIDE FY RANGE","OK"))))</f>
        <v/>
      </c>
      <c r="U4523" s="40" t="str">
        <f aca="false">IF($A4523="","",$B4523&amp;"|"&amp;TEXT($A4523,"yyyymmdd")&amp;"|"&amp;TEXT($I4523,"0.00"))</f>
        <v/>
      </c>
      <c r="V4523" s="35" t="str">
        <f aca="false">IF($A4523="","",COUNTIF($U$8:$U$5007,$U4523))</f>
        <v/>
      </c>
    </row>
    <row r="4524" customFormat="false" ht="15" hidden="false" customHeight="false" outlineLevel="0" collapsed="false">
      <c r="A4524" s="31"/>
      <c r="B4524" s="32"/>
      <c r="C4524" s="32"/>
      <c r="D4524" s="32"/>
      <c r="E4524" s="32"/>
      <c r="F4524" s="32"/>
      <c r="G4524" s="33"/>
      <c r="H4524" s="33"/>
      <c r="I4524" s="34" t="str">
        <f aca="false">IF($A4524="","",$G4524-$H4524)</f>
        <v/>
      </c>
      <c r="J4524" s="35" t="str">
        <f aca="false">IF($A4524="","",IF(Setup!$B$6=1,YEAR($A4524),YEAR($A4524)+IF(MONTH($A4524)&gt;=Setup!$B$6,1,0)))</f>
        <v/>
      </c>
      <c r="K4524" s="35" t="str">
        <f aca="false">IF($A4524="","",MOD(MONTH($A4524)-Setup!$B$6+12,12)+1)</f>
        <v/>
      </c>
      <c r="L4524" s="36" t="str">
        <f aca="false">IF($A4524="","",TEXT($A4524,"MMM-YY"))</f>
        <v/>
      </c>
      <c r="M4524" s="37" t="str">
        <f aca="false">IF($A4524="","",IF($Q4524=0,"UNMAPPED",INDEX(COA_Mapping!$C$7:$C$256,$Q4524)))</f>
        <v/>
      </c>
      <c r="N4524" s="38" t="str">
        <f aca="false">IF($A4524="","",IF($Q4524=0,"",INDEX(COA_Mapping!$E$7:$E$256,$Q4524)))</f>
        <v/>
      </c>
      <c r="O4524" s="38" t="n">
        <f aca="false">IF($A4524="",1,IF($Q4524=0,1,INDEX(COA_Mapping!$F$7:$F$256,$Q4524)))</f>
        <v>1</v>
      </c>
      <c r="P4524" s="34" t="str">
        <f aca="false">IF($A4524="","",$I4524*$O4524)</f>
        <v/>
      </c>
      <c r="Q4524" s="39" t="n">
        <f aca="false">IF($B4524="",0,IFERROR(MATCH($B4524,COA_Mapping!$A$7:$A$256,0),0))</f>
        <v>0</v>
      </c>
      <c r="R4524" s="39" t="n">
        <f aca="false">IF($A4524="",-1,IF($J4524=Setup!$B$7,1,IF($J4524=Setup!$B$9,0,-1)))</f>
        <v>-1</v>
      </c>
      <c r="S4524" s="35" t="n">
        <f aca="false">IF(OR($A4524="",$Q4524=0,$R4524=-1),0,$Q4524*1000+$R4524*100+$K4524)</f>
        <v>0</v>
      </c>
      <c r="T4524" s="37" t="str">
        <f aca="false">IF($A4524="","",IF($B4524="","NO ACCOUNT",IF($Q4524=0,"UNMAPPED",IF($R4524=-1,"OUTSIDE FY RANGE","OK"))))</f>
        <v/>
      </c>
      <c r="U4524" s="40" t="str">
        <f aca="false">IF($A4524="","",$B4524&amp;"|"&amp;TEXT($A4524,"yyyymmdd")&amp;"|"&amp;TEXT($I4524,"0.00"))</f>
        <v/>
      </c>
      <c r="V4524" s="35" t="str">
        <f aca="false">IF($A4524="","",COUNTIF($U$8:$U$5007,$U4524))</f>
        <v/>
      </c>
    </row>
    <row r="4525" customFormat="false" ht="15" hidden="false" customHeight="false" outlineLevel="0" collapsed="false">
      <c r="A4525" s="31"/>
      <c r="B4525" s="32"/>
      <c r="C4525" s="32"/>
      <c r="D4525" s="32"/>
      <c r="E4525" s="32"/>
      <c r="F4525" s="32"/>
      <c r="G4525" s="33"/>
      <c r="H4525" s="33"/>
      <c r="I4525" s="34" t="str">
        <f aca="false">IF($A4525="","",$G4525-$H4525)</f>
        <v/>
      </c>
      <c r="J4525" s="35" t="str">
        <f aca="false">IF($A4525="","",IF(Setup!$B$6=1,YEAR($A4525),YEAR($A4525)+IF(MONTH($A4525)&gt;=Setup!$B$6,1,0)))</f>
        <v/>
      </c>
      <c r="K4525" s="35" t="str">
        <f aca="false">IF($A4525="","",MOD(MONTH($A4525)-Setup!$B$6+12,12)+1)</f>
        <v/>
      </c>
      <c r="L4525" s="36" t="str">
        <f aca="false">IF($A4525="","",TEXT($A4525,"MMM-YY"))</f>
        <v/>
      </c>
      <c r="M4525" s="37" t="str">
        <f aca="false">IF($A4525="","",IF($Q4525=0,"UNMAPPED",INDEX(COA_Mapping!$C$7:$C$256,$Q4525)))</f>
        <v/>
      </c>
      <c r="N4525" s="38" t="str">
        <f aca="false">IF($A4525="","",IF($Q4525=0,"",INDEX(COA_Mapping!$E$7:$E$256,$Q4525)))</f>
        <v/>
      </c>
      <c r="O4525" s="38" t="n">
        <f aca="false">IF($A4525="",1,IF($Q4525=0,1,INDEX(COA_Mapping!$F$7:$F$256,$Q4525)))</f>
        <v>1</v>
      </c>
      <c r="P4525" s="34" t="str">
        <f aca="false">IF($A4525="","",$I4525*$O4525)</f>
        <v/>
      </c>
      <c r="Q4525" s="39" t="n">
        <f aca="false">IF($B4525="",0,IFERROR(MATCH($B4525,COA_Mapping!$A$7:$A$256,0),0))</f>
        <v>0</v>
      </c>
      <c r="R4525" s="39" t="n">
        <f aca="false">IF($A4525="",-1,IF($J4525=Setup!$B$7,1,IF($J4525=Setup!$B$9,0,-1)))</f>
        <v>-1</v>
      </c>
      <c r="S4525" s="35" t="n">
        <f aca="false">IF(OR($A4525="",$Q4525=0,$R4525=-1),0,$Q4525*1000+$R4525*100+$K4525)</f>
        <v>0</v>
      </c>
      <c r="T4525" s="37" t="str">
        <f aca="false">IF($A4525="","",IF($B4525="","NO ACCOUNT",IF($Q4525=0,"UNMAPPED",IF($R4525=-1,"OUTSIDE FY RANGE","OK"))))</f>
        <v/>
      </c>
      <c r="U4525" s="40" t="str">
        <f aca="false">IF($A4525="","",$B4525&amp;"|"&amp;TEXT($A4525,"yyyymmdd")&amp;"|"&amp;TEXT($I4525,"0.00"))</f>
        <v/>
      </c>
      <c r="V4525" s="35" t="str">
        <f aca="false">IF($A4525="","",COUNTIF($U$8:$U$5007,$U4525))</f>
        <v/>
      </c>
    </row>
    <row r="4526" customFormat="false" ht="15" hidden="false" customHeight="false" outlineLevel="0" collapsed="false">
      <c r="A4526" s="31"/>
      <c r="B4526" s="32"/>
      <c r="C4526" s="32"/>
      <c r="D4526" s="32"/>
      <c r="E4526" s="32"/>
      <c r="F4526" s="32"/>
      <c r="G4526" s="33"/>
      <c r="H4526" s="33"/>
      <c r="I4526" s="34" t="str">
        <f aca="false">IF($A4526="","",$G4526-$H4526)</f>
        <v/>
      </c>
      <c r="J4526" s="35" t="str">
        <f aca="false">IF($A4526="","",IF(Setup!$B$6=1,YEAR($A4526),YEAR($A4526)+IF(MONTH($A4526)&gt;=Setup!$B$6,1,0)))</f>
        <v/>
      </c>
      <c r="K4526" s="35" t="str">
        <f aca="false">IF($A4526="","",MOD(MONTH($A4526)-Setup!$B$6+12,12)+1)</f>
        <v/>
      </c>
      <c r="L4526" s="36" t="str">
        <f aca="false">IF($A4526="","",TEXT($A4526,"MMM-YY"))</f>
        <v/>
      </c>
      <c r="M4526" s="37" t="str">
        <f aca="false">IF($A4526="","",IF($Q4526=0,"UNMAPPED",INDEX(COA_Mapping!$C$7:$C$256,$Q4526)))</f>
        <v/>
      </c>
      <c r="N4526" s="38" t="str">
        <f aca="false">IF($A4526="","",IF($Q4526=0,"",INDEX(COA_Mapping!$E$7:$E$256,$Q4526)))</f>
        <v/>
      </c>
      <c r="O4526" s="38" t="n">
        <f aca="false">IF($A4526="",1,IF($Q4526=0,1,INDEX(COA_Mapping!$F$7:$F$256,$Q4526)))</f>
        <v>1</v>
      </c>
      <c r="P4526" s="34" t="str">
        <f aca="false">IF($A4526="","",$I4526*$O4526)</f>
        <v/>
      </c>
      <c r="Q4526" s="39" t="n">
        <f aca="false">IF($B4526="",0,IFERROR(MATCH($B4526,COA_Mapping!$A$7:$A$256,0),0))</f>
        <v>0</v>
      </c>
      <c r="R4526" s="39" t="n">
        <f aca="false">IF($A4526="",-1,IF($J4526=Setup!$B$7,1,IF($J4526=Setup!$B$9,0,-1)))</f>
        <v>-1</v>
      </c>
      <c r="S4526" s="35" t="n">
        <f aca="false">IF(OR($A4526="",$Q4526=0,$R4526=-1),0,$Q4526*1000+$R4526*100+$K4526)</f>
        <v>0</v>
      </c>
      <c r="T4526" s="37" t="str">
        <f aca="false">IF($A4526="","",IF($B4526="","NO ACCOUNT",IF($Q4526=0,"UNMAPPED",IF($R4526=-1,"OUTSIDE FY RANGE","OK"))))</f>
        <v/>
      </c>
      <c r="U4526" s="40" t="str">
        <f aca="false">IF($A4526="","",$B4526&amp;"|"&amp;TEXT($A4526,"yyyymmdd")&amp;"|"&amp;TEXT($I4526,"0.00"))</f>
        <v/>
      </c>
      <c r="V4526" s="35" t="str">
        <f aca="false">IF($A4526="","",COUNTIF($U$8:$U$5007,$U4526))</f>
        <v/>
      </c>
    </row>
    <row r="4527" customFormat="false" ht="15" hidden="false" customHeight="false" outlineLevel="0" collapsed="false">
      <c r="A4527" s="31"/>
      <c r="B4527" s="32"/>
      <c r="C4527" s="32"/>
      <c r="D4527" s="32"/>
      <c r="E4527" s="32"/>
      <c r="F4527" s="32"/>
      <c r="G4527" s="33"/>
      <c r="H4527" s="33"/>
      <c r="I4527" s="34" t="str">
        <f aca="false">IF($A4527="","",$G4527-$H4527)</f>
        <v/>
      </c>
      <c r="J4527" s="35" t="str">
        <f aca="false">IF($A4527="","",IF(Setup!$B$6=1,YEAR($A4527),YEAR($A4527)+IF(MONTH($A4527)&gt;=Setup!$B$6,1,0)))</f>
        <v/>
      </c>
      <c r="K4527" s="35" t="str">
        <f aca="false">IF($A4527="","",MOD(MONTH($A4527)-Setup!$B$6+12,12)+1)</f>
        <v/>
      </c>
      <c r="L4527" s="36" t="str">
        <f aca="false">IF($A4527="","",TEXT($A4527,"MMM-YY"))</f>
        <v/>
      </c>
      <c r="M4527" s="37" t="str">
        <f aca="false">IF($A4527="","",IF($Q4527=0,"UNMAPPED",INDEX(COA_Mapping!$C$7:$C$256,$Q4527)))</f>
        <v/>
      </c>
      <c r="N4527" s="38" t="str">
        <f aca="false">IF($A4527="","",IF($Q4527=0,"",INDEX(COA_Mapping!$E$7:$E$256,$Q4527)))</f>
        <v/>
      </c>
      <c r="O4527" s="38" t="n">
        <f aca="false">IF($A4527="",1,IF($Q4527=0,1,INDEX(COA_Mapping!$F$7:$F$256,$Q4527)))</f>
        <v>1</v>
      </c>
      <c r="P4527" s="34" t="str">
        <f aca="false">IF($A4527="","",$I4527*$O4527)</f>
        <v/>
      </c>
      <c r="Q4527" s="39" t="n">
        <f aca="false">IF($B4527="",0,IFERROR(MATCH($B4527,COA_Mapping!$A$7:$A$256,0),0))</f>
        <v>0</v>
      </c>
      <c r="R4527" s="39" t="n">
        <f aca="false">IF($A4527="",-1,IF($J4527=Setup!$B$7,1,IF($J4527=Setup!$B$9,0,-1)))</f>
        <v>-1</v>
      </c>
      <c r="S4527" s="35" t="n">
        <f aca="false">IF(OR($A4527="",$Q4527=0,$R4527=-1),0,$Q4527*1000+$R4527*100+$K4527)</f>
        <v>0</v>
      </c>
      <c r="T4527" s="37" t="str">
        <f aca="false">IF($A4527="","",IF($B4527="","NO ACCOUNT",IF($Q4527=0,"UNMAPPED",IF($R4527=-1,"OUTSIDE FY RANGE","OK"))))</f>
        <v/>
      </c>
      <c r="U4527" s="40" t="str">
        <f aca="false">IF($A4527="","",$B4527&amp;"|"&amp;TEXT($A4527,"yyyymmdd")&amp;"|"&amp;TEXT($I4527,"0.00"))</f>
        <v/>
      </c>
      <c r="V4527" s="35" t="str">
        <f aca="false">IF($A4527="","",COUNTIF($U$8:$U$5007,$U4527))</f>
        <v/>
      </c>
    </row>
    <row r="4528" customFormat="false" ht="15" hidden="false" customHeight="false" outlineLevel="0" collapsed="false">
      <c r="A4528" s="31"/>
      <c r="B4528" s="32"/>
      <c r="C4528" s="32"/>
      <c r="D4528" s="32"/>
      <c r="E4528" s="32"/>
      <c r="F4528" s="32"/>
      <c r="G4528" s="33"/>
      <c r="H4528" s="33"/>
      <c r="I4528" s="34" t="str">
        <f aca="false">IF($A4528="","",$G4528-$H4528)</f>
        <v/>
      </c>
      <c r="J4528" s="35" t="str">
        <f aca="false">IF($A4528="","",IF(Setup!$B$6=1,YEAR($A4528),YEAR($A4528)+IF(MONTH($A4528)&gt;=Setup!$B$6,1,0)))</f>
        <v/>
      </c>
      <c r="K4528" s="35" t="str">
        <f aca="false">IF($A4528="","",MOD(MONTH($A4528)-Setup!$B$6+12,12)+1)</f>
        <v/>
      </c>
      <c r="L4528" s="36" t="str">
        <f aca="false">IF($A4528="","",TEXT($A4528,"MMM-YY"))</f>
        <v/>
      </c>
      <c r="M4528" s="37" t="str">
        <f aca="false">IF($A4528="","",IF($Q4528=0,"UNMAPPED",INDEX(COA_Mapping!$C$7:$C$256,$Q4528)))</f>
        <v/>
      </c>
      <c r="N4528" s="38" t="str">
        <f aca="false">IF($A4528="","",IF($Q4528=0,"",INDEX(COA_Mapping!$E$7:$E$256,$Q4528)))</f>
        <v/>
      </c>
      <c r="O4528" s="38" t="n">
        <f aca="false">IF($A4528="",1,IF($Q4528=0,1,INDEX(COA_Mapping!$F$7:$F$256,$Q4528)))</f>
        <v>1</v>
      </c>
      <c r="P4528" s="34" t="str">
        <f aca="false">IF($A4528="","",$I4528*$O4528)</f>
        <v/>
      </c>
      <c r="Q4528" s="39" t="n">
        <f aca="false">IF($B4528="",0,IFERROR(MATCH($B4528,COA_Mapping!$A$7:$A$256,0),0))</f>
        <v>0</v>
      </c>
      <c r="R4528" s="39" t="n">
        <f aca="false">IF($A4528="",-1,IF($J4528=Setup!$B$7,1,IF($J4528=Setup!$B$9,0,-1)))</f>
        <v>-1</v>
      </c>
      <c r="S4528" s="35" t="n">
        <f aca="false">IF(OR($A4528="",$Q4528=0,$R4528=-1),0,$Q4528*1000+$R4528*100+$K4528)</f>
        <v>0</v>
      </c>
      <c r="T4528" s="37" t="str">
        <f aca="false">IF($A4528="","",IF($B4528="","NO ACCOUNT",IF($Q4528=0,"UNMAPPED",IF($R4528=-1,"OUTSIDE FY RANGE","OK"))))</f>
        <v/>
      </c>
      <c r="U4528" s="40" t="str">
        <f aca="false">IF($A4528="","",$B4528&amp;"|"&amp;TEXT($A4528,"yyyymmdd")&amp;"|"&amp;TEXT($I4528,"0.00"))</f>
        <v/>
      </c>
      <c r="V4528" s="35" t="str">
        <f aca="false">IF($A4528="","",COUNTIF($U$8:$U$5007,$U4528))</f>
        <v/>
      </c>
    </row>
    <row r="4529" customFormat="false" ht="15" hidden="false" customHeight="false" outlineLevel="0" collapsed="false">
      <c r="A4529" s="31"/>
      <c r="B4529" s="32"/>
      <c r="C4529" s="32"/>
      <c r="D4529" s="32"/>
      <c r="E4529" s="32"/>
      <c r="F4529" s="32"/>
      <c r="G4529" s="33"/>
      <c r="H4529" s="33"/>
      <c r="I4529" s="34" t="str">
        <f aca="false">IF($A4529="","",$G4529-$H4529)</f>
        <v/>
      </c>
      <c r="J4529" s="35" t="str">
        <f aca="false">IF($A4529="","",IF(Setup!$B$6=1,YEAR($A4529),YEAR($A4529)+IF(MONTH($A4529)&gt;=Setup!$B$6,1,0)))</f>
        <v/>
      </c>
      <c r="K4529" s="35" t="str">
        <f aca="false">IF($A4529="","",MOD(MONTH($A4529)-Setup!$B$6+12,12)+1)</f>
        <v/>
      </c>
      <c r="L4529" s="36" t="str">
        <f aca="false">IF($A4529="","",TEXT($A4529,"MMM-YY"))</f>
        <v/>
      </c>
      <c r="M4529" s="37" t="str">
        <f aca="false">IF($A4529="","",IF($Q4529=0,"UNMAPPED",INDEX(COA_Mapping!$C$7:$C$256,$Q4529)))</f>
        <v/>
      </c>
      <c r="N4529" s="38" t="str">
        <f aca="false">IF($A4529="","",IF($Q4529=0,"",INDEX(COA_Mapping!$E$7:$E$256,$Q4529)))</f>
        <v/>
      </c>
      <c r="O4529" s="38" t="n">
        <f aca="false">IF($A4529="",1,IF($Q4529=0,1,INDEX(COA_Mapping!$F$7:$F$256,$Q4529)))</f>
        <v>1</v>
      </c>
      <c r="P4529" s="34" t="str">
        <f aca="false">IF($A4529="","",$I4529*$O4529)</f>
        <v/>
      </c>
      <c r="Q4529" s="39" t="n">
        <f aca="false">IF($B4529="",0,IFERROR(MATCH($B4529,COA_Mapping!$A$7:$A$256,0),0))</f>
        <v>0</v>
      </c>
      <c r="R4529" s="39" t="n">
        <f aca="false">IF($A4529="",-1,IF($J4529=Setup!$B$7,1,IF($J4529=Setup!$B$9,0,-1)))</f>
        <v>-1</v>
      </c>
      <c r="S4529" s="35" t="n">
        <f aca="false">IF(OR($A4529="",$Q4529=0,$R4529=-1),0,$Q4529*1000+$R4529*100+$K4529)</f>
        <v>0</v>
      </c>
      <c r="T4529" s="37" t="str">
        <f aca="false">IF($A4529="","",IF($B4529="","NO ACCOUNT",IF($Q4529=0,"UNMAPPED",IF($R4529=-1,"OUTSIDE FY RANGE","OK"))))</f>
        <v/>
      </c>
      <c r="U4529" s="40" t="str">
        <f aca="false">IF($A4529="","",$B4529&amp;"|"&amp;TEXT($A4529,"yyyymmdd")&amp;"|"&amp;TEXT($I4529,"0.00"))</f>
        <v/>
      </c>
      <c r="V4529" s="35" t="str">
        <f aca="false">IF($A4529="","",COUNTIF($U$8:$U$5007,$U4529))</f>
        <v/>
      </c>
    </row>
    <row r="4530" customFormat="false" ht="15" hidden="false" customHeight="false" outlineLevel="0" collapsed="false">
      <c r="A4530" s="31"/>
      <c r="B4530" s="32"/>
      <c r="C4530" s="32"/>
      <c r="D4530" s="32"/>
      <c r="E4530" s="32"/>
      <c r="F4530" s="32"/>
      <c r="G4530" s="33"/>
      <c r="H4530" s="33"/>
      <c r="I4530" s="34" t="str">
        <f aca="false">IF($A4530="","",$G4530-$H4530)</f>
        <v/>
      </c>
      <c r="J4530" s="35" t="str">
        <f aca="false">IF($A4530="","",IF(Setup!$B$6=1,YEAR($A4530),YEAR($A4530)+IF(MONTH($A4530)&gt;=Setup!$B$6,1,0)))</f>
        <v/>
      </c>
      <c r="K4530" s="35" t="str">
        <f aca="false">IF($A4530="","",MOD(MONTH($A4530)-Setup!$B$6+12,12)+1)</f>
        <v/>
      </c>
      <c r="L4530" s="36" t="str">
        <f aca="false">IF($A4530="","",TEXT($A4530,"MMM-YY"))</f>
        <v/>
      </c>
      <c r="M4530" s="37" t="str">
        <f aca="false">IF($A4530="","",IF($Q4530=0,"UNMAPPED",INDEX(COA_Mapping!$C$7:$C$256,$Q4530)))</f>
        <v/>
      </c>
      <c r="N4530" s="38" t="str">
        <f aca="false">IF($A4530="","",IF($Q4530=0,"",INDEX(COA_Mapping!$E$7:$E$256,$Q4530)))</f>
        <v/>
      </c>
      <c r="O4530" s="38" t="n">
        <f aca="false">IF($A4530="",1,IF($Q4530=0,1,INDEX(COA_Mapping!$F$7:$F$256,$Q4530)))</f>
        <v>1</v>
      </c>
      <c r="P4530" s="34" t="str">
        <f aca="false">IF($A4530="","",$I4530*$O4530)</f>
        <v/>
      </c>
      <c r="Q4530" s="39" t="n">
        <f aca="false">IF($B4530="",0,IFERROR(MATCH($B4530,COA_Mapping!$A$7:$A$256,0),0))</f>
        <v>0</v>
      </c>
      <c r="R4530" s="39" t="n">
        <f aca="false">IF($A4530="",-1,IF($J4530=Setup!$B$7,1,IF($J4530=Setup!$B$9,0,-1)))</f>
        <v>-1</v>
      </c>
      <c r="S4530" s="35" t="n">
        <f aca="false">IF(OR($A4530="",$Q4530=0,$R4530=-1),0,$Q4530*1000+$R4530*100+$K4530)</f>
        <v>0</v>
      </c>
      <c r="T4530" s="37" t="str">
        <f aca="false">IF($A4530="","",IF($B4530="","NO ACCOUNT",IF($Q4530=0,"UNMAPPED",IF($R4530=-1,"OUTSIDE FY RANGE","OK"))))</f>
        <v/>
      </c>
      <c r="U4530" s="40" t="str">
        <f aca="false">IF($A4530="","",$B4530&amp;"|"&amp;TEXT($A4530,"yyyymmdd")&amp;"|"&amp;TEXT($I4530,"0.00"))</f>
        <v/>
      </c>
      <c r="V4530" s="35" t="str">
        <f aca="false">IF($A4530="","",COUNTIF($U$8:$U$5007,$U4530))</f>
        <v/>
      </c>
    </row>
    <row r="4531" customFormat="false" ht="15" hidden="false" customHeight="false" outlineLevel="0" collapsed="false">
      <c r="A4531" s="31"/>
      <c r="B4531" s="32"/>
      <c r="C4531" s="32"/>
      <c r="D4531" s="32"/>
      <c r="E4531" s="32"/>
      <c r="F4531" s="32"/>
      <c r="G4531" s="33"/>
      <c r="H4531" s="33"/>
      <c r="I4531" s="34" t="str">
        <f aca="false">IF($A4531="","",$G4531-$H4531)</f>
        <v/>
      </c>
      <c r="J4531" s="35" t="str">
        <f aca="false">IF($A4531="","",IF(Setup!$B$6=1,YEAR($A4531),YEAR($A4531)+IF(MONTH($A4531)&gt;=Setup!$B$6,1,0)))</f>
        <v/>
      </c>
      <c r="K4531" s="35" t="str">
        <f aca="false">IF($A4531="","",MOD(MONTH($A4531)-Setup!$B$6+12,12)+1)</f>
        <v/>
      </c>
      <c r="L4531" s="36" t="str">
        <f aca="false">IF($A4531="","",TEXT($A4531,"MMM-YY"))</f>
        <v/>
      </c>
      <c r="M4531" s="37" t="str">
        <f aca="false">IF($A4531="","",IF($Q4531=0,"UNMAPPED",INDEX(COA_Mapping!$C$7:$C$256,$Q4531)))</f>
        <v/>
      </c>
      <c r="N4531" s="38" t="str">
        <f aca="false">IF($A4531="","",IF($Q4531=0,"",INDEX(COA_Mapping!$E$7:$E$256,$Q4531)))</f>
        <v/>
      </c>
      <c r="O4531" s="38" t="n">
        <f aca="false">IF($A4531="",1,IF($Q4531=0,1,INDEX(COA_Mapping!$F$7:$F$256,$Q4531)))</f>
        <v>1</v>
      </c>
      <c r="P4531" s="34" t="str">
        <f aca="false">IF($A4531="","",$I4531*$O4531)</f>
        <v/>
      </c>
      <c r="Q4531" s="39" t="n">
        <f aca="false">IF($B4531="",0,IFERROR(MATCH($B4531,COA_Mapping!$A$7:$A$256,0),0))</f>
        <v>0</v>
      </c>
      <c r="R4531" s="39" t="n">
        <f aca="false">IF($A4531="",-1,IF($J4531=Setup!$B$7,1,IF($J4531=Setup!$B$9,0,-1)))</f>
        <v>-1</v>
      </c>
      <c r="S4531" s="35" t="n">
        <f aca="false">IF(OR($A4531="",$Q4531=0,$R4531=-1),0,$Q4531*1000+$R4531*100+$K4531)</f>
        <v>0</v>
      </c>
      <c r="T4531" s="37" t="str">
        <f aca="false">IF($A4531="","",IF($B4531="","NO ACCOUNT",IF($Q4531=0,"UNMAPPED",IF($R4531=-1,"OUTSIDE FY RANGE","OK"))))</f>
        <v/>
      </c>
      <c r="U4531" s="40" t="str">
        <f aca="false">IF($A4531="","",$B4531&amp;"|"&amp;TEXT($A4531,"yyyymmdd")&amp;"|"&amp;TEXT($I4531,"0.00"))</f>
        <v/>
      </c>
      <c r="V4531" s="35" t="str">
        <f aca="false">IF($A4531="","",COUNTIF($U$8:$U$5007,$U4531))</f>
        <v/>
      </c>
    </row>
    <row r="4532" customFormat="false" ht="15" hidden="false" customHeight="false" outlineLevel="0" collapsed="false">
      <c r="A4532" s="31"/>
      <c r="B4532" s="32"/>
      <c r="C4532" s="32"/>
      <c r="D4532" s="32"/>
      <c r="E4532" s="32"/>
      <c r="F4532" s="32"/>
      <c r="G4532" s="33"/>
      <c r="H4532" s="33"/>
      <c r="I4532" s="34" t="str">
        <f aca="false">IF($A4532="","",$G4532-$H4532)</f>
        <v/>
      </c>
      <c r="J4532" s="35" t="str">
        <f aca="false">IF($A4532="","",IF(Setup!$B$6=1,YEAR($A4532),YEAR($A4532)+IF(MONTH($A4532)&gt;=Setup!$B$6,1,0)))</f>
        <v/>
      </c>
      <c r="K4532" s="35" t="str">
        <f aca="false">IF($A4532="","",MOD(MONTH($A4532)-Setup!$B$6+12,12)+1)</f>
        <v/>
      </c>
      <c r="L4532" s="36" t="str">
        <f aca="false">IF($A4532="","",TEXT($A4532,"MMM-YY"))</f>
        <v/>
      </c>
      <c r="M4532" s="37" t="str">
        <f aca="false">IF($A4532="","",IF($Q4532=0,"UNMAPPED",INDEX(COA_Mapping!$C$7:$C$256,$Q4532)))</f>
        <v/>
      </c>
      <c r="N4532" s="38" t="str">
        <f aca="false">IF($A4532="","",IF($Q4532=0,"",INDEX(COA_Mapping!$E$7:$E$256,$Q4532)))</f>
        <v/>
      </c>
      <c r="O4532" s="38" t="n">
        <f aca="false">IF($A4532="",1,IF($Q4532=0,1,INDEX(COA_Mapping!$F$7:$F$256,$Q4532)))</f>
        <v>1</v>
      </c>
      <c r="P4532" s="34" t="str">
        <f aca="false">IF($A4532="","",$I4532*$O4532)</f>
        <v/>
      </c>
      <c r="Q4532" s="39" t="n">
        <f aca="false">IF($B4532="",0,IFERROR(MATCH($B4532,COA_Mapping!$A$7:$A$256,0),0))</f>
        <v>0</v>
      </c>
      <c r="R4532" s="39" t="n">
        <f aca="false">IF($A4532="",-1,IF($J4532=Setup!$B$7,1,IF($J4532=Setup!$B$9,0,-1)))</f>
        <v>-1</v>
      </c>
      <c r="S4532" s="35" t="n">
        <f aca="false">IF(OR($A4532="",$Q4532=0,$R4532=-1),0,$Q4532*1000+$R4532*100+$K4532)</f>
        <v>0</v>
      </c>
      <c r="T4532" s="37" t="str">
        <f aca="false">IF($A4532="","",IF($B4532="","NO ACCOUNT",IF($Q4532=0,"UNMAPPED",IF($R4532=-1,"OUTSIDE FY RANGE","OK"))))</f>
        <v/>
      </c>
      <c r="U4532" s="40" t="str">
        <f aca="false">IF($A4532="","",$B4532&amp;"|"&amp;TEXT($A4532,"yyyymmdd")&amp;"|"&amp;TEXT($I4532,"0.00"))</f>
        <v/>
      </c>
      <c r="V4532" s="35" t="str">
        <f aca="false">IF($A4532="","",COUNTIF($U$8:$U$5007,$U4532))</f>
        <v/>
      </c>
    </row>
    <row r="4533" customFormat="false" ht="15" hidden="false" customHeight="false" outlineLevel="0" collapsed="false">
      <c r="A4533" s="31"/>
      <c r="B4533" s="32"/>
      <c r="C4533" s="32"/>
      <c r="D4533" s="32"/>
      <c r="E4533" s="32"/>
      <c r="F4533" s="32"/>
      <c r="G4533" s="33"/>
      <c r="H4533" s="33"/>
      <c r="I4533" s="34" t="str">
        <f aca="false">IF($A4533="","",$G4533-$H4533)</f>
        <v/>
      </c>
      <c r="J4533" s="35" t="str">
        <f aca="false">IF($A4533="","",IF(Setup!$B$6=1,YEAR($A4533),YEAR($A4533)+IF(MONTH($A4533)&gt;=Setup!$B$6,1,0)))</f>
        <v/>
      </c>
      <c r="K4533" s="35" t="str">
        <f aca="false">IF($A4533="","",MOD(MONTH($A4533)-Setup!$B$6+12,12)+1)</f>
        <v/>
      </c>
      <c r="L4533" s="36" t="str">
        <f aca="false">IF($A4533="","",TEXT($A4533,"MMM-YY"))</f>
        <v/>
      </c>
      <c r="M4533" s="37" t="str">
        <f aca="false">IF($A4533="","",IF($Q4533=0,"UNMAPPED",INDEX(COA_Mapping!$C$7:$C$256,$Q4533)))</f>
        <v/>
      </c>
      <c r="N4533" s="38" t="str">
        <f aca="false">IF($A4533="","",IF($Q4533=0,"",INDEX(COA_Mapping!$E$7:$E$256,$Q4533)))</f>
        <v/>
      </c>
      <c r="O4533" s="38" t="n">
        <f aca="false">IF($A4533="",1,IF($Q4533=0,1,INDEX(COA_Mapping!$F$7:$F$256,$Q4533)))</f>
        <v>1</v>
      </c>
      <c r="P4533" s="34" t="str">
        <f aca="false">IF($A4533="","",$I4533*$O4533)</f>
        <v/>
      </c>
      <c r="Q4533" s="39" t="n">
        <f aca="false">IF($B4533="",0,IFERROR(MATCH($B4533,COA_Mapping!$A$7:$A$256,0),0))</f>
        <v>0</v>
      </c>
      <c r="R4533" s="39" t="n">
        <f aca="false">IF($A4533="",-1,IF($J4533=Setup!$B$7,1,IF($J4533=Setup!$B$9,0,-1)))</f>
        <v>-1</v>
      </c>
      <c r="S4533" s="35" t="n">
        <f aca="false">IF(OR($A4533="",$Q4533=0,$R4533=-1),0,$Q4533*1000+$R4533*100+$K4533)</f>
        <v>0</v>
      </c>
      <c r="T4533" s="37" t="str">
        <f aca="false">IF($A4533="","",IF($B4533="","NO ACCOUNT",IF($Q4533=0,"UNMAPPED",IF($R4533=-1,"OUTSIDE FY RANGE","OK"))))</f>
        <v/>
      </c>
      <c r="U4533" s="40" t="str">
        <f aca="false">IF($A4533="","",$B4533&amp;"|"&amp;TEXT($A4533,"yyyymmdd")&amp;"|"&amp;TEXT($I4533,"0.00"))</f>
        <v/>
      </c>
      <c r="V4533" s="35" t="str">
        <f aca="false">IF($A4533="","",COUNTIF($U$8:$U$5007,$U4533))</f>
        <v/>
      </c>
    </row>
    <row r="4534" customFormat="false" ht="15" hidden="false" customHeight="false" outlineLevel="0" collapsed="false">
      <c r="A4534" s="31"/>
      <c r="B4534" s="32"/>
      <c r="C4534" s="32"/>
      <c r="D4534" s="32"/>
      <c r="E4534" s="32"/>
      <c r="F4534" s="32"/>
      <c r="G4534" s="33"/>
      <c r="H4534" s="33"/>
      <c r="I4534" s="34" t="str">
        <f aca="false">IF($A4534="","",$G4534-$H4534)</f>
        <v/>
      </c>
      <c r="J4534" s="35" t="str">
        <f aca="false">IF($A4534="","",IF(Setup!$B$6=1,YEAR($A4534),YEAR($A4534)+IF(MONTH($A4534)&gt;=Setup!$B$6,1,0)))</f>
        <v/>
      </c>
      <c r="K4534" s="35" t="str">
        <f aca="false">IF($A4534="","",MOD(MONTH($A4534)-Setup!$B$6+12,12)+1)</f>
        <v/>
      </c>
      <c r="L4534" s="36" t="str">
        <f aca="false">IF($A4534="","",TEXT($A4534,"MMM-YY"))</f>
        <v/>
      </c>
      <c r="M4534" s="37" t="str">
        <f aca="false">IF($A4534="","",IF($Q4534=0,"UNMAPPED",INDEX(COA_Mapping!$C$7:$C$256,$Q4534)))</f>
        <v/>
      </c>
      <c r="N4534" s="38" t="str">
        <f aca="false">IF($A4534="","",IF($Q4534=0,"",INDEX(COA_Mapping!$E$7:$E$256,$Q4534)))</f>
        <v/>
      </c>
      <c r="O4534" s="38" t="n">
        <f aca="false">IF($A4534="",1,IF($Q4534=0,1,INDEX(COA_Mapping!$F$7:$F$256,$Q4534)))</f>
        <v>1</v>
      </c>
      <c r="P4534" s="34" t="str">
        <f aca="false">IF($A4534="","",$I4534*$O4534)</f>
        <v/>
      </c>
      <c r="Q4534" s="39" t="n">
        <f aca="false">IF($B4534="",0,IFERROR(MATCH($B4534,COA_Mapping!$A$7:$A$256,0),0))</f>
        <v>0</v>
      </c>
      <c r="R4534" s="39" t="n">
        <f aca="false">IF($A4534="",-1,IF($J4534=Setup!$B$7,1,IF($J4534=Setup!$B$9,0,-1)))</f>
        <v>-1</v>
      </c>
      <c r="S4534" s="35" t="n">
        <f aca="false">IF(OR($A4534="",$Q4534=0,$R4534=-1),0,$Q4534*1000+$R4534*100+$K4534)</f>
        <v>0</v>
      </c>
      <c r="T4534" s="37" t="str">
        <f aca="false">IF($A4534="","",IF($B4534="","NO ACCOUNT",IF($Q4534=0,"UNMAPPED",IF($R4534=-1,"OUTSIDE FY RANGE","OK"))))</f>
        <v/>
      </c>
      <c r="U4534" s="40" t="str">
        <f aca="false">IF($A4534="","",$B4534&amp;"|"&amp;TEXT($A4534,"yyyymmdd")&amp;"|"&amp;TEXT($I4534,"0.00"))</f>
        <v/>
      </c>
      <c r="V4534" s="35" t="str">
        <f aca="false">IF($A4534="","",COUNTIF($U$8:$U$5007,$U4534))</f>
        <v/>
      </c>
    </row>
    <row r="4535" customFormat="false" ht="15" hidden="false" customHeight="false" outlineLevel="0" collapsed="false">
      <c r="A4535" s="31"/>
      <c r="B4535" s="32"/>
      <c r="C4535" s="32"/>
      <c r="D4535" s="32"/>
      <c r="E4535" s="32"/>
      <c r="F4535" s="32"/>
      <c r="G4535" s="33"/>
      <c r="H4535" s="33"/>
      <c r="I4535" s="34" t="str">
        <f aca="false">IF($A4535="","",$G4535-$H4535)</f>
        <v/>
      </c>
      <c r="J4535" s="35" t="str">
        <f aca="false">IF($A4535="","",IF(Setup!$B$6=1,YEAR($A4535),YEAR($A4535)+IF(MONTH($A4535)&gt;=Setup!$B$6,1,0)))</f>
        <v/>
      </c>
      <c r="K4535" s="35" t="str">
        <f aca="false">IF($A4535="","",MOD(MONTH($A4535)-Setup!$B$6+12,12)+1)</f>
        <v/>
      </c>
      <c r="L4535" s="36" t="str">
        <f aca="false">IF($A4535="","",TEXT($A4535,"MMM-YY"))</f>
        <v/>
      </c>
      <c r="M4535" s="37" t="str">
        <f aca="false">IF($A4535="","",IF($Q4535=0,"UNMAPPED",INDEX(COA_Mapping!$C$7:$C$256,$Q4535)))</f>
        <v/>
      </c>
      <c r="N4535" s="38" t="str">
        <f aca="false">IF($A4535="","",IF($Q4535=0,"",INDEX(COA_Mapping!$E$7:$E$256,$Q4535)))</f>
        <v/>
      </c>
      <c r="O4535" s="38" t="n">
        <f aca="false">IF($A4535="",1,IF($Q4535=0,1,INDEX(COA_Mapping!$F$7:$F$256,$Q4535)))</f>
        <v>1</v>
      </c>
      <c r="P4535" s="34" t="str">
        <f aca="false">IF($A4535="","",$I4535*$O4535)</f>
        <v/>
      </c>
      <c r="Q4535" s="39" t="n">
        <f aca="false">IF($B4535="",0,IFERROR(MATCH($B4535,COA_Mapping!$A$7:$A$256,0),0))</f>
        <v>0</v>
      </c>
      <c r="R4535" s="39" t="n">
        <f aca="false">IF($A4535="",-1,IF($J4535=Setup!$B$7,1,IF($J4535=Setup!$B$9,0,-1)))</f>
        <v>-1</v>
      </c>
      <c r="S4535" s="35" t="n">
        <f aca="false">IF(OR($A4535="",$Q4535=0,$R4535=-1),0,$Q4535*1000+$R4535*100+$K4535)</f>
        <v>0</v>
      </c>
      <c r="T4535" s="37" t="str">
        <f aca="false">IF($A4535="","",IF($B4535="","NO ACCOUNT",IF($Q4535=0,"UNMAPPED",IF($R4535=-1,"OUTSIDE FY RANGE","OK"))))</f>
        <v/>
      </c>
      <c r="U4535" s="40" t="str">
        <f aca="false">IF($A4535="","",$B4535&amp;"|"&amp;TEXT($A4535,"yyyymmdd")&amp;"|"&amp;TEXT($I4535,"0.00"))</f>
        <v/>
      </c>
      <c r="V4535" s="35" t="str">
        <f aca="false">IF($A4535="","",COUNTIF($U$8:$U$5007,$U4535))</f>
        <v/>
      </c>
    </row>
    <row r="4536" customFormat="false" ht="15" hidden="false" customHeight="false" outlineLevel="0" collapsed="false">
      <c r="A4536" s="31"/>
      <c r="B4536" s="32"/>
      <c r="C4536" s="32"/>
      <c r="D4536" s="32"/>
      <c r="E4536" s="32"/>
      <c r="F4536" s="32"/>
      <c r="G4536" s="33"/>
      <c r="H4536" s="33"/>
      <c r="I4536" s="34" t="str">
        <f aca="false">IF($A4536="","",$G4536-$H4536)</f>
        <v/>
      </c>
      <c r="J4536" s="35" t="str">
        <f aca="false">IF($A4536="","",IF(Setup!$B$6=1,YEAR($A4536),YEAR($A4536)+IF(MONTH($A4536)&gt;=Setup!$B$6,1,0)))</f>
        <v/>
      </c>
      <c r="K4536" s="35" t="str">
        <f aca="false">IF($A4536="","",MOD(MONTH($A4536)-Setup!$B$6+12,12)+1)</f>
        <v/>
      </c>
      <c r="L4536" s="36" t="str">
        <f aca="false">IF($A4536="","",TEXT($A4536,"MMM-YY"))</f>
        <v/>
      </c>
      <c r="M4536" s="37" t="str">
        <f aca="false">IF($A4536="","",IF($Q4536=0,"UNMAPPED",INDEX(COA_Mapping!$C$7:$C$256,$Q4536)))</f>
        <v/>
      </c>
      <c r="N4536" s="38" t="str">
        <f aca="false">IF($A4536="","",IF($Q4536=0,"",INDEX(COA_Mapping!$E$7:$E$256,$Q4536)))</f>
        <v/>
      </c>
      <c r="O4536" s="38" t="n">
        <f aca="false">IF($A4536="",1,IF($Q4536=0,1,INDEX(COA_Mapping!$F$7:$F$256,$Q4536)))</f>
        <v>1</v>
      </c>
      <c r="P4536" s="34" t="str">
        <f aca="false">IF($A4536="","",$I4536*$O4536)</f>
        <v/>
      </c>
      <c r="Q4536" s="39" t="n">
        <f aca="false">IF($B4536="",0,IFERROR(MATCH($B4536,COA_Mapping!$A$7:$A$256,0),0))</f>
        <v>0</v>
      </c>
      <c r="R4536" s="39" t="n">
        <f aca="false">IF($A4536="",-1,IF($J4536=Setup!$B$7,1,IF($J4536=Setup!$B$9,0,-1)))</f>
        <v>-1</v>
      </c>
      <c r="S4536" s="35" t="n">
        <f aca="false">IF(OR($A4536="",$Q4536=0,$R4536=-1),0,$Q4536*1000+$R4536*100+$K4536)</f>
        <v>0</v>
      </c>
      <c r="T4536" s="37" t="str">
        <f aca="false">IF($A4536="","",IF($B4536="","NO ACCOUNT",IF($Q4536=0,"UNMAPPED",IF($R4536=-1,"OUTSIDE FY RANGE","OK"))))</f>
        <v/>
      </c>
      <c r="U4536" s="40" t="str">
        <f aca="false">IF($A4536="","",$B4536&amp;"|"&amp;TEXT($A4536,"yyyymmdd")&amp;"|"&amp;TEXT($I4536,"0.00"))</f>
        <v/>
      </c>
      <c r="V4536" s="35" t="str">
        <f aca="false">IF($A4536="","",COUNTIF($U$8:$U$5007,$U4536))</f>
        <v/>
      </c>
    </row>
    <row r="4537" customFormat="false" ht="15" hidden="false" customHeight="false" outlineLevel="0" collapsed="false">
      <c r="A4537" s="31"/>
      <c r="B4537" s="32"/>
      <c r="C4537" s="32"/>
      <c r="D4537" s="32"/>
      <c r="E4537" s="32"/>
      <c r="F4537" s="32"/>
      <c r="G4537" s="33"/>
      <c r="H4537" s="33"/>
      <c r="I4537" s="34" t="str">
        <f aca="false">IF($A4537="","",$G4537-$H4537)</f>
        <v/>
      </c>
      <c r="J4537" s="35" t="str">
        <f aca="false">IF($A4537="","",IF(Setup!$B$6=1,YEAR($A4537),YEAR($A4537)+IF(MONTH($A4537)&gt;=Setup!$B$6,1,0)))</f>
        <v/>
      </c>
      <c r="K4537" s="35" t="str">
        <f aca="false">IF($A4537="","",MOD(MONTH($A4537)-Setup!$B$6+12,12)+1)</f>
        <v/>
      </c>
      <c r="L4537" s="36" t="str">
        <f aca="false">IF($A4537="","",TEXT($A4537,"MMM-YY"))</f>
        <v/>
      </c>
      <c r="M4537" s="37" t="str">
        <f aca="false">IF($A4537="","",IF($Q4537=0,"UNMAPPED",INDEX(COA_Mapping!$C$7:$C$256,$Q4537)))</f>
        <v/>
      </c>
      <c r="N4537" s="38" t="str">
        <f aca="false">IF($A4537="","",IF($Q4537=0,"",INDEX(COA_Mapping!$E$7:$E$256,$Q4537)))</f>
        <v/>
      </c>
      <c r="O4537" s="38" t="n">
        <f aca="false">IF($A4537="",1,IF($Q4537=0,1,INDEX(COA_Mapping!$F$7:$F$256,$Q4537)))</f>
        <v>1</v>
      </c>
      <c r="P4537" s="34" t="str">
        <f aca="false">IF($A4537="","",$I4537*$O4537)</f>
        <v/>
      </c>
      <c r="Q4537" s="39" t="n">
        <f aca="false">IF($B4537="",0,IFERROR(MATCH($B4537,COA_Mapping!$A$7:$A$256,0),0))</f>
        <v>0</v>
      </c>
      <c r="R4537" s="39" t="n">
        <f aca="false">IF($A4537="",-1,IF($J4537=Setup!$B$7,1,IF($J4537=Setup!$B$9,0,-1)))</f>
        <v>-1</v>
      </c>
      <c r="S4537" s="35" t="n">
        <f aca="false">IF(OR($A4537="",$Q4537=0,$R4537=-1),0,$Q4537*1000+$R4537*100+$K4537)</f>
        <v>0</v>
      </c>
      <c r="T4537" s="37" t="str">
        <f aca="false">IF($A4537="","",IF($B4537="","NO ACCOUNT",IF($Q4537=0,"UNMAPPED",IF($R4537=-1,"OUTSIDE FY RANGE","OK"))))</f>
        <v/>
      </c>
      <c r="U4537" s="40" t="str">
        <f aca="false">IF($A4537="","",$B4537&amp;"|"&amp;TEXT($A4537,"yyyymmdd")&amp;"|"&amp;TEXT($I4537,"0.00"))</f>
        <v/>
      </c>
      <c r="V4537" s="35" t="str">
        <f aca="false">IF($A4537="","",COUNTIF($U$8:$U$5007,$U4537))</f>
        <v/>
      </c>
    </row>
    <row r="4538" customFormat="false" ht="15" hidden="false" customHeight="false" outlineLevel="0" collapsed="false">
      <c r="A4538" s="31"/>
      <c r="B4538" s="32"/>
      <c r="C4538" s="32"/>
      <c r="D4538" s="32"/>
      <c r="E4538" s="32"/>
      <c r="F4538" s="32"/>
      <c r="G4538" s="33"/>
      <c r="H4538" s="33"/>
      <c r="I4538" s="34" t="str">
        <f aca="false">IF($A4538="","",$G4538-$H4538)</f>
        <v/>
      </c>
      <c r="J4538" s="35" t="str">
        <f aca="false">IF($A4538="","",IF(Setup!$B$6=1,YEAR($A4538),YEAR($A4538)+IF(MONTH($A4538)&gt;=Setup!$B$6,1,0)))</f>
        <v/>
      </c>
      <c r="K4538" s="35" t="str">
        <f aca="false">IF($A4538="","",MOD(MONTH($A4538)-Setup!$B$6+12,12)+1)</f>
        <v/>
      </c>
      <c r="L4538" s="36" t="str">
        <f aca="false">IF($A4538="","",TEXT($A4538,"MMM-YY"))</f>
        <v/>
      </c>
      <c r="M4538" s="37" t="str">
        <f aca="false">IF($A4538="","",IF($Q4538=0,"UNMAPPED",INDEX(COA_Mapping!$C$7:$C$256,$Q4538)))</f>
        <v/>
      </c>
      <c r="N4538" s="38" t="str">
        <f aca="false">IF($A4538="","",IF($Q4538=0,"",INDEX(COA_Mapping!$E$7:$E$256,$Q4538)))</f>
        <v/>
      </c>
      <c r="O4538" s="38" t="n">
        <f aca="false">IF($A4538="",1,IF($Q4538=0,1,INDEX(COA_Mapping!$F$7:$F$256,$Q4538)))</f>
        <v>1</v>
      </c>
      <c r="P4538" s="34" t="str">
        <f aca="false">IF($A4538="","",$I4538*$O4538)</f>
        <v/>
      </c>
      <c r="Q4538" s="39" t="n">
        <f aca="false">IF($B4538="",0,IFERROR(MATCH($B4538,COA_Mapping!$A$7:$A$256,0),0))</f>
        <v>0</v>
      </c>
      <c r="R4538" s="39" t="n">
        <f aca="false">IF($A4538="",-1,IF($J4538=Setup!$B$7,1,IF($J4538=Setup!$B$9,0,-1)))</f>
        <v>-1</v>
      </c>
      <c r="S4538" s="35" t="n">
        <f aca="false">IF(OR($A4538="",$Q4538=0,$R4538=-1),0,$Q4538*1000+$R4538*100+$K4538)</f>
        <v>0</v>
      </c>
      <c r="T4538" s="37" t="str">
        <f aca="false">IF($A4538="","",IF($B4538="","NO ACCOUNT",IF($Q4538=0,"UNMAPPED",IF($R4538=-1,"OUTSIDE FY RANGE","OK"))))</f>
        <v/>
      </c>
      <c r="U4538" s="40" t="str">
        <f aca="false">IF($A4538="","",$B4538&amp;"|"&amp;TEXT($A4538,"yyyymmdd")&amp;"|"&amp;TEXT($I4538,"0.00"))</f>
        <v/>
      </c>
      <c r="V4538" s="35" t="str">
        <f aca="false">IF($A4538="","",COUNTIF($U$8:$U$5007,$U4538))</f>
        <v/>
      </c>
    </row>
    <row r="4539" customFormat="false" ht="15" hidden="false" customHeight="false" outlineLevel="0" collapsed="false">
      <c r="A4539" s="31"/>
      <c r="B4539" s="32"/>
      <c r="C4539" s="32"/>
      <c r="D4539" s="32"/>
      <c r="E4539" s="32"/>
      <c r="F4539" s="32"/>
      <c r="G4539" s="33"/>
      <c r="H4539" s="33"/>
      <c r="I4539" s="34" t="str">
        <f aca="false">IF($A4539="","",$G4539-$H4539)</f>
        <v/>
      </c>
      <c r="J4539" s="35" t="str">
        <f aca="false">IF($A4539="","",IF(Setup!$B$6=1,YEAR($A4539),YEAR($A4539)+IF(MONTH($A4539)&gt;=Setup!$B$6,1,0)))</f>
        <v/>
      </c>
      <c r="K4539" s="35" t="str">
        <f aca="false">IF($A4539="","",MOD(MONTH($A4539)-Setup!$B$6+12,12)+1)</f>
        <v/>
      </c>
      <c r="L4539" s="36" t="str">
        <f aca="false">IF($A4539="","",TEXT($A4539,"MMM-YY"))</f>
        <v/>
      </c>
      <c r="M4539" s="37" t="str">
        <f aca="false">IF($A4539="","",IF($Q4539=0,"UNMAPPED",INDEX(COA_Mapping!$C$7:$C$256,$Q4539)))</f>
        <v/>
      </c>
      <c r="N4539" s="38" t="str">
        <f aca="false">IF($A4539="","",IF($Q4539=0,"",INDEX(COA_Mapping!$E$7:$E$256,$Q4539)))</f>
        <v/>
      </c>
      <c r="O4539" s="38" t="n">
        <f aca="false">IF($A4539="",1,IF($Q4539=0,1,INDEX(COA_Mapping!$F$7:$F$256,$Q4539)))</f>
        <v>1</v>
      </c>
      <c r="P4539" s="34" t="str">
        <f aca="false">IF($A4539="","",$I4539*$O4539)</f>
        <v/>
      </c>
      <c r="Q4539" s="39" t="n">
        <f aca="false">IF($B4539="",0,IFERROR(MATCH($B4539,COA_Mapping!$A$7:$A$256,0),0))</f>
        <v>0</v>
      </c>
      <c r="R4539" s="39" t="n">
        <f aca="false">IF($A4539="",-1,IF($J4539=Setup!$B$7,1,IF($J4539=Setup!$B$9,0,-1)))</f>
        <v>-1</v>
      </c>
      <c r="S4539" s="35" t="n">
        <f aca="false">IF(OR($A4539="",$Q4539=0,$R4539=-1),0,$Q4539*1000+$R4539*100+$K4539)</f>
        <v>0</v>
      </c>
      <c r="T4539" s="37" t="str">
        <f aca="false">IF($A4539="","",IF($B4539="","NO ACCOUNT",IF($Q4539=0,"UNMAPPED",IF($R4539=-1,"OUTSIDE FY RANGE","OK"))))</f>
        <v/>
      </c>
      <c r="U4539" s="40" t="str">
        <f aca="false">IF($A4539="","",$B4539&amp;"|"&amp;TEXT($A4539,"yyyymmdd")&amp;"|"&amp;TEXT($I4539,"0.00"))</f>
        <v/>
      </c>
      <c r="V4539" s="35" t="str">
        <f aca="false">IF($A4539="","",COUNTIF($U$8:$U$5007,$U4539))</f>
        <v/>
      </c>
    </row>
    <row r="4540" customFormat="false" ht="15" hidden="false" customHeight="false" outlineLevel="0" collapsed="false">
      <c r="A4540" s="31"/>
      <c r="B4540" s="32"/>
      <c r="C4540" s="32"/>
      <c r="D4540" s="32"/>
      <c r="E4540" s="32"/>
      <c r="F4540" s="32"/>
      <c r="G4540" s="33"/>
      <c r="H4540" s="33"/>
      <c r="I4540" s="34" t="str">
        <f aca="false">IF($A4540="","",$G4540-$H4540)</f>
        <v/>
      </c>
      <c r="J4540" s="35" t="str">
        <f aca="false">IF($A4540="","",IF(Setup!$B$6=1,YEAR($A4540),YEAR($A4540)+IF(MONTH($A4540)&gt;=Setup!$B$6,1,0)))</f>
        <v/>
      </c>
      <c r="K4540" s="35" t="str">
        <f aca="false">IF($A4540="","",MOD(MONTH($A4540)-Setup!$B$6+12,12)+1)</f>
        <v/>
      </c>
      <c r="L4540" s="36" t="str">
        <f aca="false">IF($A4540="","",TEXT($A4540,"MMM-YY"))</f>
        <v/>
      </c>
      <c r="M4540" s="37" t="str">
        <f aca="false">IF($A4540="","",IF($Q4540=0,"UNMAPPED",INDEX(COA_Mapping!$C$7:$C$256,$Q4540)))</f>
        <v/>
      </c>
      <c r="N4540" s="38" t="str">
        <f aca="false">IF($A4540="","",IF($Q4540=0,"",INDEX(COA_Mapping!$E$7:$E$256,$Q4540)))</f>
        <v/>
      </c>
      <c r="O4540" s="38" t="n">
        <f aca="false">IF($A4540="",1,IF($Q4540=0,1,INDEX(COA_Mapping!$F$7:$F$256,$Q4540)))</f>
        <v>1</v>
      </c>
      <c r="P4540" s="34" t="str">
        <f aca="false">IF($A4540="","",$I4540*$O4540)</f>
        <v/>
      </c>
      <c r="Q4540" s="39" t="n">
        <f aca="false">IF($B4540="",0,IFERROR(MATCH($B4540,COA_Mapping!$A$7:$A$256,0),0))</f>
        <v>0</v>
      </c>
      <c r="R4540" s="39" t="n">
        <f aca="false">IF($A4540="",-1,IF($J4540=Setup!$B$7,1,IF($J4540=Setup!$B$9,0,-1)))</f>
        <v>-1</v>
      </c>
      <c r="S4540" s="35" t="n">
        <f aca="false">IF(OR($A4540="",$Q4540=0,$R4540=-1),0,$Q4540*1000+$R4540*100+$K4540)</f>
        <v>0</v>
      </c>
      <c r="T4540" s="37" t="str">
        <f aca="false">IF($A4540="","",IF($B4540="","NO ACCOUNT",IF($Q4540=0,"UNMAPPED",IF($R4540=-1,"OUTSIDE FY RANGE","OK"))))</f>
        <v/>
      </c>
      <c r="U4540" s="40" t="str">
        <f aca="false">IF($A4540="","",$B4540&amp;"|"&amp;TEXT($A4540,"yyyymmdd")&amp;"|"&amp;TEXT($I4540,"0.00"))</f>
        <v/>
      </c>
      <c r="V4540" s="35" t="str">
        <f aca="false">IF($A4540="","",COUNTIF($U$8:$U$5007,$U4540))</f>
        <v/>
      </c>
    </row>
    <row r="4541" customFormat="false" ht="15" hidden="false" customHeight="false" outlineLevel="0" collapsed="false">
      <c r="A4541" s="31"/>
      <c r="B4541" s="32"/>
      <c r="C4541" s="32"/>
      <c r="D4541" s="32"/>
      <c r="E4541" s="32"/>
      <c r="F4541" s="32"/>
      <c r="G4541" s="33"/>
      <c r="H4541" s="33"/>
      <c r="I4541" s="34" t="str">
        <f aca="false">IF($A4541="","",$G4541-$H4541)</f>
        <v/>
      </c>
      <c r="J4541" s="35" t="str">
        <f aca="false">IF($A4541="","",IF(Setup!$B$6=1,YEAR($A4541),YEAR($A4541)+IF(MONTH($A4541)&gt;=Setup!$B$6,1,0)))</f>
        <v/>
      </c>
      <c r="K4541" s="35" t="str">
        <f aca="false">IF($A4541="","",MOD(MONTH($A4541)-Setup!$B$6+12,12)+1)</f>
        <v/>
      </c>
      <c r="L4541" s="36" t="str">
        <f aca="false">IF($A4541="","",TEXT($A4541,"MMM-YY"))</f>
        <v/>
      </c>
      <c r="M4541" s="37" t="str">
        <f aca="false">IF($A4541="","",IF($Q4541=0,"UNMAPPED",INDEX(COA_Mapping!$C$7:$C$256,$Q4541)))</f>
        <v/>
      </c>
      <c r="N4541" s="38" t="str">
        <f aca="false">IF($A4541="","",IF($Q4541=0,"",INDEX(COA_Mapping!$E$7:$E$256,$Q4541)))</f>
        <v/>
      </c>
      <c r="O4541" s="38" t="n">
        <f aca="false">IF($A4541="",1,IF($Q4541=0,1,INDEX(COA_Mapping!$F$7:$F$256,$Q4541)))</f>
        <v>1</v>
      </c>
      <c r="P4541" s="34" t="str">
        <f aca="false">IF($A4541="","",$I4541*$O4541)</f>
        <v/>
      </c>
      <c r="Q4541" s="39" t="n">
        <f aca="false">IF($B4541="",0,IFERROR(MATCH($B4541,COA_Mapping!$A$7:$A$256,0),0))</f>
        <v>0</v>
      </c>
      <c r="R4541" s="39" t="n">
        <f aca="false">IF($A4541="",-1,IF($J4541=Setup!$B$7,1,IF($J4541=Setup!$B$9,0,-1)))</f>
        <v>-1</v>
      </c>
      <c r="S4541" s="35" t="n">
        <f aca="false">IF(OR($A4541="",$Q4541=0,$R4541=-1),0,$Q4541*1000+$R4541*100+$K4541)</f>
        <v>0</v>
      </c>
      <c r="T4541" s="37" t="str">
        <f aca="false">IF($A4541="","",IF($B4541="","NO ACCOUNT",IF($Q4541=0,"UNMAPPED",IF($R4541=-1,"OUTSIDE FY RANGE","OK"))))</f>
        <v/>
      </c>
      <c r="U4541" s="40" t="str">
        <f aca="false">IF($A4541="","",$B4541&amp;"|"&amp;TEXT($A4541,"yyyymmdd")&amp;"|"&amp;TEXT($I4541,"0.00"))</f>
        <v/>
      </c>
      <c r="V4541" s="35" t="str">
        <f aca="false">IF($A4541="","",COUNTIF($U$8:$U$5007,$U4541))</f>
        <v/>
      </c>
    </row>
    <row r="4542" customFormat="false" ht="15" hidden="false" customHeight="false" outlineLevel="0" collapsed="false">
      <c r="A4542" s="31"/>
      <c r="B4542" s="32"/>
      <c r="C4542" s="32"/>
      <c r="D4542" s="32"/>
      <c r="E4542" s="32"/>
      <c r="F4542" s="32"/>
      <c r="G4542" s="33"/>
      <c r="H4542" s="33"/>
      <c r="I4542" s="34" t="str">
        <f aca="false">IF($A4542="","",$G4542-$H4542)</f>
        <v/>
      </c>
      <c r="J4542" s="35" t="str">
        <f aca="false">IF($A4542="","",IF(Setup!$B$6=1,YEAR($A4542),YEAR($A4542)+IF(MONTH($A4542)&gt;=Setup!$B$6,1,0)))</f>
        <v/>
      </c>
      <c r="K4542" s="35" t="str">
        <f aca="false">IF($A4542="","",MOD(MONTH($A4542)-Setup!$B$6+12,12)+1)</f>
        <v/>
      </c>
      <c r="L4542" s="36" t="str">
        <f aca="false">IF($A4542="","",TEXT($A4542,"MMM-YY"))</f>
        <v/>
      </c>
      <c r="M4542" s="37" t="str">
        <f aca="false">IF($A4542="","",IF($Q4542=0,"UNMAPPED",INDEX(COA_Mapping!$C$7:$C$256,$Q4542)))</f>
        <v/>
      </c>
      <c r="N4542" s="38" t="str">
        <f aca="false">IF($A4542="","",IF($Q4542=0,"",INDEX(COA_Mapping!$E$7:$E$256,$Q4542)))</f>
        <v/>
      </c>
      <c r="O4542" s="38" t="n">
        <f aca="false">IF($A4542="",1,IF($Q4542=0,1,INDEX(COA_Mapping!$F$7:$F$256,$Q4542)))</f>
        <v>1</v>
      </c>
      <c r="P4542" s="34" t="str">
        <f aca="false">IF($A4542="","",$I4542*$O4542)</f>
        <v/>
      </c>
      <c r="Q4542" s="39" t="n">
        <f aca="false">IF($B4542="",0,IFERROR(MATCH($B4542,COA_Mapping!$A$7:$A$256,0),0))</f>
        <v>0</v>
      </c>
      <c r="R4542" s="39" t="n">
        <f aca="false">IF($A4542="",-1,IF($J4542=Setup!$B$7,1,IF($J4542=Setup!$B$9,0,-1)))</f>
        <v>-1</v>
      </c>
      <c r="S4542" s="35" t="n">
        <f aca="false">IF(OR($A4542="",$Q4542=0,$R4542=-1),0,$Q4542*1000+$R4542*100+$K4542)</f>
        <v>0</v>
      </c>
      <c r="T4542" s="37" t="str">
        <f aca="false">IF($A4542="","",IF($B4542="","NO ACCOUNT",IF($Q4542=0,"UNMAPPED",IF($R4542=-1,"OUTSIDE FY RANGE","OK"))))</f>
        <v/>
      </c>
      <c r="U4542" s="40" t="str">
        <f aca="false">IF($A4542="","",$B4542&amp;"|"&amp;TEXT($A4542,"yyyymmdd")&amp;"|"&amp;TEXT($I4542,"0.00"))</f>
        <v/>
      </c>
      <c r="V4542" s="35" t="str">
        <f aca="false">IF($A4542="","",COUNTIF($U$8:$U$5007,$U4542))</f>
        <v/>
      </c>
    </row>
    <row r="4543" customFormat="false" ht="15" hidden="false" customHeight="false" outlineLevel="0" collapsed="false">
      <c r="A4543" s="31"/>
      <c r="B4543" s="32"/>
      <c r="C4543" s="32"/>
      <c r="D4543" s="32"/>
      <c r="E4543" s="32"/>
      <c r="F4543" s="32"/>
      <c r="G4543" s="33"/>
      <c r="H4543" s="33"/>
      <c r="I4543" s="34" t="str">
        <f aca="false">IF($A4543="","",$G4543-$H4543)</f>
        <v/>
      </c>
      <c r="J4543" s="35" t="str">
        <f aca="false">IF($A4543="","",IF(Setup!$B$6=1,YEAR($A4543),YEAR($A4543)+IF(MONTH($A4543)&gt;=Setup!$B$6,1,0)))</f>
        <v/>
      </c>
      <c r="K4543" s="35" t="str">
        <f aca="false">IF($A4543="","",MOD(MONTH($A4543)-Setup!$B$6+12,12)+1)</f>
        <v/>
      </c>
      <c r="L4543" s="36" t="str">
        <f aca="false">IF($A4543="","",TEXT($A4543,"MMM-YY"))</f>
        <v/>
      </c>
      <c r="M4543" s="37" t="str">
        <f aca="false">IF($A4543="","",IF($Q4543=0,"UNMAPPED",INDEX(COA_Mapping!$C$7:$C$256,$Q4543)))</f>
        <v/>
      </c>
      <c r="N4543" s="38" t="str">
        <f aca="false">IF($A4543="","",IF($Q4543=0,"",INDEX(COA_Mapping!$E$7:$E$256,$Q4543)))</f>
        <v/>
      </c>
      <c r="O4543" s="38" t="n">
        <f aca="false">IF($A4543="",1,IF($Q4543=0,1,INDEX(COA_Mapping!$F$7:$F$256,$Q4543)))</f>
        <v>1</v>
      </c>
      <c r="P4543" s="34" t="str">
        <f aca="false">IF($A4543="","",$I4543*$O4543)</f>
        <v/>
      </c>
      <c r="Q4543" s="39" t="n">
        <f aca="false">IF($B4543="",0,IFERROR(MATCH($B4543,COA_Mapping!$A$7:$A$256,0),0))</f>
        <v>0</v>
      </c>
      <c r="R4543" s="39" t="n">
        <f aca="false">IF($A4543="",-1,IF($J4543=Setup!$B$7,1,IF($J4543=Setup!$B$9,0,-1)))</f>
        <v>-1</v>
      </c>
      <c r="S4543" s="35" t="n">
        <f aca="false">IF(OR($A4543="",$Q4543=0,$R4543=-1),0,$Q4543*1000+$R4543*100+$K4543)</f>
        <v>0</v>
      </c>
      <c r="T4543" s="37" t="str">
        <f aca="false">IF($A4543="","",IF($B4543="","NO ACCOUNT",IF($Q4543=0,"UNMAPPED",IF($R4543=-1,"OUTSIDE FY RANGE","OK"))))</f>
        <v/>
      </c>
      <c r="U4543" s="40" t="str">
        <f aca="false">IF($A4543="","",$B4543&amp;"|"&amp;TEXT($A4543,"yyyymmdd")&amp;"|"&amp;TEXT($I4543,"0.00"))</f>
        <v/>
      </c>
      <c r="V4543" s="35" t="str">
        <f aca="false">IF($A4543="","",COUNTIF($U$8:$U$5007,$U4543))</f>
        <v/>
      </c>
    </row>
    <row r="4544" customFormat="false" ht="15" hidden="false" customHeight="false" outlineLevel="0" collapsed="false">
      <c r="A4544" s="31"/>
      <c r="B4544" s="32"/>
      <c r="C4544" s="32"/>
      <c r="D4544" s="32"/>
      <c r="E4544" s="32"/>
      <c r="F4544" s="32"/>
      <c r="G4544" s="33"/>
      <c r="H4544" s="33"/>
      <c r="I4544" s="34" t="str">
        <f aca="false">IF($A4544="","",$G4544-$H4544)</f>
        <v/>
      </c>
      <c r="J4544" s="35" t="str">
        <f aca="false">IF($A4544="","",IF(Setup!$B$6=1,YEAR($A4544),YEAR($A4544)+IF(MONTH($A4544)&gt;=Setup!$B$6,1,0)))</f>
        <v/>
      </c>
      <c r="K4544" s="35" t="str">
        <f aca="false">IF($A4544="","",MOD(MONTH($A4544)-Setup!$B$6+12,12)+1)</f>
        <v/>
      </c>
      <c r="L4544" s="36" t="str">
        <f aca="false">IF($A4544="","",TEXT($A4544,"MMM-YY"))</f>
        <v/>
      </c>
      <c r="M4544" s="37" t="str">
        <f aca="false">IF($A4544="","",IF($Q4544=0,"UNMAPPED",INDEX(COA_Mapping!$C$7:$C$256,$Q4544)))</f>
        <v/>
      </c>
      <c r="N4544" s="38" t="str">
        <f aca="false">IF($A4544="","",IF($Q4544=0,"",INDEX(COA_Mapping!$E$7:$E$256,$Q4544)))</f>
        <v/>
      </c>
      <c r="O4544" s="38" t="n">
        <f aca="false">IF($A4544="",1,IF($Q4544=0,1,INDEX(COA_Mapping!$F$7:$F$256,$Q4544)))</f>
        <v>1</v>
      </c>
      <c r="P4544" s="34" t="str">
        <f aca="false">IF($A4544="","",$I4544*$O4544)</f>
        <v/>
      </c>
      <c r="Q4544" s="39" t="n">
        <f aca="false">IF($B4544="",0,IFERROR(MATCH($B4544,COA_Mapping!$A$7:$A$256,0),0))</f>
        <v>0</v>
      </c>
      <c r="R4544" s="39" t="n">
        <f aca="false">IF($A4544="",-1,IF($J4544=Setup!$B$7,1,IF($J4544=Setup!$B$9,0,-1)))</f>
        <v>-1</v>
      </c>
      <c r="S4544" s="35" t="n">
        <f aca="false">IF(OR($A4544="",$Q4544=0,$R4544=-1),0,$Q4544*1000+$R4544*100+$K4544)</f>
        <v>0</v>
      </c>
      <c r="T4544" s="37" t="str">
        <f aca="false">IF($A4544="","",IF($B4544="","NO ACCOUNT",IF($Q4544=0,"UNMAPPED",IF($R4544=-1,"OUTSIDE FY RANGE","OK"))))</f>
        <v/>
      </c>
      <c r="U4544" s="40" t="str">
        <f aca="false">IF($A4544="","",$B4544&amp;"|"&amp;TEXT($A4544,"yyyymmdd")&amp;"|"&amp;TEXT($I4544,"0.00"))</f>
        <v/>
      </c>
      <c r="V4544" s="35" t="str">
        <f aca="false">IF($A4544="","",COUNTIF($U$8:$U$5007,$U4544))</f>
        <v/>
      </c>
    </row>
    <row r="4545" customFormat="false" ht="15" hidden="false" customHeight="false" outlineLevel="0" collapsed="false">
      <c r="A4545" s="31"/>
      <c r="B4545" s="32"/>
      <c r="C4545" s="32"/>
      <c r="D4545" s="32"/>
      <c r="E4545" s="32"/>
      <c r="F4545" s="32"/>
      <c r="G4545" s="33"/>
      <c r="H4545" s="33"/>
      <c r="I4545" s="34" t="str">
        <f aca="false">IF($A4545="","",$G4545-$H4545)</f>
        <v/>
      </c>
      <c r="J4545" s="35" t="str">
        <f aca="false">IF($A4545="","",IF(Setup!$B$6=1,YEAR($A4545),YEAR($A4545)+IF(MONTH($A4545)&gt;=Setup!$B$6,1,0)))</f>
        <v/>
      </c>
      <c r="K4545" s="35" t="str">
        <f aca="false">IF($A4545="","",MOD(MONTH($A4545)-Setup!$B$6+12,12)+1)</f>
        <v/>
      </c>
      <c r="L4545" s="36" t="str">
        <f aca="false">IF($A4545="","",TEXT($A4545,"MMM-YY"))</f>
        <v/>
      </c>
      <c r="M4545" s="37" t="str">
        <f aca="false">IF($A4545="","",IF($Q4545=0,"UNMAPPED",INDEX(COA_Mapping!$C$7:$C$256,$Q4545)))</f>
        <v/>
      </c>
      <c r="N4545" s="38" t="str">
        <f aca="false">IF($A4545="","",IF($Q4545=0,"",INDEX(COA_Mapping!$E$7:$E$256,$Q4545)))</f>
        <v/>
      </c>
      <c r="O4545" s="38" t="n">
        <f aca="false">IF($A4545="",1,IF($Q4545=0,1,INDEX(COA_Mapping!$F$7:$F$256,$Q4545)))</f>
        <v>1</v>
      </c>
      <c r="P4545" s="34" t="str">
        <f aca="false">IF($A4545="","",$I4545*$O4545)</f>
        <v/>
      </c>
      <c r="Q4545" s="39" t="n">
        <f aca="false">IF($B4545="",0,IFERROR(MATCH($B4545,COA_Mapping!$A$7:$A$256,0),0))</f>
        <v>0</v>
      </c>
      <c r="R4545" s="39" t="n">
        <f aca="false">IF($A4545="",-1,IF($J4545=Setup!$B$7,1,IF($J4545=Setup!$B$9,0,-1)))</f>
        <v>-1</v>
      </c>
      <c r="S4545" s="35" t="n">
        <f aca="false">IF(OR($A4545="",$Q4545=0,$R4545=-1),0,$Q4545*1000+$R4545*100+$K4545)</f>
        <v>0</v>
      </c>
      <c r="T4545" s="37" t="str">
        <f aca="false">IF($A4545="","",IF($B4545="","NO ACCOUNT",IF($Q4545=0,"UNMAPPED",IF($R4545=-1,"OUTSIDE FY RANGE","OK"))))</f>
        <v/>
      </c>
      <c r="U4545" s="40" t="str">
        <f aca="false">IF($A4545="","",$B4545&amp;"|"&amp;TEXT($A4545,"yyyymmdd")&amp;"|"&amp;TEXT($I4545,"0.00"))</f>
        <v/>
      </c>
      <c r="V4545" s="35" t="str">
        <f aca="false">IF($A4545="","",COUNTIF($U$8:$U$5007,$U4545))</f>
        <v/>
      </c>
    </row>
    <row r="4546" customFormat="false" ht="15" hidden="false" customHeight="false" outlineLevel="0" collapsed="false">
      <c r="A4546" s="31"/>
      <c r="B4546" s="32"/>
      <c r="C4546" s="32"/>
      <c r="D4546" s="32"/>
      <c r="E4546" s="32"/>
      <c r="F4546" s="32"/>
      <c r="G4546" s="33"/>
      <c r="H4546" s="33"/>
      <c r="I4546" s="34" t="str">
        <f aca="false">IF($A4546="","",$G4546-$H4546)</f>
        <v/>
      </c>
      <c r="J4546" s="35" t="str">
        <f aca="false">IF($A4546="","",IF(Setup!$B$6=1,YEAR($A4546),YEAR($A4546)+IF(MONTH($A4546)&gt;=Setup!$B$6,1,0)))</f>
        <v/>
      </c>
      <c r="K4546" s="35" t="str">
        <f aca="false">IF($A4546="","",MOD(MONTH($A4546)-Setup!$B$6+12,12)+1)</f>
        <v/>
      </c>
      <c r="L4546" s="36" t="str">
        <f aca="false">IF($A4546="","",TEXT($A4546,"MMM-YY"))</f>
        <v/>
      </c>
      <c r="M4546" s="37" t="str">
        <f aca="false">IF($A4546="","",IF($Q4546=0,"UNMAPPED",INDEX(COA_Mapping!$C$7:$C$256,$Q4546)))</f>
        <v/>
      </c>
      <c r="N4546" s="38" t="str">
        <f aca="false">IF($A4546="","",IF($Q4546=0,"",INDEX(COA_Mapping!$E$7:$E$256,$Q4546)))</f>
        <v/>
      </c>
      <c r="O4546" s="38" t="n">
        <f aca="false">IF($A4546="",1,IF($Q4546=0,1,INDEX(COA_Mapping!$F$7:$F$256,$Q4546)))</f>
        <v>1</v>
      </c>
      <c r="P4546" s="34" t="str">
        <f aca="false">IF($A4546="","",$I4546*$O4546)</f>
        <v/>
      </c>
      <c r="Q4546" s="39" t="n">
        <f aca="false">IF($B4546="",0,IFERROR(MATCH($B4546,COA_Mapping!$A$7:$A$256,0),0))</f>
        <v>0</v>
      </c>
      <c r="R4546" s="39" t="n">
        <f aca="false">IF($A4546="",-1,IF($J4546=Setup!$B$7,1,IF($J4546=Setup!$B$9,0,-1)))</f>
        <v>-1</v>
      </c>
      <c r="S4546" s="35" t="n">
        <f aca="false">IF(OR($A4546="",$Q4546=0,$R4546=-1),0,$Q4546*1000+$R4546*100+$K4546)</f>
        <v>0</v>
      </c>
      <c r="T4546" s="37" t="str">
        <f aca="false">IF($A4546="","",IF($B4546="","NO ACCOUNT",IF($Q4546=0,"UNMAPPED",IF($R4546=-1,"OUTSIDE FY RANGE","OK"))))</f>
        <v/>
      </c>
      <c r="U4546" s="40" t="str">
        <f aca="false">IF($A4546="","",$B4546&amp;"|"&amp;TEXT($A4546,"yyyymmdd")&amp;"|"&amp;TEXT($I4546,"0.00"))</f>
        <v/>
      </c>
      <c r="V4546" s="35" t="str">
        <f aca="false">IF($A4546="","",COUNTIF($U$8:$U$5007,$U4546))</f>
        <v/>
      </c>
    </row>
    <row r="4547" customFormat="false" ht="15" hidden="false" customHeight="false" outlineLevel="0" collapsed="false">
      <c r="A4547" s="31"/>
      <c r="B4547" s="32"/>
      <c r="C4547" s="32"/>
      <c r="D4547" s="32"/>
      <c r="E4547" s="32"/>
      <c r="F4547" s="32"/>
      <c r="G4547" s="33"/>
      <c r="H4547" s="33"/>
      <c r="I4547" s="34" t="str">
        <f aca="false">IF($A4547="","",$G4547-$H4547)</f>
        <v/>
      </c>
      <c r="J4547" s="35" t="str">
        <f aca="false">IF($A4547="","",IF(Setup!$B$6=1,YEAR($A4547),YEAR($A4547)+IF(MONTH($A4547)&gt;=Setup!$B$6,1,0)))</f>
        <v/>
      </c>
      <c r="K4547" s="35" t="str">
        <f aca="false">IF($A4547="","",MOD(MONTH($A4547)-Setup!$B$6+12,12)+1)</f>
        <v/>
      </c>
      <c r="L4547" s="36" t="str">
        <f aca="false">IF($A4547="","",TEXT($A4547,"MMM-YY"))</f>
        <v/>
      </c>
      <c r="M4547" s="37" t="str">
        <f aca="false">IF($A4547="","",IF($Q4547=0,"UNMAPPED",INDEX(COA_Mapping!$C$7:$C$256,$Q4547)))</f>
        <v/>
      </c>
      <c r="N4547" s="38" t="str">
        <f aca="false">IF($A4547="","",IF($Q4547=0,"",INDEX(COA_Mapping!$E$7:$E$256,$Q4547)))</f>
        <v/>
      </c>
      <c r="O4547" s="38" t="n">
        <f aca="false">IF($A4547="",1,IF($Q4547=0,1,INDEX(COA_Mapping!$F$7:$F$256,$Q4547)))</f>
        <v>1</v>
      </c>
      <c r="P4547" s="34" t="str">
        <f aca="false">IF($A4547="","",$I4547*$O4547)</f>
        <v/>
      </c>
      <c r="Q4547" s="39" t="n">
        <f aca="false">IF($B4547="",0,IFERROR(MATCH($B4547,COA_Mapping!$A$7:$A$256,0),0))</f>
        <v>0</v>
      </c>
      <c r="R4547" s="39" t="n">
        <f aca="false">IF($A4547="",-1,IF($J4547=Setup!$B$7,1,IF($J4547=Setup!$B$9,0,-1)))</f>
        <v>-1</v>
      </c>
      <c r="S4547" s="35" t="n">
        <f aca="false">IF(OR($A4547="",$Q4547=0,$R4547=-1),0,$Q4547*1000+$R4547*100+$K4547)</f>
        <v>0</v>
      </c>
      <c r="T4547" s="37" t="str">
        <f aca="false">IF($A4547="","",IF($B4547="","NO ACCOUNT",IF($Q4547=0,"UNMAPPED",IF($R4547=-1,"OUTSIDE FY RANGE","OK"))))</f>
        <v/>
      </c>
      <c r="U4547" s="40" t="str">
        <f aca="false">IF($A4547="","",$B4547&amp;"|"&amp;TEXT($A4547,"yyyymmdd")&amp;"|"&amp;TEXT($I4547,"0.00"))</f>
        <v/>
      </c>
      <c r="V4547" s="35" t="str">
        <f aca="false">IF($A4547="","",COUNTIF($U$8:$U$5007,$U4547))</f>
        <v/>
      </c>
    </row>
    <row r="4548" customFormat="false" ht="15" hidden="false" customHeight="false" outlineLevel="0" collapsed="false">
      <c r="A4548" s="31"/>
      <c r="B4548" s="32"/>
      <c r="C4548" s="32"/>
      <c r="D4548" s="32"/>
      <c r="E4548" s="32"/>
      <c r="F4548" s="32"/>
      <c r="G4548" s="33"/>
      <c r="H4548" s="33"/>
      <c r="I4548" s="34" t="str">
        <f aca="false">IF($A4548="","",$G4548-$H4548)</f>
        <v/>
      </c>
      <c r="J4548" s="35" t="str">
        <f aca="false">IF($A4548="","",IF(Setup!$B$6=1,YEAR($A4548),YEAR($A4548)+IF(MONTH($A4548)&gt;=Setup!$B$6,1,0)))</f>
        <v/>
      </c>
      <c r="K4548" s="35" t="str">
        <f aca="false">IF($A4548="","",MOD(MONTH($A4548)-Setup!$B$6+12,12)+1)</f>
        <v/>
      </c>
      <c r="L4548" s="36" t="str">
        <f aca="false">IF($A4548="","",TEXT($A4548,"MMM-YY"))</f>
        <v/>
      </c>
      <c r="M4548" s="37" t="str">
        <f aca="false">IF($A4548="","",IF($Q4548=0,"UNMAPPED",INDEX(COA_Mapping!$C$7:$C$256,$Q4548)))</f>
        <v/>
      </c>
      <c r="N4548" s="38" t="str">
        <f aca="false">IF($A4548="","",IF($Q4548=0,"",INDEX(COA_Mapping!$E$7:$E$256,$Q4548)))</f>
        <v/>
      </c>
      <c r="O4548" s="38" t="n">
        <f aca="false">IF($A4548="",1,IF($Q4548=0,1,INDEX(COA_Mapping!$F$7:$F$256,$Q4548)))</f>
        <v>1</v>
      </c>
      <c r="P4548" s="34" t="str">
        <f aca="false">IF($A4548="","",$I4548*$O4548)</f>
        <v/>
      </c>
      <c r="Q4548" s="39" t="n">
        <f aca="false">IF($B4548="",0,IFERROR(MATCH($B4548,COA_Mapping!$A$7:$A$256,0),0))</f>
        <v>0</v>
      </c>
      <c r="R4548" s="39" t="n">
        <f aca="false">IF($A4548="",-1,IF($J4548=Setup!$B$7,1,IF($J4548=Setup!$B$9,0,-1)))</f>
        <v>-1</v>
      </c>
      <c r="S4548" s="35" t="n">
        <f aca="false">IF(OR($A4548="",$Q4548=0,$R4548=-1),0,$Q4548*1000+$R4548*100+$K4548)</f>
        <v>0</v>
      </c>
      <c r="T4548" s="37" t="str">
        <f aca="false">IF($A4548="","",IF($B4548="","NO ACCOUNT",IF($Q4548=0,"UNMAPPED",IF($R4548=-1,"OUTSIDE FY RANGE","OK"))))</f>
        <v/>
      </c>
      <c r="U4548" s="40" t="str">
        <f aca="false">IF($A4548="","",$B4548&amp;"|"&amp;TEXT($A4548,"yyyymmdd")&amp;"|"&amp;TEXT($I4548,"0.00"))</f>
        <v/>
      </c>
      <c r="V4548" s="35" t="str">
        <f aca="false">IF($A4548="","",COUNTIF($U$8:$U$5007,$U4548))</f>
        <v/>
      </c>
    </row>
    <row r="4549" customFormat="false" ht="15" hidden="false" customHeight="false" outlineLevel="0" collapsed="false">
      <c r="A4549" s="31"/>
      <c r="B4549" s="32"/>
      <c r="C4549" s="32"/>
      <c r="D4549" s="32"/>
      <c r="E4549" s="32"/>
      <c r="F4549" s="32"/>
      <c r="G4549" s="33"/>
      <c r="H4549" s="33"/>
      <c r="I4549" s="34" t="str">
        <f aca="false">IF($A4549="","",$G4549-$H4549)</f>
        <v/>
      </c>
      <c r="J4549" s="35" t="str">
        <f aca="false">IF($A4549="","",IF(Setup!$B$6=1,YEAR($A4549),YEAR($A4549)+IF(MONTH($A4549)&gt;=Setup!$B$6,1,0)))</f>
        <v/>
      </c>
      <c r="K4549" s="35" t="str">
        <f aca="false">IF($A4549="","",MOD(MONTH($A4549)-Setup!$B$6+12,12)+1)</f>
        <v/>
      </c>
      <c r="L4549" s="36" t="str">
        <f aca="false">IF($A4549="","",TEXT($A4549,"MMM-YY"))</f>
        <v/>
      </c>
      <c r="M4549" s="37" t="str">
        <f aca="false">IF($A4549="","",IF($Q4549=0,"UNMAPPED",INDEX(COA_Mapping!$C$7:$C$256,$Q4549)))</f>
        <v/>
      </c>
      <c r="N4549" s="38" t="str">
        <f aca="false">IF($A4549="","",IF($Q4549=0,"",INDEX(COA_Mapping!$E$7:$E$256,$Q4549)))</f>
        <v/>
      </c>
      <c r="O4549" s="38" t="n">
        <f aca="false">IF($A4549="",1,IF($Q4549=0,1,INDEX(COA_Mapping!$F$7:$F$256,$Q4549)))</f>
        <v>1</v>
      </c>
      <c r="P4549" s="34" t="str">
        <f aca="false">IF($A4549="","",$I4549*$O4549)</f>
        <v/>
      </c>
      <c r="Q4549" s="39" t="n">
        <f aca="false">IF($B4549="",0,IFERROR(MATCH($B4549,COA_Mapping!$A$7:$A$256,0),0))</f>
        <v>0</v>
      </c>
      <c r="R4549" s="39" t="n">
        <f aca="false">IF($A4549="",-1,IF($J4549=Setup!$B$7,1,IF($J4549=Setup!$B$9,0,-1)))</f>
        <v>-1</v>
      </c>
      <c r="S4549" s="35" t="n">
        <f aca="false">IF(OR($A4549="",$Q4549=0,$R4549=-1),0,$Q4549*1000+$R4549*100+$K4549)</f>
        <v>0</v>
      </c>
      <c r="T4549" s="37" t="str">
        <f aca="false">IF($A4549="","",IF($B4549="","NO ACCOUNT",IF($Q4549=0,"UNMAPPED",IF($R4549=-1,"OUTSIDE FY RANGE","OK"))))</f>
        <v/>
      </c>
      <c r="U4549" s="40" t="str">
        <f aca="false">IF($A4549="","",$B4549&amp;"|"&amp;TEXT($A4549,"yyyymmdd")&amp;"|"&amp;TEXT($I4549,"0.00"))</f>
        <v/>
      </c>
      <c r="V4549" s="35" t="str">
        <f aca="false">IF($A4549="","",COUNTIF($U$8:$U$5007,$U4549))</f>
        <v/>
      </c>
    </row>
    <row r="4550" customFormat="false" ht="15" hidden="false" customHeight="false" outlineLevel="0" collapsed="false">
      <c r="A4550" s="31"/>
      <c r="B4550" s="32"/>
      <c r="C4550" s="32"/>
      <c r="D4550" s="32"/>
      <c r="E4550" s="32"/>
      <c r="F4550" s="32"/>
      <c r="G4550" s="33"/>
      <c r="H4550" s="33"/>
      <c r="I4550" s="34" t="str">
        <f aca="false">IF($A4550="","",$G4550-$H4550)</f>
        <v/>
      </c>
      <c r="J4550" s="35" t="str">
        <f aca="false">IF($A4550="","",IF(Setup!$B$6=1,YEAR($A4550),YEAR($A4550)+IF(MONTH($A4550)&gt;=Setup!$B$6,1,0)))</f>
        <v/>
      </c>
      <c r="K4550" s="35" t="str">
        <f aca="false">IF($A4550="","",MOD(MONTH($A4550)-Setup!$B$6+12,12)+1)</f>
        <v/>
      </c>
      <c r="L4550" s="36" t="str">
        <f aca="false">IF($A4550="","",TEXT($A4550,"MMM-YY"))</f>
        <v/>
      </c>
      <c r="M4550" s="37" t="str">
        <f aca="false">IF($A4550="","",IF($Q4550=0,"UNMAPPED",INDEX(COA_Mapping!$C$7:$C$256,$Q4550)))</f>
        <v/>
      </c>
      <c r="N4550" s="38" t="str">
        <f aca="false">IF($A4550="","",IF($Q4550=0,"",INDEX(COA_Mapping!$E$7:$E$256,$Q4550)))</f>
        <v/>
      </c>
      <c r="O4550" s="38" t="n">
        <f aca="false">IF($A4550="",1,IF($Q4550=0,1,INDEX(COA_Mapping!$F$7:$F$256,$Q4550)))</f>
        <v>1</v>
      </c>
      <c r="P4550" s="34" t="str">
        <f aca="false">IF($A4550="","",$I4550*$O4550)</f>
        <v/>
      </c>
      <c r="Q4550" s="39" t="n">
        <f aca="false">IF($B4550="",0,IFERROR(MATCH($B4550,COA_Mapping!$A$7:$A$256,0),0))</f>
        <v>0</v>
      </c>
      <c r="R4550" s="39" t="n">
        <f aca="false">IF($A4550="",-1,IF($J4550=Setup!$B$7,1,IF($J4550=Setup!$B$9,0,-1)))</f>
        <v>-1</v>
      </c>
      <c r="S4550" s="35" t="n">
        <f aca="false">IF(OR($A4550="",$Q4550=0,$R4550=-1),0,$Q4550*1000+$R4550*100+$K4550)</f>
        <v>0</v>
      </c>
      <c r="T4550" s="37" t="str">
        <f aca="false">IF($A4550="","",IF($B4550="","NO ACCOUNT",IF($Q4550=0,"UNMAPPED",IF($R4550=-1,"OUTSIDE FY RANGE","OK"))))</f>
        <v/>
      </c>
      <c r="U4550" s="40" t="str">
        <f aca="false">IF($A4550="","",$B4550&amp;"|"&amp;TEXT($A4550,"yyyymmdd")&amp;"|"&amp;TEXT($I4550,"0.00"))</f>
        <v/>
      </c>
      <c r="V4550" s="35" t="str">
        <f aca="false">IF($A4550="","",COUNTIF($U$8:$U$5007,$U4550))</f>
        <v/>
      </c>
    </row>
    <row r="4551" customFormat="false" ht="15" hidden="false" customHeight="false" outlineLevel="0" collapsed="false">
      <c r="A4551" s="31"/>
      <c r="B4551" s="32"/>
      <c r="C4551" s="32"/>
      <c r="D4551" s="32"/>
      <c r="E4551" s="32"/>
      <c r="F4551" s="32"/>
      <c r="G4551" s="33"/>
      <c r="H4551" s="33"/>
      <c r="I4551" s="34" t="str">
        <f aca="false">IF($A4551="","",$G4551-$H4551)</f>
        <v/>
      </c>
      <c r="J4551" s="35" t="str">
        <f aca="false">IF($A4551="","",IF(Setup!$B$6=1,YEAR($A4551),YEAR($A4551)+IF(MONTH($A4551)&gt;=Setup!$B$6,1,0)))</f>
        <v/>
      </c>
      <c r="K4551" s="35" t="str">
        <f aca="false">IF($A4551="","",MOD(MONTH($A4551)-Setup!$B$6+12,12)+1)</f>
        <v/>
      </c>
      <c r="L4551" s="36" t="str">
        <f aca="false">IF($A4551="","",TEXT($A4551,"MMM-YY"))</f>
        <v/>
      </c>
      <c r="M4551" s="37" t="str">
        <f aca="false">IF($A4551="","",IF($Q4551=0,"UNMAPPED",INDEX(COA_Mapping!$C$7:$C$256,$Q4551)))</f>
        <v/>
      </c>
      <c r="N4551" s="38" t="str">
        <f aca="false">IF($A4551="","",IF($Q4551=0,"",INDEX(COA_Mapping!$E$7:$E$256,$Q4551)))</f>
        <v/>
      </c>
      <c r="O4551" s="38" t="n">
        <f aca="false">IF($A4551="",1,IF($Q4551=0,1,INDEX(COA_Mapping!$F$7:$F$256,$Q4551)))</f>
        <v>1</v>
      </c>
      <c r="P4551" s="34" t="str">
        <f aca="false">IF($A4551="","",$I4551*$O4551)</f>
        <v/>
      </c>
      <c r="Q4551" s="39" t="n">
        <f aca="false">IF($B4551="",0,IFERROR(MATCH($B4551,COA_Mapping!$A$7:$A$256,0),0))</f>
        <v>0</v>
      </c>
      <c r="R4551" s="39" t="n">
        <f aca="false">IF($A4551="",-1,IF($J4551=Setup!$B$7,1,IF($J4551=Setup!$B$9,0,-1)))</f>
        <v>-1</v>
      </c>
      <c r="S4551" s="35" t="n">
        <f aca="false">IF(OR($A4551="",$Q4551=0,$R4551=-1),0,$Q4551*1000+$R4551*100+$K4551)</f>
        <v>0</v>
      </c>
      <c r="T4551" s="37" t="str">
        <f aca="false">IF($A4551="","",IF($B4551="","NO ACCOUNT",IF($Q4551=0,"UNMAPPED",IF($R4551=-1,"OUTSIDE FY RANGE","OK"))))</f>
        <v/>
      </c>
      <c r="U4551" s="40" t="str">
        <f aca="false">IF($A4551="","",$B4551&amp;"|"&amp;TEXT($A4551,"yyyymmdd")&amp;"|"&amp;TEXT($I4551,"0.00"))</f>
        <v/>
      </c>
      <c r="V4551" s="35" t="str">
        <f aca="false">IF($A4551="","",COUNTIF($U$8:$U$5007,$U4551))</f>
        <v/>
      </c>
    </row>
    <row r="4552" customFormat="false" ht="15" hidden="false" customHeight="false" outlineLevel="0" collapsed="false">
      <c r="A4552" s="31"/>
      <c r="B4552" s="32"/>
      <c r="C4552" s="32"/>
      <c r="D4552" s="32"/>
      <c r="E4552" s="32"/>
      <c r="F4552" s="32"/>
      <c r="G4552" s="33"/>
      <c r="H4552" s="33"/>
      <c r="I4552" s="34" t="str">
        <f aca="false">IF($A4552="","",$G4552-$H4552)</f>
        <v/>
      </c>
      <c r="J4552" s="35" t="str">
        <f aca="false">IF($A4552="","",IF(Setup!$B$6=1,YEAR($A4552),YEAR($A4552)+IF(MONTH($A4552)&gt;=Setup!$B$6,1,0)))</f>
        <v/>
      </c>
      <c r="K4552" s="35" t="str">
        <f aca="false">IF($A4552="","",MOD(MONTH($A4552)-Setup!$B$6+12,12)+1)</f>
        <v/>
      </c>
      <c r="L4552" s="36" t="str">
        <f aca="false">IF($A4552="","",TEXT($A4552,"MMM-YY"))</f>
        <v/>
      </c>
      <c r="M4552" s="37" t="str">
        <f aca="false">IF($A4552="","",IF($Q4552=0,"UNMAPPED",INDEX(COA_Mapping!$C$7:$C$256,$Q4552)))</f>
        <v/>
      </c>
      <c r="N4552" s="38" t="str">
        <f aca="false">IF($A4552="","",IF($Q4552=0,"",INDEX(COA_Mapping!$E$7:$E$256,$Q4552)))</f>
        <v/>
      </c>
      <c r="O4552" s="38" t="n">
        <f aca="false">IF($A4552="",1,IF($Q4552=0,1,INDEX(COA_Mapping!$F$7:$F$256,$Q4552)))</f>
        <v>1</v>
      </c>
      <c r="P4552" s="34" t="str">
        <f aca="false">IF($A4552="","",$I4552*$O4552)</f>
        <v/>
      </c>
      <c r="Q4552" s="39" t="n">
        <f aca="false">IF($B4552="",0,IFERROR(MATCH($B4552,COA_Mapping!$A$7:$A$256,0),0))</f>
        <v>0</v>
      </c>
      <c r="R4552" s="39" t="n">
        <f aca="false">IF($A4552="",-1,IF($J4552=Setup!$B$7,1,IF($J4552=Setup!$B$9,0,-1)))</f>
        <v>-1</v>
      </c>
      <c r="S4552" s="35" t="n">
        <f aca="false">IF(OR($A4552="",$Q4552=0,$R4552=-1),0,$Q4552*1000+$R4552*100+$K4552)</f>
        <v>0</v>
      </c>
      <c r="T4552" s="37" t="str">
        <f aca="false">IF($A4552="","",IF($B4552="","NO ACCOUNT",IF($Q4552=0,"UNMAPPED",IF($R4552=-1,"OUTSIDE FY RANGE","OK"))))</f>
        <v/>
      </c>
      <c r="U4552" s="40" t="str">
        <f aca="false">IF($A4552="","",$B4552&amp;"|"&amp;TEXT($A4552,"yyyymmdd")&amp;"|"&amp;TEXT($I4552,"0.00"))</f>
        <v/>
      </c>
      <c r="V4552" s="35" t="str">
        <f aca="false">IF($A4552="","",COUNTIF($U$8:$U$5007,$U4552))</f>
        <v/>
      </c>
    </row>
    <row r="4553" customFormat="false" ht="15" hidden="false" customHeight="false" outlineLevel="0" collapsed="false">
      <c r="A4553" s="31"/>
      <c r="B4553" s="32"/>
      <c r="C4553" s="32"/>
      <c r="D4553" s="32"/>
      <c r="E4553" s="32"/>
      <c r="F4553" s="32"/>
      <c r="G4553" s="33"/>
      <c r="H4553" s="33"/>
      <c r="I4553" s="34" t="str">
        <f aca="false">IF($A4553="","",$G4553-$H4553)</f>
        <v/>
      </c>
      <c r="J4553" s="35" t="str">
        <f aca="false">IF($A4553="","",IF(Setup!$B$6=1,YEAR($A4553),YEAR($A4553)+IF(MONTH($A4553)&gt;=Setup!$B$6,1,0)))</f>
        <v/>
      </c>
      <c r="K4553" s="35" t="str">
        <f aca="false">IF($A4553="","",MOD(MONTH($A4553)-Setup!$B$6+12,12)+1)</f>
        <v/>
      </c>
      <c r="L4553" s="36" t="str">
        <f aca="false">IF($A4553="","",TEXT($A4553,"MMM-YY"))</f>
        <v/>
      </c>
      <c r="M4553" s="37" t="str">
        <f aca="false">IF($A4553="","",IF($Q4553=0,"UNMAPPED",INDEX(COA_Mapping!$C$7:$C$256,$Q4553)))</f>
        <v/>
      </c>
      <c r="N4553" s="38" t="str">
        <f aca="false">IF($A4553="","",IF($Q4553=0,"",INDEX(COA_Mapping!$E$7:$E$256,$Q4553)))</f>
        <v/>
      </c>
      <c r="O4553" s="38" t="n">
        <f aca="false">IF($A4553="",1,IF($Q4553=0,1,INDEX(COA_Mapping!$F$7:$F$256,$Q4553)))</f>
        <v>1</v>
      </c>
      <c r="P4553" s="34" t="str">
        <f aca="false">IF($A4553="","",$I4553*$O4553)</f>
        <v/>
      </c>
      <c r="Q4553" s="39" t="n">
        <f aca="false">IF($B4553="",0,IFERROR(MATCH($B4553,COA_Mapping!$A$7:$A$256,0),0))</f>
        <v>0</v>
      </c>
      <c r="R4553" s="39" t="n">
        <f aca="false">IF($A4553="",-1,IF($J4553=Setup!$B$7,1,IF($J4553=Setup!$B$9,0,-1)))</f>
        <v>-1</v>
      </c>
      <c r="S4553" s="35" t="n">
        <f aca="false">IF(OR($A4553="",$Q4553=0,$R4553=-1),0,$Q4553*1000+$R4553*100+$K4553)</f>
        <v>0</v>
      </c>
      <c r="T4553" s="37" t="str">
        <f aca="false">IF($A4553="","",IF($B4553="","NO ACCOUNT",IF($Q4553=0,"UNMAPPED",IF($R4553=-1,"OUTSIDE FY RANGE","OK"))))</f>
        <v/>
      </c>
      <c r="U4553" s="40" t="str">
        <f aca="false">IF($A4553="","",$B4553&amp;"|"&amp;TEXT($A4553,"yyyymmdd")&amp;"|"&amp;TEXT($I4553,"0.00"))</f>
        <v/>
      </c>
      <c r="V4553" s="35" t="str">
        <f aca="false">IF($A4553="","",COUNTIF($U$8:$U$5007,$U4553))</f>
        <v/>
      </c>
    </row>
    <row r="4554" customFormat="false" ht="15" hidden="false" customHeight="false" outlineLevel="0" collapsed="false">
      <c r="A4554" s="31"/>
      <c r="B4554" s="32"/>
      <c r="C4554" s="32"/>
      <c r="D4554" s="32"/>
      <c r="E4554" s="32"/>
      <c r="F4554" s="32"/>
      <c r="G4554" s="33"/>
      <c r="H4554" s="33"/>
      <c r="I4554" s="34" t="str">
        <f aca="false">IF($A4554="","",$G4554-$H4554)</f>
        <v/>
      </c>
      <c r="J4554" s="35" t="str">
        <f aca="false">IF($A4554="","",IF(Setup!$B$6=1,YEAR($A4554),YEAR($A4554)+IF(MONTH($A4554)&gt;=Setup!$B$6,1,0)))</f>
        <v/>
      </c>
      <c r="K4554" s="35" t="str">
        <f aca="false">IF($A4554="","",MOD(MONTH($A4554)-Setup!$B$6+12,12)+1)</f>
        <v/>
      </c>
      <c r="L4554" s="36" t="str">
        <f aca="false">IF($A4554="","",TEXT($A4554,"MMM-YY"))</f>
        <v/>
      </c>
      <c r="M4554" s="37" t="str">
        <f aca="false">IF($A4554="","",IF($Q4554=0,"UNMAPPED",INDEX(COA_Mapping!$C$7:$C$256,$Q4554)))</f>
        <v/>
      </c>
      <c r="N4554" s="38" t="str">
        <f aca="false">IF($A4554="","",IF($Q4554=0,"",INDEX(COA_Mapping!$E$7:$E$256,$Q4554)))</f>
        <v/>
      </c>
      <c r="O4554" s="38" t="n">
        <f aca="false">IF($A4554="",1,IF($Q4554=0,1,INDEX(COA_Mapping!$F$7:$F$256,$Q4554)))</f>
        <v>1</v>
      </c>
      <c r="P4554" s="34" t="str">
        <f aca="false">IF($A4554="","",$I4554*$O4554)</f>
        <v/>
      </c>
      <c r="Q4554" s="39" t="n">
        <f aca="false">IF($B4554="",0,IFERROR(MATCH($B4554,COA_Mapping!$A$7:$A$256,0),0))</f>
        <v>0</v>
      </c>
      <c r="R4554" s="39" t="n">
        <f aca="false">IF($A4554="",-1,IF($J4554=Setup!$B$7,1,IF($J4554=Setup!$B$9,0,-1)))</f>
        <v>-1</v>
      </c>
      <c r="S4554" s="35" t="n">
        <f aca="false">IF(OR($A4554="",$Q4554=0,$R4554=-1),0,$Q4554*1000+$R4554*100+$K4554)</f>
        <v>0</v>
      </c>
      <c r="T4554" s="37" t="str">
        <f aca="false">IF($A4554="","",IF($B4554="","NO ACCOUNT",IF($Q4554=0,"UNMAPPED",IF($R4554=-1,"OUTSIDE FY RANGE","OK"))))</f>
        <v/>
      </c>
      <c r="U4554" s="40" t="str">
        <f aca="false">IF($A4554="","",$B4554&amp;"|"&amp;TEXT($A4554,"yyyymmdd")&amp;"|"&amp;TEXT($I4554,"0.00"))</f>
        <v/>
      </c>
      <c r="V4554" s="35" t="str">
        <f aca="false">IF($A4554="","",COUNTIF($U$8:$U$5007,$U4554))</f>
        <v/>
      </c>
    </row>
    <row r="4555" customFormat="false" ht="15" hidden="false" customHeight="false" outlineLevel="0" collapsed="false">
      <c r="A4555" s="31"/>
      <c r="B4555" s="32"/>
      <c r="C4555" s="32"/>
      <c r="D4555" s="32"/>
      <c r="E4555" s="32"/>
      <c r="F4555" s="32"/>
      <c r="G4555" s="33"/>
      <c r="H4555" s="33"/>
      <c r="I4555" s="34" t="str">
        <f aca="false">IF($A4555="","",$G4555-$H4555)</f>
        <v/>
      </c>
      <c r="J4555" s="35" t="str">
        <f aca="false">IF($A4555="","",IF(Setup!$B$6=1,YEAR($A4555),YEAR($A4555)+IF(MONTH($A4555)&gt;=Setup!$B$6,1,0)))</f>
        <v/>
      </c>
      <c r="K4555" s="35" t="str">
        <f aca="false">IF($A4555="","",MOD(MONTH($A4555)-Setup!$B$6+12,12)+1)</f>
        <v/>
      </c>
      <c r="L4555" s="36" t="str">
        <f aca="false">IF($A4555="","",TEXT($A4555,"MMM-YY"))</f>
        <v/>
      </c>
      <c r="M4555" s="37" t="str">
        <f aca="false">IF($A4555="","",IF($Q4555=0,"UNMAPPED",INDEX(COA_Mapping!$C$7:$C$256,$Q4555)))</f>
        <v/>
      </c>
      <c r="N4555" s="38" t="str">
        <f aca="false">IF($A4555="","",IF($Q4555=0,"",INDEX(COA_Mapping!$E$7:$E$256,$Q4555)))</f>
        <v/>
      </c>
      <c r="O4555" s="38" t="n">
        <f aca="false">IF($A4555="",1,IF($Q4555=0,1,INDEX(COA_Mapping!$F$7:$F$256,$Q4555)))</f>
        <v>1</v>
      </c>
      <c r="P4555" s="34" t="str">
        <f aca="false">IF($A4555="","",$I4555*$O4555)</f>
        <v/>
      </c>
      <c r="Q4555" s="39" t="n">
        <f aca="false">IF($B4555="",0,IFERROR(MATCH($B4555,COA_Mapping!$A$7:$A$256,0),0))</f>
        <v>0</v>
      </c>
      <c r="R4555" s="39" t="n">
        <f aca="false">IF($A4555="",-1,IF($J4555=Setup!$B$7,1,IF($J4555=Setup!$B$9,0,-1)))</f>
        <v>-1</v>
      </c>
      <c r="S4555" s="35" t="n">
        <f aca="false">IF(OR($A4555="",$Q4555=0,$R4555=-1),0,$Q4555*1000+$R4555*100+$K4555)</f>
        <v>0</v>
      </c>
      <c r="T4555" s="37" t="str">
        <f aca="false">IF($A4555="","",IF($B4555="","NO ACCOUNT",IF($Q4555=0,"UNMAPPED",IF($R4555=-1,"OUTSIDE FY RANGE","OK"))))</f>
        <v/>
      </c>
      <c r="U4555" s="40" t="str">
        <f aca="false">IF($A4555="","",$B4555&amp;"|"&amp;TEXT($A4555,"yyyymmdd")&amp;"|"&amp;TEXT($I4555,"0.00"))</f>
        <v/>
      </c>
      <c r="V4555" s="35" t="str">
        <f aca="false">IF($A4555="","",COUNTIF($U$8:$U$5007,$U4555))</f>
        <v/>
      </c>
    </row>
    <row r="4556" customFormat="false" ht="15" hidden="false" customHeight="false" outlineLevel="0" collapsed="false">
      <c r="A4556" s="31"/>
      <c r="B4556" s="32"/>
      <c r="C4556" s="32"/>
      <c r="D4556" s="32"/>
      <c r="E4556" s="32"/>
      <c r="F4556" s="32"/>
      <c r="G4556" s="33"/>
      <c r="H4556" s="33"/>
      <c r="I4556" s="34" t="str">
        <f aca="false">IF($A4556="","",$G4556-$H4556)</f>
        <v/>
      </c>
      <c r="J4556" s="35" t="str">
        <f aca="false">IF($A4556="","",IF(Setup!$B$6=1,YEAR($A4556),YEAR($A4556)+IF(MONTH($A4556)&gt;=Setup!$B$6,1,0)))</f>
        <v/>
      </c>
      <c r="K4556" s="35" t="str">
        <f aca="false">IF($A4556="","",MOD(MONTH($A4556)-Setup!$B$6+12,12)+1)</f>
        <v/>
      </c>
      <c r="L4556" s="36" t="str">
        <f aca="false">IF($A4556="","",TEXT($A4556,"MMM-YY"))</f>
        <v/>
      </c>
      <c r="M4556" s="37" t="str">
        <f aca="false">IF($A4556="","",IF($Q4556=0,"UNMAPPED",INDEX(COA_Mapping!$C$7:$C$256,$Q4556)))</f>
        <v/>
      </c>
      <c r="N4556" s="38" t="str">
        <f aca="false">IF($A4556="","",IF($Q4556=0,"",INDEX(COA_Mapping!$E$7:$E$256,$Q4556)))</f>
        <v/>
      </c>
      <c r="O4556" s="38" t="n">
        <f aca="false">IF($A4556="",1,IF($Q4556=0,1,INDEX(COA_Mapping!$F$7:$F$256,$Q4556)))</f>
        <v>1</v>
      </c>
      <c r="P4556" s="34" t="str">
        <f aca="false">IF($A4556="","",$I4556*$O4556)</f>
        <v/>
      </c>
      <c r="Q4556" s="39" t="n">
        <f aca="false">IF($B4556="",0,IFERROR(MATCH($B4556,COA_Mapping!$A$7:$A$256,0),0))</f>
        <v>0</v>
      </c>
      <c r="R4556" s="39" t="n">
        <f aca="false">IF($A4556="",-1,IF($J4556=Setup!$B$7,1,IF($J4556=Setup!$B$9,0,-1)))</f>
        <v>-1</v>
      </c>
      <c r="S4556" s="35" t="n">
        <f aca="false">IF(OR($A4556="",$Q4556=0,$R4556=-1),0,$Q4556*1000+$R4556*100+$K4556)</f>
        <v>0</v>
      </c>
      <c r="T4556" s="37" t="str">
        <f aca="false">IF($A4556="","",IF($B4556="","NO ACCOUNT",IF($Q4556=0,"UNMAPPED",IF($R4556=-1,"OUTSIDE FY RANGE","OK"))))</f>
        <v/>
      </c>
      <c r="U4556" s="40" t="str">
        <f aca="false">IF($A4556="","",$B4556&amp;"|"&amp;TEXT($A4556,"yyyymmdd")&amp;"|"&amp;TEXT($I4556,"0.00"))</f>
        <v/>
      </c>
      <c r="V4556" s="35" t="str">
        <f aca="false">IF($A4556="","",COUNTIF($U$8:$U$5007,$U4556))</f>
        <v/>
      </c>
    </row>
    <row r="4557" customFormat="false" ht="15" hidden="false" customHeight="false" outlineLevel="0" collapsed="false">
      <c r="A4557" s="31"/>
      <c r="B4557" s="32"/>
      <c r="C4557" s="32"/>
      <c r="D4557" s="32"/>
      <c r="E4557" s="32"/>
      <c r="F4557" s="32"/>
      <c r="G4557" s="33"/>
      <c r="H4557" s="33"/>
      <c r="I4557" s="34" t="str">
        <f aca="false">IF($A4557="","",$G4557-$H4557)</f>
        <v/>
      </c>
      <c r="J4557" s="35" t="str">
        <f aca="false">IF($A4557="","",IF(Setup!$B$6=1,YEAR($A4557),YEAR($A4557)+IF(MONTH($A4557)&gt;=Setup!$B$6,1,0)))</f>
        <v/>
      </c>
      <c r="K4557" s="35" t="str">
        <f aca="false">IF($A4557="","",MOD(MONTH($A4557)-Setup!$B$6+12,12)+1)</f>
        <v/>
      </c>
      <c r="L4557" s="36" t="str">
        <f aca="false">IF($A4557="","",TEXT($A4557,"MMM-YY"))</f>
        <v/>
      </c>
      <c r="M4557" s="37" t="str">
        <f aca="false">IF($A4557="","",IF($Q4557=0,"UNMAPPED",INDEX(COA_Mapping!$C$7:$C$256,$Q4557)))</f>
        <v/>
      </c>
      <c r="N4557" s="38" t="str">
        <f aca="false">IF($A4557="","",IF($Q4557=0,"",INDEX(COA_Mapping!$E$7:$E$256,$Q4557)))</f>
        <v/>
      </c>
      <c r="O4557" s="38" t="n">
        <f aca="false">IF($A4557="",1,IF($Q4557=0,1,INDEX(COA_Mapping!$F$7:$F$256,$Q4557)))</f>
        <v>1</v>
      </c>
      <c r="P4557" s="34" t="str">
        <f aca="false">IF($A4557="","",$I4557*$O4557)</f>
        <v/>
      </c>
      <c r="Q4557" s="39" t="n">
        <f aca="false">IF($B4557="",0,IFERROR(MATCH($B4557,COA_Mapping!$A$7:$A$256,0),0))</f>
        <v>0</v>
      </c>
      <c r="R4557" s="39" t="n">
        <f aca="false">IF($A4557="",-1,IF($J4557=Setup!$B$7,1,IF($J4557=Setup!$B$9,0,-1)))</f>
        <v>-1</v>
      </c>
      <c r="S4557" s="35" t="n">
        <f aca="false">IF(OR($A4557="",$Q4557=0,$R4557=-1),0,$Q4557*1000+$R4557*100+$K4557)</f>
        <v>0</v>
      </c>
      <c r="T4557" s="37" t="str">
        <f aca="false">IF($A4557="","",IF($B4557="","NO ACCOUNT",IF($Q4557=0,"UNMAPPED",IF($R4557=-1,"OUTSIDE FY RANGE","OK"))))</f>
        <v/>
      </c>
      <c r="U4557" s="40" t="str">
        <f aca="false">IF($A4557="","",$B4557&amp;"|"&amp;TEXT($A4557,"yyyymmdd")&amp;"|"&amp;TEXT($I4557,"0.00"))</f>
        <v/>
      </c>
      <c r="V4557" s="35" t="str">
        <f aca="false">IF($A4557="","",COUNTIF($U$8:$U$5007,$U4557))</f>
        <v/>
      </c>
    </row>
    <row r="4558" customFormat="false" ht="15" hidden="false" customHeight="false" outlineLevel="0" collapsed="false">
      <c r="A4558" s="31"/>
      <c r="B4558" s="32"/>
      <c r="C4558" s="32"/>
      <c r="D4558" s="32"/>
      <c r="E4558" s="32"/>
      <c r="F4558" s="32"/>
      <c r="G4558" s="33"/>
      <c r="H4558" s="33"/>
      <c r="I4558" s="34" t="str">
        <f aca="false">IF($A4558="","",$G4558-$H4558)</f>
        <v/>
      </c>
      <c r="J4558" s="35" t="str">
        <f aca="false">IF($A4558="","",IF(Setup!$B$6=1,YEAR($A4558),YEAR($A4558)+IF(MONTH($A4558)&gt;=Setup!$B$6,1,0)))</f>
        <v/>
      </c>
      <c r="K4558" s="35" t="str">
        <f aca="false">IF($A4558="","",MOD(MONTH($A4558)-Setup!$B$6+12,12)+1)</f>
        <v/>
      </c>
      <c r="L4558" s="36" t="str">
        <f aca="false">IF($A4558="","",TEXT($A4558,"MMM-YY"))</f>
        <v/>
      </c>
      <c r="M4558" s="37" t="str">
        <f aca="false">IF($A4558="","",IF($Q4558=0,"UNMAPPED",INDEX(COA_Mapping!$C$7:$C$256,$Q4558)))</f>
        <v/>
      </c>
      <c r="N4558" s="38" t="str">
        <f aca="false">IF($A4558="","",IF($Q4558=0,"",INDEX(COA_Mapping!$E$7:$E$256,$Q4558)))</f>
        <v/>
      </c>
      <c r="O4558" s="38" t="n">
        <f aca="false">IF($A4558="",1,IF($Q4558=0,1,INDEX(COA_Mapping!$F$7:$F$256,$Q4558)))</f>
        <v>1</v>
      </c>
      <c r="P4558" s="34" t="str">
        <f aca="false">IF($A4558="","",$I4558*$O4558)</f>
        <v/>
      </c>
      <c r="Q4558" s="39" t="n">
        <f aca="false">IF($B4558="",0,IFERROR(MATCH($B4558,COA_Mapping!$A$7:$A$256,0),0))</f>
        <v>0</v>
      </c>
      <c r="R4558" s="39" t="n">
        <f aca="false">IF($A4558="",-1,IF($J4558=Setup!$B$7,1,IF($J4558=Setup!$B$9,0,-1)))</f>
        <v>-1</v>
      </c>
      <c r="S4558" s="35" t="n">
        <f aca="false">IF(OR($A4558="",$Q4558=0,$R4558=-1),0,$Q4558*1000+$R4558*100+$K4558)</f>
        <v>0</v>
      </c>
      <c r="T4558" s="37" t="str">
        <f aca="false">IF($A4558="","",IF($B4558="","NO ACCOUNT",IF($Q4558=0,"UNMAPPED",IF($R4558=-1,"OUTSIDE FY RANGE","OK"))))</f>
        <v/>
      </c>
      <c r="U4558" s="40" t="str">
        <f aca="false">IF($A4558="","",$B4558&amp;"|"&amp;TEXT($A4558,"yyyymmdd")&amp;"|"&amp;TEXT($I4558,"0.00"))</f>
        <v/>
      </c>
      <c r="V4558" s="35" t="str">
        <f aca="false">IF($A4558="","",COUNTIF($U$8:$U$5007,$U4558))</f>
        <v/>
      </c>
    </row>
    <row r="4559" customFormat="false" ht="15" hidden="false" customHeight="false" outlineLevel="0" collapsed="false">
      <c r="A4559" s="31"/>
      <c r="B4559" s="32"/>
      <c r="C4559" s="32"/>
      <c r="D4559" s="32"/>
      <c r="E4559" s="32"/>
      <c r="F4559" s="32"/>
      <c r="G4559" s="33"/>
      <c r="H4559" s="33"/>
      <c r="I4559" s="34" t="str">
        <f aca="false">IF($A4559="","",$G4559-$H4559)</f>
        <v/>
      </c>
      <c r="J4559" s="35" t="str">
        <f aca="false">IF($A4559="","",IF(Setup!$B$6=1,YEAR($A4559),YEAR($A4559)+IF(MONTH($A4559)&gt;=Setup!$B$6,1,0)))</f>
        <v/>
      </c>
      <c r="K4559" s="35" t="str">
        <f aca="false">IF($A4559="","",MOD(MONTH($A4559)-Setup!$B$6+12,12)+1)</f>
        <v/>
      </c>
      <c r="L4559" s="36" t="str">
        <f aca="false">IF($A4559="","",TEXT($A4559,"MMM-YY"))</f>
        <v/>
      </c>
      <c r="M4559" s="37" t="str">
        <f aca="false">IF($A4559="","",IF($Q4559=0,"UNMAPPED",INDEX(COA_Mapping!$C$7:$C$256,$Q4559)))</f>
        <v/>
      </c>
      <c r="N4559" s="38" t="str">
        <f aca="false">IF($A4559="","",IF($Q4559=0,"",INDEX(COA_Mapping!$E$7:$E$256,$Q4559)))</f>
        <v/>
      </c>
      <c r="O4559" s="38" t="n">
        <f aca="false">IF($A4559="",1,IF($Q4559=0,1,INDEX(COA_Mapping!$F$7:$F$256,$Q4559)))</f>
        <v>1</v>
      </c>
      <c r="P4559" s="34" t="str">
        <f aca="false">IF($A4559="","",$I4559*$O4559)</f>
        <v/>
      </c>
      <c r="Q4559" s="39" t="n">
        <f aca="false">IF($B4559="",0,IFERROR(MATCH($B4559,COA_Mapping!$A$7:$A$256,0),0))</f>
        <v>0</v>
      </c>
      <c r="R4559" s="39" t="n">
        <f aca="false">IF($A4559="",-1,IF($J4559=Setup!$B$7,1,IF($J4559=Setup!$B$9,0,-1)))</f>
        <v>-1</v>
      </c>
      <c r="S4559" s="35" t="n">
        <f aca="false">IF(OR($A4559="",$Q4559=0,$R4559=-1),0,$Q4559*1000+$R4559*100+$K4559)</f>
        <v>0</v>
      </c>
      <c r="T4559" s="37" t="str">
        <f aca="false">IF($A4559="","",IF($B4559="","NO ACCOUNT",IF($Q4559=0,"UNMAPPED",IF($R4559=-1,"OUTSIDE FY RANGE","OK"))))</f>
        <v/>
      </c>
      <c r="U4559" s="40" t="str">
        <f aca="false">IF($A4559="","",$B4559&amp;"|"&amp;TEXT($A4559,"yyyymmdd")&amp;"|"&amp;TEXT($I4559,"0.00"))</f>
        <v/>
      </c>
      <c r="V4559" s="35" t="str">
        <f aca="false">IF($A4559="","",COUNTIF($U$8:$U$5007,$U4559))</f>
        <v/>
      </c>
    </row>
    <row r="4560" customFormat="false" ht="15" hidden="false" customHeight="false" outlineLevel="0" collapsed="false">
      <c r="A4560" s="31"/>
      <c r="B4560" s="32"/>
      <c r="C4560" s="32"/>
      <c r="D4560" s="32"/>
      <c r="E4560" s="32"/>
      <c r="F4560" s="32"/>
      <c r="G4560" s="33"/>
      <c r="H4560" s="33"/>
      <c r="I4560" s="34" t="str">
        <f aca="false">IF($A4560="","",$G4560-$H4560)</f>
        <v/>
      </c>
      <c r="J4560" s="35" t="str">
        <f aca="false">IF($A4560="","",IF(Setup!$B$6=1,YEAR($A4560),YEAR($A4560)+IF(MONTH($A4560)&gt;=Setup!$B$6,1,0)))</f>
        <v/>
      </c>
      <c r="K4560" s="35" t="str">
        <f aca="false">IF($A4560="","",MOD(MONTH($A4560)-Setup!$B$6+12,12)+1)</f>
        <v/>
      </c>
      <c r="L4560" s="36" t="str">
        <f aca="false">IF($A4560="","",TEXT($A4560,"MMM-YY"))</f>
        <v/>
      </c>
      <c r="M4560" s="37" t="str">
        <f aca="false">IF($A4560="","",IF($Q4560=0,"UNMAPPED",INDEX(COA_Mapping!$C$7:$C$256,$Q4560)))</f>
        <v/>
      </c>
      <c r="N4560" s="38" t="str">
        <f aca="false">IF($A4560="","",IF($Q4560=0,"",INDEX(COA_Mapping!$E$7:$E$256,$Q4560)))</f>
        <v/>
      </c>
      <c r="O4560" s="38" t="n">
        <f aca="false">IF($A4560="",1,IF($Q4560=0,1,INDEX(COA_Mapping!$F$7:$F$256,$Q4560)))</f>
        <v>1</v>
      </c>
      <c r="P4560" s="34" t="str">
        <f aca="false">IF($A4560="","",$I4560*$O4560)</f>
        <v/>
      </c>
      <c r="Q4560" s="39" t="n">
        <f aca="false">IF($B4560="",0,IFERROR(MATCH($B4560,COA_Mapping!$A$7:$A$256,0),0))</f>
        <v>0</v>
      </c>
      <c r="R4560" s="39" t="n">
        <f aca="false">IF($A4560="",-1,IF($J4560=Setup!$B$7,1,IF($J4560=Setup!$B$9,0,-1)))</f>
        <v>-1</v>
      </c>
      <c r="S4560" s="35" t="n">
        <f aca="false">IF(OR($A4560="",$Q4560=0,$R4560=-1),0,$Q4560*1000+$R4560*100+$K4560)</f>
        <v>0</v>
      </c>
      <c r="T4560" s="37" t="str">
        <f aca="false">IF($A4560="","",IF($B4560="","NO ACCOUNT",IF($Q4560=0,"UNMAPPED",IF($R4560=-1,"OUTSIDE FY RANGE","OK"))))</f>
        <v/>
      </c>
      <c r="U4560" s="40" t="str">
        <f aca="false">IF($A4560="","",$B4560&amp;"|"&amp;TEXT($A4560,"yyyymmdd")&amp;"|"&amp;TEXT($I4560,"0.00"))</f>
        <v/>
      </c>
      <c r="V4560" s="35" t="str">
        <f aca="false">IF($A4560="","",COUNTIF($U$8:$U$5007,$U4560))</f>
        <v/>
      </c>
    </row>
    <row r="4561" customFormat="false" ht="15" hidden="false" customHeight="false" outlineLevel="0" collapsed="false">
      <c r="A4561" s="31"/>
      <c r="B4561" s="32"/>
      <c r="C4561" s="32"/>
      <c r="D4561" s="32"/>
      <c r="E4561" s="32"/>
      <c r="F4561" s="32"/>
      <c r="G4561" s="33"/>
      <c r="H4561" s="33"/>
      <c r="I4561" s="34" t="str">
        <f aca="false">IF($A4561="","",$G4561-$H4561)</f>
        <v/>
      </c>
      <c r="J4561" s="35" t="str">
        <f aca="false">IF($A4561="","",IF(Setup!$B$6=1,YEAR($A4561),YEAR($A4561)+IF(MONTH($A4561)&gt;=Setup!$B$6,1,0)))</f>
        <v/>
      </c>
      <c r="K4561" s="35" t="str">
        <f aca="false">IF($A4561="","",MOD(MONTH($A4561)-Setup!$B$6+12,12)+1)</f>
        <v/>
      </c>
      <c r="L4561" s="36" t="str">
        <f aca="false">IF($A4561="","",TEXT($A4561,"MMM-YY"))</f>
        <v/>
      </c>
      <c r="M4561" s="37" t="str">
        <f aca="false">IF($A4561="","",IF($Q4561=0,"UNMAPPED",INDEX(COA_Mapping!$C$7:$C$256,$Q4561)))</f>
        <v/>
      </c>
      <c r="N4561" s="38" t="str">
        <f aca="false">IF($A4561="","",IF($Q4561=0,"",INDEX(COA_Mapping!$E$7:$E$256,$Q4561)))</f>
        <v/>
      </c>
      <c r="O4561" s="38" t="n">
        <f aca="false">IF($A4561="",1,IF($Q4561=0,1,INDEX(COA_Mapping!$F$7:$F$256,$Q4561)))</f>
        <v>1</v>
      </c>
      <c r="P4561" s="34" t="str">
        <f aca="false">IF($A4561="","",$I4561*$O4561)</f>
        <v/>
      </c>
      <c r="Q4561" s="39" t="n">
        <f aca="false">IF($B4561="",0,IFERROR(MATCH($B4561,COA_Mapping!$A$7:$A$256,0),0))</f>
        <v>0</v>
      </c>
      <c r="R4561" s="39" t="n">
        <f aca="false">IF($A4561="",-1,IF($J4561=Setup!$B$7,1,IF($J4561=Setup!$B$9,0,-1)))</f>
        <v>-1</v>
      </c>
      <c r="S4561" s="35" t="n">
        <f aca="false">IF(OR($A4561="",$Q4561=0,$R4561=-1),0,$Q4561*1000+$R4561*100+$K4561)</f>
        <v>0</v>
      </c>
      <c r="T4561" s="37" t="str">
        <f aca="false">IF($A4561="","",IF($B4561="","NO ACCOUNT",IF($Q4561=0,"UNMAPPED",IF($R4561=-1,"OUTSIDE FY RANGE","OK"))))</f>
        <v/>
      </c>
      <c r="U4561" s="40" t="str">
        <f aca="false">IF($A4561="","",$B4561&amp;"|"&amp;TEXT($A4561,"yyyymmdd")&amp;"|"&amp;TEXT($I4561,"0.00"))</f>
        <v/>
      </c>
      <c r="V4561" s="35" t="str">
        <f aca="false">IF($A4561="","",COUNTIF($U$8:$U$5007,$U4561))</f>
        <v/>
      </c>
    </row>
    <row r="4562" customFormat="false" ht="15" hidden="false" customHeight="false" outlineLevel="0" collapsed="false">
      <c r="A4562" s="31"/>
      <c r="B4562" s="32"/>
      <c r="C4562" s="32"/>
      <c r="D4562" s="32"/>
      <c r="E4562" s="32"/>
      <c r="F4562" s="32"/>
      <c r="G4562" s="33"/>
      <c r="H4562" s="33"/>
      <c r="I4562" s="34" t="str">
        <f aca="false">IF($A4562="","",$G4562-$H4562)</f>
        <v/>
      </c>
      <c r="J4562" s="35" t="str">
        <f aca="false">IF($A4562="","",IF(Setup!$B$6=1,YEAR($A4562),YEAR($A4562)+IF(MONTH($A4562)&gt;=Setup!$B$6,1,0)))</f>
        <v/>
      </c>
      <c r="K4562" s="35" t="str">
        <f aca="false">IF($A4562="","",MOD(MONTH($A4562)-Setup!$B$6+12,12)+1)</f>
        <v/>
      </c>
      <c r="L4562" s="36" t="str">
        <f aca="false">IF($A4562="","",TEXT($A4562,"MMM-YY"))</f>
        <v/>
      </c>
      <c r="M4562" s="37" t="str">
        <f aca="false">IF($A4562="","",IF($Q4562=0,"UNMAPPED",INDEX(COA_Mapping!$C$7:$C$256,$Q4562)))</f>
        <v/>
      </c>
      <c r="N4562" s="38" t="str">
        <f aca="false">IF($A4562="","",IF($Q4562=0,"",INDEX(COA_Mapping!$E$7:$E$256,$Q4562)))</f>
        <v/>
      </c>
      <c r="O4562" s="38" t="n">
        <f aca="false">IF($A4562="",1,IF($Q4562=0,1,INDEX(COA_Mapping!$F$7:$F$256,$Q4562)))</f>
        <v>1</v>
      </c>
      <c r="P4562" s="34" t="str">
        <f aca="false">IF($A4562="","",$I4562*$O4562)</f>
        <v/>
      </c>
      <c r="Q4562" s="39" t="n">
        <f aca="false">IF($B4562="",0,IFERROR(MATCH($B4562,COA_Mapping!$A$7:$A$256,0),0))</f>
        <v>0</v>
      </c>
      <c r="R4562" s="39" t="n">
        <f aca="false">IF($A4562="",-1,IF($J4562=Setup!$B$7,1,IF($J4562=Setup!$B$9,0,-1)))</f>
        <v>-1</v>
      </c>
      <c r="S4562" s="35" t="n">
        <f aca="false">IF(OR($A4562="",$Q4562=0,$R4562=-1),0,$Q4562*1000+$R4562*100+$K4562)</f>
        <v>0</v>
      </c>
      <c r="T4562" s="37" t="str">
        <f aca="false">IF($A4562="","",IF($B4562="","NO ACCOUNT",IF($Q4562=0,"UNMAPPED",IF($R4562=-1,"OUTSIDE FY RANGE","OK"))))</f>
        <v/>
      </c>
      <c r="U4562" s="40" t="str">
        <f aca="false">IF($A4562="","",$B4562&amp;"|"&amp;TEXT($A4562,"yyyymmdd")&amp;"|"&amp;TEXT($I4562,"0.00"))</f>
        <v/>
      </c>
      <c r="V4562" s="35" t="str">
        <f aca="false">IF($A4562="","",COUNTIF($U$8:$U$5007,$U4562))</f>
        <v/>
      </c>
    </row>
    <row r="4563" customFormat="false" ht="15" hidden="false" customHeight="false" outlineLevel="0" collapsed="false">
      <c r="A4563" s="31"/>
      <c r="B4563" s="32"/>
      <c r="C4563" s="32"/>
      <c r="D4563" s="32"/>
      <c r="E4563" s="32"/>
      <c r="F4563" s="32"/>
      <c r="G4563" s="33"/>
      <c r="H4563" s="33"/>
      <c r="I4563" s="34" t="str">
        <f aca="false">IF($A4563="","",$G4563-$H4563)</f>
        <v/>
      </c>
      <c r="J4563" s="35" t="str">
        <f aca="false">IF($A4563="","",IF(Setup!$B$6=1,YEAR($A4563),YEAR($A4563)+IF(MONTH($A4563)&gt;=Setup!$B$6,1,0)))</f>
        <v/>
      </c>
      <c r="K4563" s="35" t="str">
        <f aca="false">IF($A4563="","",MOD(MONTH($A4563)-Setup!$B$6+12,12)+1)</f>
        <v/>
      </c>
      <c r="L4563" s="36" t="str">
        <f aca="false">IF($A4563="","",TEXT($A4563,"MMM-YY"))</f>
        <v/>
      </c>
      <c r="M4563" s="37" t="str">
        <f aca="false">IF($A4563="","",IF($Q4563=0,"UNMAPPED",INDEX(COA_Mapping!$C$7:$C$256,$Q4563)))</f>
        <v/>
      </c>
      <c r="N4563" s="38" t="str">
        <f aca="false">IF($A4563="","",IF($Q4563=0,"",INDEX(COA_Mapping!$E$7:$E$256,$Q4563)))</f>
        <v/>
      </c>
      <c r="O4563" s="38" t="n">
        <f aca="false">IF($A4563="",1,IF($Q4563=0,1,INDEX(COA_Mapping!$F$7:$F$256,$Q4563)))</f>
        <v>1</v>
      </c>
      <c r="P4563" s="34" t="str">
        <f aca="false">IF($A4563="","",$I4563*$O4563)</f>
        <v/>
      </c>
      <c r="Q4563" s="39" t="n">
        <f aca="false">IF($B4563="",0,IFERROR(MATCH($B4563,COA_Mapping!$A$7:$A$256,0),0))</f>
        <v>0</v>
      </c>
      <c r="R4563" s="39" t="n">
        <f aca="false">IF($A4563="",-1,IF($J4563=Setup!$B$7,1,IF($J4563=Setup!$B$9,0,-1)))</f>
        <v>-1</v>
      </c>
      <c r="S4563" s="35" t="n">
        <f aca="false">IF(OR($A4563="",$Q4563=0,$R4563=-1),0,$Q4563*1000+$R4563*100+$K4563)</f>
        <v>0</v>
      </c>
      <c r="T4563" s="37" t="str">
        <f aca="false">IF($A4563="","",IF($B4563="","NO ACCOUNT",IF($Q4563=0,"UNMAPPED",IF($R4563=-1,"OUTSIDE FY RANGE","OK"))))</f>
        <v/>
      </c>
      <c r="U4563" s="40" t="str">
        <f aca="false">IF($A4563="","",$B4563&amp;"|"&amp;TEXT($A4563,"yyyymmdd")&amp;"|"&amp;TEXT($I4563,"0.00"))</f>
        <v/>
      </c>
      <c r="V4563" s="35" t="str">
        <f aca="false">IF($A4563="","",COUNTIF($U$8:$U$5007,$U4563))</f>
        <v/>
      </c>
    </row>
    <row r="4564" customFormat="false" ht="15" hidden="false" customHeight="false" outlineLevel="0" collapsed="false">
      <c r="A4564" s="31"/>
      <c r="B4564" s="32"/>
      <c r="C4564" s="32"/>
      <c r="D4564" s="32"/>
      <c r="E4564" s="32"/>
      <c r="F4564" s="32"/>
      <c r="G4564" s="33"/>
      <c r="H4564" s="33"/>
      <c r="I4564" s="34" t="str">
        <f aca="false">IF($A4564="","",$G4564-$H4564)</f>
        <v/>
      </c>
      <c r="J4564" s="35" t="str">
        <f aca="false">IF($A4564="","",IF(Setup!$B$6=1,YEAR($A4564),YEAR($A4564)+IF(MONTH($A4564)&gt;=Setup!$B$6,1,0)))</f>
        <v/>
      </c>
      <c r="K4564" s="35" t="str">
        <f aca="false">IF($A4564="","",MOD(MONTH($A4564)-Setup!$B$6+12,12)+1)</f>
        <v/>
      </c>
      <c r="L4564" s="36" t="str">
        <f aca="false">IF($A4564="","",TEXT($A4564,"MMM-YY"))</f>
        <v/>
      </c>
      <c r="M4564" s="37" t="str">
        <f aca="false">IF($A4564="","",IF($Q4564=0,"UNMAPPED",INDEX(COA_Mapping!$C$7:$C$256,$Q4564)))</f>
        <v/>
      </c>
      <c r="N4564" s="38" t="str">
        <f aca="false">IF($A4564="","",IF($Q4564=0,"",INDEX(COA_Mapping!$E$7:$E$256,$Q4564)))</f>
        <v/>
      </c>
      <c r="O4564" s="38" t="n">
        <f aca="false">IF($A4564="",1,IF($Q4564=0,1,INDEX(COA_Mapping!$F$7:$F$256,$Q4564)))</f>
        <v>1</v>
      </c>
      <c r="P4564" s="34" t="str">
        <f aca="false">IF($A4564="","",$I4564*$O4564)</f>
        <v/>
      </c>
      <c r="Q4564" s="39" t="n">
        <f aca="false">IF($B4564="",0,IFERROR(MATCH($B4564,COA_Mapping!$A$7:$A$256,0),0))</f>
        <v>0</v>
      </c>
      <c r="R4564" s="39" t="n">
        <f aca="false">IF($A4564="",-1,IF($J4564=Setup!$B$7,1,IF($J4564=Setup!$B$9,0,-1)))</f>
        <v>-1</v>
      </c>
      <c r="S4564" s="35" t="n">
        <f aca="false">IF(OR($A4564="",$Q4564=0,$R4564=-1),0,$Q4564*1000+$R4564*100+$K4564)</f>
        <v>0</v>
      </c>
      <c r="T4564" s="37" t="str">
        <f aca="false">IF($A4564="","",IF($B4564="","NO ACCOUNT",IF($Q4564=0,"UNMAPPED",IF($R4564=-1,"OUTSIDE FY RANGE","OK"))))</f>
        <v/>
      </c>
      <c r="U4564" s="40" t="str">
        <f aca="false">IF($A4564="","",$B4564&amp;"|"&amp;TEXT($A4564,"yyyymmdd")&amp;"|"&amp;TEXT($I4564,"0.00"))</f>
        <v/>
      </c>
      <c r="V4564" s="35" t="str">
        <f aca="false">IF($A4564="","",COUNTIF($U$8:$U$5007,$U4564))</f>
        <v/>
      </c>
    </row>
    <row r="4565" customFormat="false" ht="15" hidden="false" customHeight="false" outlineLevel="0" collapsed="false">
      <c r="A4565" s="31"/>
      <c r="B4565" s="32"/>
      <c r="C4565" s="32"/>
      <c r="D4565" s="32"/>
      <c r="E4565" s="32"/>
      <c r="F4565" s="32"/>
      <c r="G4565" s="33"/>
      <c r="H4565" s="33"/>
      <c r="I4565" s="34" t="str">
        <f aca="false">IF($A4565="","",$G4565-$H4565)</f>
        <v/>
      </c>
      <c r="J4565" s="35" t="str">
        <f aca="false">IF($A4565="","",IF(Setup!$B$6=1,YEAR($A4565),YEAR($A4565)+IF(MONTH($A4565)&gt;=Setup!$B$6,1,0)))</f>
        <v/>
      </c>
      <c r="K4565" s="35" t="str">
        <f aca="false">IF($A4565="","",MOD(MONTH($A4565)-Setup!$B$6+12,12)+1)</f>
        <v/>
      </c>
      <c r="L4565" s="36" t="str">
        <f aca="false">IF($A4565="","",TEXT($A4565,"MMM-YY"))</f>
        <v/>
      </c>
      <c r="M4565" s="37" t="str">
        <f aca="false">IF($A4565="","",IF($Q4565=0,"UNMAPPED",INDEX(COA_Mapping!$C$7:$C$256,$Q4565)))</f>
        <v/>
      </c>
      <c r="N4565" s="38" t="str">
        <f aca="false">IF($A4565="","",IF($Q4565=0,"",INDEX(COA_Mapping!$E$7:$E$256,$Q4565)))</f>
        <v/>
      </c>
      <c r="O4565" s="38" t="n">
        <f aca="false">IF($A4565="",1,IF($Q4565=0,1,INDEX(COA_Mapping!$F$7:$F$256,$Q4565)))</f>
        <v>1</v>
      </c>
      <c r="P4565" s="34" t="str">
        <f aca="false">IF($A4565="","",$I4565*$O4565)</f>
        <v/>
      </c>
      <c r="Q4565" s="39" t="n">
        <f aca="false">IF($B4565="",0,IFERROR(MATCH($B4565,COA_Mapping!$A$7:$A$256,0),0))</f>
        <v>0</v>
      </c>
      <c r="R4565" s="39" t="n">
        <f aca="false">IF($A4565="",-1,IF($J4565=Setup!$B$7,1,IF($J4565=Setup!$B$9,0,-1)))</f>
        <v>-1</v>
      </c>
      <c r="S4565" s="35" t="n">
        <f aca="false">IF(OR($A4565="",$Q4565=0,$R4565=-1),0,$Q4565*1000+$R4565*100+$K4565)</f>
        <v>0</v>
      </c>
      <c r="T4565" s="37" t="str">
        <f aca="false">IF($A4565="","",IF($B4565="","NO ACCOUNT",IF($Q4565=0,"UNMAPPED",IF($R4565=-1,"OUTSIDE FY RANGE","OK"))))</f>
        <v/>
      </c>
      <c r="U4565" s="40" t="str">
        <f aca="false">IF($A4565="","",$B4565&amp;"|"&amp;TEXT($A4565,"yyyymmdd")&amp;"|"&amp;TEXT($I4565,"0.00"))</f>
        <v/>
      </c>
      <c r="V4565" s="35" t="str">
        <f aca="false">IF($A4565="","",COUNTIF($U$8:$U$5007,$U4565))</f>
        <v/>
      </c>
    </row>
    <row r="4566" customFormat="false" ht="15" hidden="false" customHeight="false" outlineLevel="0" collapsed="false">
      <c r="A4566" s="31"/>
      <c r="B4566" s="32"/>
      <c r="C4566" s="32"/>
      <c r="D4566" s="32"/>
      <c r="E4566" s="32"/>
      <c r="F4566" s="32"/>
      <c r="G4566" s="33"/>
      <c r="H4566" s="33"/>
      <c r="I4566" s="34" t="str">
        <f aca="false">IF($A4566="","",$G4566-$H4566)</f>
        <v/>
      </c>
      <c r="J4566" s="35" t="str">
        <f aca="false">IF($A4566="","",IF(Setup!$B$6=1,YEAR($A4566),YEAR($A4566)+IF(MONTH($A4566)&gt;=Setup!$B$6,1,0)))</f>
        <v/>
      </c>
      <c r="K4566" s="35" t="str">
        <f aca="false">IF($A4566="","",MOD(MONTH($A4566)-Setup!$B$6+12,12)+1)</f>
        <v/>
      </c>
      <c r="L4566" s="36" t="str">
        <f aca="false">IF($A4566="","",TEXT($A4566,"MMM-YY"))</f>
        <v/>
      </c>
      <c r="M4566" s="37" t="str">
        <f aca="false">IF($A4566="","",IF($Q4566=0,"UNMAPPED",INDEX(COA_Mapping!$C$7:$C$256,$Q4566)))</f>
        <v/>
      </c>
      <c r="N4566" s="38" t="str">
        <f aca="false">IF($A4566="","",IF($Q4566=0,"",INDEX(COA_Mapping!$E$7:$E$256,$Q4566)))</f>
        <v/>
      </c>
      <c r="O4566" s="38" t="n">
        <f aca="false">IF($A4566="",1,IF($Q4566=0,1,INDEX(COA_Mapping!$F$7:$F$256,$Q4566)))</f>
        <v>1</v>
      </c>
      <c r="P4566" s="34" t="str">
        <f aca="false">IF($A4566="","",$I4566*$O4566)</f>
        <v/>
      </c>
      <c r="Q4566" s="39" t="n">
        <f aca="false">IF($B4566="",0,IFERROR(MATCH($B4566,COA_Mapping!$A$7:$A$256,0),0))</f>
        <v>0</v>
      </c>
      <c r="R4566" s="39" t="n">
        <f aca="false">IF($A4566="",-1,IF($J4566=Setup!$B$7,1,IF($J4566=Setup!$B$9,0,-1)))</f>
        <v>-1</v>
      </c>
      <c r="S4566" s="35" t="n">
        <f aca="false">IF(OR($A4566="",$Q4566=0,$R4566=-1),0,$Q4566*1000+$R4566*100+$K4566)</f>
        <v>0</v>
      </c>
      <c r="T4566" s="37" t="str">
        <f aca="false">IF($A4566="","",IF($B4566="","NO ACCOUNT",IF($Q4566=0,"UNMAPPED",IF($R4566=-1,"OUTSIDE FY RANGE","OK"))))</f>
        <v/>
      </c>
      <c r="U4566" s="40" t="str">
        <f aca="false">IF($A4566="","",$B4566&amp;"|"&amp;TEXT($A4566,"yyyymmdd")&amp;"|"&amp;TEXT($I4566,"0.00"))</f>
        <v/>
      </c>
      <c r="V4566" s="35" t="str">
        <f aca="false">IF($A4566="","",COUNTIF($U$8:$U$5007,$U4566))</f>
        <v/>
      </c>
    </row>
    <row r="4567" customFormat="false" ht="15" hidden="false" customHeight="false" outlineLevel="0" collapsed="false">
      <c r="A4567" s="31"/>
      <c r="B4567" s="32"/>
      <c r="C4567" s="32"/>
      <c r="D4567" s="32"/>
      <c r="E4567" s="32"/>
      <c r="F4567" s="32"/>
      <c r="G4567" s="33"/>
      <c r="H4567" s="33"/>
      <c r="I4567" s="34" t="str">
        <f aca="false">IF($A4567="","",$G4567-$H4567)</f>
        <v/>
      </c>
      <c r="J4567" s="35" t="str">
        <f aca="false">IF($A4567="","",IF(Setup!$B$6=1,YEAR($A4567),YEAR($A4567)+IF(MONTH($A4567)&gt;=Setup!$B$6,1,0)))</f>
        <v/>
      </c>
      <c r="K4567" s="35" t="str">
        <f aca="false">IF($A4567="","",MOD(MONTH($A4567)-Setup!$B$6+12,12)+1)</f>
        <v/>
      </c>
      <c r="L4567" s="36" t="str">
        <f aca="false">IF($A4567="","",TEXT($A4567,"MMM-YY"))</f>
        <v/>
      </c>
      <c r="M4567" s="37" t="str">
        <f aca="false">IF($A4567="","",IF($Q4567=0,"UNMAPPED",INDEX(COA_Mapping!$C$7:$C$256,$Q4567)))</f>
        <v/>
      </c>
      <c r="N4567" s="38" t="str">
        <f aca="false">IF($A4567="","",IF($Q4567=0,"",INDEX(COA_Mapping!$E$7:$E$256,$Q4567)))</f>
        <v/>
      </c>
      <c r="O4567" s="38" t="n">
        <f aca="false">IF($A4567="",1,IF($Q4567=0,1,INDEX(COA_Mapping!$F$7:$F$256,$Q4567)))</f>
        <v>1</v>
      </c>
      <c r="P4567" s="34" t="str">
        <f aca="false">IF($A4567="","",$I4567*$O4567)</f>
        <v/>
      </c>
      <c r="Q4567" s="39" t="n">
        <f aca="false">IF($B4567="",0,IFERROR(MATCH($B4567,COA_Mapping!$A$7:$A$256,0),0))</f>
        <v>0</v>
      </c>
      <c r="R4567" s="39" t="n">
        <f aca="false">IF($A4567="",-1,IF($J4567=Setup!$B$7,1,IF($J4567=Setup!$B$9,0,-1)))</f>
        <v>-1</v>
      </c>
      <c r="S4567" s="35" t="n">
        <f aca="false">IF(OR($A4567="",$Q4567=0,$R4567=-1),0,$Q4567*1000+$R4567*100+$K4567)</f>
        <v>0</v>
      </c>
      <c r="T4567" s="37" t="str">
        <f aca="false">IF($A4567="","",IF($B4567="","NO ACCOUNT",IF($Q4567=0,"UNMAPPED",IF($R4567=-1,"OUTSIDE FY RANGE","OK"))))</f>
        <v/>
      </c>
      <c r="U4567" s="40" t="str">
        <f aca="false">IF($A4567="","",$B4567&amp;"|"&amp;TEXT($A4567,"yyyymmdd")&amp;"|"&amp;TEXT($I4567,"0.00"))</f>
        <v/>
      </c>
      <c r="V4567" s="35" t="str">
        <f aca="false">IF($A4567="","",COUNTIF($U$8:$U$5007,$U4567))</f>
        <v/>
      </c>
    </row>
    <row r="4568" customFormat="false" ht="15" hidden="false" customHeight="false" outlineLevel="0" collapsed="false">
      <c r="A4568" s="31"/>
      <c r="B4568" s="32"/>
      <c r="C4568" s="32"/>
      <c r="D4568" s="32"/>
      <c r="E4568" s="32"/>
      <c r="F4568" s="32"/>
      <c r="G4568" s="33"/>
      <c r="H4568" s="33"/>
      <c r="I4568" s="34" t="str">
        <f aca="false">IF($A4568="","",$G4568-$H4568)</f>
        <v/>
      </c>
      <c r="J4568" s="35" t="str">
        <f aca="false">IF($A4568="","",IF(Setup!$B$6=1,YEAR($A4568),YEAR($A4568)+IF(MONTH($A4568)&gt;=Setup!$B$6,1,0)))</f>
        <v/>
      </c>
      <c r="K4568" s="35" t="str">
        <f aca="false">IF($A4568="","",MOD(MONTH($A4568)-Setup!$B$6+12,12)+1)</f>
        <v/>
      </c>
      <c r="L4568" s="36" t="str">
        <f aca="false">IF($A4568="","",TEXT($A4568,"MMM-YY"))</f>
        <v/>
      </c>
      <c r="M4568" s="37" t="str">
        <f aca="false">IF($A4568="","",IF($Q4568=0,"UNMAPPED",INDEX(COA_Mapping!$C$7:$C$256,$Q4568)))</f>
        <v/>
      </c>
      <c r="N4568" s="38" t="str">
        <f aca="false">IF($A4568="","",IF($Q4568=0,"",INDEX(COA_Mapping!$E$7:$E$256,$Q4568)))</f>
        <v/>
      </c>
      <c r="O4568" s="38" t="n">
        <f aca="false">IF($A4568="",1,IF($Q4568=0,1,INDEX(COA_Mapping!$F$7:$F$256,$Q4568)))</f>
        <v>1</v>
      </c>
      <c r="P4568" s="34" t="str">
        <f aca="false">IF($A4568="","",$I4568*$O4568)</f>
        <v/>
      </c>
      <c r="Q4568" s="39" t="n">
        <f aca="false">IF($B4568="",0,IFERROR(MATCH($B4568,COA_Mapping!$A$7:$A$256,0),0))</f>
        <v>0</v>
      </c>
      <c r="R4568" s="39" t="n">
        <f aca="false">IF($A4568="",-1,IF($J4568=Setup!$B$7,1,IF($J4568=Setup!$B$9,0,-1)))</f>
        <v>-1</v>
      </c>
      <c r="S4568" s="35" t="n">
        <f aca="false">IF(OR($A4568="",$Q4568=0,$R4568=-1),0,$Q4568*1000+$R4568*100+$K4568)</f>
        <v>0</v>
      </c>
      <c r="T4568" s="37" t="str">
        <f aca="false">IF($A4568="","",IF($B4568="","NO ACCOUNT",IF($Q4568=0,"UNMAPPED",IF($R4568=-1,"OUTSIDE FY RANGE","OK"))))</f>
        <v/>
      </c>
      <c r="U4568" s="40" t="str">
        <f aca="false">IF($A4568="","",$B4568&amp;"|"&amp;TEXT($A4568,"yyyymmdd")&amp;"|"&amp;TEXT($I4568,"0.00"))</f>
        <v/>
      </c>
      <c r="V4568" s="35" t="str">
        <f aca="false">IF($A4568="","",COUNTIF($U$8:$U$5007,$U4568))</f>
        <v/>
      </c>
    </row>
    <row r="4569" customFormat="false" ht="15" hidden="false" customHeight="false" outlineLevel="0" collapsed="false">
      <c r="A4569" s="31"/>
      <c r="B4569" s="32"/>
      <c r="C4569" s="32"/>
      <c r="D4569" s="32"/>
      <c r="E4569" s="32"/>
      <c r="F4569" s="32"/>
      <c r="G4569" s="33"/>
      <c r="H4569" s="33"/>
      <c r="I4569" s="34" t="str">
        <f aca="false">IF($A4569="","",$G4569-$H4569)</f>
        <v/>
      </c>
      <c r="J4569" s="35" t="str">
        <f aca="false">IF($A4569="","",IF(Setup!$B$6=1,YEAR($A4569),YEAR($A4569)+IF(MONTH($A4569)&gt;=Setup!$B$6,1,0)))</f>
        <v/>
      </c>
      <c r="K4569" s="35" t="str">
        <f aca="false">IF($A4569="","",MOD(MONTH($A4569)-Setup!$B$6+12,12)+1)</f>
        <v/>
      </c>
      <c r="L4569" s="36" t="str">
        <f aca="false">IF($A4569="","",TEXT($A4569,"MMM-YY"))</f>
        <v/>
      </c>
      <c r="M4569" s="37" t="str">
        <f aca="false">IF($A4569="","",IF($Q4569=0,"UNMAPPED",INDEX(COA_Mapping!$C$7:$C$256,$Q4569)))</f>
        <v/>
      </c>
      <c r="N4569" s="38" t="str">
        <f aca="false">IF($A4569="","",IF($Q4569=0,"",INDEX(COA_Mapping!$E$7:$E$256,$Q4569)))</f>
        <v/>
      </c>
      <c r="O4569" s="38" t="n">
        <f aca="false">IF($A4569="",1,IF($Q4569=0,1,INDEX(COA_Mapping!$F$7:$F$256,$Q4569)))</f>
        <v>1</v>
      </c>
      <c r="P4569" s="34" t="str">
        <f aca="false">IF($A4569="","",$I4569*$O4569)</f>
        <v/>
      </c>
      <c r="Q4569" s="39" t="n">
        <f aca="false">IF($B4569="",0,IFERROR(MATCH($B4569,COA_Mapping!$A$7:$A$256,0),0))</f>
        <v>0</v>
      </c>
      <c r="R4569" s="39" t="n">
        <f aca="false">IF($A4569="",-1,IF($J4569=Setup!$B$7,1,IF($J4569=Setup!$B$9,0,-1)))</f>
        <v>-1</v>
      </c>
      <c r="S4569" s="35" t="n">
        <f aca="false">IF(OR($A4569="",$Q4569=0,$R4569=-1),0,$Q4569*1000+$R4569*100+$K4569)</f>
        <v>0</v>
      </c>
      <c r="T4569" s="37" t="str">
        <f aca="false">IF($A4569="","",IF($B4569="","NO ACCOUNT",IF($Q4569=0,"UNMAPPED",IF($R4569=-1,"OUTSIDE FY RANGE","OK"))))</f>
        <v/>
      </c>
      <c r="U4569" s="40" t="str">
        <f aca="false">IF($A4569="","",$B4569&amp;"|"&amp;TEXT($A4569,"yyyymmdd")&amp;"|"&amp;TEXT($I4569,"0.00"))</f>
        <v/>
      </c>
      <c r="V4569" s="35" t="str">
        <f aca="false">IF($A4569="","",COUNTIF($U$8:$U$5007,$U4569))</f>
        <v/>
      </c>
    </row>
    <row r="4570" customFormat="false" ht="15" hidden="false" customHeight="false" outlineLevel="0" collapsed="false">
      <c r="A4570" s="31"/>
      <c r="B4570" s="32"/>
      <c r="C4570" s="32"/>
      <c r="D4570" s="32"/>
      <c r="E4570" s="32"/>
      <c r="F4570" s="32"/>
      <c r="G4570" s="33"/>
      <c r="H4570" s="33"/>
      <c r="I4570" s="34" t="str">
        <f aca="false">IF($A4570="","",$G4570-$H4570)</f>
        <v/>
      </c>
      <c r="J4570" s="35" t="str">
        <f aca="false">IF($A4570="","",IF(Setup!$B$6=1,YEAR($A4570),YEAR($A4570)+IF(MONTH($A4570)&gt;=Setup!$B$6,1,0)))</f>
        <v/>
      </c>
      <c r="K4570" s="35" t="str">
        <f aca="false">IF($A4570="","",MOD(MONTH($A4570)-Setup!$B$6+12,12)+1)</f>
        <v/>
      </c>
      <c r="L4570" s="36" t="str">
        <f aca="false">IF($A4570="","",TEXT($A4570,"MMM-YY"))</f>
        <v/>
      </c>
      <c r="M4570" s="37" t="str">
        <f aca="false">IF($A4570="","",IF($Q4570=0,"UNMAPPED",INDEX(COA_Mapping!$C$7:$C$256,$Q4570)))</f>
        <v/>
      </c>
      <c r="N4570" s="38" t="str">
        <f aca="false">IF($A4570="","",IF($Q4570=0,"",INDEX(COA_Mapping!$E$7:$E$256,$Q4570)))</f>
        <v/>
      </c>
      <c r="O4570" s="38" t="n">
        <f aca="false">IF($A4570="",1,IF($Q4570=0,1,INDEX(COA_Mapping!$F$7:$F$256,$Q4570)))</f>
        <v>1</v>
      </c>
      <c r="P4570" s="34" t="str">
        <f aca="false">IF($A4570="","",$I4570*$O4570)</f>
        <v/>
      </c>
      <c r="Q4570" s="39" t="n">
        <f aca="false">IF($B4570="",0,IFERROR(MATCH($B4570,COA_Mapping!$A$7:$A$256,0),0))</f>
        <v>0</v>
      </c>
      <c r="R4570" s="39" t="n">
        <f aca="false">IF($A4570="",-1,IF($J4570=Setup!$B$7,1,IF($J4570=Setup!$B$9,0,-1)))</f>
        <v>-1</v>
      </c>
      <c r="S4570" s="35" t="n">
        <f aca="false">IF(OR($A4570="",$Q4570=0,$R4570=-1),0,$Q4570*1000+$R4570*100+$K4570)</f>
        <v>0</v>
      </c>
      <c r="T4570" s="37" t="str">
        <f aca="false">IF($A4570="","",IF($B4570="","NO ACCOUNT",IF($Q4570=0,"UNMAPPED",IF($R4570=-1,"OUTSIDE FY RANGE","OK"))))</f>
        <v/>
      </c>
      <c r="U4570" s="40" t="str">
        <f aca="false">IF($A4570="","",$B4570&amp;"|"&amp;TEXT($A4570,"yyyymmdd")&amp;"|"&amp;TEXT($I4570,"0.00"))</f>
        <v/>
      </c>
      <c r="V4570" s="35" t="str">
        <f aca="false">IF($A4570="","",COUNTIF($U$8:$U$5007,$U4570))</f>
        <v/>
      </c>
    </row>
    <row r="4571" customFormat="false" ht="15" hidden="false" customHeight="false" outlineLevel="0" collapsed="false">
      <c r="A4571" s="31"/>
      <c r="B4571" s="32"/>
      <c r="C4571" s="32"/>
      <c r="D4571" s="32"/>
      <c r="E4571" s="32"/>
      <c r="F4571" s="32"/>
      <c r="G4571" s="33"/>
      <c r="H4571" s="33"/>
      <c r="I4571" s="34" t="str">
        <f aca="false">IF($A4571="","",$G4571-$H4571)</f>
        <v/>
      </c>
      <c r="J4571" s="35" t="str">
        <f aca="false">IF($A4571="","",IF(Setup!$B$6=1,YEAR($A4571),YEAR($A4571)+IF(MONTH($A4571)&gt;=Setup!$B$6,1,0)))</f>
        <v/>
      </c>
      <c r="K4571" s="35" t="str">
        <f aca="false">IF($A4571="","",MOD(MONTH($A4571)-Setup!$B$6+12,12)+1)</f>
        <v/>
      </c>
      <c r="L4571" s="36" t="str">
        <f aca="false">IF($A4571="","",TEXT($A4571,"MMM-YY"))</f>
        <v/>
      </c>
      <c r="M4571" s="37" t="str">
        <f aca="false">IF($A4571="","",IF($Q4571=0,"UNMAPPED",INDEX(COA_Mapping!$C$7:$C$256,$Q4571)))</f>
        <v/>
      </c>
      <c r="N4571" s="38" t="str">
        <f aca="false">IF($A4571="","",IF($Q4571=0,"",INDEX(COA_Mapping!$E$7:$E$256,$Q4571)))</f>
        <v/>
      </c>
      <c r="O4571" s="38" t="n">
        <f aca="false">IF($A4571="",1,IF($Q4571=0,1,INDEX(COA_Mapping!$F$7:$F$256,$Q4571)))</f>
        <v>1</v>
      </c>
      <c r="P4571" s="34" t="str">
        <f aca="false">IF($A4571="","",$I4571*$O4571)</f>
        <v/>
      </c>
      <c r="Q4571" s="39" t="n">
        <f aca="false">IF($B4571="",0,IFERROR(MATCH($B4571,COA_Mapping!$A$7:$A$256,0),0))</f>
        <v>0</v>
      </c>
      <c r="R4571" s="39" t="n">
        <f aca="false">IF($A4571="",-1,IF($J4571=Setup!$B$7,1,IF($J4571=Setup!$B$9,0,-1)))</f>
        <v>-1</v>
      </c>
      <c r="S4571" s="35" t="n">
        <f aca="false">IF(OR($A4571="",$Q4571=0,$R4571=-1),0,$Q4571*1000+$R4571*100+$K4571)</f>
        <v>0</v>
      </c>
      <c r="T4571" s="37" t="str">
        <f aca="false">IF($A4571="","",IF($B4571="","NO ACCOUNT",IF($Q4571=0,"UNMAPPED",IF($R4571=-1,"OUTSIDE FY RANGE","OK"))))</f>
        <v/>
      </c>
      <c r="U4571" s="40" t="str">
        <f aca="false">IF($A4571="","",$B4571&amp;"|"&amp;TEXT($A4571,"yyyymmdd")&amp;"|"&amp;TEXT($I4571,"0.00"))</f>
        <v/>
      </c>
      <c r="V4571" s="35" t="str">
        <f aca="false">IF($A4571="","",COUNTIF($U$8:$U$5007,$U4571))</f>
        <v/>
      </c>
    </row>
    <row r="4572" customFormat="false" ht="15" hidden="false" customHeight="false" outlineLevel="0" collapsed="false">
      <c r="A4572" s="31"/>
      <c r="B4572" s="32"/>
      <c r="C4572" s="32"/>
      <c r="D4572" s="32"/>
      <c r="E4572" s="32"/>
      <c r="F4572" s="32"/>
      <c r="G4572" s="33"/>
      <c r="H4572" s="33"/>
      <c r="I4572" s="34" t="str">
        <f aca="false">IF($A4572="","",$G4572-$H4572)</f>
        <v/>
      </c>
      <c r="J4572" s="35" t="str">
        <f aca="false">IF($A4572="","",IF(Setup!$B$6=1,YEAR($A4572),YEAR($A4572)+IF(MONTH($A4572)&gt;=Setup!$B$6,1,0)))</f>
        <v/>
      </c>
      <c r="K4572" s="35" t="str">
        <f aca="false">IF($A4572="","",MOD(MONTH($A4572)-Setup!$B$6+12,12)+1)</f>
        <v/>
      </c>
      <c r="L4572" s="36" t="str">
        <f aca="false">IF($A4572="","",TEXT($A4572,"MMM-YY"))</f>
        <v/>
      </c>
      <c r="M4572" s="37" t="str">
        <f aca="false">IF($A4572="","",IF($Q4572=0,"UNMAPPED",INDEX(COA_Mapping!$C$7:$C$256,$Q4572)))</f>
        <v/>
      </c>
      <c r="N4572" s="38" t="str">
        <f aca="false">IF($A4572="","",IF($Q4572=0,"",INDEX(COA_Mapping!$E$7:$E$256,$Q4572)))</f>
        <v/>
      </c>
      <c r="O4572" s="38" t="n">
        <f aca="false">IF($A4572="",1,IF($Q4572=0,1,INDEX(COA_Mapping!$F$7:$F$256,$Q4572)))</f>
        <v>1</v>
      </c>
      <c r="P4572" s="34" t="str">
        <f aca="false">IF($A4572="","",$I4572*$O4572)</f>
        <v/>
      </c>
      <c r="Q4572" s="39" t="n">
        <f aca="false">IF($B4572="",0,IFERROR(MATCH($B4572,COA_Mapping!$A$7:$A$256,0),0))</f>
        <v>0</v>
      </c>
      <c r="R4572" s="39" t="n">
        <f aca="false">IF($A4572="",-1,IF($J4572=Setup!$B$7,1,IF($J4572=Setup!$B$9,0,-1)))</f>
        <v>-1</v>
      </c>
      <c r="S4572" s="35" t="n">
        <f aca="false">IF(OR($A4572="",$Q4572=0,$R4572=-1),0,$Q4572*1000+$R4572*100+$K4572)</f>
        <v>0</v>
      </c>
      <c r="T4572" s="37" t="str">
        <f aca="false">IF($A4572="","",IF($B4572="","NO ACCOUNT",IF($Q4572=0,"UNMAPPED",IF($R4572=-1,"OUTSIDE FY RANGE","OK"))))</f>
        <v/>
      </c>
      <c r="U4572" s="40" t="str">
        <f aca="false">IF($A4572="","",$B4572&amp;"|"&amp;TEXT($A4572,"yyyymmdd")&amp;"|"&amp;TEXT($I4572,"0.00"))</f>
        <v/>
      </c>
      <c r="V4572" s="35" t="str">
        <f aca="false">IF($A4572="","",COUNTIF($U$8:$U$5007,$U4572))</f>
        <v/>
      </c>
    </row>
    <row r="4573" customFormat="false" ht="15" hidden="false" customHeight="false" outlineLevel="0" collapsed="false">
      <c r="A4573" s="31"/>
      <c r="B4573" s="32"/>
      <c r="C4573" s="32"/>
      <c r="D4573" s="32"/>
      <c r="E4573" s="32"/>
      <c r="F4573" s="32"/>
      <c r="G4573" s="33"/>
      <c r="H4573" s="33"/>
      <c r="I4573" s="34" t="str">
        <f aca="false">IF($A4573="","",$G4573-$H4573)</f>
        <v/>
      </c>
      <c r="J4573" s="35" t="str">
        <f aca="false">IF($A4573="","",IF(Setup!$B$6=1,YEAR($A4573),YEAR($A4573)+IF(MONTH($A4573)&gt;=Setup!$B$6,1,0)))</f>
        <v/>
      </c>
      <c r="K4573" s="35" t="str">
        <f aca="false">IF($A4573="","",MOD(MONTH($A4573)-Setup!$B$6+12,12)+1)</f>
        <v/>
      </c>
      <c r="L4573" s="36" t="str">
        <f aca="false">IF($A4573="","",TEXT($A4573,"MMM-YY"))</f>
        <v/>
      </c>
      <c r="M4573" s="37" t="str">
        <f aca="false">IF($A4573="","",IF($Q4573=0,"UNMAPPED",INDEX(COA_Mapping!$C$7:$C$256,$Q4573)))</f>
        <v/>
      </c>
      <c r="N4573" s="38" t="str">
        <f aca="false">IF($A4573="","",IF($Q4573=0,"",INDEX(COA_Mapping!$E$7:$E$256,$Q4573)))</f>
        <v/>
      </c>
      <c r="O4573" s="38" t="n">
        <f aca="false">IF($A4573="",1,IF($Q4573=0,1,INDEX(COA_Mapping!$F$7:$F$256,$Q4573)))</f>
        <v>1</v>
      </c>
      <c r="P4573" s="34" t="str">
        <f aca="false">IF($A4573="","",$I4573*$O4573)</f>
        <v/>
      </c>
      <c r="Q4573" s="39" t="n">
        <f aca="false">IF($B4573="",0,IFERROR(MATCH($B4573,COA_Mapping!$A$7:$A$256,0),0))</f>
        <v>0</v>
      </c>
      <c r="R4573" s="39" t="n">
        <f aca="false">IF($A4573="",-1,IF($J4573=Setup!$B$7,1,IF($J4573=Setup!$B$9,0,-1)))</f>
        <v>-1</v>
      </c>
      <c r="S4573" s="35" t="n">
        <f aca="false">IF(OR($A4573="",$Q4573=0,$R4573=-1),0,$Q4573*1000+$R4573*100+$K4573)</f>
        <v>0</v>
      </c>
      <c r="T4573" s="37" t="str">
        <f aca="false">IF($A4573="","",IF($B4573="","NO ACCOUNT",IF($Q4573=0,"UNMAPPED",IF($R4573=-1,"OUTSIDE FY RANGE","OK"))))</f>
        <v/>
      </c>
      <c r="U4573" s="40" t="str">
        <f aca="false">IF($A4573="","",$B4573&amp;"|"&amp;TEXT($A4573,"yyyymmdd")&amp;"|"&amp;TEXT($I4573,"0.00"))</f>
        <v/>
      </c>
      <c r="V4573" s="35" t="str">
        <f aca="false">IF($A4573="","",COUNTIF($U$8:$U$5007,$U4573))</f>
        <v/>
      </c>
    </row>
    <row r="4574" customFormat="false" ht="15" hidden="false" customHeight="false" outlineLevel="0" collapsed="false">
      <c r="A4574" s="31"/>
      <c r="B4574" s="32"/>
      <c r="C4574" s="32"/>
      <c r="D4574" s="32"/>
      <c r="E4574" s="32"/>
      <c r="F4574" s="32"/>
      <c r="G4574" s="33"/>
      <c r="H4574" s="33"/>
      <c r="I4574" s="34" t="str">
        <f aca="false">IF($A4574="","",$G4574-$H4574)</f>
        <v/>
      </c>
      <c r="J4574" s="35" t="str">
        <f aca="false">IF($A4574="","",IF(Setup!$B$6=1,YEAR($A4574),YEAR($A4574)+IF(MONTH($A4574)&gt;=Setup!$B$6,1,0)))</f>
        <v/>
      </c>
      <c r="K4574" s="35" t="str">
        <f aca="false">IF($A4574="","",MOD(MONTH($A4574)-Setup!$B$6+12,12)+1)</f>
        <v/>
      </c>
      <c r="L4574" s="36" t="str">
        <f aca="false">IF($A4574="","",TEXT($A4574,"MMM-YY"))</f>
        <v/>
      </c>
      <c r="M4574" s="37" t="str">
        <f aca="false">IF($A4574="","",IF($Q4574=0,"UNMAPPED",INDEX(COA_Mapping!$C$7:$C$256,$Q4574)))</f>
        <v/>
      </c>
      <c r="N4574" s="38" t="str">
        <f aca="false">IF($A4574="","",IF($Q4574=0,"",INDEX(COA_Mapping!$E$7:$E$256,$Q4574)))</f>
        <v/>
      </c>
      <c r="O4574" s="38" t="n">
        <f aca="false">IF($A4574="",1,IF($Q4574=0,1,INDEX(COA_Mapping!$F$7:$F$256,$Q4574)))</f>
        <v>1</v>
      </c>
      <c r="P4574" s="34" t="str">
        <f aca="false">IF($A4574="","",$I4574*$O4574)</f>
        <v/>
      </c>
      <c r="Q4574" s="39" t="n">
        <f aca="false">IF($B4574="",0,IFERROR(MATCH($B4574,COA_Mapping!$A$7:$A$256,0),0))</f>
        <v>0</v>
      </c>
      <c r="R4574" s="39" t="n">
        <f aca="false">IF($A4574="",-1,IF($J4574=Setup!$B$7,1,IF($J4574=Setup!$B$9,0,-1)))</f>
        <v>-1</v>
      </c>
      <c r="S4574" s="35" t="n">
        <f aca="false">IF(OR($A4574="",$Q4574=0,$R4574=-1),0,$Q4574*1000+$R4574*100+$K4574)</f>
        <v>0</v>
      </c>
      <c r="T4574" s="37" t="str">
        <f aca="false">IF($A4574="","",IF($B4574="","NO ACCOUNT",IF($Q4574=0,"UNMAPPED",IF($R4574=-1,"OUTSIDE FY RANGE","OK"))))</f>
        <v/>
      </c>
      <c r="U4574" s="40" t="str">
        <f aca="false">IF($A4574="","",$B4574&amp;"|"&amp;TEXT($A4574,"yyyymmdd")&amp;"|"&amp;TEXT($I4574,"0.00"))</f>
        <v/>
      </c>
      <c r="V4574" s="35" t="str">
        <f aca="false">IF($A4574="","",COUNTIF($U$8:$U$5007,$U4574))</f>
        <v/>
      </c>
    </row>
    <row r="4575" customFormat="false" ht="15" hidden="false" customHeight="false" outlineLevel="0" collapsed="false">
      <c r="A4575" s="31"/>
      <c r="B4575" s="32"/>
      <c r="C4575" s="32"/>
      <c r="D4575" s="32"/>
      <c r="E4575" s="32"/>
      <c r="F4575" s="32"/>
      <c r="G4575" s="33"/>
      <c r="H4575" s="33"/>
      <c r="I4575" s="34" t="str">
        <f aca="false">IF($A4575="","",$G4575-$H4575)</f>
        <v/>
      </c>
      <c r="J4575" s="35" t="str">
        <f aca="false">IF($A4575="","",IF(Setup!$B$6=1,YEAR($A4575),YEAR($A4575)+IF(MONTH($A4575)&gt;=Setup!$B$6,1,0)))</f>
        <v/>
      </c>
      <c r="K4575" s="35" t="str">
        <f aca="false">IF($A4575="","",MOD(MONTH($A4575)-Setup!$B$6+12,12)+1)</f>
        <v/>
      </c>
      <c r="L4575" s="36" t="str">
        <f aca="false">IF($A4575="","",TEXT($A4575,"MMM-YY"))</f>
        <v/>
      </c>
      <c r="M4575" s="37" t="str">
        <f aca="false">IF($A4575="","",IF($Q4575=0,"UNMAPPED",INDEX(COA_Mapping!$C$7:$C$256,$Q4575)))</f>
        <v/>
      </c>
      <c r="N4575" s="38" t="str">
        <f aca="false">IF($A4575="","",IF($Q4575=0,"",INDEX(COA_Mapping!$E$7:$E$256,$Q4575)))</f>
        <v/>
      </c>
      <c r="O4575" s="38" t="n">
        <f aca="false">IF($A4575="",1,IF($Q4575=0,1,INDEX(COA_Mapping!$F$7:$F$256,$Q4575)))</f>
        <v>1</v>
      </c>
      <c r="P4575" s="34" t="str">
        <f aca="false">IF($A4575="","",$I4575*$O4575)</f>
        <v/>
      </c>
      <c r="Q4575" s="39" t="n">
        <f aca="false">IF($B4575="",0,IFERROR(MATCH($B4575,COA_Mapping!$A$7:$A$256,0),0))</f>
        <v>0</v>
      </c>
      <c r="R4575" s="39" t="n">
        <f aca="false">IF($A4575="",-1,IF($J4575=Setup!$B$7,1,IF($J4575=Setup!$B$9,0,-1)))</f>
        <v>-1</v>
      </c>
      <c r="S4575" s="35" t="n">
        <f aca="false">IF(OR($A4575="",$Q4575=0,$R4575=-1),0,$Q4575*1000+$R4575*100+$K4575)</f>
        <v>0</v>
      </c>
      <c r="T4575" s="37" t="str">
        <f aca="false">IF($A4575="","",IF($B4575="","NO ACCOUNT",IF($Q4575=0,"UNMAPPED",IF($R4575=-1,"OUTSIDE FY RANGE","OK"))))</f>
        <v/>
      </c>
      <c r="U4575" s="40" t="str">
        <f aca="false">IF($A4575="","",$B4575&amp;"|"&amp;TEXT($A4575,"yyyymmdd")&amp;"|"&amp;TEXT($I4575,"0.00"))</f>
        <v/>
      </c>
      <c r="V4575" s="35" t="str">
        <f aca="false">IF($A4575="","",COUNTIF($U$8:$U$5007,$U4575))</f>
        <v/>
      </c>
    </row>
    <row r="4576" customFormat="false" ht="15" hidden="false" customHeight="false" outlineLevel="0" collapsed="false">
      <c r="A4576" s="31"/>
      <c r="B4576" s="32"/>
      <c r="C4576" s="32"/>
      <c r="D4576" s="32"/>
      <c r="E4576" s="32"/>
      <c r="F4576" s="32"/>
      <c r="G4576" s="33"/>
      <c r="H4576" s="33"/>
      <c r="I4576" s="34" t="str">
        <f aca="false">IF($A4576="","",$G4576-$H4576)</f>
        <v/>
      </c>
      <c r="J4576" s="35" t="str">
        <f aca="false">IF($A4576="","",IF(Setup!$B$6=1,YEAR($A4576),YEAR($A4576)+IF(MONTH($A4576)&gt;=Setup!$B$6,1,0)))</f>
        <v/>
      </c>
      <c r="K4576" s="35" t="str">
        <f aca="false">IF($A4576="","",MOD(MONTH($A4576)-Setup!$B$6+12,12)+1)</f>
        <v/>
      </c>
      <c r="L4576" s="36" t="str">
        <f aca="false">IF($A4576="","",TEXT($A4576,"MMM-YY"))</f>
        <v/>
      </c>
      <c r="M4576" s="37" t="str">
        <f aca="false">IF($A4576="","",IF($Q4576=0,"UNMAPPED",INDEX(COA_Mapping!$C$7:$C$256,$Q4576)))</f>
        <v/>
      </c>
      <c r="N4576" s="38" t="str">
        <f aca="false">IF($A4576="","",IF($Q4576=0,"",INDEX(COA_Mapping!$E$7:$E$256,$Q4576)))</f>
        <v/>
      </c>
      <c r="O4576" s="38" t="n">
        <f aca="false">IF($A4576="",1,IF($Q4576=0,1,INDEX(COA_Mapping!$F$7:$F$256,$Q4576)))</f>
        <v>1</v>
      </c>
      <c r="P4576" s="34" t="str">
        <f aca="false">IF($A4576="","",$I4576*$O4576)</f>
        <v/>
      </c>
      <c r="Q4576" s="39" t="n">
        <f aca="false">IF($B4576="",0,IFERROR(MATCH($B4576,COA_Mapping!$A$7:$A$256,0),0))</f>
        <v>0</v>
      </c>
      <c r="R4576" s="39" t="n">
        <f aca="false">IF($A4576="",-1,IF($J4576=Setup!$B$7,1,IF($J4576=Setup!$B$9,0,-1)))</f>
        <v>-1</v>
      </c>
      <c r="S4576" s="35" t="n">
        <f aca="false">IF(OR($A4576="",$Q4576=0,$R4576=-1),0,$Q4576*1000+$R4576*100+$K4576)</f>
        <v>0</v>
      </c>
      <c r="T4576" s="37" t="str">
        <f aca="false">IF($A4576="","",IF($B4576="","NO ACCOUNT",IF($Q4576=0,"UNMAPPED",IF($R4576=-1,"OUTSIDE FY RANGE","OK"))))</f>
        <v/>
      </c>
      <c r="U4576" s="40" t="str">
        <f aca="false">IF($A4576="","",$B4576&amp;"|"&amp;TEXT($A4576,"yyyymmdd")&amp;"|"&amp;TEXT($I4576,"0.00"))</f>
        <v/>
      </c>
      <c r="V4576" s="35" t="str">
        <f aca="false">IF($A4576="","",COUNTIF($U$8:$U$5007,$U4576))</f>
        <v/>
      </c>
    </row>
    <row r="4577" customFormat="false" ht="15" hidden="false" customHeight="false" outlineLevel="0" collapsed="false">
      <c r="A4577" s="31"/>
      <c r="B4577" s="32"/>
      <c r="C4577" s="32"/>
      <c r="D4577" s="32"/>
      <c r="E4577" s="32"/>
      <c r="F4577" s="32"/>
      <c r="G4577" s="33"/>
      <c r="H4577" s="33"/>
      <c r="I4577" s="34" t="str">
        <f aca="false">IF($A4577="","",$G4577-$H4577)</f>
        <v/>
      </c>
      <c r="J4577" s="35" t="str">
        <f aca="false">IF($A4577="","",IF(Setup!$B$6=1,YEAR($A4577),YEAR($A4577)+IF(MONTH($A4577)&gt;=Setup!$B$6,1,0)))</f>
        <v/>
      </c>
      <c r="K4577" s="35" t="str">
        <f aca="false">IF($A4577="","",MOD(MONTH($A4577)-Setup!$B$6+12,12)+1)</f>
        <v/>
      </c>
      <c r="L4577" s="36" t="str">
        <f aca="false">IF($A4577="","",TEXT($A4577,"MMM-YY"))</f>
        <v/>
      </c>
      <c r="M4577" s="37" t="str">
        <f aca="false">IF($A4577="","",IF($Q4577=0,"UNMAPPED",INDEX(COA_Mapping!$C$7:$C$256,$Q4577)))</f>
        <v/>
      </c>
      <c r="N4577" s="38" t="str">
        <f aca="false">IF($A4577="","",IF($Q4577=0,"",INDEX(COA_Mapping!$E$7:$E$256,$Q4577)))</f>
        <v/>
      </c>
      <c r="O4577" s="38" t="n">
        <f aca="false">IF($A4577="",1,IF($Q4577=0,1,INDEX(COA_Mapping!$F$7:$F$256,$Q4577)))</f>
        <v>1</v>
      </c>
      <c r="P4577" s="34" t="str">
        <f aca="false">IF($A4577="","",$I4577*$O4577)</f>
        <v/>
      </c>
      <c r="Q4577" s="39" t="n">
        <f aca="false">IF($B4577="",0,IFERROR(MATCH($B4577,COA_Mapping!$A$7:$A$256,0),0))</f>
        <v>0</v>
      </c>
      <c r="R4577" s="39" t="n">
        <f aca="false">IF($A4577="",-1,IF($J4577=Setup!$B$7,1,IF($J4577=Setup!$B$9,0,-1)))</f>
        <v>-1</v>
      </c>
      <c r="S4577" s="35" t="n">
        <f aca="false">IF(OR($A4577="",$Q4577=0,$R4577=-1),0,$Q4577*1000+$R4577*100+$K4577)</f>
        <v>0</v>
      </c>
      <c r="T4577" s="37" t="str">
        <f aca="false">IF($A4577="","",IF($B4577="","NO ACCOUNT",IF($Q4577=0,"UNMAPPED",IF($R4577=-1,"OUTSIDE FY RANGE","OK"))))</f>
        <v/>
      </c>
      <c r="U4577" s="40" t="str">
        <f aca="false">IF($A4577="","",$B4577&amp;"|"&amp;TEXT($A4577,"yyyymmdd")&amp;"|"&amp;TEXT($I4577,"0.00"))</f>
        <v/>
      </c>
      <c r="V4577" s="35" t="str">
        <f aca="false">IF($A4577="","",COUNTIF($U$8:$U$5007,$U4577))</f>
        <v/>
      </c>
    </row>
    <row r="4578" customFormat="false" ht="15" hidden="false" customHeight="false" outlineLevel="0" collapsed="false">
      <c r="A4578" s="31"/>
      <c r="B4578" s="32"/>
      <c r="C4578" s="32"/>
      <c r="D4578" s="32"/>
      <c r="E4578" s="32"/>
      <c r="F4578" s="32"/>
      <c r="G4578" s="33"/>
      <c r="H4578" s="33"/>
      <c r="I4578" s="34" t="str">
        <f aca="false">IF($A4578="","",$G4578-$H4578)</f>
        <v/>
      </c>
      <c r="J4578" s="35" t="str">
        <f aca="false">IF($A4578="","",IF(Setup!$B$6=1,YEAR($A4578),YEAR($A4578)+IF(MONTH($A4578)&gt;=Setup!$B$6,1,0)))</f>
        <v/>
      </c>
      <c r="K4578" s="35" t="str">
        <f aca="false">IF($A4578="","",MOD(MONTH($A4578)-Setup!$B$6+12,12)+1)</f>
        <v/>
      </c>
      <c r="L4578" s="36" t="str">
        <f aca="false">IF($A4578="","",TEXT($A4578,"MMM-YY"))</f>
        <v/>
      </c>
      <c r="M4578" s="37" t="str">
        <f aca="false">IF($A4578="","",IF($Q4578=0,"UNMAPPED",INDEX(COA_Mapping!$C$7:$C$256,$Q4578)))</f>
        <v/>
      </c>
      <c r="N4578" s="38" t="str">
        <f aca="false">IF($A4578="","",IF($Q4578=0,"",INDEX(COA_Mapping!$E$7:$E$256,$Q4578)))</f>
        <v/>
      </c>
      <c r="O4578" s="38" t="n">
        <f aca="false">IF($A4578="",1,IF($Q4578=0,1,INDEX(COA_Mapping!$F$7:$F$256,$Q4578)))</f>
        <v>1</v>
      </c>
      <c r="P4578" s="34" t="str">
        <f aca="false">IF($A4578="","",$I4578*$O4578)</f>
        <v/>
      </c>
      <c r="Q4578" s="39" t="n">
        <f aca="false">IF($B4578="",0,IFERROR(MATCH($B4578,COA_Mapping!$A$7:$A$256,0),0))</f>
        <v>0</v>
      </c>
      <c r="R4578" s="39" t="n">
        <f aca="false">IF($A4578="",-1,IF($J4578=Setup!$B$7,1,IF($J4578=Setup!$B$9,0,-1)))</f>
        <v>-1</v>
      </c>
      <c r="S4578" s="35" t="n">
        <f aca="false">IF(OR($A4578="",$Q4578=0,$R4578=-1),0,$Q4578*1000+$R4578*100+$K4578)</f>
        <v>0</v>
      </c>
      <c r="T4578" s="37" t="str">
        <f aca="false">IF($A4578="","",IF($B4578="","NO ACCOUNT",IF($Q4578=0,"UNMAPPED",IF($R4578=-1,"OUTSIDE FY RANGE","OK"))))</f>
        <v/>
      </c>
      <c r="U4578" s="40" t="str">
        <f aca="false">IF($A4578="","",$B4578&amp;"|"&amp;TEXT($A4578,"yyyymmdd")&amp;"|"&amp;TEXT($I4578,"0.00"))</f>
        <v/>
      </c>
      <c r="V4578" s="35" t="str">
        <f aca="false">IF($A4578="","",COUNTIF($U$8:$U$5007,$U4578))</f>
        <v/>
      </c>
    </row>
    <row r="4579" customFormat="false" ht="15" hidden="false" customHeight="false" outlineLevel="0" collapsed="false">
      <c r="A4579" s="31"/>
      <c r="B4579" s="32"/>
      <c r="C4579" s="32"/>
      <c r="D4579" s="32"/>
      <c r="E4579" s="32"/>
      <c r="F4579" s="32"/>
      <c r="G4579" s="33"/>
      <c r="H4579" s="33"/>
      <c r="I4579" s="34" t="str">
        <f aca="false">IF($A4579="","",$G4579-$H4579)</f>
        <v/>
      </c>
      <c r="J4579" s="35" t="str">
        <f aca="false">IF($A4579="","",IF(Setup!$B$6=1,YEAR($A4579),YEAR($A4579)+IF(MONTH($A4579)&gt;=Setup!$B$6,1,0)))</f>
        <v/>
      </c>
      <c r="K4579" s="35" t="str">
        <f aca="false">IF($A4579="","",MOD(MONTH($A4579)-Setup!$B$6+12,12)+1)</f>
        <v/>
      </c>
      <c r="L4579" s="36" t="str">
        <f aca="false">IF($A4579="","",TEXT($A4579,"MMM-YY"))</f>
        <v/>
      </c>
      <c r="M4579" s="37" t="str">
        <f aca="false">IF($A4579="","",IF($Q4579=0,"UNMAPPED",INDEX(COA_Mapping!$C$7:$C$256,$Q4579)))</f>
        <v/>
      </c>
      <c r="N4579" s="38" t="str">
        <f aca="false">IF($A4579="","",IF($Q4579=0,"",INDEX(COA_Mapping!$E$7:$E$256,$Q4579)))</f>
        <v/>
      </c>
      <c r="O4579" s="38" t="n">
        <f aca="false">IF($A4579="",1,IF($Q4579=0,1,INDEX(COA_Mapping!$F$7:$F$256,$Q4579)))</f>
        <v>1</v>
      </c>
      <c r="P4579" s="34" t="str">
        <f aca="false">IF($A4579="","",$I4579*$O4579)</f>
        <v/>
      </c>
      <c r="Q4579" s="39" t="n">
        <f aca="false">IF($B4579="",0,IFERROR(MATCH($B4579,COA_Mapping!$A$7:$A$256,0),0))</f>
        <v>0</v>
      </c>
      <c r="R4579" s="39" t="n">
        <f aca="false">IF($A4579="",-1,IF($J4579=Setup!$B$7,1,IF($J4579=Setup!$B$9,0,-1)))</f>
        <v>-1</v>
      </c>
      <c r="S4579" s="35" t="n">
        <f aca="false">IF(OR($A4579="",$Q4579=0,$R4579=-1),0,$Q4579*1000+$R4579*100+$K4579)</f>
        <v>0</v>
      </c>
      <c r="T4579" s="37" t="str">
        <f aca="false">IF($A4579="","",IF($B4579="","NO ACCOUNT",IF($Q4579=0,"UNMAPPED",IF($R4579=-1,"OUTSIDE FY RANGE","OK"))))</f>
        <v/>
      </c>
      <c r="U4579" s="40" t="str">
        <f aca="false">IF($A4579="","",$B4579&amp;"|"&amp;TEXT($A4579,"yyyymmdd")&amp;"|"&amp;TEXT($I4579,"0.00"))</f>
        <v/>
      </c>
      <c r="V4579" s="35" t="str">
        <f aca="false">IF($A4579="","",COUNTIF($U$8:$U$5007,$U4579))</f>
        <v/>
      </c>
    </row>
    <row r="4580" customFormat="false" ht="15" hidden="false" customHeight="false" outlineLevel="0" collapsed="false">
      <c r="A4580" s="31"/>
      <c r="B4580" s="32"/>
      <c r="C4580" s="32"/>
      <c r="D4580" s="32"/>
      <c r="E4580" s="32"/>
      <c r="F4580" s="32"/>
      <c r="G4580" s="33"/>
      <c r="H4580" s="33"/>
      <c r="I4580" s="34" t="str">
        <f aca="false">IF($A4580="","",$G4580-$H4580)</f>
        <v/>
      </c>
      <c r="J4580" s="35" t="str">
        <f aca="false">IF($A4580="","",IF(Setup!$B$6=1,YEAR($A4580),YEAR($A4580)+IF(MONTH($A4580)&gt;=Setup!$B$6,1,0)))</f>
        <v/>
      </c>
      <c r="K4580" s="35" t="str">
        <f aca="false">IF($A4580="","",MOD(MONTH($A4580)-Setup!$B$6+12,12)+1)</f>
        <v/>
      </c>
      <c r="L4580" s="36" t="str">
        <f aca="false">IF($A4580="","",TEXT($A4580,"MMM-YY"))</f>
        <v/>
      </c>
      <c r="M4580" s="37" t="str">
        <f aca="false">IF($A4580="","",IF($Q4580=0,"UNMAPPED",INDEX(COA_Mapping!$C$7:$C$256,$Q4580)))</f>
        <v/>
      </c>
      <c r="N4580" s="38" t="str">
        <f aca="false">IF($A4580="","",IF($Q4580=0,"",INDEX(COA_Mapping!$E$7:$E$256,$Q4580)))</f>
        <v/>
      </c>
      <c r="O4580" s="38" t="n">
        <f aca="false">IF($A4580="",1,IF($Q4580=0,1,INDEX(COA_Mapping!$F$7:$F$256,$Q4580)))</f>
        <v>1</v>
      </c>
      <c r="P4580" s="34" t="str">
        <f aca="false">IF($A4580="","",$I4580*$O4580)</f>
        <v/>
      </c>
      <c r="Q4580" s="39" t="n">
        <f aca="false">IF($B4580="",0,IFERROR(MATCH($B4580,COA_Mapping!$A$7:$A$256,0),0))</f>
        <v>0</v>
      </c>
      <c r="R4580" s="39" t="n">
        <f aca="false">IF($A4580="",-1,IF($J4580=Setup!$B$7,1,IF($J4580=Setup!$B$9,0,-1)))</f>
        <v>-1</v>
      </c>
      <c r="S4580" s="35" t="n">
        <f aca="false">IF(OR($A4580="",$Q4580=0,$R4580=-1),0,$Q4580*1000+$R4580*100+$K4580)</f>
        <v>0</v>
      </c>
      <c r="T4580" s="37" t="str">
        <f aca="false">IF($A4580="","",IF($B4580="","NO ACCOUNT",IF($Q4580=0,"UNMAPPED",IF($R4580=-1,"OUTSIDE FY RANGE","OK"))))</f>
        <v/>
      </c>
      <c r="U4580" s="40" t="str">
        <f aca="false">IF($A4580="","",$B4580&amp;"|"&amp;TEXT($A4580,"yyyymmdd")&amp;"|"&amp;TEXT($I4580,"0.00"))</f>
        <v/>
      </c>
      <c r="V4580" s="35" t="str">
        <f aca="false">IF($A4580="","",COUNTIF($U$8:$U$5007,$U4580))</f>
        <v/>
      </c>
    </row>
    <row r="4581" customFormat="false" ht="15" hidden="false" customHeight="false" outlineLevel="0" collapsed="false">
      <c r="A4581" s="31"/>
      <c r="B4581" s="32"/>
      <c r="C4581" s="32"/>
      <c r="D4581" s="32"/>
      <c r="E4581" s="32"/>
      <c r="F4581" s="32"/>
      <c r="G4581" s="33"/>
      <c r="H4581" s="33"/>
      <c r="I4581" s="34" t="str">
        <f aca="false">IF($A4581="","",$G4581-$H4581)</f>
        <v/>
      </c>
      <c r="J4581" s="35" t="str">
        <f aca="false">IF($A4581="","",IF(Setup!$B$6=1,YEAR($A4581),YEAR($A4581)+IF(MONTH($A4581)&gt;=Setup!$B$6,1,0)))</f>
        <v/>
      </c>
      <c r="K4581" s="35" t="str">
        <f aca="false">IF($A4581="","",MOD(MONTH($A4581)-Setup!$B$6+12,12)+1)</f>
        <v/>
      </c>
      <c r="L4581" s="36" t="str">
        <f aca="false">IF($A4581="","",TEXT($A4581,"MMM-YY"))</f>
        <v/>
      </c>
      <c r="M4581" s="37" t="str">
        <f aca="false">IF($A4581="","",IF($Q4581=0,"UNMAPPED",INDEX(COA_Mapping!$C$7:$C$256,$Q4581)))</f>
        <v/>
      </c>
      <c r="N4581" s="38" t="str">
        <f aca="false">IF($A4581="","",IF($Q4581=0,"",INDEX(COA_Mapping!$E$7:$E$256,$Q4581)))</f>
        <v/>
      </c>
      <c r="O4581" s="38" t="n">
        <f aca="false">IF($A4581="",1,IF($Q4581=0,1,INDEX(COA_Mapping!$F$7:$F$256,$Q4581)))</f>
        <v>1</v>
      </c>
      <c r="P4581" s="34" t="str">
        <f aca="false">IF($A4581="","",$I4581*$O4581)</f>
        <v/>
      </c>
      <c r="Q4581" s="39" t="n">
        <f aca="false">IF($B4581="",0,IFERROR(MATCH($B4581,COA_Mapping!$A$7:$A$256,0),0))</f>
        <v>0</v>
      </c>
      <c r="R4581" s="39" t="n">
        <f aca="false">IF($A4581="",-1,IF($J4581=Setup!$B$7,1,IF($J4581=Setup!$B$9,0,-1)))</f>
        <v>-1</v>
      </c>
      <c r="S4581" s="35" t="n">
        <f aca="false">IF(OR($A4581="",$Q4581=0,$R4581=-1),0,$Q4581*1000+$R4581*100+$K4581)</f>
        <v>0</v>
      </c>
      <c r="T4581" s="37" t="str">
        <f aca="false">IF($A4581="","",IF($B4581="","NO ACCOUNT",IF($Q4581=0,"UNMAPPED",IF($R4581=-1,"OUTSIDE FY RANGE","OK"))))</f>
        <v/>
      </c>
      <c r="U4581" s="40" t="str">
        <f aca="false">IF($A4581="","",$B4581&amp;"|"&amp;TEXT($A4581,"yyyymmdd")&amp;"|"&amp;TEXT($I4581,"0.00"))</f>
        <v/>
      </c>
      <c r="V4581" s="35" t="str">
        <f aca="false">IF($A4581="","",COUNTIF($U$8:$U$5007,$U4581))</f>
        <v/>
      </c>
    </row>
    <row r="4582" customFormat="false" ht="15" hidden="false" customHeight="false" outlineLevel="0" collapsed="false">
      <c r="A4582" s="31"/>
      <c r="B4582" s="32"/>
      <c r="C4582" s="32"/>
      <c r="D4582" s="32"/>
      <c r="E4582" s="32"/>
      <c r="F4582" s="32"/>
      <c r="G4582" s="33"/>
      <c r="H4582" s="33"/>
      <c r="I4582" s="34" t="str">
        <f aca="false">IF($A4582="","",$G4582-$H4582)</f>
        <v/>
      </c>
      <c r="J4582" s="35" t="str">
        <f aca="false">IF($A4582="","",IF(Setup!$B$6=1,YEAR($A4582),YEAR($A4582)+IF(MONTH($A4582)&gt;=Setup!$B$6,1,0)))</f>
        <v/>
      </c>
      <c r="K4582" s="35" t="str">
        <f aca="false">IF($A4582="","",MOD(MONTH($A4582)-Setup!$B$6+12,12)+1)</f>
        <v/>
      </c>
      <c r="L4582" s="36" t="str">
        <f aca="false">IF($A4582="","",TEXT($A4582,"MMM-YY"))</f>
        <v/>
      </c>
      <c r="M4582" s="37" t="str">
        <f aca="false">IF($A4582="","",IF($Q4582=0,"UNMAPPED",INDEX(COA_Mapping!$C$7:$C$256,$Q4582)))</f>
        <v/>
      </c>
      <c r="N4582" s="38" t="str">
        <f aca="false">IF($A4582="","",IF($Q4582=0,"",INDEX(COA_Mapping!$E$7:$E$256,$Q4582)))</f>
        <v/>
      </c>
      <c r="O4582" s="38" t="n">
        <f aca="false">IF($A4582="",1,IF($Q4582=0,1,INDEX(COA_Mapping!$F$7:$F$256,$Q4582)))</f>
        <v>1</v>
      </c>
      <c r="P4582" s="34" t="str">
        <f aca="false">IF($A4582="","",$I4582*$O4582)</f>
        <v/>
      </c>
      <c r="Q4582" s="39" t="n">
        <f aca="false">IF($B4582="",0,IFERROR(MATCH($B4582,COA_Mapping!$A$7:$A$256,0),0))</f>
        <v>0</v>
      </c>
      <c r="R4582" s="39" t="n">
        <f aca="false">IF($A4582="",-1,IF($J4582=Setup!$B$7,1,IF($J4582=Setup!$B$9,0,-1)))</f>
        <v>-1</v>
      </c>
      <c r="S4582" s="35" t="n">
        <f aca="false">IF(OR($A4582="",$Q4582=0,$R4582=-1),0,$Q4582*1000+$R4582*100+$K4582)</f>
        <v>0</v>
      </c>
      <c r="T4582" s="37" t="str">
        <f aca="false">IF($A4582="","",IF($B4582="","NO ACCOUNT",IF($Q4582=0,"UNMAPPED",IF($R4582=-1,"OUTSIDE FY RANGE","OK"))))</f>
        <v/>
      </c>
      <c r="U4582" s="40" t="str">
        <f aca="false">IF($A4582="","",$B4582&amp;"|"&amp;TEXT($A4582,"yyyymmdd")&amp;"|"&amp;TEXT($I4582,"0.00"))</f>
        <v/>
      </c>
      <c r="V4582" s="35" t="str">
        <f aca="false">IF($A4582="","",COUNTIF($U$8:$U$5007,$U4582))</f>
        <v/>
      </c>
    </row>
    <row r="4583" customFormat="false" ht="15" hidden="false" customHeight="false" outlineLevel="0" collapsed="false">
      <c r="A4583" s="31"/>
      <c r="B4583" s="32"/>
      <c r="C4583" s="32"/>
      <c r="D4583" s="32"/>
      <c r="E4583" s="32"/>
      <c r="F4583" s="32"/>
      <c r="G4583" s="33"/>
      <c r="H4583" s="33"/>
      <c r="I4583" s="34" t="str">
        <f aca="false">IF($A4583="","",$G4583-$H4583)</f>
        <v/>
      </c>
      <c r="J4583" s="35" t="str">
        <f aca="false">IF($A4583="","",IF(Setup!$B$6=1,YEAR($A4583),YEAR($A4583)+IF(MONTH($A4583)&gt;=Setup!$B$6,1,0)))</f>
        <v/>
      </c>
      <c r="K4583" s="35" t="str">
        <f aca="false">IF($A4583="","",MOD(MONTH($A4583)-Setup!$B$6+12,12)+1)</f>
        <v/>
      </c>
      <c r="L4583" s="36" t="str">
        <f aca="false">IF($A4583="","",TEXT($A4583,"MMM-YY"))</f>
        <v/>
      </c>
      <c r="M4583" s="37" t="str">
        <f aca="false">IF($A4583="","",IF($Q4583=0,"UNMAPPED",INDEX(COA_Mapping!$C$7:$C$256,$Q4583)))</f>
        <v/>
      </c>
      <c r="N4583" s="38" t="str">
        <f aca="false">IF($A4583="","",IF($Q4583=0,"",INDEX(COA_Mapping!$E$7:$E$256,$Q4583)))</f>
        <v/>
      </c>
      <c r="O4583" s="38" t="n">
        <f aca="false">IF($A4583="",1,IF($Q4583=0,1,INDEX(COA_Mapping!$F$7:$F$256,$Q4583)))</f>
        <v>1</v>
      </c>
      <c r="P4583" s="34" t="str">
        <f aca="false">IF($A4583="","",$I4583*$O4583)</f>
        <v/>
      </c>
      <c r="Q4583" s="39" t="n">
        <f aca="false">IF($B4583="",0,IFERROR(MATCH($B4583,COA_Mapping!$A$7:$A$256,0),0))</f>
        <v>0</v>
      </c>
      <c r="R4583" s="39" t="n">
        <f aca="false">IF($A4583="",-1,IF($J4583=Setup!$B$7,1,IF($J4583=Setup!$B$9,0,-1)))</f>
        <v>-1</v>
      </c>
      <c r="S4583" s="35" t="n">
        <f aca="false">IF(OR($A4583="",$Q4583=0,$R4583=-1),0,$Q4583*1000+$R4583*100+$K4583)</f>
        <v>0</v>
      </c>
      <c r="T4583" s="37" t="str">
        <f aca="false">IF($A4583="","",IF($B4583="","NO ACCOUNT",IF($Q4583=0,"UNMAPPED",IF($R4583=-1,"OUTSIDE FY RANGE","OK"))))</f>
        <v/>
      </c>
      <c r="U4583" s="40" t="str">
        <f aca="false">IF($A4583="","",$B4583&amp;"|"&amp;TEXT($A4583,"yyyymmdd")&amp;"|"&amp;TEXT($I4583,"0.00"))</f>
        <v/>
      </c>
      <c r="V4583" s="35" t="str">
        <f aca="false">IF($A4583="","",COUNTIF($U$8:$U$5007,$U4583))</f>
        <v/>
      </c>
    </row>
    <row r="4584" customFormat="false" ht="15" hidden="false" customHeight="false" outlineLevel="0" collapsed="false">
      <c r="A4584" s="31"/>
      <c r="B4584" s="32"/>
      <c r="C4584" s="32"/>
      <c r="D4584" s="32"/>
      <c r="E4584" s="32"/>
      <c r="F4584" s="32"/>
      <c r="G4584" s="33"/>
      <c r="H4584" s="33"/>
      <c r="I4584" s="34" t="str">
        <f aca="false">IF($A4584="","",$G4584-$H4584)</f>
        <v/>
      </c>
      <c r="J4584" s="35" t="str">
        <f aca="false">IF($A4584="","",IF(Setup!$B$6=1,YEAR($A4584),YEAR($A4584)+IF(MONTH($A4584)&gt;=Setup!$B$6,1,0)))</f>
        <v/>
      </c>
      <c r="K4584" s="35" t="str">
        <f aca="false">IF($A4584="","",MOD(MONTH($A4584)-Setup!$B$6+12,12)+1)</f>
        <v/>
      </c>
      <c r="L4584" s="36" t="str">
        <f aca="false">IF($A4584="","",TEXT($A4584,"MMM-YY"))</f>
        <v/>
      </c>
      <c r="M4584" s="37" t="str">
        <f aca="false">IF($A4584="","",IF($Q4584=0,"UNMAPPED",INDEX(COA_Mapping!$C$7:$C$256,$Q4584)))</f>
        <v/>
      </c>
      <c r="N4584" s="38" t="str">
        <f aca="false">IF($A4584="","",IF($Q4584=0,"",INDEX(COA_Mapping!$E$7:$E$256,$Q4584)))</f>
        <v/>
      </c>
      <c r="O4584" s="38" t="n">
        <f aca="false">IF($A4584="",1,IF($Q4584=0,1,INDEX(COA_Mapping!$F$7:$F$256,$Q4584)))</f>
        <v>1</v>
      </c>
      <c r="P4584" s="34" t="str">
        <f aca="false">IF($A4584="","",$I4584*$O4584)</f>
        <v/>
      </c>
      <c r="Q4584" s="39" t="n">
        <f aca="false">IF($B4584="",0,IFERROR(MATCH($B4584,COA_Mapping!$A$7:$A$256,0),0))</f>
        <v>0</v>
      </c>
      <c r="R4584" s="39" t="n">
        <f aca="false">IF($A4584="",-1,IF($J4584=Setup!$B$7,1,IF($J4584=Setup!$B$9,0,-1)))</f>
        <v>-1</v>
      </c>
      <c r="S4584" s="35" t="n">
        <f aca="false">IF(OR($A4584="",$Q4584=0,$R4584=-1),0,$Q4584*1000+$R4584*100+$K4584)</f>
        <v>0</v>
      </c>
      <c r="T4584" s="37" t="str">
        <f aca="false">IF($A4584="","",IF($B4584="","NO ACCOUNT",IF($Q4584=0,"UNMAPPED",IF($R4584=-1,"OUTSIDE FY RANGE","OK"))))</f>
        <v/>
      </c>
      <c r="U4584" s="40" t="str">
        <f aca="false">IF($A4584="","",$B4584&amp;"|"&amp;TEXT($A4584,"yyyymmdd")&amp;"|"&amp;TEXT($I4584,"0.00"))</f>
        <v/>
      </c>
      <c r="V4584" s="35" t="str">
        <f aca="false">IF($A4584="","",COUNTIF($U$8:$U$5007,$U4584))</f>
        <v/>
      </c>
    </row>
    <row r="4585" customFormat="false" ht="15" hidden="false" customHeight="false" outlineLevel="0" collapsed="false">
      <c r="A4585" s="31"/>
      <c r="B4585" s="32"/>
      <c r="C4585" s="32"/>
      <c r="D4585" s="32"/>
      <c r="E4585" s="32"/>
      <c r="F4585" s="32"/>
      <c r="G4585" s="33"/>
      <c r="H4585" s="33"/>
      <c r="I4585" s="34" t="str">
        <f aca="false">IF($A4585="","",$G4585-$H4585)</f>
        <v/>
      </c>
      <c r="J4585" s="35" t="str">
        <f aca="false">IF($A4585="","",IF(Setup!$B$6=1,YEAR($A4585),YEAR($A4585)+IF(MONTH($A4585)&gt;=Setup!$B$6,1,0)))</f>
        <v/>
      </c>
      <c r="K4585" s="35" t="str">
        <f aca="false">IF($A4585="","",MOD(MONTH($A4585)-Setup!$B$6+12,12)+1)</f>
        <v/>
      </c>
      <c r="L4585" s="36" t="str">
        <f aca="false">IF($A4585="","",TEXT($A4585,"MMM-YY"))</f>
        <v/>
      </c>
      <c r="M4585" s="37" t="str">
        <f aca="false">IF($A4585="","",IF($Q4585=0,"UNMAPPED",INDEX(COA_Mapping!$C$7:$C$256,$Q4585)))</f>
        <v/>
      </c>
      <c r="N4585" s="38" t="str">
        <f aca="false">IF($A4585="","",IF($Q4585=0,"",INDEX(COA_Mapping!$E$7:$E$256,$Q4585)))</f>
        <v/>
      </c>
      <c r="O4585" s="38" t="n">
        <f aca="false">IF($A4585="",1,IF($Q4585=0,1,INDEX(COA_Mapping!$F$7:$F$256,$Q4585)))</f>
        <v>1</v>
      </c>
      <c r="P4585" s="34" t="str">
        <f aca="false">IF($A4585="","",$I4585*$O4585)</f>
        <v/>
      </c>
      <c r="Q4585" s="39" t="n">
        <f aca="false">IF($B4585="",0,IFERROR(MATCH($B4585,COA_Mapping!$A$7:$A$256,0),0))</f>
        <v>0</v>
      </c>
      <c r="R4585" s="39" t="n">
        <f aca="false">IF($A4585="",-1,IF($J4585=Setup!$B$7,1,IF($J4585=Setup!$B$9,0,-1)))</f>
        <v>-1</v>
      </c>
      <c r="S4585" s="35" t="n">
        <f aca="false">IF(OR($A4585="",$Q4585=0,$R4585=-1),0,$Q4585*1000+$R4585*100+$K4585)</f>
        <v>0</v>
      </c>
      <c r="T4585" s="37" t="str">
        <f aca="false">IF($A4585="","",IF($B4585="","NO ACCOUNT",IF($Q4585=0,"UNMAPPED",IF($R4585=-1,"OUTSIDE FY RANGE","OK"))))</f>
        <v/>
      </c>
      <c r="U4585" s="40" t="str">
        <f aca="false">IF($A4585="","",$B4585&amp;"|"&amp;TEXT($A4585,"yyyymmdd")&amp;"|"&amp;TEXT($I4585,"0.00"))</f>
        <v/>
      </c>
      <c r="V4585" s="35" t="str">
        <f aca="false">IF($A4585="","",COUNTIF($U$8:$U$5007,$U4585))</f>
        <v/>
      </c>
    </row>
    <row r="4586" customFormat="false" ht="15" hidden="false" customHeight="false" outlineLevel="0" collapsed="false">
      <c r="A4586" s="31"/>
      <c r="B4586" s="32"/>
      <c r="C4586" s="32"/>
      <c r="D4586" s="32"/>
      <c r="E4586" s="32"/>
      <c r="F4586" s="32"/>
      <c r="G4586" s="33"/>
      <c r="H4586" s="33"/>
      <c r="I4586" s="34" t="str">
        <f aca="false">IF($A4586="","",$G4586-$H4586)</f>
        <v/>
      </c>
      <c r="J4586" s="35" t="str">
        <f aca="false">IF($A4586="","",IF(Setup!$B$6=1,YEAR($A4586),YEAR($A4586)+IF(MONTH($A4586)&gt;=Setup!$B$6,1,0)))</f>
        <v/>
      </c>
      <c r="K4586" s="35" t="str">
        <f aca="false">IF($A4586="","",MOD(MONTH($A4586)-Setup!$B$6+12,12)+1)</f>
        <v/>
      </c>
      <c r="L4586" s="36" t="str">
        <f aca="false">IF($A4586="","",TEXT($A4586,"MMM-YY"))</f>
        <v/>
      </c>
      <c r="M4586" s="37" t="str">
        <f aca="false">IF($A4586="","",IF($Q4586=0,"UNMAPPED",INDEX(COA_Mapping!$C$7:$C$256,$Q4586)))</f>
        <v/>
      </c>
      <c r="N4586" s="38" t="str">
        <f aca="false">IF($A4586="","",IF($Q4586=0,"",INDEX(COA_Mapping!$E$7:$E$256,$Q4586)))</f>
        <v/>
      </c>
      <c r="O4586" s="38" t="n">
        <f aca="false">IF($A4586="",1,IF($Q4586=0,1,INDEX(COA_Mapping!$F$7:$F$256,$Q4586)))</f>
        <v>1</v>
      </c>
      <c r="P4586" s="34" t="str">
        <f aca="false">IF($A4586="","",$I4586*$O4586)</f>
        <v/>
      </c>
      <c r="Q4586" s="39" t="n">
        <f aca="false">IF($B4586="",0,IFERROR(MATCH($B4586,COA_Mapping!$A$7:$A$256,0),0))</f>
        <v>0</v>
      </c>
      <c r="R4586" s="39" t="n">
        <f aca="false">IF($A4586="",-1,IF($J4586=Setup!$B$7,1,IF($J4586=Setup!$B$9,0,-1)))</f>
        <v>-1</v>
      </c>
      <c r="S4586" s="35" t="n">
        <f aca="false">IF(OR($A4586="",$Q4586=0,$R4586=-1),0,$Q4586*1000+$R4586*100+$K4586)</f>
        <v>0</v>
      </c>
      <c r="T4586" s="37" t="str">
        <f aca="false">IF($A4586="","",IF($B4586="","NO ACCOUNT",IF($Q4586=0,"UNMAPPED",IF($R4586=-1,"OUTSIDE FY RANGE","OK"))))</f>
        <v/>
      </c>
      <c r="U4586" s="40" t="str">
        <f aca="false">IF($A4586="","",$B4586&amp;"|"&amp;TEXT($A4586,"yyyymmdd")&amp;"|"&amp;TEXT($I4586,"0.00"))</f>
        <v/>
      </c>
      <c r="V4586" s="35" t="str">
        <f aca="false">IF($A4586="","",COUNTIF($U$8:$U$5007,$U4586))</f>
        <v/>
      </c>
    </row>
    <row r="4587" customFormat="false" ht="15" hidden="false" customHeight="false" outlineLevel="0" collapsed="false">
      <c r="A4587" s="31"/>
      <c r="B4587" s="32"/>
      <c r="C4587" s="32"/>
      <c r="D4587" s="32"/>
      <c r="E4587" s="32"/>
      <c r="F4587" s="32"/>
      <c r="G4587" s="33"/>
      <c r="H4587" s="33"/>
      <c r="I4587" s="34" t="str">
        <f aca="false">IF($A4587="","",$G4587-$H4587)</f>
        <v/>
      </c>
      <c r="J4587" s="35" t="str">
        <f aca="false">IF($A4587="","",IF(Setup!$B$6=1,YEAR($A4587),YEAR($A4587)+IF(MONTH($A4587)&gt;=Setup!$B$6,1,0)))</f>
        <v/>
      </c>
      <c r="K4587" s="35" t="str">
        <f aca="false">IF($A4587="","",MOD(MONTH($A4587)-Setup!$B$6+12,12)+1)</f>
        <v/>
      </c>
      <c r="L4587" s="36" t="str">
        <f aca="false">IF($A4587="","",TEXT($A4587,"MMM-YY"))</f>
        <v/>
      </c>
      <c r="M4587" s="37" t="str">
        <f aca="false">IF($A4587="","",IF($Q4587=0,"UNMAPPED",INDEX(COA_Mapping!$C$7:$C$256,$Q4587)))</f>
        <v/>
      </c>
      <c r="N4587" s="38" t="str">
        <f aca="false">IF($A4587="","",IF($Q4587=0,"",INDEX(COA_Mapping!$E$7:$E$256,$Q4587)))</f>
        <v/>
      </c>
      <c r="O4587" s="38" t="n">
        <f aca="false">IF($A4587="",1,IF($Q4587=0,1,INDEX(COA_Mapping!$F$7:$F$256,$Q4587)))</f>
        <v>1</v>
      </c>
      <c r="P4587" s="34" t="str">
        <f aca="false">IF($A4587="","",$I4587*$O4587)</f>
        <v/>
      </c>
      <c r="Q4587" s="39" t="n">
        <f aca="false">IF($B4587="",0,IFERROR(MATCH($B4587,COA_Mapping!$A$7:$A$256,0),0))</f>
        <v>0</v>
      </c>
      <c r="R4587" s="39" t="n">
        <f aca="false">IF($A4587="",-1,IF($J4587=Setup!$B$7,1,IF($J4587=Setup!$B$9,0,-1)))</f>
        <v>-1</v>
      </c>
      <c r="S4587" s="35" t="n">
        <f aca="false">IF(OR($A4587="",$Q4587=0,$R4587=-1),0,$Q4587*1000+$R4587*100+$K4587)</f>
        <v>0</v>
      </c>
      <c r="T4587" s="37" t="str">
        <f aca="false">IF($A4587="","",IF($B4587="","NO ACCOUNT",IF($Q4587=0,"UNMAPPED",IF($R4587=-1,"OUTSIDE FY RANGE","OK"))))</f>
        <v/>
      </c>
      <c r="U4587" s="40" t="str">
        <f aca="false">IF($A4587="","",$B4587&amp;"|"&amp;TEXT($A4587,"yyyymmdd")&amp;"|"&amp;TEXT($I4587,"0.00"))</f>
        <v/>
      </c>
      <c r="V4587" s="35" t="str">
        <f aca="false">IF($A4587="","",COUNTIF($U$8:$U$5007,$U4587))</f>
        <v/>
      </c>
    </row>
    <row r="4588" customFormat="false" ht="15" hidden="false" customHeight="false" outlineLevel="0" collapsed="false">
      <c r="A4588" s="31"/>
      <c r="B4588" s="32"/>
      <c r="C4588" s="32"/>
      <c r="D4588" s="32"/>
      <c r="E4588" s="32"/>
      <c r="F4588" s="32"/>
      <c r="G4588" s="33"/>
      <c r="H4588" s="33"/>
      <c r="I4588" s="34" t="str">
        <f aca="false">IF($A4588="","",$G4588-$H4588)</f>
        <v/>
      </c>
      <c r="J4588" s="35" t="str">
        <f aca="false">IF($A4588="","",IF(Setup!$B$6=1,YEAR($A4588),YEAR($A4588)+IF(MONTH($A4588)&gt;=Setup!$B$6,1,0)))</f>
        <v/>
      </c>
      <c r="K4588" s="35" t="str">
        <f aca="false">IF($A4588="","",MOD(MONTH($A4588)-Setup!$B$6+12,12)+1)</f>
        <v/>
      </c>
      <c r="L4588" s="36" t="str">
        <f aca="false">IF($A4588="","",TEXT($A4588,"MMM-YY"))</f>
        <v/>
      </c>
      <c r="M4588" s="37" t="str">
        <f aca="false">IF($A4588="","",IF($Q4588=0,"UNMAPPED",INDEX(COA_Mapping!$C$7:$C$256,$Q4588)))</f>
        <v/>
      </c>
      <c r="N4588" s="38" t="str">
        <f aca="false">IF($A4588="","",IF($Q4588=0,"",INDEX(COA_Mapping!$E$7:$E$256,$Q4588)))</f>
        <v/>
      </c>
      <c r="O4588" s="38" t="n">
        <f aca="false">IF($A4588="",1,IF($Q4588=0,1,INDEX(COA_Mapping!$F$7:$F$256,$Q4588)))</f>
        <v>1</v>
      </c>
      <c r="P4588" s="34" t="str">
        <f aca="false">IF($A4588="","",$I4588*$O4588)</f>
        <v/>
      </c>
      <c r="Q4588" s="39" t="n">
        <f aca="false">IF($B4588="",0,IFERROR(MATCH($B4588,COA_Mapping!$A$7:$A$256,0),0))</f>
        <v>0</v>
      </c>
      <c r="R4588" s="39" t="n">
        <f aca="false">IF($A4588="",-1,IF($J4588=Setup!$B$7,1,IF($J4588=Setup!$B$9,0,-1)))</f>
        <v>-1</v>
      </c>
      <c r="S4588" s="35" t="n">
        <f aca="false">IF(OR($A4588="",$Q4588=0,$R4588=-1),0,$Q4588*1000+$R4588*100+$K4588)</f>
        <v>0</v>
      </c>
      <c r="T4588" s="37" t="str">
        <f aca="false">IF($A4588="","",IF($B4588="","NO ACCOUNT",IF($Q4588=0,"UNMAPPED",IF($R4588=-1,"OUTSIDE FY RANGE","OK"))))</f>
        <v/>
      </c>
      <c r="U4588" s="40" t="str">
        <f aca="false">IF($A4588="","",$B4588&amp;"|"&amp;TEXT($A4588,"yyyymmdd")&amp;"|"&amp;TEXT($I4588,"0.00"))</f>
        <v/>
      </c>
      <c r="V4588" s="35" t="str">
        <f aca="false">IF($A4588="","",COUNTIF($U$8:$U$5007,$U4588))</f>
        <v/>
      </c>
    </row>
    <row r="4589" customFormat="false" ht="15" hidden="false" customHeight="false" outlineLevel="0" collapsed="false">
      <c r="A4589" s="31"/>
      <c r="B4589" s="32"/>
      <c r="C4589" s="32"/>
      <c r="D4589" s="32"/>
      <c r="E4589" s="32"/>
      <c r="F4589" s="32"/>
      <c r="G4589" s="33"/>
      <c r="H4589" s="33"/>
      <c r="I4589" s="34" t="str">
        <f aca="false">IF($A4589="","",$G4589-$H4589)</f>
        <v/>
      </c>
      <c r="J4589" s="35" t="str">
        <f aca="false">IF($A4589="","",IF(Setup!$B$6=1,YEAR($A4589),YEAR($A4589)+IF(MONTH($A4589)&gt;=Setup!$B$6,1,0)))</f>
        <v/>
      </c>
      <c r="K4589" s="35" t="str">
        <f aca="false">IF($A4589="","",MOD(MONTH($A4589)-Setup!$B$6+12,12)+1)</f>
        <v/>
      </c>
      <c r="L4589" s="36" t="str">
        <f aca="false">IF($A4589="","",TEXT($A4589,"MMM-YY"))</f>
        <v/>
      </c>
      <c r="M4589" s="37" t="str">
        <f aca="false">IF($A4589="","",IF($Q4589=0,"UNMAPPED",INDEX(COA_Mapping!$C$7:$C$256,$Q4589)))</f>
        <v/>
      </c>
      <c r="N4589" s="38" t="str">
        <f aca="false">IF($A4589="","",IF($Q4589=0,"",INDEX(COA_Mapping!$E$7:$E$256,$Q4589)))</f>
        <v/>
      </c>
      <c r="O4589" s="38" t="n">
        <f aca="false">IF($A4589="",1,IF($Q4589=0,1,INDEX(COA_Mapping!$F$7:$F$256,$Q4589)))</f>
        <v>1</v>
      </c>
      <c r="P4589" s="34" t="str">
        <f aca="false">IF($A4589="","",$I4589*$O4589)</f>
        <v/>
      </c>
      <c r="Q4589" s="39" t="n">
        <f aca="false">IF($B4589="",0,IFERROR(MATCH($B4589,COA_Mapping!$A$7:$A$256,0),0))</f>
        <v>0</v>
      </c>
      <c r="R4589" s="39" t="n">
        <f aca="false">IF($A4589="",-1,IF($J4589=Setup!$B$7,1,IF($J4589=Setup!$B$9,0,-1)))</f>
        <v>-1</v>
      </c>
      <c r="S4589" s="35" t="n">
        <f aca="false">IF(OR($A4589="",$Q4589=0,$R4589=-1),0,$Q4589*1000+$R4589*100+$K4589)</f>
        <v>0</v>
      </c>
      <c r="T4589" s="37" t="str">
        <f aca="false">IF($A4589="","",IF($B4589="","NO ACCOUNT",IF($Q4589=0,"UNMAPPED",IF($R4589=-1,"OUTSIDE FY RANGE","OK"))))</f>
        <v/>
      </c>
      <c r="U4589" s="40" t="str">
        <f aca="false">IF($A4589="","",$B4589&amp;"|"&amp;TEXT($A4589,"yyyymmdd")&amp;"|"&amp;TEXT($I4589,"0.00"))</f>
        <v/>
      </c>
      <c r="V4589" s="35" t="str">
        <f aca="false">IF($A4589="","",COUNTIF($U$8:$U$5007,$U4589))</f>
        <v/>
      </c>
    </row>
    <row r="4590" customFormat="false" ht="15" hidden="false" customHeight="false" outlineLevel="0" collapsed="false">
      <c r="A4590" s="31"/>
      <c r="B4590" s="32"/>
      <c r="C4590" s="32"/>
      <c r="D4590" s="32"/>
      <c r="E4590" s="32"/>
      <c r="F4590" s="32"/>
      <c r="G4590" s="33"/>
      <c r="H4590" s="33"/>
      <c r="I4590" s="34" t="str">
        <f aca="false">IF($A4590="","",$G4590-$H4590)</f>
        <v/>
      </c>
      <c r="J4590" s="35" t="str">
        <f aca="false">IF($A4590="","",IF(Setup!$B$6=1,YEAR($A4590),YEAR($A4590)+IF(MONTH($A4590)&gt;=Setup!$B$6,1,0)))</f>
        <v/>
      </c>
      <c r="K4590" s="35" t="str">
        <f aca="false">IF($A4590="","",MOD(MONTH($A4590)-Setup!$B$6+12,12)+1)</f>
        <v/>
      </c>
      <c r="L4590" s="36" t="str">
        <f aca="false">IF($A4590="","",TEXT($A4590,"MMM-YY"))</f>
        <v/>
      </c>
      <c r="M4590" s="37" t="str">
        <f aca="false">IF($A4590="","",IF($Q4590=0,"UNMAPPED",INDEX(COA_Mapping!$C$7:$C$256,$Q4590)))</f>
        <v/>
      </c>
      <c r="N4590" s="38" t="str">
        <f aca="false">IF($A4590="","",IF($Q4590=0,"",INDEX(COA_Mapping!$E$7:$E$256,$Q4590)))</f>
        <v/>
      </c>
      <c r="O4590" s="38" t="n">
        <f aca="false">IF($A4590="",1,IF($Q4590=0,1,INDEX(COA_Mapping!$F$7:$F$256,$Q4590)))</f>
        <v>1</v>
      </c>
      <c r="P4590" s="34" t="str">
        <f aca="false">IF($A4590="","",$I4590*$O4590)</f>
        <v/>
      </c>
      <c r="Q4590" s="39" t="n">
        <f aca="false">IF($B4590="",0,IFERROR(MATCH($B4590,COA_Mapping!$A$7:$A$256,0),0))</f>
        <v>0</v>
      </c>
      <c r="R4590" s="39" t="n">
        <f aca="false">IF($A4590="",-1,IF($J4590=Setup!$B$7,1,IF($J4590=Setup!$B$9,0,-1)))</f>
        <v>-1</v>
      </c>
      <c r="S4590" s="35" t="n">
        <f aca="false">IF(OR($A4590="",$Q4590=0,$R4590=-1),0,$Q4590*1000+$R4590*100+$K4590)</f>
        <v>0</v>
      </c>
      <c r="T4590" s="37" t="str">
        <f aca="false">IF($A4590="","",IF($B4590="","NO ACCOUNT",IF($Q4590=0,"UNMAPPED",IF($R4590=-1,"OUTSIDE FY RANGE","OK"))))</f>
        <v/>
      </c>
      <c r="U4590" s="40" t="str">
        <f aca="false">IF($A4590="","",$B4590&amp;"|"&amp;TEXT($A4590,"yyyymmdd")&amp;"|"&amp;TEXT($I4590,"0.00"))</f>
        <v/>
      </c>
      <c r="V4590" s="35" t="str">
        <f aca="false">IF($A4590="","",COUNTIF($U$8:$U$5007,$U4590))</f>
        <v/>
      </c>
    </row>
    <row r="4591" customFormat="false" ht="15" hidden="false" customHeight="false" outlineLevel="0" collapsed="false">
      <c r="A4591" s="31"/>
      <c r="B4591" s="32"/>
      <c r="C4591" s="32"/>
      <c r="D4591" s="32"/>
      <c r="E4591" s="32"/>
      <c r="F4591" s="32"/>
      <c r="G4591" s="33"/>
      <c r="H4591" s="33"/>
      <c r="I4591" s="34" t="str">
        <f aca="false">IF($A4591="","",$G4591-$H4591)</f>
        <v/>
      </c>
      <c r="J4591" s="35" t="str">
        <f aca="false">IF($A4591="","",IF(Setup!$B$6=1,YEAR($A4591),YEAR($A4591)+IF(MONTH($A4591)&gt;=Setup!$B$6,1,0)))</f>
        <v/>
      </c>
      <c r="K4591" s="35" t="str">
        <f aca="false">IF($A4591="","",MOD(MONTH($A4591)-Setup!$B$6+12,12)+1)</f>
        <v/>
      </c>
      <c r="L4591" s="36" t="str">
        <f aca="false">IF($A4591="","",TEXT($A4591,"MMM-YY"))</f>
        <v/>
      </c>
      <c r="M4591" s="37" t="str">
        <f aca="false">IF($A4591="","",IF($Q4591=0,"UNMAPPED",INDEX(COA_Mapping!$C$7:$C$256,$Q4591)))</f>
        <v/>
      </c>
      <c r="N4591" s="38" t="str">
        <f aca="false">IF($A4591="","",IF($Q4591=0,"",INDEX(COA_Mapping!$E$7:$E$256,$Q4591)))</f>
        <v/>
      </c>
      <c r="O4591" s="38" t="n">
        <f aca="false">IF($A4591="",1,IF($Q4591=0,1,INDEX(COA_Mapping!$F$7:$F$256,$Q4591)))</f>
        <v>1</v>
      </c>
      <c r="P4591" s="34" t="str">
        <f aca="false">IF($A4591="","",$I4591*$O4591)</f>
        <v/>
      </c>
      <c r="Q4591" s="39" t="n">
        <f aca="false">IF($B4591="",0,IFERROR(MATCH($B4591,COA_Mapping!$A$7:$A$256,0),0))</f>
        <v>0</v>
      </c>
      <c r="R4591" s="39" t="n">
        <f aca="false">IF($A4591="",-1,IF($J4591=Setup!$B$7,1,IF($J4591=Setup!$B$9,0,-1)))</f>
        <v>-1</v>
      </c>
      <c r="S4591" s="35" t="n">
        <f aca="false">IF(OR($A4591="",$Q4591=0,$R4591=-1),0,$Q4591*1000+$R4591*100+$K4591)</f>
        <v>0</v>
      </c>
      <c r="T4591" s="37" t="str">
        <f aca="false">IF($A4591="","",IF($B4591="","NO ACCOUNT",IF($Q4591=0,"UNMAPPED",IF($R4591=-1,"OUTSIDE FY RANGE","OK"))))</f>
        <v/>
      </c>
      <c r="U4591" s="40" t="str">
        <f aca="false">IF($A4591="","",$B4591&amp;"|"&amp;TEXT($A4591,"yyyymmdd")&amp;"|"&amp;TEXT($I4591,"0.00"))</f>
        <v/>
      </c>
      <c r="V4591" s="35" t="str">
        <f aca="false">IF($A4591="","",COUNTIF($U$8:$U$5007,$U4591))</f>
        <v/>
      </c>
    </row>
    <row r="4592" customFormat="false" ht="15" hidden="false" customHeight="false" outlineLevel="0" collapsed="false">
      <c r="A4592" s="31"/>
      <c r="B4592" s="32"/>
      <c r="C4592" s="32"/>
      <c r="D4592" s="32"/>
      <c r="E4592" s="32"/>
      <c r="F4592" s="32"/>
      <c r="G4592" s="33"/>
      <c r="H4592" s="33"/>
      <c r="I4592" s="34" t="str">
        <f aca="false">IF($A4592="","",$G4592-$H4592)</f>
        <v/>
      </c>
      <c r="J4592" s="35" t="str">
        <f aca="false">IF($A4592="","",IF(Setup!$B$6=1,YEAR($A4592),YEAR($A4592)+IF(MONTH($A4592)&gt;=Setup!$B$6,1,0)))</f>
        <v/>
      </c>
      <c r="K4592" s="35" t="str">
        <f aca="false">IF($A4592="","",MOD(MONTH($A4592)-Setup!$B$6+12,12)+1)</f>
        <v/>
      </c>
      <c r="L4592" s="36" t="str">
        <f aca="false">IF($A4592="","",TEXT($A4592,"MMM-YY"))</f>
        <v/>
      </c>
      <c r="M4592" s="37" t="str">
        <f aca="false">IF($A4592="","",IF($Q4592=0,"UNMAPPED",INDEX(COA_Mapping!$C$7:$C$256,$Q4592)))</f>
        <v/>
      </c>
      <c r="N4592" s="38" t="str">
        <f aca="false">IF($A4592="","",IF($Q4592=0,"",INDEX(COA_Mapping!$E$7:$E$256,$Q4592)))</f>
        <v/>
      </c>
      <c r="O4592" s="38" t="n">
        <f aca="false">IF($A4592="",1,IF($Q4592=0,1,INDEX(COA_Mapping!$F$7:$F$256,$Q4592)))</f>
        <v>1</v>
      </c>
      <c r="P4592" s="34" t="str">
        <f aca="false">IF($A4592="","",$I4592*$O4592)</f>
        <v/>
      </c>
      <c r="Q4592" s="39" t="n">
        <f aca="false">IF($B4592="",0,IFERROR(MATCH($B4592,COA_Mapping!$A$7:$A$256,0),0))</f>
        <v>0</v>
      </c>
      <c r="R4592" s="39" t="n">
        <f aca="false">IF($A4592="",-1,IF($J4592=Setup!$B$7,1,IF($J4592=Setup!$B$9,0,-1)))</f>
        <v>-1</v>
      </c>
      <c r="S4592" s="35" t="n">
        <f aca="false">IF(OR($A4592="",$Q4592=0,$R4592=-1),0,$Q4592*1000+$R4592*100+$K4592)</f>
        <v>0</v>
      </c>
      <c r="T4592" s="37" t="str">
        <f aca="false">IF($A4592="","",IF($B4592="","NO ACCOUNT",IF($Q4592=0,"UNMAPPED",IF($R4592=-1,"OUTSIDE FY RANGE","OK"))))</f>
        <v/>
      </c>
      <c r="U4592" s="40" t="str">
        <f aca="false">IF($A4592="","",$B4592&amp;"|"&amp;TEXT($A4592,"yyyymmdd")&amp;"|"&amp;TEXT($I4592,"0.00"))</f>
        <v/>
      </c>
      <c r="V4592" s="35" t="str">
        <f aca="false">IF($A4592="","",COUNTIF($U$8:$U$5007,$U4592))</f>
        <v/>
      </c>
    </row>
    <row r="4593" customFormat="false" ht="15" hidden="false" customHeight="false" outlineLevel="0" collapsed="false">
      <c r="A4593" s="31"/>
      <c r="B4593" s="32"/>
      <c r="C4593" s="32"/>
      <c r="D4593" s="32"/>
      <c r="E4593" s="32"/>
      <c r="F4593" s="32"/>
      <c r="G4593" s="33"/>
      <c r="H4593" s="33"/>
      <c r="I4593" s="34" t="str">
        <f aca="false">IF($A4593="","",$G4593-$H4593)</f>
        <v/>
      </c>
      <c r="J4593" s="35" t="str">
        <f aca="false">IF($A4593="","",IF(Setup!$B$6=1,YEAR($A4593),YEAR($A4593)+IF(MONTH($A4593)&gt;=Setup!$B$6,1,0)))</f>
        <v/>
      </c>
      <c r="K4593" s="35" t="str">
        <f aca="false">IF($A4593="","",MOD(MONTH($A4593)-Setup!$B$6+12,12)+1)</f>
        <v/>
      </c>
      <c r="L4593" s="36" t="str">
        <f aca="false">IF($A4593="","",TEXT($A4593,"MMM-YY"))</f>
        <v/>
      </c>
      <c r="M4593" s="37" t="str">
        <f aca="false">IF($A4593="","",IF($Q4593=0,"UNMAPPED",INDEX(COA_Mapping!$C$7:$C$256,$Q4593)))</f>
        <v/>
      </c>
      <c r="N4593" s="38" t="str">
        <f aca="false">IF($A4593="","",IF($Q4593=0,"",INDEX(COA_Mapping!$E$7:$E$256,$Q4593)))</f>
        <v/>
      </c>
      <c r="O4593" s="38" t="n">
        <f aca="false">IF($A4593="",1,IF($Q4593=0,1,INDEX(COA_Mapping!$F$7:$F$256,$Q4593)))</f>
        <v>1</v>
      </c>
      <c r="P4593" s="34" t="str">
        <f aca="false">IF($A4593="","",$I4593*$O4593)</f>
        <v/>
      </c>
      <c r="Q4593" s="39" t="n">
        <f aca="false">IF($B4593="",0,IFERROR(MATCH($B4593,COA_Mapping!$A$7:$A$256,0),0))</f>
        <v>0</v>
      </c>
      <c r="R4593" s="39" t="n">
        <f aca="false">IF($A4593="",-1,IF($J4593=Setup!$B$7,1,IF($J4593=Setup!$B$9,0,-1)))</f>
        <v>-1</v>
      </c>
      <c r="S4593" s="35" t="n">
        <f aca="false">IF(OR($A4593="",$Q4593=0,$R4593=-1),0,$Q4593*1000+$R4593*100+$K4593)</f>
        <v>0</v>
      </c>
      <c r="T4593" s="37" t="str">
        <f aca="false">IF($A4593="","",IF($B4593="","NO ACCOUNT",IF($Q4593=0,"UNMAPPED",IF($R4593=-1,"OUTSIDE FY RANGE","OK"))))</f>
        <v/>
      </c>
      <c r="U4593" s="40" t="str">
        <f aca="false">IF($A4593="","",$B4593&amp;"|"&amp;TEXT($A4593,"yyyymmdd")&amp;"|"&amp;TEXT($I4593,"0.00"))</f>
        <v/>
      </c>
      <c r="V4593" s="35" t="str">
        <f aca="false">IF($A4593="","",COUNTIF($U$8:$U$5007,$U4593))</f>
        <v/>
      </c>
    </row>
    <row r="4594" customFormat="false" ht="15" hidden="false" customHeight="false" outlineLevel="0" collapsed="false">
      <c r="A4594" s="31"/>
      <c r="B4594" s="32"/>
      <c r="C4594" s="32"/>
      <c r="D4594" s="32"/>
      <c r="E4594" s="32"/>
      <c r="F4594" s="32"/>
      <c r="G4594" s="33"/>
      <c r="H4594" s="33"/>
      <c r="I4594" s="34" t="str">
        <f aca="false">IF($A4594="","",$G4594-$H4594)</f>
        <v/>
      </c>
      <c r="J4594" s="35" t="str">
        <f aca="false">IF($A4594="","",IF(Setup!$B$6=1,YEAR($A4594),YEAR($A4594)+IF(MONTH($A4594)&gt;=Setup!$B$6,1,0)))</f>
        <v/>
      </c>
      <c r="K4594" s="35" t="str">
        <f aca="false">IF($A4594="","",MOD(MONTH($A4594)-Setup!$B$6+12,12)+1)</f>
        <v/>
      </c>
      <c r="L4594" s="36" t="str">
        <f aca="false">IF($A4594="","",TEXT($A4594,"MMM-YY"))</f>
        <v/>
      </c>
      <c r="M4594" s="37" t="str">
        <f aca="false">IF($A4594="","",IF($Q4594=0,"UNMAPPED",INDEX(COA_Mapping!$C$7:$C$256,$Q4594)))</f>
        <v/>
      </c>
      <c r="N4594" s="38" t="str">
        <f aca="false">IF($A4594="","",IF($Q4594=0,"",INDEX(COA_Mapping!$E$7:$E$256,$Q4594)))</f>
        <v/>
      </c>
      <c r="O4594" s="38" t="n">
        <f aca="false">IF($A4594="",1,IF($Q4594=0,1,INDEX(COA_Mapping!$F$7:$F$256,$Q4594)))</f>
        <v>1</v>
      </c>
      <c r="P4594" s="34" t="str">
        <f aca="false">IF($A4594="","",$I4594*$O4594)</f>
        <v/>
      </c>
      <c r="Q4594" s="39" t="n">
        <f aca="false">IF($B4594="",0,IFERROR(MATCH($B4594,COA_Mapping!$A$7:$A$256,0),0))</f>
        <v>0</v>
      </c>
      <c r="R4594" s="39" t="n">
        <f aca="false">IF($A4594="",-1,IF($J4594=Setup!$B$7,1,IF($J4594=Setup!$B$9,0,-1)))</f>
        <v>-1</v>
      </c>
      <c r="S4594" s="35" t="n">
        <f aca="false">IF(OR($A4594="",$Q4594=0,$R4594=-1),0,$Q4594*1000+$R4594*100+$K4594)</f>
        <v>0</v>
      </c>
      <c r="T4594" s="37" t="str">
        <f aca="false">IF($A4594="","",IF($B4594="","NO ACCOUNT",IF($Q4594=0,"UNMAPPED",IF($R4594=-1,"OUTSIDE FY RANGE","OK"))))</f>
        <v/>
      </c>
      <c r="U4594" s="40" t="str">
        <f aca="false">IF($A4594="","",$B4594&amp;"|"&amp;TEXT($A4594,"yyyymmdd")&amp;"|"&amp;TEXT($I4594,"0.00"))</f>
        <v/>
      </c>
      <c r="V4594" s="35" t="str">
        <f aca="false">IF($A4594="","",COUNTIF($U$8:$U$5007,$U4594))</f>
        <v/>
      </c>
    </row>
    <row r="4595" customFormat="false" ht="15" hidden="false" customHeight="false" outlineLevel="0" collapsed="false">
      <c r="A4595" s="31"/>
      <c r="B4595" s="32"/>
      <c r="C4595" s="32"/>
      <c r="D4595" s="32"/>
      <c r="E4595" s="32"/>
      <c r="F4595" s="32"/>
      <c r="G4595" s="33"/>
      <c r="H4595" s="33"/>
      <c r="I4595" s="34" t="str">
        <f aca="false">IF($A4595="","",$G4595-$H4595)</f>
        <v/>
      </c>
      <c r="J4595" s="35" t="str">
        <f aca="false">IF($A4595="","",IF(Setup!$B$6=1,YEAR($A4595),YEAR($A4595)+IF(MONTH($A4595)&gt;=Setup!$B$6,1,0)))</f>
        <v/>
      </c>
      <c r="K4595" s="35" t="str">
        <f aca="false">IF($A4595="","",MOD(MONTH($A4595)-Setup!$B$6+12,12)+1)</f>
        <v/>
      </c>
      <c r="L4595" s="36" t="str">
        <f aca="false">IF($A4595="","",TEXT($A4595,"MMM-YY"))</f>
        <v/>
      </c>
      <c r="M4595" s="37" t="str">
        <f aca="false">IF($A4595="","",IF($Q4595=0,"UNMAPPED",INDEX(COA_Mapping!$C$7:$C$256,$Q4595)))</f>
        <v/>
      </c>
      <c r="N4595" s="38" t="str">
        <f aca="false">IF($A4595="","",IF($Q4595=0,"",INDEX(COA_Mapping!$E$7:$E$256,$Q4595)))</f>
        <v/>
      </c>
      <c r="O4595" s="38" t="n">
        <f aca="false">IF($A4595="",1,IF($Q4595=0,1,INDEX(COA_Mapping!$F$7:$F$256,$Q4595)))</f>
        <v>1</v>
      </c>
      <c r="P4595" s="34" t="str">
        <f aca="false">IF($A4595="","",$I4595*$O4595)</f>
        <v/>
      </c>
      <c r="Q4595" s="39" t="n">
        <f aca="false">IF($B4595="",0,IFERROR(MATCH($B4595,COA_Mapping!$A$7:$A$256,0),0))</f>
        <v>0</v>
      </c>
      <c r="R4595" s="39" t="n">
        <f aca="false">IF($A4595="",-1,IF($J4595=Setup!$B$7,1,IF($J4595=Setup!$B$9,0,-1)))</f>
        <v>-1</v>
      </c>
      <c r="S4595" s="35" t="n">
        <f aca="false">IF(OR($A4595="",$Q4595=0,$R4595=-1),0,$Q4595*1000+$R4595*100+$K4595)</f>
        <v>0</v>
      </c>
      <c r="T4595" s="37" t="str">
        <f aca="false">IF($A4595="","",IF($B4595="","NO ACCOUNT",IF($Q4595=0,"UNMAPPED",IF($R4595=-1,"OUTSIDE FY RANGE","OK"))))</f>
        <v/>
      </c>
      <c r="U4595" s="40" t="str">
        <f aca="false">IF($A4595="","",$B4595&amp;"|"&amp;TEXT($A4595,"yyyymmdd")&amp;"|"&amp;TEXT($I4595,"0.00"))</f>
        <v/>
      </c>
      <c r="V4595" s="35" t="str">
        <f aca="false">IF($A4595="","",COUNTIF($U$8:$U$5007,$U4595))</f>
        <v/>
      </c>
    </row>
    <row r="4596" customFormat="false" ht="15" hidden="false" customHeight="false" outlineLevel="0" collapsed="false">
      <c r="A4596" s="31"/>
      <c r="B4596" s="32"/>
      <c r="C4596" s="32"/>
      <c r="D4596" s="32"/>
      <c r="E4596" s="32"/>
      <c r="F4596" s="32"/>
      <c r="G4596" s="33"/>
      <c r="H4596" s="33"/>
      <c r="I4596" s="34" t="str">
        <f aca="false">IF($A4596="","",$G4596-$H4596)</f>
        <v/>
      </c>
      <c r="J4596" s="35" t="str">
        <f aca="false">IF($A4596="","",IF(Setup!$B$6=1,YEAR($A4596),YEAR($A4596)+IF(MONTH($A4596)&gt;=Setup!$B$6,1,0)))</f>
        <v/>
      </c>
      <c r="K4596" s="35" t="str">
        <f aca="false">IF($A4596="","",MOD(MONTH($A4596)-Setup!$B$6+12,12)+1)</f>
        <v/>
      </c>
      <c r="L4596" s="36" t="str">
        <f aca="false">IF($A4596="","",TEXT($A4596,"MMM-YY"))</f>
        <v/>
      </c>
      <c r="M4596" s="37" t="str">
        <f aca="false">IF($A4596="","",IF($Q4596=0,"UNMAPPED",INDEX(COA_Mapping!$C$7:$C$256,$Q4596)))</f>
        <v/>
      </c>
      <c r="N4596" s="38" t="str">
        <f aca="false">IF($A4596="","",IF($Q4596=0,"",INDEX(COA_Mapping!$E$7:$E$256,$Q4596)))</f>
        <v/>
      </c>
      <c r="O4596" s="38" t="n">
        <f aca="false">IF($A4596="",1,IF($Q4596=0,1,INDEX(COA_Mapping!$F$7:$F$256,$Q4596)))</f>
        <v>1</v>
      </c>
      <c r="P4596" s="34" t="str">
        <f aca="false">IF($A4596="","",$I4596*$O4596)</f>
        <v/>
      </c>
      <c r="Q4596" s="39" t="n">
        <f aca="false">IF($B4596="",0,IFERROR(MATCH($B4596,COA_Mapping!$A$7:$A$256,0),0))</f>
        <v>0</v>
      </c>
      <c r="R4596" s="39" t="n">
        <f aca="false">IF($A4596="",-1,IF($J4596=Setup!$B$7,1,IF($J4596=Setup!$B$9,0,-1)))</f>
        <v>-1</v>
      </c>
      <c r="S4596" s="35" t="n">
        <f aca="false">IF(OR($A4596="",$Q4596=0,$R4596=-1),0,$Q4596*1000+$R4596*100+$K4596)</f>
        <v>0</v>
      </c>
      <c r="T4596" s="37" t="str">
        <f aca="false">IF($A4596="","",IF($B4596="","NO ACCOUNT",IF($Q4596=0,"UNMAPPED",IF($R4596=-1,"OUTSIDE FY RANGE","OK"))))</f>
        <v/>
      </c>
      <c r="U4596" s="40" t="str">
        <f aca="false">IF($A4596="","",$B4596&amp;"|"&amp;TEXT($A4596,"yyyymmdd")&amp;"|"&amp;TEXT($I4596,"0.00"))</f>
        <v/>
      </c>
      <c r="V4596" s="35" t="str">
        <f aca="false">IF($A4596="","",COUNTIF($U$8:$U$5007,$U4596))</f>
        <v/>
      </c>
    </row>
    <row r="4597" customFormat="false" ht="15" hidden="false" customHeight="false" outlineLevel="0" collapsed="false">
      <c r="A4597" s="31"/>
      <c r="B4597" s="32"/>
      <c r="C4597" s="32"/>
      <c r="D4597" s="32"/>
      <c r="E4597" s="32"/>
      <c r="F4597" s="32"/>
      <c r="G4597" s="33"/>
      <c r="H4597" s="33"/>
      <c r="I4597" s="34" t="str">
        <f aca="false">IF($A4597="","",$G4597-$H4597)</f>
        <v/>
      </c>
      <c r="J4597" s="35" t="str">
        <f aca="false">IF($A4597="","",IF(Setup!$B$6=1,YEAR($A4597),YEAR($A4597)+IF(MONTH($A4597)&gt;=Setup!$B$6,1,0)))</f>
        <v/>
      </c>
      <c r="K4597" s="35" t="str">
        <f aca="false">IF($A4597="","",MOD(MONTH($A4597)-Setup!$B$6+12,12)+1)</f>
        <v/>
      </c>
      <c r="L4597" s="36" t="str">
        <f aca="false">IF($A4597="","",TEXT($A4597,"MMM-YY"))</f>
        <v/>
      </c>
      <c r="M4597" s="37" t="str">
        <f aca="false">IF($A4597="","",IF($Q4597=0,"UNMAPPED",INDEX(COA_Mapping!$C$7:$C$256,$Q4597)))</f>
        <v/>
      </c>
      <c r="N4597" s="38" t="str">
        <f aca="false">IF($A4597="","",IF($Q4597=0,"",INDEX(COA_Mapping!$E$7:$E$256,$Q4597)))</f>
        <v/>
      </c>
      <c r="O4597" s="38" t="n">
        <f aca="false">IF($A4597="",1,IF($Q4597=0,1,INDEX(COA_Mapping!$F$7:$F$256,$Q4597)))</f>
        <v>1</v>
      </c>
      <c r="P4597" s="34" t="str">
        <f aca="false">IF($A4597="","",$I4597*$O4597)</f>
        <v/>
      </c>
      <c r="Q4597" s="39" t="n">
        <f aca="false">IF($B4597="",0,IFERROR(MATCH($B4597,COA_Mapping!$A$7:$A$256,0),0))</f>
        <v>0</v>
      </c>
      <c r="R4597" s="39" t="n">
        <f aca="false">IF($A4597="",-1,IF($J4597=Setup!$B$7,1,IF($J4597=Setup!$B$9,0,-1)))</f>
        <v>-1</v>
      </c>
      <c r="S4597" s="35" t="n">
        <f aca="false">IF(OR($A4597="",$Q4597=0,$R4597=-1),0,$Q4597*1000+$R4597*100+$K4597)</f>
        <v>0</v>
      </c>
      <c r="T4597" s="37" t="str">
        <f aca="false">IF($A4597="","",IF($B4597="","NO ACCOUNT",IF($Q4597=0,"UNMAPPED",IF($R4597=-1,"OUTSIDE FY RANGE","OK"))))</f>
        <v/>
      </c>
      <c r="U4597" s="40" t="str">
        <f aca="false">IF($A4597="","",$B4597&amp;"|"&amp;TEXT($A4597,"yyyymmdd")&amp;"|"&amp;TEXT($I4597,"0.00"))</f>
        <v/>
      </c>
      <c r="V4597" s="35" t="str">
        <f aca="false">IF($A4597="","",COUNTIF($U$8:$U$5007,$U4597))</f>
        <v/>
      </c>
    </row>
    <row r="4598" customFormat="false" ht="15" hidden="false" customHeight="false" outlineLevel="0" collapsed="false">
      <c r="A4598" s="31"/>
      <c r="B4598" s="32"/>
      <c r="C4598" s="32"/>
      <c r="D4598" s="32"/>
      <c r="E4598" s="32"/>
      <c r="F4598" s="32"/>
      <c r="G4598" s="33"/>
      <c r="H4598" s="33"/>
      <c r="I4598" s="34" t="str">
        <f aca="false">IF($A4598="","",$G4598-$H4598)</f>
        <v/>
      </c>
      <c r="J4598" s="35" t="str">
        <f aca="false">IF($A4598="","",IF(Setup!$B$6=1,YEAR($A4598),YEAR($A4598)+IF(MONTH($A4598)&gt;=Setup!$B$6,1,0)))</f>
        <v/>
      </c>
      <c r="K4598" s="35" t="str">
        <f aca="false">IF($A4598="","",MOD(MONTH($A4598)-Setup!$B$6+12,12)+1)</f>
        <v/>
      </c>
      <c r="L4598" s="36" t="str">
        <f aca="false">IF($A4598="","",TEXT($A4598,"MMM-YY"))</f>
        <v/>
      </c>
      <c r="M4598" s="37" t="str">
        <f aca="false">IF($A4598="","",IF($Q4598=0,"UNMAPPED",INDEX(COA_Mapping!$C$7:$C$256,$Q4598)))</f>
        <v/>
      </c>
      <c r="N4598" s="38" t="str">
        <f aca="false">IF($A4598="","",IF($Q4598=0,"",INDEX(COA_Mapping!$E$7:$E$256,$Q4598)))</f>
        <v/>
      </c>
      <c r="O4598" s="38" t="n">
        <f aca="false">IF($A4598="",1,IF($Q4598=0,1,INDEX(COA_Mapping!$F$7:$F$256,$Q4598)))</f>
        <v>1</v>
      </c>
      <c r="P4598" s="34" t="str">
        <f aca="false">IF($A4598="","",$I4598*$O4598)</f>
        <v/>
      </c>
      <c r="Q4598" s="39" t="n">
        <f aca="false">IF($B4598="",0,IFERROR(MATCH($B4598,COA_Mapping!$A$7:$A$256,0),0))</f>
        <v>0</v>
      </c>
      <c r="R4598" s="39" t="n">
        <f aca="false">IF($A4598="",-1,IF($J4598=Setup!$B$7,1,IF($J4598=Setup!$B$9,0,-1)))</f>
        <v>-1</v>
      </c>
      <c r="S4598" s="35" t="n">
        <f aca="false">IF(OR($A4598="",$Q4598=0,$R4598=-1),0,$Q4598*1000+$R4598*100+$K4598)</f>
        <v>0</v>
      </c>
      <c r="T4598" s="37" t="str">
        <f aca="false">IF($A4598="","",IF($B4598="","NO ACCOUNT",IF($Q4598=0,"UNMAPPED",IF($R4598=-1,"OUTSIDE FY RANGE","OK"))))</f>
        <v/>
      </c>
      <c r="U4598" s="40" t="str">
        <f aca="false">IF($A4598="","",$B4598&amp;"|"&amp;TEXT($A4598,"yyyymmdd")&amp;"|"&amp;TEXT($I4598,"0.00"))</f>
        <v/>
      </c>
      <c r="V4598" s="35" t="str">
        <f aca="false">IF($A4598="","",COUNTIF($U$8:$U$5007,$U4598))</f>
        <v/>
      </c>
    </row>
    <row r="4599" customFormat="false" ht="15" hidden="false" customHeight="false" outlineLevel="0" collapsed="false">
      <c r="A4599" s="31"/>
      <c r="B4599" s="32"/>
      <c r="C4599" s="32"/>
      <c r="D4599" s="32"/>
      <c r="E4599" s="32"/>
      <c r="F4599" s="32"/>
      <c r="G4599" s="33"/>
      <c r="H4599" s="33"/>
      <c r="I4599" s="34" t="str">
        <f aca="false">IF($A4599="","",$G4599-$H4599)</f>
        <v/>
      </c>
      <c r="J4599" s="35" t="str">
        <f aca="false">IF($A4599="","",IF(Setup!$B$6=1,YEAR($A4599),YEAR($A4599)+IF(MONTH($A4599)&gt;=Setup!$B$6,1,0)))</f>
        <v/>
      </c>
      <c r="K4599" s="35" t="str">
        <f aca="false">IF($A4599="","",MOD(MONTH($A4599)-Setup!$B$6+12,12)+1)</f>
        <v/>
      </c>
      <c r="L4599" s="36" t="str">
        <f aca="false">IF($A4599="","",TEXT($A4599,"MMM-YY"))</f>
        <v/>
      </c>
      <c r="M4599" s="37" t="str">
        <f aca="false">IF($A4599="","",IF($Q4599=0,"UNMAPPED",INDEX(COA_Mapping!$C$7:$C$256,$Q4599)))</f>
        <v/>
      </c>
      <c r="N4599" s="38" t="str">
        <f aca="false">IF($A4599="","",IF($Q4599=0,"",INDEX(COA_Mapping!$E$7:$E$256,$Q4599)))</f>
        <v/>
      </c>
      <c r="O4599" s="38" t="n">
        <f aca="false">IF($A4599="",1,IF($Q4599=0,1,INDEX(COA_Mapping!$F$7:$F$256,$Q4599)))</f>
        <v>1</v>
      </c>
      <c r="P4599" s="34" t="str">
        <f aca="false">IF($A4599="","",$I4599*$O4599)</f>
        <v/>
      </c>
      <c r="Q4599" s="39" t="n">
        <f aca="false">IF($B4599="",0,IFERROR(MATCH($B4599,COA_Mapping!$A$7:$A$256,0),0))</f>
        <v>0</v>
      </c>
      <c r="R4599" s="39" t="n">
        <f aca="false">IF($A4599="",-1,IF($J4599=Setup!$B$7,1,IF($J4599=Setup!$B$9,0,-1)))</f>
        <v>-1</v>
      </c>
      <c r="S4599" s="35" t="n">
        <f aca="false">IF(OR($A4599="",$Q4599=0,$R4599=-1),0,$Q4599*1000+$R4599*100+$K4599)</f>
        <v>0</v>
      </c>
      <c r="T4599" s="37" t="str">
        <f aca="false">IF($A4599="","",IF($B4599="","NO ACCOUNT",IF($Q4599=0,"UNMAPPED",IF($R4599=-1,"OUTSIDE FY RANGE","OK"))))</f>
        <v/>
      </c>
      <c r="U4599" s="40" t="str">
        <f aca="false">IF($A4599="","",$B4599&amp;"|"&amp;TEXT($A4599,"yyyymmdd")&amp;"|"&amp;TEXT($I4599,"0.00"))</f>
        <v/>
      </c>
      <c r="V4599" s="35" t="str">
        <f aca="false">IF($A4599="","",COUNTIF($U$8:$U$5007,$U4599))</f>
        <v/>
      </c>
    </row>
    <row r="4600" customFormat="false" ht="15" hidden="false" customHeight="false" outlineLevel="0" collapsed="false">
      <c r="A4600" s="31"/>
      <c r="B4600" s="32"/>
      <c r="C4600" s="32"/>
      <c r="D4600" s="32"/>
      <c r="E4600" s="32"/>
      <c r="F4600" s="32"/>
      <c r="G4600" s="33"/>
      <c r="H4600" s="33"/>
      <c r="I4600" s="34" t="str">
        <f aca="false">IF($A4600="","",$G4600-$H4600)</f>
        <v/>
      </c>
      <c r="J4600" s="35" t="str">
        <f aca="false">IF($A4600="","",IF(Setup!$B$6=1,YEAR($A4600),YEAR($A4600)+IF(MONTH($A4600)&gt;=Setup!$B$6,1,0)))</f>
        <v/>
      </c>
      <c r="K4600" s="35" t="str">
        <f aca="false">IF($A4600="","",MOD(MONTH($A4600)-Setup!$B$6+12,12)+1)</f>
        <v/>
      </c>
      <c r="L4600" s="36" t="str">
        <f aca="false">IF($A4600="","",TEXT($A4600,"MMM-YY"))</f>
        <v/>
      </c>
      <c r="M4600" s="37" t="str">
        <f aca="false">IF($A4600="","",IF($Q4600=0,"UNMAPPED",INDEX(COA_Mapping!$C$7:$C$256,$Q4600)))</f>
        <v/>
      </c>
      <c r="N4600" s="38" t="str">
        <f aca="false">IF($A4600="","",IF($Q4600=0,"",INDEX(COA_Mapping!$E$7:$E$256,$Q4600)))</f>
        <v/>
      </c>
      <c r="O4600" s="38" t="n">
        <f aca="false">IF($A4600="",1,IF($Q4600=0,1,INDEX(COA_Mapping!$F$7:$F$256,$Q4600)))</f>
        <v>1</v>
      </c>
      <c r="P4600" s="34" t="str">
        <f aca="false">IF($A4600="","",$I4600*$O4600)</f>
        <v/>
      </c>
      <c r="Q4600" s="39" t="n">
        <f aca="false">IF($B4600="",0,IFERROR(MATCH($B4600,COA_Mapping!$A$7:$A$256,0),0))</f>
        <v>0</v>
      </c>
      <c r="R4600" s="39" t="n">
        <f aca="false">IF($A4600="",-1,IF($J4600=Setup!$B$7,1,IF($J4600=Setup!$B$9,0,-1)))</f>
        <v>-1</v>
      </c>
      <c r="S4600" s="35" t="n">
        <f aca="false">IF(OR($A4600="",$Q4600=0,$R4600=-1),0,$Q4600*1000+$R4600*100+$K4600)</f>
        <v>0</v>
      </c>
      <c r="T4600" s="37" t="str">
        <f aca="false">IF($A4600="","",IF($B4600="","NO ACCOUNT",IF($Q4600=0,"UNMAPPED",IF($R4600=-1,"OUTSIDE FY RANGE","OK"))))</f>
        <v/>
      </c>
      <c r="U4600" s="40" t="str">
        <f aca="false">IF($A4600="","",$B4600&amp;"|"&amp;TEXT($A4600,"yyyymmdd")&amp;"|"&amp;TEXT($I4600,"0.00"))</f>
        <v/>
      </c>
      <c r="V4600" s="35" t="str">
        <f aca="false">IF($A4600="","",COUNTIF($U$8:$U$5007,$U4600))</f>
        <v/>
      </c>
    </row>
    <row r="4601" customFormat="false" ht="15" hidden="false" customHeight="false" outlineLevel="0" collapsed="false">
      <c r="A4601" s="31"/>
      <c r="B4601" s="32"/>
      <c r="C4601" s="32"/>
      <c r="D4601" s="32"/>
      <c r="E4601" s="32"/>
      <c r="F4601" s="32"/>
      <c r="G4601" s="33"/>
      <c r="H4601" s="33"/>
      <c r="I4601" s="34" t="str">
        <f aca="false">IF($A4601="","",$G4601-$H4601)</f>
        <v/>
      </c>
      <c r="J4601" s="35" t="str">
        <f aca="false">IF($A4601="","",IF(Setup!$B$6=1,YEAR($A4601),YEAR($A4601)+IF(MONTH($A4601)&gt;=Setup!$B$6,1,0)))</f>
        <v/>
      </c>
      <c r="K4601" s="35" t="str">
        <f aca="false">IF($A4601="","",MOD(MONTH($A4601)-Setup!$B$6+12,12)+1)</f>
        <v/>
      </c>
      <c r="L4601" s="36" t="str">
        <f aca="false">IF($A4601="","",TEXT($A4601,"MMM-YY"))</f>
        <v/>
      </c>
      <c r="M4601" s="37" t="str">
        <f aca="false">IF($A4601="","",IF($Q4601=0,"UNMAPPED",INDEX(COA_Mapping!$C$7:$C$256,$Q4601)))</f>
        <v/>
      </c>
      <c r="N4601" s="38" t="str">
        <f aca="false">IF($A4601="","",IF($Q4601=0,"",INDEX(COA_Mapping!$E$7:$E$256,$Q4601)))</f>
        <v/>
      </c>
      <c r="O4601" s="38" t="n">
        <f aca="false">IF($A4601="",1,IF($Q4601=0,1,INDEX(COA_Mapping!$F$7:$F$256,$Q4601)))</f>
        <v>1</v>
      </c>
      <c r="P4601" s="34" t="str">
        <f aca="false">IF($A4601="","",$I4601*$O4601)</f>
        <v/>
      </c>
      <c r="Q4601" s="39" t="n">
        <f aca="false">IF($B4601="",0,IFERROR(MATCH($B4601,COA_Mapping!$A$7:$A$256,0),0))</f>
        <v>0</v>
      </c>
      <c r="R4601" s="39" t="n">
        <f aca="false">IF($A4601="",-1,IF($J4601=Setup!$B$7,1,IF($J4601=Setup!$B$9,0,-1)))</f>
        <v>-1</v>
      </c>
      <c r="S4601" s="35" t="n">
        <f aca="false">IF(OR($A4601="",$Q4601=0,$R4601=-1),0,$Q4601*1000+$R4601*100+$K4601)</f>
        <v>0</v>
      </c>
      <c r="T4601" s="37" t="str">
        <f aca="false">IF($A4601="","",IF($B4601="","NO ACCOUNT",IF($Q4601=0,"UNMAPPED",IF($R4601=-1,"OUTSIDE FY RANGE","OK"))))</f>
        <v/>
      </c>
      <c r="U4601" s="40" t="str">
        <f aca="false">IF($A4601="","",$B4601&amp;"|"&amp;TEXT($A4601,"yyyymmdd")&amp;"|"&amp;TEXT($I4601,"0.00"))</f>
        <v/>
      </c>
      <c r="V4601" s="35" t="str">
        <f aca="false">IF($A4601="","",COUNTIF($U$8:$U$5007,$U4601))</f>
        <v/>
      </c>
    </row>
    <row r="4602" customFormat="false" ht="15" hidden="false" customHeight="false" outlineLevel="0" collapsed="false">
      <c r="A4602" s="31"/>
      <c r="B4602" s="32"/>
      <c r="C4602" s="32"/>
      <c r="D4602" s="32"/>
      <c r="E4602" s="32"/>
      <c r="F4602" s="32"/>
      <c r="G4602" s="33"/>
      <c r="H4602" s="33"/>
      <c r="I4602" s="34" t="str">
        <f aca="false">IF($A4602="","",$G4602-$H4602)</f>
        <v/>
      </c>
      <c r="J4602" s="35" t="str">
        <f aca="false">IF($A4602="","",IF(Setup!$B$6=1,YEAR($A4602),YEAR($A4602)+IF(MONTH($A4602)&gt;=Setup!$B$6,1,0)))</f>
        <v/>
      </c>
      <c r="K4602" s="35" t="str">
        <f aca="false">IF($A4602="","",MOD(MONTH($A4602)-Setup!$B$6+12,12)+1)</f>
        <v/>
      </c>
      <c r="L4602" s="36" t="str">
        <f aca="false">IF($A4602="","",TEXT($A4602,"MMM-YY"))</f>
        <v/>
      </c>
      <c r="M4602" s="37" t="str">
        <f aca="false">IF($A4602="","",IF($Q4602=0,"UNMAPPED",INDEX(COA_Mapping!$C$7:$C$256,$Q4602)))</f>
        <v/>
      </c>
      <c r="N4602" s="38" t="str">
        <f aca="false">IF($A4602="","",IF($Q4602=0,"",INDEX(COA_Mapping!$E$7:$E$256,$Q4602)))</f>
        <v/>
      </c>
      <c r="O4602" s="38" t="n">
        <f aca="false">IF($A4602="",1,IF($Q4602=0,1,INDEX(COA_Mapping!$F$7:$F$256,$Q4602)))</f>
        <v>1</v>
      </c>
      <c r="P4602" s="34" t="str">
        <f aca="false">IF($A4602="","",$I4602*$O4602)</f>
        <v/>
      </c>
      <c r="Q4602" s="39" t="n">
        <f aca="false">IF($B4602="",0,IFERROR(MATCH($B4602,COA_Mapping!$A$7:$A$256,0),0))</f>
        <v>0</v>
      </c>
      <c r="R4602" s="39" t="n">
        <f aca="false">IF($A4602="",-1,IF($J4602=Setup!$B$7,1,IF($J4602=Setup!$B$9,0,-1)))</f>
        <v>-1</v>
      </c>
      <c r="S4602" s="35" t="n">
        <f aca="false">IF(OR($A4602="",$Q4602=0,$R4602=-1),0,$Q4602*1000+$R4602*100+$K4602)</f>
        <v>0</v>
      </c>
      <c r="T4602" s="37" t="str">
        <f aca="false">IF($A4602="","",IF($B4602="","NO ACCOUNT",IF($Q4602=0,"UNMAPPED",IF($R4602=-1,"OUTSIDE FY RANGE","OK"))))</f>
        <v/>
      </c>
      <c r="U4602" s="40" t="str">
        <f aca="false">IF($A4602="","",$B4602&amp;"|"&amp;TEXT($A4602,"yyyymmdd")&amp;"|"&amp;TEXT($I4602,"0.00"))</f>
        <v/>
      </c>
      <c r="V4602" s="35" t="str">
        <f aca="false">IF($A4602="","",COUNTIF($U$8:$U$5007,$U4602))</f>
        <v/>
      </c>
    </row>
    <row r="4603" customFormat="false" ht="15" hidden="false" customHeight="false" outlineLevel="0" collapsed="false">
      <c r="A4603" s="31"/>
      <c r="B4603" s="32"/>
      <c r="C4603" s="32"/>
      <c r="D4603" s="32"/>
      <c r="E4603" s="32"/>
      <c r="F4603" s="32"/>
      <c r="G4603" s="33"/>
      <c r="H4603" s="33"/>
      <c r="I4603" s="34" t="str">
        <f aca="false">IF($A4603="","",$G4603-$H4603)</f>
        <v/>
      </c>
      <c r="J4603" s="35" t="str">
        <f aca="false">IF($A4603="","",IF(Setup!$B$6=1,YEAR($A4603),YEAR($A4603)+IF(MONTH($A4603)&gt;=Setup!$B$6,1,0)))</f>
        <v/>
      </c>
      <c r="K4603" s="35" t="str">
        <f aca="false">IF($A4603="","",MOD(MONTH($A4603)-Setup!$B$6+12,12)+1)</f>
        <v/>
      </c>
      <c r="L4603" s="36" t="str">
        <f aca="false">IF($A4603="","",TEXT($A4603,"MMM-YY"))</f>
        <v/>
      </c>
      <c r="M4603" s="37" t="str">
        <f aca="false">IF($A4603="","",IF($Q4603=0,"UNMAPPED",INDEX(COA_Mapping!$C$7:$C$256,$Q4603)))</f>
        <v/>
      </c>
      <c r="N4603" s="38" t="str">
        <f aca="false">IF($A4603="","",IF($Q4603=0,"",INDEX(COA_Mapping!$E$7:$E$256,$Q4603)))</f>
        <v/>
      </c>
      <c r="O4603" s="38" t="n">
        <f aca="false">IF($A4603="",1,IF($Q4603=0,1,INDEX(COA_Mapping!$F$7:$F$256,$Q4603)))</f>
        <v>1</v>
      </c>
      <c r="P4603" s="34" t="str">
        <f aca="false">IF($A4603="","",$I4603*$O4603)</f>
        <v/>
      </c>
      <c r="Q4603" s="39" t="n">
        <f aca="false">IF($B4603="",0,IFERROR(MATCH($B4603,COA_Mapping!$A$7:$A$256,0),0))</f>
        <v>0</v>
      </c>
      <c r="R4603" s="39" t="n">
        <f aca="false">IF($A4603="",-1,IF($J4603=Setup!$B$7,1,IF($J4603=Setup!$B$9,0,-1)))</f>
        <v>-1</v>
      </c>
      <c r="S4603" s="35" t="n">
        <f aca="false">IF(OR($A4603="",$Q4603=0,$R4603=-1),0,$Q4603*1000+$R4603*100+$K4603)</f>
        <v>0</v>
      </c>
      <c r="T4603" s="37" t="str">
        <f aca="false">IF($A4603="","",IF($B4603="","NO ACCOUNT",IF($Q4603=0,"UNMAPPED",IF($R4603=-1,"OUTSIDE FY RANGE","OK"))))</f>
        <v/>
      </c>
      <c r="U4603" s="40" t="str">
        <f aca="false">IF($A4603="","",$B4603&amp;"|"&amp;TEXT($A4603,"yyyymmdd")&amp;"|"&amp;TEXT($I4603,"0.00"))</f>
        <v/>
      </c>
      <c r="V4603" s="35" t="str">
        <f aca="false">IF($A4603="","",COUNTIF($U$8:$U$5007,$U4603))</f>
        <v/>
      </c>
    </row>
    <row r="4604" customFormat="false" ht="15" hidden="false" customHeight="false" outlineLevel="0" collapsed="false">
      <c r="A4604" s="31"/>
      <c r="B4604" s="32"/>
      <c r="C4604" s="32"/>
      <c r="D4604" s="32"/>
      <c r="E4604" s="32"/>
      <c r="F4604" s="32"/>
      <c r="G4604" s="33"/>
      <c r="H4604" s="33"/>
      <c r="I4604" s="34" t="str">
        <f aca="false">IF($A4604="","",$G4604-$H4604)</f>
        <v/>
      </c>
      <c r="J4604" s="35" t="str">
        <f aca="false">IF($A4604="","",IF(Setup!$B$6=1,YEAR($A4604),YEAR($A4604)+IF(MONTH($A4604)&gt;=Setup!$B$6,1,0)))</f>
        <v/>
      </c>
      <c r="K4604" s="35" t="str">
        <f aca="false">IF($A4604="","",MOD(MONTH($A4604)-Setup!$B$6+12,12)+1)</f>
        <v/>
      </c>
      <c r="L4604" s="36" t="str">
        <f aca="false">IF($A4604="","",TEXT($A4604,"MMM-YY"))</f>
        <v/>
      </c>
      <c r="M4604" s="37" t="str">
        <f aca="false">IF($A4604="","",IF($Q4604=0,"UNMAPPED",INDEX(COA_Mapping!$C$7:$C$256,$Q4604)))</f>
        <v/>
      </c>
      <c r="N4604" s="38" t="str">
        <f aca="false">IF($A4604="","",IF($Q4604=0,"",INDEX(COA_Mapping!$E$7:$E$256,$Q4604)))</f>
        <v/>
      </c>
      <c r="O4604" s="38" t="n">
        <f aca="false">IF($A4604="",1,IF($Q4604=0,1,INDEX(COA_Mapping!$F$7:$F$256,$Q4604)))</f>
        <v>1</v>
      </c>
      <c r="P4604" s="34" t="str">
        <f aca="false">IF($A4604="","",$I4604*$O4604)</f>
        <v/>
      </c>
      <c r="Q4604" s="39" t="n">
        <f aca="false">IF($B4604="",0,IFERROR(MATCH($B4604,COA_Mapping!$A$7:$A$256,0),0))</f>
        <v>0</v>
      </c>
      <c r="R4604" s="39" t="n">
        <f aca="false">IF($A4604="",-1,IF($J4604=Setup!$B$7,1,IF($J4604=Setup!$B$9,0,-1)))</f>
        <v>-1</v>
      </c>
      <c r="S4604" s="35" t="n">
        <f aca="false">IF(OR($A4604="",$Q4604=0,$R4604=-1),0,$Q4604*1000+$R4604*100+$K4604)</f>
        <v>0</v>
      </c>
      <c r="T4604" s="37" t="str">
        <f aca="false">IF($A4604="","",IF($B4604="","NO ACCOUNT",IF($Q4604=0,"UNMAPPED",IF($R4604=-1,"OUTSIDE FY RANGE","OK"))))</f>
        <v/>
      </c>
      <c r="U4604" s="40" t="str">
        <f aca="false">IF($A4604="","",$B4604&amp;"|"&amp;TEXT($A4604,"yyyymmdd")&amp;"|"&amp;TEXT($I4604,"0.00"))</f>
        <v/>
      </c>
      <c r="V4604" s="35" t="str">
        <f aca="false">IF($A4604="","",COUNTIF($U$8:$U$5007,$U4604))</f>
        <v/>
      </c>
    </row>
    <row r="4605" customFormat="false" ht="15" hidden="false" customHeight="false" outlineLevel="0" collapsed="false">
      <c r="A4605" s="31"/>
      <c r="B4605" s="32"/>
      <c r="C4605" s="32"/>
      <c r="D4605" s="32"/>
      <c r="E4605" s="32"/>
      <c r="F4605" s="32"/>
      <c r="G4605" s="33"/>
      <c r="H4605" s="33"/>
      <c r="I4605" s="34" t="str">
        <f aca="false">IF($A4605="","",$G4605-$H4605)</f>
        <v/>
      </c>
      <c r="J4605" s="35" t="str">
        <f aca="false">IF($A4605="","",IF(Setup!$B$6=1,YEAR($A4605),YEAR($A4605)+IF(MONTH($A4605)&gt;=Setup!$B$6,1,0)))</f>
        <v/>
      </c>
      <c r="K4605" s="35" t="str">
        <f aca="false">IF($A4605="","",MOD(MONTH($A4605)-Setup!$B$6+12,12)+1)</f>
        <v/>
      </c>
      <c r="L4605" s="36" t="str">
        <f aca="false">IF($A4605="","",TEXT($A4605,"MMM-YY"))</f>
        <v/>
      </c>
      <c r="M4605" s="37" t="str">
        <f aca="false">IF($A4605="","",IF($Q4605=0,"UNMAPPED",INDEX(COA_Mapping!$C$7:$C$256,$Q4605)))</f>
        <v/>
      </c>
      <c r="N4605" s="38" t="str">
        <f aca="false">IF($A4605="","",IF($Q4605=0,"",INDEX(COA_Mapping!$E$7:$E$256,$Q4605)))</f>
        <v/>
      </c>
      <c r="O4605" s="38" t="n">
        <f aca="false">IF($A4605="",1,IF($Q4605=0,1,INDEX(COA_Mapping!$F$7:$F$256,$Q4605)))</f>
        <v>1</v>
      </c>
      <c r="P4605" s="34" t="str">
        <f aca="false">IF($A4605="","",$I4605*$O4605)</f>
        <v/>
      </c>
      <c r="Q4605" s="39" t="n">
        <f aca="false">IF($B4605="",0,IFERROR(MATCH($B4605,COA_Mapping!$A$7:$A$256,0),0))</f>
        <v>0</v>
      </c>
      <c r="R4605" s="39" t="n">
        <f aca="false">IF($A4605="",-1,IF($J4605=Setup!$B$7,1,IF($J4605=Setup!$B$9,0,-1)))</f>
        <v>-1</v>
      </c>
      <c r="S4605" s="35" t="n">
        <f aca="false">IF(OR($A4605="",$Q4605=0,$R4605=-1),0,$Q4605*1000+$R4605*100+$K4605)</f>
        <v>0</v>
      </c>
      <c r="T4605" s="37" t="str">
        <f aca="false">IF($A4605="","",IF($B4605="","NO ACCOUNT",IF($Q4605=0,"UNMAPPED",IF($R4605=-1,"OUTSIDE FY RANGE","OK"))))</f>
        <v/>
      </c>
      <c r="U4605" s="40" t="str">
        <f aca="false">IF($A4605="","",$B4605&amp;"|"&amp;TEXT($A4605,"yyyymmdd")&amp;"|"&amp;TEXT($I4605,"0.00"))</f>
        <v/>
      </c>
      <c r="V4605" s="35" t="str">
        <f aca="false">IF($A4605="","",COUNTIF($U$8:$U$5007,$U4605))</f>
        <v/>
      </c>
    </row>
    <row r="4606" customFormat="false" ht="15" hidden="false" customHeight="false" outlineLevel="0" collapsed="false">
      <c r="A4606" s="31"/>
      <c r="B4606" s="32"/>
      <c r="C4606" s="32"/>
      <c r="D4606" s="32"/>
      <c r="E4606" s="32"/>
      <c r="F4606" s="32"/>
      <c r="G4606" s="33"/>
      <c r="H4606" s="33"/>
      <c r="I4606" s="34" t="str">
        <f aca="false">IF($A4606="","",$G4606-$H4606)</f>
        <v/>
      </c>
      <c r="J4606" s="35" t="str">
        <f aca="false">IF($A4606="","",IF(Setup!$B$6=1,YEAR($A4606),YEAR($A4606)+IF(MONTH($A4606)&gt;=Setup!$B$6,1,0)))</f>
        <v/>
      </c>
      <c r="K4606" s="35" t="str">
        <f aca="false">IF($A4606="","",MOD(MONTH($A4606)-Setup!$B$6+12,12)+1)</f>
        <v/>
      </c>
      <c r="L4606" s="36" t="str">
        <f aca="false">IF($A4606="","",TEXT($A4606,"MMM-YY"))</f>
        <v/>
      </c>
      <c r="M4606" s="37" t="str">
        <f aca="false">IF($A4606="","",IF($Q4606=0,"UNMAPPED",INDEX(COA_Mapping!$C$7:$C$256,$Q4606)))</f>
        <v/>
      </c>
      <c r="N4606" s="38" t="str">
        <f aca="false">IF($A4606="","",IF($Q4606=0,"",INDEX(COA_Mapping!$E$7:$E$256,$Q4606)))</f>
        <v/>
      </c>
      <c r="O4606" s="38" t="n">
        <f aca="false">IF($A4606="",1,IF($Q4606=0,1,INDEX(COA_Mapping!$F$7:$F$256,$Q4606)))</f>
        <v>1</v>
      </c>
      <c r="P4606" s="34" t="str">
        <f aca="false">IF($A4606="","",$I4606*$O4606)</f>
        <v/>
      </c>
      <c r="Q4606" s="39" t="n">
        <f aca="false">IF($B4606="",0,IFERROR(MATCH($B4606,COA_Mapping!$A$7:$A$256,0),0))</f>
        <v>0</v>
      </c>
      <c r="R4606" s="39" t="n">
        <f aca="false">IF($A4606="",-1,IF($J4606=Setup!$B$7,1,IF($J4606=Setup!$B$9,0,-1)))</f>
        <v>-1</v>
      </c>
      <c r="S4606" s="35" t="n">
        <f aca="false">IF(OR($A4606="",$Q4606=0,$R4606=-1),0,$Q4606*1000+$R4606*100+$K4606)</f>
        <v>0</v>
      </c>
      <c r="T4606" s="37" t="str">
        <f aca="false">IF($A4606="","",IF($B4606="","NO ACCOUNT",IF($Q4606=0,"UNMAPPED",IF($R4606=-1,"OUTSIDE FY RANGE","OK"))))</f>
        <v/>
      </c>
      <c r="U4606" s="40" t="str">
        <f aca="false">IF($A4606="","",$B4606&amp;"|"&amp;TEXT($A4606,"yyyymmdd")&amp;"|"&amp;TEXT($I4606,"0.00"))</f>
        <v/>
      </c>
      <c r="V4606" s="35" t="str">
        <f aca="false">IF($A4606="","",COUNTIF($U$8:$U$5007,$U4606))</f>
        <v/>
      </c>
    </row>
    <row r="4607" customFormat="false" ht="15" hidden="false" customHeight="false" outlineLevel="0" collapsed="false">
      <c r="A4607" s="31"/>
      <c r="B4607" s="32"/>
      <c r="C4607" s="32"/>
      <c r="D4607" s="32"/>
      <c r="E4607" s="32"/>
      <c r="F4607" s="32"/>
      <c r="G4607" s="33"/>
      <c r="H4607" s="33"/>
      <c r="I4607" s="34" t="str">
        <f aca="false">IF($A4607="","",$G4607-$H4607)</f>
        <v/>
      </c>
      <c r="J4607" s="35" t="str">
        <f aca="false">IF($A4607="","",IF(Setup!$B$6=1,YEAR($A4607),YEAR($A4607)+IF(MONTH($A4607)&gt;=Setup!$B$6,1,0)))</f>
        <v/>
      </c>
      <c r="K4607" s="35" t="str">
        <f aca="false">IF($A4607="","",MOD(MONTH($A4607)-Setup!$B$6+12,12)+1)</f>
        <v/>
      </c>
      <c r="L4607" s="36" t="str">
        <f aca="false">IF($A4607="","",TEXT($A4607,"MMM-YY"))</f>
        <v/>
      </c>
      <c r="M4607" s="37" t="str">
        <f aca="false">IF($A4607="","",IF($Q4607=0,"UNMAPPED",INDEX(COA_Mapping!$C$7:$C$256,$Q4607)))</f>
        <v/>
      </c>
      <c r="N4607" s="38" t="str">
        <f aca="false">IF($A4607="","",IF($Q4607=0,"",INDEX(COA_Mapping!$E$7:$E$256,$Q4607)))</f>
        <v/>
      </c>
      <c r="O4607" s="38" t="n">
        <f aca="false">IF($A4607="",1,IF($Q4607=0,1,INDEX(COA_Mapping!$F$7:$F$256,$Q4607)))</f>
        <v>1</v>
      </c>
      <c r="P4607" s="34" t="str">
        <f aca="false">IF($A4607="","",$I4607*$O4607)</f>
        <v/>
      </c>
      <c r="Q4607" s="39" t="n">
        <f aca="false">IF($B4607="",0,IFERROR(MATCH($B4607,COA_Mapping!$A$7:$A$256,0),0))</f>
        <v>0</v>
      </c>
      <c r="R4607" s="39" t="n">
        <f aca="false">IF($A4607="",-1,IF($J4607=Setup!$B$7,1,IF($J4607=Setup!$B$9,0,-1)))</f>
        <v>-1</v>
      </c>
      <c r="S4607" s="35" t="n">
        <f aca="false">IF(OR($A4607="",$Q4607=0,$R4607=-1),0,$Q4607*1000+$R4607*100+$K4607)</f>
        <v>0</v>
      </c>
      <c r="T4607" s="37" t="str">
        <f aca="false">IF($A4607="","",IF($B4607="","NO ACCOUNT",IF($Q4607=0,"UNMAPPED",IF($R4607=-1,"OUTSIDE FY RANGE","OK"))))</f>
        <v/>
      </c>
      <c r="U4607" s="40" t="str">
        <f aca="false">IF($A4607="","",$B4607&amp;"|"&amp;TEXT($A4607,"yyyymmdd")&amp;"|"&amp;TEXT($I4607,"0.00"))</f>
        <v/>
      </c>
      <c r="V4607" s="35" t="str">
        <f aca="false">IF($A4607="","",COUNTIF($U$8:$U$5007,$U4607))</f>
        <v/>
      </c>
    </row>
    <row r="4608" customFormat="false" ht="15" hidden="false" customHeight="false" outlineLevel="0" collapsed="false">
      <c r="A4608" s="31"/>
      <c r="B4608" s="32"/>
      <c r="C4608" s="32"/>
      <c r="D4608" s="32"/>
      <c r="E4608" s="32"/>
      <c r="F4608" s="32"/>
      <c r="G4608" s="33"/>
      <c r="H4608" s="33"/>
      <c r="I4608" s="34" t="str">
        <f aca="false">IF($A4608="","",$G4608-$H4608)</f>
        <v/>
      </c>
      <c r="J4608" s="35" t="str">
        <f aca="false">IF($A4608="","",IF(Setup!$B$6=1,YEAR($A4608),YEAR($A4608)+IF(MONTH($A4608)&gt;=Setup!$B$6,1,0)))</f>
        <v/>
      </c>
      <c r="K4608" s="35" t="str">
        <f aca="false">IF($A4608="","",MOD(MONTH($A4608)-Setup!$B$6+12,12)+1)</f>
        <v/>
      </c>
      <c r="L4608" s="36" t="str">
        <f aca="false">IF($A4608="","",TEXT($A4608,"MMM-YY"))</f>
        <v/>
      </c>
      <c r="M4608" s="37" t="str">
        <f aca="false">IF($A4608="","",IF($Q4608=0,"UNMAPPED",INDEX(COA_Mapping!$C$7:$C$256,$Q4608)))</f>
        <v/>
      </c>
      <c r="N4608" s="38" t="str">
        <f aca="false">IF($A4608="","",IF($Q4608=0,"",INDEX(COA_Mapping!$E$7:$E$256,$Q4608)))</f>
        <v/>
      </c>
      <c r="O4608" s="38" t="n">
        <f aca="false">IF($A4608="",1,IF($Q4608=0,1,INDEX(COA_Mapping!$F$7:$F$256,$Q4608)))</f>
        <v>1</v>
      </c>
      <c r="P4608" s="34" t="str">
        <f aca="false">IF($A4608="","",$I4608*$O4608)</f>
        <v/>
      </c>
      <c r="Q4608" s="39" t="n">
        <f aca="false">IF($B4608="",0,IFERROR(MATCH($B4608,COA_Mapping!$A$7:$A$256,0),0))</f>
        <v>0</v>
      </c>
      <c r="R4608" s="39" t="n">
        <f aca="false">IF($A4608="",-1,IF($J4608=Setup!$B$7,1,IF($J4608=Setup!$B$9,0,-1)))</f>
        <v>-1</v>
      </c>
      <c r="S4608" s="35" t="n">
        <f aca="false">IF(OR($A4608="",$Q4608=0,$R4608=-1),0,$Q4608*1000+$R4608*100+$K4608)</f>
        <v>0</v>
      </c>
      <c r="T4608" s="37" t="str">
        <f aca="false">IF($A4608="","",IF($B4608="","NO ACCOUNT",IF($Q4608=0,"UNMAPPED",IF($R4608=-1,"OUTSIDE FY RANGE","OK"))))</f>
        <v/>
      </c>
      <c r="U4608" s="40" t="str">
        <f aca="false">IF($A4608="","",$B4608&amp;"|"&amp;TEXT($A4608,"yyyymmdd")&amp;"|"&amp;TEXT($I4608,"0.00"))</f>
        <v/>
      </c>
      <c r="V4608" s="35" t="str">
        <f aca="false">IF($A4608="","",COUNTIF($U$8:$U$5007,$U4608))</f>
        <v/>
      </c>
    </row>
    <row r="4609" customFormat="false" ht="15" hidden="false" customHeight="false" outlineLevel="0" collapsed="false">
      <c r="A4609" s="31"/>
      <c r="B4609" s="32"/>
      <c r="C4609" s="32"/>
      <c r="D4609" s="32"/>
      <c r="E4609" s="32"/>
      <c r="F4609" s="32"/>
      <c r="G4609" s="33"/>
      <c r="H4609" s="33"/>
      <c r="I4609" s="34" t="str">
        <f aca="false">IF($A4609="","",$G4609-$H4609)</f>
        <v/>
      </c>
      <c r="J4609" s="35" t="str">
        <f aca="false">IF($A4609="","",IF(Setup!$B$6=1,YEAR($A4609),YEAR($A4609)+IF(MONTH($A4609)&gt;=Setup!$B$6,1,0)))</f>
        <v/>
      </c>
      <c r="K4609" s="35" t="str">
        <f aca="false">IF($A4609="","",MOD(MONTH($A4609)-Setup!$B$6+12,12)+1)</f>
        <v/>
      </c>
      <c r="L4609" s="36" t="str">
        <f aca="false">IF($A4609="","",TEXT($A4609,"MMM-YY"))</f>
        <v/>
      </c>
      <c r="M4609" s="37" t="str">
        <f aca="false">IF($A4609="","",IF($Q4609=0,"UNMAPPED",INDEX(COA_Mapping!$C$7:$C$256,$Q4609)))</f>
        <v/>
      </c>
      <c r="N4609" s="38" t="str">
        <f aca="false">IF($A4609="","",IF($Q4609=0,"",INDEX(COA_Mapping!$E$7:$E$256,$Q4609)))</f>
        <v/>
      </c>
      <c r="O4609" s="38" t="n">
        <f aca="false">IF($A4609="",1,IF($Q4609=0,1,INDEX(COA_Mapping!$F$7:$F$256,$Q4609)))</f>
        <v>1</v>
      </c>
      <c r="P4609" s="34" t="str">
        <f aca="false">IF($A4609="","",$I4609*$O4609)</f>
        <v/>
      </c>
      <c r="Q4609" s="39" t="n">
        <f aca="false">IF($B4609="",0,IFERROR(MATCH($B4609,COA_Mapping!$A$7:$A$256,0),0))</f>
        <v>0</v>
      </c>
      <c r="R4609" s="39" t="n">
        <f aca="false">IF($A4609="",-1,IF($J4609=Setup!$B$7,1,IF($J4609=Setup!$B$9,0,-1)))</f>
        <v>-1</v>
      </c>
      <c r="S4609" s="35" t="n">
        <f aca="false">IF(OR($A4609="",$Q4609=0,$R4609=-1),0,$Q4609*1000+$R4609*100+$K4609)</f>
        <v>0</v>
      </c>
      <c r="T4609" s="37" t="str">
        <f aca="false">IF($A4609="","",IF($B4609="","NO ACCOUNT",IF($Q4609=0,"UNMAPPED",IF($R4609=-1,"OUTSIDE FY RANGE","OK"))))</f>
        <v/>
      </c>
      <c r="U4609" s="40" t="str">
        <f aca="false">IF($A4609="","",$B4609&amp;"|"&amp;TEXT($A4609,"yyyymmdd")&amp;"|"&amp;TEXT($I4609,"0.00"))</f>
        <v/>
      </c>
      <c r="V4609" s="35" t="str">
        <f aca="false">IF($A4609="","",COUNTIF($U$8:$U$5007,$U4609))</f>
        <v/>
      </c>
    </row>
    <row r="4610" customFormat="false" ht="15" hidden="false" customHeight="false" outlineLevel="0" collapsed="false">
      <c r="A4610" s="31"/>
      <c r="B4610" s="32"/>
      <c r="C4610" s="32"/>
      <c r="D4610" s="32"/>
      <c r="E4610" s="32"/>
      <c r="F4610" s="32"/>
      <c r="G4610" s="33"/>
      <c r="H4610" s="33"/>
      <c r="I4610" s="34" t="str">
        <f aca="false">IF($A4610="","",$G4610-$H4610)</f>
        <v/>
      </c>
      <c r="J4610" s="35" t="str">
        <f aca="false">IF($A4610="","",IF(Setup!$B$6=1,YEAR($A4610),YEAR($A4610)+IF(MONTH($A4610)&gt;=Setup!$B$6,1,0)))</f>
        <v/>
      </c>
      <c r="K4610" s="35" t="str">
        <f aca="false">IF($A4610="","",MOD(MONTH($A4610)-Setup!$B$6+12,12)+1)</f>
        <v/>
      </c>
      <c r="L4610" s="36" t="str">
        <f aca="false">IF($A4610="","",TEXT($A4610,"MMM-YY"))</f>
        <v/>
      </c>
      <c r="M4610" s="37" t="str">
        <f aca="false">IF($A4610="","",IF($Q4610=0,"UNMAPPED",INDEX(COA_Mapping!$C$7:$C$256,$Q4610)))</f>
        <v/>
      </c>
      <c r="N4610" s="38" t="str">
        <f aca="false">IF($A4610="","",IF($Q4610=0,"",INDEX(COA_Mapping!$E$7:$E$256,$Q4610)))</f>
        <v/>
      </c>
      <c r="O4610" s="38" t="n">
        <f aca="false">IF($A4610="",1,IF($Q4610=0,1,INDEX(COA_Mapping!$F$7:$F$256,$Q4610)))</f>
        <v>1</v>
      </c>
      <c r="P4610" s="34" t="str">
        <f aca="false">IF($A4610="","",$I4610*$O4610)</f>
        <v/>
      </c>
      <c r="Q4610" s="39" t="n">
        <f aca="false">IF($B4610="",0,IFERROR(MATCH($B4610,COA_Mapping!$A$7:$A$256,0),0))</f>
        <v>0</v>
      </c>
      <c r="R4610" s="39" t="n">
        <f aca="false">IF($A4610="",-1,IF($J4610=Setup!$B$7,1,IF($J4610=Setup!$B$9,0,-1)))</f>
        <v>-1</v>
      </c>
      <c r="S4610" s="35" t="n">
        <f aca="false">IF(OR($A4610="",$Q4610=0,$R4610=-1),0,$Q4610*1000+$R4610*100+$K4610)</f>
        <v>0</v>
      </c>
      <c r="T4610" s="37" t="str">
        <f aca="false">IF($A4610="","",IF($B4610="","NO ACCOUNT",IF($Q4610=0,"UNMAPPED",IF($R4610=-1,"OUTSIDE FY RANGE","OK"))))</f>
        <v/>
      </c>
      <c r="U4610" s="40" t="str">
        <f aca="false">IF($A4610="","",$B4610&amp;"|"&amp;TEXT($A4610,"yyyymmdd")&amp;"|"&amp;TEXT($I4610,"0.00"))</f>
        <v/>
      </c>
      <c r="V4610" s="35" t="str">
        <f aca="false">IF($A4610="","",COUNTIF($U$8:$U$5007,$U4610))</f>
        <v/>
      </c>
    </row>
    <row r="4611" customFormat="false" ht="15" hidden="false" customHeight="false" outlineLevel="0" collapsed="false">
      <c r="A4611" s="31"/>
      <c r="B4611" s="32"/>
      <c r="C4611" s="32"/>
      <c r="D4611" s="32"/>
      <c r="E4611" s="32"/>
      <c r="F4611" s="32"/>
      <c r="G4611" s="33"/>
      <c r="H4611" s="33"/>
      <c r="I4611" s="34" t="str">
        <f aca="false">IF($A4611="","",$G4611-$H4611)</f>
        <v/>
      </c>
      <c r="J4611" s="35" t="str">
        <f aca="false">IF($A4611="","",IF(Setup!$B$6=1,YEAR($A4611),YEAR($A4611)+IF(MONTH($A4611)&gt;=Setup!$B$6,1,0)))</f>
        <v/>
      </c>
      <c r="K4611" s="35" t="str">
        <f aca="false">IF($A4611="","",MOD(MONTH($A4611)-Setup!$B$6+12,12)+1)</f>
        <v/>
      </c>
      <c r="L4611" s="36" t="str">
        <f aca="false">IF($A4611="","",TEXT($A4611,"MMM-YY"))</f>
        <v/>
      </c>
      <c r="M4611" s="37" t="str">
        <f aca="false">IF($A4611="","",IF($Q4611=0,"UNMAPPED",INDEX(COA_Mapping!$C$7:$C$256,$Q4611)))</f>
        <v/>
      </c>
      <c r="N4611" s="38" t="str">
        <f aca="false">IF($A4611="","",IF($Q4611=0,"",INDEX(COA_Mapping!$E$7:$E$256,$Q4611)))</f>
        <v/>
      </c>
      <c r="O4611" s="38" t="n">
        <f aca="false">IF($A4611="",1,IF($Q4611=0,1,INDEX(COA_Mapping!$F$7:$F$256,$Q4611)))</f>
        <v>1</v>
      </c>
      <c r="P4611" s="34" t="str">
        <f aca="false">IF($A4611="","",$I4611*$O4611)</f>
        <v/>
      </c>
      <c r="Q4611" s="39" t="n">
        <f aca="false">IF($B4611="",0,IFERROR(MATCH($B4611,COA_Mapping!$A$7:$A$256,0),0))</f>
        <v>0</v>
      </c>
      <c r="R4611" s="39" t="n">
        <f aca="false">IF($A4611="",-1,IF($J4611=Setup!$B$7,1,IF($J4611=Setup!$B$9,0,-1)))</f>
        <v>-1</v>
      </c>
      <c r="S4611" s="35" t="n">
        <f aca="false">IF(OR($A4611="",$Q4611=0,$R4611=-1),0,$Q4611*1000+$R4611*100+$K4611)</f>
        <v>0</v>
      </c>
      <c r="T4611" s="37" t="str">
        <f aca="false">IF($A4611="","",IF($B4611="","NO ACCOUNT",IF($Q4611=0,"UNMAPPED",IF($R4611=-1,"OUTSIDE FY RANGE","OK"))))</f>
        <v/>
      </c>
      <c r="U4611" s="40" t="str">
        <f aca="false">IF($A4611="","",$B4611&amp;"|"&amp;TEXT($A4611,"yyyymmdd")&amp;"|"&amp;TEXT($I4611,"0.00"))</f>
        <v/>
      </c>
      <c r="V4611" s="35" t="str">
        <f aca="false">IF($A4611="","",COUNTIF($U$8:$U$5007,$U4611))</f>
        <v/>
      </c>
    </row>
    <row r="4612" customFormat="false" ht="15" hidden="false" customHeight="false" outlineLevel="0" collapsed="false">
      <c r="A4612" s="31"/>
      <c r="B4612" s="32"/>
      <c r="C4612" s="32"/>
      <c r="D4612" s="32"/>
      <c r="E4612" s="32"/>
      <c r="F4612" s="32"/>
      <c r="G4612" s="33"/>
      <c r="H4612" s="33"/>
      <c r="I4612" s="34" t="str">
        <f aca="false">IF($A4612="","",$G4612-$H4612)</f>
        <v/>
      </c>
      <c r="J4612" s="35" t="str">
        <f aca="false">IF($A4612="","",IF(Setup!$B$6=1,YEAR($A4612),YEAR($A4612)+IF(MONTH($A4612)&gt;=Setup!$B$6,1,0)))</f>
        <v/>
      </c>
      <c r="K4612" s="35" t="str">
        <f aca="false">IF($A4612="","",MOD(MONTH($A4612)-Setup!$B$6+12,12)+1)</f>
        <v/>
      </c>
      <c r="L4612" s="36" t="str">
        <f aca="false">IF($A4612="","",TEXT($A4612,"MMM-YY"))</f>
        <v/>
      </c>
      <c r="M4612" s="37" t="str">
        <f aca="false">IF($A4612="","",IF($Q4612=0,"UNMAPPED",INDEX(COA_Mapping!$C$7:$C$256,$Q4612)))</f>
        <v/>
      </c>
      <c r="N4612" s="38" t="str">
        <f aca="false">IF($A4612="","",IF($Q4612=0,"",INDEX(COA_Mapping!$E$7:$E$256,$Q4612)))</f>
        <v/>
      </c>
      <c r="O4612" s="38" t="n">
        <f aca="false">IF($A4612="",1,IF($Q4612=0,1,INDEX(COA_Mapping!$F$7:$F$256,$Q4612)))</f>
        <v>1</v>
      </c>
      <c r="P4612" s="34" t="str">
        <f aca="false">IF($A4612="","",$I4612*$O4612)</f>
        <v/>
      </c>
      <c r="Q4612" s="39" t="n">
        <f aca="false">IF($B4612="",0,IFERROR(MATCH($B4612,COA_Mapping!$A$7:$A$256,0),0))</f>
        <v>0</v>
      </c>
      <c r="R4612" s="39" t="n">
        <f aca="false">IF($A4612="",-1,IF($J4612=Setup!$B$7,1,IF($J4612=Setup!$B$9,0,-1)))</f>
        <v>-1</v>
      </c>
      <c r="S4612" s="35" t="n">
        <f aca="false">IF(OR($A4612="",$Q4612=0,$R4612=-1),0,$Q4612*1000+$R4612*100+$K4612)</f>
        <v>0</v>
      </c>
      <c r="T4612" s="37" t="str">
        <f aca="false">IF($A4612="","",IF($B4612="","NO ACCOUNT",IF($Q4612=0,"UNMAPPED",IF($R4612=-1,"OUTSIDE FY RANGE","OK"))))</f>
        <v/>
      </c>
      <c r="U4612" s="40" t="str">
        <f aca="false">IF($A4612="","",$B4612&amp;"|"&amp;TEXT($A4612,"yyyymmdd")&amp;"|"&amp;TEXT($I4612,"0.00"))</f>
        <v/>
      </c>
      <c r="V4612" s="35" t="str">
        <f aca="false">IF($A4612="","",COUNTIF($U$8:$U$5007,$U4612))</f>
        <v/>
      </c>
    </row>
    <row r="4613" customFormat="false" ht="15" hidden="false" customHeight="false" outlineLevel="0" collapsed="false">
      <c r="A4613" s="31"/>
      <c r="B4613" s="32"/>
      <c r="C4613" s="32"/>
      <c r="D4613" s="32"/>
      <c r="E4613" s="32"/>
      <c r="F4613" s="32"/>
      <c r="G4613" s="33"/>
      <c r="H4613" s="33"/>
      <c r="I4613" s="34" t="str">
        <f aca="false">IF($A4613="","",$G4613-$H4613)</f>
        <v/>
      </c>
      <c r="J4613" s="35" t="str">
        <f aca="false">IF($A4613="","",IF(Setup!$B$6=1,YEAR($A4613),YEAR($A4613)+IF(MONTH($A4613)&gt;=Setup!$B$6,1,0)))</f>
        <v/>
      </c>
      <c r="K4613" s="35" t="str">
        <f aca="false">IF($A4613="","",MOD(MONTH($A4613)-Setup!$B$6+12,12)+1)</f>
        <v/>
      </c>
      <c r="L4613" s="36" t="str">
        <f aca="false">IF($A4613="","",TEXT($A4613,"MMM-YY"))</f>
        <v/>
      </c>
      <c r="M4613" s="37" t="str">
        <f aca="false">IF($A4613="","",IF($Q4613=0,"UNMAPPED",INDEX(COA_Mapping!$C$7:$C$256,$Q4613)))</f>
        <v/>
      </c>
      <c r="N4613" s="38" t="str">
        <f aca="false">IF($A4613="","",IF($Q4613=0,"",INDEX(COA_Mapping!$E$7:$E$256,$Q4613)))</f>
        <v/>
      </c>
      <c r="O4613" s="38" t="n">
        <f aca="false">IF($A4613="",1,IF($Q4613=0,1,INDEX(COA_Mapping!$F$7:$F$256,$Q4613)))</f>
        <v>1</v>
      </c>
      <c r="P4613" s="34" t="str">
        <f aca="false">IF($A4613="","",$I4613*$O4613)</f>
        <v/>
      </c>
      <c r="Q4613" s="39" t="n">
        <f aca="false">IF($B4613="",0,IFERROR(MATCH($B4613,COA_Mapping!$A$7:$A$256,0),0))</f>
        <v>0</v>
      </c>
      <c r="R4613" s="39" t="n">
        <f aca="false">IF($A4613="",-1,IF($J4613=Setup!$B$7,1,IF($J4613=Setup!$B$9,0,-1)))</f>
        <v>-1</v>
      </c>
      <c r="S4613" s="35" t="n">
        <f aca="false">IF(OR($A4613="",$Q4613=0,$R4613=-1),0,$Q4613*1000+$R4613*100+$K4613)</f>
        <v>0</v>
      </c>
      <c r="T4613" s="37" t="str">
        <f aca="false">IF($A4613="","",IF($B4613="","NO ACCOUNT",IF($Q4613=0,"UNMAPPED",IF($R4613=-1,"OUTSIDE FY RANGE","OK"))))</f>
        <v/>
      </c>
      <c r="U4613" s="40" t="str">
        <f aca="false">IF($A4613="","",$B4613&amp;"|"&amp;TEXT($A4613,"yyyymmdd")&amp;"|"&amp;TEXT($I4613,"0.00"))</f>
        <v/>
      </c>
      <c r="V4613" s="35" t="str">
        <f aca="false">IF($A4613="","",COUNTIF($U$8:$U$5007,$U4613))</f>
        <v/>
      </c>
    </row>
    <row r="4614" customFormat="false" ht="15" hidden="false" customHeight="false" outlineLevel="0" collapsed="false">
      <c r="A4614" s="31"/>
      <c r="B4614" s="32"/>
      <c r="C4614" s="32"/>
      <c r="D4614" s="32"/>
      <c r="E4614" s="32"/>
      <c r="F4614" s="32"/>
      <c r="G4614" s="33"/>
      <c r="H4614" s="33"/>
      <c r="I4614" s="34" t="str">
        <f aca="false">IF($A4614="","",$G4614-$H4614)</f>
        <v/>
      </c>
      <c r="J4614" s="35" t="str">
        <f aca="false">IF($A4614="","",IF(Setup!$B$6=1,YEAR($A4614),YEAR($A4614)+IF(MONTH($A4614)&gt;=Setup!$B$6,1,0)))</f>
        <v/>
      </c>
      <c r="K4614" s="35" t="str">
        <f aca="false">IF($A4614="","",MOD(MONTH($A4614)-Setup!$B$6+12,12)+1)</f>
        <v/>
      </c>
      <c r="L4614" s="36" t="str">
        <f aca="false">IF($A4614="","",TEXT($A4614,"MMM-YY"))</f>
        <v/>
      </c>
      <c r="M4614" s="37" t="str">
        <f aca="false">IF($A4614="","",IF($Q4614=0,"UNMAPPED",INDEX(COA_Mapping!$C$7:$C$256,$Q4614)))</f>
        <v/>
      </c>
      <c r="N4614" s="38" t="str">
        <f aca="false">IF($A4614="","",IF($Q4614=0,"",INDEX(COA_Mapping!$E$7:$E$256,$Q4614)))</f>
        <v/>
      </c>
      <c r="O4614" s="38" t="n">
        <f aca="false">IF($A4614="",1,IF($Q4614=0,1,INDEX(COA_Mapping!$F$7:$F$256,$Q4614)))</f>
        <v>1</v>
      </c>
      <c r="P4614" s="34" t="str">
        <f aca="false">IF($A4614="","",$I4614*$O4614)</f>
        <v/>
      </c>
      <c r="Q4614" s="39" t="n">
        <f aca="false">IF($B4614="",0,IFERROR(MATCH($B4614,COA_Mapping!$A$7:$A$256,0),0))</f>
        <v>0</v>
      </c>
      <c r="R4614" s="39" t="n">
        <f aca="false">IF($A4614="",-1,IF($J4614=Setup!$B$7,1,IF($J4614=Setup!$B$9,0,-1)))</f>
        <v>-1</v>
      </c>
      <c r="S4614" s="35" t="n">
        <f aca="false">IF(OR($A4614="",$Q4614=0,$R4614=-1),0,$Q4614*1000+$R4614*100+$K4614)</f>
        <v>0</v>
      </c>
      <c r="T4614" s="37" t="str">
        <f aca="false">IF($A4614="","",IF($B4614="","NO ACCOUNT",IF($Q4614=0,"UNMAPPED",IF($R4614=-1,"OUTSIDE FY RANGE","OK"))))</f>
        <v/>
      </c>
      <c r="U4614" s="40" t="str">
        <f aca="false">IF($A4614="","",$B4614&amp;"|"&amp;TEXT($A4614,"yyyymmdd")&amp;"|"&amp;TEXT($I4614,"0.00"))</f>
        <v/>
      </c>
      <c r="V4614" s="35" t="str">
        <f aca="false">IF($A4614="","",COUNTIF($U$8:$U$5007,$U4614))</f>
        <v/>
      </c>
    </row>
    <row r="4615" customFormat="false" ht="15" hidden="false" customHeight="false" outlineLevel="0" collapsed="false">
      <c r="A4615" s="31"/>
      <c r="B4615" s="32"/>
      <c r="C4615" s="32"/>
      <c r="D4615" s="32"/>
      <c r="E4615" s="32"/>
      <c r="F4615" s="32"/>
      <c r="G4615" s="33"/>
      <c r="H4615" s="33"/>
      <c r="I4615" s="34" t="str">
        <f aca="false">IF($A4615="","",$G4615-$H4615)</f>
        <v/>
      </c>
      <c r="J4615" s="35" t="str">
        <f aca="false">IF($A4615="","",IF(Setup!$B$6=1,YEAR($A4615),YEAR($A4615)+IF(MONTH($A4615)&gt;=Setup!$B$6,1,0)))</f>
        <v/>
      </c>
      <c r="K4615" s="35" t="str">
        <f aca="false">IF($A4615="","",MOD(MONTH($A4615)-Setup!$B$6+12,12)+1)</f>
        <v/>
      </c>
      <c r="L4615" s="36" t="str">
        <f aca="false">IF($A4615="","",TEXT($A4615,"MMM-YY"))</f>
        <v/>
      </c>
      <c r="M4615" s="37" t="str">
        <f aca="false">IF($A4615="","",IF($Q4615=0,"UNMAPPED",INDEX(COA_Mapping!$C$7:$C$256,$Q4615)))</f>
        <v/>
      </c>
      <c r="N4615" s="38" t="str">
        <f aca="false">IF($A4615="","",IF($Q4615=0,"",INDEX(COA_Mapping!$E$7:$E$256,$Q4615)))</f>
        <v/>
      </c>
      <c r="O4615" s="38" t="n">
        <f aca="false">IF($A4615="",1,IF($Q4615=0,1,INDEX(COA_Mapping!$F$7:$F$256,$Q4615)))</f>
        <v>1</v>
      </c>
      <c r="P4615" s="34" t="str">
        <f aca="false">IF($A4615="","",$I4615*$O4615)</f>
        <v/>
      </c>
      <c r="Q4615" s="39" t="n">
        <f aca="false">IF($B4615="",0,IFERROR(MATCH($B4615,COA_Mapping!$A$7:$A$256,0),0))</f>
        <v>0</v>
      </c>
      <c r="R4615" s="39" t="n">
        <f aca="false">IF($A4615="",-1,IF($J4615=Setup!$B$7,1,IF($J4615=Setup!$B$9,0,-1)))</f>
        <v>-1</v>
      </c>
      <c r="S4615" s="35" t="n">
        <f aca="false">IF(OR($A4615="",$Q4615=0,$R4615=-1),0,$Q4615*1000+$R4615*100+$K4615)</f>
        <v>0</v>
      </c>
      <c r="T4615" s="37" t="str">
        <f aca="false">IF($A4615="","",IF($B4615="","NO ACCOUNT",IF($Q4615=0,"UNMAPPED",IF($R4615=-1,"OUTSIDE FY RANGE","OK"))))</f>
        <v/>
      </c>
      <c r="U4615" s="40" t="str">
        <f aca="false">IF($A4615="","",$B4615&amp;"|"&amp;TEXT($A4615,"yyyymmdd")&amp;"|"&amp;TEXT($I4615,"0.00"))</f>
        <v/>
      </c>
      <c r="V4615" s="35" t="str">
        <f aca="false">IF($A4615="","",COUNTIF($U$8:$U$5007,$U4615))</f>
        <v/>
      </c>
    </row>
    <row r="4616" customFormat="false" ht="15" hidden="false" customHeight="false" outlineLevel="0" collapsed="false">
      <c r="A4616" s="31"/>
      <c r="B4616" s="32"/>
      <c r="C4616" s="32"/>
      <c r="D4616" s="32"/>
      <c r="E4616" s="32"/>
      <c r="F4616" s="32"/>
      <c r="G4616" s="33"/>
      <c r="H4616" s="33"/>
      <c r="I4616" s="34" t="str">
        <f aca="false">IF($A4616="","",$G4616-$H4616)</f>
        <v/>
      </c>
      <c r="J4616" s="35" t="str">
        <f aca="false">IF($A4616="","",IF(Setup!$B$6=1,YEAR($A4616),YEAR($A4616)+IF(MONTH($A4616)&gt;=Setup!$B$6,1,0)))</f>
        <v/>
      </c>
      <c r="K4616" s="35" t="str">
        <f aca="false">IF($A4616="","",MOD(MONTH($A4616)-Setup!$B$6+12,12)+1)</f>
        <v/>
      </c>
      <c r="L4616" s="36" t="str">
        <f aca="false">IF($A4616="","",TEXT($A4616,"MMM-YY"))</f>
        <v/>
      </c>
      <c r="M4616" s="37" t="str">
        <f aca="false">IF($A4616="","",IF($Q4616=0,"UNMAPPED",INDEX(COA_Mapping!$C$7:$C$256,$Q4616)))</f>
        <v/>
      </c>
      <c r="N4616" s="38" t="str">
        <f aca="false">IF($A4616="","",IF($Q4616=0,"",INDEX(COA_Mapping!$E$7:$E$256,$Q4616)))</f>
        <v/>
      </c>
      <c r="O4616" s="38" t="n">
        <f aca="false">IF($A4616="",1,IF($Q4616=0,1,INDEX(COA_Mapping!$F$7:$F$256,$Q4616)))</f>
        <v>1</v>
      </c>
      <c r="P4616" s="34" t="str">
        <f aca="false">IF($A4616="","",$I4616*$O4616)</f>
        <v/>
      </c>
      <c r="Q4616" s="39" t="n">
        <f aca="false">IF($B4616="",0,IFERROR(MATCH($B4616,COA_Mapping!$A$7:$A$256,0),0))</f>
        <v>0</v>
      </c>
      <c r="R4616" s="39" t="n">
        <f aca="false">IF($A4616="",-1,IF($J4616=Setup!$B$7,1,IF($J4616=Setup!$B$9,0,-1)))</f>
        <v>-1</v>
      </c>
      <c r="S4616" s="35" t="n">
        <f aca="false">IF(OR($A4616="",$Q4616=0,$R4616=-1),0,$Q4616*1000+$R4616*100+$K4616)</f>
        <v>0</v>
      </c>
      <c r="T4616" s="37" t="str">
        <f aca="false">IF($A4616="","",IF($B4616="","NO ACCOUNT",IF($Q4616=0,"UNMAPPED",IF($R4616=-1,"OUTSIDE FY RANGE","OK"))))</f>
        <v/>
      </c>
      <c r="U4616" s="40" t="str">
        <f aca="false">IF($A4616="","",$B4616&amp;"|"&amp;TEXT($A4616,"yyyymmdd")&amp;"|"&amp;TEXT($I4616,"0.00"))</f>
        <v/>
      </c>
      <c r="V4616" s="35" t="str">
        <f aca="false">IF($A4616="","",COUNTIF($U$8:$U$5007,$U4616))</f>
        <v/>
      </c>
    </row>
    <row r="4617" customFormat="false" ht="15" hidden="false" customHeight="false" outlineLevel="0" collapsed="false">
      <c r="A4617" s="31"/>
      <c r="B4617" s="32"/>
      <c r="C4617" s="32"/>
      <c r="D4617" s="32"/>
      <c r="E4617" s="32"/>
      <c r="F4617" s="32"/>
      <c r="G4617" s="33"/>
      <c r="H4617" s="33"/>
      <c r="I4617" s="34" t="str">
        <f aca="false">IF($A4617="","",$G4617-$H4617)</f>
        <v/>
      </c>
      <c r="J4617" s="35" t="str">
        <f aca="false">IF($A4617="","",IF(Setup!$B$6=1,YEAR($A4617),YEAR($A4617)+IF(MONTH($A4617)&gt;=Setup!$B$6,1,0)))</f>
        <v/>
      </c>
      <c r="K4617" s="35" t="str">
        <f aca="false">IF($A4617="","",MOD(MONTH($A4617)-Setup!$B$6+12,12)+1)</f>
        <v/>
      </c>
      <c r="L4617" s="36" t="str">
        <f aca="false">IF($A4617="","",TEXT($A4617,"MMM-YY"))</f>
        <v/>
      </c>
      <c r="M4617" s="37" t="str">
        <f aca="false">IF($A4617="","",IF($Q4617=0,"UNMAPPED",INDEX(COA_Mapping!$C$7:$C$256,$Q4617)))</f>
        <v/>
      </c>
      <c r="N4617" s="38" t="str">
        <f aca="false">IF($A4617="","",IF($Q4617=0,"",INDEX(COA_Mapping!$E$7:$E$256,$Q4617)))</f>
        <v/>
      </c>
      <c r="O4617" s="38" t="n">
        <f aca="false">IF($A4617="",1,IF($Q4617=0,1,INDEX(COA_Mapping!$F$7:$F$256,$Q4617)))</f>
        <v>1</v>
      </c>
      <c r="P4617" s="34" t="str">
        <f aca="false">IF($A4617="","",$I4617*$O4617)</f>
        <v/>
      </c>
      <c r="Q4617" s="39" t="n">
        <f aca="false">IF($B4617="",0,IFERROR(MATCH($B4617,COA_Mapping!$A$7:$A$256,0),0))</f>
        <v>0</v>
      </c>
      <c r="R4617" s="39" t="n">
        <f aca="false">IF($A4617="",-1,IF($J4617=Setup!$B$7,1,IF($J4617=Setup!$B$9,0,-1)))</f>
        <v>-1</v>
      </c>
      <c r="S4617" s="35" t="n">
        <f aca="false">IF(OR($A4617="",$Q4617=0,$R4617=-1),0,$Q4617*1000+$R4617*100+$K4617)</f>
        <v>0</v>
      </c>
      <c r="T4617" s="37" t="str">
        <f aca="false">IF($A4617="","",IF($B4617="","NO ACCOUNT",IF($Q4617=0,"UNMAPPED",IF($R4617=-1,"OUTSIDE FY RANGE","OK"))))</f>
        <v/>
      </c>
      <c r="U4617" s="40" t="str">
        <f aca="false">IF($A4617="","",$B4617&amp;"|"&amp;TEXT($A4617,"yyyymmdd")&amp;"|"&amp;TEXT($I4617,"0.00"))</f>
        <v/>
      </c>
      <c r="V4617" s="35" t="str">
        <f aca="false">IF($A4617="","",COUNTIF($U$8:$U$5007,$U4617))</f>
        <v/>
      </c>
    </row>
    <row r="4618" customFormat="false" ht="15" hidden="false" customHeight="false" outlineLevel="0" collapsed="false">
      <c r="A4618" s="31"/>
      <c r="B4618" s="32"/>
      <c r="C4618" s="32"/>
      <c r="D4618" s="32"/>
      <c r="E4618" s="32"/>
      <c r="F4618" s="32"/>
      <c r="G4618" s="33"/>
      <c r="H4618" s="33"/>
      <c r="I4618" s="34" t="str">
        <f aca="false">IF($A4618="","",$G4618-$H4618)</f>
        <v/>
      </c>
      <c r="J4618" s="35" t="str">
        <f aca="false">IF($A4618="","",IF(Setup!$B$6=1,YEAR($A4618),YEAR($A4618)+IF(MONTH($A4618)&gt;=Setup!$B$6,1,0)))</f>
        <v/>
      </c>
      <c r="K4618" s="35" t="str">
        <f aca="false">IF($A4618="","",MOD(MONTH($A4618)-Setup!$B$6+12,12)+1)</f>
        <v/>
      </c>
      <c r="L4618" s="36" t="str">
        <f aca="false">IF($A4618="","",TEXT($A4618,"MMM-YY"))</f>
        <v/>
      </c>
      <c r="M4618" s="37" t="str">
        <f aca="false">IF($A4618="","",IF($Q4618=0,"UNMAPPED",INDEX(COA_Mapping!$C$7:$C$256,$Q4618)))</f>
        <v/>
      </c>
      <c r="N4618" s="38" t="str">
        <f aca="false">IF($A4618="","",IF($Q4618=0,"",INDEX(COA_Mapping!$E$7:$E$256,$Q4618)))</f>
        <v/>
      </c>
      <c r="O4618" s="38" t="n">
        <f aca="false">IF($A4618="",1,IF($Q4618=0,1,INDEX(COA_Mapping!$F$7:$F$256,$Q4618)))</f>
        <v>1</v>
      </c>
      <c r="P4618" s="34" t="str">
        <f aca="false">IF($A4618="","",$I4618*$O4618)</f>
        <v/>
      </c>
      <c r="Q4618" s="39" t="n">
        <f aca="false">IF($B4618="",0,IFERROR(MATCH($B4618,COA_Mapping!$A$7:$A$256,0),0))</f>
        <v>0</v>
      </c>
      <c r="R4618" s="39" t="n">
        <f aca="false">IF($A4618="",-1,IF($J4618=Setup!$B$7,1,IF($J4618=Setup!$B$9,0,-1)))</f>
        <v>-1</v>
      </c>
      <c r="S4618" s="35" t="n">
        <f aca="false">IF(OR($A4618="",$Q4618=0,$R4618=-1),0,$Q4618*1000+$R4618*100+$K4618)</f>
        <v>0</v>
      </c>
      <c r="T4618" s="37" t="str">
        <f aca="false">IF($A4618="","",IF($B4618="","NO ACCOUNT",IF($Q4618=0,"UNMAPPED",IF($R4618=-1,"OUTSIDE FY RANGE","OK"))))</f>
        <v/>
      </c>
      <c r="U4618" s="40" t="str">
        <f aca="false">IF($A4618="","",$B4618&amp;"|"&amp;TEXT($A4618,"yyyymmdd")&amp;"|"&amp;TEXT($I4618,"0.00"))</f>
        <v/>
      </c>
      <c r="V4618" s="35" t="str">
        <f aca="false">IF($A4618="","",COUNTIF($U$8:$U$5007,$U4618))</f>
        <v/>
      </c>
    </row>
    <row r="4619" customFormat="false" ht="15" hidden="false" customHeight="false" outlineLevel="0" collapsed="false">
      <c r="A4619" s="31"/>
      <c r="B4619" s="32"/>
      <c r="C4619" s="32"/>
      <c r="D4619" s="32"/>
      <c r="E4619" s="32"/>
      <c r="F4619" s="32"/>
      <c r="G4619" s="33"/>
      <c r="H4619" s="33"/>
      <c r="I4619" s="34" t="str">
        <f aca="false">IF($A4619="","",$G4619-$H4619)</f>
        <v/>
      </c>
      <c r="J4619" s="35" t="str">
        <f aca="false">IF($A4619="","",IF(Setup!$B$6=1,YEAR($A4619),YEAR($A4619)+IF(MONTH($A4619)&gt;=Setup!$B$6,1,0)))</f>
        <v/>
      </c>
      <c r="K4619" s="35" t="str">
        <f aca="false">IF($A4619="","",MOD(MONTH($A4619)-Setup!$B$6+12,12)+1)</f>
        <v/>
      </c>
      <c r="L4619" s="36" t="str">
        <f aca="false">IF($A4619="","",TEXT($A4619,"MMM-YY"))</f>
        <v/>
      </c>
      <c r="M4619" s="37" t="str">
        <f aca="false">IF($A4619="","",IF($Q4619=0,"UNMAPPED",INDEX(COA_Mapping!$C$7:$C$256,$Q4619)))</f>
        <v/>
      </c>
      <c r="N4619" s="38" t="str">
        <f aca="false">IF($A4619="","",IF($Q4619=0,"",INDEX(COA_Mapping!$E$7:$E$256,$Q4619)))</f>
        <v/>
      </c>
      <c r="O4619" s="38" t="n">
        <f aca="false">IF($A4619="",1,IF($Q4619=0,1,INDEX(COA_Mapping!$F$7:$F$256,$Q4619)))</f>
        <v>1</v>
      </c>
      <c r="P4619" s="34" t="str">
        <f aca="false">IF($A4619="","",$I4619*$O4619)</f>
        <v/>
      </c>
      <c r="Q4619" s="39" t="n">
        <f aca="false">IF($B4619="",0,IFERROR(MATCH($B4619,COA_Mapping!$A$7:$A$256,0),0))</f>
        <v>0</v>
      </c>
      <c r="R4619" s="39" t="n">
        <f aca="false">IF($A4619="",-1,IF($J4619=Setup!$B$7,1,IF($J4619=Setup!$B$9,0,-1)))</f>
        <v>-1</v>
      </c>
      <c r="S4619" s="35" t="n">
        <f aca="false">IF(OR($A4619="",$Q4619=0,$R4619=-1),0,$Q4619*1000+$R4619*100+$K4619)</f>
        <v>0</v>
      </c>
      <c r="T4619" s="37" t="str">
        <f aca="false">IF($A4619="","",IF($B4619="","NO ACCOUNT",IF($Q4619=0,"UNMAPPED",IF($R4619=-1,"OUTSIDE FY RANGE","OK"))))</f>
        <v/>
      </c>
      <c r="U4619" s="40" t="str">
        <f aca="false">IF($A4619="","",$B4619&amp;"|"&amp;TEXT($A4619,"yyyymmdd")&amp;"|"&amp;TEXT($I4619,"0.00"))</f>
        <v/>
      </c>
      <c r="V4619" s="35" t="str">
        <f aca="false">IF($A4619="","",COUNTIF($U$8:$U$5007,$U4619))</f>
        <v/>
      </c>
    </row>
    <row r="4620" customFormat="false" ht="15" hidden="false" customHeight="false" outlineLevel="0" collapsed="false">
      <c r="A4620" s="31"/>
      <c r="B4620" s="32"/>
      <c r="C4620" s="32"/>
      <c r="D4620" s="32"/>
      <c r="E4620" s="32"/>
      <c r="F4620" s="32"/>
      <c r="G4620" s="33"/>
      <c r="H4620" s="33"/>
      <c r="I4620" s="34" t="str">
        <f aca="false">IF($A4620="","",$G4620-$H4620)</f>
        <v/>
      </c>
      <c r="J4620" s="35" t="str">
        <f aca="false">IF($A4620="","",IF(Setup!$B$6=1,YEAR($A4620),YEAR($A4620)+IF(MONTH($A4620)&gt;=Setup!$B$6,1,0)))</f>
        <v/>
      </c>
      <c r="K4620" s="35" t="str">
        <f aca="false">IF($A4620="","",MOD(MONTH($A4620)-Setup!$B$6+12,12)+1)</f>
        <v/>
      </c>
      <c r="L4620" s="36" t="str">
        <f aca="false">IF($A4620="","",TEXT($A4620,"MMM-YY"))</f>
        <v/>
      </c>
      <c r="M4620" s="37" t="str">
        <f aca="false">IF($A4620="","",IF($Q4620=0,"UNMAPPED",INDEX(COA_Mapping!$C$7:$C$256,$Q4620)))</f>
        <v/>
      </c>
      <c r="N4620" s="38" t="str">
        <f aca="false">IF($A4620="","",IF($Q4620=0,"",INDEX(COA_Mapping!$E$7:$E$256,$Q4620)))</f>
        <v/>
      </c>
      <c r="O4620" s="38" t="n">
        <f aca="false">IF($A4620="",1,IF($Q4620=0,1,INDEX(COA_Mapping!$F$7:$F$256,$Q4620)))</f>
        <v>1</v>
      </c>
      <c r="P4620" s="34" t="str">
        <f aca="false">IF($A4620="","",$I4620*$O4620)</f>
        <v/>
      </c>
      <c r="Q4620" s="39" t="n">
        <f aca="false">IF($B4620="",0,IFERROR(MATCH($B4620,COA_Mapping!$A$7:$A$256,0),0))</f>
        <v>0</v>
      </c>
      <c r="R4620" s="39" t="n">
        <f aca="false">IF($A4620="",-1,IF($J4620=Setup!$B$7,1,IF($J4620=Setup!$B$9,0,-1)))</f>
        <v>-1</v>
      </c>
      <c r="S4620" s="35" t="n">
        <f aca="false">IF(OR($A4620="",$Q4620=0,$R4620=-1),0,$Q4620*1000+$R4620*100+$K4620)</f>
        <v>0</v>
      </c>
      <c r="T4620" s="37" t="str">
        <f aca="false">IF($A4620="","",IF($B4620="","NO ACCOUNT",IF($Q4620=0,"UNMAPPED",IF($R4620=-1,"OUTSIDE FY RANGE","OK"))))</f>
        <v/>
      </c>
      <c r="U4620" s="40" t="str">
        <f aca="false">IF($A4620="","",$B4620&amp;"|"&amp;TEXT($A4620,"yyyymmdd")&amp;"|"&amp;TEXT($I4620,"0.00"))</f>
        <v/>
      </c>
      <c r="V4620" s="35" t="str">
        <f aca="false">IF($A4620="","",COUNTIF($U$8:$U$5007,$U4620))</f>
        <v/>
      </c>
    </row>
    <row r="4621" customFormat="false" ht="15" hidden="false" customHeight="false" outlineLevel="0" collapsed="false">
      <c r="A4621" s="31"/>
      <c r="B4621" s="32"/>
      <c r="C4621" s="32"/>
      <c r="D4621" s="32"/>
      <c r="E4621" s="32"/>
      <c r="F4621" s="32"/>
      <c r="G4621" s="33"/>
      <c r="H4621" s="33"/>
      <c r="I4621" s="34" t="str">
        <f aca="false">IF($A4621="","",$G4621-$H4621)</f>
        <v/>
      </c>
      <c r="J4621" s="35" t="str">
        <f aca="false">IF($A4621="","",IF(Setup!$B$6=1,YEAR($A4621),YEAR($A4621)+IF(MONTH($A4621)&gt;=Setup!$B$6,1,0)))</f>
        <v/>
      </c>
      <c r="K4621" s="35" t="str">
        <f aca="false">IF($A4621="","",MOD(MONTH($A4621)-Setup!$B$6+12,12)+1)</f>
        <v/>
      </c>
      <c r="L4621" s="36" t="str">
        <f aca="false">IF($A4621="","",TEXT($A4621,"MMM-YY"))</f>
        <v/>
      </c>
      <c r="M4621" s="37" t="str">
        <f aca="false">IF($A4621="","",IF($Q4621=0,"UNMAPPED",INDEX(COA_Mapping!$C$7:$C$256,$Q4621)))</f>
        <v/>
      </c>
      <c r="N4621" s="38" t="str">
        <f aca="false">IF($A4621="","",IF($Q4621=0,"",INDEX(COA_Mapping!$E$7:$E$256,$Q4621)))</f>
        <v/>
      </c>
      <c r="O4621" s="38" t="n">
        <f aca="false">IF($A4621="",1,IF($Q4621=0,1,INDEX(COA_Mapping!$F$7:$F$256,$Q4621)))</f>
        <v>1</v>
      </c>
      <c r="P4621" s="34" t="str">
        <f aca="false">IF($A4621="","",$I4621*$O4621)</f>
        <v/>
      </c>
      <c r="Q4621" s="39" t="n">
        <f aca="false">IF($B4621="",0,IFERROR(MATCH($B4621,COA_Mapping!$A$7:$A$256,0),0))</f>
        <v>0</v>
      </c>
      <c r="R4621" s="39" t="n">
        <f aca="false">IF($A4621="",-1,IF($J4621=Setup!$B$7,1,IF($J4621=Setup!$B$9,0,-1)))</f>
        <v>-1</v>
      </c>
      <c r="S4621" s="35" t="n">
        <f aca="false">IF(OR($A4621="",$Q4621=0,$R4621=-1),0,$Q4621*1000+$R4621*100+$K4621)</f>
        <v>0</v>
      </c>
      <c r="T4621" s="37" t="str">
        <f aca="false">IF($A4621="","",IF($B4621="","NO ACCOUNT",IF($Q4621=0,"UNMAPPED",IF($R4621=-1,"OUTSIDE FY RANGE","OK"))))</f>
        <v/>
      </c>
      <c r="U4621" s="40" t="str">
        <f aca="false">IF($A4621="","",$B4621&amp;"|"&amp;TEXT($A4621,"yyyymmdd")&amp;"|"&amp;TEXT($I4621,"0.00"))</f>
        <v/>
      </c>
      <c r="V4621" s="35" t="str">
        <f aca="false">IF($A4621="","",COUNTIF($U$8:$U$5007,$U4621))</f>
        <v/>
      </c>
    </row>
    <row r="4622" customFormat="false" ht="15" hidden="false" customHeight="false" outlineLevel="0" collapsed="false">
      <c r="A4622" s="31"/>
      <c r="B4622" s="32"/>
      <c r="C4622" s="32"/>
      <c r="D4622" s="32"/>
      <c r="E4622" s="32"/>
      <c r="F4622" s="32"/>
      <c r="G4622" s="33"/>
      <c r="H4622" s="33"/>
      <c r="I4622" s="34" t="str">
        <f aca="false">IF($A4622="","",$G4622-$H4622)</f>
        <v/>
      </c>
      <c r="J4622" s="35" t="str">
        <f aca="false">IF($A4622="","",IF(Setup!$B$6=1,YEAR($A4622),YEAR($A4622)+IF(MONTH($A4622)&gt;=Setup!$B$6,1,0)))</f>
        <v/>
      </c>
      <c r="K4622" s="35" t="str">
        <f aca="false">IF($A4622="","",MOD(MONTH($A4622)-Setup!$B$6+12,12)+1)</f>
        <v/>
      </c>
      <c r="L4622" s="36" t="str">
        <f aca="false">IF($A4622="","",TEXT($A4622,"MMM-YY"))</f>
        <v/>
      </c>
      <c r="M4622" s="37" t="str">
        <f aca="false">IF($A4622="","",IF($Q4622=0,"UNMAPPED",INDEX(COA_Mapping!$C$7:$C$256,$Q4622)))</f>
        <v/>
      </c>
      <c r="N4622" s="38" t="str">
        <f aca="false">IF($A4622="","",IF($Q4622=0,"",INDEX(COA_Mapping!$E$7:$E$256,$Q4622)))</f>
        <v/>
      </c>
      <c r="O4622" s="38" t="n">
        <f aca="false">IF($A4622="",1,IF($Q4622=0,1,INDEX(COA_Mapping!$F$7:$F$256,$Q4622)))</f>
        <v>1</v>
      </c>
      <c r="P4622" s="34" t="str">
        <f aca="false">IF($A4622="","",$I4622*$O4622)</f>
        <v/>
      </c>
      <c r="Q4622" s="39" t="n">
        <f aca="false">IF($B4622="",0,IFERROR(MATCH($B4622,COA_Mapping!$A$7:$A$256,0),0))</f>
        <v>0</v>
      </c>
      <c r="R4622" s="39" t="n">
        <f aca="false">IF($A4622="",-1,IF($J4622=Setup!$B$7,1,IF($J4622=Setup!$B$9,0,-1)))</f>
        <v>-1</v>
      </c>
      <c r="S4622" s="35" t="n">
        <f aca="false">IF(OR($A4622="",$Q4622=0,$R4622=-1),0,$Q4622*1000+$R4622*100+$K4622)</f>
        <v>0</v>
      </c>
      <c r="T4622" s="37" t="str">
        <f aca="false">IF($A4622="","",IF($B4622="","NO ACCOUNT",IF($Q4622=0,"UNMAPPED",IF($R4622=-1,"OUTSIDE FY RANGE","OK"))))</f>
        <v/>
      </c>
      <c r="U4622" s="40" t="str">
        <f aca="false">IF($A4622="","",$B4622&amp;"|"&amp;TEXT($A4622,"yyyymmdd")&amp;"|"&amp;TEXT($I4622,"0.00"))</f>
        <v/>
      </c>
      <c r="V4622" s="35" t="str">
        <f aca="false">IF($A4622="","",COUNTIF($U$8:$U$5007,$U4622))</f>
        <v/>
      </c>
    </row>
    <row r="4623" customFormat="false" ht="15" hidden="false" customHeight="false" outlineLevel="0" collapsed="false">
      <c r="A4623" s="31"/>
      <c r="B4623" s="32"/>
      <c r="C4623" s="32"/>
      <c r="D4623" s="32"/>
      <c r="E4623" s="32"/>
      <c r="F4623" s="32"/>
      <c r="G4623" s="33"/>
      <c r="H4623" s="33"/>
      <c r="I4623" s="34" t="str">
        <f aca="false">IF($A4623="","",$G4623-$H4623)</f>
        <v/>
      </c>
      <c r="J4623" s="35" t="str">
        <f aca="false">IF($A4623="","",IF(Setup!$B$6=1,YEAR($A4623),YEAR($A4623)+IF(MONTH($A4623)&gt;=Setup!$B$6,1,0)))</f>
        <v/>
      </c>
      <c r="K4623" s="35" t="str">
        <f aca="false">IF($A4623="","",MOD(MONTH($A4623)-Setup!$B$6+12,12)+1)</f>
        <v/>
      </c>
      <c r="L4623" s="36" t="str">
        <f aca="false">IF($A4623="","",TEXT($A4623,"MMM-YY"))</f>
        <v/>
      </c>
      <c r="M4623" s="37" t="str">
        <f aca="false">IF($A4623="","",IF($Q4623=0,"UNMAPPED",INDEX(COA_Mapping!$C$7:$C$256,$Q4623)))</f>
        <v/>
      </c>
      <c r="N4623" s="38" t="str">
        <f aca="false">IF($A4623="","",IF($Q4623=0,"",INDEX(COA_Mapping!$E$7:$E$256,$Q4623)))</f>
        <v/>
      </c>
      <c r="O4623" s="38" t="n">
        <f aca="false">IF($A4623="",1,IF($Q4623=0,1,INDEX(COA_Mapping!$F$7:$F$256,$Q4623)))</f>
        <v>1</v>
      </c>
      <c r="P4623" s="34" t="str">
        <f aca="false">IF($A4623="","",$I4623*$O4623)</f>
        <v/>
      </c>
      <c r="Q4623" s="39" t="n">
        <f aca="false">IF($B4623="",0,IFERROR(MATCH($B4623,COA_Mapping!$A$7:$A$256,0),0))</f>
        <v>0</v>
      </c>
      <c r="R4623" s="39" t="n">
        <f aca="false">IF($A4623="",-1,IF($J4623=Setup!$B$7,1,IF($J4623=Setup!$B$9,0,-1)))</f>
        <v>-1</v>
      </c>
      <c r="S4623" s="35" t="n">
        <f aca="false">IF(OR($A4623="",$Q4623=0,$R4623=-1),0,$Q4623*1000+$R4623*100+$K4623)</f>
        <v>0</v>
      </c>
      <c r="T4623" s="37" t="str">
        <f aca="false">IF($A4623="","",IF($B4623="","NO ACCOUNT",IF($Q4623=0,"UNMAPPED",IF($R4623=-1,"OUTSIDE FY RANGE","OK"))))</f>
        <v/>
      </c>
      <c r="U4623" s="40" t="str">
        <f aca="false">IF($A4623="","",$B4623&amp;"|"&amp;TEXT($A4623,"yyyymmdd")&amp;"|"&amp;TEXT($I4623,"0.00"))</f>
        <v/>
      </c>
      <c r="V4623" s="35" t="str">
        <f aca="false">IF($A4623="","",COUNTIF($U$8:$U$5007,$U4623))</f>
        <v/>
      </c>
    </row>
    <row r="4624" customFormat="false" ht="15" hidden="false" customHeight="false" outlineLevel="0" collapsed="false">
      <c r="A4624" s="31"/>
      <c r="B4624" s="32"/>
      <c r="C4624" s="32"/>
      <c r="D4624" s="32"/>
      <c r="E4624" s="32"/>
      <c r="F4624" s="32"/>
      <c r="G4624" s="33"/>
      <c r="H4624" s="33"/>
      <c r="I4624" s="34" t="str">
        <f aca="false">IF($A4624="","",$G4624-$H4624)</f>
        <v/>
      </c>
      <c r="J4624" s="35" t="str">
        <f aca="false">IF($A4624="","",IF(Setup!$B$6=1,YEAR($A4624),YEAR($A4624)+IF(MONTH($A4624)&gt;=Setup!$B$6,1,0)))</f>
        <v/>
      </c>
      <c r="K4624" s="35" t="str">
        <f aca="false">IF($A4624="","",MOD(MONTH($A4624)-Setup!$B$6+12,12)+1)</f>
        <v/>
      </c>
      <c r="L4624" s="36" t="str">
        <f aca="false">IF($A4624="","",TEXT($A4624,"MMM-YY"))</f>
        <v/>
      </c>
      <c r="M4624" s="37" t="str">
        <f aca="false">IF($A4624="","",IF($Q4624=0,"UNMAPPED",INDEX(COA_Mapping!$C$7:$C$256,$Q4624)))</f>
        <v/>
      </c>
      <c r="N4624" s="38" t="str">
        <f aca="false">IF($A4624="","",IF($Q4624=0,"",INDEX(COA_Mapping!$E$7:$E$256,$Q4624)))</f>
        <v/>
      </c>
      <c r="O4624" s="38" t="n">
        <f aca="false">IF($A4624="",1,IF($Q4624=0,1,INDEX(COA_Mapping!$F$7:$F$256,$Q4624)))</f>
        <v>1</v>
      </c>
      <c r="P4624" s="34" t="str">
        <f aca="false">IF($A4624="","",$I4624*$O4624)</f>
        <v/>
      </c>
      <c r="Q4624" s="39" t="n">
        <f aca="false">IF($B4624="",0,IFERROR(MATCH($B4624,COA_Mapping!$A$7:$A$256,0),0))</f>
        <v>0</v>
      </c>
      <c r="R4624" s="39" t="n">
        <f aca="false">IF($A4624="",-1,IF($J4624=Setup!$B$7,1,IF($J4624=Setup!$B$9,0,-1)))</f>
        <v>-1</v>
      </c>
      <c r="S4624" s="35" t="n">
        <f aca="false">IF(OR($A4624="",$Q4624=0,$R4624=-1),0,$Q4624*1000+$R4624*100+$K4624)</f>
        <v>0</v>
      </c>
      <c r="T4624" s="37" t="str">
        <f aca="false">IF($A4624="","",IF($B4624="","NO ACCOUNT",IF($Q4624=0,"UNMAPPED",IF($R4624=-1,"OUTSIDE FY RANGE","OK"))))</f>
        <v/>
      </c>
      <c r="U4624" s="40" t="str">
        <f aca="false">IF($A4624="","",$B4624&amp;"|"&amp;TEXT($A4624,"yyyymmdd")&amp;"|"&amp;TEXT($I4624,"0.00"))</f>
        <v/>
      </c>
      <c r="V4624" s="35" t="str">
        <f aca="false">IF($A4624="","",COUNTIF($U$8:$U$5007,$U4624))</f>
        <v/>
      </c>
    </row>
    <row r="4625" customFormat="false" ht="15" hidden="false" customHeight="false" outlineLevel="0" collapsed="false">
      <c r="A4625" s="31"/>
      <c r="B4625" s="32"/>
      <c r="C4625" s="32"/>
      <c r="D4625" s="32"/>
      <c r="E4625" s="32"/>
      <c r="F4625" s="32"/>
      <c r="G4625" s="33"/>
      <c r="H4625" s="33"/>
      <c r="I4625" s="34" t="str">
        <f aca="false">IF($A4625="","",$G4625-$H4625)</f>
        <v/>
      </c>
      <c r="J4625" s="35" t="str">
        <f aca="false">IF($A4625="","",IF(Setup!$B$6=1,YEAR($A4625),YEAR($A4625)+IF(MONTH($A4625)&gt;=Setup!$B$6,1,0)))</f>
        <v/>
      </c>
      <c r="K4625" s="35" t="str">
        <f aca="false">IF($A4625="","",MOD(MONTH($A4625)-Setup!$B$6+12,12)+1)</f>
        <v/>
      </c>
      <c r="L4625" s="36" t="str">
        <f aca="false">IF($A4625="","",TEXT($A4625,"MMM-YY"))</f>
        <v/>
      </c>
      <c r="M4625" s="37" t="str">
        <f aca="false">IF($A4625="","",IF($Q4625=0,"UNMAPPED",INDEX(COA_Mapping!$C$7:$C$256,$Q4625)))</f>
        <v/>
      </c>
      <c r="N4625" s="38" t="str">
        <f aca="false">IF($A4625="","",IF($Q4625=0,"",INDEX(COA_Mapping!$E$7:$E$256,$Q4625)))</f>
        <v/>
      </c>
      <c r="O4625" s="38" t="n">
        <f aca="false">IF($A4625="",1,IF($Q4625=0,1,INDEX(COA_Mapping!$F$7:$F$256,$Q4625)))</f>
        <v>1</v>
      </c>
      <c r="P4625" s="34" t="str">
        <f aca="false">IF($A4625="","",$I4625*$O4625)</f>
        <v/>
      </c>
      <c r="Q4625" s="39" t="n">
        <f aca="false">IF($B4625="",0,IFERROR(MATCH($B4625,COA_Mapping!$A$7:$A$256,0),0))</f>
        <v>0</v>
      </c>
      <c r="R4625" s="39" t="n">
        <f aca="false">IF($A4625="",-1,IF($J4625=Setup!$B$7,1,IF($J4625=Setup!$B$9,0,-1)))</f>
        <v>-1</v>
      </c>
      <c r="S4625" s="35" t="n">
        <f aca="false">IF(OR($A4625="",$Q4625=0,$R4625=-1),0,$Q4625*1000+$R4625*100+$K4625)</f>
        <v>0</v>
      </c>
      <c r="T4625" s="37" t="str">
        <f aca="false">IF($A4625="","",IF($B4625="","NO ACCOUNT",IF($Q4625=0,"UNMAPPED",IF($R4625=-1,"OUTSIDE FY RANGE","OK"))))</f>
        <v/>
      </c>
      <c r="U4625" s="40" t="str">
        <f aca="false">IF($A4625="","",$B4625&amp;"|"&amp;TEXT($A4625,"yyyymmdd")&amp;"|"&amp;TEXT($I4625,"0.00"))</f>
        <v/>
      </c>
      <c r="V4625" s="35" t="str">
        <f aca="false">IF($A4625="","",COUNTIF($U$8:$U$5007,$U4625))</f>
        <v/>
      </c>
    </row>
    <row r="4626" customFormat="false" ht="15" hidden="false" customHeight="false" outlineLevel="0" collapsed="false">
      <c r="A4626" s="31"/>
      <c r="B4626" s="32"/>
      <c r="C4626" s="32"/>
      <c r="D4626" s="32"/>
      <c r="E4626" s="32"/>
      <c r="F4626" s="32"/>
      <c r="G4626" s="33"/>
      <c r="H4626" s="33"/>
      <c r="I4626" s="34" t="str">
        <f aca="false">IF($A4626="","",$G4626-$H4626)</f>
        <v/>
      </c>
      <c r="J4626" s="35" t="str">
        <f aca="false">IF($A4626="","",IF(Setup!$B$6=1,YEAR($A4626),YEAR($A4626)+IF(MONTH($A4626)&gt;=Setup!$B$6,1,0)))</f>
        <v/>
      </c>
      <c r="K4626" s="35" t="str">
        <f aca="false">IF($A4626="","",MOD(MONTH($A4626)-Setup!$B$6+12,12)+1)</f>
        <v/>
      </c>
      <c r="L4626" s="36" t="str">
        <f aca="false">IF($A4626="","",TEXT($A4626,"MMM-YY"))</f>
        <v/>
      </c>
      <c r="M4626" s="37" t="str">
        <f aca="false">IF($A4626="","",IF($Q4626=0,"UNMAPPED",INDEX(COA_Mapping!$C$7:$C$256,$Q4626)))</f>
        <v/>
      </c>
      <c r="N4626" s="38" t="str">
        <f aca="false">IF($A4626="","",IF($Q4626=0,"",INDEX(COA_Mapping!$E$7:$E$256,$Q4626)))</f>
        <v/>
      </c>
      <c r="O4626" s="38" t="n">
        <f aca="false">IF($A4626="",1,IF($Q4626=0,1,INDEX(COA_Mapping!$F$7:$F$256,$Q4626)))</f>
        <v>1</v>
      </c>
      <c r="P4626" s="34" t="str">
        <f aca="false">IF($A4626="","",$I4626*$O4626)</f>
        <v/>
      </c>
      <c r="Q4626" s="39" t="n">
        <f aca="false">IF($B4626="",0,IFERROR(MATCH($B4626,COA_Mapping!$A$7:$A$256,0),0))</f>
        <v>0</v>
      </c>
      <c r="R4626" s="39" t="n">
        <f aca="false">IF($A4626="",-1,IF($J4626=Setup!$B$7,1,IF($J4626=Setup!$B$9,0,-1)))</f>
        <v>-1</v>
      </c>
      <c r="S4626" s="35" t="n">
        <f aca="false">IF(OR($A4626="",$Q4626=0,$R4626=-1),0,$Q4626*1000+$R4626*100+$K4626)</f>
        <v>0</v>
      </c>
      <c r="T4626" s="37" t="str">
        <f aca="false">IF($A4626="","",IF($B4626="","NO ACCOUNT",IF($Q4626=0,"UNMAPPED",IF($R4626=-1,"OUTSIDE FY RANGE","OK"))))</f>
        <v/>
      </c>
      <c r="U4626" s="40" t="str">
        <f aca="false">IF($A4626="","",$B4626&amp;"|"&amp;TEXT($A4626,"yyyymmdd")&amp;"|"&amp;TEXT($I4626,"0.00"))</f>
        <v/>
      </c>
      <c r="V4626" s="35" t="str">
        <f aca="false">IF($A4626="","",COUNTIF($U$8:$U$5007,$U4626))</f>
        <v/>
      </c>
    </row>
    <row r="4627" customFormat="false" ht="15" hidden="false" customHeight="false" outlineLevel="0" collapsed="false">
      <c r="A4627" s="31"/>
      <c r="B4627" s="32"/>
      <c r="C4627" s="32"/>
      <c r="D4627" s="32"/>
      <c r="E4627" s="32"/>
      <c r="F4627" s="32"/>
      <c r="G4627" s="33"/>
      <c r="H4627" s="33"/>
      <c r="I4627" s="34" t="str">
        <f aca="false">IF($A4627="","",$G4627-$H4627)</f>
        <v/>
      </c>
      <c r="J4627" s="35" t="str">
        <f aca="false">IF($A4627="","",IF(Setup!$B$6=1,YEAR($A4627),YEAR($A4627)+IF(MONTH($A4627)&gt;=Setup!$B$6,1,0)))</f>
        <v/>
      </c>
      <c r="K4627" s="35" t="str">
        <f aca="false">IF($A4627="","",MOD(MONTH($A4627)-Setup!$B$6+12,12)+1)</f>
        <v/>
      </c>
      <c r="L4627" s="36" t="str">
        <f aca="false">IF($A4627="","",TEXT($A4627,"MMM-YY"))</f>
        <v/>
      </c>
      <c r="M4627" s="37" t="str">
        <f aca="false">IF($A4627="","",IF($Q4627=0,"UNMAPPED",INDEX(COA_Mapping!$C$7:$C$256,$Q4627)))</f>
        <v/>
      </c>
      <c r="N4627" s="38" t="str">
        <f aca="false">IF($A4627="","",IF($Q4627=0,"",INDEX(COA_Mapping!$E$7:$E$256,$Q4627)))</f>
        <v/>
      </c>
      <c r="O4627" s="38" t="n">
        <f aca="false">IF($A4627="",1,IF($Q4627=0,1,INDEX(COA_Mapping!$F$7:$F$256,$Q4627)))</f>
        <v>1</v>
      </c>
      <c r="P4627" s="34" t="str">
        <f aca="false">IF($A4627="","",$I4627*$O4627)</f>
        <v/>
      </c>
      <c r="Q4627" s="39" t="n">
        <f aca="false">IF($B4627="",0,IFERROR(MATCH($B4627,COA_Mapping!$A$7:$A$256,0),0))</f>
        <v>0</v>
      </c>
      <c r="R4627" s="39" t="n">
        <f aca="false">IF($A4627="",-1,IF($J4627=Setup!$B$7,1,IF($J4627=Setup!$B$9,0,-1)))</f>
        <v>-1</v>
      </c>
      <c r="S4627" s="35" t="n">
        <f aca="false">IF(OR($A4627="",$Q4627=0,$R4627=-1),0,$Q4627*1000+$R4627*100+$K4627)</f>
        <v>0</v>
      </c>
      <c r="T4627" s="37" t="str">
        <f aca="false">IF($A4627="","",IF($B4627="","NO ACCOUNT",IF($Q4627=0,"UNMAPPED",IF($R4627=-1,"OUTSIDE FY RANGE","OK"))))</f>
        <v/>
      </c>
      <c r="U4627" s="40" t="str">
        <f aca="false">IF($A4627="","",$B4627&amp;"|"&amp;TEXT($A4627,"yyyymmdd")&amp;"|"&amp;TEXT($I4627,"0.00"))</f>
        <v/>
      </c>
      <c r="V4627" s="35" t="str">
        <f aca="false">IF($A4627="","",COUNTIF($U$8:$U$5007,$U4627))</f>
        <v/>
      </c>
    </row>
    <row r="4628" customFormat="false" ht="15" hidden="false" customHeight="false" outlineLevel="0" collapsed="false">
      <c r="A4628" s="31"/>
      <c r="B4628" s="32"/>
      <c r="C4628" s="32"/>
      <c r="D4628" s="32"/>
      <c r="E4628" s="32"/>
      <c r="F4628" s="32"/>
      <c r="G4628" s="33"/>
      <c r="H4628" s="33"/>
      <c r="I4628" s="34" t="str">
        <f aca="false">IF($A4628="","",$G4628-$H4628)</f>
        <v/>
      </c>
      <c r="J4628" s="35" t="str">
        <f aca="false">IF($A4628="","",IF(Setup!$B$6=1,YEAR($A4628),YEAR($A4628)+IF(MONTH($A4628)&gt;=Setup!$B$6,1,0)))</f>
        <v/>
      </c>
      <c r="K4628" s="35" t="str">
        <f aca="false">IF($A4628="","",MOD(MONTH($A4628)-Setup!$B$6+12,12)+1)</f>
        <v/>
      </c>
      <c r="L4628" s="36" t="str">
        <f aca="false">IF($A4628="","",TEXT($A4628,"MMM-YY"))</f>
        <v/>
      </c>
      <c r="M4628" s="37" t="str">
        <f aca="false">IF($A4628="","",IF($Q4628=0,"UNMAPPED",INDEX(COA_Mapping!$C$7:$C$256,$Q4628)))</f>
        <v/>
      </c>
      <c r="N4628" s="38" t="str">
        <f aca="false">IF($A4628="","",IF($Q4628=0,"",INDEX(COA_Mapping!$E$7:$E$256,$Q4628)))</f>
        <v/>
      </c>
      <c r="O4628" s="38" t="n">
        <f aca="false">IF($A4628="",1,IF($Q4628=0,1,INDEX(COA_Mapping!$F$7:$F$256,$Q4628)))</f>
        <v>1</v>
      </c>
      <c r="P4628" s="34" t="str">
        <f aca="false">IF($A4628="","",$I4628*$O4628)</f>
        <v/>
      </c>
      <c r="Q4628" s="39" t="n">
        <f aca="false">IF($B4628="",0,IFERROR(MATCH($B4628,COA_Mapping!$A$7:$A$256,0),0))</f>
        <v>0</v>
      </c>
      <c r="R4628" s="39" t="n">
        <f aca="false">IF($A4628="",-1,IF($J4628=Setup!$B$7,1,IF($J4628=Setup!$B$9,0,-1)))</f>
        <v>-1</v>
      </c>
      <c r="S4628" s="35" t="n">
        <f aca="false">IF(OR($A4628="",$Q4628=0,$R4628=-1),0,$Q4628*1000+$R4628*100+$K4628)</f>
        <v>0</v>
      </c>
      <c r="T4628" s="37" t="str">
        <f aca="false">IF($A4628="","",IF($B4628="","NO ACCOUNT",IF($Q4628=0,"UNMAPPED",IF($R4628=-1,"OUTSIDE FY RANGE","OK"))))</f>
        <v/>
      </c>
      <c r="U4628" s="40" t="str">
        <f aca="false">IF($A4628="","",$B4628&amp;"|"&amp;TEXT($A4628,"yyyymmdd")&amp;"|"&amp;TEXT($I4628,"0.00"))</f>
        <v/>
      </c>
      <c r="V4628" s="35" t="str">
        <f aca="false">IF($A4628="","",COUNTIF($U$8:$U$5007,$U4628))</f>
        <v/>
      </c>
    </row>
    <row r="4629" customFormat="false" ht="15" hidden="false" customHeight="false" outlineLevel="0" collapsed="false">
      <c r="A4629" s="31"/>
      <c r="B4629" s="32"/>
      <c r="C4629" s="32"/>
      <c r="D4629" s="32"/>
      <c r="E4629" s="32"/>
      <c r="F4629" s="32"/>
      <c r="G4629" s="33"/>
      <c r="H4629" s="33"/>
      <c r="I4629" s="34" t="str">
        <f aca="false">IF($A4629="","",$G4629-$H4629)</f>
        <v/>
      </c>
      <c r="J4629" s="35" t="str">
        <f aca="false">IF($A4629="","",IF(Setup!$B$6=1,YEAR($A4629),YEAR($A4629)+IF(MONTH($A4629)&gt;=Setup!$B$6,1,0)))</f>
        <v/>
      </c>
      <c r="K4629" s="35" t="str">
        <f aca="false">IF($A4629="","",MOD(MONTH($A4629)-Setup!$B$6+12,12)+1)</f>
        <v/>
      </c>
      <c r="L4629" s="36" t="str">
        <f aca="false">IF($A4629="","",TEXT($A4629,"MMM-YY"))</f>
        <v/>
      </c>
      <c r="M4629" s="37" t="str">
        <f aca="false">IF($A4629="","",IF($Q4629=0,"UNMAPPED",INDEX(COA_Mapping!$C$7:$C$256,$Q4629)))</f>
        <v/>
      </c>
      <c r="N4629" s="38" t="str">
        <f aca="false">IF($A4629="","",IF($Q4629=0,"",INDEX(COA_Mapping!$E$7:$E$256,$Q4629)))</f>
        <v/>
      </c>
      <c r="O4629" s="38" t="n">
        <f aca="false">IF($A4629="",1,IF($Q4629=0,1,INDEX(COA_Mapping!$F$7:$F$256,$Q4629)))</f>
        <v>1</v>
      </c>
      <c r="P4629" s="34" t="str">
        <f aca="false">IF($A4629="","",$I4629*$O4629)</f>
        <v/>
      </c>
      <c r="Q4629" s="39" t="n">
        <f aca="false">IF($B4629="",0,IFERROR(MATCH($B4629,COA_Mapping!$A$7:$A$256,0),0))</f>
        <v>0</v>
      </c>
      <c r="R4629" s="39" t="n">
        <f aca="false">IF($A4629="",-1,IF($J4629=Setup!$B$7,1,IF($J4629=Setup!$B$9,0,-1)))</f>
        <v>-1</v>
      </c>
      <c r="S4629" s="35" t="n">
        <f aca="false">IF(OR($A4629="",$Q4629=0,$R4629=-1),0,$Q4629*1000+$R4629*100+$K4629)</f>
        <v>0</v>
      </c>
      <c r="T4629" s="37" t="str">
        <f aca="false">IF($A4629="","",IF($B4629="","NO ACCOUNT",IF($Q4629=0,"UNMAPPED",IF($R4629=-1,"OUTSIDE FY RANGE","OK"))))</f>
        <v/>
      </c>
      <c r="U4629" s="40" t="str">
        <f aca="false">IF($A4629="","",$B4629&amp;"|"&amp;TEXT($A4629,"yyyymmdd")&amp;"|"&amp;TEXT($I4629,"0.00"))</f>
        <v/>
      </c>
      <c r="V4629" s="35" t="str">
        <f aca="false">IF($A4629="","",COUNTIF($U$8:$U$5007,$U4629))</f>
        <v/>
      </c>
    </row>
    <row r="4630" customFormat="false" ht="15" hidden="false" customHeight="false" outlineLevel="0" collapsed="false">
      <c r="A4630" s="31"/>
      <c r="B4630" s="32"/>
      <c r="C4630" s="32"/>
      <c r="D4630" s="32"/>
      <c r="E4630" s="32"/>
      <c r="F4630" s="32"/>
      <c r="G4630" s="33"/>
      <c r="H4630" s="33"/>
      <c r="I4630" s="34" t="str">
        <f aca="false">IF($A4630="","",$G4630-$H4630)</f>
        <v/>
      </c>
      <c r="J4630" s="35" t="str">
        <f aca="false">IF($A4630="","",IF(Setup!$B$6=1,YEAR($A4630),YEAR($A4630)+IF(MONTH($A4630)&gt;=Setup!$B$6,1,0)))</f>
        <v/>
      </c>
      <c r="K4630" s="35" t="str">
        <f aca="false">IF($A4630="","",MOD(MONTH($A4630)-Setup!$B$6+12,12)+1)</f>
        <v/>
      </c>
      <c r="L4630" s="36" t="str">
        <f aca="false">IF($A4630="","",TEXT($A4630,"MMM-YY"))</f>
        <v/>
      </c>
      <c r="M4630" s="37" t="str">
        <f aca="false">IF($A4630="","",IF($Q4630=0,"UNMAPPED",INDEX(COA_Mapping!$C$7:$C$256,$Q4630)))</f>
        <v/>
      </c>
      <c r="N4630" s="38" t="str">
        <f aca="false">IF($A4630="","",IF($Q4630=0,"",INDEX(COA_Mapping!$E$7:$E$256,$Q4630)))</f>
        <v/>
      </c>
      <c r="O4630" s="38" t="n">
        <f aca="false">IF($A4630="",1,IF($Q4630=0,1,INDEX(COA_Mapping!$F$7:$F$256,$Q4630)))</f>
        <v>1</v>
      </c>
      <c r="P4630" s="34" t="str">
        <f aca="false">IF($A4630="","",$I4630*$O4630)</f>
        <v/>
      </c>
      <c r="Q4630" s="39" t="n">
        <f aca="false">IF($B4630="",0,IFERROR(MATCH($B4630,COA_Mapping!$A$7:$A$256,0),0))</f>
        <v>0</v>
      </c>
      <c r="R4630" s="39" t="n">
        <f aca="false">IF($A4630="",-1,IF($J4630=Setup!$B$7,1,IF($J4630=Setup!$B$9,0,-1)))</f>
        <v>-1</v>
      </c>
      <c r="S4630" s="35" t="n">
        <f aca="false">IF(OR($A4630="",$Q4630=0,$R4630=-1),0,$Q4630*1000+$R4630*100+$K4630)</f>
        <v>0</v>
      </c>
      <c r="T4630" s="37" t="str">
        <f aca="false">IF($A4630="","",IF($B4630="","NO ACCOUNT",IF($Q4630=0,"UNMAPPED",IF($R4630=-1,"OUTSIDE FY RANGE","OK"))))</f>
        <v/>
      </c>
      <c r="U4630" s="40" t="str">
        <f aca="false">IF($A4630="","",$B4630&amp;"|"&amp;TEXT($A4630,"yyyymmdd")&amp;"|"&amp;TEXT($I4630,"0.00"))</f>
        <v/>
      </c>
      <c r="V4630" s="35" t="str">
        <f aca="false">IF($A4630="","",COUNTIF($U$8:$U$5007,$U4630))</f>
        <v/>
      </c>
    </row>
    <row r="4631" customFormat="false" ht="15" hidden="false" customHeight="false" outlineLevel="0" collapsed="false">
      <c r="A4631" s="31"/>
      <c r="B4631" s="32"/>
      <c r="C4631" s="32"/>
      <c r="D4631" s="32"/>
      <c r="E4631" s="32"/>
      <c r="F4631" s="32"/>
      <c r="G4631" s="33"/>
      <c r="H4631" s="33"/>
      <c r="I4631" s="34" t="str">
        <f aca="false">IF($A4631="","",$G4631-$H4631)</f>
        <v/>
      </c>
      <c r="J4631" s="35" t="str">
        <f aca="false">IF($A4631="","",IF(Setup!$B$6=1,YEAR($A4631),YEAR($A4631)+IF(MONTH($A4631)&gt;=Setup!$B$6,1,0)))</f>
        <v/>
      </c>
      <c r="K4631" s="35" t="str">
        <f aca="false">IF($A4631="","",MOD(MONTH($A4631)-Setup!$B$6+12,12)+1)</f>
        <v/>
      </c>
      <c r="L4631" s="36" t="str">
        <f aca="false">IF($A4631="","",TEXT($A4631,"MMM-YY"))</f>
        <v/>
      </c>
      <c r="M4631" s="37" t="str">
        <f aca="false">IF($A4631="","",IF($Q4631=0,"UNMAPPED",INDEX(COA_Mapping!$C$7:$C$256,$Q4631)))</f>
        <v/>
      </c>
      <c r="N4631" s="38" t="str">
        <f aca="false">IF($A4631="","",IF($Q4631=0,"",INDEX(COA_Mapping!$E$7:$E$256,$Q4631)))</f>
        <v/>
      </c>
      <c r="O4631" s="38" t="n">
        <f aca="false">IF($A4631="",1,IF($Q4631=0,1,INDEX(COA_Mapping!$F$7:$F$256,$Q4631)))</f>
        <v>1</v>
      </c>
      <c r="P4631" s="34" t="str">
        <f aca="false">IF($A4631="","",$I4631*$O4631)</f>
        <v/>
      </c>
      <c r="Q4631" s="39" t="n">
        <f aca="false">IF($B4631="",0,IFERROR(MATCH($B4631,COA_Mapping!$A$7:$A$256,0),0))</f>
        <v>0</v>
      </c>
      <c r="R4631" s="39" t="n">
        <f aca="false">IF($A4631="",-1,IF($J4631=Setup!$B$7,1,IF($J4631=Setup!$B$9,0,-1)))</f>
        <v>-1</v>
      </c>
      <c r="S4631" s="35" t="n">
        <f aca="false">IF(OR($A4631="",$Q4631=0,$R4631=-1),0,$Q4631*1000+$R4631*100+$K4631)</f>
        <v>0</v>
      </c>
      <c r="T4631" s="37" t="str">
        <f aca="false">IF($A4631="","",IF($B4631="","NO ACCOUNT",IF($Q4631=0,"UNMAPPED",IF($R4631=-1,"OUTSIDE FY RANGE","OK"))))</f>
        <v/>
      </c>
      <c r="U4631" s="40" t="str">
        <f aca="false">IF($A4631="","",$B4631&amp;"|"&amp;TEXT($A4631,"yyyymmdd")&amp;"|"&amp;TEXT($I4631,"0.00"))</f>
        <v/>
      </c>
      <c r="V4631" s="35" t="str">
        <f aca="false">IF($A4631="","",COUNTIF($U$8:$U$5007,$U4631))</f>
        <v/>
      </c>
    </row>
    <row r="4632" customFormat="false" ht="15" hidden="false" customHeight="false" outlineLevel="0" collapsed="false">
      <c r="A4632" s="31"/>
      <c r="B4632" s="32"/>
      <c r="C4632" s="32"/>
      <c r="D4632" s="32"/>
      <c r="E4632" s="32"/>
      <c r="F4632" s="32"/>
      <c r="G4632" s="33"/>
      <c r="H4632" s="33"/>
      <c r="I4632" s="34" t="str">
        <f aca="false">IF($A4632="","",$G4632-$H4632)</f>
        <v/>
      </c>
      <c r="J4632" s="35" t="str">
        <f aca="false">IF($A4632="","",IF(Setup!$B$6=1,YEAR($A4632),YEAR($A4632)+IF(MONTH($A4632)&gt;=Setup!$B$6,1,0)))</f>
        <v/>
      </c>
      <c r="K4632" s="35" t="str">
        <f aca="false">IF($A4632="","",MOD(MONTH($A4632)-Setup!$B$6+12,12)+1)</f>
        <v/>
      </c>
      <c r="L4632" s="36" t="str">
        <f aca="false">IF($A4632="","",TEXT($A4632,"MMM-YY"))</f>
        <v/>
      </c>
      <c r="M4632" s="37" t="str">
        <f aca="false">IF($A4632="","",IF($Q4632=0,"UNMAPPED",INDEX(COA_Mapping!$C$7:$C$256,$Q4632)))</f>
        <v/>
      </c>
      <c r="N4632" s="38" t="str">
        <f aca="false">IF($A4632="","",IF($Q4632=0,"",INDEX(COA_Mapping!$E$7:$E$256,$Q4632)))</f>
        <v/>
      </c>
      <c r="O4632" s="38" t="n">
        <f aca="false">IF($A4632="",1,IF($Q4632=0,1,INDEX(COA_Mapping!$F$7:$F$256,$Q4632)))</f>
        <v>1</v>
      </c>
      <c r="P4632" s="34" t="str">
        <f aca="false">IF($A4632="","",$I4632*$O4632)</f>
        <v/>
      </c>
      <c r="Q4632" s="39" t="n">
        <f aca="false">IF($B4632="",0,IFERROR(MATCH($B4632,COA_Mapping!$A$7:$A$256,0),0))</f>
        <v>0</v>
      </c>
      <c r="R4632" s="39" t="n">
        <f aca="false">IF($A4632="",-1,IF($J4632=Setup!$B$7,1,IF($J4632=Setup!$B$9,0,-1)))</f>
        <v>-1</v>
      </c>
      <c r="S4632" s="35" t="n">
        <f aca="false">IF(OR($A4632="",$Q4632=0,$R4632=-1),0,$Q4632*1000+$R4632*100+$K4632)</f>
        <v>0</v>
      </c>
      <c r="T4632" s="37" t="str">
        <f aca="false">IF($A4632="","",IF($B4632="","NO ACCOUNT",IF($Q4632=0,"UNMAPPED",IF($R4632=-1,"OUTSIDE FY RANGE","OK"))))</f>
        <v/>
      </c>
      <c r="U4632" s="40" t="str">
        <f aca="false">IF($A4632="","",$B4632&amp;"|"&amp;TEXT($A4632,"yyyymmdd")&amp;"|"&amp;TEXT($I4632,"0.00"))</f>
        <v/>
      </c>
      <c r="V4632" s="35" t="str">
        <f aca="false">IF($A4632="","",COUNTIF($U$8:$U$5007,$U4632))</f>
        <v/>
      </c>
    </row>
    <row r="4633" customFormat="false" ht="15" hidden="false" customHeight="false" outlineLevel="0" collapsed="false">
      <c r="A4633" s="31"/>
      <c r="B4633" s="32"/>
      <c r="C4633" s="32"/>
      <c r="D4633" s="32"/>
      <c r="E4633" s="32"/>
      <c r="F4633" s="32"/>
      <c r="G4633" s="33"/>
      <c r="H4633" s="33"/>
      <c r="I4633" s="34" t="str">
        <f aca="false">IF($A4633="","",$G4633-$H4633)</f>
        <v/>
      </c>
      <c r="J4633" s="35" t="str">
        <f aca="false">IF($A4633="","",IF(Setup!$B$6=1,YEAR($A4633),YEAR($A4633)+IF(MONTH($A4633)&gt;=Setup!$B$6,1,0)))</f>
        <v/>
      </c>
      <c r="K4633" s="35" t="str">
        <f aca="false">IF($A4633="","",MOD(MONTH($A4633)-Setup!$B$6+12,12)+1)</f>
        <v/>
      </c>
      <c r="L4633" s="36" t="str">
        <f aca="false">IF($A4633="","",TEXT($A4633,"MMM-YY"))</f>
        <v/>
      </c>
      <c r="M4633" s="37" t="str">
        <f aca="false">IF($A4633="","",IF($Q4633=0,"UNMAPPED",INDEX(COA_Mapping!$C$7:$C$256,$Q4633)))</f>
        <v/>
      </c>
      <c r="N4633" s="38" t="str">
        <f aca="false">IF($A4633="","",IF($Q4633=0,"",INDEX(COA_Mapping!$E$7:$E$256,$Q4633)))</f>
        <v/>
      </c>
      <c r="O4633" s="38" t="n">
        <f aca="false">IF($A4633="",1,IF($Q4633=0,1,INDEX(COA_Mapping!$F$7:$F$256,$Q4633)))</f>
        <v>1</v>
      </c>
      <c r="P4633" s="34" t="str">
        <f aca="false">IF($A4633="","",$I4633*$O4633)</f>
        <v/>
      </c>
      <c r="Q4633" s="39" t="n">
        <f aca="false">IF($B4633="",0,IFERROR(MATCH($B4633,COA_Mapping!$A$7:$A$256,0),0))</f>
        <v>0</v>
      </c>
      <c r="R4633" s="39" t="n">
        <f aca="false">IF($A4633="",-1,IF($J4633=Setup!$B$7,1,IF($J4633=Setup!$B$9,0,-1)))</f>
        <v>-1</v>
      </c>
      <c r="S4633" s="35" t="n">
        <f aca="false">IF(OR($A4633="",$Q4633=0,$R4633=-1),0,$Q4633*1000+$R4633*100+$K4633)</f>
        <v>0</v>
      </c>
      <c r="T4633" s="37" t="str">
        <f aca="false">IF($A4633="","",IF($B4633="","NO ACCOUNT",IF($Q4633=0,"UNMAPPED",IF($R4633=-1,"OUTSIDE FY RANGE","OK"))))</f>
        <v/>
      </c>
      <c r="U4633" s="40" t="str">
        <f aca="false">IF($A4633="","",$B4633&amp;"|"&amp;TEXT($A4633,"yyyymmdd")&amp;"|"&amp;TEXT($I4633,"0.00"))</f>
        <v/>
      </c>
      <c r="V4633" s="35" t="str">
        <f aca="false">IF($A4633="","",COUNTIF($U$8:$U$5007,$U4633))</f>
        <v/>
      </c>
    </row>
    <row r="4634" customFormat="false" ht="15" hidden="false" customHeight="false" outlineLevel="0" collapsed="false">
      <c r="A4634" s="31"/>
      <c r="B4634" s="32"/>
      <c r="C4634" s="32"/>
      <c r="D4634" s="32"/>
      <c r="E4634" s="32"/>
      <c r="F4634" s="32"/>
      <c r="G4634" s="33"/>
      <c r="H4634" s="33"/>
      <c r="I4634" s="34" t="str">
        <f aca="false">IF($A4634="","",$G4634-$H4634)</f>
        <v/>
      </c>
      <c r="J4634" s="35" t="str">
        <f aca="false">IF($A4634="","",IF(Setup!$B$6=1,YEAR($A4634),YEAR($A4634)+IF(MONTH($A4634)&gt;=Setup!$B$6,1,0)))</f>
        <v/>
      </c>
      <c r="K4634" s="35" t="str">
        <f aca="false">IF($A4634="","",MOD(MONTH($A4634)-Setup!$B$6+12,12)+1)</f>
        <v/>
      </c>
      <c r="L4634" s="36" t="str">
        <f aca="false">IF($A4634="","",TEXT($A4634,"MMM-YY"))</f>
        <v/>
      </c>
      <c r="M4634" s="37" t="str">
        <f aca="false">IF($A4634="","",IF($Q4634=0,"UNMAPPED",INDEX(COA_Mapping!$C$7:$C$256,$Q4634)))</f>
        <v/>
      </c>
      <c r="N4634" s="38" t="str">
        <f aca="false">IF($A4634="","",IF($Q4634=0,"",INDEX(COA_Mapping!$E$7:$E$256,$Q4634)))</f>
        <v/>
      </c>
      <c r="O4634" s="38" t="n">
        <f aca="false">IF($A4634="",1,IF($Q4634=0,1,INDEX(COA_Mapping!$F$7:$F$256,$Q4634)))</f>
        <v>1</v>
      </c>
      <c r="P4634" s="34" t="str">
        <f aca="false">IF($A4634="","",$I4634*$O4634)</f>
        <v/>
      </c>
      <c r="Q4634" s="39" t="n">
        <f aca="false">IF($B4634="",0,IFERROR(MATCH($B4634,COA_Mapping!$A$7:$A$256,0),0))</f>
        <v>0</v>
      </c>
      <c r="R4634" s="39" t="n">
        <f aca="false">IF($A4634="",-1,IF($J4634=Setup!$B$7,1,IF($J4634=Setup!$B$9,0,-1)))</f>
        <v>-1</v>
      </c>
      <c r="S4634" s="35" t="n">
        <f aca="false">IF(OR($A4634="",$Q4634=0,$R4634=-1),0,$Q4634*1000+$R4634*100+$K4634)</f>
        <v>0</v>
      </c>
      <c r="T4634" s="37" t="str">
        <f aca="false">IF($A4634="","",IF($B4634="","NO ACCOUNT",IF($Q4634=0,"UNMAPPED",IF($R4634=-1,"OUTSIDE FY RANGE","OK"))))</f>
        <v/>
      </c>
      <c r="U4634" s="40" t="str">
        <f aca="false">IF($A4634="","",$B4634&amp;"|"&amp;TEXT($A4634,"yyyymmdd")&amp;"|"&amp;TEXT($I4634,"0.00"))</f>
        <v/>
      </c>
      <c r="V4634" s="35" t="str">
        <f aca="false">IF($A4634="","",COUNTIF($U$8:$U$5007,$U4634))</f>
        <v/>
      </c>
    </row>
    <row r="4635" customFormat="false" ht="15" hidden="false" customHeight="false" outlineLevel="0" collapsed="false">
      <c r="A4635" s="31"/>
      <c r="B4635" s="32"/>
      <c r="C4635" s="32"/>
      <c r="D4635" s="32"/>
      <c r="E4635" s="32"/>
      <c r="F4635" s="32"/>
      <c r="G4635" s="33"/>
      <c r="H4635" s="33"/>
      <c r="I4635" s="34" t="str">
        <f aca="false">IF($A4635="","",$G4635-$H4635)</f>
        <v/>
      </c>
      <c r="J4635" s="35" t="str">
        <f aca="false">IF($A4635="","",IF(Setup!$B$6=1,YEAR($A4635),YEAR($A4635)+IF(MONTH($A4635)&gt;=Setup!$B$6,1,0)))</f>
        <v/>
      </c>
      <c r="K4635" s="35" t="str">
        <f aca="false">IF($A4635="","",MOD(MONTH($A4635)-Setup!$B$6+12,12)+1)</f>
        <v/>
      </c>
      <c r="L4635" s="36" t="str">
        <f aca="false">IF($A4635="","",TEXT($A4635,"MMM-YY"))</f>
        <v/>
      </c>
      <c r="M4635" s="37" t="str">
        <f aca="false">IF($A4635="","",IF($Q4635=0,"UNMAPPED",INDEX(COA_Mapping!$C$7:$C$256,$Q4635)))</f>
        <v/>
      </c>
      <c r="N4635" s="38" t="str">
        <f aca="false">IF($A4635="","",IF($Q4635=0,"",INDEX(COA_Mapping!$E$7:$E$256,$Q4635)))</f>
        <v/>
      </c>
      <c r="O4635" s="38" t="n">
        <f aca="false">IF($A4635="",1,IF($Q4635=0,1,INDEX(COA_Mapping!$F$7:$F$256,$Q4635)))</f>
        <v>1</v>
      </c>
      <c r="P4635" s="34" t="str">
        <f aca="false">IF($A4635="","",$I4635*$O4635)</f>
        <v/>
      </c>
      <c r="Q4635" s="39" t="n">
        <f aca="false">IF($B4635="",0,IFERROR(MATCH($B4635,COA_Mapping!$A$7:$A$256,0),0))</f>
        <v>0</v>
      </c>
      <c r="R4635" s="39" t="n">
        <f aca="false">IF($A4635="",-1,IF($J4635=Setup!$B$7,1,IF($J4635=Setup!$B$9,0,-1)))</f>
        <v>-1</v>
      </c>
      <c r="S4635" s="35" t="n">
        <f aca="false">IF(OR($A4635="",$Q4635=0,$R4635=-1),0,$Q4635*1000+$R4635*100+$K4635)</f>
        <v>0</v>
      </c>
      <c r="T4635" s="37" t="str">
        <f aca="false">IF($A4635="","",IF($B4635="","NO ACCOUNT",IF($Q4635=0,"UNMAPPED",IF($R4635=-1,"OUTSIDE FY RANGE","OK"))))</f>
        <v/>
      </c>
      <c r="U4635" s="40" t="str">
        <f aca="false">IF($A4635="","",$B4635&amp;"|"&amp;TEXT($A4635,"yyyymmdd")&amp;"|"&amp;TEXT($I4635,"0.00"))</f>
        <v/>
      </c>
      <c r="V4635" s="35" t="str">
        <f aca="false">IF($A4635="","",COUNTIF($U$8:$U$5007,$U4635))</f>
        <v/>
      </c>
    </row>
    <row r="4636" customFormat="false" ht="15" hidden="false" customHeight="false" outlineLevel="0" collapsed="false">
      <c r="A4636" s="31"/>
      <c r="B4636" s="32"/>
      <c r="C4636" s="32"/>
      <c r="D4636" s="32"/>
      <c r="E4636" s="32"/>
      <c r="F4636" s="32"/>
      <c r="G4636" s="33"/>
      <c r="H4636" s="33"/>
      <c r="I4636" s="34" t="str">
        <f aca="false">IF($A4636="","",$G4636-$H4636)</f>
        <v/>
      </c>
      <c r="J4636" s="35" t="str">
        <f aca="false">IF($A4636="","",IF(Setup!$B$6=1,YEAR($A4636),YEAR($A4636)+IF(MONTH($A4636)&gt;=Setup!$B$6,1,0)))</f>
        <v/>
      </c>
      <c r="K4636" s="35" t="str">
        <f aca="false">IF($A4636="","",MOD(MONTH($A4636)-Setup!$B$6+12,12)+1)</f>
        <v/>
      </c>
      <c r="L4636" s="36" t="str">
        <f aca="false">IF($A4636="","",TEXT($A4636,"MMM-YY"))</f>
        <v/>
      </c>
      <c r="M4636" s="37" t="str">
        <f aca="false">IF($A4636="","",IF($Q4636=0,"UNMAPPED",INDEX(COA_Mapping!$C$7:$C$256,$Q4636)))</f>
        <v/>
      </c>
      <c r="N4636" s="38" t="str">
        <f aca="false">IF($A4636="","",IF($Q4636=0,"",INDEX(COA_Mapping!$E$7:$E$256,$Q4636)))</f>
        <v/>
      </c>
      <c r="O4636" s="38" t="n">
        <f aca="false">IF($A4636="",1,IF($Q4636=0,1,INDEX(COA_Mapping!$F$7:$F$256,$Q4636)))</f>
        <v>1</v>
      </c>
      <c r="P4636" s="34" t="str">
        <f aca="false">IF($A4636="","",$I4636*$O4636)</f>
        <v/>
      </c>
      <c r="Q4636" s="39" t="n">
        <f aca="false">IF($B4636="",0,IFERROR(MATCH($B4636,COA_Mapping!$A$7:$A$256,0),0))</f>
        <v>0</v>
      </c>
      <c r="R4636" s="39" t="n">
        <f aca="false">IF($A4636="",-1,IF($J4636=Setup!$B$7,1,IF($J4636=Setup!$B$9,0,-1)))</f>
        <v>-1</v>
      </c>
      <c r="S4636" s="35" t="n">
        <f aca="false">IF(OR($A4636="",$Q4636=0,$R4636=-1),0,$Q4636*1000+$R4636*100+$K4636)</f>
        <v>0</v>
      </c>
      <c r="T4636" s="37" t="str">
        <f aca="false">IF($A4636="","",IF($B4636="","NO ACCOUNT",IF($Q4636=0,"UNMAPPED",IF($R4636=-1,"OUTSIDE FY RANGE","OK"))))</f>
        <v/>
      </c>
      <c r="U4636" s="40" t="str">
        <f aca="false">IF($A4636="","",$B4636&amp;"|"&amp;TEXT($A4636,"yyyymmdd")&amp;"|"&amp;TEXT($I4636,"0.00"))</f>
        <v/>
      </c>
      <c r="V4636" s="35" t="str">
        <f aca="false">IF($A4636="","",COUNTIF($U$8:$U$5007,$U4636))</f>
        <v/>
      </c>
    </row>
    <row r="4637" customFormat="false" ht="15" hidden="false" customHeight="false" outlineLevel="0" collapsed="false">
      <c r="A4637" s="31"/>
      <c r="B4637" s="32"/>
      <c r="C4637" s="32"/>
      <c r="D4637" s="32"/>
      <c r="E4637" s="32"/>
      <c r="F4637" s="32"/>
      <c r="G4637" s="33"/>
      <c r="H4637" s="33"/>
      <c r="I4637" s="34" t="str">
        <f aca="false">IF($A4637="","",$G4637-$H4637)</f>
        <v/>
      </c>
      <c r="J4637" s="35" t="str">
        <f aca="false">IF($A4637="","",IF(Setup!$B$6=1,YEAR($A4637),YEAR($A4637)+IF(MONTH($A4637)&gt;=Setup!$B$6,1,0)))</f>
        <v/>
      </c>
      <c r="K4637" s="35" t="str">
        <f aca="false">IF($A4637="","",MOD(MONTH($A4637)-Setup!$B$6+12,12)+1)</f>
        <v/>
      </c>
      <c r="L4637" s="36" t="str">
        <f aca="false">IF($A4637="","",TEXT($A4637,"MMM-YY"))</f>
        <v/>
      </c>
      <c r="M4637" s="37" t="str">
        <f aca="false">IF($A4637="","",IF($Q4637=0,"UNMAPPED",INDEX(COA_Mapping!$C$7:$C$256,$Q4637)))</f>
        <v/>
      </c>
      <c r="N4637" s="38" t="str">
        <f aca="false">IF($A4637="","",IF($Q4637=0,"",INDEX(COA_Mapping!$E$7:$E$256,$Q4637)))</f>
        <v/>
      </c>
      <c r="O4637" s="38" t="n">
        <f aca="false">IF($A4637="",1,IF($Q4637=0,1,INDEX(COA_Mapping!$F$7:$F$256,$Q4637)))</f>
        <v>1</v>
      </c>
      <c r="P4637" s="34" t="str">
        <f aca="false">IF($A4637="","",$I4637*$O4637)</f>
        <v/>
      </c>
      <c r="Q4637" s="39" t="n">
        <f aca="false">IF($B4637="",0,IFERROR(MATCH($B4637,COA_Mapping!$A$7:$A$256,0),0))</f>
        <v>0</v>
      </c>
      <c r="R4637" s="39" t="n">
        <f aca="false">IF($A4637="",-1,IF($J4637=Setup!$B$7,1,IF($J4637=Setup!$B$9,0,-1)))</f>
        <v>-1</v>
      </c>
      <c r="S4637" s="35" t="n">
        <f aca="false">IF(OR($A4637="",$Q4637=0,$R4637=-1),0,$Q4637*1000+$R4637*100+$K4637)</f>
        <v>0</v>
      </c>
      <c r="T4637" s="37" t="str">
        <f aca="false">IF($A4637="","",IF($B4637="","NO ACCOUNT",IF($Q4637=0,"UNMAPPED",IF($R4637=-1,"OUTSIDE FY RANGE","OK"))))</f>
        <v/>
      </c>
      <c r="U4637" s="40" t="str">
        <f aca="false">IF($A4637="","",$B4637&amp;"|"&amp;TEXT($A4637,"yyyymmdd")&amp;"|"&amp;TEXT($I4637,"0.00"))</f>
        <v/>
      </c>
      <c r="V4637" s="35" t="str">
        <f aca="false">IF($A4637="","",COUNTIF($U$8:$U$5007,$U4637))</f>
        <v/>
      </c>
    </row>
    <row r="4638" customFormat="false" ht="15" hidden="false" customHeight="false" outlineLevel="0" collapsed="false">
      <c r="A4638" s="31"/>
      <c r="B4638" s="32"/>
      <c r="C4638" s="32"/>
      <c r="D4638" s="32"/>
      <c r="E4638" s="32"/>
      <c r="F4638" s="32"/>
      <c r="G4638" s="33"/>
      <c r="H4638" s="33"/>
      <c r="I4638" s="34" t="str">
        <f aca="false">IF($A4638="","",$G4638-$H4638)</f>
        <v/>
      </c>
      <c r="J4638" s="35" t="str">
        <f aca="false">IF($A4638="","",IF(Setup!$B$6=1,YEAR($A4638),YEAR($A4638)+IF(MONTH($A4638)&gt;=Setup!$B$6,1,0)))</f>
        <v/>
      </c>
      <c r="K4638" s="35" t="str">
        <f aca="false">IF($A4638="","",MOD(MONTH($A4638)-Setup!$B$6+12,12)+1)</f>
        <v/>
      </c>
      <c r="L4638" s="36" t="str">
        <f aca="false">IF($A4638="","",TEXT($A4638,"MMM-YY"))</f>
        <v/>
      </c>
      <c r="M4638" s="37" t="str">
        <f aca="false">IF($A4638="","",IF($Q4638=0,"UNMAPPED",INDEX(COA_Mapping!$C$7:$C$256,$Q4638)))</f>
        <v/>
      </c>
      <c r="N4638" s="38" t="str">
        <f aca="false">IF($A4638="","",IF($Q4638=0,"",INDEX(COA_Mapping!$E$7:$E$256,$Q4638)))</f>
        <v/>
      </c>
      <c r="O4638" s="38" t="n">
        <f aca="false">IF($A4638="",1,IF($Q4638=0,1,INDEX(COA_Mapping!$F$7:$F$256,$Q4638)))</f>
        <v>1</v>
      </c>
      <c r="P4638" s="34" t="str">
        <f aca="false">IF($A4638="","",$I4638*$O4638)</f>
        <v/>
      </c>
      <c r="Q4638" s="39" t="n">
        <f aca="false">IF($B4638="",0,IFERROR(MATCH($B4638,COA_Mapping!$A$7:$A$256,0),0))</f>
        <v>0</v>
      </c>
      <c r="R4638" s="39" t="n">
        <f aca="false">IF($A4638="",-1,IF($J4638=Setup!$B$7,1,IF($J4638=Setup!$B$9,0,-1)))</f>
        <v>-1</v>
      </c>
      <c r="S4638" s="35" t="n">
        <f aca="false">IF(OR($A4638="",$Q4638=0,$R4638=-1),0,$Q4638*1000+$R4638*100+$K4638)</f>
        <v>0</v>
      </c>
      <c r="T4638" s="37" t="str">
        <f aca="false">IF($A4638="","",IF($B4638="","NO ACCOUNT",IF($Q4638=0,"UNMAPPED",IF($R4638=-1,"OUTSIDE FY RANGE","OK"))))</f>
        <v/>
      </c>
      <c r="U4638" s="40" t="str">
        <f aca="false">IF($A4638="","",$B4638&amp;"|"&amp;TEXT($A4638,"yyyymmdd")&amp;"|"&amp;TEXT($I4638,"0.00"))</f>
        <v/>
      </c>
      <c r="V4638" s="35" t="str">
        <f aca="false">IF($A4638="","",COUNTIF($U$8:$U$5007,$U4638))</f>
        <v/>
      </c>
    </row>
    <row r="4639" customFormat="false" ht="15" hidden="false" customHeight="false" outlineLevel="0" collapsed="false">
      <c r="A4639" s="31"/>
      <c r="B4639" s="32"/>
      <c r="C4639" s="32"/>
      <c r="D4639" s="32"/>
      <c r="E4639" s="32"/>
      <c r="F4639" s="32"/>
      <c r="G4639" s="33"/>
      <c r="H4639" s="33"/>
      <c r="I4639" s="34" t="str">
        <f aca="false">IF($A4639="","",$G4639-$H4639)</f>
        <v/>
      </c>
      <c r="J4639" s="35" t="str">
        <f aca="false">IF($A4639="","",IF(Setup!$B$6=1,YEAR($A4639),YEAR($A4639)+IF(MONTH($A4639)&gt;=Setup!$B$6,1,0)))</f>
        <v/>
      </c>
      <c r="K4639" s="35" t="str">
        <f aca="false">IF($A4639="","",MOD(MONTH($A4639)-Setup!$B$6+12,12)+1)</f>
        <v/>
      </c>
      <c r="L4639" s="36" t="str">
        <f aca="false">IF($A4639="","",TEXT($A4639,"MMM-YY"))</f>
        <v/>
      </c>
      <c r="M4639" s="37" t="str">
        <f aca="false">IF($A4639="","",IF($Q4639=0,"UNMAPPED",INDEX(COA_Mapping!$C$7:$C$256,$Q4639)))</f>
        <v/>
      </c>
      <c r="N4639" s="38" t="str">
        <f aca="false">IF($A4639="","",IF($Q4639=0,"",INDEX(COA_Mapping!$E$7:$E$256,$Q4639)))</f>
        <v/>
      </c>
      <c r="O4639" s="38" t="n">
        <f aca="false">IF($A4639="",1,IF($Q4639=0,1,INDEX(COA_Mapping!$F$7:$F$256,$Q4639)))</f>
        <v>1</v>
      </c>
      <c r="P4639" s="34" t="str">
        <f aca="false">IF($A4639="","",$I4639*$O4639)</f>
        <v/>
      </c>
      <c r="Q4639" s="39" t="n">
        <f aca="false">IF($B4639="",0,IFERROR(MATCH($B4639,COA_Mapping!$A$7:$A$256,0),0))</f>
        <v>0</v>
      </c>
      <c r="R4639" s="39" t="n">
        <f aca="false">IF($A4639="",-1,IF($J4639=Setup!$B$7,1,IF($J4639=Setup!$B$9,0,-1)))</f>
        <v>-1</v>
      </c>
      <c r="S4639" s="35" t="n">
        <f aca="false">IF(OR($A4639="",$Q4639=0,$R4639=-1),0,$Q4639*1000+$R4639*100+$K4639)</f>
        <v>0</v>
      </c>
      <c r="T4639" s="37" t="str">
        <f aca="false">IF($A4639="","",IF($B4639="","NO ACCOUNT",IF($Q4639=0,"UNMAPPED",IF($R4639=-1,"OUTSIDE FY RANGE","OK"))))</f>
        <v/>
      </c>
      <c r="U4639" s="40" t="str">
        <f aca="false">IF($A4639="","",$B4639&amp;"|"&amp;TEXT($A4639,"yyyymmdd")&amp;"|"&amp;TEXT($I4639,"0.00"))</f>
        <v/>
      </c>
      <c r="V4639" s="35" t="str">
        <f aca="false">IF($A4639="","",COUNTIF($U$8:$U$5007,$U4639))</f>
        <v/>
      </c>
    </row>
    <row r="4640" customFormat="false" ht="15" hidden="false" customHeight="false" outlineLevel="0" collapsed="false">
      <c r="A4640" s="31"/>
      <c r="B4640" s="32"/>
      <c r="C4640" s="32"/>
      <c r="D4640" s="32"/>
      <c r="E4640" s="32"/>
      <c r="F4640" s="32"/>
      <c r="G4640" s="33"/>
      <c r="H4640" s="33"/>
      <c r="I4640" s="34" t="str">
        <f aca="false">IF($A4640="","",$G4640-$H4640)</f>
        <v/>
      </c>
      <c r="J4640" s="35" t="str">
        <f aca="false">IF($A4640="","",IF(Setup!$B$6=1,YEAR($A4640),YEAR($A4640)+IF(MONTH($A4640)&gt;=Setup!$B$6,1,0)))</f>
        <v/>
      </c>
      <c r="K4640" s="35" t="str">
        <f aca="false">IF($A4640="","",MOD(MONTH($A4640)-Setup!$B$6+12,12)+1)</f>
        <v/>
      </c>
      <c r="L4640" s="36" t="str">
        <f aca="false">IF($A4640="","",TEXT($A4640,"MMM-YY"))</f>
        <v/>
      </c>
      <c r="M4640" s="37" t="str">
        <f aca="false">IF($A4640="","",IF($Q4640=0,"UNMAPPED",INDEX(COA_Mapping!$C$7:$C$256,$Q4640)))</f>
        <v/>
      </c>
      <c r="N4640" s="38" t="str">
        <f aca="false">IF($A4640="","",IF($Q4640=0,"",INDEX(COA_Mapping!$E$7:$E$256,$Q4640)))</f>
        <v/>
      </c>
      <c r="O4640" s="38" t="n">
        <f aca="false">IF($A4640="",1,IF($Q4640=0,1,INDEX(COA_Mapping!$F$7:$F$256,$Q4640)))</f>
        <v>1</v>
      </c>
      <c r="P4640" s="34" t="str">
        <f aca="false">IF($A4640="","",$I4640*$O4640)</f>
        <v/>
      </c>
      <c r="Q4640" s="39" t="n">
        <f aca="false">IF($B4640="",0,IFERROR(MATCH($B4640,COA_Mapping!$A$7:$A$256,0),0))</f>
        <v>0</v>
      </c>
      <c r="R4640" s="39" t="n">
        <f aca="false">IF($A4640="",-1,IF($J4640=Setup!$B$7,1,IF($J4640=Setup!$B$9,0,-1)))</f>
        <v>-1</v>
      </c>
      <c r="S4640" s="35" t="n">
        <f aca="false">IF(OR($A4640="",$Q4640=0,$R4640=-1),0,$Q4640*1000+$R4640*100+$K4640)</f>
        <v>0</v>
      </c>
      <c r="T4640" s="37" t="str">
        <f aca="false">IF($A4640="","",IF($B4640="","NO ACCOUNT",IF($Q4640=0,"UNMAPPED",IF($R4640=-1,"OUTSIDE FY RANGE","OK"))))</f>
        <v/>
      </c>
      <c r="U4640" s="40" t="str">
        <f aca="false">IF($A4640="","",$B4640&amp;"|"&amp;TEXT($A4640,"yyyymmdd")&amp;"|"&amp;TEXT($I4640,"0.00"))</f>
        <v/>
      </c>
      <c r="V4640" s="35" t="str">
        <f aca="false">IF($A4640="","",COUNTIF($U$8:$U$5007,$U4640))</f>
        <v/>
      </c>
    </row>
    <row r="4641" customFormat="false" ht="15" hidden="false" customHeight="false" outlineLevel="0" collapsed="false">
      <c r="A4641" s="31"/>
      <c r="B4641" s="32"/>
      <c r="C4641" s="32"/>
      <c r="D4641" s="32"/>
      <c r="E4641" s="32"/>
      <c r="F4641" s="32"/>
      <c r="G4641" s="33"/>
      <c r="H4641" s="33"/>
      <c r="I4641" s="34" t="str">
        <f aca="false">IF($A4641="","",$G4641-$H4641)</f>
        <v/>
      </c>
      <c r="J4641" s="35" t="str">
        <f aca="false">IF($A4641="","",IF(Setup!$B$6=1,YEAR($A4641),YEAR($A4641)+IF(MONTH($A4641)&gt;=Setup!$B$6,1,0)))</f>
        <v/>
      </c>
      <c r="K4641" s="35" t="str">
        <f aca="false">IF($A4641="","",MOD(MONTH($A4641)-Setup!$B$6+12,12)+1)</f>
        <v/>
      </c>
      <c r="L4641" s="36" t="str">
        <f aca="false">IF($A4641="","",TEXT($A4641,"MMM-YY"))</f>
        <v/>
      </c>
      <c r="M4641" s="37" t="str">
        <f aca="false">IF($A4641="","",IF($Q4641=0,"UNMAPPED",INDEX(COA_Mapping!$C$7:$C$256,$Q4641)))</f>
        <v/>
      </c>
      <c r="N4641" s="38" t="str">
        <f aca="false">IF($A4641="","",IF($Q4641=0,"",INDEX(COA_Mapping!$E$7:$E$256,$Q4641)))</f>
        <v/>
      </c>
      <c r="O4641" s="38" t="n">
        <f aca="false">IF($A4641="",1,IF($Q4641=0,1,INDEX(COA_Mapping!$F$7:$F$256,$Q4641)))</f>
        <v>1</v>
      </c>
      <c r="P4641" s="34" t="str">
        <f aca="false">IF($A4641="","",$I4641*$O4641)</f>
        <v/>
      </c>
      <c r="Q4641" s="39" t="n">
        <f aca="false">IF($B4641="",0,IFERROR(MATCH($B4641,COA_Mapping!$A$7:$A$256,0),0))</f>
        <v>0</v>
      </c>
      <c r="R4641" s="39" t="n">
        <f aca="false">IF($A4641="",-1,IF($J4641=Setup!$B$7,1,IF($J4641=Setup!$B$9,0,-1)))</f>
        <v>-1</v>
      </c>
      <c r="S4641" s="35" t="n">
        <f aca="false">IF(OR($A4641="",$Q4641=0,$R4641=-1),0,$Q4641*1000+$R4641*100+$K4641)</f>
        <v>0</v>
      </c>
      <c r="T4641" s="37" t="str">
        <f aca="false">IF($A4641="","",IF($B4641="","NO ACCOUNT",IF($Q4641=0,"UNMAPPED",IF($R4641=-1,"OUTSIDE FY RANGE","OK"))))</f>
        <v/>
      </c>
      <c r="U4641" s="40" t="str">
        <f aca="false">IF($A4641="","",$B4641&amp;"|"&amp;TEXT($A4641,"yyyymmdd")&amp;"|"&amp;TEXT($I4641,"0.00"))</f>
        <v/>
      </c>
      <c r="V4641" s="35" t="str">
        <f aca="false">IF($A4641="","",COUNTIF($U$8:$U$5007,$U4641))</f>
        <v/>
      </c>
    </row>
    <row r="4642" customFormat="false" ht="15" hidden="false" customHeight="false" outlineLevel="0" collapsed="false">
      <c r="A4642" s="31"/>
      <c r="B4642" s="32"/>
      <c r="C4642" s="32"/>
      <c r="D4642" s="32"/>
      <c r="E4642" s="32"/>
      <c r="F4642" s="32"/>
      <c r="G4642" s="33"/>
      <c r="H4642" s="33"/>
      <c r="I4642" s="34" t="str">
        <f aca="false">IF($A4642="","",$G4642-$H4642)</f>
        <v/>
      </c>
      <c r="J4642" s="35" t="str">
        <f aca="false">IF($A4642="","",IF(Setup!$B$6=1,YEAR($A4642),YEAR($A4642)+IF(MONTH($A4642)&gt;=Setup!$B$6,1,0)))</f>
        <v/>
      </c>
      <c r="K4642" s="35" t="str">
        <f aca="false">IF($A4642="","",MOD(MONTH($A4642)-Setup!$B$6+12,12)+1)</f>
        <v/>
      </c>
      <c r="L4642" s="36" t="str">
        <f aca="false">IF($A4642="","",TEXT($A4642,"MMM-YY"))</f>
        <v/>
      </c>
      <c r="M4642" s="37" t="str">
        <f aca="false">IF($A4642="","",IF($Q4642=0,"UNMAPPED",INDEX(COA_Mapping!$C$7:$C$256,$Q4642)))</f>
        <v/>
      </c>
      <c r="N4642" s="38" t="str">
        <f aca="false">IF($A4642="","",IF($Q4642=0,"",INDEX(COA_Mapping!$E$7:$E$256,$Q4642)))</f>
        <v/>
      </c>
      <c r="O4642" s="38" t="n">
        <f aca="false">IF($A4642="",1,IF($Q4642=0,1,INDEX(COA_Mapping!$F$7:$F$256,$Q4642)))</f>
        <v>1</v>
      </c>
      <c r="P4642" s="34" t="str">
        <f aca="false">IF($A4642="","",$I4642*$O4642)</f>
        <v/>
      </c>
      <c r="Q4642" s="39" t="n">
        <f aca="false">IF($B4642="",0,IFERROR(MATCH($B4642,COA_Mapping!$A$7:$A$256,0),0))</f>
        <v>0</v>
      </c>
      <c r="R4642" s="39" t="n">
        <f aca="false">IF($A4642="",-1,IF($J4642=Setup!$B$7,1,IF($J4642=Setup!$B$9,0,-1)))</f>
        <v>-1</v>
      </c>
      <c r="S4642" s="35" t="n">
        <f aca="false">IF(OR($A4642="",$Q4642=0,$R4642=-1),0,$Q4642*1000+$R4642*100+$K4642)</f>
        <v>0</v>
      </c>
      <c r="T4642" s="37" t="str">
        <f aca="false">IF($A4642="","",IF($B4642="","NO ACCOUNT",IF($Q4642=0,"UNMAPPED",IF($R4642=-1,"OUTSIDE FY RANGE","OK"))))</f>
        <v/>
      </c>
      <c r="U4642" s="40" t="str">
        <f aca="false">IF($A4642="","",$B4642&amp;"|"&amp;TEXT($A4642,"yyyymmdd")&amp;"|"&amp;TEXT($I4642,"0.00"))</f>
        <v/>
      </c>
      <c r="V4642" s="35" t="str">
        <f aca="false">IF($A4642="","",COUNTIF($U$8:$U$5007,$U4642))</f>
        <v/>
      </c>
    </row>
    <row r="4643" customFormat="false" ht="15" hidden="false" customHeight="false" outlineLevel="0" collapsed="false">
      <c r="A4643" s="31"/>
      <c r="B4643" s="32"/>
      <c r="C4643" s="32"/>
      <c r="D4643" s="32"/>
      <c r="E4643" s="32"/>
      <c r="F4643" s="32"/>
      <c r="G4643" s="33"/>
      <c r="H4643" s="33"/>
      <c r="I4643" s="34" t="str">
        <f aca="false">IF($A4643="","",$G4643-$H4643)</f>
        <v/>
      </c>
      <c r="J4643" s="35" t="str">
        <f aca="false">IF($A4643="","",IF(Setup!$B$6=1,YEAR($A4643),YEAR($A4643)+IF(MONTH($A4643)&gt;=Setup!$B$6,1,0)))</f>
        <v/>
      </c>
      <c r="K4643" s="35" t="str">
        <f aca="false">IF($A4643="","",MOD(MONTH($A4643)-Setup!$B$6+12,12)+1)</f>
        <v/>
      </c>
      <c r="L4643" s="36" t="str">
        <f aca="false">IF($A4643="","",TEXT($A4643,"MMM-YY"))</f>
        <v/>
      </c>
      <c r="M4643" s="37" t="str">
        <f aca="false">IF($A4643="","",IF($Q4643=0,"UNMAPPED",INDEX(COA_Mapping!$C$7:$C$256,$Q4643)))</f>
        <v/>
      </c>
      <c r="N4643" s="38" t="str">
        <f aca="false">IF($A4643="","",IF($Q4643=0,"",INDEX(COA_Mapping!$E$7:$E$256,$Q4643)))</f>
        <v/>
      </c>
      <c r="O4643" s="38" t="n">
        <f aca="false">IF($A4643="",1,IF($Q4643=0,1,INDEX(COA_Mapping!$F$7:$F$256,$Q4643)))</f>
        <v>1</v>
      </c>
      <c r="P4643" s="34" t="str">
        <f aca="false">IF($A4643="","",$I4643*$O4643)</f>
        <v/>
      </c>
      <c r="Q4643" s="39" t="n">
        <f aca="false">IF($B4643="",0,IFERROR(MATCH($B4643,COA_Mapping!$A$7:$A$256,0),0))</f>
        <v>0</v>
      </c>
      <c r="R4643" s="39" t="n">
        <f aca="false">IF($A4643="",-1,IF($J4643=Setup!$B$7,1,IF($J4643=Setup!$B$9,0,-1)))</f>
        <v>-1</v>
      </c>
      <c r="S4643" s="35" t="n">
        <f aca="false">IF(OR($A4643="",$Q4643=0,$R4643=-1),0,$Q4643*1000+$R4643*100+$K4643)</f>
        <v>0</v>
      </c>
      <c r="T4643" s="37" t="str">
        <f aca="false">IF($A4643="","",IF($B4643="","NO ACCOUNT",IF($Q4643=0,"UNMAPPED",IF($R4643=-1,"OUTSIDE FY RANGE","OK"))))</f>
        <v/>
      </c>
      <c r="U4643" s="40" t="str">
        <f aca="false">IF($A4643="","",$B4643&amp;"|"&amp;TEXT($A4643,"yyyymmdd")&amp;"|"&amp;TEXT($I4643,"0.00"))</f>
        <v/>
      </c>
      <c r="V4643" s="35" t="str">
        <f aca="false">IF($A4643="","",COUNTIF($U$8:$U$5007,$U4643))</f>
        <v/>
      </c>
    </row>
    <row r="4644" customFormat="false" ht="15" hidden="false" customHeight="false" outlineLevel="0" collapsed="false">
      <c r="A4644" s="31"/>
      <c r="B4644" s="32"/>
      <c r="C4644" s="32"/>
      <c r="D4644" s="32"/>
      <c r="E4644" s="32"/>
      <c r="F4644" s="32"/>
      <c r="G4644" s="33"/>
      <c r="H4644" s="33"/>
      <c r="I4644" s="34" t="str">
        <f aca="false">IF($A4644="","",$G4644-$H4644)</f>
        <v/>
      </c>
      <c r="J4644" s="35" t="str">
        <f aca="false">IF($A4644="","",IF(Setup!$B$6=1,YEAR($A4644),YEAR($A4644)+IF(MONTH($A4644)&gt;=Setup!$B$6,1,0)))</f>
        <v/>
      </c>
      <c r="K4644" s="35" t="str">
        <f aca="false">IF($A4644="","",MOD(MONTH($A4644)-Setup!$B$6+12,12)+1)</f>
        <v/>
      </c>
      <c r="L4644" s="36" t="str">
        <f aca="false">IF($A4644="","",TEXT($A4644,"MMM-YY"))</f>
        <v/>
      </c>
      <c r="M4644" s="37" t="str">
        <f aca="false">IF($A4644="","",IF($Q4644=0,"UNMAPPED",INDEX(COA_Mapping!$C$7:$C$256,$Q4644)))</f>
        <v/>
      </c>
      <c r="N4644" s="38" t="str">
        <f aca="false">IF($A4644="","",IF($Q4644=0,"",INDEX(COA_Mapping!$E$7:$E$256,$Q4644)))</f>
        <v/>
      </c>
      <c r="O4644" s="38" t="n">
        <f aca="false">IF($A4644="",1,IF($Q4644=0,1,INDEX(COA_Mapping!$F$7:$F$256,$Q4644)))</f>
        <v>1</v>
      </c>
      <c r="P4644" s="34" t="str">
        <f aca="false">IF($A4644="","",$I4644*$O4644)</f>
        <v/>
      </c>
      <c r="Q4644" s="39" t="n">
        <f aca="false">IF($B4644="",0,IFERROR(MATCH($B4644,COA_Mapping!$A$7:$A$256,0),0))</f>
        <v>0</v>
      </c>
      <c r="R4644" s="39" t="n">
        <f aca="false">IF($A4644="",-1,IF($J4644=Setup!$B$7,1,IF($J4644=Setup!$B$9,0,-1)))</f>
        <v>-1</v>
      </c>
      <c r="S4644" s="35" t="n">
        <f aca="false">IF(OR($A4644="",$Q4644=0,$R4644=-1),0,$Q4644*1000+$R4644*100+$K4644)</f>
        <v>0</v>
      </c>
      <c r="T4644" s="37" t="str">
        <f aca="false">IF($A4644="","",IF($B4644="","NO ACCOUNT",IF($Q4644=0,"UNMAPPED",IF($R4644=-1,"OUTSIDE FY RANGE","OK"))))</f>
        <v/>
      </c>
      <c r="U4644" s="40" t="str">
        <f aca="false">IF($A4644="","",$B4644&amp;"|"&amp;TEXT($A4644,"yyyymmdd")&amp;"|"&amp;TEXT($I4644,"0.00"))</f>
        <v/>
      </c>
      <c r="V4644" s="35" t="str">
        <f aca="false">IF($A4644="","",COUNTIF($U$8:$U$5007,$U4644))</f>
        <v/>
      </c>
    </row>
    <row r="4645" customFormat="false" ht="15" hidden="false" customHeight="false" outlineLevel="0" collapsed="false">
      <c r="A4645" s="31"/>
      <c r="B4645" s="32"/>
      <c r="C4645" s="32"/>
      <c r="D4645" s="32"/>
      <c r="E4645" s="32"/>
      <c r="F4645" s="32"/>
      <c r="G4645" s="33"/>
      <c r="H4645" s="33"/>
      <c r="I4645" s="34" t="str">
        <f aca="false">IF($A4645="","",$G4645-$H4645)</f>
        <v/>
      </c>
      <c r="J4645" s="35" t="str">
        <f aca="false">IF($A4645="","",IF(Setup!$B$6=1,YEAR($A4645),YEAR($A4645)+IF(MONTH($A4645)&gt;=Setup!$B$6,1,0)))</f>
        <v/>
      </c>
      <c r="K4645" s="35" t="str">
        <f aca="false">IF($A4645="","",MOD(MONTH($A4645)-Setup!$B$6+12,12)+1)</f>
        <v/>
      </c>
      <c r="L4645" s="36" t="str">
        <f aca="false">IF($A4645="","",TEXT($A4645,"MMM-YY"))</f>
        <v/>
      </c>
      <c r="M4645" s="37" t="str">
        <f aca="false">IF($A4645="","",IF($Q4645=0,"UNMAPPED",INDEX(COA_Mapping!$C$7:$C$256,$Q4645)))</f>
        <v/>
      </c>
      <c r="N4645" s="38" t="str">
        <f aca="false">IF($A4645="","",IF($Q4645=0,"",INDEX(COA_Mapping!$E$7:$E$256,$Q4645)))</f>
        <v/>
      </c>
      <c r="O4645" s="38" t="n">
        <f aca="false">IF($A4645="",1,IF($Q4645=0,1,INDEX(COA_Mapping!$F$7:$F$256,$Q4645)))</f>
        <v>1</v>
      </c>
      <c r="P4645" s="34" t="str">
        <f aca="false">IF($A4645="","",$I4645*$O4645)</f>
        <v/>
      </c>
      <c r="Q4645" s="39" t="n">
        <f aca="false">IF($B4645="",0,IFERROR(MATCH($B4645,COA_Mapping!$A$7:$A$256,0),0))</f>
        <v>0</v>
      </c>
      <c r="R4645" s="39" t="n">
        <f aca="false">IF($A4645="",-1,IF($J4645=Setup!$B$7,1,IF($J4645=Setup!$B$9,0,-1)))</f>
        <v>-1</v>
      </c>
      <c r="S4645" s="35" t="n">
        <f aca="false">IF(OR($A4645="",$Q4645=0,$R4645=-1),0,$Q4645*1000+$R4645*100+$K4645)</f>
        <v>0</v>
      </c>
      <c r="T4645" s="37" t="str">
        <f aca="false">IF($A4645="","",IF($B4645="","NO ACCOUNT",IF($Q4645=0,"UNMAPPED",IF($R4645=-1,"OUTSIDE FY RANGE","OK"))))</f>
        <v/>
      </c>
      <c r="U4645" s="40" t="str">
        <f aca="false">IF($A4645="","",$B4645&amp;"|"&amp;TEXT($A4645,"yyyymmdd")&amp;"|"&amp;TEXT($I4645,"0.00"))</f>
        <v/>
      </c>
      <c r="V4645" s="35" t="str">
        <f aca="false">IF($A4645="","",COUNTIF($U$8:$U$5007,$U4645))</f>
        <v/>
      </c>
    </row>
    <row r="4646" customFormat="false" ht="15" hidden="false" customHeight="false" outlineLevel="0" collapsed="false">
      <c r="A4646" s="31"/>
      <c r="B4646" s="32"/>
      <c r="C4646" s="32"/>
      <c r="D4646" s="32"/>
      <c r="E4646" s="32"/>
      <c r="F4646" s="32"/>
      <c r="G4646" s="33"/>
      <c r="H4646" s="33"/>
      <c r="I4646" s="34" t="str">
        <f aca="false">IF($A4646="","",$G4646-$H4646)</f>
        <v/>
      </c>
      <c r="J4646" s="35" t="str">
        <f aca="false">IF($A4646="","",IF(Setup!$B$6=1,YEAR($A4646),YEAR($A4646)+IF(MONTH($A4646)&gt;=Setup!$B$6,1,0)))</f>
        <v/>
      </c>
      <c r="K4646" s="35" t="str">
        <f aca="false">IF($A4646="","",MOD(MONTH($A4646)-Setup!$B$6+12,12)+1)</f>
        <v/>
      </c>
      <c r="L4646" s="36" t="str">
        <f aca="false">IF($A4646="","",TEXT($A4646,"MMM-YY"))</f>
        <v/>
      </c>
      <c r="M4646" s="37" t="str">
        <f aca="false">IF($A4646="","",IF($Q4646=0,"UNMAPPED",INDEX(COA_Mapping!$C$7:$C$256,$Q4646)))</f>
        <v/>
      </c>
      <c r="N4646" s="38" t="str">
        <f aca="false">IF($A4646="","",IF($Q4646=0,"",INDEX(COA_Mapping!$E$7:$E$256,$Q4646)))</f>
        <v/>
      </c>
      <c r="O4646" s="38" t="n">
        <f aca="false">IF($A4646="",1,IF($Q4646=0,1,INDEX(COA_Mapping!$F$7:$F$256,$Q4646)))</f>
        <v>1</v>
      </c>
      <c r="P4646" s="34" t="str">
        <f aca="false">IF($A4646="","",$I4646*$O4646)</f>
        <v/>
      </c>
      <c r="Q4646" s="39" t="n">
        <f aca="false">IF($B4646="",0,IFERROR(MATCH($B4646,COA_Mapping!$A$7:$A$256,0),0))</f>
        <v>0</v>
      </c>
      <c r="R4646" s="39" t="n">
        <f aca="false">IF($A4646="",-1,IF($J4646=Setup!$B$7,1,IF($J4646=Setup!$B$9,0,-1)))</f>
        <v>-1</v>
      </c>
      <c r="S4646" s="35" t="n">
        <f aca="false">IF(OR($A4646="",$Q4646=0,$R4646=-1),0,$Q4646*1000+$R4646*100+$K4646)</f>
        <v>0</v>
      </c>
      <c r="T4646" s="37" t="str">
        <f aca="false">IF($A4646="","",IF($B4646="","NO ACCOUNT",IF($Q4646=0,"UNMAPPED",IF($R4646=-1,"OUTSIDE FY RANGE","OK"))))</f>
        <v/>
      </c>
      <c r="U4646" s="40" t="str">
        <f aca="false">IF($A4646="","",$B4646&amp;"|"&amp;TEXT($A4646,"yyyymmdd")&amp;"|"&amp;TEXT($I4646,"0.00"))</f>
        <v/>
      </c>
      <c r="V4646" s="35" t="str">
        <f aca="false">IF($A4646="","",COUNTIF($U$8:$U$5007,$U4646))</f>
        <v/>
      </c>
    </row>
    <row r="4647" customFormat="false" ht="15" hidden="false" customHeight="false" outlineLevel="0" collapsed="false">
      <c r="A4647" s="31"/>
      <c r="B4647" s="32"/>
      <c r="C4647" s="32"/>
      <c r="D4647" s="32"/>
      <c r="E4647" s="32"/>
      <c r="F4647" s="32"/>
      <c r="G4647" s="33"/>
      <c r="H4647" s="33"/>
      <c r="I4647" s="34" t="str">
        <f aca="false">IF($A4647="","",$G4647-$H4647)</f>
        <v/>
      </c>
      <c r="J4647" s="35" t="str">
        <f aca="false">IF($A4647="","",IF(Setup!$B$6=1,YEAR($A4647),YEAR($A4647)+IF(MONTH($A4647)&gt;=Setup!$B$6,1,0)))</f>
        <v/>
      </c>
      <c r="K4647" s="35" t="str">
        <f aca="false">IF($A4647="","",MOD(MONTH($A4647)-Setup!$B$6+12,12)+1)</f>
        <v/>
      </c>
      <c r="L4647" s="36" t="str">
        <f aca="false">IF($A4647="","",TEXT($A4647,"MMM-YY"))</f>
        <v/>
      </c>
      <c r="M4647" s="37" t="str">
        <f aca="false">IF($A4647="","",IF($Q4647=0,"UNMAPPED",INDEX(COA_Mapping!$C$7:$C$256,$Q4647)))</f>
        <v/>
      </c>
      <c r="N4647" s="38" t="str">
        <f aca="false">IF($A4647="","",IF($Q4647=0,"",INDEX(COA_Mapping!$E$7:$E$256,$Q4647)))</f>
        <v/>
      </c>
      <c r="O4647" s="38" t="n">
        <f aca="false">IF($A4647="",1,IF($Q4647=0,1,INDEX(COA_Mapping!$F$7:$F$256,$Q4647)))</f>
        <v>1</v>
      </c>
      <c r="P4647" s="34" t="str">
        <f aca="false">IF($A4647="","",$I4647*$O4647)</f>
        <v/>
      </c>
      <c r="Q4647" s="39" t="n">
        <f aca="false">IF($B4647="",0,IFERROR(MATCH($B4647,COA_Mapping!$A$7:$A$256,0),0))</f>
        <v>0</v>
      </c>
      <c r="R4647" s="39" t="n">
        <f aca="false">IF($A4647="",-1,IF($J4647=Setup!$B$7,1,IF($J4647=Setup!$B$9,0,-1)))</f>
        <v>-1</v>
      </c>
      <c r="S4647" s="35" t="n">
        <f aca="false">IF(OR($A4647="",$Q4647=0,$R4647=-1),0,$Q4647*1000+$R4647*100+$K4647)</f>
        <v>0</v>
      </c>
      <c r="T4647" s="37" t="str">
        <f aca="false">IF($A4647="","",IF($B4647="","NO ACCOUNT",IF($Q4647=0,"UNMAPPED",IF($R4647=-1,"OUTSIDE FY RANGE","OK"))))</f>
        <v/>
      </c>
      <c r="U4647" s="40" t="str">
        <f aca="false">IF($A4647="","",$B4647&amp;"|"&amp;TEXT($A4647,"yyyymmdd")&amp;"|"&amp;TEXT($I4647,"0.00"))</f>
        <v/>
      </c>
      <c r="V4647" s="35" t="str">
        <f aca="false">IF($A4647="","",COUNTIF($U$8:$U$5007,$U4647))</f>
        <v/>
      </c>
    </row>
    <row r="4648" customFormat="false" ht="15" hidden="false" customHeight="false" outlineLevel="0" collapsed="false">
      <c r="A4648" s="31"/>
      <c r="B4648" s="32"/>
      <c r="C4648" s="32"/>
      <c r="D4648" s="32"/>
      <c r="E4648" s="32"/>
      <c r="F4648" s="32"/>
      <c r="G4648" s="33"/>
      <c r="H4648" s="33"/>
      <c r="I4648" s="34" t="str">
        <f aca="false">IF($A4648="","",$G4648-$H4648)</f>
        <v/>
      </c>
      <c r="J4648" s="35" t="str">
        <f aca="false">IF($A4648="","",IF(Setup!$B$6=1,YEAR($A4648),YEAR($A4648)+IF(MONTH($A4648)&gt;=Setup!$B$6,1,0)))</f>
        <v/>
      </c>
      <c r="K4648" s="35" t="str">
        <f aca="false">IF($A4648="","",MOD(MONTH($A4648)-Setup!$B$6+12,12)+1)</f>
        <v/>
      </c>
      <c r="L4648" s="36" t="str">
        <f aca="false">IF($A4648="","",TEXT($A4648,"MMM-YY"))</f>
        <v/>
      </c>
      <c r="M4648" s="37" t="str">
        <f aca="false">IF($A4648="","",IF($Q4648=0,"UNMAPPED",INDEX(COA_Mapping!$C$7:$C$256,$Q4648)))</f>
        <v/>
      </c>
      <c r="N4648" s="38" t="str">
        <f aca="false">IF($A4648="","",IF($Q4648=0,"",INDEX(COA_Mapping!$E$7:$E$256,$Q4648)))</f>
        <v/>
      </c>
      <c r="O4648" s="38" t="n">
        <f aca="false">IF($A4648="",1,IF($Q4648=0,1,INDEX(COA_Mapping!$F$7:$F$256,$Q4648)))</f>
        <v>1</v>
      </c>
      <c r="P4648" s="34" t="str">
        <f aca="false">IF($A4648="","",$I4648*$O4648)</f>
        <v/>
      </c>
      <c r="Q4648" s="39" t="n">
        <f aca="false">IF($B4648="",0,IFERROR(MATCH($B4648,COA_Mapping!$A$7:$A$256,0),0))</f>
        <v>0</v>
      </c>
      <c r="R4648" s="39" t="n">
        <f aca="false">IF($A4648="",-1,IF($J4648=Setup!$B$7,1,IF($J4648=Setup!$B$9,0,-1)))</f>
        <v>-1</v>
      </c>
      <c r="S4648" s="35" t="n">
        <f aca="false">IF(OR($A4648="",$Q4648=0,$R4648=-1),0,$Q4648*1000+$R4648*100+$K4648)</f>
        <v>0</v>
      </c>
      <c r="T4648" s="37" t="str">
        <f aca="false">IF($A4648="","",IF($B4648="","NO ACCOUNT",IF($Q4648=0,"UNMAPPED",IF($R4648=-1,"OUTSIDE FY RANGE","OK"))))</f>
        <v/>
      </c>
      <c r="U4648" s="40" t="str">
        <f aca="false">IF($A4648="","",$B4648&amp;"|"&amp;TEXT($A4648,"yyyymmdd")&amp;"|"&amp;TEXT($I4648,"0.00"))</f>
        <v/>
      </c>
      <c r="V4648" s="35" t="str">
        <f aca="false">IF($A4648="","",COUNTIF($U$8:$U$5007,$U4648))</f>
        <v/>
      </c>
    </row>
    <row r="4649" customFormat="false" ht="15" hidden="false" customHeight="false" outlineLevel="0" collapsed="false">
      <c r="A4649" s="31"/>
      <c r="B4649" s="32"/>
      <c r="C4649" s="32"/>
      <c r="D4649" s="32"/>
      <c r="E4649" s="32"/>
      <c r="F4649" s="32"/>
      <c r="G4649" s="33"/>
      <c r="H4649" s="33"/>
      <c r="I4649" s="34" t="str">
        <f aca="false">IF($A4649="","",$G4649-$H4649)</f>
        <v/>
      </c>
      <c r="J4649" s="35" t="str">
        <f aca="false">IF($A4649="","",IF(Setup!$B$6=1,YEAR($A4649),YEAR($A4649)+IF(MONTH($A4649)&gt;=Setup!$B$6,1,0)))</f>
        <v/>
      </c>
      <c r="K4649" s="35" t="str">
        <f aca="false">IF($A4649="","",MOD(MONTH($A4649)-Setup!$B$6+12,12)+1)</f>
        <v/>
      </c>
      <c r="L4649" s="36" t="str">
        <f aca="false">IF($A4649="","",TEXT($A4649,"MMM-YY"))</f>
        <v/>
      </c>
      <c r="M4649" s="37" t="str">
        <f aca="false">IF($A4649="","",IF($Q4649=0,"UNMAPPED",INDEX(COA_Mapping!$C$7:$C$256,$Q4649)))</f>
        <v/>
      </c>
      <c r="N4649" s="38" t="str">
        <f aca="false">IF($A4649="","",IF($Q4649=0,"",INDEX(COA_Mapping!$E$7:$E$256,$Q4649)))</f>
        <v/>
      </c>
      <c r="O4649" s="38" t="n">
        <f aca="false">IF($A4649="",1,IF($Q4649=0,1,INDEX(COA_Mapping!$F$7:$F$256,$Q4649)))</f>
        <v>1</v>
      </c>
      <c r="P4649" s="34" t="str">
        <f aca="false">IF($A4649="","",$I4649*$O4649)</f>
        <v/>
      </c>
      <c r="Q4649" s="39" t="n">
        <f aca="false">IF($B4649="",0,IFERROR(MATCH($B4649,COA_Mapping!$A$7:$A$256,0),0))</f>
        <v>0</v>
      </c>
      <c r="R4649" s="39" t="n">
        <f aca="false">IF($A4649="",-1,IF($J4649=Setup!$B$7,1,IF($J4649=Setup!$B$9,0,-1)))</f>
        <v>-1</v>
      </c>
      <c r="S4649" s="35" t="n">
        <f aca="false">IF(OR($A4649="",$Q4649=0,$R4649=-1),0,$Q4649*1000+$R4649*100+$K4649)</f>
        <v>0</v>
      </c>
      <c r="T4649" s="37" t="str">
        <f aca="false">IF($A4649="","",IF($B4649="","NO ACCOUNT",IF($Q4649=0,"UNMAPPED",IF($R4649=-1,"OUTSIDE FY RANGE","OK"))))</f>
        <v/>
      </c>
      <c r="U4649" s="40" t="str">
        <f aca="false">IF($A4649="","",$B4649&amp;"|"&amp;TEXT($A4649,"yyyymmdd")&amp;"|"&amp;TEXT($I4649,"0.00"))</f>
        <v/>
      </c>
      <c r="V4649" s="35" t="str">
        <f aca="false">IF($A4649="","",COUNTIF($U$8:$U$5007,$U4649))</f>
        <v/>
      </c>
    </row>
    <row r="4650" customFormat="false" ht="15" hidden="false" customHeight="false" outlineLevel="0" collapsed="false">
      <c r="A4650" s="31"/>
      <c r="B4650" s="32"/>
      <c r="C4650" s="32"/>
      <c r="D4650" s="32"/>
      <c r="E4650" s="32"/>
      <c r="F4650" s="32"/>
      <c r="G4650" s="33"/>
      <c r="H4650" s="33"/>
      <c r="I4650" s="34" t="str">
        <f aca="false">IF($A4650="","",$G4650-$H4650)</f>
        <v/>
      </c>
      <c r="J4650" s="35" t="str">
        <f aca="false">IF($A4650="","",IF(Setup!$B$6=1,YEAR($A4650),YEAR($A4650)+IF(MONTH($A4650)&gt;=Setup!$B$6,1,0)))</f>
        <v/>
      </c>
      <c r="K4650" s="35" t="str">
        <f aca="false">IF($A4650="","",MOD(MONTH($A4650)-Setup!$B$6+12,12)+1)</f>
        <v/>
      </c>
      <c r="L4650" s="36" t="str">
        <f aca="false">IF($A4650="","",TEXT($A4650,"MMM-YY"))</f>
        <v/>
      </c>
      <c r="M4650" s="37" t="str">
        <f aca="false">IF($A4650="","",IF($Q4650=0,"UNMAPPED",INDEX(COA_Mapping!$C$7:$C$256,$Q4650)))</f>
        <v/>
      </c>
      <c r="N4650" s="38" t="str">
        <f aca="false">IF($A4650="","",IF($Q4650=0,"",INDEX(COA_Mapping!$E$7:$E$256,$Q4650)))</f>
        <v/>
      </c>
      <c r="O4650" s="38" t="n">
        <f aca="false">IF($A4650="",1,IF($Q4650=0,1,INDEX(COA_Mapping!$F$7:$F$256,$Q4650)))</f>
        <v>1</v>
      </c>
      <c r="P4650" s="34" t="str">
        <f aca="false">IF($A4650="","",$I4650*$O4650)</f>
        <v/>
      </c>
      <c r="Q4650" s="39" t="n">
        <f aca="false">IF($B4650="",0,IFERROR(MATCH($B4650,COA_Mapping!$A$7:$A$256,0),0))</f>
        <v>0</v>
      </c>
      <c r="R4650" s="39" t="n">
        <f aca="false">IF($A4650="",-1,IF($J4650=Setup!$B$7,1,IF($J4650=Setup!$B$9,0,-1)))</f>
        <v>-1</v>
      </c>
      <c r="S4650" s="35" t="n">
        <f aca="false">IF(OR($A4650="",$Q4650=0,$R4650=-1),0,$Q4650*1000+$R4650*100+$K4650)</f>
        <v>0</v>
      </c>
      <c r="T4650" s="37" t="str">
        <f aca="false">IF($A4650="","",IF($B4650="","NO ACCOUNT",IF($Q4650=0,"UNMAPPED",IF($R4650=-1,"OUTSIDE FY RANGE","OK"))))</f>
        <v/>
      </c>
      <c r="U4650" s="40" t="str">
        <f aca="false">IF($A4650="","",$B4650&amp;"|"&amp;TEXT($A4650,"yyyymmdd")&amp;"|"&amp;TEXT($I4650,"0.00"))</f>
        <v/>
      </c>
      <c r="V4650" s="35" t="str">
        <f aca="false">IF($A4650="","",COUNTIF($U$8:$U$5007,$U4650))</f>
        <v/>
      </c>
    </row>
    <row r="4651" customFormat="false" ht="15" hidden="false" customHeight="false" outlineLevel="0" collapsed="false">
      <c r="A4651" s="31"/>
      <c r="B4651" s="32"/>
      <c r="C4651" s="32"/>
      <c r="D4651" s="32"/>
      <c r="E4651" s="32"/>
      <c r="F4651" s="32"/>
      <c r="G4651" s="33"/>
      <c r="H4651" s="33"/>
      <c r="I4651" s="34" t="str">
        <f aca="false">IF($A4651="","",$G4651-$H4651)</f>
        <v/>
      </c>
      <c r="J4651" s="35" t="str">
        <f aca="false">IF($A4651="","",IF(Setup!$B$6=1,YEAR($A4651),YEAR($A4651)+IF(MONTH($A4651)&gt;=Setup!$B$6,1,0)))</f>
        <v/>
      </c>
      <c r="K4651" s="35" t="str">
        <f aca="false">IF($A4651="","",MOD(MONTH($A4651)-Setup!$B$6+12,12)+1)</f>
        <v/>
      </c>
      <c r="L4651" s="36" t="str">
        <f aca="false">IF($A4651="","",TEXT($A4651,"MMM-YY"))</f>
        <v/>
      </c>
      <c r="M4651" s="37" t="str">
        <f aca="false">IF($A4651="","",IF($Q4651=0,"UNMAPPED",INDEX(COA_Mapping!$C$7:$C$256,$Q4651)))</f>
        <v/>
      </c>
      <c r="N4651" s="38" t="str">
        <f aca="false">IF($A4651="","",IF($Q4651=0,"",INDEX(COA_Mapping!$E$7:$E$256,$Q4651)))</f>
        <v/>
      </c>
      <c r="O4651" s="38" t="n">
        <f aca="false">IF($A4651="",1,IF($Q4651=0,1,INDEX(COA_Mapping!$F$7:$F$256,$Q4651)))</f>
        <v>1</v>
      </c>
      <c r="P4651" s="34" t="str">
        <f aca="false">IF($A4651="","",$I4651*$O4651)</f>
        <v/>
      </c>
      <c r="Q4651" s="39" t="n">
        <f aca="false">IF($B4651="",0,IFERROR(MATCH($B4651,COA_Mapping!$A$7:$A$256,0),0))</f>
        <v>0</v>
      </c>
      <c r="R4651" s="39" t="n">
        <f aca="false">IF($A4651="",-1,IF($J4651=Setup!$B$7,1,IF($J4651=Setup!$B$9,0,-1)))</f>
        <v>-1</v>
      </c>
      <c r="S4651" s="35" t="n">
        <f aca="false">IF(OR($A4651="",$Q4651=0,$R4651=-1),0,$Q4651*1000+$R4651*100+$K4651)</f>
        <v>0</v>
      </c>
      <c r="T4651" s="37" t="str">
        <f aca="false">IF($A4651="","",IF($B4651="","NO ACCOUNT",IF($Q4651=0,"UNMAPPED",IF($R4651=-1,"OUTSIDE FY RANGE","OK"))))</f>
        <v/>
      </c>
      <c r="U4651" s="40" t="str">
        <f aca="false">IF($A4651="","",$B4651&amp;"|"&amp;TEXT($A4651,"yyyymmdd")&amp;"|"&amp;TEXT($I4651,"0.00"))</f>
        <v/>
      </c>
      <c r="V4651" s="35" t="str">
        <f aca="false">IF($A4651="","",COUNTIF($U$8:$U$5007,$U4651))</f>
        <v/>
      </c>
    </row>
    <row r="4652" customFormat="false" ht="15" hidden="false" customHeight="false" outlineLevel="0" collapsed="false">
      <c r="A4652" s="31"/>
      <c r="B4652" s="32"/>
      <c r="C4652" s="32"/>
      <c r="D4652" s="32"/>
      <c r="E4652" s="32"/>
      <c r="F4652" s="32"/>
      <c r="G4652" s="33"/>
      <c r="H4652" s="33"/>
      <c r="I4652" s="34" t="str">
        <f aca="false">IF($A4652="","",$G4652-$H4652)</f>
        <v/>
      </c>
      <c r="J4652" s="35" t="str">
        <f aca="false">IF($A4652="","",IF(Setup!$B$6=1,YEAR($A4652),YEAR($A4652)+IF(MONTH($A4652)&gt;=Setup!$B$6,1,0)))</f>
        <v/>
      </c>
      <c r="K4652" s="35" t="str">
        <f aca="false">IF($A4652="","",MOD(MONTH($A4652)-Setup!$B$6+12,12)+1)</f>
        <v/>
      </c>
      <c r="L4652" s="36" t="str">
        <f aca="false">IF($A4652="","",TEXT($A4652,"MMM-YY"))</f>
        <v/>
      </c>
      <c r="M4652" s="37" t="str">
        <f aca="false">IF($A4652="","",IF($Q4652=0,"UNMAPPED",INDEX(COA_Mapping!$C$7:$C$256,$Q4652)))</f>
        <v/>
      </c>
      <c r="N4652" s="38" t="str">
        <f aca="false">IF($A4652="","",IF($Q4652=0,"",INDEX(COA_Mapping!$E$7:$E$256,$Q4652)))</f>
        <v/>
      </c>
      <c r="O4652" s="38" t="n">
        <f aca="false">IF($A4652="",1,IF($Q4652=0,1,INDEX(COA_Mapping!$F$7:$F$256,$Q4652)))</f>
        <v>1</v>
      </c>
      <c r="P4652" s="34" t="str">
        <f aca="false">IF($A4652="","",$I4652*$O4652)</f>
        <v/>
      </c>
      <c r="Q4652" s="39" t="n">
        <f aca="false">IF($B4652="",0,IFERROR(MATCH($B4652,COA_Mapping!$A$7:$A$256,0),0))</f>
        <v>0</v>
      </c>
      <c r="R4652" s="39" t="n">
        <f aca="false">IF($A4652="",-1,IF($J4652=Setup!$B$7,1,IF($J4652=Setup!$B$9,0,-1)))</f>
        <v>-1</v>
      </c>
      <c r="S4652" s="35" t="n">
        <f aca="false">IF(OR($A4652="",$Q4652=0,$R4652=-1),0,$Q4652*1000+$R4652*100+$K4652)</f>
        <v>0</v>
      </c>
      <c r="T4652" s="37" t="str">
        <f aca="false">IF($A4652="","",IF($B4652="","NO ACCOUNT",IF($Q4652=0,"UNMAPPED",IF($R4652=-1,"OUTSIDE FY RANGE","OK"))))</f>
        <v/>
      </c>
      <c r="U4652" s="40" t="str">
        <f aca="false">IF($A4652="","",$B4652&amp;"|"&amp;TEXT($A4652,"yyyymmdd")&amp;"|"&amp;TEXT($I4652,"0.00"))</f>
        <v/>
      </c>
      <c r="V4652" s="35" t="str">
        <f aca="false">IF($A4652="","",COUNTIF($U$8:$U$5007,$U4652))</f>
        <v/>
      </c>
    </row>
    <row r="4653" customFormat="false" ht="15" hidden="false" customHeight="false" outlineLevel="0" collapsed="false">
      <c r="A4653" s="31"/>
      <c r="B4653" s="32"/>
      <c r="C4653" s="32"/>
      <c r="D4653" s="32"/>
      <c r="E4653" s="32"/>
      <c r="F4653" s="32"/>
      <c r="G4653" s="33"/>
      <c r="H4653" s="33"/>
      <c r="I4653" s="34" t="str">
        <f aca="false">IF($A4653="","",$G4653-$H4653)</f>
        <v/>
      </c>
      <c r="J4653" s="35" t="str">
        <f aca="false">IF($A4653="","",IF(Setup!$B$6=1,YEAR($A4653),YEAR($A4653)+IF(MONTH($A4653)&gt;=Setup!$B$6,1,0)))</f>
        <v/>
      </c>
      <c r="K4653" s="35" t="str">
        <f aca="false">IF($A4653="","",MOD(MONTH($A4653)-Setup!$B$6+12,12)+1)</f>
        <v/>
      </c>
      <c r="L4653" s="36" t="str">
        <f aca="false">IF($A4653="","",TEXT($A4653,"MMM-YY"))</f>
        <v/>
      </c>
      <c r="M4653" s="37" t="str">
        <f aca="false">IF($A4653="","",IF($Q4653=0,"UNMAPPED",INDEX(COA_Mapping!$C$7:$C$256,$Q4653)))</f>
        <v/>
      </c>
      <c r="N4653" s="38" t="str">
        <f aca="false">IF($A4653="","",IF($Q4653=0,"",INDEX(COA_Mapping!$E$7:$E$256,$Q4653)))</f>
        <v/>
      </c>
      <c r="O4653" s="38" t="n">
        <f aca="false">IF($A4653="",1,IF($Q4653=0,1,INDEX(COA_Mapping!$F$7:$F$256,$Q4653)))</f>
        <v>1</v>
      </c>
      <c r="P4653" s="34" t="str">
        <f aca="false">IF($A4653="","",$I4653*$O4653)</f>
        <v/>
      </c>
      <c r="Q4653" s="39" t="n">
        <f aca="false">IF($B4653="",0,IFERROR(MATCH($B4653,COA_Mapping!$A$7:$A$256,0),0))</f>
        <v>0</v>
      </c>
      <c r="R4653" s="39" t="n">
        <f aca="false">IF($A4653="",-1,IF($J4653=Setup!$B$7,1,IF($J4653=Setup!$B$9,0,-1)))</f>
        <v>-1</v>
      </c>
      <c r="S4653" s="35" t="n">
        <f aca="false">IF(OR($A4653="",$Q4653=0,$R4653=-1),0,$Q4653*1000+$R4653*100+$K4653)</f>
        <v>0</v>
      </c>
      <c r="T4653" s="37" t="str">
        <f aca="false">IF($A4653="","",IF($B4653="","NO ACCOUNT",IF($Q4653=0,"UNMAPPED",IF($R4653=-1,"OUTSIDE FY RANGE","OK"))))</f>
        <v/>
      </c>
      <c r="U4653" s="40" t="str">
        <f aca="false">IF($A4653="","",$B4653&amp;"|"&amp;TEXT($A4653,"yyyymmdd")&amp;"|"&amp;TEXT($I4653,"0.00"))</f>
        <v/>
      </c>
      <c r="V4653" s="35" t="str">
        <f aca="false">IF($A4653="","",COUNTIF($U$8:$U$5007,$U4653))</f>
        <v/>
      </c>
    </row>
    <row r="4654" customFormat="false" ht="15" hidden="false" customHeight="false" outlineLevel="0" collapsed="false">
      <c r="A4654" s="31"/>
      <c r="B4654" s="32"/>
      <c r="C4654" s="32"/>
      <c r="D4654" s="32"/>
      <c r="E4654" s="32"/>
      <c r="F4654" s="32"/>
      <c r="G4654" s="33"/>
      <c r="H4654" s="33"/>
      <c r="I4654" s="34" t="str">
        <f aca="false">IF($A4654="","",$G4654-$H4654)</f>
        <v/>
      </c>
      <c r="J4654" s="35" t="str">
        <f aca="false">IF($A4654="","",IF(Setup!$B$6=1,YEAR($A4654),YEAR($A4654)+IF(MONTH($A4654)&gt;=Setup!$B$6,1,0)))</f>
        <v/>
      </c>
      <c r="K4654" s="35" t="str">
        <f aca="false">IF($A4654="","",MOD(MONTH($A4654)-Setup!$B$6+12,12)+1)</f>
        <v/>
      </c>
      <c r="L4654" s="36" t="str">
        <f aca="false">IF($A4654="","",TEXT($A4654,"MMM-YY"))</f>
        <v/>
      </c>
      <c r="M4654" s="37" t="str">
        <f aca="false">IF($A4654="","",IF($Q4654=0,"UNMAPPED",INDEX(COA_Mapping!$C$7:$C$256,$Q4654)))</f>
        <v/>
      </c>
      <c r="N4654" s="38" t="str">
        <f aca="false">IF($A4654="","",IF($Q4654=0,"",INDEX(COA_Mapping!$E$7:$E$256,$Q4654)))</f>
        <v/>
      </c>
      <c r="O4654" s="38" t="n">
        <f aca="false">IF($A4654="",1,IF($Q4654=0,1,INDEX(COA_Mapping!$F$7:$F$256,$Q4654)))</f>
        <v>1</v>
      </c>
      <c r="P4654" s="34" t="str">
        <f aca="false">IF($A4654="","",$I4654*$O4654)</f>
        <v/>
      </c>
      <c r="Q4654" s="39" t="n">
        <f aca="false">IF($B4654="",0,IFERROR(MATCH($B4654,COA_Mapping!$A$7:$A$256,0),0))</f>
        <v>0</v>
      </c>
      <c r="R4654" s="39" t="n">
        <f aca="false">IF($A4654="",-1,IF($J4654=Setup!$B$7,1,IF($J4654=Setup!$B$9,0,-1)))</f>
        <v>-1</v>
      </c>
      <c r="S4654" s="35" t="n">
        <f aca="false">IF(OR($A4654="",$Q4654=0,$R4654=-1),0,$Q4654*1000+$R4654*100+$K4654)</f>
        <v>0</v>
      </c>
      <c r="T4654" s="37" t="str">
        <f aca="false">IF($A4654="","",IF($B4654="","NO ACCOUNT",IF($Q4654=0,"UNMAPPED",IF($R4654=-1,"OUTSIDE FY RANGE","OK"))))</f>
        <v/>
      </c>
      <c r="U4654" s="40" t="str">
        <f aca="false">IF($A4654="","",$B4654&amp;"|"&amp;TEXT($A4654,"yyyymmdd")&amp;"|"&amp;TEXT($I4654,"0.00"))</f>
        <v/>
      </c>
      <c r="V4654" s="35" t="str">
        <f aca="false">IF($A4654="","",COUNTIF($U$8:$U$5007,$U4654))</f>
        <v/>
      </c>
    </row>
    <row r="4655" customFormat="false" ht="15" hidden="false" customHeight="false" outlineLevel="0" collapsed="false">
      <c r="A4655" s="31"/>
      <c r="B4655" s="32"/>
      <c r="C4655" s="32"/>
      <c r="D4655" s="32"/>
      <c r="E4655" s="32"/>
      <c r="F4655" s="32"/>
      <c r="G4655" s="33"/>
      <c r="H4655" s="33"/>
      <c r="I4655" s="34" t="str">
        <f aca="false">IF($A4655="","",$G4655-$H4655)</f>
        <v/>
      </c>
      <c r="J4655" s="35" t="str">
        <f aca="false">IF($A4655="","",IF(Setup!$B$6=1,YEAR($A4655),YEAR($A4655)+IF(MONTH($A4655)&gt;=Setup!$B$6,1,0)))</f>
        <v/>
      </c>
      <c r="K4655" s="35" t="str">
        <f aca="false">IF($A4655="","",MOD(MONTH($A4655)-Setup!$B$6+12,12)+1)</f>
        <v/>
      </c>
      <c r="L4655" s="36" t="str">
        <f aca="false">IF($A4655="","",TEXT($A4655,"MMM-YY"))</f>
        <v/>
      </c>
      <c r="M4655" s="37" t="str">
        <f aca="false">IF($A4655="","",IF($Q4655=0,"UNMAPPED",INDEX(COA_Mapping!$C$7:$C$256,$Q4655)))</f>
        <v/>
      </c>
      <c r="N4655" s="38" t="str">
        <f aca="false">IF($A4655="","",IF($Q4655=0,"",INDEX(COA_Mapping!$E$7:$E$256,$Q4655)))</f>
        <v/>
      </c>
      <c r="O4655" s="38" t="n">
        <f aca="false">IF($A4655="",1,IF($Q4655=0,1,INDEX(COA_Mapping!$F$7:$F$256,$Q4655)))</f>
        <v>1</v>
      </c>
      <c r="P4655" s="34" t="str">
        <f aca="false">IF($A4655="","",$I4655*$O4655)</f>
        <v/>
      </c>
      <c r="Q4655" s="39" t="n">
        <f aca="false">IF($B4655="",0,IFERROR(MATCH($B4655,COA_Mapping!$A$7:$A$256,0),0))</f>
        <v>0</v>
      </c>
      <c r="R4655" s="39" t="n">
        <f aca="false">IF($A4655="",-1,IF($J4655=Setup!$B$7,1,IF($J4655=Setup!$B$9,0,-1)))</f>
        <v>-1</v>
      </c>
      <c r="S4655" s="35" t="n">
        <f aca="false">IF(OR($A4655="",$Q4655=0,$R4655=-1),0,$Q4655*1000+$R4655*100+$K4655)</f>
        <v>0</v>
      </c>
      <c r="T4655" s="37" t="str">
        <f aca="false">IF($A4655="","",IF($B4655="","NO ACCOUNT",IF($Q4655=0,"UNMAPPED",IF($R4655=-1,"OUTSIDE FY RANGE","OK"))))</f>
        <v/>
      </c>
      <c r="U4655" s="40" t="str">
        <f aca="false">IF($A4655="","",$B4655&amp;"|"&amp;TEXT($A4655,"yyyymmdd")&amp;"|"&amp;TEXT($I4655,"0.00"))</f>
        <v/>
      </c>
      <c r="V4655" s="35" t="str">
        <f aca="false">IF($A4655="","",COUNTIF($U$8:$U$5007,$U4655))</f>
        <v/>
      </c>
    </row>
    <row r="4656" customFormat="false" ht="15" hidden="false" customHeight="false" outlineLevel="0" collapsed="false">
      <c r="A4656" s="31"/>
      <c r="B4656" s="32"/>
      <c r="C4656" s="32"/>
      <c r="D4656" s="32"/>
      <c r="E4656" s="32"/>
      <c r="F4656" s="32"/>
      <c r="G4656" s="33"/>
      <c r="H4656" s="33"/>
      <c r="I4656" s="34" t="str">
        <f aca="false">IF($A4656="","",$G4656-$H4656)</f>
        <v/>
      </c>
      <c r="J4656" s="35" t="str">
        <f aca="false">IF($A4656="","",IF(Setup!$B$6=1,YEAR($A4656),YEAR($A4656)+IF(MONTH($A4656)&gt;=Setup!$B$6,1,0)))</f>
        <v/>
      </c>
      <c r="K4656" s="35" t="str">
        <f aca="false">IF($A4656="","",MOD(MONTH($A4656)-Setup!$B$6+12,12)+1)</f>
        <v/>
      </c>
      <c r="L4656" s="36" t="str">
        <f aca="false">IF($A4656="","",TEXT($A4656,"MMM-YY"))</f>
        <v/>
      </c>
      <c r="M4656" s="37" t="str">
        <f aca="false">IF($A4656="","",IF($Q4656=0,"UNMAPPED",INDEX(COA_Mapping!$C$7:$C$256,$Q4656)))</f>
        <v/>
      </c>
      <c r="N4656" s="38" t="str">
        <f aca="false">IF($A4656="","",IF($Q4656=0,"",INDEX(COA_Mapping!$E$7:$E$256,$Q4656)))</f>
        <v/>
      </c>
      <c r="O4656" s="38" t="n">
        <f aca="false">IF($A4656="",1,IF($Q4656=0,1,INDEX(COA_Mapping!$F$7:$F$256,$Q4656)))</f>
        <v>1</v>
      </c>
      <c r="P4656" s="34" t="str">
        <f aca="false">IF($A4656="","",$I4656*$O4656)</f>
        <v/>
      </c>
      <c r="Q4656" s="39" t="n">
        <f aca="false">IF($B4656="",0,IFERROR(MATCH($B4656,COA_Mapping!$A$7:$A$256,0),0))</f>
        <v>0</v>
      </c>
      <c r="R4656" s="39" t="n">
        <f aca="false">IF($A4656="",-1,IF($J4656=Setup!$B$7,1,IF($J4656=Setup!$B$9,0,-1)))</f>
        <v>-1</v>
      </c>
      <c r="S4656" s="35" t="n">
        <f aca="false">IF(OR($A4656="",$Q4656=0,$R4656=-1),0,$Q4656*1000+$R4656*100+$K4656)</f>
        <v>0</v>
      </c>
      <c r="T4656" s="37" t="str">
        <f aca="false">IF($A4656="","",IF($B4656="","NO ACCOUNT",IF($Q4656=0,"UNMAPPED",IF($R4656=-1,"OUTSIDE FY RANGE","OK"))))</f>
        <v/>
      </c>
      <c r="U4656" s="40" t="str">
        <f aca="false">IF($A4656="","",$B4656&amp;"|"&amp;TEXT($A4656,"yyyymmdd")&amp;"|"&amp;TEXT($I4656,"0.00"))</f>
        <v/>
      </c>
      <c r="V4656" s="35" t="str">
        <f aca="false">IF($A4656="","",COUNTIF($U$8:$U$5007,$U4656))</f>
        <v/>
      </c>
    </row>
    <row r="4657" customFormat="false" ht="15" hidden="false" customHeight="false" outlineLevel="0" collapsed="false">
      <c r="A4657" s="31"/>
      <c r="B4657" s="32"/>
      <c r="C4657" s="32"/>
      <c r="D4657" s="32"/>
      <c r="E4657" s="32"/>
      <c r="F4657" s="32"/>
      <c r="G4657" s="33"/>
      <c r="H4657" s="33"/>
      <c r="I4657" s="34" t="str">
        <f aca="false">IF($A4657="","",$G4657-$H4657)</f>
        <v/>
      </c>
      <c r="J4657" s="35" t="str">
        <f aca="false">IF($A4657="","",IF(Setup!$B$6=1,YEAR($A4657),YEAR($A4657)+IF(MONTH($A4657)&gt;=Setup!$B$6,1,0)))</f>
        <v/>
      </c>
      <c r="K4657" s="35" t="str">
        <f aca="false">IF($A4657="","",MOD(MONTH($A4657)-Setup!$B$6+12,12)+1)</f>
        <v/>
      </c>
      <c r="L4657" s="36" t="str">
        <f aca="false">IF($A4657="","",TEXT($A4657,"MMM-YY"))</f>
        <v/>
      </c>
      <c r="M4657" s="37" t="str">
        <f aca="false">IF($A4657="","",IF($Q4657=0,"UNMAPPED",INDEX(COA_Mapping!$C$7:$C$256,$Q4657)))</f>
        <v/>
      </c>
      <c r="N4657" s="38" t="str">
        <f aca="false">IF($A4657="","",IF($Q4657=0,"",INDEX(COA_Mapping!$E$7:$E$256,$Q4657)))</f>
        <v/>
      </c>
      <c r="O4657" s="38" t="n">
        <f aca="false">IF($A4657="",1,IF($Q4657=0,1,INDEX(COA_Mapping!$F$7:$F$256,$Q4657)))</f>
        <v>1</v>
      </c>
      <c r="P4657" s="34" t="str">
        <f aca="false">IF($A4657="","",$I4657*$O4657)</f>
        <v/>
      </c>
      <c r="Q4657" s="39" t="n">
        <f aca="false">IF($B4657="",0,IFERROR(MATCH($B4657,COA_Mapping!$A$7:$A$256,0),0))</f>
        <v>0</v>
      </c>
      <c r="R4657" s="39" t="n">
        <f aca="false">IF($A4657="",-1,IF($J4657=Setup!$B$7,1,IF($J4657=Setup!$B$9,0,-1)))</f>
        <v>-1</v>
      </c>
      <c r="S4657" s="35" t="n">
        <f aca="false">IF(OR($A4657="",$Q4657=0,$R4657=-1),0,$Q4657*1000+$R4657*100+$K4657)</f>
        <v>0</v>
      </c>
      <c r="T4657" s="37" t="str">
        <f aca="false">IF($A4657="","",IF($B4657="","NO ACCOUNT",IF($Q4657=0,"UNMAPPED",IF($R4657=-1,"OUTSIDE FY RANGE","OK"))))</f>
        <v/>
      </c>
      <c r="U4657" s="40" t="str">
        <f aca="false">IF($A4657="","",$B4657&amp;"|"&amp;TEXT($A4657,"yyyymmdd")&amp;"|"&amp;TEXT($I4657,"0.00"))</f>
        <v/>
      </c>
      <c r="V4657" s="35" t="str">
        <f aca="false">IF($A4657="","",COUNTIF($U$8:$U$5007,$U4657))</f>
        <v/>
      </c>
    </row>
    <row r="4658" customFormat="false" ht="15" hidden="false" customHeight="false" outlineLevel="0" collapsed="false">
      <c r="A4658" s="31"/>
      <c r="B4658" s="32"/>
      <c r="C4658" s="32"/>
      <c r="D4658" s="32"/>
      <c r="E4658" s="32"/>
      <c r="F4658" s="32"/>
      <c r="G4658" s="33"/>
      <c r="H4658" s="33"/>
      <c r="I4658" s="34" t="str">
        <f aca="false">IF($A4658="","",$G4658-$H4658)</f>
        <v/>
      </c>
      <c r="J4658" s="35" t="str">
        <f aca="false">IF($A4658="","",IF(Setup!$B$6=1,YEAR($A4658),YEAR($A4658)+IF(MONTH($A4658)&gt;=Setup!$B$6,1,0)))</f>
        <v/>
      </c>
      <c r="K4658" s="35" t="str">
        <f aca="false">IF($A4658="","",MOD(MONTH($A4658)-Setup!$B$6+12,12)+1)</f>
        <v/>
      </c>
      <c r="L4658" s="36" t="str">
        <f aca="false">IF($A4658="","",TEXT($A4658,"MMM-YY"))</f>
        <v/>
      </c>
      <c r="M4658" s="37" t="str">
        <f aca="false">IF($A4658="","",IF($Q4658=0,"UNMAPPED",INDEX(COA_Mapping!$C$7:$C$256,$Q4658)))</f>
        <v/>
      </c>
      <c r="N4658" s="38" t="str">
        <f aca="false">IF($A4658="","",IF($Q4658=0,"",INDEX(COA_Mapping!$E$7:$E$256,$Q4658)))</f>
        <v/>
      </c>
      <c r="O4658" s="38" t="n">
        <f aca="false">IF($A4658="",1,IF($Q4658=0,1,INDEX(COA_Mapping!$F$7:$F$256,$Q4658)))</f>
        <v>1</v>
      </c>
      <c r="P4658" s="34" t="str">
        <f aca="false">IF($A4658="","",$I4658*$O4658)</f>
        <v/>
      </c>
      <c r="Q4658" s="39" t="n">
        <f aca="false">IF($B4658="",0,IFERROR(MATCH($B4658,COA_Mapping!$A$7:$A$256,0),0))</f>
        <v>0</v>
      </c>
      <c r="R4658" s="39" t="n">
        <f aca="false">IF($A4658="",-1,IF($J4658=Setup!$B$7,1,IF($J4658=Setup!$B$9,0,-1)))</f>
        <v>-1</v>
      </c>
      <c r="S4658" s="35" t="n">
        <f aca="false">IF(OR($A4658="",$Q4658=0,$R4658=-1),0,$Q4658*1000+$R4658*100+$K4658)</f>
        <v>0</v>
      </c>
      <c r="T4658" s="37" t="str">
        <f aca="false">IF($A4658="","",IF($B4658="","NO ACCOUNT",IF($Q4658=0,"UNMAPPED",IF($R4658=-1,"OUTSIDE FY RANGE","OK"))))</f>
        <v/>
      </c>
      <c r="U4658" s="40" t="str">
        <f aca="false">IF($A4658="","",$B4658&amp;"|"&amp;TEXT($A4658,"yyyymmdd")&amp;"|"&amp;TEXT($I4658,"0.00"))</f>
        <v/>
      </c>
      <c r="V4658" s="35" t="str">
        <f aca="false">IF($A4658="","",COUNTIF($U$8:$U$5007,$U4658))</f>
        <v/>
      </c>
    </row>
    <row r="4659" customFormat="false" ht="15" hidden="false" customHeight="false" outlineLevel="0" collapsed="false">
      <c r="A4659" s="31"/>
      <c r="B4659" s="32"/>
      <c r="C4659" s="32"/>
      <c r="D4659" s="32"/>
      <c r="E4659" s="32"/>
      <c r="F4659" s="32"/>
      <c r="G4659" s="33"/>
      <c r="H4659" s="33"/>
      <c r="I4659" s="34" t="str">
        <f aca="false">IF($A4659="","",$G4659-$H4659)</f>
        <v/>
      </c>
      <c r="J4659" s="35" t="str">
        <f aca="false">IF($A4659="","",IF(Setup!$B$6=1,YEAR($A4659),YEAR($A4659)+IF(MONTH($A4659)&gt;=Setup!$B$6,1,0)))</f>
        <v/>
      </c>
      <c r="K4659" s="35" t="str">
        <f aca="false">IF($A4659="","",MOD(MONTH($A4659)-Setup!$B$6+12,12)+1)</f>
        <v/>
      </c>
      <c r="L4659" s="36" t="str">
        <f aca="false">IF($A4659="","",TEXT($A4659,"MMM-YY"))</f>
        <v/>
      </c>
      <c r="M4659" s="37" t="str">
        <f aca="false">IF($A4659="","",IF($Q4659=0,"UNMAPPED",INDEX(COA_Mapping!$C$7:$C$256,$Q4659)))</f>
        <v/>
      </c>
      <c r="N4659" s="38" t="str">
        <f aca="false">IF($A4659="","",IF($Q4659=0,"",INDEX(COA_Mapping!$E$7:$E$256,$Q4659)))</f>
        <v/>
      </c>
      <c r="O4659" s="38" t="n">
        <f aca="false">IF($A4659="",1,IF($Q4659=0,1,INDEX(COA_Mapping!$F$7:$F$256,$Q4659)))</f>
        <v>1</v>
      </c>
      <c r="P4659" s="34" t="str">
        <f aca="false">IF($A4659="","",$I4659*$O4659)</f>
        <v/>
      </c>
      <c r="Q4659" s="39" t="n">
        <f aca="false">IF($B4659="",0,IFERROR(MATCH($B4659,COA_Mapping!$A$7:$A$256,0),0))</f>
        <v>0</v>
      </c>
      <c r="R4659" s="39" t="n">
        <f aca="false">IF($A4659="",-1,IF($J4659=Setup!$B$7,1,IF($J4659=Setup!$B$9,0,-1)))</f>
        <v>-1</v>
      </c>
      <c r="S4659" s="35" t="n">
        <f aca="false">IF(OR($A4659="",$Q4659=0,$R4659=-1),0,$Q4659*1000+$R4659*100+$K4659)</f>
        <v>0</v>
      </c>
      <c r="T4659" s="37" t="str">
        <f aca="false">IF($A4659="","",IF($B4659="","NO ACCOUNT",IF($Q4659=0,"UNMAPPED",IF($R4659=-1,"OUTSIDE FY RANGE","OK"))))</f>
        <v/>
      </c>
      <c r="U4659" s="40" t="str">
        <f aca="false">IF($A4659="","",$B4659&amp;"|"&amp;TEXT($A4659,"yyyymmdd")&amp;"|"&amp;TEXT($I4659,"0.00"))</f>
        <v/>
      </c>
      <c r="V4659" s="35" t="str">
        <f aca="false">IF($A4659="","",COUNTIF($U$8:$U$5007,$U4659))</f>
        <v/>
      </c>
    </row>
    <row r="4660" customFormat="false" ht="15" hidden="false" customHeight="false" outlineLevel="0" collapsed="false">
      <c r="A4660" s="31"/>
      <c r="B4660" s="32"/>
      <c r="C4660" s="32"/>
      <c r="D4660" s="32"/>
      <c r="E4660" s="32"/>
      <c r="F4660" s="32"/>
      <c r="G4660" s="33"/>
      <c r="H4660" s="33"/>
      <c r="I4660" s="34" t="str">
        <f aca="false">IF($A4660="","",$G4660-$H4660)</f>
        <v/>
      </c>
      <c r="J4660" s="35" t="str">
        <f aca="false">IF($A4660="","",IF(Setup!$B$6=1,YEAR($A4660),YEAR($A4660)+IF(MONTH($A4660)&gt;=Setup!$B$6,1,0)))</f>
        <v/>
      </c>
      <c r="K4660" s="35" t="str">
        <f aca="false">IF($A4660="","",MOD(MONTH($A4660)-Setup!$B$6+12,12)+1)</f>
        <v/>
      </c>
      <c r="L4660" s="36" t="str">
        <f aca="false">IF($A4660="","",TEXT($A4660,"MMM-YY"))</f>
        <v/>
      </c>
      <c r="M4660" s="37" t="str">
        <f aca="false">IF($A4660="","",IF($Q4660=0,"UNMAPPED",INDEX(COA_Mapping!$C$7:$C$256,$Q4660)))</f>
        <v/>
      </c>
      <c r="N4660" s="38" t="str">
        <f aca="false">IF($A4660="","",IF($Q4660=0,"",INDEX(COA_Mapping!$E$7:$E$256,$Q4660)))</f>
        <v/>
      </c>
      <c r="O4660" s="38" t="n">
        <f aca="false">IF($A4660="",1,IF($Q4660=0,1,INDEX(COA_Mapping!$F$7:$F$256,$Q4660)))</f>
        <v>1</v>
      </c>
      <c r="P4660" s="34" t="str">
        <f aca="false">IF($A4660="","",$I4660*$O4660)</f>
        <v/>
      </c>
      <c r="Q4660" s="39" t="n">
        <f aca="false">IF($B4660="",0,IFERROR(MATCH($B4660,COA_Mapping!$A$7:$A$256,0),0))</f>
        <v>0</v>
      </c>
      <c r="R4660" s="39" t="n">
        <f aca="false">IF($A4660="",-1,IF($J4660=Setup!$B$7,1,IF($J4660=Setup!$B$9,0,-1)))</f>
        <v>-1</v>
      </c>
      <c r="S4660" s="35" t="n">
        <f aca="false">IF(OR($A4660="",$Q4660=0,$R4660=-1),0,$Q4660*1000+$R4660*100+$K4660)</f>
        <v>0</v>
      </c>
      <c r="T4660" s="37" t="str">
        <f aca="false">IF($A4660="","",IF($B4660="","NO ACCOUNT",IF($Q4660=0,"UNMAPPED",IF($R4660=-1,"OUTSIDE FY RANGE","OK"))))</f>
        <v/>
      </c>
      <c r="U4660" s="40" t="str">
        <f aca="false">IF($A4660="","",$B4660&amp;"|"&amp;TEXT($A4660,"yyyymmdd")&amp;"|"&amp;TEXT($I4660,"0.00"))</f>
        <v/>
      </c>
      <c r="V4660" s="35" t="str">
        <f aca="false">IF($A4660="","",COUNTIF($U$8:$U$5007,$U4660))</f>
        <v/>
      </c>
    </row>
    <row r="4661" customFormat="false" ht="15" hidden="false" customHeight="false" outlineLevel="0" collapsed="false">
      <c r="A4661" s="31"/>
      <c r="B4661" s="32"/>
      <c r="C4661" s="32"/>
      <c r="D4661" s="32"/>
      <c r="E4661" s="32"/>
      <c r="F4661" s="32"/>
      <c r="G4661" s="33"/>
      <c r="H4661" s="33"/>
      <c r="I4661" s="34" t="str">
        <f aca="false">IF($A4661="","",$G4661-$H4661)</f>
        <v/>
      </c>
      <c r="J4661" s="35" t="str">
        <f aca="false">IF($A4661="","",IF(Setup!$B$6=1,YEAR($A4661),YEAR($A4661)+IF(MONTH($A4661)&gt;=Setup!$B$6,1,0)))</f>
        <v/>
      </c>
      <c r="K4661" s="35" t="str">
        <f aca="false">IF($A4661="","",MOD(MONTH($A4661)-Setup!$B$6+12,12)+1)</f>
        <v/>
      </c>
      <c r="L4661" s="36" t="str">
        <f aca="false">IF($A4661="","",TEXT($A4661,"MMM-YY"))</f>
        <v/>
      </c>
      <c r="M4661" s="37" t="str">
        <f aca="false">IF($A4661="","",IF($Q4661=0,"UNMAPPED",INDEX(COA_Mapping!$C$7:$C$256,$Q4661)))</f>
        <v/>
      </c>
      <c r="N4661" s="38" t="str">
        <f aca="false">IF($A4661="","",IF($Q4661=0,"",INDEX(COA_Mapping!$E$7:$E$256,$Q4661)))</f>
        <v/>
      </c>
      <c r="O4661" s="38" t="n">
        <f aca="false">IF($A4661="",1,IF($Q4661=0,1,INDEX(COA_Mapping!$F$7:$F$256,$Q4661)))</f>
        <v>1</v>
      </c>
      <c r="P4661" s="34" t="str">
        <f aca="false">IF($A4661="","",$I4661*$O4661)</f>
        <v/>
      </c>
      <c r="Q4661" s="39" t="n">
        <f aca="false">IF($B4661="",0,IFERROR(MATCH($B4661,COA_Mapping!$A$7:$A$256,0),0))</f>
        <v>0</v>
      </c>
      <c r="R4661" s="39" t="n">
        <f aca="false">IF($A4661="",-1,IF($J4661=Setup!$B$7,1,IF($J4661=Setup!$B$9,0,-1)))</f>
        <v>-1</v>
      </c>
      <c r="S4661" s="35" t="n">
        <f aca="false">IF(OR($A4661="",$Q4661=0,$R4661=-1),0,$Q4661*1000+$R4661*100+$K4661)</f>
        <v>0</v>
      </c>
      <c r="T4661" s="37" t="str">
        <f aca="false">IF($A4661="","",IF($B4661="","NO ACCOUNT",IF($Q4661=0,"UNMAPPED",IF($R4661=-1,"OUTSIDE FY RANGE","OK"))))</f>
        <v/>
      </c>
      <c r="U4661" s="40" t="str">
        <f aca="false">IF($A4661="","",$B4661&amp;"|"&amp;TEXT($A4661,"yyyymmdd")&amp;"|"&amp;TEXT($I4661,"0.00"))</f>
        <v/>
      </c>
      <c r="V4661" s="35" t="str">
        <f aca="false">IF($A4661="","",COUNTIF($U$8:$U$5007,$U4661))</f>
        <v/>
      </c>
    </row>
    <row r="4662" customFormat="false" ht="15" hidden="false" customHeight="false" outlineLevel="0" collapsed="false">
      <c r="A4662" s="31"/>
      <c r="B4662" s="32"/>
      <c r="C4662" s="32"/>
      <c r="D4662" s="32"/>
      <c r="E4662" s="32"/>
      <c r="F4662" s="32"/>
      <c r="G4662" s="33"/>
      <c r="H4662" s="33"/>
      <c r="I4662" s="34" t="str">
        <f aca="false">IF($A4662="","",$G4662-$H4662)</f>
        <v/>
      </c>
      <c r="J4662" s="35" t="str">
        <f aca="false">IF($A4662="","",IF(Setup!$B$6=1,YEAR($A4662),YEAR($A4662)+IF(MONTH($A4662)&gt;=Setup!$B$6,1,0)))</f>
        <v/>
      </c>
      <c r="K4662" s="35" t="str">
        <f aca="false">IF($A4662="","",MOD(MONTH($A4662)-Setup!$B$6+12,12)+1)</f>
        <v/>
      </c>
      <c r="L4662" s="36" t="str">
        <f aca="false">IF($A4662="","",TEXT($A4662,"MMM-YY"))</f>
        <v/>
      </c>
      <c r="M4662" s="37" t="str">
        <f aca="false">IF($A4662="","",IF($Q4662=0,"UNMAPPED",INDEX(COA_Mapping!$C$7:$C$256,$Q4662)))</f>
        <v/>
      </c>
      <c r="N4662" s="38" t="str">
        <f aca="false">IF($A4662="","",IF($Q4662=0,"",INDEX(COA_Mapping!$E$7:$E$256,$Q4662)))</f>
        <v/>
      </c>
      <c r="O4662" s="38" t="n">
        <f aca="false">IF($A4662="",1,IF($Q4662=0,1,INDEX(COA_Mapping!$F$7:$F$256,$Q4662)))</f>
        <v>1</v>
      </c>
      <c r="P4662" s="34" t="str">
        <f aca="false">IF($A4662="","",$I4662*$O4662)</f>
        <v/>
      </c>
      <c r="Q4662" s="39" t="n">
        <f aca="false">IF($B4662="",0,IFERROR(MATCH($B4662,COA_Mapping!$A$7:$A$256,0),0))</f>
        <v>0</v>
      </c>
      <c r="R4662" s="39" t="n">
        <f aca="false">IF($A4662="",-1,IF($J4662=Setup!$B$7,1,IF($J4662=Setup!$B$9,0,-1)))</f>
        <v>-1</v>
      </c>
      <c r="S4662" s="35" t="n">
        <f aca="false">IF(OR($A4662="",$Q4662=0,$R4662=-1),0,$Q4662*1000+$R4662*100+$K4662)</f>
        <v>0</v>
      </c>
      <c r="T4662" s="37" t="str">
        <f aca="false">IF($A4662="","",IF($B4662="","NO ACCOUNT",IF($Q4662=0,"UNMAPPED",IF($R4662=-1,"OUTSIDE FY RANGE","OK"))))</f>
        <v/>
      </c>
      <c r="U4662" s="40" t="str">
        <f aca="false">IF($A4662="","",$B4662&amp;"|"&amp;TEXT($A4662,"yyyymmdd")&amp;"|"&amp;TEXT($I4662,"0.00"))</f>
        <v/>
      </c>
      <c r="V4662" s="35" t="str">
        <f aca="false">IF($A4662="","",COUNTIF($U$8:$U$5007,$U4662))</f>
        <v/>
      </c>
    </row>
    <row r="4663" customFormat="false" ht="15" hidden="false" customHeight="false" outlineLevel="0" collapsed="false">
      <c r="A4663" s="31"/>
      <c r="B4663" s="32"/>
      <c r="C4663" s="32"/>
      <c r="D4663" s="32"/>
      <c r="E4663" s="32"/>
      <c r="F4663" s="32"/>
      <c r="G4663" s="33"/>
      <c r="H4663" s="33"/>
      <c r="I4663" s="34" t="str">
        <f aca="false">IF($A4663="","",$G4663-$H4663)</f>
        <v/>
      </c>
      <c r="J4663" s="35" t="str">
        <f aca="false">IF($A4663="","",IF(Setup!$B$6=1,YEAR($A4663),YEAR($A4663)+IF(MONTH($A4663)&gt;=Setup!$B$6,1,0)))</f>
        <v/>
      </c>
      <c r="K4663" s="35" t="str">
        <f aca="false">IF($A4663="","",MOD(MONTH($A4663)-Setup!$B$6+12,12)+1)</f>
        <v/>
      </c>
      <c r="L4663" s="36" t="str">
        <f aca="false">IF($A4663="","",TEXT($A4663,"MMM-YY"))</f>
        <v/>
      </c>
      <c r="M4663" s="37" t="str">
        <f aca="false">IF($A4663="","",IF($Q4663=0,"UNMAPPED",INDEX(COA_Mapping!$C$7:$C$256,$Q4663)))</f>
        <v/>
      </c>
      <c r="N4663" s="38" t="str">
        <f aca="false">IF($A4663="","",IF($Q4663=0,"",INDEX(COA_Mapping!$E$7:$E$256,$Q4663)))</f>
        <v/>
      </c>
      <c r="O4663" s="38" t="n">
        <f aca="false">IF($A4663="",1,IF($Q4663=0,1,INDEX(COA_Mapping!$F$7:$F$256,$Q4663)))</f>
        <v>1</v>
      </c>
      <c r="P4663" s="34" t="str">
        <f aca="false">IF($A4663="","",$I4663*$O4663)</f>
        <v/>
      </c>
      <c r="Q4663" s="39" t="n">
        <f aca="false">IF($B4663="",0,IFERROR(MATCH($B4663,COA_Mapping!$A$7:$A$256,0),0))</f>
        <v>0</v>
      </c>
      <c r="R4663" s="39" t="n">
        <f aca="false">IF($A4663="",-1,IF($J4663=Setup!$B$7,1,IF($J4663=Setup!$B$9,0,-1)))</f>
        <v>-1</v>
      </c>
      <c r="S4663" s="35" t="n">
        <f aca="false">IF(OR($A4663="",$Q4663=0,$R4663=-1),0,$Q4663*1000+$R4663*100+$K4663)</f>
        <v>0</v>
      </c>
      <c r="T4663" s="37" t="str">
        <f aca="false">IF($A4663="","",IF($B4663="","NO ACCOUNT",IF($Q4663=0,"UNMAPPED",IF($R4663=-1,"OUTSIDE FY RANGE","OK"))))</f>
        <v/>
      </c>
      <c r="U4663" s="40" t="str">
        <f aca="false">IF($A4663="","",$B4663&amp;"|"&amp;TEXT($A4663,"yyyymmdd")&amp;"|"&amp;TEXT($I4663,"0.00"))</f>
        <v/>
      </c>
      <c r="V4663" s="35" t="str">
        <f aca="false">IF($A4663="","",COUNTIF($U$8:$U$5007,$U4663))</f>
        <v/>
      </c>
    </row>
    <row r="4664" customFormat="false" ht="15" hidden="false" customHeight="false" outlineLevel="0" collapsed="false">
      <c r="A4664" s="31"/>
      <c r="B4664" s="32"/>
      <c r="C4664" s="32"/>
      <c r="D4664" s="32"/>
      <c r="E4664" s="32"/>
      <c r="F4664" s="32"/>
      <c r="G4664" s="33"/>
      <c r="H4664" s="33"/>
      <c r="I4664" s="34" t="str">
        <f aca="false">IF($A4664="","",$G4664-$H4664)</f>
        <v/>
      </c>
      <c r="J4664" s="35" t="str">
        <f aca="false">IF($A4664="","",IF(Setup!$B$6=1,YEAR($A4664),YEAR($A4664)+IF(MONTH($A4664)&gt;=Setup!$B$6,1,0)))</f>
        <v/>
      </c>
      <c r="K4664" s="35" t="str">
        <f aca="false">IF($A4664="","",MOD(MONTH($A4664)-Setup!$B$6+12,12)+1)</f>
        <v/>
      </c>
      <c r="L4664" s="36" t="str">
        <f aca="false">IF($A4664="","",TEXT($A4664,"MMM-YY"))</f>
        <v/>
      </c>
      <c r="M4664" s="37" t="str">
        <f aca="false">IF($A4664="","",IF($Q4664=0,"UNMAPPED",INDEX(COA_Mapping!$C$7:$C$256,$Q4664)))</f>
        <v/>
      </c>
      <c r="N4664" s="38" t="str">
        <f aca="false">IF($A4664="","",IF($Q4664=0,"",INDEX(COA_Mapping!$E$7:$E$256,$Q4664)))</f>
        <v/>
      </c>
      <c r="O4664" s="38" t="n">
        <f aca="false">IF($A4664="",1,IF($Q4664=0,1,INDEX(COA_Mapping!$F$7:$F$256,$Q4664)))</f>
        <v>1</v>
      </c>
      <c r="P4664" s="34" t="str">
        <f aca="false">IF($A4664="","",$I4664*$O4664)</f>
        <v/>
      </c>
      <c r="Q4664" s="39" t="n">
        <f aca="false">IF($B4664="",0,IFERROR(MATCH($B4664,COA_Mapping!$A$7:$A$256,0),0))</f>
        <v>0</v>
      </c>
      <c r="R4664" s="39" t="n">
        <f aca="false">IF($A4664="",-1,IF($J4664=Setup!$B$7,1,IF($J4664=Setup!$B$9,0,-1)))</f>
        <v>-1</v>
      </c>
      <c r="S4664" s="35" t="n">
        <f aca="false">IF(OR($A4664="",$Q4664=0,$R4664=-1),0,$Q4664*1000+$R4664*100+$K4664)</f>
        <v>0</v>
      </c>
      <c r="T4664" s="37" t="str">
        <f aca="false">IF($A4664="","",IF($B4664="","NO ACCOUNT",IF($Q4664=0,"UNMAPPED",IF($R4664=-1,"OUTSIDE FY RANGE","OK"))))</f>
        <v/>
      </c>
      <c r="U4664" s="40" t="str">
        <f aca="false">IF($A4664="","",$B4664&amp;"|"&amp;TEXT($A4664,"yyyymmdd")&amp;"|"&amp;TEXT($I4664,"0.00"))</f>
        <v/>
      </c>
      <c r="V4664" s="35" t="str">
        <f aca="false">IF($A4664="","",COUNTIF($U$8:$U$5007,$U4664))</f>
        <v/>
      </c>
    </row>
    <row r="4665" customFormat="false" ht="15" hidden="false" customHeight="false" outlineLevel="0" collapsed="false">
      <c r="A4665" s="31"/>
      <c r="B4665" s="32"/>
      <c r="C4665" s="32"/>
      <c r="D4665" s="32"/>
      <c r="E4665" s="32"/>
      <c r="F4665" s="32"/>
      <c r="G4665" s="33"/>
      <c r="H4665" s="33"/>
      <c r="I4665" s="34" t="str">
        <f aca="false">IF($A4665="","",$G4665-$H4665)</f>
        <v/>
      </c>
      <c r="J4665" s="35" t="str">
        <f aca="false">IF($A4665="","",IF(Setup!$B$6=1,YEAR($A4665),YEAR($A4665)+IF(MONTH($A4665)&gt;=Setup!$B$6,1,0)))</f>
        <v/>
      </c>
      <c r="K4665" s="35" t="str">
        <f aca="false">IF($A4665="","",MOD(MONTH($A4665)-Setup!$B$6+12,12)+1)</f>
        <v/>
      </c>
      <c r="L4665" s="36" t="str">
        <f aca="false">IF($A4665="","",TEXT($A4665,"MMM-YY"))</f>
        <v/>
      </c>
      <c r="M4665" s="37" t="str">
        <f aca="false">IF($A4665="","",IF($Q4665=0,"UNMAPPED",INDEX(COA_Mapping!$C$7:$C$256,$Q4665)))</f>
        <v/>
      </c>
      <c r="N4665" s="38" t="str">
        <f aca="false">IF($A4665="","",IF($Q4665=0,"",INDEX(COA_Mapping!$E$7:$E$256,$Q4665)))</f>
        <v/>
      </c>
      <c r="O4665" s="38" t="n">
        <f aca="false">IF($A4665="",1,IF($Q4665=0,1,INDEX(COA_Mapping!$F$7:$F$256,$Q4665)))</f>
        <v>1</v>
      </c>
      <c r="P4665" s="34" t="str">
        <f aca="false">IF($A4665="","",$I4665*$O4665)</f>
        <v/>
      </c>
      <c r="Q4665" s="39" t="n">
        <f aca="false">IF($B4665="",0,IFERROR(MATCH($B4665,COA_Mapping!$A$7:$A$256,0),0))</f>
        <v>0</v>
      </c>
      <c r="R4665" s="39" t="n">
        <f aca="false">IF($A4665="",-1,IF($J4665=Setup!$B$7,1,IF($J4665=Setup!$B$9,0,-1)))</f>
        <v>-1</v>
      </c>
      <c r="S4665" s="35" t="n">
        <f aca="false">IF(OR($A4665="",$Q4665=0,$R4665=-1),0,$Q4665*1000+$R4665*100+$K4665)</f>
        <v>0</v>
      </c>
      <c r="T4665" s="37" t="str">
        <f aca="false">IF($A4665="","",IF($B4665="","NO ACCOUNT",IF($Q4665=0,"UNMAPPED",IF($R4665=-1,"OUTSIDE FY RANGE","OK"))))</f>
        <v/>
      </c>
      <c r="U4665" s="40" t="str">
        <f aca="false">IF($A4665="","",$B4665&amp;"|"&amp;TEXT($A4665,"yyyymmdd")&amp;"|"&amp;TEXT($I4665,"0.00"))</f>
        <v/>
      </c>
      <c r="V4665" s="35" t="str">
        <f aca="false">IF($A4665="","",COUNTIF($U$8:$U$5007,$U4665))</f>
        <v/>
      </c>
    </row>
    <row r="4666" customFormat="false" ht="15" hidden="false" customHeight="false" outlineLevel="0" collapsed="false">
      <c r="A4666" s="31"/>
      <c r="B4666" s="32"/>
      <c r="C4666" s="32"/>
      <c r="D4666" s="32"/>
      <c r="E4666" s="32"/>
      <c r="F4666" s="32"/>
      <c r="G4666" s="33"/>
      <c r="H4666" s="33"/>
      <c r="I4666" s="34" t="str">
        <f aca="false">IF($A4666="","",$G4666-$H4666)</f>
        <v/>
      </c>
      <c r="J4666" s="35" t="str">
        <f aca="false">IF($A4666="","",IF(Setup!$B$6=1,YEAR($A4666),YEAR($A4666)+IF(MONTH($A4666)&gt;=Setup!$B$6,1,0)))</f>
        <v/>
      </c>
      <c r="K4666" s="35" t="str">
        <f aca="false">IF($A4666="","",MOD(MONTH($A4666)-Setup!$B$6+12,12)+1)</f>
        <v/>
      </c>
      <c r="L4666" s="36" t="str">
        <f aca="false">IF($A4666="","",TEXT($A4666,"MMM-YY"))</f>
        <v/>
      </c>
      <c r="M4666" s="37" t="str">
        <f aca="false">IF($A4666="","",IF($Q4666=0,"UNMAPPED",INDEX(COA_Mapping!$C$7:$C$256,$Q4666)))</f>
        <v/>
      </c>
      <c r="N4666" s="38" t="str">
        <f aca="false">IF($A4666="","",IF($Q4666=0,"",INDEX(COA_Mapping!$E$7:$E$256,$Q4666)))</f>
        <v/>
      </c>
      <c r="O4666" s="38" t="n">
        <f aca="false">IF($A4666="",1,IF($Q4666=0,1,INDEX(COA_Mapping!$F$7:$F$256,$Q4666)))</f>
        <v>1</v>
      </c>
      <c r="P4666" s="34" t="str">
        <f aca="false">IF($A4666="","",$I4666*$O4666)</f>
        <v/>
      </c>
      <c r="Q4666" s="39" t="n">
        <f aca="false">IF($B4666="",0,IFERROR(MATCH($B4666,COA_Mapping!$A$7:$A$256,0),0))</f>
        <v>0</v>
      </c>
      <c r="R4666" s="39" t="n">
        <f aca="false">IF($A4666="",-1,IF($J4666=Setup!$B$7,1,IF($J4666=Setup!$B$9,0,-1)))</f>
        <v>-1</v>
      </c>
      <c r="S4666" s="35" t="n">
        <f aca="false">IF(OR($A4666="",$Q4666=0,$R4666=-1),0,$Q4666*1000+$R4666*100+$K4666)</f>
        <v>0</v>
      </c>
      <c r="T4666" s="37" t="str">
        <f aca="false">IF($A4666="","",IF($B4666="","NO ACCOUNT",IF($Q4666=0,"UNMAPPED",IF($R4666=-1,"OUTSIDE FY RANGE","OK"))))</f>
        <v/>
      </c>
      <c r="U4666" s="40" t="str">
        <f aca="false">IF($A4666="","",$B4666&amp;"|"&amp;TEXT($A4666,"yyyymmdd")&amp;"|"&amp;TEXT($I4666,"0.00"))</f>
        <v/>
      </c>
      <c r="V4666" s="35" t="str">
        <f aca="false">IF($A4666="","",COUNTIF($U$8:$U$5007,$U4666))</f>
        <v/>
      </c>
    </row>
    <row r="4667" customFormat="false" ht="15" hidden="false" customHeight="false" outlineLevel="0" collapsed="false">
      <c r="A4667" s="31"/>
      <c r="B4667" s="32"/>
      <c r="C4667" s="32"/>
      <c r="D4667" s="32"/>
      <c r="E4667" s="32"/>
      <c r="F4667" s="32"/>
      <c r="G4667" s="33"/>
      <c r="H4667" s="33"/>
      <c r="I4667" s="34" t="str">
        <f aca="false">IF($A4667="","",$G4667-$H4667)</f>
        <v/>
      </c>
      <c r="J4667" s="35" t="str">
        <f aca="false">IF($A4667="","",IF(Setup!$B$6=1,YEAR($A4667),YEAR($A4667)+IF(MONTH($A4667)&gt;=Setup!$B$6,1,0)))</f>
        <v/>
      </c>
      <c r="K4667" s="35" t="str">
        <f aca="false">IF($A4667="","",MOD(MONTH($A4667)-Setup!$B$6+12,12)+1)</f>
        <v/>
      </c>
      <c r="L4667" s="36" t="str">
        <f aca="false">IF($A4667="","",TEXT($A4667,"MMM-YY"))</f>
        <v/>
      </c>
      <c r="M4667" s="37" t="str">
        <f aca="false">IF($A4667="","",IF($Q4667=0,"UNMAPPED",INDEX(COA_Mapping!$C$7:$C$256,$Q4667)))</f>
        <v/>
      </c>
      <c r="N4667" s="38" t="str">
        <f aca="false">IF($A4667="","",IF($Q4667=0,"",INDEX(COA_Mapping!$E$7:$E$256,$Q4667)))</f>
        <v/>
      </c>
      <c r="O4667" s="38" t="n">
        <f aca="false">IF($A4667="",1,IF($Q4667=0,1,INDEX(COA_Mapping!$F$7:$F$256,$Q4667)))</f>
        <v>1</v>
      </c>
      <c r="P4667" s="34" t="str">
        <f aca="false">IF($A4667="","",$I4667*$O4667)</f>
        <v/>
      </c>
      <c r="Q4667" s="39" t="n">
        <f aca="false">IF($B4667="",0,IFERROR(MATCH($B4667,COA_Mapping!$A$7:$A$256,0),0))</f>
        <v>0</v>
      </c>
      <c r="R4667" s="39" t="n">
        <f aca="false">IF($A4667="",-1,IF($J4667=Setup!$B$7,1,IF($J4667=Setup!$B$9,0,-1)))</f>
        <v>-1</v>
      </c>
      <c r="S4667" s="35" t="n">
        <f aca="false">IF(OR($A4667="",$Q4667=0,$R4667=-1),0,$Q4667*1000+$R4667*100+$K4667)</f>
        <v>0</v>
      </c>
      <c r="T4667" s="37" t="str">
        <f aca="false">IF($A4667="","",IF($B4667="","NO ACCOUNT",IF($Q4667=0,"UNMAPPED",IF($R4667=-1,"OUTSIDE FY RANGE","OK"))))</f>
        <v/>
      </c>
      <c r="U4667" s="40" t="str">
        <f aca="false">IF($A4667="","",$B4667&amp;"|"&amp;TEXT($A4667,"yyyymmdd")&amp;"|"&amp;TEXT($I4667,"0.00"))</f>
        <v/>
      </c>
      <c r="V4667" s="35" t="str">
        <f aca="false">IF($A4667="","",COUNTIF($U$8:$U$5007,$U4667))</f>
        <v/>
      </c>
    </row>
    <row r="4668" customFormat="false" ht="15" hidden="false" customHeight="false" outlineLevel="0" collapsed="false">
      <c r="A4668" s="31"/>
      <c r="B4668" s="32"/>
      <c r="C4668" s="32"/>
      <c r="D4668" s="32"/>
      <c r="E4668" s="32"/>
      <c r="F4668" s="32"/>
      <c r="G4668" s="33"/>
      <c r="H4668" s="33"/>
      <c r="I4668" s="34" t="str">
        <f aca="false">IF($A4668="","",$G4668-$H4668)</f>
        <v/>
      </c>
      <c r="J4668" s="35" t="str">
        <f aca="false">IF($A4668="","",IF(Setup!$B$6=1,YEAR($A4668),YEAR($A4668)+IF(MONTH($A4668)&gt;=Setup!$B$6,1,0)))</f>
        <v/>
      </c>
      <c r="K4668" s="35" t="str">
        <f aca="false">IF($A4668="","",MOD(MONTH($A4668)-Setup!$B$6+12,12)+1)</f>
        <v/>
      </c>
      <c r="L4668" s="36" t="str">
        <f aca="false">IF($A4668="","",TEXT($A4668,"MMM-YY"))</f>
        <v/>
      </c>
      <c r="M4668" s="37" t="str">
        <f aca="false">IF($A4668="","",IF($Q4668=0,"UNMAPPED",INDEX(COA_Mapping!$C$7:$C$256,$Q4668)))</f>
        <v/>
      </c>
      <c r="N4668" s="38" t="str">
        <f aca="false">IF($A4668="","",IF($Q4668=0,"",INDEX(COA_Mapping!$E$7:$E$256,$Q4668)))</f>
        <v/>
      </c>
      <c r="O4668" s="38" t="n">
        <f aca="false">IF($A4668="",1,IF($Q4668=0,1,INDEX(COA_Mapping!$F$7:$F$256,$Q4668)))</f>
        <v>1</v>
      </c>
      <c r="P4668" s="34" t="str">
        <f aca="false">IF($A4668="","",$I4668*$O4668)</f>
        <v/>
      </c>
      <c r="Q4668" s="39" t="n">
        <f aca="false">IF($B4668="",0,IFERROR(MATCH($B4668,COA_Mapping!$A$7:$A$256,0),0))</f>
        <v>0</v>
      </c>
      <c r="R4668" s="39" t="n">
        <f aca="false">IF($A4668="",-1,IF($J4668=Setup!$B$7,1,IF($J4668=Setup!$B$9,0,-1)))</f>
        <v>-1</v>
      </c>
      <c r="S4668" s="35" t="n">
        <f aca="false">IF(OR($A4668="",$Q4668=0,$R4668=-1),0,$Q4668*1000+$R4668*100+$K4668)</f>
        <v>0</v>
      </c>
      <c r="T4668" s="37" t="str">
        <f aca="false">IF($A4668="","",IF($B4668="","NO ACCOUNT",IF($Q4668=0,"UNMAPPED",IF($R4668=-1,"OUTSIDE FY RANGE","OK"))))</f>
        <v/>
      </c>
      <c r="U4668" s="40" t="str">
        <f aca="false">IF($A4668="","",$B4668&amp;"|"&amp;TEXT($A4668,"yyyymmdd")&amp;"|"&amp;TEXT($I4668,"0.00"))</f>
        <v/>
      </c>
      <c r="V4668" s="35" t="str">
        <f aca="false">IF($A4668="","",COUNTIF($U$8:$U$5007,$U4668))</f>
        <v/>
      </c>
    </row>
    <row r="4669" customFormat="false" ht="15" hidden="false" customHeight="false" outlineLevel="0" collapsed="false">
      <c r="A4669" s="31"/>
      <c r="B4669" s="32"/>
      <c r="C4669" s="32"/>
      <c r="D4669" s="32"/>
      <c r="E4669" s="32"/>
      <c r="F4669" s="32"/>
      <c r="G4669" s="33"/>
      <c r="H4669" s="33"/>
      <c r="I4669" s="34" t="str">
        <f aca="false">IF($A4669="","",$G4669-$H4669)</f>
        <v/>
      </c>
      <c r="J4669" s="35" t="str">
        <f aca="false">IF($A4669="","",IF(Setup!$B$6=1,YEAR($A4669),YEAR($A4669)+IF(MONTH($A4669)&gt;=Setup!$B$6,1,0)))</f>
        <v/>
      </c>
      <c r="K4669" s="35" t="str">
        <f aca="false">IF($A4669="","",MOD(MONTH($A4669)-Setup!$B$6+12,12)+1)</f>
        <v/>
      </c>
      <c r="L4669" s="36" t="str">
        <f aca="false">IF($A4669="","",TEXT($A4669,"MMM-YY"))</f>
        <v/>
      </c>
      <c r="M4669" s="37" t="str">
        <f aca="false">IF($A4669="","",IF($Q4669=0,"UNMAPPED",INDEX(COA_Mapping!$C$7:$C$256,$Q4669)))</f>
        <v/>
      </c>
      <c r="N4669" s="38" t="str">
        <f aca="false">IF($A4669="","",IF($Q4669=0,"",INDEX(COA_Mapping!$E$7:$E$256,$Q4669)))</f>
        <v/>
      </c>
      <c r="O4669" s="38" t="n">
        <f aca="false">IF($A4669="",1,IF($Q4669=0,1,INDEX(COA_Mapping!$F$7:$F$256,$Q4669)))</f>
        <v>1</v>
      </c>
      <c r="P4669" s="34" t="str">
        <f aca="false">IF($A4669="","",$I4669*$O4669)</f>
        <v/>
      </c>
      <c r="Q4669" s="39" t="n">
        <f aca="false">IF($B4669="",0,IFERROR(MATCH($B4669,COA_Mapping!$A$7:$A$256,0),0))</f>
        <v>0</v>
      </c>
      <c r="R4669" s="39" t="n">
        <f aca="false">IF($A4669="",-1,IF($J4669=Setup!$B$7,1,IF($J4669=Setup!$B$9,0,-1)))</f>
        <v>-1</v>
      </c>
      <c r="S4669" s="35" t="n">
        <f aca="false">IF(OR($A4669="",$Q4669=0,$R4669=-1),0,$Q4669*1000+$R4669*100+$K4669)</f>
        <v>0</v>
      </c>
      <c r="T4669" s="37" t="str">
        <f aca="false">IF($A4669="","",IF($B4669="","NO ACCOUNT",IF($Q4669=0,"UNMAPPED",IF($R4669=-1,"OUTSIDE FY RANGE","OK"))))</f>
        <v/>
      </c>
      <c r="U4669" s="40" t="str">
        <f aca="false">IF($A4669="","",$B4669&amp;"|"&amp;TEXT($A4669,"yyyymmdd")&amp;"|"&amp;TEXT($I4669,"0.00"))</f>
        <v/>
      </c>
      <c r="V4669" s="35" t="str">
        <f aca="false">IF($A4669="","",COUNTIF($U$8:$U$5007,$U4669))</f>
        <v/>
      </c>
    </row>
    <row r="4670" customFormat="false" ht="15" hidden="false" customHeight="false" outlineLevel="0" collapsed="false">
      <c r="A4670" s="31"/>
      <c r="B4670" s="32"/>
      <c r="C4670" s="32"/>
      <c r="D4670" s="32"/>
      <c r="E4670" s="32"/>
      <c r="F4670" s="32"/>
      <c r="G4670" s="33"/>
      <c r="H4670" s="33"/>
      <c r="I4670" s="34" t="str">
        <f aca="false">IF($A4670="","",$G4670-$H4670)</f>
        <v/>
      </c>
      <c r="J4670" s="35" t="str">
        <f aca="false">IF($A4670="","",IF(Setup!$B$6=1,YEAR($A4670),YEAR($A4670)+IF(MONTH($A4670)&gt;=Setup!$B$6,1,0)))</f>
        <v/>
      </c>
      <c r="K4670" s="35" t="str">
        <f aca="false">IF($A4670="","",MOD(MONTH($A4670)-Setup!$B$6+12,12)+1)</f>
        <v/>
      </c>
      <c r="L4670" s="36" t="str">
        <f aca="false">IF($A4670="","",TEXT($A4670,"MMM-YY"))</f>
        <v/>
      </c>
      <c r="M4670" s="37" t="str">
        <f aca="false">IF($A4670="","",IF($Q4670=0,"UNMAPPED",INDEX(COA_Mapping!$C$7:$C$256,$Q4670)))</f>
        <v/>
      </c>
      <c r="N4670" s="38" t="str">
        <f aca="false">IF($A4670="","",IF($Q4670=0,"",INDEX(COA_Mapping!$E$7:$E$256,$Q4670)))</f>
        <v/>
      </c>
      <c r="O4670" s="38" t="n">
        <f aca="false">IF($A4670="",1,IF($Q4670=0,1,INDEX(COA_Mapping!$F$7:$F$256,$Q4670)))</f>
        <v>1</v>
      </c>
      <c r="P4670" s="34" t="str">
        <f aca="false">IF($A4670="","",$I4670*$O4670)</f>
        <v/>
      </c>
      <c r="Q4670" s="39" t="n">
        <f aca="false">IF($B4670="",0,IFERROR(MATCH($B4670,COA_Mapping!$A$7:$A$256,0),0))</f>
        <v>0</v>
      </c>
      <c r="R4670" s="39" t="n">
        <f aca="false">IF($A4670="",-1,IF($J4670=Setup!$B$7,1,IF($J4670=Setup!$B$9,0,-1)))</f>
        <v>-1</v>
      </c>
      <c r="S4670" s="35" t="n">
        <f aca="false">IF(OR($A4670="",$Q4670=0,$R4670=-1),0,$Q4670*1000+$R4670*100+$K4670)</f>
        <v>0</v>
      </c>
      <c r="T4670" s="37" t="str">
        <f aca="false">IF($A4670="","",IF($B4670="","NO ACCOUNT",IF($Q4670=0,"UNMAPPED",IF($R4670=-1,"OUTSIDE FY RANGE","OK"))))</f>
        <v/>
      </c>
      <c r="U4670" s="40" t="str">
        <f aca="false">IF($A4670="","",$B4670&amp;"|"&amp;TEXT($A4670,"yyyymmdd")&amp;"|"&amp;TEXT($I4670,"0.00"))</f>
        <v/>
      </c>
      <c r="V4670" s="35" t="str">
        <f aca="false">IF($A4670="","",COUNTIF($U$8:$U$5007,$U4670))</f>
        <v/>
      </c>
    </row>
    <row r="4671" customFormat="false" ht="15" hidden="false" customHeight="false" outlineLevel="0" collapsed="false">
      <c r="A4671" s="31"/>
      <c r="B4671" s="32"/>
      <c r="C4671" s="32"/>
      <c r="D4671" s="32"/>
      <c r="E4671" s="32"/>
      <c r="F4671" s="32"/>
      <c r="G4671" s="33"/>
      <c r="H4671" s="33"/>
      <c r="I4671" s="34" t="str">
        <f aca="false">IF($A4671="","",$G4671-$H4671)</f>
        <v/>
      </c>
      <c r="J4671" s="35" t="str">
        <f aca="false">IF($A4671="","",IF(Setup!$B$6=1,YEAR($A4671),YEAR($A4671)+IF(MONTH($A4671)&gt;=Setup!$B$6,1,0)))</f>
        <v/>
      </c>
      <c r="K4671" s="35" t="str">
        <f aca="false">IF($A4671="","",MOD(MONTH($A4671)-Setup!$B$6+12,12)+1)</f>
        <v/>
      </c>
      <c r="L4671" s="36" t="str">
        <f aca="false">IF($A4671="","",TEXT($A4671,"MMM-YY"))</f>
        <v/>
      </c>
      <c r="M4671" s="37" t="str">
        <f aca="false">IF($A4671="","",IF($Q4671=0,"UNMAPPED",INDEX(COA_Mapping!$C$7:$C$256,$Q4671)))</f>
        <v/>
      </c>
      <c r="N4671" s="38" t="str">
        <f aca="false">IF($A4671="","",IF($Q4671=0,"",INDEX(COA_Mapping!$E$7:$E$256,$Q4671)))</f>
        <v/>
      </c>
      <c r="O4671" s="38" t="n">
        <f aca="false">IF($A4671="",1,IF($Q4671=0,1,INDEX(COA_Mapping!$F$7:$F$256,$Q4671)))</f>
        <v>1</v>
      </c>
      <c r="P4671" s="34" t="str">
        <f aca="false">IF($A4671="","",$I4671*$O4671)</f>
        <v/>
      </c>
      <c r="Q4671" s="39" t="n">
        <f aca="false">IF($B4671="",0,IFERROR(MATCH($B4671,COA_Mapping!$A$7:$A$256,0),0))</f>
        <v>0</v>
      </c>
      <c r="R4671" s="39" t="n">
        <f aca="false">IF($A4671="",-1,IF($J4671=Setup!$B$7,1,IF($J4671=Setup!$B$9,0,-1)))</f>
        <v>-1</v>
      </c>
      <c r="S4671" s="35" t="n">
        <f aca="false">IF(OR($A4671="",$Q4671=0,$R4671=-1),0,$Q4671*1000+$R4671*100+$K4671)</f>
        <v>0</v>
      </c>
      <c r="T4671" s="37" t="str">
        <f aca="false">IF($A4671="","",IF($B4671="","NO ACCOUNT",IF($Q4671=0,"UNMAPPED",IF($R4671=-1,"OUTSIDE FY RANGE","OK"))))</f>
        <v/>
      </c>
      <c r="U4671" s="40" t="str">
        <f aca="false">IF($A4671="","",$B4671&amp;"|"&amp;TEXT($A4671,"yyyymmdd")&amp;"|"&amp;TEXT($I4671,"0.00"))</f>
        <v/>
      </c>
      <c r="V4671" s="35" t="str">
        <f aca="false">IF($A4671="","",COUNTIF($U$8:$U$5007,$U4671))</f>
        <v/>
      </c>
    </row>
    <row r="4672" customFormat="false" ht="15" hidden="false" customHeight="false" outlineLevel="0" collapsed="false">
      <c r="A4672" s="31"/>
      <c r="B4672" s="32"/>
      <c r="C4672" s="32"/>
      <c r="D4672" s="32"/>
      <c r="E4672" s="32"/>
      <c r="F4672" s="32"/>
      <c r="G4672" s="33"/>
      <c r="H4672" s="33"/>
      <c r="I4672" s="34" t="str">
        <f aca="false">IF($A4672="","",$G4672-$H4672)</f>
        <v/>
      </c>
      <c r="J4672" s="35" t="str">
        <f aca="false">IF($A4672="","",IF(Setup!$B$6=1,YEAR($A4672),YEAR($A4672)+IF(MONTH($A4672)&gt;=Setup!$B$6,1,0)))</f>
        <v/>
      </c>
      <c r="K4672" s="35" t="str">
        <f aca="false">IF($A4672="","",MOD(MONTH($A4672)-Setup!$B$6+12,12)+1)</f>
        <v/>
      </c>
      <c r="L4672" s="36" t="str">
        <f aca="false">IF($A4672="","",TEXT($A4672,"MMM-YY"))</f>
        <v/>
      </c>
      <c r="M4672" s="37" t="str">
        <f aca="false">IF($A4672="","",IF($Q4672=0,"UNMAPPED",INDEX(COA_Mapping!$C$7:$C$256,$Q4672)))</f>
        <v/>
      </c>
      <c r="N4672" s="38" t="str">
        <f aca="false">IF($A4672="","",IF($Q4672=0,"",INDEX(COA_Mapping!$E$7:$E$256,$Q4672)))</f>
        <v/>
      </c>
      <c r="O4672" s="38" t="n">
        <f aca="false">IF($A4672="",1,IF($Q4672=0,1,INDEX(COA_Mapping!$F$7:$F$256,$Q4672)))</f>
        <v>1</v>
      </c>
      <c r="P4672" s="34" t="str">
        <f aca="false">IF($A4672="","",$I4672*$O4672)</f>
        <v/>
      </c>
      <c r="Q4672" s="39" t="n">
        <f aca="false">IF($B4672="",0,IFERROR(MATCH($B4672,COA_Mapping!$A$7:$A$256,0),0))</f>
        <v>0</v>
      </c>
      <c r="R4672" s="39" t="n">
        <f aca="false">IF($A4672="",-1,IF($J4672=Setup!$B$7,1,IF($J4672=Setup!$B$9,0,-1)))</f>
        <v>-1</v>
      </c>
      <c r="S4672" s="35" t="n">
        <f aca="false">IF(OR($A4672="",$Q4672=0,$R4672=-1),0,$Q4672*1000+$R4672*100+$K4672)</f>
        <v>0</v>
      </c>
      <c r="T4672" s="37" t="str">
        <f aca="false">IF($A4672="","",IF($B4672="","NO ACCOUNT",IF($Q4672=0,"UNMAPPED",IF($R4672=-1,"OUTSIDE FY RANGE","OK"))))</f>
        <v/>
      </c>
      <c r="U4672" s="40" t="str">
        <f aca="false">IF($A4672="","",$B4672&amp;"|"&amp;TEXT($A4672,"yyyymmdd")&amp;"|"&amp;TEXT($I4672,"0.00"))</f>
        <v/>
      </c>
      <c r="V4672" s="35" t="str">
        <f aca="false">IF($A4672="","",COUNTIF($U$8:$U$5007,$U4672))</f>
        <v/>
      </c>
    </row>
    <row r="4673" customFormat="false" ht="15" hidden="false" customHeight="false" outlineLevel="0" collapsed="false">
      <c r="A4673" s="31"/>
      <c r="B4673" s="32"/>
      <c r="C4673" s="32"/>
      <c r="D4673" s="32"/>
      <c r="E4673" s="32"/>
      <c r="F4673" s="32"/>
      <c r="G4673" s="33"/>
      <c r="H4673" s="33"/>
      <c r="I4673" s="34" t="str">
        <f aca="false">IF($A4673="","",$G4673-$H4673)</f>
        <v/>
      </c>
      <c r="J4673" s="35" t="str">
        <f aca="false">IF($A4673="","",IF(Setup!$B$6=1,YEAR($A4673),YEAR($A4673)+IF(MONTH($A4673)&gt;=Setup!$B$6,1,0)))</f>
        <v/>
      </c>
      <c r="K4673" s="35" t="str">
        <f aca="false">IF($A4673="","",MOD(MONTH($A4673)-Setup!$B$6+12,12)+1)</f>
        <v/>
      </c>
      <c r="L4673" s="36" t="str">
        <f aca="false">IF($A4673="","",TEXT($A4673,"MMM-YY"))</f>
        <v/>
      </c>
      <c r="M4673" s="37" t="str">
        <f aca="false">IF($A4673="","",IF($Q4673=0,"UNMAPPED",INDEX(COA_Mapping!$C$7:$C$256,$Q4673)))</f>
        <v/>
      </c>
      <c r="N4673" s="38" t="str">
        <f aca="false">IF($A4673="","",IF($Q4673=0,"",INDEX(COA_Mapping!$E$7:$E$256,$Q4673)))</f>
        <v/>
      </c>
      <c r="O4673" s="38" t="n">
        <f aca="false">IF($A4673="",1,IF($Q4673=0,1,INDEX(COA_Mapping!$F$7:$F$256,$Q4673)))</f>
        <v>1</v>
      </c>
      <c r="P4673" s="34" t="str">
        <f aca="false">IF($A4673="","",$I4673*$O4673)</f>
        <v/>
      </c>
      <c r="Q4673" s="39" t="n">
        <f aca="false">IF($B4673="",0,IFERROR(MATCH($B4673,COA_Mapping!$A$7:$A$256,0),0))</f>
        <v>0</v>
      </c>
      <c r="R4673" s="39" t="n">
        <f aca="false">IF($A4673="",-1,IF($J4673=Setup!$B$7,1,IF($J4673=Setup!$B$9,0,-1)))</f>
        <v>-1</v>
      </c>
      <c r="S4673" s="35" t="n">
        <f aca="false">IF(OR($A4673="",$Q4673=0,$R4673=-1),0,$Q4673*1000+$R4673*100+$K4673)</f>
        <v>0</v>
      </c>
      <c r="T4673" s="37" t="str">
        <f aca="false">IF($A4673="","",IF($B4673="","NO ACCOUNT",IF($Q4673=0,"UNMAPPED",IF($R4673=-1,"OUTSIDE FY RANGE","OK"))))</f>
        <v/>
      </c>
      <c r="U4673" s="40" t="str">
        <f aca="false">IF($A4673="","",$B4673&amp;"|"&amp;TEXT($A4673,"yyyymmdd")&amp;"|"&amp;TEXT($I4673,"0.00"))</f>
        <v/>
      </c>
      <c r="V4673" s="35" t="str">
        <f aca="false">IF($A4673="","",COUNTIF($U$8:$U$5007,$U4673))</f>
        <v/>
      </c>
    </row>
    <row r="4674" customFormat="false" ht="15" hidden="false" customHeight="false" outlineLevel="0" collapsed="false">
      <c r="A4674" s="31"/>
      <c r="B4674" s="32"/>
      <c r="C4674" s="32"/>
      <c r="D4674" s="32"/>
      <c r="E4674" s="32"/>
      <c r="F4674" s="32"/>
      <c r="G4674" s="33"/>
      <c r="H4674" s="33"/>
      <c r="I4674" s="34" t="str">
        <f aca="false">IF($A4674="","",$G4674-$H4674)</f>
        <v/>
      </c>
      <c r="J4674" s="35" t="str">
        <f aca="false">IF($A4674="","",IF(Setup!$B$6=1,YEAR($A4674),YEAR($A4674)+IF(MONTH($A4674)&gt;=Setup!$B$6,1,0)))</f>
        <v/>
      </c>
      <c r="K4674" s="35" t="str">
        <f aca="false">IF($A4674="","",MOD(MONTH($A4674)-Setup!$B$6+12,12)+1)</f>
        <v/>
      </c>
      <c r="L4674" s="36" t="str">
        <f aca="false">IF($A4674="","",TEXT($A4674,"MMM-YY"))</f>
        <v/>
      </c>
      <c r="M4674" s="37" t="str">
        <f aca="false">IF($A4674="","",IF($Q4674=0,"UNMAPPED",INDEX(COA_Mapping!$C$7:$C$256,$Q4674)))</f>
        <v/>
      </c>
      <c r="N4674" s="38" t="str">
        <f aca="false">IF($A4674="","",IF($Q4674=0,"",INDEX(COA_Mapping!$E$7:$E$256,$Q4674)))</f>
        <v/>
      </c>
      <c r="O4674" s="38" t="n">
        <f aca="false">IF($A4674="",1,IF($Q4674=0,1,INDEX(COA_Mapping!$F$7:$F$256,$Q4674)))</f>
        <v>1</v>
      </c>
      <c r="P4674" s="34" t="str">
        <f aca="false">IF($A4674="","",$I4674*$O4674)</f>
        <v/>
      </c>
      <c r="Q4674" s="39" t="n">
        <f aca="false">IF($B4674="",0,IFERROR(MATCH($B4674,COA_Mapping!$A$7:$A$256,0),0))</f>
        <v>0</v>
      </c>
      <c r="R4674" s="39" t="n">
        <f aca="false">IF($A4674="",-1,IF($J4674=Setup!$B$7,1,IF($J4674=Setup!$B$9,0,-1)))</f>
        <v>-1</v>
      </c>
      <c r="S4674" s="35" t="n">
        <f aca="false">IF(OR($A4674="",$Q4674=0,$R4674=-1),0,$Q4674*1000+$R4674*100+$K4674)</f>
        <v>0</v>
      </c>
      <c r="T4674" s="37" t="str">
        <f aca="false">IF($A4674="","",IF($B4674="","NO ACCOUNT",IF($Q4674=0,"UNMAPPED",IF($R4674=-1,"OUTSIDE FY RANGE","OK"))))</f>
        <v/>
      </c>
      <c r="U4674" s="40" t="str">
        <f aca="false">IF($A4674="","",$B4674&amp;"|"&amp;TEXT($A4674,"yyyymmdd")&amp;"|"&amp;TEXT($I4674,"0.00"))</f>
        <v/>
      </c>
      <c r="V4674" s="35" t="str">
        <f aca="false">IF($A4674="","",COUNTIF($U$8:$U$5007,$U4674))</f>
        <v/>
      </c>
    </row>
    <row r="4675" customFormat="false" ht="15" hidden="false" customHeight="false" outlineLevel="0" collapsed="false">
      <c r="A4675" s="31"/>
      <c r="B4675" s="32"/>
      <c r="C4675" s="32"/>
      <c r="D4675" s="32"/>
      <c r="E4675" s="32"/>
      <c r="F4675" s="32"/>
      <c r="G4675" s="33"/>
      <c r="H4675" s="33"/>
      <c r="I4675" s="34" t="str">
        <f aca="false">IF($A4675="","",$G4675-$H4675)</f>
        <v/>
      </c>
      <c r="J4675" s="35" t="str">
        <f aca="false">IF($A4675="","",IF(Setup!$B$6=1,YEAR($A4675),YEAR($A4675)+IF(MONTH($A4675)&gt;=Setup!$B$6,1,0)))</f>
        <v/>
      </c>
      <c r="K4675" s="35" t="str">
        <f aca="false">IF($A4675="","",MOD(MONTH($A4675)-Setup!$B$6+12,12)+1)</f>
        <v/>
      </c>
      <c r="L4675" s="36" t="str">
        <f aca="false">IF($A4675="","",TEXT($A4675,"MMM-YY"))</f>
        <v/>
      </c>
      <c r="M4675" s="37" t="str">
        <f aca="false">IF($A4675="","",IF($Q4675=0,"UNMAPPED",INDEX(COA_Mapping!$C$7:$C$256,$Q4675)))</f>
        <v/>
      </c>
      <c r="N4675" s="38" t="str">
        <f aca="false">IF($A4675="","",IF($Q4675=0,"",INDEX(COA_Mapping!$E$7:$E$256,$Q4675)))</f>
        <v/>
      </c>
      <c r="O4675" s="38" t="n">
        <f aca="false">IF($A4675="",1,IF($Q4675=0,1,INDEX(COA_Mapping!$F$7:$F$256,$Q4675)))</f>
        <v>1</v>
      </c>
      <c r="P4675" s="34" t="str">
        <f aca="false">IF($A4675="","",$I4675*$O4675)</f>
        <v/>
      </c>
      <c r="Q4675" s="39" t="n">
        <f aca="false">IF($B4675="",0,IFERROR(MATCH($B4675,COA_Mapping!$A$7:$A$256,0),0))</f>
        <v>0</v>
      </c>
      <c r="R4675" s="39" t="n">
        <f aca="false">IF($A4675="",-1,IF($J4675=Setup!$B$7,1,IF($J4675=Setup!$B$9,0,-1)))</f>
        <v>-1</v>
      </c>
      <c r="S4675" s="35" t="n">
        <f aca="false">IF(OR($A4675="",$Q4675=0,$R4675=-1),0,$Q4675*1000+$R4675*100+$K4675)</f>
        <v>0</v>
      </c>
      <c r="T4675" s="37" t="str">
        <f aca="false">IF($A4675="","",IF($B4675="","NO ACCOUNT",IF($Q4675=0,"UNMAPPED",IF($R4675=-1,"OUTSIDE FY RANGE","OK"))))</f>
        <v/>
      </c>
      <c r="U4675" s="40" t="str">
        <f aca="false">IF($A4675="","",$B4675&amp;"|"&amp;TEXT($A4675,"yyyymmdd")&amp;"|"&amp;TEXT($I4675,"0.00"))</f>
        <v/>
      </c>
      <c r="V4675" s="35" t="str">
        <f aca="false">IF($A4675="","",COUNTIF($U$8:$U$5007,$U4675))</f>
        <v/>
      </c>
    </row>
    <row r="4676" customFormat="false" ht="15" hidden="false" customHeight="false" outlineLevel="0" collapsed="false">
      <c r="A4676" s="31"/>
      <c r="B4676" s="32"/>
      <c r="C4676" s="32"/>
      <c r="D4676" s="32"/>
      <c r="E4676" s="32"/>
      <c r="F4676" s="32"/>
      <c r="G4676" s="33"/>
      <c r="H4676" s="33"/>
      <c r="I4676" s="34" t="str">
        <f aca="false">IF($A4676="","",$G4676-$H4676)</f>
        <v/>
      </c>
      <c r="J4676" s="35" t="str">
        <f aca="false">IF($A4676="","",IF(Setup!$B$6=1,YEAR($A4676),YEAR($A4676)+IF(MONTH($A4676)&gt;=Setup!$B$6,1,0)))</f>
        <v/>
      </c>
      <c r="K4676" s="35" t="str">
        <f aca="false">IF($A4676="","",MOD(MONTH($A4676)-Setup!$B$6+12,12)+1)</f>
        <v/>
      </c>
      <c r="L4676" s="36" t="str">
        <f aca="false">IF($A4676="","",TEXT($A4676,"MMM-YY"))</f>
        <v/>
      </c>
      <c r="M4676" s="37" t="str">
        <f aca="false">IF($A4676="","",IF($Q4676=0,"UNMAPPED",INDEX(COA_Mapping!$C$7:$C$256,$Q4676)))</f>
        <v/>
      </c>
      <c r="N4676" s="38" t="str">
        <f aca="false">IF($A4676="","",IF($Q4676=0,"",INDEX(COA_Mapping!$E$7:$E$256,$Q4676)))</f>
        <v/>
      </c>
      <c r="O4676" s="38" t="n">
        <f aca="false">IF($A4676="",1,IF($Q4676=0,1,INDEX(COA_Mapping!$F$7:$F$256,$Q4676)))</f>
        <v>1</v>
      </c>
      <c r="P4676" s="34" t="str">
        <f aca="false">IF($A4676="","",$I4676*$O4676)</f>
        <v/>
      </c>
      <c r="Q4676" s="39" t="n">
        <f aca="false">IF($B4676="",0,IFERROR(MATCH($B4676,COA_Mapping!$A$7:$A$256,0),0))</f>
        <v>0</v>
      </c>
      <c r="R4676" s="39" t="n">
        <f aca="false">IF($A4676="",-1,IF($J4676=Setup!$B$7,1,IF($J4676=Setup!$B$9,0,-1)))</f>
        <v>-1</v>
      </c>
      <c r="S4676" s="35" t="n">
        <f aca="false">IF(OR($A4676="",$Q4676=0,$R4676=-1),0,$Q4676*1000+$R4676*100+$K4676)</f>
        <v>0</v>
      </c>
      <c r="T4676" s="37" t="str">
        <f aca="false">IF($A4676="","",IF($B4676="","NO ACCOUNT",IF($Q4676=0,"UNMAPPED",IF($R4676=-1,"OUTSIDE FY RANGE","OK"))))</f>
        <v/>
      </c>
      <c r="U4676" s="40" t="str">
        <f aca="false">IF($A4676="","",$B4676&amp;"|"&amp;TEXT($A4676,"yyyymmdd")&amp;"|"&amp;TEXT($I4676,"0.00"))</f>
        <v/>
      </c>
      <c r="V4676" s="35" t="str">
        <f aca="false">IF($A4676="","",COUNTIF($U$8:$U$5007,$U4676))</f>
        <v/>
      </c>
    </row>
    <row r="4677" customFormat="false" ht="15" hidden="false" customHeight="false" outlineLevel="0" collapsed="false">
      <c r="A4677" s="31"/>
      <c r="B4677" s="32"/>
      <c r="C4677" s="32"/>
      <c r="D4677" s="32"/>
      <c r="E4677" s="32"/>
      <c r="F4677" s="32"/>
      <c r="G4677" s="33"/>
      <c r="H4677" s="33"/>
      <c r="I4677" s="34" t="str">
        <f aca="false">IF($A4677="","",$G4677-$H4677)</f>
        <v/>
      </c>
      <c r="J4677" s="35" t="str">
        <f aca="false">IF($A4677="","",IF(Setup!$B$6=1,YEAR($A4677),YEAR($A4677)+IF(MONTH($A4677)&gt;=Setup!$B$6,1,0)))</f>
        <v/>
      </c>
      <c r="K4677" s="35" t="str">
        <f aca="false">IF($A4677="","",MOD(MONTH($A4677)-Setup!$B$6+12,12)+1)</f>
        <v/>
      </c>
      <c r="L4677" s="36" t="str">
        <f aca="false">IF($A4677="","",TEXT($A4677,"MMM-YY"))</f>
        <v/>
      </c>
      <c r="M4677" s="37" t="str">
        <f aca="false">IF($A4677="","",IF($Q4677=0,"UNMAPPED",INDEX(COA_Mapping!$C$7:$C$256,$Q4677)))</f>
        <v/>
      </c>
      <c r="N4677" s="38" t="str">
        <f aca="false">IF($A4677="","",IF($Q4677=0,"",INDEX(COA_Mapping!$E$7:$E$256,$Q4677)))</f>
        <v/>
      </c>
      <c r="O4677" s="38" t="n">
        <f aca="false">IF($A4677="",1,IF($Q4677=0,1,INDEX(COA_Mapping!$F$7:$F$256,$Q4677)))</f>
        <v>1</v>
      </c>
      <c r="P4677" s="34" t="str">
        <f aca="false">IF($A4677="","",$I4677*$O4677)</f>
        <v/>
      </c>
      <c r="Q4677" s="39" t="n">
        <f aca="false">IF($B4677="",0,IFERROR(MATCH($B4677,COA_Mapping!$A$7:$A$256,0),0))</f>
        <v>0</v>
      </c>
      <c r="R4677" s="39" t="n">
        <f aca="false">IF($A4677="",-1,IF($J4677=Setup!$B$7,1,IF($J4677=Setup!$B$9,0,-1)))</f>
        <v>-1</v>
      </c>
      <c r="S4677" s="35" t="n">
        <f aca="false">IF(OR($A4677="",$Q4677=0,$R4677=-1),0,$Q4677*1000+$R4677*100+$K4677)</f>
        <v>0</v>
      </c>
      <c r="T4677" s="37" t="str">
        <f aca="false">IF($A4677="","",IF($B4677="","NO ACCOUNT",IF($Q4677=0,"UNMAPPED",IF($R4677=-1,"OUTSIDE FY RANGE","OK"))))</f>
        <v/>
      </c>
      <c r="U4677" s="40" t="str">
        <f aca="false">IF($A4677="","",$B4677&amp;"|"&amp;TEXT($A4677,"yyyymmdd")&amp;"|"&amp;TEXT($I4677,"0.00"))</f>
        <v/>
      </c>
      <c r="V4677" s="35" t="str">
        <f aca="false">IF($A4677="","",COUNTIF($U$8:$U$5007,$U4677))</f>
        <v/>
      </c>
    </row>
    <row r="4678" customFormat="false" ht="15" hidden="false" customHeight="false" outlineLevel="0" collapsed="false">
      <c r="A4678" s="31"/>
      <c r="B4678" s="32"/>
      <c r="C4678" s="32"/>
      <c r="D4678" s="32"/>
      <c r="E4678" s="32"/>
      <c r="F4678" s="32"/>
      <c r="G4678" s="33"/>
      <c r="H4678" s="33"/>
      <c r="I4678" s="34" t="str">
        <f aca="false">IF($A4678="","",$G4678-$H4678)</f>
        <v/>
      </c>
      <c r="J4678" s="35" t="str">
        <f aca="false">IF($A4678="","",IF(Setup!$B$6=1,YEAR($A4678),YEAR($A4678)+IF(MONTH($A4678)&gt;=Setup!$B$6,1,0)))</f>
        <v/>
      </c>
      <c r="K4678" s="35" t="str">
        <f aca="false">IF($A4678="","",MOD(MONTH($A4678)-Setup!$B$6+12,12)+1)</f>
        <v/>
      </c>
      <c r="L4678" s="36" t="str">
        <f aca="false">IF($A4678="","",TEXT($A4678,"MMM-YY"))</f>
        <v/>
      </c>
      <c r="M4678" s="37" t="str">
        <f aca="false">IF($A4678="","",IF($Q4678=0,"UNMAPPED",INDEX(COA_Mapping!$C$7:$C$256,$Q4678)))</f>
        <v/>
      </c>
      <c r="N4678" s="38" t="str">
        <f aca="false">IF($A4678="","",IF($Q4678=0,"",INDEX(COA_Mapping!$E$7:$E$256,$Q4678)))</f>
        <v/>
      </c>
      <c r="O4678" s="38" t="n">
        <f aca="false">IF($A4678="",1,IF($Q4678=0,1,INDEX(COA_Mapping!$F$7:$F$256,$Q4678)))</f>
        <v>1</v>
      </c>
      <c r="P4678" s="34" t="str">
        <f aca="false">IF($A4678="","",$I4678*$O4678)</f>
        <v/>
      </c>
      <c r="Q4678" s="39" t="n">
        <f aca="false">IF($B4678="",0,IFERROR(MATCH($B4678,COA_Mapping!$A$7:$A$256,0),0))</f>
        <v>0</v>
      </c>
      <c r="R4678" s="39" t="n">
        <f aca="false">IF($A4678="",-1,IF($J4678=Setup!$B$7,1,IF($J4678=Setup!$B$9,0,-1)))</f>
        <v>-1</v>
      </c>
      <c r="S4678" s="35" t="n">
        <f aca="false">IF(OR($A4678="",$Q4678=0,$R4678=-1),0,$Q4678*1000+$R4678*100+$K4678)</f>
        <v>0</v>
      </c>
      <c r="T4678" s="37" t="str">
        <f aca="false">IF($A4678="","",IF($B4678="","NO ACCOUNT",IF($Q4678=0,"UNMAPPED",IF($R4678=-1,"OUTSIDE FY RANGE","OK"))))</f>
        <v/>
      </c>
      <c r="U4678" s="40" t="str">
        <f aca="false">IF($A4678="","",$B4678&amp;"|"&amp;TEXT($A4678,"yyyymmdd")&amp;"|"&amp;TEXT($I4678,"0.00"))</f>
        <v/>
      </c>
      <c r="V4678" s="35" t="str">
        <f aca="false">IF($A4678="","",COUNTIF($U$8:$U$5007,$U4678))</f>
        <v/>
      </c>
    </row>
    <row r="4679" customFormat="false" ht="15" hidden="false" customHeight="false" outlineLevel="0" collapsed="false">
      <c r="A4679" s="31"/>
      <c r="B4679" s="32"/>
      <c r="C4679" s="32"/>
      <c r="D4679" s="32"/>
      <c r="E4679" s="32"/>
      <c r="F4679" s="32"/>
      <c r="G4679" s="33"/>
      <c r="H4679" s="33"/>
      <c r="I4679" s="34" t="str">
        <f aca="false">IF($A4679="","",$G4679-$H4679)</f>
        <v/>
      </c>
      <c r="J4679" s="35" t="str">
        <f aca="false">IF($A4679="","",IF(Setup!$B$6=1,YEAR($A4679),YEAR($A4679)+IF(MONTH($A4679)&gt;=Setup!$B$6,1,0)))</f>
        <v/>
      </c>
      <c r="K4679" s="35" t="str">
        <f aca="false">IF($A4679="","",MOD(MONTH($A4679)-Setup!$B$6+12,12)+1)</f>
        <v/>
      </c>
      <c r="L4679" s="36" t="str">
        <f aca="false">IF($A4679="","",TEXT($A4679,"MMM-YY"))</f>
        <v/>
      </c>
      <c r="M4679" s="37" t="str">
        <f aca="false">IF($A4679="","",IF($Q4679=0,"UNMAPPED",INDEX(COA_Mapping!$C$7:$C$256,$Q4679)))</f>
        <v/>
      </c>
      <c r="N4679" s="38" t="str">
        <f aca="false">IF($A4679="","",IF($Q4679=0,"",INDEX(COA_Mapping!$E$7:$E$256,$Q4679)))</f>
        <v/>
      </c>
      <c r="O4679" s="38" t="n">
        <f aca="false">IF($A4679="",1,IF($Q4679=0,1,INDEX(COA_Mapping!$F$7:$F$256,$Q4679)))</f>
        <v>1</v>
      </c>
      <c r="P4679" s="34" t="str">
        <f aca="false">IF($A4679="","",$I4679*$O4679)</f>
        <v/>
      </c>
      <c r="Q4679" s="39" t="n">
        <f aca="false">IF($B4679="",0,IFERROR(MATCH($B4679,COA_Mapping!$A$7:$A$256,0),0))</f>
        <v>0</v>
      </c>
      <c r="R4679" s="39" t="n">
        <f aca="false">IF($A4679="",-1,IF($J4679=Setup!$B$7,1,IF($J4679=Setup!$B$9,0,-1)))</f>
        <v>-1</v>
      </c>
      <c r="S4679" s="35" t="n">
        <f aca="false">IF(OR($A4679="",$Q4679=0,$R4679=-1),0,$Q4679*1000+$R4679*100+$K4679)</f>
        <v>0</v>
      </c>
      <c r="T4679" s="37" t="str">
        <f aca="false">IF($A4679="","",IF($B4679="","NO ACCOUNT",IF($Q4679=0,"UNMAPPED",IF($R4679=-1,"OUTSIDE FY RANGE","OK"))))</f>
        <v/>
      </c>
      <c r="U4679" s="40" t="str">
        <f aca="false">IF($A4679="","",$B4679&amp;"|"&amp;TEXT($A4679,"yyyymmdd")&amp;"|"&amp;TEXT($I4679,"0.00"))</f>
        <v/>
      </c>
      <c r="V4679" s="35" t="str">
        <f aca="false">IF($A4679="","",COUNTIF($U$8:$U$5007,$U4679))</f>
        <v/>
      </c>
    </row>
    <row r="4680" customFormat="false" ht="15" hidden="false" customHeight="false" outlineLevel="0" collapsed="false">
      <c r="A4680" s="31"/>
      <c r="B4680" s="32"/>
      <c r="C4680" s="32"/>
      <c r="D4680" s="32"/>
      <c r="E4680" s="32"/>
      <c r="F4680" s="32"/>
      <c r="G4680" s="33"/>
      <c r="H4680" s="33"/>
      <c r="I4680" s="34" t="str">
        <f aca="false">IF($A4680="","",$G4680-$H4680)</f>
        <v/>
      </c>
      <c r="J4680" s="35" t="str">
        <f aca="false">IF($A4680="","",IF(Setup!$B$6=1,YEAR($A4680),YEAR($A4680)+IF(MONTH($A4680)&gt;=Setup!$B$6,1,0)))</f>
        <v/>
      </c>
      <c r="K4680" s="35" t="str">
        <f aca="false">IF($A4680="","",MOD(MONTH($A4680)-Setup!$B$6+12,12)+1)</f>
        <v/>
      </c>
      <c r="L4680" s="36" t="str">
        <f aca="false">IF($A4680="","",TEXT($A4680,"MMM-YY"))</f>
        <v/>
      </c>
      <c r="M4680" s="37" t="str">
        <f aca="false">IF($A4680="","",IF($Q4680=0,"UNMAPPED",INDEX(COA_Mapping!$C$7:$C$256,$Q4680)))</f>
        <v/>
      </c>
      <c r="N4680" s="38" t="str">
        <f aca="false">IF($A4680="","",IF($Q4680=0,"",INDEX(COA_Mapping!$E$7:$E$256,$Q4680)))</f>
        <v/>
      </c>
      <c r="O4680" s="38" t="n">
        <f aca="false">IF($A4680="",1,IF($Q4680=0,1,INDEX(COA_Mapping!$F$7:$F$256,$Q4680)))</f>
        <v>1</v>
      </c>
      <c r="P4680" s="34" t="str">
        <f aca="false">IF($A4680="","",$I4680*$O4680)</f>
        <v/>
      </c>
      <c r="Q4680" s="39" t="n">
        <f aca="false">IF($B4680="",0,IFERROR(MATCH($B4680,COA_Mapping!$A$7:$A$256,0),0))</f>
        <v>0</v>
      </c>
      <c r="R4680" s="39" t="n">
        <f aca="false">IF($A4680="",-1,IF($J4680=Setup!$B$7,1,IF($J4680=Setup!$B$9,0,-1)))</f>
        <v>-1</v>
      </c>
      <c r="S4680" s="35" t="n">
        <f aca="false">IF(OR($A4680="",$Q4680=0,$R4680=-1),0,$Q4680*1000+$R4680*100+$K4680)</f>
        <v>0</v>
      </c>
      <c r="T4680" s="37" t="str">
        <f aca="false">IF($A4680="","",IF($B4680="","NO ACCOUNT",IF($Q4680=0,"UNMAPPED",IF($R4680=-1,"OUTSIDE FY RANGE","OK"))))</f>
        <v/>
      </c>
      <c r="U4680" s="40" t="str">
        <f aca="false">IF($A4680="","",$B4680&amp;"|"&amp;TEXT($A4680,"yyyymmdd")&amp;"|"&amp;TEXT($I4680,"0.00"))</f>
        <v/>
      </c>
      <c r="V4680" s="35" t="str">
        <f aca="false">IF($A4680="","",COUNTIF($U$8:$U$5007,$U4680))</f>
        <v/>
      </c>
    </row>
    <row r="4681" customFormat="false" ht="15" hidden="false" customHeight="false" outlineLevel="0" collapsed="false">
      <c r="A4681" s="31"/>
      <c r="B4681" s="32"/>
      <c r="C4681" s="32"/>
      <c r="D4681" s="32"/>
      <c r="E4681" s="32"/>
      <c r="F4681" s="32"/>
      <c r="G4681" s="33"/>
      <c r="H4681" s="33"/>
      <c r="I4681" s="34" t="str">
        <f aca="false">IF($A4681="","",$G4681-$H4681)</f>
        <v/>
      </c>
      <c r="J4681" s="35" t="str">
        <f aca="false">IF($A4681="","",IF(Setup!$B$6=1,YEAR($A4681),YEAR($A4681)+IF(MONTH($A4681)&gt;=Setup!$B$6,1,0)))</f>
        <v/>
      </c>
      <c r="K4681" s="35" t="str">
        <f aca="false">IF($A4681="","",MOD(MONTH($A4681)-Setup!$B$6+12,12)+1)</f>
        <v/>
      </c>
      <c r="L4681" s="36" t="str">
        <f aca="false">IF($A4681="","",TEXT($A4681,"MMM-YY"))</f>
        <v/>
      </c>
      <c r="M4681" s="37" t="str">
        <f aca="false">IF($A4681="","",IF($Q4681=0,"UNMAPPED",INDEX(COA_Mapping!$C$7:$C$256,$Q4681)))</f>
        <v/>
      </c>
      <c r="N4681" s="38" t="str">
        <f aca="false">IF($A4681="","",IF($Q4681=0,"",INDEX(COA_Mapping!$E$7:$E$256,$Q4681)))</f>
        <v/>
      </c>
      <c r="O4681" s="38" t="n">
        <f aca="false">IF($A4681="",1,IF($Q4681=0,1,INDEX(COA_Mapping!$F$7:$F$256,$Q4681)))</f>
        <v>1</v>
      </c>
      <c r="P4681" s="34" t="str">
        <f aca="false">IF($A4681="","",$I4681*$O4681)</f>
        <v/>
      </c>
      <c r="Q4681" s="39" t="n">
        <f aca="false">IF($B4681="",0,IFERROR(MATCH($B4681,COA_Mapping!$A$7:$A$256,0),0))</f>
        <v>0</v>
      </c>
      <c r="R4681" s="39" t="n">
        <f aca="false">IF($A4681="",-1,IF($J4681=Setup!$B$7,1,IF($J4681=Setup!$B$9,0,-1)))</f>
        <v>-1</v>
      </c>
      <c r="S4681" s="35" t="n">
        <f aca="false">IF(OR($A4681="",$Q4681=0,$R4681=-1),0,$Q4681*1000+$R4681*100+$K4681)</f>
        <v>0</v>
      </c>
      <c r="T4681" s="37" t="str">
        <f aca="false">IF($A4681="","",IF($B4681="","NO ACCOUNT",IF($Q4681=0,"UNMAPPED",IF($R4681=-1,"OUTSIDE FY RANGE","OK"))))</f>
        <v/>
      </c>
      <c r="U4681" s="40" t="str">
        <f aca="false">IF($A4681="","",$B4681&amp;"|"&amp;TEXT($A4681,"yyyymmdd")&amp;"|"&amp;TEXT($I4681,"0.00"))</f>
        <v/>
      </c>
      <c r="V4681" s="35" t="str">
        <f aca="false">IF($A4681="","",COUNTIF($U$8:$U$5007,$U4681))</f>
        <v/>
      </c>
    </row>
    <row r="4682" customFormat="false" ht="15" hidden="false" customHeight="false" outlineLevel="0" collapsed="false">
      <c r="A4682" s="31"/>
      <c r="B4682" s="32"/>
      <c r="C4682" s="32"/>
      <c r="D4682" s="32"/>
      <c r="E4682" s="32"/>
      <c r="F4682" s="32"/>
      <c r="G4682" s="33"/>
      <c r="H4682" s="33"/>
      <c r="I4682" s="34" t="str">
        <f aca="false">IF($A4682="","",$G4682-$H4682)</f>
        <v/>
      </c>
      <c r="J4682" s="35" t="str">
        <f aca="false">IF($A4682="","",IF(Setup!$B$6=1,YEAR($A4682),YEAR($A4682)+IF(MONTH($A4682)&gt;=Setup!$B$6,1,0)))</f>
        <v/>
      </c>
      <c r="K4682" s="35" t="str">
        <f aca="false">IF($A4682="","",MOD(MONTH($A4682)-Setup!$B$6+12,12)+1)</f>
        <v/>
      </c>
      <c r="L4682" s="36" t="str">
        <f aca="false">IF($A4682="","",TEXT($A4682,"MMM-YY"))</f>
        <v/>
      </c>
      <c r="M4682" s="37" t="str">
        <f aca="false">IF($A4682="","",IF($Q4682=0,"UNMAPPED",INDEX(COA_Mapping!$C$7:$C$256,$Q4682)))</f>
        <v/>
      </c>
      <c r="N4682" s="38" t="str">
        <f aca="false">IF($A4682="","",IF($Q4682=0,"",INDEX(COA_Mapping!$E$7:$E$256,$Q4682)))</f>
        <v/>
      </c>
      <c r="O4682" s="38" t="n">
        <f aca="false">IF($A4682="",1,IF($Q4682=0,1,INDEX(COA_Mapping!$F$7:$F$256,$Q4682)))</f>
        <v>1</v>
      </c>
      <c r="P4682" s="34" t="str">
        <f aca="false">IF($A4682="","",$I4682*$O4682)</f>
        <v/>
      </c>
      <c r="Q4682" s="39" t="n">
        <f aca="false">IF($B4682="",0,IFERROR(MATCH($B4682,COA_Mapping!$A$7:$A$256,0),0))</f>
        <v>0</v>
      </c>
      <c r="R4682" s="39" t="n">
        <f aca="false">IF($A4682="",-1,IF($J4682=Setup!$B$7,1,IF($J4682=Setup!$B$9,0,-1)))</f>
        <v>-1</v>
      </c>
      <c r="S4682" s="35" t="n">
        <f aca="false">IF(OR($A4682="",$Q4682=0,$R4682=-1),0,$Q4682*1000+$R4682*100+$K4682)</f>
        <v>0</v>
      </c>
      <c r="T4682" s="37" t="str">
        <f aca="false">IF($A4682="","",IF($B4682="","NO ACCOUNT",IF($Q4682=0,"UNMAPPED",IF($R4682=-1,"OUTSIDE FY RANGE","OK"))))</f>
        <v/>
      </c>
      <c r="U4682" s="40" t="str">
        <f aca="false">IF($A4682="","",$B4682&amp;"|"&amp;TEXT($A4682,"yyyymmdd")&amp;"|"&amp;TEXT($I4682,"0.00"))</f>
        <v/>
      </c>
      <c r="V4682" s="35" t="str">
        <f aca="false">IF($A4682="","",COUNTIF($U$8:$U$5007,$U4682))</f>
        <v/>
      </c>
    </row>
    <row r="4683" customFormat="false" ht="15" hidden="false" customHeight="false" outlineLevel="0" collapsed="false">
      <c r="A4683" s="31"/>
      <c r="B4683" s="32"/>
      <c r="C4683" s="32"/>
      <c r="D4683" s="32"/>
      <c r="E4683" s="32"/>
      <c r="F4683" s="32"/>
      <c r="G4683" s="33"/>
      <c r="H4683" s="33"/>
      <c r="I4683" s="34" t="str">
        <f aca="false">IF($A4683="","",$G4683-$H4683)</f>
        <v/>
      </c>
      <c r="J4683" s="35" t="str">
        <f aca="false">IF($A4683="","",IF(Setup!$B$6=1,YEAR($A4683),YEAR($A4683)+IF(MONTH($A4683)&gt;=Setup!$B$6,1,0)))</f>
        <v/>
      </c>
      <c r="K4683" s="35" t="str">
        <f aca="false">IF($A4683="","",MOD(MONTH($A4683)-Setup!$B$6+12,12)+1)</f>
        <v/>
      </c>
      <c r="L4683" s="36" t="str">
        <f aca="false">IF($A4683="","",TEXT($A4683,"MMM-YY"))</f>
        <v/>
      </c>
      <c r="M4683" s="37" t="str">
        <f aca="false">IF($A4683="","",IF($Q4683=0,"UNMAPPED",INDEX(COA_Mapping!$C$7:$C$256,$Q4683)))</f>
        <v/>
      </c>
      <c r="N4683" s="38" t="str">
        <f aca="false">IF($A4683="","",IF($Q4683=0,"",INDEX(COA_Mapping!$E$7:$E$256,$Q4683)))</f>
        <v/>
      </c>
      <c r="O4683" s="38" t="n">
        <f aca="false">IF($A4683="",1,IF($Q4683=0,1,INDEX(COA_Mapping!$F$7:$F$256,$Q4683)))</f>
        <v>1</v>
      </c>
      <c r="P4683" s="34" t="str">
        <f aca="false">IF($A4683="","",$I4683*$O4683)</f>
        <v/>
      </c>
      <c r="Q4683" s="39" t="n">
        <f aca="false">IF($B4683="",0,IFERROR(MATCH($B4683,COA_Mapping!$A$7:$A$256,0),0))</f>
        <v>0</v>
      </c>
      <c r="R4683" s="39" t="n">
        <f aca="false">IF($A4683="",-1,IF($J4683=Setup!$B$7,1,IF($J4683=Setup!$B$9,0,-1)))</f>
        <v>-1</v>
      </c>
      <c r="S4683" s="35" t="n">
        <f aca="false">IF(OR($A4683="",$Q4683=0,$R4683=-1),0,$Q4683*1000+$R4683*100+$K4683)</f>
        <v>0</v>
      </c>
      <c r="T4683" s="37" t="str">
        <f aca="false">IF($A4683="","",IF($B4683="","NO ACCOUNT",IF($Q4683=0,"UNMAPPED",IF($R4683=-1,"OUTSIDE FY RANGE","OK"))))</f>
        <v/>
      </c>
      <c r="U4683" s="40" t="str">
        <f aca="false">IF($A4683="","",$B4683&amp;"|"&amp;TEXT($A4683,"yyyymmdd")&amp;"|"&amp;TEXT($I4683,"0.00"))</f>
        <v/>
      </c>
      <c r="V4683" s="35" t="str">
        <f aca="false">IF($A4683="","",COUNTIF($U$8:$U$5007,$U4683))</f>
        <v/>
      </c>
    </row>
    <row r="4684" customFormat="false" ht="15" hidden="false" customHeight="false" outlineLevel="0" collapsed="false">
      <c r="A4684" s="31"/>
      <c r="B4684" s="32"/>
      <c r="C4684" s="32"/>
      <c r="D4684" s="32"/>
      <c r="E4684" s="32"/>
      <c r="F4684" s="32"/>
      <c r="G4684" s="33"/>
      <c r="H4684" s="33"/>
      <c r="I4684" s="34" t="str">
        <f aca="false">IF($A4684="","",$G4684-$H4684)</f>
        <v/>
      </c>
      <c r="J4684" s="35" t="str">
        <f aca="false">IF($A4684="","",IF(Setup!$B$6=1,YEAR($A4684),YEAR($A4684)+IF(MONTH($A4684)&gt;=Setup!$B$6,1,0)))</f>
        <v/>
      </c>
      <c r="K4684" s="35" t="str">
        <f aca="false">IF($A4684="","",MOD(MONTH($A4684)-Setup!$B$6+12,12)+1)</f>
        <v/>
      </c>
      <c r="L4684" s="36" t="str">
        <f aca="false">IF($A4684="","",TEXT($A4684,"MMM-YY"))</f>
        <v/>
      </c>
      <c r="M4684" s="37" t="str">
        <f aca="false">IF($A4684="","",IF($Q4684=0,"UNMAPPED",INDEX(COA_Mapping!$C$7:$C$256,$Q4684)))</f>
        <v/>
      </c>
      <c r="N4684" s="38" t="str">
        <f aca="false">IF($A4684="","",IF($Q4684=0,"",INDEX(COA_Mapping!$E$7:$E$256,$Q4684)))</f>
        <v/>
      </c>
      <c r="O4684" s="38" t="n">
        <f aca="false">IF($A4684="",1,IF($Q4684=0,1,INDEX(COA_Mapping!$F$7:$F$256,$Q4684)))</f>
        <v>1</v>
      </c>
      <c r="P4684" s="34" t="str">
        <f aca="false">IF($A4684="","",$I4684*$O4684)</f>
        <v/>
      </c>
      <c r="Q4684" s="39" t="n">
        <f aca="false">IF($B4684="",0,IFERROR(MATCH($B4684,COA_Mapping!$A$7:$A$256,0),0))</f>
        <v>0</v>
      </c>
      <c r="R4684" s="39" t="n">
        <f aca="false">IF($A4684="",-1,IF($J4684=Setup!$B$7,1,IF($J4684=Setup!$B$9,0,-1)))</f>
        <v>-1</v>
      </c>
      <c r="S4684" s="35" t="n">
        <f aca="false">IF(OR($A4684="",$Q4684=0,$R4684=-1),0,$Q4684*1000+$R4684*100+$K4684)</f>
        <v>0</v>
      </c>
      <c r="T4684" s="37" t="str">
        <f aca="false">IF($A4684="","",IF($B4684="","NO ACCOUNT",IF($Q4684=0,"UNMAPPED",IF($R4684=-1,"OUTSIDE FY RANGE","OK"))))</f>
        <v/>
      </c>
      <c r="U4684" s="40" t="str">
        <f aca="false">IF($A4684="","",$B4684&amp;"|"&amp;TEXT($A4684,"yyyymmdd")&amp;"|"&amp;TEXT($I4684,"0.00"))</f>
        <v/>
      </c>
      <c r="V4684" s="35" t="str">
        <f aca="false">IF($A4684="","",COUNTIF($U$8:$U$5007,$U4684))</f>
        <v/>
      </c>
    </row>
    <row r="4685" customFormat="false" ht="15" hidden="false" customHeight="false" outlineLevel="0" collapsed="false">
      <c r="A4685" s="31"/>
      <c r="B4685" s="32"/>
      <c r="C4685" s="32"/>
      <c r="D4685" s="32"/>
      <c r="E4685" s="32"/>
      <c r="F4685" s="32"/>
      <c r="G4685" s="33"/>
      <c r="H4685" s="33"/>
      <c r="I4685" s="34" t="str">
        <f aca="false">IF($A4685="","",$G4685-$H4685)</f>
        <v/>
      </c>
      <c r="J4685" s="35" t="str">
        <f aca="false">IF($A4685="","",IF(Setup!$B$6=1,YEAR($A4685),YEAR($A4685)+IF(MONTH($A4685)&gt;=Setup!$B$6,1,0)))</f>
        <v/>
      </c>
      <c r="K4685" s="35" t="str">
        <f aca="false">IF($A4685="","",MOD(MONTH($A4685)-Setup!$B$6+12,12)+1)</f>
        <v/>
      </c>
      <c r="L4685" s="36" t="str">
        <f aca="false">IF($A4685="","",TEXT($A4685,"MMM-YY"))</f>
        <v/>
      </c>
      <c r="M4685" s="37" t="str">
        <f aca="false">IF($A4685="","",IF($Q4685=0,"UNMAPPED",INDEX(COA_Mapping!$C$7:$C$256,$Q4685)))</f>
        <v/>
      </c>
      <c r="N4685" s="38" t="str">
        <f aca="false">IF($A4685="","",IF($Q4685=0,"",INDEX(COA_Mapping!$E$7:$E$256,$Q4685)))</f>
        <v/>
      </c>
      <c r="O4685" s="38" t="n">
        <f aca="false">IF($A4685="",1,IF($Q4685=0,1,INDEX(COA_Mapping!$F$7:$F$256,$Q4685)))</f>
        <v>1</v>
      </c>
      <c r="P4685" s="34" t="str">
        <f aca="false">IF($A4685="","",$I4685*$O4685)</f>
        <v/>
      </c>
      <c r="Q4685" s="39" t="n">
        <f aca="false">IF($B4685="",0,IFERROR(MATCH($B4685,COA_Mapping!$A$7:$A$256,0),0))</f>
        <v>0</v>
      </c>
      <c r="R4685" s="39" t="n">
        <f aca="false">IF($A4685="",-1,IF($J4685=Setup!$B$7,1,IF($J4685=Setup!$B$9,0,-1)))</f>
        <v>-1</v>
      </c>
      <c r="S4685" s="35" t="n">
        <f aca="false">IF(OR($A4685="",$Q4685=0,$R4685=-1),0,$Q4685*1000+$R4685*100+$K4685)</f>
        <v>0</v>
      </c>
      <c r="T4685" s="37" t="str">
        <f aca="false">IF($A4685="","",IF($B4685="","NO ACCOUNT",IF($Q4685=0,"UNMAPPED",IF($R4685=-1,"OUTSIDE FY RANGE","OK"))))</f>
        <v/>
      </c>
      <c r="U4685" s="40" t="str">
        <f aca="false">IF($A4685="","",$B4685&amp;"|"&amp;TEXT($A4685,"yyyymmdd")&amp;"|"&amp;TEXT($I4685,"0.00"))</f>
        <v/>
      </c>
      <c r="V4685" s="35" t="str">
        <f aca="false">IF($A4685="","",COUNTIF($U$8:$U$5007,$U4685))</f>
        <v/>
      </c>
    </row>
    <row r="4686" customFormat="false" ht="15" hidden="false" customHeight="false" outlineLevel="0" collapsed="false">
      <c r="A4686" s="31"/>
      <c r="B4686" s="32"/>
      <c r="C4686" s="32"/>
      <c r="D4686" s="32"/>
      <c r="E4686" s="32"/>
      <c r="F4686" s="32"/>
      <c r="G4686" s="33"/>
      <c r="H4686" s="33"/>
      <c r="I4686" s="34" t="str">
        <f aca="false">IF($A4686="","",$G4686-$H4686)</f>
        <v/>
      </c>
      <c r="J4686" s="35" t="str">
        <f aca="false">IF($A4686="","",IF(Setup!$B$6=1,YEAR($A4686),YEAR($A4686)+IF(MONTH($A4686)&gt;=Setup!$B$6,1,0)))</f>
        <v/>
      </c>
      <c r="K4686" s="35" t="str">
        <f aca="false">IF($A4686="","",MOD(MONTH($A4686)-Setup!$B$6+12,12)+1)</f>
        <v/>
      </c>
      <c r="L4686" s="36" t="str">
        <f aca="false">IF($A4686="","",TEXT($A4686,"MMM-YY"))</f>
        <v/>
      </c>
      <c r="M4686" s="37" t="str">
        <f aca="false">IF($A4686="","",IF($Q4686=0,"UNMAPPED",INDEX(COA_Mapping!$C$7:$C$256,$Q4686)))</f>
        <v/>
      </c>
      <c r="N4686" s="38" t="str">
        <f aca="false">IF($A4686="","",IF($Q4686=0,"",INDEX(COA_Mapping!$E$7:$E$256,$Q4686)))</f>
        <v/>
      </c>
      <c r="O4686" s="38" t="n">
        <f aca="false">IF($A4686="",1,IF($Q4686=0,1,INDEX(COA_Mapping!$F$7:$F$256,$Q4686)))</f>
        <v>1</v>
      </c>
      <c r="P4686" s="34" t="str">
        <f aca="false">IF($A4686="","",$I4686*$O4686)</f>
        <v/>
      </c>
      <c r="Q4686" s="39" t="n">
        <f aca="false">IF($B4686="",0,IFERROR(MATCH($B4686,COA_Mapping!$A$7:$A$256,0),0))</f>
        <v>0</v>
      </c>
      <c r="R4686" s="39" t="n">
        <f aca="false">IF($A4686="",-1,IF($J4686=Setup!$B$7,1,IF($J4686=Setup!$B$9,0,-1)))</f>
        <v>-1</v>
      </c>
      <c r="S4686" s="35" t="n">
        <f aca="false">IF(OR($A4686="",$Q4686=0,$R4686=-1),0,$Q4686*1000+$R4686*100+$K4686)</f>
        <v>0</v>
      </c>
      <c r="T4686" s="37" t="str">
        <f aca="false">IF($A4686="","",IF($B4686="","NO ACCOUNT",IF($Q4686=0,"UNMAPPED",IF($R4686=-1,"OUTSIDE FY RANGE","OK"))))</f>
        <v/>
      </c>
      <c r="U4686" s="40" t="str">
        <f aca="false">IF($A4686="","",$B4686&amp;"|"&amp;TEXT($A4686,"yyyymmdd")&amp;"|"&amp;TEXT($I4686,"0.00"))</f>
        <v/>
      </c>
      <c r="V4686" s="35" t="str">
        <f aca="false">IF($A4686="","",COUNTIF($U$8:$U$5007,$U4686))</f>
        <v/>
      </c>
    </row>
    <row r="4687" customFormat="false" ht="15" hidden="false" customHeight="false" outlineLevel="0" collapsed="false">
      <c r="A4687" s="31"/>
      <c r="B4687" s="32"/>
      <c r="C4687" s="32"/>
      <c r="D4687" s="32"/>
      <c r="E4687" s="32"/>
      <c r="F4687" s="32"/>
      <c r="G4687" s="33"/>
      <c r="H4687" s="33"/>
      <c r="I4687" s="34" t="str">
        <f aca="false">IF($A4687="","",$G4687-$H4687)</f>
        <v/>
      </c>
      <c r="J4687" s="35" t="str">
        <f aca="false">IF($A4687="","",IF(Setup!$B$6=1,YEAR($A4687),YEAR($A4687)+IF(MONTH($A4687)&gt;=Setup!$B$6,1,0)))</f>
        <v/>
      </c>
      <c r="K4687" s="35" t="str">
        <f aca="false">IF($A4687="","",MOD(MONTH($A4687)-Setup!$B$6+12,12)+1)</f>
        <v/>
      </c>
      <c r="L4687" s="36" t="str">
        <f aca="false">IF($A4687="","",TEXT($A4687,"MMM-YY"))</f>
        <v/>
      </c>
      <c r="M4687" s="37" t="str">
        <f aca="false">IF($A4687="","",IF($Q4687=0,"UNMAPPED",INDEX(COA_Mapping!$C$7:$C$256,$Q4687)))</f>
        <v/>
      </c>
      <c r="N4687" s="38" t="str">
        <f aca="false">IF($A4687="","",IF($Q4687=0,"",INDEX(COA_Mapping!$E$7:$E$256,$Q4687)))</f>
        <v/>
      </c>
      <c r="O4687" s="38" t="n">
        <f aca="false">IF($A4687="",1,IF($Q4687=0,1,INDEX(COA_Mapping!$F$7:$F$256,$Q4687)))</f>
        <v>1</v>
      </c>
      <c r="P4687" s="34" t="str">
        <f aca="false">IF($A4687="","",$I4687*$O4687)</f>
        <v/>
      </c>
      <c r="Q4687" s="39" t="n">
        <f aca="false">IF($B4687="",0,IFERROR(MATCH($B4687,COA_Mapping!$A$7:$A$256,0),0))</f>
        <v>0</v>
      </c>
      <c r="R4687" s="39" t="n">
        <f aca="false">IF($A4687="",-1,IF($J4687=Setup!$B$7,1,IF($J4687=Setup!$B$9,0,-1)))</f>
        <v>-1</v>
      </c>
      <c r="S4687" s="35" t="n">
        <f aca="false">IF(OR($A4687="",$Q4687=0,$R4687=-1),0,$Q4687*1000+$R4687*100+$K4687)</f>
        <v>0</v>
      </c>
      <c r="T4687" s="37" t="str">
        <f aca="false">IF($A4687="","",IF($B4687="","NO ACCOUNT",IF($Q4687=0,"UNMAPPED",IF($R4687=-1,"OUTSIDE FY RANGE","OK"))))</f>
        <v/>
      </c>
      <c r="U4687" s="40" t="str">
        <f aca="false">IF($A4687="","",$B4687&amp;"|"&amp;TEXT($A4687,"yyyymmdd")&amp;"|"&amp;TEXT($I4687,"0.00"))</f>
        <v/>
      </c>
      <c r="V4687" s="35" t="str">
        <f aca="false">IF($A4687="","",COUNTIF($U$8:$U$5007,$U4687))</f>
        <v/>
      </c>
    </row>
    <row r="4688" customFormat="false" ht="15" hidden="false" customHeight="false" outlineLevel="0" collapsed="false">
      <c r="A4688" s="31"/>
      <c r="B4688" s="32"/>
      <c r="C4688" s="32"/>
      <c r="D4688" s="32"/>
      <c r="E4688" s="32"/>
      <c r="F4688" s="32"/>
      <c r="G4688" s="33"/>
      <c r="H4688" s="33"/>
      <c r="I4688" s="34" t="str">
        <f aca="false">IF($A4688="","",$G4688-$H4688)</f>
        <v/>
      </c>
      <c r="J4688" s="35" t="str">
        <f aca="false">IF($A4688="","",IF(Setup!$B$6=1,YEAR($A4688),YEAR($A4688)+IF(MONTH($A4688)&gt;=Setup!$B$6,1,0)))</f>
        <v/>
      </c>
      <c r="K4688" s="35" t="str">
        <f aca="false">IF($A4688="","",MOD(MONTH($A4688)-Setup!$B$6+12,12)+1)</f>
        <v/>
      </c>
      <c r="L4688" s="36" t="str">
        <f aca="false">IF($A4688="","",TEXT($A4688,"MMM-YY"))</f>
        <v/>
      </c>
      <c r="M4688" s="37" t="str">
        <f aca="false">IF($A4688="","",IF($Q4688=0,"UNMAPPED",INDEX(COA_Mapping!$C$7:$C$256,$Q4688)))</f>
        <v/>
      </c>
      <c r="N4688" s="38" t="str">
        <f aca="false">IF($A4688="","",IF($Q4688=0,"",INDEX(COA_Mapping!$E$7:$E$256,$Q4688)))</f>
        <v/>
      </c>
      <c r="O4688" s="38" t="n">
        <f aca="false">IF($A4688="",1,IF($Q4688=0,1,INDEX(COA_Mapping!$F$7:$F$256,$Q4688)))</f>
        <v>1</v>
      </c>
      <c r="P4688" s="34" t="str">
        <f aca="false">IF($A4688="","",$I4688*$O4688)</f>
        <v/>
      </c>
      <c r="Q4688" s="39" t="n">
        <f aca="false">IF($B4688="",0,IFERROR(MATCH($B4688,COA_Mapping!$A$7:$A$256,0),0))</f>
        <v>0</v>
      </c>
      <c r="R4688" s="39" t="n">
        <f aca="false">IF($A4688="",-1,IF($J4688=Setup!$B$7,1,IF($J4688=Setup!$B$9,0,-1)))</f>
        <v>-1</v>
      </c>
      <c r="S4688" s="35" t="n">
        <f aca="false">IF(OR($A4688="",$Q4688=0,$R4688=-1),0,$Q4688*1000+$R4688*100+$K4688)</f>
        <v>0</v>
      </c>
      <c r="T4688" s="37" t="str">
        <f aca="false">IF($A4688="","",IF($B4688="","NO ACCOUNT",IF($Q4688=0,"UNMAPPED",IF($R4688=-1,"OUTSIDE FY RANGE","OK"))))</f>
        <v/>
      </c>
      <c r="U4688" s="40" t="str">
        <f aca="false">IF($A4688="","",$B4688&amp;"|"&amp;TEXT($A4688,"yyyymmdd")&amp;"|"&amp;TEXT($I4688,"0.00"))</f>
        <v/>
      </c>
      <c r="V4688" s="35" t="str">
        <f aca="false">IF($A4688="","",COUNTIF($U$8:$U$5007,$U4688))</f>
        <v/>
      </c>
    </row>
    <row r="4689" customFormat="false" ht="15" hidden="false" customHeight="false" outlineLevel="0" collapsed="false">
      <c r="A4689" s="31"/>
      <c r="B4689" s="32"/>
      <c r="C4689" s="32"/>
      <c r="D4689" s="32"/>
      <c r="E4689" s="32"/>
      <c r="F4689" s="32"/>
      <c r="G4689" s="33"/>
      <c r="H4689" s="33"/>
      <c r="I4689" s="34" t="str">
        <f aca="false">IF($A4689="","",$G4689-$H4689)</f>
        <v/>
      </c>
      <c r="J4689" s="35" t="str">
        <f aca="false">IF($A4689="","",IF(Setup!$B$6=1,YEAR($A4689),YEAR($A4689)+IF(MONTH($A4689)&gt;=Setup!$B$6,1,0)))</f>
        <v/>
      </c>
      <c r="K4689" s="35" t="str">
        <f aca="false">IF($A4689="","",MOD(MONTH($A4689)-Setup!$B$6+12,12)+1)</f>
        <v/>
      </c>
      <c r="L4689" s="36" t="str">
        <f aca="false">IF($A4689="","",TEXT($A4689,"MMM-YY"))</f>
        <v/>
      </c>
      <c r="M4689" s="37" t="str">
        <f aca="false">IF($A4689="","",IF($Q4689=0,"UNMAPPED",INDEX(COA_Mapping!$C$7:$C$256,$Q4689)))</f>
        <v/>
      </c>
      <c r="N4689" s="38" t="str">
        <f aca="false">IF($A4689="","",IF($Q4689=0,"",INDEX(COA_Mapping!$E$7:$E$256,$Q4689)))</f>
        <v/>
      </c>
      <c r="O4689" s="38" t="n">
        <f aca="false">IF($A4689="",1,IF($Q4689=0,1,INDEX(COA_Mapping!$F$7:$F$256,$Q4689)))</f>
        <v>1</v>
      </c>
      <c r="P4689" s="34" t="str">
        <f aca="false">IF($A4689="","",$I4689*$O4689)</f>
        <v/>
      </c>
      <c r="Q4689" s="39" t="n">
        <f aca="false">IF($B4689="",0,IFERROR(MATCH($B4689,COA_Mapping!$A$7:$A$256,0),0))</f>
        <v>0</v>
      </c>
      <c r="R4689" s="39" t="n">
        <f aca="false">IF($A4689="",-1,IF($J4689=Setup!$B$7,1,IF($J4689=Setup!$B$9,0,-1)))</f>
        <v>-1</v>
      </c>
      <c r="S4689" s="35" t="n">
        <f aca="false">IF(OR($A4689="",$Q4689=0,$R4689=-1),0,$Q4689*1000+$R4689*100+$K4689)</f>
        <v>0</v>
      </c>
      <c r="T4689" s="37" t="str">
        <f aca="false">IF($A4689="","",IF($B4689="","NO ACCOUNT",IF($Q4689=0,"UNMAPPED",IF($R4689=-1,"OUTSIDE FY RANGE","OK"))))</f>
        <v/>
      </c>
      <c r="U4689" s="40" t="str">
        <f aca="false">IF($A4689="","",$B4689&amp;"|"&amp;TEXT($A4689,"yyyymmdd")&amp;"|"&amp;TEXT($I4689,"0.00"))</f>
        <v/>
      </c>
      <c r="V4689" s="35" t="str">
        <f aca="false">IF($A4689="","",COUNTIF($U$8:$U$5007,$U4689))</f>
        <v/>
      </c>
    </row>
    <row r="4690" customFormat="false" ht="15" hidden="false" customHeight="false" outlineLevel="0" collapsed="false">
      <c r="A4690" s="31"/>
      <c r="B4690" s="32"/>
      <c r="C4690" s="32"/>
      <c r="D4690" s="32"/>
      <c r="E4690" s="32"/>
      <c r="F4690" s="32"/>
      <c r="G4690" s="33"/>
      <c r="H4690" s="33"/>
      <c r="I4690" s="34" t="str">
        <f aca="false">IF($A4690="","",$G4690-$H4690)</f>
        <v/>
      </c>
      <c r="J4690" s="35" t="str">
        <f aca="false">IF($A4690="","",IF(Setup!$B$6=1,YEAR($A4690),YEAR($A4690)+IF(MONTH($A4690)&gt;=Setup!$B$6,1,0)))</f>
        <v/>
      </c>
      <c r="K4690" s="35" t="str">
        <f aca="false">IF($A4690="","",MOD(MONTH($A4690)-Setup!$B$6+12,12)+1)</f>
        <v/>
      </c>
      <c r="L4690" s="36" t="str">
        <f aca="false">IF($A4690="","",TEXT($A4690,"MMM-YY"))</f>
        <v/>
      </c>
      <c r="M4690" s="37" t="str">
        <f aca="false">IF($A4690="","",IF($Q4690=0,"UNMAPPED",INDEX(COA_Mapping!$C$7:$C$256,$Q4690)))</f>
        <v/>
      </c>
      <c r="N4690" s="38" t="str">
        <f aca="false">IF($A4690="","",IF($Q4690=0,"",INDEX(COA_Mapping!$E$7:$E$256,$Q4690)))</f>
        <v/>
      </c>
      <c r="O4690" s="38" t="n">
        <f aca="false">IF($A4690="",1,IF($Q4690=0,1,INDEX(COA_Mapping!$F$7:$F$256,$Q4690)))</f>
        <v>1</v>
      </c>
      <c r="P4690" s="34" t="str">
        <f aca="false">IF($A4690="","",$I4690*$O4690)</f>
        <v/>
      </c>
      <c r="Q4690" s="39" t="n">
        <f aca="false">IF($B4690="",0,IFERROR(MATCH($B4690,COA_Mapping!$A$7:$A$256,0),0))</f>
        <v>0</v>
      </c>
      <c r="R4690" s="39" t="n">
        <f aca="false">IF($A4690="",-1,IF($J4690=Setup!$B$7,1,IF($J4690=Setup!$B$9,0,-1)))</f>
        <v>-1</v>
      </c>
      <c r="S4690" s="35" t="n">
        <f aca="false">IF(OR($A4690="",$Q4690=0,$R4690=-1),0,$Q4690*1000+$R4690*100+$K4690)</f>
        <v>0</v>
      </c>
      <c r="T4690" s="37" t="str">
        <f aca="false">IF($A4690="","",IF($B4690="","NO ACCOUNT",IF($Q4690=0,"UNMAPPED",IF($R4690=-1,"OUTSIDE FY RANGE","OK"))))</f>
        <v/>
      </c>
      <c r="U4690" s="40" t="str">
        <f aca="false">IF($A4690="","",$B4690&amp;"|"&amp;TEXT($A4690,"yyyymmdd")&amp;"|"&amp;TEXT($I4690,"0.00"))</f>
        <v/>
      </c>
      <c r="V4690" s="35" t="str">
        <f aca="false">IF($A4690="","",COUNTIF($U$8:$U$5007,$U4690))</f>
        <v/>
      </c>
    </row>
    <row r="4691" customFormat="false" ht="15" hidden="false" customHeight="false" outlineLevel="0" collapsed="false">
      <c r="A4691" s="31"/>
      <c r="B4691" s="32"/>
      <c r="C4691" s="32"/>
      <c r="D4691" s="32"/>
      <c r="E4691" s="32"/>
      <c r="F4691" s="32"/>
      <c r="G4691" s="33"/>
      <c r="H4691" s="33"/>
      <c r="I4691" s="34" t="str">
        <f aca="false">IF($A4691="","",$G4691-$H4691)</f>
        <v/>
      </c>
      <c r="J4691" s="35" t="str">
        <f aca="false">IF($A4691="","",IF(Setup!$B$6=1,YEAR($A4691),YEAR($A4691)+IF(MONTH($A4691)&gt;=Setup!$B$6,1,0)))</f>
        <v/>
      </c>
      <c r="K4691" s="35" t="str">
        <f aca="false">IF($A4691="","",MOD(MONTH($A4691)-Setup!$B$6+12,12)+1)</f>
        <v/>
      </c>
      <c r="L4691" s="36" t="str">
        <f aca="false">IF($A4691="","",TEXT($A4691,"MMM-YY"))</f>
        <v/>
      </c>
      <c r="M4691" s="37" t="str">
        <f aca="false">IF($A4691="","",IF($Q4691=0,"UNMAPPED",INDEX(COA_Mapping!$C$7:$C$256,$Q4691)))</f>
        <v/>
      </c>
      <c r="N4691" s="38" t="str">
        <f aca="false">IF($A4691="","",IF($Q4691=0,"",INDEX(COA_Mapping!$E$7:$E$256,$Q4691)))</f>
        <v/>
      </c>
      <c r="O4691" s="38" t="n">
        <f aca="false">IF($A4691="",1,IF($Q4691=0,1,INDEX(COA_Mapping!$F$7:$F$256,$Q4691)))</f>
        <v>1</v>
      </c>
      <c r="P4691" s="34" t="str">
        <f aca="false">IF($A4691="","",$I4691*$O4691)</f>
        <v/>
      </c>
      <c r="Q4691" s="39" t="n">
        <f aca="false">IF($B4691="",0,IFERROR(MATCH($B4691,COA_Mapping!$A$7:$A$256,0),0))</f>
        <v>0</v>
      </c>
      <c r="R4691" s="39" t="n">
        <f aca="false">IF($A4691="",-1,IF($J4691=Setup!$B$7,1,IF($J4691=Setup!$B$9,0,-1)))</f>
        <v>-1</v>
      </c>
      <c r="S4691" s="35" t="n">
        <f aca="false">IF(OR($A4691="",$Q4691=0,$R4691=-1),0,$Q4691*1000+$R4691*100+$K4691)</f>
        <v>0</v>
      </c>
      <c r="T4691" s="37" t="str">
        <f aca="false">IF($A4691="","",IF($B4691="","NO ACCOUNT",IF($Q4691=0,"UNMAPPED",IF($R4691=-1,"OUTSIDE FY RANGE","OK"))))</f>
        <v/>
      </c>
      <c r="U4691" s="40" t="str">
        <f aca="false">IF($A4691="","",$B4691&amp;"|"&amp;TEXT($A4691,"yyyymmdd")&amp;"|"&amp;TEXT($I4691,"0.00"))</f>
        <v/>
      </c>
      <c r="V4691" s="35" t="str">
        <f aca="false">IF($A4691="","",COUNTIF($U$8:$U$5007,$U4691))</f>
        <v/>
      </c>
    </row>
    <row r="4692" customFormat="false" ht="15" hidden="false" customHeight="false" outlineLevel="0" collapsed="false">
      <c r="A4692" s="31"/>
      <c r="B4692" s="32"/>
      <c r="C4692" s="32"/>
      <c r="D4692" s="32"/>
      <c r="E4692" s="32"/>
      <c r="F4692" s="32"/>
      <c r="G4692" s="33"/>
      <c r="H4692" s="33"/>
      <c r="I4692" s="34" t="str">
        <f aca="false">IF($A4692="","",$G4692-$H4692)</f>
        <v/>
      </c>
      <c r="J4692" s="35" t="str">
        <f aca="false">IF($A4692="","",IF(Setup!$B$6=1,YEAR($A4692),YEAR($A4692)+IF(MONTH($A4692)&gt;=Setup!$B$6,1,0)))</f>
        <v/>
      </c>
      <c r="K4692" s="35" t="str">
        <f aca="false">IF($A4692="","",MOD(MONTH($A4692)-Setup!$B$6+12,12)+1)</f>
        <v/>
      </c>
      <c r="L4692" s="36" t="str">
        <f aca="false">IF($A4692="","",TEXT($A4692,"MMM-YY"))</f>
        <v/>
      </c>
      <c r="M4692" s="37" t="str">
        <f aca="false">IF($A4692="","",IF($Q4692=0,"UNMAPPED",INDEX(COA_Mapping!$C$7:$C$256,$Q4692)))</f>
        <v/>
      </c>
      <c r="N4692" s="38" t="str">
        <f aca="false">IF($A4692="","",IF($Q4692=0,"",INDEX(COA_Mapping!$E$7:$E$256,$Q4692)))</f>
        <v/>
      </c>
      <c r="O4692" s="38" t="n">
        <f aca="false">IF($A4692="",1,IF($Q4692=0,1,INDEX(COA_Mapping!$F$7:$F$256,$Q4692)))</f>
        <v>1</v>
      </c>
      <c r="P4692" s="34" t="str">
        <f aca="false">IF($A4692="","",$I4692*$O4692)</f>
        <v/>
      </c>
      <c r="Q4692" s="39" t="n">
        <f aca="false">IF($B4692="",0,IFERROR(MATCH($B4692,COA_Mapping!$A$7:$A$256,0),0))</f>
        <v>0</v>
      </c>
      <c r="R4692" s="39" t="n">
        <f aca="false">IF($A4692="",-1,IF($J4692=Setup!$B$7,1,IF($J4692=Setup!$B$9,0,-1)))</f>
        <v>-1</v>
      </c>
      <c r="S4692" s="35" t="n">
        <f aca="false">IF(OR($A4692="",$Q4692=0,$R4692=-1),0,$Q4692*1000+$R4692*100+$K4692)</f>
        <v>0</v>
      </c>
      <c r="T4692" s="37" t="str">
        <f aca="false">IF($A4692="","",IF($B4692="","NO ACCOUNT",IF($Q4692=0,"UNMAPPED",IF($R4692=-1,"OUTSIDE FY RANGE","OK"))))</f>
        <v/>
      </c>
      <c r="U4692" s="40" t="str">
        <f aca="false">IF($A4692="","",$B4692&amp;"|"&amp;TEXT($A4692,"yyyymmdd")&amp;"|"&amp;TEXT($I4692,"0.00"))</f>
        <v/>
      </c>
      <c r="V4692" s="35" t="str">
        <f aca="false">IF($A4692="","",COUNTIF($U$8:$U$5007,$U4692))</f>
        <v/>
      </c>
    </row>
    <row r="4693" customFormat="false" ht="15" hidden="false" customHeight="false" outlineLevel="0" collapsed="false">
      <c r="A4693" s="31"/>
      <c r="B4693" s="32"/>
      <c r="C4693" s="32"/>
      <c r="D4693" s="32"/>
      <c r="E4693" s="32"/>
      <c r="F4693" s="32"/>
      <c r="G4693" s="33"/>
      <c r="H4693" s="33"/>
      <c r="I4693" s="34" t="str">
        <f aca="false">IF($A4693="","",$G4693-$H4693)</f>
        <v/>
      </c>
      <c r="J4693" s="35" t="str">
        <f aca="false">IF($A4693="","",IF(Setup!$B$6=1,YEAR($A4693),YEAR($A4693)+IF(MONTH($A4693)&gt;=Setup!$B$6,1,0)))</f>
        <v/>
      </c>
      <c r="K4693" s="35" t="str">
        <f aca="false">IF($A4693="","",MOD(MONTH($A4693)-Setup!$B$6+12,12)+1)</f>
        <v/>
      </c>
      <c r="L4693" s="36" t="str">
        <f aca="false">IF($A4693="","",TEXT($A4693,"MMM-YY"))</f>
        <v/>
      </c>
      <c r="M4693" s="37" t="str">
        <f aca="false">IF($A4693="","",IF($Q4693=0,"UNMAPPED",INDEX(COA_Mapping!$C$7:$C$256,$Q4693)))</f>
        <v/>
      </c>
      <c r="N4693" s="38" t="str">
        <f aca="false">IF($A4693="","",IF($Q4693=0,"",INDEX(COA_Mapping!$E$7:$E$256,$Q4693)))</f>
        <v/>
      </c>
      <c r="O4693" s="38" t="n">
        <f aca="false">IF($A4693="",1,IF($Q4693=0,1,INDEX(COA_Mapping!$F$7:$F$256,$Q4693)))</f>
        <v>1</v>
      </c>
      <c r="P4693" s="34" t="str">
        <f aca="false">IF($A4693="","",$I4693*$O4693)</f>
        <v/>
      </c>
      <c r="Q4693" s="39" t="n">
        <f aca="false">IF($B4693="",0,IFERROR(MATCH($B4693,COA_Mapping!$A$7:$A$256,0),0))</f>
        <v>0</v>
      </c>
      <c r="R4693" s="39" t="n">
        <f aca="false">IF($A4693="",-1,IF($J4693=Setup!$B$7,1,IF($J4693=Setup!$B$9,0,-1)))</f>
        <v>-1</v>
      </c>
      <c r="S4693" s="35" t="n">
        <f aca="false">IF(OR($A4693="",$Q4693=0,$R4693=-1),0,$Q4693*1000+$R4693*100+$K4693)</f>
        <v>0</v>
      </c>
      <c r="T4693" s="37" t="str">
        <f aca="false">IF($A4693="","",IF($B4693="","NO ACCOUNT",IF($Q4693=0,"UNMAPPED",IF($R4693=-1,"OUTSIDE FY RANGE","OK"))))</f>
        <v/>
      </c>
      <c r="U4693" s="40" t="str">
        <f aca="false">IF($A4693="","",$B4693&amp;"|"&amp;TEXT($A4693,"yyyymmdd")&amp;"|"&amp;TEXT($I4693,"0.00"))</f>
        <v/>
      </c>
      <c r="V4693" s="35" t="str">
        <f aca="false">IF($A4693="","",COUNTIF($U$8:$U$5007,$U4693))</f>
        <v/>
      </c>
    </row>
    <row r="4694" customFormat="false" ht="15" hidden="false" customHeight="false" outlineLevel="0" collapsed="false">
      <c r="A4694" s="31"/>
      <c r="B4694" s="32"/>
      <c r="C4694" s="32"/>
      <c r="D4694" s="32"/>
      <c r="E4694" s="32"/>
      <c r="F4694" s="32"/>
      <c r="G4694" s="33"/>
      <c r="H4694" s="33"/>
      <c r="I4694" s="34" t="str">
        <f aca="false">IF($A4694="","",$G4694-$H4694)</f>
        <v/>
      </c>
      <c r="J4694" s="35" t="str">
        <f aca="false">IF($A4694="","",IF(Setup!$B$6=1,YEAR($A4694),YEAR($A4694)+IF(MONTH($A4694)&gt;=Setup!$B$6,1,0)))</f>
        <v/>
      </c>
      <c r="K4694" s="35" t="str">
        <f aca="false">IF($A4694="","",MOD(MONTH($A4694)-Setup!$B$6+12,12)+1)</f>
        <v/>
      </c>
      <c r="L4694" s="36" t="str">
        <f aca="false">IF($A4694="","",TEXT($A4694,"MMM-YY"))</f>
        <v/>
      </c>
      <c r="M4694" s="37" t="str">
        <f aca="false">IF($A4694="","",IF($Q4694=0,"UNMAPPED",INDEX(COA_Mapping!$C$7:$C$256,$Q4694)))</f>
        <v/>
      </c>
      <c r="N4694" s="38" t="str">
        <f aca="false">IF($A4694="","",IF($Q4694=0,"",INDEX(COA_Mapping!$E$7:$E$256,$Q4694)))</f>
        <v/>
      </c>
      <c r="O4694" s="38" t="n">
        <f aca="false">IF($A4694="",1,IF($Q4694=0,1,INDEX(COA_Mapping!$F$7:$F$256,$Q4694)))</f>
        <v>1</v>
      </c>
      <c r="P4694" s="34" t="str">
        <f aca="false">IF($A4694="","",$I4694*$O4694)</f>
        <v/>
      </c>
      <c r="Q4694" s="39" t="n">
        <f aca="false">IF($B4694="",0,IFERROR(MATCH($B4694,COA_Mapping!$A$7:$A$256,0),0))</f>
        <v>0</v>
      </c>
      <c r="R4694" s="39" t="n">
        <f aca="false">IF($A4694="",-1,IF($J4694=Setup!$B$7,1,IF($J4694=Setup!$B$9,0,-1)))</f>
        <v>-1</v>
      </c>
      <c r="S4694" s="35" t="n">
        <f aca="false">IF(OR($A4694="",$Q4694=0,$R4694=-1),0,$Q4694*1000+$R4694*100+$K4694)</f>
        <v>0</v>
      </c>
      <c r="T4694" s="37" t="str">
        <f aca="false">IF($A4694="","",IF($B4694="","NO ACCOUNT",IF($Q4694=0,"UNMAPPED",IF($R4694=-1,"OUTSIDE FY RANGE","OK"))))</f>
        <v/>
      </c>
      <c r="U4694" s="40" t="str">
        <f aca="false">IF($A4694="","",$B4694&amp;"|"&amp;TEXT($A4694,"yyyymmdd")&amp;"|"&amp;TEXT($I4694,"0.00"))</f>
        <v/>
      </c>
      <c r="V4694" s="35" t="str">
        <f aca="false">IF($A4694="","",COUNTIF($U$8:$U$5007,$U4694))</f>
        <v/>
      </c>
    </row>
    <row r="4695" customFormat="false" ht="15" hidden="false" customHeight="false" outlineLevel="0" collapsed="false">
      <c r="A4695" s="31"/>
      <c r="B4695" s="32"/>
      <c r="C4695" s="32"/>
      <c r="D4695" s="32"/>
      <c r="E4695" s="32"/>
      <c r="F4695" s="32"/>
      <c r="G4695" s="33"/>
      <c r="H4695" s="33"/>
      <c r="I4695" s="34" t="str">
        <f aca="false">IF($A4695="","",$G4695-$H4695)</f>
        <v/>
      </c>
      <c r="J4695" s="35" t="str">
        <f aca="false">IF($A4695="","",IF(Setup!$B$6=1,YEAR($A4695),YEAR($A4695)+IF(MONTH($A4695)&gt;=Setup!$B$6,1,0)))</f>
        <v/>
      </c>
      <c r="K4695" s="35" t="str">
        <f aca="false">IF($A4695="","",MOD(MONTH($A4695)-Setup!$B$6+12,12)+1)</f>
        <v/>
      </c>
      <c r="L4695" s="36" t="str">
        <f aca="false">IF($A4695="","",TEXT($A4695,"MMM-YY"))</f>
        <v/>
      </c>
      <c r="M4695" s="37" t="str">
        <f aca="false">IF($A4695="","",IF($Q4695=0,"UNMAPPED",INDEX(COA_Mapping!$C$7:$C$256,$Q4695)))</f>
        <v/>
      </c>
      <c r="N4695" s="38" t="str">
        <f aca="false">IF($A4695="","",IF($Q4695=0,"",INDEX(COA_Mapping!$E$7:$E$256,$Q4695)))</f>
        <v/>
      </c>
      <c r="O4695" s="38" t="n">
        <f aca="false">IF($A4695="",1,IF($Q4695=0,1,INDEX(COA_Mapping!$F$7:$F$256,$Q4695)))</f>
        <v>1</v>
      </c>
      <c r="P4695" s="34" t="str">
        <f aca="false">IF($A4695="","",$I4695*$O4695)</f>
        <v/>
      </c>
      <c r="Q4695" s="39" t="n">
        <f aca="false">IF($B4695="",0,IFERROR(MATCH($B4695,COA_Mapping!$A$7:$A$256,0),0))</f>
        <v>0</v>
      </c>
      <c r="R4695" s="39" t="n">
        <f aca="false">IF($A4695="",-1,IF($J4695=Setup!$B$7,1,IF($J4695=Setup!$B$9,0,-1)))</f>
        <v>-1</v>
      </c>
      <c r="S4695" s="35" t="n">
        <f aca="false">IF(OR($A4695="",$Q4695=0,$R4695=-1),0,$Q4695*1000+$R4695*100+$K4695)</f>
        <v>0</v>
      </c>
      <c r="T4695" s="37" t="str">
        <f aca="false">IF($A4695="","",IF($B4695="","NO ACCOUNT",IF($Q4695=0,"UNMAPPED",IF($R4695=-1,"OUTSIDE FY RANGE","OK"))))</f>
        <v/>
      </c>
      <c r="U4695" s="40" t="str">
        <f aca="false">IF($A4695="","",$B4695&amp;"|"&amp;TEXT($A4695,"yyyymmdd")&amp;"|"&amp;TEXT($I4695,"0.00"))</f>
        <v/>
      </c>
      <c r="V4695" s="35" t="str">
        <f aca="false">IF($A4695="","",COUNTIF($U$8:$U$5007,$U4695))</f>
        <v/>
      </c>
    </row>
    <row r="4696" customFormat="false" ht="15" hidden="false" customHeight="false" outlineLevel="0" collapsed="false">
      <c r="A4696" s="31"/>
      <c r="B4696" s="32"/>
      <c r="C4696" s="32"/>
      <c r="D4696" s="32"/>
      <c r="E4696" s="32"/>
      <c r="F4696" s="32"/>
      <c r="G4696" s="33"/>
      <c r="H4696" s="33"/>
      <c r="I4696" s="34" t="str">
        <f aca="false">IF($A4696="","",$G4696-$H4696)</f>
        <v/>
      </c>
      <c r="J4696" s="35" t="str">
        <f aca="false">IF($A4696="","",IF(Setup!$B$6=1,YEAR($A4696),YEAR($A4696)+IF(MONTH($A4696)&gt;=Setup!$B$6,1,0)))</f>
        <v/>
      </c>
      <c r="K4696" s="35" t="str">
        <f aca="false">IF($A4696="","",MOD(MONTH($A4696)-Setup!$B$6+12,12)+1)</f>
        <v/>
      </c>
      <c r="L4696" s="36" t="str">
        <f aca="false">IF($A4696="","",TEXT($A4696,"MMM-YY"))</f>
        <v/>
      </c>
      <c r="M4696" s="37" t="str">
        <f aca="false">IF($A4696="","",IF($Q4696=0,"UNMAPPED",INDEX(COA_Mapping!$C$7:$C$256,$Q4696)))</f>
        <v/>
      </c>
      <c r="N4696" s="38" t="str">
        <f aca="false">IF($A4696="","",IF($Q4696=0,"",INDEX(COA_Mapping!$E$7:$E$256,$Q4696)))</f>
        <v/>
      </c>
      <c r="O4696" s="38" t="n">
        <f aca="false">IF($A4696="",1,IF($Q4696=0,1,INDEX(COA_Mapping!$F$7:$F$256,$Q4696)))</f>
        <v>1</v>
      </c>
      <c r="P4696" s="34" t="str">
        <f aca="false">IF($A4696="","",$I4696*$O4696)</f>
        <v/>
      </c>
      <c r="Q4696" s="39" t="n">
        <f aca="false">IF($B4696="",0,IFERROR(MATCH($B4696,COA_Mapping!$A$7:$A$256,0),0))</f>
        <v>0</v>
      </c>
      <c r="R4696" s="39" t="n">
        <f aca="false">IF($A4696="",-1,IF($J4696=Setup!$B$7,1,IF($J4696=Setup!$B$9,0,-1)))</f>
        <v>-1</v>
      </c>
      <c r="S4696" s="35" t="n">
        <f aca="false">IF(OR($A4696="",$Q4696=0,$R4696=-1),0,$Q4696*1000+$R4696*100+$K4696)</f>
        <v>0</v>
      </c>
      <c r="T4696" s="37" t="str">
        <f aca="false">IF($A4696="","",IF($B4696="","NO ACCOUNT",IF($Q4696=0,"UNMAPPED",IF($R4696=-1,"OUTSIDE FY RANGE","OK"))))</f>
        <v/>
      </c>
      <c r="U4696" s="40" t="str">
        <f aca="false">IF($A4696="","",$B4696&amp;"|"&amp;TEXT($A4696,"yyyymmdd")&amp;"|"&amp;TEXT($I4696,"0.00"))</f>
        <v/>
      </c>
      <c r="V4696" s="35" t="str">
        <f aca="false">IF($A4696="","",COUNTIF($U$8:$U$5007,$U4696))</f>
        <v/>
      </c>
    </row>
    <row r="4697" customFormat="false" ht="15" hidden="false" customHeight="false" outlineLevel="0" collapsed="false">
      <c r="A4697" s="31"/>
      <c r="B4697" s="32"/>
      <c r="C4697" s="32"/>
      <c r="D4697" s="32"/>
      <c r="E4697" s="32"/>
      <c r="F4697" s="32"/>
      <c r="G4697" s="33"/>
      <c r="H4697" s="33"/>
      <c r="I4697" s="34" t="str">
        <f aca="false">IF($A4697="","",$G4697-$H4697)</f>
        <v/>
      </c>
      <c r="J4697" s="35" t="str">
        <f aca="false">IF($A4697="","",IF(Setup!$B$6=1,YEAR($A4697),YEAR($A4697)+IF(MONTH($A4697)&gt;=Setup!$B$6,1,0)))</f>
        <v/>
      </c>
      <c r="K4697" s="35" t="str">
        <f aca="false">IF($A4697="","",MOD(MONTH($A4697)-Setup!$B$6+12,12)+1)</f>
        <v/>
      </c>
      <c r="L4697" s="36" t="str">
        <f aca="false">IF($A4697="","",TEXT($A4697,"MMM-YY"))</f>
        <v/>
      </c>
      <c r="M4697" s="37" t="str">
        <f aca="false">IF($A4697="","",IF($Q4697=0,"UNMAPPED",INDEX(COA_Mapping!$C$7:$C$256,$Q4697)))</f>
        <v/>
      </c>
      <c r="N4697" s="38" t="str">
        <f aca="false">IF($A4697="","",IF($Q4697=0,"",INDEX(COA_Mapping!$E$7:$E$256,$Q4697)))</f>
        <v/>
      </c>
      <c r="O4697" s="38" t="n">
        <f aca="false">IF($A4697="",1,IF($Q4697=0,1,INDEX(COA_Mapping!$F$7:$F$256,$Q4697)))</f>
        <v>1</v>
      </c>
      <c r="P4697" s="34" t="str">
        <f aca="false">IF($A4697="","",$I4697*$O4697)</f>
        <v/>
      </c>
      <c r="Q4697" s="39" t="n">
        <f aca="false">IF($B4697="",0,IFERROR(MATCH($B4697,COA_Mapping!$A$7:$A$256,0),0))</f>
        <v>0</v>
      </c>
      <c r="R4697" s="39" t="n">
        <f aca="false">IF($A4697="",-1,IF($J4697=Setup!$B$7,1,IF($J4697=Setup!$B$9,0,-1)))</f>
        <v>-1</v>
      </c>
      <c r="S4697" s="35" t="n">
        <f aca="false">IF(OR($A4697="",$Q4697=0,$R4697=-1),0,$Q4697*1000+$R4697*100+$K4697)</f>
        <v>0</v>
      </c>
      <c r="T4697" s="37" t="str">
        <f aca="false">IF($A4697="","",IF($B4697="","NO ACCOUNT",IF($Q4697=0,"UNMAPPED",IF($R4697=-1,"OUTSIDE FY RANGE","OK"))))</f>
        <v/>
      </c>
      <c r="U4697" s="40" t="str">
        <f aca="false">IF($A4697="","",$B4697&amp;"|"&amp;TEXT($A4697,"yyyymmdd")&amp;"|"&amp;TEXT($I4697,"0.00"))</f>
        <v/>
      </c>
      <c r="V4697" s="35" t="str">
        <f aca="false">IF($A4697="","",COUNTIF($U$8:$U$5007,$U4697))</f>
        <v/>
      </c>
    </row>
    <row r="4698" customFormat="false" ht="15" hidden="false" customHeight="false" outlineLevel="0" collapsed="false">
      <c r="A4698" s="31"/>
      <c r="B4698" s="32"/>
      <c r="C4698" s="32"/>
      <c r="D4698" s="32"/>
      <c r="E4698" s="32"/>
      <c r="F4698" s="32"/>
      <c r="G4698" s="33"/>
      <c r="H4698" s="33"/>
      <c r="I4698" s="34" t="str">
        <f aca="false">IF($A4698="","",$G4698-$H4698)</f>
        <v/>
      </c>
      <c r="J4698" s="35" t="str">
        <f aca="false">IF($A4698="","",IF(Setup!$B$6=1,YEAR($A4698),YEAR($A4698)+IF(MONTH($A4698)&gt;=Setup!$B$6,1,0)))</f>
        <v/>
      </c>
      <c r="K4698" s="35" t="str">
        <f aca="false">IF($A4698="","",MOD(MONTH($A4698)-Setup!$B$6+12,12)+1)</f>
        <v/>
      </c>
      <c r="L4698" s="36" t="str">
        <f aca="false">IF($A4698="","",TEXT($A4698,"MMM-YY"))</f>
        <v/>
      </c>
      <c r="M4698" s="37" t="str">
        <f aca="false">IF($A4698="","",IF($Q4698=0,"UNMAPPED",INDEX(COA_Mapping!$C$7:$C$256,$Q4698)))</f>
        <v/>
      </c>
      <c r="N4698" s="38" t="str">
        <f aca="false">IF($A4698="","",IF($Q4698=0,"",INDEX(COA_Mapping!$E$7:$E$256,$Q4698)))</f>
        <v/>
      </c>
      <c r="O4698" s="38" t="n">
        <f aca="false">IF($A4698="",1,IF($Q4698=0,1,INDEX(COA_Mapping!$F$7:$F$256,$Q4698)))</f>
        <v>1</v>
      </c>
      <c r="P4698" s="34" t="str">
        <f aca="false">IF($A4698="","",$I4698*$O4698)</f>
        <v/>
      </c>
      <c r="Q4698" s="39" t="n">
        <f aca="false">IF($B4698="",0,IFERROR(MATCH($B4698,COA_Mapping!$A$7:$A$256,0),0))</f>
        <v>0</v>
      </c>
      <c r="R4698" s="39" t="n">
        <f aca="false">IF($A4698="",-1,IF($J4698=Setup!$B$7,1,IF($J4698=Setup!$B$9,0,-1)))</f>
        <v>-1</v>
      </c>
      <c r="S4698" s="35" t="n">
        <f aca="false">IF(OR($A4698="",$Q4698=0,$R4698=-1),0,$Q4698*1000+$R4698*100+$K4698)</f>
        <v>0</v>
      </c>
      <c r="T4698" s="37" t="str">
        <f aca="false">IF($A4698="","",IF($B4698="","NO ACCOUNT",IF($Q4698=0,"UNMAPPED",IF($R4698=-1,"OUTSIDE FY RANGE","OK"))))</f>
        <v/>
      </c>
      <c r="U4698" s="40" t="str">
        <f aca="false">IF($A4698="","",$B4698&amp;"|"&amp;TEXT($A4698,"yyyymmdd")&amp;"|"&amp;TEXT($I4698,"0.00"))</f>
        <v/>
      </c>
      <c r="V4698" s="35" t="str">
        <f aca="false">IF($A4698="","",COUNTIF($U$8:$U$5007,$U4698))</f>
        <v/>
      </c>
    </row>
    <row r="4699" customFormat="false" ht="15" hidden="false" customHeight="false" outlineLevel="0" collapsed="false">
      <c r="A4699" s="31"/>
      <c r="B4699" s="32"/>
      <c r="C4699" s="32"/>
      <c r="D4699" s="32"/>
      <c r="E4699" s="32"/>
      <c r="F4699" s="32"/>
      <c r="G4699" s="33"/>
      <c r="H4699" s="33"/>
      <c r="I4699" s="34" t="str">
        <f aca="false">IF($A4699="","",$G4699-$H4699)</f>
        <v/>
      </c>
      <c r="J4699" s="35" t="str">
        <f aca="false">IF($A4699="","",IF(Setup!$B$6=1,YEAR($A4699),YEAR($A4699)+IF(MONTH($A4699)&gt;=Setup!$B$6,1,0)))</f>
        <v/>
      </c>
      <c r="K4699" s="35" t="str">
        <f aca="false">IF($A4699="","",MOD(MONTH($A4699)-Setup!$B$6+12,12)+1)</f>
        <v/>
      </c>
      <c r="L4699" s="36" t="str">
        <f aca="false">IF($A4699="","",TEXT($A4699,"MMM-YY"))</f>
        <v/>
      </c>
      <c r="M4699" s="37" t="str">
        <f aca="false">IF($A4699="","",IF($Q4699=0,"UNMAPPED",INDEX(COA_Mapping!$C$7:$C$256,$Q4699)))</f>
        <v/>
      </c>
      <c r="N4699" s="38" t="str">
        <f aca="false">IF($A4699="","",IF($Q4699=0,"",INDEX(COA_Mapping!$E$7:$E$256,$Q4699)))</f>
        <v/>
      </c>
      <c r="O4699" s="38" t="n">
        <f aca="false">IF($A4699="",1,IF($Q4699=0,1,INDEX(COA_Mapping!$F$7:$F$256,$Q4699)))</f>
        <v>1</v>
      </c>
      <c r="P4699" s="34" t="str">
        <f aca="false">IF($A4699="","",$I4699*$O4699)</f>
        <v/>
      </c>
      <c r="Q4699" s="39" t="n">
        <f aca="false">IF($B4699="",0,IFERROR(MATCH($B4699,COA_Mapping!$A$7:$A$256,0),0))</f>
        <v>0</v>
      </c>
      <c r="R4699" s="39" t="n">
        <f aca="false">IF($A4699="",-1,IF($J4699=Setup!$B$7,1,IF($J4699=Setup!$B$9,0,-1)))</f>
        <v>-1</v>
      </c>
      <c r="S4699" s="35" t="n">
        <f aca="false">IF(OR($A4699="",$Q4699=0,$R4699=-1),0,$Q4699*1000+$R4699*100+$K4699)</f>
        <v>0</v>
      </c>
      <c r="T4699" s="37" t="str">
        <f aca="false">IF($A4699="","",IF($B4699="","NO ACCOUNT",IF($Q4699=0,"UNMAPPED",IF($R4699=-1,"OUTSIDE FY RANGE","OK"))))</f>
        <v/>
      </c>
      <c r="U4699" s="40" t="str">
        <f aca="false">IF($A4699="","",$B4699&amp;"|"&amp;TEXT($A4699,"yyyymmdd")&amp;"|"&amp;TEXT($I4699,"0.00"))</f>
        <v/>
      </c>
      <c r="V4699" s="35" t="str">
        <f aca="false">IF($A4699="","",COUNTIF($U$8:$U$5007,$U4699))</f>
        <v/>
      </c>
    </row>
    <row r="4700" customFormat="false" ht="15" hidden="false" customHeight="false" outlineLevel="0" collapsed="false">
      <c r="A4700" s="31"/>
      <c r="B4700" s="32"/>
      <c r="C4700" s="32"/>
      <c r="D4700" s="32"/>
      <c r="E4700" s="32"/>
      <c r="F4700" s="32"/>
      <c r="G4700" s="33"/>
      <c r="H4700" s="33"/>
      <c r="I4700" s="34" t="str">
        <f aca="false">IF($A4700="","",$G4700-$H4700)</f>
        <v/>
      </c>
      <c r="J4700" s="35" t="str">
        <f aca="false">IF($A4700="","",IF(Setup!$B$6=1,YEAR($A4700),YEAR($A4700)+IF(MONTH($A4700)&gt;=Setup!$B$6,1,0)))</f>
        <v/>
      </c>
      <c r="K4700" s="35" t="str">
        <f aca="false">IF($A4700="","",MOD(MONTH($A4700)-Setup!$B$6+12,12)+1)</f>
        <v/>
      </c>
      <c r="L4700" s="36" t="str">
        <f aca="false">IF($A4700="","",TEXT($A4700,"MMM-YY"))</f>
        <v/>
      </c>
      <c r="M4700" s="37" t="str">
        <f aca="false">IF($A4700="","",IF($Q4700=0,"UNMAPPED",INDEX(COA_Mapping!$C$7:$C$256,$Q4700)))</f>
        <v/>
      </c>
      <c r="N4700" s="38" t="str">
        <f aca="false">IF($A4700="","",IF($Q4700=0,"",INDEX(COA_Mapping!$E$7:$E$256,$Q4700)))</f>
        <v/>
      </c>
      <c r="O4700" s="38" t="n">
        <f aca="false">IF($A4700="",1,IF($Q4700=0,1,INDEX(COA_Mapping!$F$7:$F$256,$Q4700)))</f>
        <v>1</v>
      </c>
      <c r="P4700" s="34" t="str">
        <f aca="false">IF($A4700="","",$I4700*$O4700)</f>
        <v/>
      </c>
      <c r="Q4700" s="39" t="n">
        <f aca="false">IF($B4700="",0,IFERROR(MATCH($B4700,COA_Mapping!$A$7:$A$256,0),0))</f>
        <v>0</v>
      </c>
      <c r="R4700" s="39" t="n">
        <f aca="false">IF($A4700="",-1,IF($J4700=Setup!$B$7,1,IF($J4700=Setup!$B$9,0,-1)))</f>
        <v>-1</v>
      </c>
      <c r="S4700" s="35" t="n">
        <f aca="false">IF(OR($A4700="",$Q4700=0,$R4700=-1),0,$Q4700*1000+$R4700*100+$K4700)</f>
        <v>0</v>
      </c>
      <c r="T4700" s="37" t="str">
        <f aca="false">IF($A4700="","",IF($B4700="","NO ACCOUNT",IF($Q4700=0,"UNMAPPED",IF($R4700=-1,"OUTSIDE FY RANGE","OK"))))</f>
        <v/>
      </c>
      <c r="U4700" s="40" t="str">
        <f aca="false">IF($A4700="","",$B4700&amp;"|"&amp;TEXT($A4700,"yyyymmdd")&amp;"|"&amp;TEXT($I4700,"0.00"))</f>
        <v/>
      </c>
      <c r="V4700" s="35" t="str">
        <f aca="false">IF($A4700="","",COUNTIF($U$8:$U$5007,$U4700))</f>
        <v/>
      </c>
    </row>
    <row r="4701" customFormat="false" ht="15" hidden="false" customHeight="false" outlineLevel="0" collapsed="false">
      <c r="A4701" s="31"/>
      <c r="B4701" s="32"/>
      <c r="C4701" s="32"/>
      <c r="D4701" s="32"/>
      <c r="E4701" s="32"/>
      <c r="F4701" s="32"/>
      <c r="G4701" s="33"/>
      <c r="H4701" s="33"/>
      <c r="I4701" s="34" t="str">
        <f aca="false">IF($A4701="","",$G4701-$H4701)</f>
        <v/>
      </c>
      <c r="J4701" s="35" t="str">
        <f aca="false">IF($A4701="","",IF(Setup!$B$6=1,YEAR($A4701),YEAR($A4701)+IF(MONTH($A4701)&gt;=Setup!$B$6,1,0)))</f>
        <v/>
      </c>
      <c r="K4701" s="35" t="str">
        <f aca="false">IF($A4701="","",MOD(MONTH($A4701)-Setup!$B$6+12,12)+1)</f>
        <v/>
      </c>
      <c r="L4701" s="36" t="str">
        <f aca="false">IF($A4701="","",TEXT($A4701,"MMM-YY"))</f>
        <v/>
      </c>
      <c r="M4701" s="37" t="str">
        <f aca="false">IF($A4701="","",IF($Q4701=0,"UNMAPPED",INDEX(COA_Mapping!$C$7:$C$256,$Q4701)))</f>
        <v/>
      </c>
      <c r="N4701" s="38" t="str">
        <f aca="false">IF($A4701="","",IF($Q4701=0,"",INDEX(COA_Mapping!$E$7:$E$256,$Q4701)))</f>
        <v/>
      </c>
      <c r="O4701" s="38" t="n">
        <f aca="false">IF($A4701="",1,IF($Q4701=0,1,INDEX(COA_Mapping!$F$7:$F$256,$Q4701)))</f>
        <v>1</v>
      </c>
      <c r="P4701" s="34" t="str">
        <f aca="false">IF($A4701="","",$I4701*$O4701)</f>
        <v/>
      </c>
      <c r="Q4701" s="39" t="n">
        <f aca="false">IF($B4701="",0,IFERROR(MATCH($B4701,COA_Mapping!$A$7:$A$256,0),0))</f>
        <v>0</v>
      </c>
      <c r="R4701" s="39" t="n">
        <f aca="false">IF($A4701="",-1,IF($J4701=Setup!$B$7,1,IF($J4701=Setup!$B$9,0,-1)))</f>
        <v>-1</v>
      </c>
      <c r="S4701" s="35" t="n">
        <f aca="false">IF(OR($A4701="",$Q4701=0,$R4701=-1),0,$Q4701*1000+$R4701*100+$K4701)</f>
        <v>0</v>
      </c>
      <c r="T4701" s="37" t="str">
        <f aca="false">IF($A4701="","",IF($B4701="","NO ACCOUNT",IF($Q4701=0,"UNMAPPED",IF($R4701=-1,"OUTSIDE FY RANGE","OK"))))</f>
        <v/>
      </c>
      <c r="U4701" s="40" t="str">
        <f aca="false">IF($A4701="","",$B4701&amp;"|"&amp;TEXT($A4701,"yyyymmdd")&amp;"|"&amp;TEXT($I4701,"0.00"))</f>
        <v/>
      </c>
      <c r="V4701" s="35" t="str">
        <f aca="false">IF($A4701="","",COUNTIF($U$8:$U$5007,$U4701))</f>
        <v/>
      </c>
    </row>
    <row r="4702" customFormat="false" ht="15" hidden="false" customHeight="false" outlineLevel="0" collapsed="false">
      <c r="A4702" s="31"/>
      <c r="B4702" s="32"/>
      <c r="C4702" s="32"/>
      <c r="D4702" s="32"/>
      <c r="E4702" s="32"/>
      <c r="F4702" s="32"/>
      <c r="G4702" s="33"/>
      <c r="H4702" s="33"/>
      <c r="I4702" s="34" t="str">
        <f aca="false">IF($A4702="","",$G4702-$H4702)</f>
        <v/>
      </c>
      <c r="J4702" s="35" t="str">
        <f aca="false">IF($A4702="","",IF(Setup!$B$6=1,YEAR($A4702),YEAR($A4702)+IF(MONTH($A4702)&gt;=Setup!$B$6,1,0)))</f>
        <v/>
      </c>
      <c r="K4702" s="35" t="str">
        <f aca="false">IF($A4702="","",MOD(MONTH($A4702)-Setup!$B$6+12,12)+1)</f>
        <v/>
      </c>
      <c r="L4702" s="36" t="str">
        <f aca="false">IF($A4702="","",TEXT($A4702,"MMM-YY"))</f>
        <v/>
      </c>
      <c r="M4702" s="37" t="str">
        <f aca="false">IF($A4702="","",IF($Q4702=0,"UNMAPPED",INDEX(COA_Mapping!$C$7:$C$256,$Q4702)))</f>
        <v/>
      </c>
      <c r="N4702" s="38" t="str">
        <f aca="false">IF($A4702="","",IF($Q4702=0,"",INDEX(COA_Mapping!$E$7:$E$256,$Q4702)))</f>
        <v/>
      </c>
      <c r="O4702" s="38" t="n">
        <f aca="false">IF($A4702="",1,IF($Q4702=0,1,INDEX(COA_Mapping!$F$7:$F$256,$Q4702)))</f>
        <v>1</v>
      </c>
      <c r="P4702" s="34" t="str">
        <f aca="false">IF($A4702="","",$I4702*$O4702)</f>
        <v/>
      </c>
      <c r="Q4702" s="39" t="n">
        <f aca="false">IF($B4702="",0,IFERROR(MATCH($B4702,COA_Mapping!$A$7:$A$256,0),0))</f>
        <v>0</v>
      </c>
      <c r="R4702" s="39" t="n">
        <f aca="false">IF($A4702="",-1,IF($J4702=Setup!$B$7,1,IF($J4702=Setup!$B$9,0,-1)))</f>
        <v>-1</v>
      </c>
      <c r="S4702" s="35" t="n">
        <f aca="false">IF(OR($A4702="",$Q4702=0,$R4702=-1),0,$Q4702*1000+$R4702*100+$K4702)</f>
        <v>0</v>
      </c>
      <c r="T4702" s="37" t="str">
        <f aca="false">IF($A4702="","",IF($B4702="","NO ACCOUNT",IF($Q4702=0,"UNMAPPED",IF($R4702=-1,"OUTSIDE FY RANGE","OK"))))</f>
        <v/>
      </c>
      <c r="U4702" s="40" t="str">
        <f aca="false">IF($A4702="","",$B4702&amp;"|"&amp;TEXT($A4702,"yyyymmdd")&amp;"|"&amp;TEXT($I4702,"0.00"))</f>
        <v/>
      </c>
      <c r="V4702" s="35" t="str">
        <f aca="false">IF($A4702="","",COUNTIF($U$8:$U$5007,$U4702))</f>
        <v/>
      </c>
    </row>
    <row r="4703" customFormat="false" ht="15" hidden="false" customHeight="false" outlineLevel="0" collapsed="false">
      <c r="A4703" s="31"/>
      <c r="B4703" s="32"/>
      <c r="C4703" s="32"/>
      <c r="D4703" s="32"/>
      <c r="E4703" s="32"/>
      <c r="F4703" s="32"/>
      <c r="G4703" s="33"/>
      <c r="H4703" s="33"/>
      <c r="I4703" s="34" t="str">
        <f aca="false">IF($A4703="","",$G4703-$H4703)</f>
        <v/>
      </c>
      <c r="J4703" s="35" t="str">
        <f aca="false">IF($A4703="","",IF(Setup!$B$6=1,YEAR($A4703),YEAR($A4703)+IF(MONTH($A4703)&gt;=Setup!$B$6,1,0)))</f>
        <v/>
      </c>
      <c r="K4703" s="35" t="str">
        <f aca="false">IF($A4703="","",MOD(MONTH($A4703)-Setup!$B$6+12,12)+1)</f>
        <v/>
      </c>
      <c r="L4703" s="36" t="str">
        <f aca="false">IF($A4703="","",TEXT($A4703,"MMM-YY"))</f>
        <v/>
      </c>
      <c r="M4703" s="37" t="str">
        <f aca="false">IF($A4703="","",IF($Q4703=0,"UNMAPPED",INDEX(COA_Mapping!$C$7:$C$256,$Q4703)))</f>
        <v/>
      </c>
      <c r="N4703" s="38" t="str">
        <f aca="false">IF($A4703="","",IF($Q4703=0,"",INDEX(COA_Mapping!$E$7:$E$256,$Q4703)))</f>
        <v/>
      </c>
      <c r="O4703" s="38" t="n">
        <f aca="false">IF($A4703="",1,IF($Q4703=0,1,INDEX(COA_Mapping!$F$7:$F$256,$Q4703)))</f>
        <v>1</v>
      </c>
      <c r="P4703" s="34" t="str">
        <f aca="false">IF($A4703="","",$I4703*$O4703)</f>
        <v/>
      </c>
      <c r="Q4703" s="39" t="n">
        <f aca="false">IF($B4703="",0,IFERROR(MATCH($B4703,COA_Mapping!$A$7:$A$256,0),0))</f>
        <v>0</v>
      </c>
      <c r="R4703" s="39" t="n">
        <f aca="false">IF($A4703="",-1,IF($J4703=Setup!$B$7,1,IF($J4703=Setup!$B$9,0,-1)))</f>
        <v>-1</v>
      </c>
      <c r="S4703" s="35" t="n">
        <f aca="false">IF(OR($A4703="",$Q4703=0,$R4703=-1),0,$Q4703*1000+$R4703*100+$K4703)</f>
        <v>0</v>
      </c>
      <c r="T4703" s="37" t="str">
        <f aca="false">IF($A4703="","",IF($B4703="","NO ACCOUNT",IF($Q4703=0,"UNMAPPED",IF($R4703=-1,"OUTSIDE FY RANGE","OK"))))</f>
        <v/>
      </c>
      <c r="U4703" s="40" t="str">
        <f aca="false">IF($A4703="","",$B4703&amp;"|"&amp;TEXT($A4703,"yyyymmdd")&amp;"|"&amp;TEXT($I4703,"0.00"))</f>
        <v/>
      </c>
      <c r="V4703" s="35" t="str">
        <f aca="false">IF($A4703="","",COUNTIF($U$8:$U$5007,$U4703))</f>
        <v/>
      </c>
    </row>
    <row r="4704" customFormat="false" ht="15" hidden="false" customHeight="false" outlineLevel="0" collapsed="false">
      <c r="A4704" s="31"/>
      <c r="B4704" s="32"/>
      <c r="C4704" s="32"/>
      <c r="D4704" s="32"/>
      <c r="E4704" s="32"/>
      <c r="F4704" s="32"/>
      <c r="G4704" s="33"/>
      <c r="H4704" s="33"/>
      <c r="I4704" s="34" t="str">
        <f aca="false">IF($A4704="","",$G4704-$H4704)</f>
        <v/>
      </c>
      <c r="J4704" s="35" t="str">
        <f aca="false">IF($A4704="","",IF(Setup!$B$6=1,YEAR($A4704),YEAR($A4704)+IF(MONTH($A4704)&gt;=Setup!$B$6,1,0)))</f>
        <v/>
      </c>
      <c r="K4704" s="35" t="str">
        <f aca="false">IF($A4704="","",MOD(MONTH($A4704)-Setup!$B$6+12,12)+1)</f>
        <v/>
      </c>
      <c r="L4704" s="36" t="str">
        <f aca="false">IF($A4704="","",TEXT($A4704,"MMM-YY"))</f>
        <v/>
      </c>
      <c r="M4704" s="37" t="str">
        <f aca="false">IF($A4704="","",IF($Q4704=0,"UNMAPPED",INDEX(COA_Mapping!$C$7:$C$256,$Q4704)))</f>
        <v/>
      </c>
      <c r="N4704" s="38" t="str">
        <f aca="false">IF($A4704="","",IF($Q4704=0,"",INDEX(COA_Mapping!$E$7:$E$256,$Q4704)))</f>
        <v/>
      </c>
      <c r="O4704" s="38" t="n">
        <f aca="false">IF($A4704="",1,IF($Q4704=0,1,INDEX(COA_Mapping!$F$7:$F$256,$Q4704)))</f>
        <v>1</v>
      </c>
      <c r="P4704" s="34" t="str">
        <f aca="false">IF($A4704="","",$I4704*$O4704)</f>
        <v/>
      </c>
      <c r="Q4704" s="39" t="n">
        <f aca="false">IF($B4704="",0,IFERROR(MATCH($B4704,COA_Mapping!$A$7:$A$256,0),0))</f>
        <v>0</v>
      </c>
      <c r="R4704" s="39" t="n">
        <f aca="false">IF($A4704="",-1,IF($J4704=Setup!$B$7,1,IF($J4704=Setup!$B$9,0,-1)))</f>
        <v>-1</v>
      </c>
      <c r="S4704" s="35" t="n">
        <f aca="false">IF(OR($A4704="",$Q4704=0,$R4704=-1),0,$Q4704*1000+$R4704*100+$K4704)</f>
        <v>0</v>
      </c>
      <c r="T4704" s="37" t="str">
        <f aca="false">IF($A4704="","",IF($B4704="","NO ACCOUNT",IF($Q4704=0,"UNMAPPED",IF($R4704=-1,"OUTSIDE FY RANGE","OK"))))</f>
        <v/>
      </c>
      <c r="U4704" s="40" t="str">
        <f aca="false">IF($A4704="","",$B4704&amp;"|"&amp;TEXT($A4704,"yyyymmdd")&amp;"|"&amp;TEXT($I4704,"0.00"))</f>
        <v/>
      </c>
      <c r="V4704" s="35" t="str">
        <f aca="false">IF($A4704="","",COUNTIF($U$8:$U$5007,$U4704))</f>
        <v/>
      </c>
    </row>
    <row r="4705" customFormat="false" ht="15" hidden="false" customHeight="false" outlineLevel="0" collapsed="false">
      <c r="A4705" s="31"/>
      <c r="B4705" s="32"/>
      <c r="C4705" s="32"/>
      <c r="D4705" s="32"/>
      <c r="E4705" s="32"/>
      <c r="F4705" s="32"/>
      <c r="G4705" s="33"/>
      <c r="H4705" s="33"/>
      <c r="I4705" s="34" t="str">
        <f aca="false">IF($A4705="","",$G4705-$H4705)</f>
        <v/>
      </c>
      <c r="J4705" s="35" t="str">
        <f aca="false">IF($A4705="","",IF(Setup!$B$6=1,YEAR($A4705),YEAR($A4705)+IF(MONTH($A4705)&gt;=Setup!$B$6,1,0)))</f>
        <v/>
      </c>
      <c r="K4705" s="35" t="str">
        <f aca="false">IF($A4705="","",MOD(MONTH($A4705)-Setup!$B$6+12,12)+1)</f>
        <v/>
      </c>
      <c r="L4705" s="36" t="str">
        <f aca="false">IF($A4705="","",TEXT($A4705,"MMM-YY"))</f>
        <v/>
      </c>
      <c r="M4705" s="37" t="str">
        <f aca="false">IF($A4705="","",IF($Q4705=0,"UNMAPPED",INDEX(COA_Mapping!$C$7:$C$256,$Q4705)))</f>
        <v/>
      </c>
      <c r="N4705" s="38" t="str">
        <f aca="false">IF($A4705="","",IF($Q4705=0,"",INDEX(COA_Mapping!$E$7:$E$256,$Q4705)))</f>
        <v/>
      </c>
      <c r="O4705" s="38" t="n">
        <f aca="false">IF($A4705="",1,IF($Q4705=0,1,INDEX(COA_Mapping!$F$7:$F$256,$Q4705)))</f>
        <v>1</v>
      </c>
      <c r="P4705" s="34" t="str">
        <f aca="false">IF($A4705="","",$I4705*$O4705)</f>
        <v/>
      </c>
      <c r="Q4705" s="39" t="n">
        <f aca="false">IF($B4705="",0,IFERROR(MATCH($B4705,COA_Mapping!$A$7:$A$256,0),0))</f>
        <v>0</v>
      </c>
      <c r="R4705" s="39" t="n">
        <f aca="false">IF($A4705="",-1,IF($J4705=Setup!$B$7,1,IF($J4705=Setup!$B$9,0,-1)))</f>
        <v>-1</v>
      </c>
      <c r="S4705" s="35" t="n">
        <f aca="false">IF(OR($A4705="",$Q4705=0,$R4705=-1),0,$Q4705*1000+$R4705*100+$K4705)</f>
        <v>0</v>
      </c>
      <c r="T4705" s="37" t="str">
        <f aca="false">IF($A4705="","",IF($B4705="","NO ACCOUNT",IF($Q4705=0,"UNMAPPED",IF($R4705=-1,"OUTSIDE FY RANGE","OK"))))</f>
        <v/>
      </c>
      <c r="U4705" s="40" t="str">
        <f aca="false">IF($A4705="","",$B4705&amp;"|"&amp;TEXT($A4705,"yyyymmdd")&amp;"|"&amp;TEXT($I4705,"0.00"))</f>
        <v/>
      </c>
      <c r="V4705" s="35" t="str">
        <f aca="false">IF($A4705="","",COUNTIF($U$8:$U$5007,$U4705))</f>
        <v/>
      </c>
    </row>
    <row r="4706" customFormat="false" ht="15" hidden="false" customHeight="false" outlineLevel="0" collapsed="false">
      <c r="A4706" s="31"/>
      <c r="B4706" s="32"/>
      <c r="C4706" s="32"/>
      <c r="D4706" s="32"/>
      <c r="E4706" s="32"/>
      <c r="F4706" s="32"/>
      <c r="G4706" s="33"/>
      <c r="H4706" s="33"/>
      <c r="I4706" s="34" t="str">
        <f aca="false">IF($A4706="","",$G4706-$H4706)</f>
        <v/>
      </c>
      <c r="J4706" s="35" t="str">
        <f aca="false">IF($A4706="","",IF(Setup!$B$6=1,YEAR($A4706),YEAR($A4706)+IF(MONTH($A4706)&gt;=Setup!$B$6,1,0)))</f>
        <v/>
      </c>
      <c r="K4706" s="35" t="str">
        <f aca="false">IF($A4706="","",MOD(MONTH($A4706)-Setup!$B$6+12,12)+1)</f>
        <v/>
      </c>
      <c r="L4706" s="36" t="str">
        <f aca="false">IF($A4706="","",TEXT($A4706,"MMM-YY"))</f>
        <v/>
      </c>
      <c r="M4706" s="37" t="str">
        <f aca="false">IF($A4706="","",IF($Q4706=0,"UNMAPPED",INDEX(COA_Mapping!$C$7:$C$256,$Q4706)))</f>
        <v/>
      </c>
      <c r="N4706" s="38" t="str">
        <f aca="false">IF($A4706="","",IF($Q4706=0,"",INDEX(COA_Mapping!$E$7:$E$256,$Q4706)))</f>
        <v/>
      </c>
      <c r="O4706" s="38" t="n">
        <f aca="false">IF($A4706="",1,IF($Q4706=0,1,INDEX(COA_Mapping!$F$7:$F$256,$Q4706)))</f>
        <v>1</v>
      </c>
      <c r="P4706" s="34" t="str">
        <f aca="false">IF($A4706="","",$I4706*$O4706)</f>
        <v/>
      </c>
      <c r="Q4706" s="39" t="n">
        <f aca="false">IF($B4706="",0,IFERROR(MATCH($B4706,COA_Mapping!$A$7:$A$256,0),0))</f>
        <v>0</v>
      </c>
      <c r="R4706" s="39" t="n">
        <f aca="false">IF($A4706="",-1,IF($J4706=Setup!$B$7,1,IF($J4706=Setup!$B$9,0,-1)))</f>
        <v>-1</v>
      </c>
      <c r="S4706" s="35" t="n">
        <f aca="false">IF(OR($A4706="",$Q4706=0,$R4706=-1),0,$Q4706*1000+$R4706*100+$K4706)</f>
        <v>0</v>
      </c>
      <c r="T4706" s="37" t="str">
        <f aca="false">IF($A4706="","",IF($B4706="","NO ACCOUNT",IF($Q4706=0,"UNMAPPED",IF($R4706=-1,"OUTSIDE FY RANGE","OK"))))</f>
        <v/>
      </c>
      <c r="U4706" s="40" t="str">
        <f aca="false">IF($A4706="","",$B4706&amp;"|"&amp;TEXT($A4706,"yyyymmdd")&amp;"|"&amp;TEXT($I4706,"0.00"))</f>
        <v/>
      </c>
      <c r="V4706" s="35" t="str">
        <f aca="false">IF($A4706="","",COUNTIF($U$8:$U$5007,$U4706))</f>
        <v/>
      </c>
    </row>
    <row r="4707" customFormat="false" ht="15" hidden="false" customHeight="false" outlineLevel="0" collapsed="false">
      <c r="A4707" s="31"/>
      <c r="B4707" s="32"/>
      <c r="C4707" s="32"/>
      <c r="D4707" s="32"/>
      <c r="E4707" s="32"/>
      <c r="F4707" s="32"/>
      <c r="G4707" s="33"/>
      <c r="H4707" s="33"/>
      <c r="I4707" s="34" t="str">
        <f aca="false">IF($A4707="","",$G4707-$H4707)</f>
        <v/>
      </c>
      <c r="J4707" s="35" t="str">
        <f aca="false">IF($A4707="","",IF(Setup!$B$6=1,YEAR($A4707),YEAR($A4707)+IF(MONTH($A4707)&gt;=Setup!$B$6,1,0)))</f>
        <v/>
      </c>
      <c r="K4707" s="35" t="str">
        <f aca="false">IF($A4707="","",MOD(MONTH($A4707)-Setup!$B$6+12,12)+1)</f>
        <v/>
      </c>
      <c r="L4707" s="36" t="str">
        <f aca="false">IF($A4707="","",TEXT($A4707,"MMM-YY"))</f>
        <v/>
      </c>
      <c r="M4707" s="37" t="str">
        <f aca="false">IF($A4707="","",IF($Q4707=0,"UNMAPPED",INDEX(COA_Mapping!$C$7:$C$256,$Q4707)))</f>
        <v/>
      </c>
      <c r="N4707" s="38" t="str">
        <f aca="false">IF($A4707="","",IF($Q4707=0,"",INDEX(COA_Mapping!$E$7:$E$256,$Q4707)))</f>
        <v/>
      </c>
      <c r="O4707" s="38" t="n">
        <f aca="false">IF($A4707="",1,IF($Q4707=0,1,INDEX(COA_Mapping!$F$7:$F$256,$Q4707)))</f>
        <v>1</v>
      </c>
      <c r="P4707" s="34" t="str">
        <f aca="false">IF($A4707="","",$I4707*$O4707)</f>
        <v/>
      </c>
      <c r="Q4707" s="39" t="n">
        <f aca="false">IF($B4707="",0,IFERROR(MATCH($B4707,COA_Mapping!$A$7:$A$256,0),0))</f>
        <v>0</v>
      </c>
      <c r="R4707" s="39" t="n">
        <f aca="false">IF($A4707="",-1,IF($J4707=Setup!$B$7,1,IF($J4707=Setup!$B$9,0,-1)))</f>
        <v>-1</v>
      </c>
      <c r="S4707" s="35" t="n">
        <f aca="false">IF(OR($A4707="",$Q4707=0,$R4707=-1),0,$Q4707*1000+$R4707*100+$K4707)</f>
        <v>0</v>
      </c>
      <c r="T4707" s="37" t="str">
        <f aca="false">IF($A4707="","",IF($B4707="","NO ACCOUNT",IF($Q4707=0,"UNMAPPED",IF($R4707=-1,"OUTSIDE FY RANGE","OK"))))</f>
        <v/>
      </c>
      <c r="U4707" s="40" t="str">
        <f aca="false">IF($A4707="","",$B4707&amp;"|"&amp;TEXT($A4707,"yyyymmdd")&amp;"|"&amp;TEXT($I4707,"0.00"))</f>
        <v/>
      </c>
      <c r="V4707" s="35" t="str">
        <f aca="false">IF($A4707="","",COUNTIF($U$8:$U$5007,$U4707))</f>
        <v/>
      </c>
    </row>
    <row r="4708" customFormat="false" ht="15" hidden="false" customHeight="false" outlineLevel="0" collapsed="false">
      <c r="A4708" s="31"/>
      <c r="B4708" s="32"/>
      <c r="C4708" s="32"/>
      <c r="D4708" s="32"/>
      <c r="E4708" s="32"/>
      <c r="F4708" s="32"/>
      <c r="G4708" s="33"/>
      <c r="H4708" s="33"/>
      <c r="I4708" s="34" t="str">
        <f aca="false">IF($A4708="","",$G4708-$H4708)</f>
        <v/>
      </c>
      <c r="J4708" s="35" t="str">
        <f aca="false">IF($A4708="","",IF(Setup!$B$6=1,YEAR($A4708),YEAR($A4708)+IF(MONTH($A4708)&gt;=Setup!$B$6,1,0)))</f>
        <v/>
      </c>
      <c r="K4708" s="35" t="str">
        <f aca="false">IF($A4708="","",MOD(MONTH($A4708)-Setup!$B$6+12,12)+1)</f>
        <v/>
      </c>
      <c r="L4708" s="36" t="str">
        <f aca="false">IF($A4708="","",TEXT($A4708,"MMM-YY"))</f>
        <v/>
      </c>
      <c r="M4708" s="37" t="str">
        <f aca="false">IF($A4708="","",IF($Q4708=0,"UNMAPPED",INDEX(COA_Mapping!$C$7:$C$256,$Q4708)))</f>
        <v/>
      </c>
      <c r="N4708" s="38" t="str">
        <f aca="false">IF($A4708="","",IF($Q4708=0,"",INDEX(COA_Mapping!$E$7:$E$256,$Q4708)))</f>
        <v/>
      </c>
      <c r="O4708" s="38" t="n">
        <f aca="false">IF($A4708="",1,IF($Q4708=0,1,INDEX(COA_Mapping!$F$7:$F$256,$Q4708)))</f>
        <v>1</v>
      </c>
      <c r="P4708" s="34" t="str">
        <f aca="false">IF($A4708="","",$I4708*$O4708)</f>
        <v/>
      </c>
      <c r="Q4708" s="39" t="n">
        <f aca="false">IF($B4708="",0,IFERROR(MATCH($B4708,COA_Mapping!$A$7:$A$256,0),0))</f>
        <v>0</v>
      </c>
      <c r="R4708" s="39" t="n">
        <f aca="false">IF($A4708="",-1,IF($J4708=Setup!$B$7,1,IF($J4708=Setup!$B$9,0,-1)))</f>
        <v>-1</v>
      </c>
      <c r="S4708" s="35" t="n">
        <f aca="false">IF(OR($A4708="",$Q4708=0,$R4708=-1),0,$Q4708*1000+$R4708*100+$K4708)</f>
        <v>0</v>
      </c>
      <c r="T4708" s="37" t="str">
        <f aca="false">IF($A4708="","",IF($B4708="","NO ACCOUNT",IF($Q4708=0,"UNMAPPED",IF($R4708=-1,"OUTSIDE FY RANGE","OK"))))</f>
        <v/>
      </c>
      <c r="U4708" s="40" t="str">
        <f aca="false">IF($A4708="","",$B4708&amp;"|"&amp;TEXT($A4708,"yyyymmdd")&amp;"|"&amp;TEXT($I4708,"0.00"))</f>
        <v/>
      </c>
      <c r="V4708" s="35" t="str">
        <f aca="false">IF($A4708="","",COUNTIF($U$8:$U$5007,$U4708))</f>
        <v/>
      </c>
    </row>
    <row r="4709" customFormat="false" ht="15" hidden="false" customHeight="false" outlineLevel="0" collapsed="false">
      <c r="A4709" s="31"/>
      <c r="B4709" s="32"/>
      <c r="C4709" s="32"/>
      <c r="D4709" s="32"/>
      <c r="E4709" s="32"/>
      <c r="F4709" s="32"/>
      <c r="G4709" s="33"/>
      <c r="H4709" s="33"/>
      <c r="I4709" s="34" t="str">
        <f aca="false">IF($A4709="","",$G4709-$H4709)</f>
        <v/>
      </c>
      <c r="J4709" s="35" t="str">
        <f aca="false">IF($A4709="","",IF(Setup!$B$6=1,YEAR($A4709),YEAR($A4709)+IF(MONTH($A4709)&gt;=Setup!$B$6,1,0)))</f>
        <v/>
      </c>
      <c r="K4709" s="35" t="str">
        <f aca="false">IF($A4709="","",MOD(MONTH($A4709)-Setup!$B$6+12,12)+1)</f>
        <v/>
      </c>
      <c r="L4709" s="36" t="str">
        <f aca="false">IF($A4709="","",TEXT($A4709,"MMM-YY"))</f>
        <v/>
      </c>
      <c r="M4709" s="37" t="str">
        <f aca="false">IF($A4709="","",IF($Q4709=0,"UNMAPPED",INDEX(COA_Mapping!$C$7:$C$256,$Q4709)))</f>
        <v/>
      </c>
      <c r="N4709" s="38" t="str">
        <f aca="false">IF($A4709="","",IF($Q4709=0,"",INDEX(COA_Mapping!$E$7:$E$256,$Q4709)))</f>
        <v/>
      </c>
      <c r="O4709" s="38" t="n">
        <f aca="false">IF($A4709="",1,IF($Q4709=0,1,INDEX(COA_Mapping!$F$7:$F$256,$Q4709)))</f>
        <v>1</v>
      </c>
      <c r="P4709" s="34" t="str">
        <f aca="false">IF($A4709="","",$I4709*$O4709)</f>
        <v/>
      </c>
      <c r="Q4709" s="39" t="n">
        <f aca="false">IF($B4709="",0,IFERROR(MATCH($B4709,COA_Mapping!$A$7:$A$256,0),0))</f>
        <v>0</v>
      </c>
      <c r="R4709" s="39" t="n">
        <f aca="false">IF($A4709="",-1,IF($J4709=Setup!$B$7,1,IF($J4709=Setup!$B$9,0,-1)))</f>
        <v>-1</v>
      </c>
      <c r="S4709" s="35" t="n">
        <f aca="false">IF(OR($A4709="",$Q4709=0,$R4709=-1),0,$Q4709*1000+$R4709*100+$K4709)</f>
        <v>0</v>
      </c>
      <c r="T4709" s="37" t="str">
        <f aca="false">IF($A4709="","",IF($B4709="","NO ACCOUNT",IF($Q4709=0,"UNMAPPED",IF($R4709=-1,"OUTSIDE FY RANGE","OK"))))</f>
        <v/>
      </c>
      <c r="U4709" s="40" t="str">
        <f aca="false">IF($A4709="","",$B4709&amp;"|"&amp;TEXT($A4709,"yyyymmdd")&amp;"|"&amp;TEXT($I4709,"0.00"))</f>
        <v/>
      </c>
      <c r="V4709" s="35" t="str">
        <f aca="false">IF($A4709="","",COUNTIF($U$8:$U$5007,$U4709))</f>
        <v/>
      </c>
    </row>
    <row r="4710" customFormat="false" ht="15" hidden="false" customHeight="false" outlineLevel="0" collapsed="false">
      <c r="A4710" s="31"/>
      <c r="B4710" s="32"/>
      <c r="C4710" s="32"/>
      <c r="D4710" s="32"/>
      <c r="E4710" s="32"/>
      <c r="F4710" s="32"/>
      <c r="G4710" s="33"/>
      <c r="H4710" s="33"/>
      <c r="I4710" s="34" t="str">
        <f aca="false">IF($A4710="","",$G4710-$H4710)</f>
        <v/>
      </c>
      <c r="J4710" s="35" t="str">
        <f aca="false">IF($A4710="","",IF(Setup!$B$6=1,YEAR($A4710),YEAR($A4710)+IF(MONTH($A4710)&gt;=Setup!$B$6,1,0)))</f>
        <v/>
      </c>
      <c r="K4710" s="35" t="str">
        <f aca="false">IF($A4710="","",MOD(MONTH($A4710)-Setup!$B$6+12,12)+1)</f>
        <v/>
      </c>
      <c r="L4710" s="36" t="str">
        <f aca="false">IF($A4710="","",TEXT($A4710,"MMM-YY"))</f>
        <v/>
      </c>
      <c r="M4710" s="37" t="str">
        <f aca="false">IF($A4710="","",IF($Q4710=0,"UNMAPPED",INDEX(COA_Mapping!$C$7:$C$256,$Q4710)))</f>
        <v/>
      </c>
      <c r="N4710" s="38" t="str">
        <f aca="false">IF($A4710="","",IF($Q4710=0,"",INDEX(COA_Mapping!$E$7:$E$256,$Q4710)))</f>
        <v/>
      </c>
      <c r="O4710" s="38" t="n">
        <f aca="false">IF($A4710="",1,IF($Q4710=0,1,INDEX(COA_Mapping!$F$7:$F$256,$Q4710)))</f>
        <v>1</v>
      </c>
      <c r="P4710" s="34" t="str">
        <f aca="false">IF($A4710="","",$I4710*$O4710)</f>
        <v/>
      </c>
      <c r="Q4710" s="39" t="n">
        <f aca="false">IF($B4710="",0,IFERROR(MATCH($B4710,COA_Mapping!$A$7:$A$256,0),0))</f>
        <v>0</v>
      </c>
      <c r="R4710" s="39" t="n">
        <f aca="false">IF($A4710="",-1,IF($J4710=Setup!$B$7,1,IF($J4710=Setup!$B$9,0,-1)))</f>
        <v>-1</v>
      </c>
      <c r="S4710" s="35" t="n">
        <f aca="false">IF(OR($A4710="",$Q4710=0,$R4710=-1),0,$Q4710*1000+$R4710*100+$K4710)</f>
        <v>0</v>
      </c>
      <c r="T4710" s="37" t="str">
        <f aca="false">IF($A4710="","",IF($B4710="","NO ACCOUNT",IF($Q4710=0,"UNMAPPED",IF($R4710=-1,"OUTSIDE FY RANGE","OK"))))</f>
        <v/>
      </c>
      <c r="U4710" s="40" t="str">
        <f aca="false">IF($A4710="","",$B4710&amp;"|"&amp;TEXT($A4710,"yyyymmdd")&amp;"|"&amp;TEXT($I4710,"0.00"))</f>
        <v/>
      </c>
      <c r="V4710" s="35" t="str">
        <f aca="false">IF($A4710="","",COUNTIF($U$8:$U$5007,$U4710))</f>
        <v/>
      </c>
    </row>
    <row r="4711" customFormat="false" ht="15" hidden="false" customHeight="false" outlineLevel="0" collapsed="false">
      <c r="A4711" s="31"/>
      <c r="B4711" s="32"/>
      <c r="C4711" s="32"/>
      <c r="D4711" s="32"/>
      <c r="E4711" s="32"/>
      <c r="F4711" s="32"/>
      <c r="G4711" s="33"/>
      <c r="H4711" s="33"/>
      <c r="I4711" s="34" t="str">
        <f aca="false">IF($A4711="","",$G4711-$H4711)</f>
        <v/>
      </c>
      <c r="J4711" s="35" t="str">
        <f aca="false">IF($A4711="","",IF(Setup!$B$6=1,YEAR($A4711),YEAR($A4711)+IF(MONTH($A4711)&gt;=Setup!$B$6,1,0)))</f>
        <v/>
      </c>
      <c r="K4711" s="35" t="str">
        <f aca="false">IF($A4711="","",MOD(MONTH($A4711)-Setup!$B$6+12,12)+1)</f>
        <v/>
      </c>
      <c r="L4711" s="36" t="str">
        <f aca="false">IF($A4711="","",TEXT($A4711,"MMM-YY"))</f>
        <v/>
      </c>
      <c r="M4711" s="37" t="str">
        <f aca="false">IF($A4711="","",IF($Q4711=0,"UNMAPPED",INDEX(COA_Mapping!$C$7:$C$256,$Q4711)))</f>
        <v/>
      </c>
      <c r="N4711" s="38" t="str">
        <f aca="false">IF($A4711="","",IF($Q4711=0,"",INDEX(COA_Mapping!$E$7:$E$256,$Q4711)))</f>
        <v/>
      </c>
      <c r="O4711" s="38" t="n">
        <f aca="false">IF($A4711="",1,IF($Q4711=0,1,INDEX(COA_Mapping!$F$7:$F$256,$Q4711)))</f>
        <v>1</v>
      </c>
      <c r="P4711" s="34" t="str">
        <f aca="false">IF($A4711="","",$I4711*$O4711)</f>
        <v/>
      </c>
      <c r="Q4711" s="39" t="n">
        <f aca="false">IF($B4711="",0,IFERROR(MATCH($B4711,COA_Mapping!$A$7:$A$256,0),0))</f>
        <v>0</v>
      </c>
      <c r="R4711" s="39" t="n">
        <f aca="false">IF($A4711="",-1,IF($J4711=Setup!$B$7,1,IF($J4711=Setup!$B$9,0,-1)))</f>
        <v>-1</v>
      </c>
      <c r="S4711" s="35" t="n">
        <f aca="false">IF(OR($A4711="",$Q4711=0,$R4711=-1),0,$Q4711*1000+$R4711*100+$K4711)</f>
        <v>0</v>
      </c>
      <c r="T4711" s="37" t="str">
        <f aca="false">IF($A4711="","",IF($B4711="","NO ACCOUNT",IF($Q4711=0,"UNMAPPED",IF($R4711=-1,"OUTSIDE FY RANGE","OK"))))</f>
        <v/>
      </c>
      <c r="U4711" s="40" t="str">
        <f aca="false">IF($A4711="","",$B4711&amp;"|"&amp;TEXT($A4711,"yyyymmdd")&amp;"|"&amp;TEXT($I4711,"0.00"))</f>
        <v/>
      </c>
      <c r="V4711" s="35" t="str">
        <f aca="false">IF($A4711="","",COUNTIF($U$8:$U$5007,$U4711))</f>
        <v/>
      </c>
    </row>
    <row r="4712" customFormat="false" ht="15" hidden="false" customHeight="false" outlineLevel="0" collapsed="false">
      <c r="A4712" s="31"/>
      <c r="B4712" s="32"/>
      <c r="C4712" s="32"/>
      <c r="D4712" s="32"/>
      <c r="E4712" s="32"/>
      <c r="F4712" s="32"/>
      <c r="G4712" s="33"/>
      <c r="H4712" s="33"/>
      <c r="I4712" s="34" t="str">
        <f aca="false">IF($A4712="","",$G4712-$H4712)</f>
        <v/>
      </c>
      <c r="J4712" s="35" t="str">
        <f aca="false">IF($A4712="","",IF(Setup!$B$6=1,YEAR($A4712),YEAR($A4712)+IF(MONTH($A4712)&gt;=Setup!$B$6,1,0)))</f>
        <v/>
      </c>
      <c r="K4712" s="35" t="str">
        <f aca="false">IF($A4712="","",MOD(MONTH($A4712)-Setup!$B$6+12,12)+1)</f>
        <v/>
      </c>
      <c r="L4712" s="36" t="str">
        <f aca="false">IF($A4712="","",TEXT($A4712,"MMM-YY"))</f>
        <v/>
      </c>
      <c r="M4712" s="37" t="str">
        <f aca="false">IF($A4712="","",IF($Q4712=0,"UNMAPPED",INDEX(COA_Mapping!$C$7:$C$256,$Q4712)))</f>
        <v/>
      </c>
      <c r="N4712" s="38" t="str">
        <f aca="false">IF($A4712="","",IF($Q4712=0,"",INDEX(COA_Mapping!$E$7:$E$256,$Q4712)))</f>
        <v/>
      </c>
      <c r="O4712" s="38" t="n">
        <f aca="false">IF($A4712="",1,IF($Q4712=0,1,INDEX(COA_Mapping!$F$7:$F$256,$Q4712)))</f>
        <v>1</v>
      </c>
      <c r="P4712" s="34" t="str">
        <f aca="false">IF($A4712="","",$I4712*$O4712)</f>
        <v/>
      </c>
      <c r="Q4712" s="39" t="n">
        <f aca="false">IF($B4712="",0,IFERROR(MATCH($B4712,COA_Mapping!$A$7:$A$256,0),0))</f>
        <v>0</v>
      </c>
      <c r="R4712" s="39" t="n">
        <f aca="false">IF($A4712="",-1,IF($J4712=Setup!$B$7,1,IF($J4712=Setup!$B$9,0,-1)))</f>
        <v>-1</v>
      </c>
      <c r="S4712" s="35" t="n">
        <f aca="false">IF(OR($A4712="",$Q4712=0,$R4712=-1),0,$Q4712*1000+$R4712*100+$K4712)</f>
        <v>0</v>
      </c>
      <c r="T4712" s="37" t="str">
        <f aca="false">IF($A4712="","",IF($B4712="","NO ACCOUNT",IF($Q4712=0,"UNMAPPED",IF($R4712=-1,"OUTSIDE FY RANGE","OK"))))</f>
        <v/>
      </c>
      <c r="U4712" s="40" t="str">
        <f aca="false">IF($A4712="","",$B4712&amp;"|"&amp;TEXT($A4712,"yyyymmdd")&amp;"|"&amp;TEXT($I4712,"0.00"))</f>
        <v/>
      </c>
      <c r="V4712" s="35" t="str">
        <f aca="false">IF($A4712="","",COUNTIF($U$8:$U$5007,$U4712))</f>
        <v/>
      </c>
    </row>
    <row r="4713" customFormat="false" ht="15" hidden="false" customHeight="false" outlineLevel="0" collapsed="false">
      <c r="A4713" s="31"/>
      <c r="B4713" s="32"/>
      <c r="C4713" s="32"/>
      <c r="D4713" s="32"/>
      <c r="E4713" s="32"/>
      <c r="F4713" s="32"/>
      <c r="G4713" s="33"/>
      <c r="H4713" s="33"/>
      <c r="I4713" s="34" t="str">
        <f aca="false">IF($A4713="","",$G4713-$H4713)</f>
        <v/>
      </c>
      <c r="J4713" s="35" t="str">
        <f aca="false">IF($A4713="","",IF(Setup!$B$6=1,YEAR($A4713),YEAR($A4713)+IF(MONTH($A4713)&gt;=Setup!$B$6,1,0)))</f>
        <v/>
      </c>
      <c r="K4713" s="35" t="str">
        <f aca="false">IF($A4713="","",MOD(MONTH($A4713)-Setup!$B$6+12,12)+1)</f>
        <v/>
      </c>
      <c r="L4713" s="36" t="str">
        <f aca="false">IF($A4713="","",TEXT($A4713,"MMM-YY"))</f>
        <v/>
      </c>
      <c r="M4713" s="37" t="str">
        <f aca="false">IF($A4713="","",IF($Q4713=0,"UNMAPPED",INDEX(COA_Mapping!$C$7:$C$256,$Q4713)))</f>
        <v/>
      </c>
      <c r="N4713" s="38" t="str">
        <f aca="false">IF($A4713="","",IF($Q4713=0,"",INDEX(COA_Mapping!$E$7:$E$256,$Q4713)))</f>
        <v/>
      </c>
      <c r="O4713" s="38" t="n">
        <f aca="false">IF($A4713="",1,IF($Q4713=0,1,INDEX(COA_Mapping!$F$7:$F$256,$Q4713)))</f>
        <v>1</v>
      </c>
      <c r="P4713" s="34" t="str">
        <f aca="false">IF($A4713="","",$I4713*$O4713)</f>
        <v/>
      </c>
      <c r="Q4713" s="39" t="n">
        <f aca="false">IF($B4713="",0,IFERROR(MATCH($B4713,COA_Mapping!$A$7:$A$256,0),0))</f>
        <v>0</v>
      </c>
      <c r="R4713" s="39" t="n">
        <f aca="false">IF($A4713="",-1,IF($J4713=Setup!$B$7,1,IF($J4713=Setup!$B$9,0,-1)))</f>
        <v>-1</v>
      </c>
      <c r="S4713" s="35" t="n">
        <f aca="false">IF(OR($A4713="",$Q4713=0,$R4713=-1),0,$Q4713*1000+$R4713*100+$K4713)</f>
        <v>0</v>
      </c>
      <c r="T4713" s="37" t="str">
        <f aca="false">IF($A4713="","",IF($B4713="","NO ACCOUNT",IF($Q4713=0,"UNMAPPED",IF($R4713=-1,"OUTSIDE FY RANGE","OK"))))</f>
        <v/>
      </c>
      <c r="U4713" s="40" t="str">
        <f aca="false">IF($A4713="","",$B4713&amp;"|"&amp;TEXT($A4713,"yyyymmdd")&amp;"|"&amp;TEXT($I4713,"0.00"))</f>
        <v/>
      </c>
      <c r="V4713" s="35" t="str">
        <f aca="false">IF($A4713="","",COUNTIF($U$8:$U$5007,$U4713))</f>
        <v/>
      </c>
    </row>
    <row r="4714" customFormat="false" ht="15" hidden="false" customHeight="false" outlineLevel="0" collapsed="false">
      <c r="A4714" s="31"/>
      <c r="B4714" s="32"/>
      <c r="C4714" s="32"/>
      <c r="D4714" s="32"/>
      <c r="E4714" s="32"/>
      <c r="F4714" s="32"/>
      <c r="G4714" s="33"/>
      <c r="H4714" s="33"/>
      <c r="I4714" s="34" t="str">
        <f aca="false">IF($A4714="","",$G4714-$H4714)</f>
        <v/>
      </c>
      <c r="J4714" s="35" t="str">
        <f aca="false">IF($A4714="","",IF(Setup!$B$6=1,YEAR($A4714),YEAR($A4714)+IF(MONTH($A4714)&gt;=Setup!$B$6,1,0)))</f>
        <v/>
      </c>
      <c r="K4714" s="35" t="str">
        <f aca="false">IF($A4714="","",MOD(MONTH($A4714)-Setup!$B$6+12,12)+1)</f>
        <v/>
      </c>
      <c r="L4714" s="36" t="str">
        <f aca="false">IF($A4714="","",TEXT($A4714,"MMM-YY"))</f>
        <v/>
      </c>
      <c r="M4714" s="37" t="str">
        <f aca="false">IF($A4714="","",IF($Q4714=0,"UNMAPPED",INDEX(COA_Mapping!$C$7:$C$256,$Q4714)))</f>
        <v/>
      </c>
      <c r="N4714" s="38" t="str">
        <f aca="false">IF($A4714="","",IF($Q4714=0,"",INDEX(COA_Mapping!$E$7:$E$256,$Q4714)))</f>
        <v/>
      </c>
      <c r="O4714" s="38" t="n">
        <f aca="false">IF($A4714="",1,IF($Q4714=0,1,INDEX(COA_Mapping!$F$7:$F$256,$Q4714)))</f>
        <v>1</v>
      </c>
      <c r="P4714" s="34" t="str">
        <f aca="false">IF($A4714="","",$I4714*$O4714)</f>
        <v/>
      </c>
      <c r="Q4714" s="39" t="n">
        <f aca="false">IF($B4714="",0,IFERROR(MATCH($B4714,COA_Mapping!$A$7:$A$256,0),0))</f>
        <v>0</v>
      </c>
      <c r="R4714" s="39" t="n">
        <f aca="false">IF($A4714="",-1,IF($J4714=Setup!$B$7,1,IF($J4714=Setup!$B$9,0,-1)))</f>
        <v>-1</v>
      </c>
      <c r="S4714" s="35" t="n">
        <f aca="false">IF(OR($A4714="",$Q4714=0,$R4714=-1),0,$Q4714*1000+$R4714*100+$K4714)</f>
        <v>0</v>
      </c>
      <c r="T4714" s="37" t="str">
        <f aca="false">IF($A4714="","",IF($B4714="","NO ACCOUNT",IF($Q4714=0,"UNMAPPED",IF($R4714=-1,"OUTSIDE FY RANGE","OK"))))</f>
        <v/>
      </c>
      <c r="U4714" s="40" t="str">
        <f aca="false">IF($A4714="","",$B4714&amp;"|"&amp;TEXT($A4714,"yyyymmdd")&amp;"|"&amp;TEXT($I4714,"0.00"))</f>
        <v/>
      </c>
      <c r="V4714" s="35" t="str">
        <f aca="false">IF($A4714="","",COUNTIF($U$8:$U$5007,$U4714))</f>
        <v/>
      </c>
    </row>
    <row r="4715" customFormat="false" ht="15" hidden="false" customHeight="false" outlineLevel="0" collapsed="false">
      <c r="A4715" s="31"/>
      <c r="B4715" s="32"/>
      <c r="C4715" s="32"/>
      <c r="D4715" s="32"/>
      <c r="E4715" s="32"/>
      <c r="F4715" s="32"/>
      <c r="G4715" s="33"/>
      <c r="H4715" s="33"/>
      <c r="I4715" s="34" t="str">
        <f aca="false">IF($A4715="","",$G4715-$H4715)</f>
        <v/>
      </c>
      <c r="J4715" s="35" t="str">
        <f aca="false">IF($A4715="","",IF(Setup!$B$6=1,YEAR($A4715),YEAR($A4715)+IF(MONTH($A4715)&gt;=Setup!$B$6,1,0)))</f>
        <v/>
      </c>
      <c r="K4715" s="35" t="str">
        <f aca="false">IF($A4715="","",MOD(MONTH($A4715)-Setup!$B$6+12,12)+1)</f>
        <v/>
      </c>
      <c r="L4715" s="36" t="str">
        <f aca="false">IF($A4715="","",TEXT($A4715,"MMM-YY"))</f>
        <v/>
      </c>
      <c r="M4715" s="37" t="str">
        <f aca="false">IF($A4715="","",IF($Q4715=0,"UNMAPPED",INDEX(COA_Mapping!$C$7:$C$256,$Q4715)))</f>
        <v/>
      </c>
      <c r="N4715" s="38" t="str">
        <f aca="false">IF($A4715="","",IF($Q4715=0,"",INDEX(COA_Mapping!$E$7:$E$256,$Q4715)))</f>
        <v/>
      </c>
      <c r="O4715" s="38" t="n">
        <f aca="false">IF($A4715="",1,IF($Q4715=0,1,INDEX(COA_Mapping!$F$7:$F$256,$Q4715)))</f>
        <v>1</v>
      </c>
      <c r="P4715" s="34" t="str">
        <f aca="false">IF($A4715="","",$I4715*$O4715)</f>
        <v/>
      </c>
      <c r="Q4715" s="39" t="n">
        <f aca="false">IF($B4715="",0,IFERROR(MATCH($B4715,COA_Mapping!$A$7:$A$256,0),0))</f>
        <v>0</v>
      </c>
      <c r="R4715" s="39" t="n">
        <f aca="false">IF($A4715="",-1,IF($J4715=Setup!$B$7,1,IF($J4715=Setup!$B$9,0,-1)))</f>
        <v>-1</v>
      </c>
      <c r="S4715" s="35" t="n">
        <f aca="false">IF(OR($A4715="",$Q4715=0,$R4715=-1),0,$Q4715*1000+$R4715*100+$K4715)</f>
        <v>0</v>
      </c>
      <c r="T4715" s="37" t="str">
        <f aca="false">IF($A4715="","",IF($B4715="","NO ACCOUNT",IF($Q4715=0,"UNMAPPED",IF($R4715=-1,"OUTSIDE FY RANGE","OK"))))</f>
        <v/>
      </c>
      <c r="U4715" s="40" t="str">
        <f aca="false">IF($A4715="","",$B4715&amp;"|"&amp;TEXT($A4715,"yyyymmdd")&amp;"|"&amp;TEXT($I4715,"0.00"))</f>
        <v/>
      </c>
      <c r="V4715" s="35" t="str">
        <f aca="false">IF($A4715="","",COUNTIF($U$8:$U$5007,$U4715))</f>
        <v/>
      </c>
    </row>
    <row r="4716" customFormat="false" ht="15" hidden="false" customHeight="false" outlineLevel="0" collapsed="false">
      <c r="A4716" s="31"/>
      <c r="B4716" s="32"/>
      <c r="C4716" s="32"/>
      <c r="D4716" s="32"/>
      <c r="E4716" s="32"/>
      <c r="F4716" s="32"/>
      <c r="G4716" s="33"/>
      <c r="H4716" s="33"/>
      <c r="I4716" s="34" t="str">
        <f aca="false">IF($A4716="","",$G4716-$H4716)</f>
        <v/>
      </c>
      <c r="J4716" s="35" t="str">
        <f aca="false">IF($A4716="","",IF(Setup!$B$6=1,YEAR($A4716),YEAR($A4716)+IF(MONTH($A4716)&gt;=Setup!$B$6,1,0)))</f>
        <v/>
      </c>
      <c r="K4716" s="35" t="str">
        <f aca="false">IF($A4716="","",MOD(MONTH($A4716)-Setup!$B$6+12,12)+1)</f>
        <v/>
      </c>
      <c r="L4716" s="36" t="str">
        <f aca="false">IF($A4716="","",TEXT($A4716,"MMM-YY"))</f>
        <v/>
      </c>
      <c r="M4716" s="37" t="str">
        <f aca="false">IF($A4716="","",IF($Q4716=0,"UNMAPPED",INDEX(COA_Mapping!$C$7:$C$256,$Q4716)))</f>
        <v/>
      </c>
      <c r="N4716" s="38" t="str">
        <f aca="false">IF($A4716="","",IF($Q4716=0,"",INDEX(COA_Mapping!$E$7:$E$256,$Q4716)))</f>
        <v/>
      </c>
      <c r="O4716" s="38" t="n">
        <f aca="false">IF($A4716="",1,IF($Q4716=0,1,INDEX(COA_Mapping!$F$7:$F$256,$Q4716)))</f>
        <v>1</v>
      </c>
      <c r="P4716" s="34" t="str">
        <f aca="false">IF($A4716="","",$I4716*$O4716)</f>
        <v/>
      </c>
      <c r="Q4716" s="39" t="n">
        <f aca="false">IF($B4716="",0,IFERROR(MATCH($B4716,COA_Mapping!$A$7:$A$256,0),0))</f>
        <v>0</v>
      </c>
      <c r="R4716" s="39" t="n">
        <f aca="false">IF($A4716="",-1,IF($J4716=Setup!$B$7,1,IF($J4716=Setup!$B$9,0,-1)))</f>
        <v>-1</v>
      </c>
      <c r="S4716" s="35" t="n">
        <f aca="false">IF(OR($A4716="",$Q4716=0,$R4716=-1),0,$Q4716*1000+$R4716*100+$K4716)</f>
        <v>0</v>
      </c>
      <c r="T4716" s="37" t="str">
        <f aca="false">IF($A4716="","",IF($B4716="","NO ACCOUNT",IF($Q4716=0,"UNMAPPED",IF($R4716=-1,"OUTSIDE FY RANGE","OK"))))</f>
        <v/>
      </c>
      <c r="U4716" s="40" t="str">
        <f aca="false">IF($A4716="","",$B4716&amp;"|"&amp;TEXT($A4716,"yyyymmdd")&amp;"|"&amp;TEXT($I4716,"0.00"))</f>
        <v/>
      </c>
      <c r="V4716" s="35" t="str">
        <f aca="false">IF($A4716="","",COUNTIF($U$8:$U$5007,$U4716))</f>
        <v/>
      </c>
    </row>
    <row r="4717" customFormat="false" ht="15" hidden="false" customHeight="false" outlineLevel="0" collapsed="false">
      <c r="A4717" s="31"/>
      <c r="B4717" s="32"/>
      <c r="C4717" s="32"/>
      <c r="D4717" s="32"/>
      <c r="E4717" s="32"/>
      <c r="F4717" s="32"/>
      <c r="G4717" s="33"/>
      <c r="H4717" s="33"/>
      <c r="I4717" s="34" t="str">
        <f aca="false">IF($A4717="","",$G4717-$H4717)</f>
        <v/>
      </c>
      <c r="J4717" s="35" t="str">
        <f aca="false">IF($A4717="","",IF(Setup!$B$6=1,YEAR($A4717),YEAR($A4717)+IF(MONTH($A4717)&gt;=Setup!$B$6,1,0)))</f>
        <v/>
      </c>
      <c r="K4717" s="35" t="str">
        <f aca="false">IF($A4717="","",MOD(MONTH($A4717)-Setup!$B$6+12,12)+1)</f>
        <v/>
      </c>
      <c r="L4717" s="36" t="str">
        <f aca="false">IF($A4717="","",TEXT($A4717,"MMM-YY"))</f>
        <v/>
      </c>
      <c r="M4717" s="37" t="str">
        <f aca="false">IF($A4717="","",IF($Q4717=0,"UNMAPPED",INDEX(COA_Mapping!$C$7:$C$256,$Q4717)))</f>
        <v/>
      </c>
      <c r="N4717" s="38" t="str">
        <f aca="false">IF($A4717="","",IF($Q4717=0,"",INDEX(COA_Mapping!$E$7:$E$256,$Q4717)))</f>
        <v/>
      </c>
      <c r="O4717" s="38" t="n">
        <f aca="false">IF($A4717="",1,IF($Q4717=0,1,INDEX(COA_Mapping!$F$7:$F$256,$Q4717)))</f>
        <v>1</v>
      </c>
      <c r="P4717" s="34" t="str">
        <f aca="false">IF($A4717="","",$I4717*$O4717)</f>
        <v/>
      </c>
      <c r="Q4717" s="39" t="n">
        <f aca="false">IF($B4717="",0,IFERROR(MATCH($B4717,COA_Mapping!$A$7:$A$256,0),0))</f>
        <v>0</v>
      </c>
      <c r="R4717" s="39" t="n">
        <f aca="false">IF($A4717="",-1,IF($J4717=Setup!$B$7,1,IF($J4717=Setup!$B$9,0,-1)))</f>
        <v>-1</v>
      </c>
      <c r="S4717" s="35" t="n">
        <f aca="false">IF(OR($A4717="",$Q4717=0,$R4717=-1),0,$Q4717*1000+$R4717*100+$K4717)</f>
        <v>0</v>
      </c>
      <c r="T4717" s="37" t="str">
        <f aca="false">IF($A4717="","",IF($B4717="","NO ACCOUNT",IF($Q4717=0,"UNMAPPED",IF($R4717=-1,"OUTSIDE FY RANGE","OK"))))</f>
        <v/>
      </c>
      <c r="U4717" s="40" t="str">
        <f aca="false">IF($A4717="","",$B4717&amp;"|"&amp;TEXT($A4717,"yyyymmdd")&amp;"|"&amp;TEXT($I4717,"0.00"))</f>
        <v/>
      </c>
      <c r="V4717" s="35" t="str">
        <f aca="false">IF($A4717="","",COUNTIF($U$8:$U$5007,$U4717))</f>
        <v/>
      </c>
    </row>
    <row r="4718" customFormat="false" ht="15" hidden="false" customHeight="false" outlineLevel="0" collapsed="false">
      <c r="A4718" s="31"/>
      <c r="B4718" s="32"/>
      <c r="C4718" s="32"/>
      <c r="D4718" s="32"/>
      <c r="E4718" s="32"/>
      <c r="F4718" s="32"/>
      <c r="G4718" s="33"/>
      <c r="H4718" s="33"/>
      <c r="I4718" s="34" t="str">
        <f aca="false">IF($A4718="","",$G4718-$H4718)</f>
        <v/>
      </c>
      <c r="J4718" s="35" t="str">
        <f aca="false">IF($A4718="","",IF(Setup!$B$6=1,YEAR($A4718),YEAR($A4718)+IF(MONTH($A4718)&gt;=Setup!$B$6,1,0)))</f>
        <v/>
      </c>
      <c r="K4718" s="35" t="str">
        <f aca="false">IF($A4718="","",MOD(MONTH($A4718)-Setup!$B$6+12,12)+1)</f>
        <v/>
      </c>
      <c r="L4718" s="36" t="str">
        <f aca="false">IF($A4718="","",TEXT($A4718,"MMM-YY"))</f>
        <v/>
      </c>
      <c r="M4718" s="37" t="str">
        <f aca="false">IF($A4718="","",IF($Q4718=0,"UNMAPPED",INDEX(COA_Mapping!$C$7:$C$256,$Q4718)))</f>
        <v/>
      </c>
      <c r="N4718" s="38" t="str">
        <f aca="false">IF($A4718="","",IF($Q4718=0,"",INDEX(COA_Mapping!$E$7:$E$256,$Q4718)))</f>
        <v/>
      </c>
      <c r="O4718" s="38" t="n">
        <f aca="false">IF($A4718="",1,IF($Q4718=0,1,INDEX(COA_Mapping!$F$7:$F$256,$Q4718)))</f>
        <v>1</v>
      </c>
      <c r="P4718" s="34" t="str">
        <f aca="false">IF($A4718="","",$I4718*$O4718)</f>
        <v/>
      </c>
      <c r="Q4718" s="39" t="n">
        <f aca="false">IF($B4718="",0,IFERROR(MATCH($B4718,COA_Mapping!$A$7:$A$256,0),0))</f>
        <v>0</v>
      </c>
      <c r="R4718" s="39" t="n">
        <f aca="false">IF($A4718="",-1,IF($J4718=Setup!$B$7,1,IF($J4718=Setup!$B$9,0,-1)))</f>
        <v>-1</v>
      </c>
      <c r="S4718" s="35" t="n">
        <f aca="false">IF(OR($A4718="",$Q4718=0,$R4718=-1),0,$Q4718*1000+$R4718*100+$K4718)</f>
        <v>0</v>
      </c>
      <c r="T4718" s="37" t="str">
        <f aca="false">IF($A4718="","",IF($B4718="","NO ACCOUNT",IF($Q4718=0,"UNMAPPED",IF($R4718=-1,"OUTSIDE FY RANGE","OK"))))</f>
        <v/>
      </c>
      <c r="U4718" s="40" t="str">
        <f aca="false">IF($A4718="","",$B4718&amp;"|"&amp;TEXT($A4718,"yyyymmdd")&amp;"|"&amp;TEXT($I4718,"0.00"))</f>
        <v/>
      </c>
      <c r="V4718" s="35" t="str">
        <f aca="false">IF($A4718="","",COUNTIF($U$8:$U$5007,$U4718))</f>
        <v/>
      </c>
    </row>
    <row r="4719" customFormat="false" ht="15" hidden="false" customHeight="false" outlineLevel="0" collapsed="false">
      <c r="A4719" s="31"/>
      <c r="B4719" s="32"/>
      <c r="C4719" s="32"/>
      <c r="D4719" s="32"/>
      <c r="E4719" s="32"/>
      <c r="F4719" s="32"/>
      <c r="G4719" s="33"/>
      <c r="H4719" s="33"/>
      <c r="I4719" s="34" t="str">
        <f aca="false">IF($A4719="","",$G4719-$H4719)</f>
        <v/>
      </c>
      <c r="J4719" s="35" t="str">
        <f aca="false">IF($A4719="","",IF(Setup!$B$6=1,YEAR($A4719),YEAR($A4719)+IF(MONTH($A4719)&gt;=Setup!$B$6,1,0)))</f>
        <v/>
      </c>
      <c r="K4719" s="35" t="str">
        <f aca="false">IF($A4719="","",MOD(MONTH($A4719)-Setup!$B$6+12,12)+1)</f>
        <v/>
      </c>
      <c r="L4719" s="36" t="str">
        <f aca="false">IF($A4719="","",TEXT($A4719,"MMM-YY"))</f>
        <v/>
      </c>
      <c r="M4719" s="37" t="str">
        <f aca="false">IF($A4719="","",IF($Q4719=0,"UNMAPPED",INDEX(COA_Mapping!$C$7:$C$256,$Q4719)))</f>
        <v/>
      </c>
      <c r="N4719" s="38" t="str">
        <f aca="false">IF($A4719="","",IF($Q4719=0,"",INDEX(COA_Mapping!$E$7:$E$256,$Q4719)))</f>
        <v/>
      </c>
      <c r="O4719" s="38" t="n">
        <f aca="false">IF($A4719="",1,IF($Q4719=0,1,INDEX(COA_Mapping!$F$7:$F$256,$Q4719)))</f>
        <v>1</v>
      </c>
      <c r="P4719" s="34" t="str">
        <f aca="false">IF($A4719="","",$I4719*$O4719)</f>
        <v/>
      </c>
      <c r="Q4719" s="39" t="n">
        <f aca="false">IF($B4719="",0,IFERROR(MATCH($B4719,COA_Mapping!$A$7:$A$256,0),0))</f>
        <v>0</v>
      </c>
      <c r="R4719" s="39" t="n">
        <f aca="false">IF($A4719="",-1,IF($J4719=Setup!$B$7,1,IF($J4719=Setup!$B$9,0,-1)))</f>
        <v>-1</v>
      </c>
      <c r="S4719" s="35" t="n">
        <f aca="false">IF(OR($A4719="",$Q4719=0,$R4719=-1),0,$Q4719*1000+$R4719*100+$K4719)</f>
        <v>0</v>
      </c>
      <c r="T4719" s="37" t="str">
        <f aca="false">IF($A4719="","",IF($B4719="","NO ACCOUNT",IF($Q4719=0,"UNMAPPED",IF($R4719=-1,"OUTSIDE FY RANGE","OK"))))</f>
        <v/>
      </c>
      <c r="U4719" s="40" t="str">
        <f aca="false">IF($A4719="","",$B4719&amp;"|"&amp;TEXT($A4719,"yyyymmdd")&amp;"|"&amp;TEXT($I4719,"0.00"))</f>
        <v/>
      </c>
      <c r="V4719" s="35" t="str">
        <f aca="false">IF($A4719="","",COUNTIF($U$8:$U$5007,$U4719))</f>
        <v/>
      </c>
    </row>
    <row r="4720" customFormat="false" ht="15" hidden="false" customHeight="false" outlineLevel="0" collapsed="false">
      <c r="A4720" s="31"/>
      <c r="B4720" s="32"/>
      <c r="C4720" s="32"/>
      <c r="D4720" s="32"/>
      <c r="E4720" s="32"/>
      <c r="F4720" s="32"/>
      <c r="G4720" s="33"/>
      <c r="H4720" s="33"/>
      <c r="I4720" s="34" t="str">
        <f aca="false">IF($A4720="","",$G4720-$H4720)</f>
        <v/>
      </c>
      <c r="J4720" s="35" t="str">
        <f aca="false">IF($A4720="","",IF(Setup!$B$6=1,YEAR($A4720),YEAR($A4720)+IF(MONTH($A4720)&gt;=Setup!$B$6,1,0)))</f>
        <v/>
      </c>
      <c r="K4720" s="35" t="str">
        <f aca="false">IF($A4720="","",MOD(MONTH($A4720)-Setup!$B$6+12,12)+1)</f>
        <v/>
      </c>
      <c r="L4720" s="36" t="str">
        <f aca="false">IF($A4720="","",TEXT($A4720,"MMM-YY"))</f>
        <v/>
      </c>
      <c r="M4720" s="37" t="str">
        <f aca="false">IF($A4720="","",IF($Q4720=0,"UNMAPPED",INDEX(COA_Mapping!$C$7:$C$256,$Q4720)))</f>
        <v/>
      </c>
      <c r="N4720" s="38" t="str">
        <f aca="false">IF($A4720="","",IF($Q4720=0,"",INDEX(COA_Mapping!$E$7:$E$256,$Q4720)))</f>
        <v/>
      </c>
      <c r="O4720" s="38" t="n">
        <f aca="false">IF($A4720="",1,IF($Q4720=0,1,INDEX(COA_Mapping!$F$7:$F$256,$Q4720)))</f>
        <v>1</v>
      </c>
      <c r="P4720" s="34" t="str">
        <f aca="false">IF($A4720="","",$I4720*$O4720)</f>
        <v/>
      </c>
      <c r="Q4720" s="39" t="n">
        <f aca="false">IF($B4720="",0,IFERROR(MATCH($B4720,COA_Mapping!$A$7:$A$256,0),0))</f>
        <v>0</v>
      </c>
      <c r="R4720" s="39" t="n">
        <f aca="false">IF($A4720="",-1,IF($J4720=Setup!$B$7,1,IF($J4720=Setup!$B$9,0,-1)))</f>
        <v>-1</v>
      </c>
      <c r="S4720" s="35" t="n">
        <f aca="false">IF(OR($A4720="",$Q4720=0,$R4720=-1),0,$Q4720*1000+$R4720*100+$K4720)</f>
        <v>0</v>
      </c>
      <c r="T4720" s="37" t="str">
        <f aca="false">IF($A4720="","",IF($B4720="","NO ACCOUNT",IF($Q4720=0,"UNMAPPED",IF($R4720=-1,"OUTSIDE FY RANGE","OK"))))</f>
        <v/>
      </c>
      <c r="U4720" s="40" t="str">
        <f aca="false">IF($A4720="","",$B4720&amp;"|"&amp;TEXT($A4720,"yyyymmdd")&amp;"|"&amp;TEXT($I4720,"0.00"))</f>
        <v/>
      </c>
      <c r="V4720" s="35" t="str">
        <f aca="false">IF($A4720="","",COUNTIF($U$8:$U$5007,$U4720))</f>
        <v/>
      </c>
    </row>
    <row r="4721" customFormat="false" ht="15" hidden="false" customHeight="false" outlineLevel="0" collapsed="false">
      <c r="A4721" s="31"/>
      <c r="B4721" s="32"/>
      <c r="C4721" s="32"/>
      <c r="D4721" s="32"/>
      <c r="E4721" s="32"/>
      <c r="F4721" s="32"/>
      <c r="G4721" s="33"/>
      <c r="H4721" s="33"/>
      <c r="I4721" s="34" t="str">
        <f aca="false">IF($A4721="","",$G4721-$H4721)</f>
        <v/>
      </c>
      <c r="J4721" s="35" t="str">
        <f aca="false">IF($A4721="","",IF(Setup!$B$6=1,YEAR($A4721),YEAR($A4721)+IF(MONTH($A4721)&gt;=Setup!$B$6,1,0)))</f>
        <v/>
      </c>
      <c r="K4721" s="35" t="str">
        <f aca="false">IF($A4721="","",MOD(MONTH($A4721)-Setup!$B$6+12,12)+1)</f>
        <v/>
      </c>
      <c r="L4721" s="36" t="str">
        <f aca="false">IF($A4721="","",TEXT($A4721,"MMM-YY"))</f>
        <v/>
      </c>
      <c r="M4721" s="37" t="str">
        <f aca="false">IF($A4721="","",IF($Q4721=0,"UNMAPPED",INDEX(COA_Mapping!$C$7:$C$256,$Q4721)))</f>
        <v/>
      </c>
      <c r="N4721" s="38" t="str">
        <f aca="false">IF($A4721="","",IF($Q4721=0,"",INDEX(COA_Mapping!$E$7:$E$256,$Q4721)))</f>
        <v/>
      </c>
      <c r="O4721" s="38" t="n">
        <f aca="false">IF($A4721="",1,IF($Q4721=0,1,INDEX(COA_Mapping!$F$7:$F$256,$Q4721)))</f>
        <v>1</v>
      </c>
      <c r="P4721" s="34" t="str">
        <f aca="false">IF($A4721="","",$I4721*$O4721)</f>
        <v/>
      </c>
      <c r="Q4721" s="39" t="n">
        <f aca="false">IF($B4721="",0,IFERROR(MATCH($B4721,COA_Mapping!$A$7:$A$256,0),0))</f>
        <v>0</v>
      </c>
      <c r="R4721" s="39" t="n">
        <f aca="false">IF($A4721="",-1,IF($J4721=Setup!$B$7,1,IF($J4721=Setup!$B$9,0,-1)))</f>
        <v>-1</v>
      </c>
      <c r="S4721" s="35" t="n">
        <f aca="false">IF(OR($A4721="",$Q4721=0,$R4721=-1),0,$Q4721*1000+$R4721*100+$K4721)</f>
        <v>0</v>
      </c>
      <c r="T4721" s="37" t="str">
        <f aca="false">IF($A4721="","",IF($B4721="","NO ACCOUNT",IF($Q4721=0,"UNMAPPED",IF($R4721=-1,"OUTSIDE FY RANGE","OK"))))</f>
        <v/>
      </c>
      <c r="U4721" s="40" t="str">
        <f aca="false">IF($A4721="","",$B4721&amp;"|"&amp;TEXT($A4721,"yyyymmdd")&amp;"|"&amp;TEXT($I4721,"0.00"))</f>
        <v/>
      </c>
      <c r="V4721" s="35" t="str">
        <f aca="false">IF($A4721="","",COUNTIF($U$8:$U$5007,$U4721))</f>
        <v/>
      </c>
    </row>
    <row r="4722" customFormat="false" ht="15" hidden="false" customHeight="false" outlineLevel="0" collapsed="false">
      <c r="A4722" s="31"/>
      <c r="B4722" s="32"/>
      <c r="C4722" s="32"/>
      <c r="D4722" s="32"/>
      <c r="E4722" s="32"/>
      <c r="F4722" s="32"/>
      <c r="G4722" s="33"/>
      <c r="H4722" s="33"/>
      <c r="I4722" s="34" t="str">
        <f aca="false">IF($A4722="","",$G4722-$H4722)</f>
        <v/>
      </c>
      <c r="J4722" s="35" t="str">
        <f aca="false">IF($A4722="","",IF(Setup!$B$6=1,YEAR($A4722),YEAR($A4722)+IF(MONTH($A4722)&gt;=Setup!$B$6,1,0)))</f>
        <v/>
      </c>
      <c r="K4722" s="35" t="str">
        <f aca="false">IF($A4722="","",MOD(MONTH($A4722)-Setup!$B$6+12,12)+1)</f>
        <v/>
      </c>
      <c r="L4722" s="36" t="str">
        <f aca="false">IF($A4722="","",TEXT($A4722,"MMM-YY"))</f>
        <v/>
      </c>
      <c r="M4722" s="37" t="str">
        <f aca="false">IF($A4722="","",IF($Q4722=0,"UNMAPPED",INDEX(COA_Mapping!$C$7:$C$256,$Q4722)))</f>
        <v/>
      </c>
      <c r="N4722" s="38" t="str">
        <f aca="false">IF($A4722="","",IF($Q4722=0,"",INDEX(COA_Mapping!$E$7:$E$256,$Q4722)))</f>
        <v/>
      </c>
      <c r="O4722" s="38" t="n">
        <f aca="false">IF($A4722="",1,IF($Q4722=0,1,INDEX(COA_Mapping!$F$7:$F$256,$Q4722)))</f>
        <v>1</v>
      </c>
      <c r="P4722" s="34" t="str">
        <f aca="false">IF($A4722="","",$I4722*$O4722)</f>
        <v/>
      </c>
      <c r="Q4722" s="39" t="n">
        <f aca="false">IF($B4722="",0,IFERROR(MATCH($B4722,COA_Mapping!$A$7:$A$256,0),0))</f>
        <v>0</v>
      </c>
      <c r="R4722" s="39" t="n">
        <f aca="false">IF($A4722="",-1,IF($J4722=Setup!$B$7,1,IF($J4722=Setup!$B$9,0,-1)))</f>
        <v>-1</v>
      </c>
      <c r="S4722" s="35" t="n">
        <f aca="false">IF(OR($A4722="",$Q4722=0,$R4722=-1),0,$Q4722*1000+$R4722*100+$K4722)</f>
        <v>0</v>
      </c>
      <c r="T4722" s="37" t="str">
        <f aca="false">IF($A4722="","",IF($B4722="","NO ACCOUNT",IF($Q4722=0,"UNMAPPED",IF($R4722=-1,"OUTSIDE FY RANGE","OK"))))</f>
        <v/>
      </c>
      <c r="U4722" s="40" t="str">
        <f aca="false">IF($A4722="","",$B4722&amp;"|"&amp;TEXT($A4722,"yyyymmdd")&amp;"|"&amp;TEXT($I4722,"0.00"))</f>
        <v/>
      </c>
      <c r="V4722" s="35" t="str">
        <f aca="false">IF($A4722="","",COUNTIF($U$8:$U$5007,$U4722))</f>
        <v/>
      </c>
    </row>
    <row r="4723" customFormat="false" ht="15" hidden="false" customHeight="false" outlineLevel="0" collapsed="false">
      <c r="A4723" s="31"/>
      <c r="B4723" s="32"/>
      <c r="C4723" s="32"/>
      <c r="D4723" s="32"/>
      <c r="E4723" s="32"/>
      <c r="F4723" s="32"/>
      <c r="G4723" s="33"/>
      <c r="H4723" s="33"/>
      <c r="I4723" s="34" t="str">
        <f aca="false">IF($A4723="","",$G4723-$H4723)</f>
        <v/>
      </c>
      <c r="J4723" s="35" t="str">
        <f aca="false">IF($A4723="","",IF(Setup!$B$6=1,YEAR($A4723),YEAR($A4723)+IF(MONTH($A4723)&gt;=Setup!$B$6,1,0)))</f>
        <v/>
      </c>
      <c r="K4723" s="35" t="str">
        <f aca="false">IF($A4723="","",MOD(MONTH($A4723)-Setup!$B$6+12,12)+1)</f>
        <v/>
      </c>
      <c r="L4723" s="36" t="str">
        <f aca="false">IF($A4723="","",TEXT($A4723,"MMM-YY"))</f>
        <v/>
      </c>
      <c r="M4723" s="37" t="str">
        <f aca="false">IF($A4723="","",IF($Q4723=0,"UNMAPPED",INDEX(COA_Mapping!$C$7:$C$256,$Q4723)))</f>
        <v/>
      </c>
      <c r="N4723" s="38" t="str">
        <f aca="false">IF($A4723="","",IF($Q4723=0,"",INDEX(COA_Mapping!$E$7:$E$256,$Q4723)))</f>
        <v/>
      </c>
      <c r="O4723" s="38" t="n">
        <f aca="false">IF($A4723="",1,IF($Q4723=0,1,INDEX(COA_Mapping!$F$7:$F$256,$Q4723)))</f>
        <v>1</v>
      </c>
      <c r="P4723" s="34" t="str">
        <f aca="false">IF($A4723="","",$I4723*$O4723)</f>
        <v/>
      </c>
      <c r="Q4723" s="39" t="n">
        <f aca="false">IF($B4723="",0,IFERROR(MATCH($B4723,COA_Mapping!$A$7:$A$256,0),0))</f>
        <v>0</v>
      </c>
      <c r="R4723" s="39" t="n">
        <f aca="false">IF($A4723="",-1,IF($J4723=Setup!$B$7,1,IF($J4723=Setup!$B$9,0,-1)))</f>
        <v>-1</v>
      </c>
      <c r="S4723" s="35" t="n">
        <f aca="false">IF(OR($A4723="",$Q4723=0,$R4723=-1),0,$Q4723*1000+$R4723*100+$K4723)</f>
        <v>0</v>
      </c>
      <c r="T4723" s="37" t="str">
        <f aca="false">IF($A4723="","",IF($B4723="","NO ACCOUNT",IF($Q4723=0,"UNMAPPED",IF($R4723=-1,"OUTSIDE FY RANGE","OK"))))</f>
        <v/>
      </c>
      <c r="U4723" s="40" t="str">
        <f aca="false">IF($A4723="","",$B4723&amp;"|"&amp;TEXT($A4723,"yyyymmdd")&amp;"|"&amp;TEXT($I4723,"0.00"))</f>
        <v/>
      </c>
      <c r="V4723" s="35" t="str">
        <f aca="false">IF($A4723="","",COUNTIF($U$8:$U$5007,$U4723))</f>
        <v/>
      </c>
    </row>
    <row r="4724" customFormat="false" ht="15" hidden="false" customHeight="false" outlineLevel="0" collapsed="false">
      <c r="A4724" s="31"/>
      <c r="B4724" s="32"/>
      <c r="C4724" s="32"/>
      <c r="D4724" s="32"/>
      <c r="E4724" s="32"/>
      <c r="F4724" s="32"/>
      <c r="G4724" s="33"/>
      <c r="H4724" s="33"/>
      <c r="I4724" s="34" t="str">
        <f aca="false">IF($A4724="","",$G4724-$H4724)</f>
        <v/>
      </c>
      <c r="J4724" s="35" t="str">
        <f aca="false">IF($A4724="","",IF(Setup!$B$6=1,YEAR($A4724),YEAR($A4724)+IF(MONTH($A4724)&gt;=Setup!$B$6,1,0)))</f>
        <v/>
      </c>
      <c r="K4724" s="35" t="str">
        <f aca="false">IF($A4724="","",MOD(MONTH($A4724)-Setup!$B$6+12,12)+1)</f>
        <v/>
      </c>
      <c r="L4724" s="36" t="str">
        <f aca="false">IF($A4724="","",TEXT($A4724,"MMM-YY"))</f>
        <v/>
      </c>
      <c r="M4724" s="37" t="str">
        <f aca="false">IF($A4724="","",IF($Q4724=0,"UNMAPPED",INDEX(COA_Mapping!$C$7:$C$256,$Q4724)))</f>
        <v/>
      </c>
      <c r="N4724" s="38" t="str">
        <f aca="false">IF($A4724="","",IF($Q4724=0,"",INDEX(COA_Mapping!$E$7:$E$256,$Q4724)))</f>
        <v/>
      </c>
      <c r="O4724" s="38" t="n">
        <f aca="false">IF($A4724="",1,IF($Q4724=0,1,INDEX(COA_Mapping!$F$7:$F$256,$Q4724)))</f>
        <v>1</v>
      </c>
      <c r="P4724" s="34" t="str">
        <f aca="false">IF($A4724="","",$I4724*$O4724)</f>
        <v/>
      </c>
      <c r="Q4724" s="39" t="n">
        <f aca="false">IF($B4724="",0,IFERROR(MATCH($B4724,COA_Mapping!$A$7:$A$256,0),0))</f>
        <v>0</v>
      </c>
      <c r="R4724" s="39" t="n">
        <f aca="false">IF($A4724="",-1,IF($J4724=Setup!$B$7,1,IF($J4724=Setup!$B$9,0,-1)))</f>
        <v>-1</v>
      </c>
      <c r="S4724" s="35" t="n">
        <f aca="false">IF(OR($A4724="",$Q4724=0,$R4724=-1),0,$Q4724*1000+$R4724*100+$K4724)</f>
        <v>0</v>
      </c>
      <c r="T4724" s="37" t="str">
        <f aca="false">IF($A4724="","",IF($B4724="","NO ACCOUNT",IF($Q4724=0,"UNMAPPED",IF($R4724=-1,"OUTSIDE FY RANGE","OK"))))</f>
        <v/>
      </c>
      <c r="U4724" s="40" t="str">
        <f aca="false">IF($A4724="","",$B4724&amp;"|"&amp;TEXT($A4724,"yyyymmdd")&amp;"|"&amp;TEXT($I4724,"0.00"))</f>
        <v/>
      </c>
      <c r="V4724" s="35" t="str">
        <f aca="false">IF($A4724="","",COUNTIF($U$8:$U$5007,$U4724))</f>
        <v/>
      </c>
    </row>
    <row r="4725" customFormat="false" ht="15" hidden="false" customHeight="false" outlineLevel="0" collapsed="false">
      <c r="A4725" s="31"/>
      <c r="B4725" s="32"/>
      <c r="C4725" s="32"/>
      <c r="D4725" s="32"/>
      <c r="E4725" s="32"/>
      <c r="F4725" s="32"/>
      <c r="G4725" s="33"/>
      <c r="H4725" s="33"/>
      <c r="I4725" s="34" t="str">
        <f aca="false">IF($A4725="","",$G4725-$H4725)</f>
        <v/>
      </c>
      <c r="J4725" s="35" t="str">
        <f aca="false">IF($A4725="","",IF(Setup!$B$6=1,YEAR($A4725),YEAR($A4725)+IF(MONTH($A4725)&gt;=Setup!$B$6,1,0)))</f>
        <v/>
      </c>
      <c r="K4725" s="35" t="str">
        <f aca="false">IF($A4725="","",MOD(MONTH($A4725)-Setup!$B$6+12,12)+1)</f>
        <v/>
      </c>
      <c r="L4725" s="36" t="str">
        <f aca="false">IF($A4725="","",TEXT($A4725,"MMM-YY"))</f>
        <v/>
      </c>
      <c r="M4725" s="37" t="str">
        <f aca="false">IF($A4725="","",IF($Q4725=0,"UNMAPPED",INDEX(COA_Mapping!$C$7:$C$256,$Q4725)))</f>
        <v/>
      </c>
      <c r="N4725" s="38" t="str">
        <f aca="false">IF($A4725="","",IF($Q4725=0,"",INDEX(COA_Mapping!$E$7:$E$256,$Q4725)))</f>
        <v/>
      </c>
      <c r="O4725" s="38" t="n">
        <f aca="false">IF($A4725="",1,IF($Q4725=0,1,INDEX(COA_Mapping!$F$7:$F$256,$Q4725)))</f>
        <v>1</v>
      </c>
      <c r="P4725" s="34" t="str">
        <f aca="false">IF($A4725="","",$I4725*$O4725)</f>
        <v/>
      </c>
      <c r="Q4725" s="39" t="n">
        <f aca="false">IF($B4725="",0,IFERROR(MATCH($B4725,COA_Mapping!$A$7:$A$256,0),0))</f>
        <v>0</v>
      </c>
      <c r="R4725" s="39" t="n">
        <f aca="false">IF($A4725="",-1,IF($J4725=Setup!$B$7,1,IF($J4725=Setup!$B$9,0,-1)))</f>
        <v>-1</v>
      </c>
      <c r="S4725" s="35" t="n">
        <f aca="false">IF(OR($A4725="",$Q4725=0,$R4725=-1),0,$Q4725*1000+$R4725*100+$K4725)</f>
        <v>0</v>
      </c>
      <c r="T4725" s="37" t="str">
        <f aca="false">IF($A4725="","",IF($B4725="","NO ACCOUNT",IF($Q4725=0,"UNMAPPED",IF($R4725=-1,"OUTSIDE FY RANGE","OK"))))</f>
        <v/>
      </c>
      <c r="U4725" s="40" t="str">
        <f aca="false">IF($A4725="","",$B4725&amp;"|"&amp;TEXT($A4725,"yyyymmdd")&amp;"|"&amp;TEXT($I4725,"0.00"))</f>
        <v/>
      </c>
      <c r="V4725" s="35" t="str">
        <f aca="false">IF($A4725="","",COUNTIF($U$8:$U$5007,$U4725))</f>
        <v/>
      </c>
    </row>
    <row r="4726" customFormat="false" ht="15" hidden="false" customHeight="false" outlineLevel="0" collapsed="false">
      <c r="A4726" s="31"/>
      <c r="B4726" s="32"/>
      <c r="C4726" s="32"/>
      <c r="D4726" s="32"/>
      <c r="E4726" s="32"/>
      <c r="F4726" s="32"/>
      <c r="G4726" s="33"/>
      <c r="H4726" s="33"/>
      <c r="I4726" s="34" t="str">
        <f aca="false">IF($A4726="","",$G4726-$H4726)</f>
        <v/>
      </c>
      <c r="J4726" s="35" t="str">
        <f aca="false">IF($A4726="","",IF(Setup!$B$6=1,YEAR($A4726),YEAR($A4726)+IF(MONTH($A4726)&gt;=Setup!$B$6,1,0)))</f>
        <v/>
      </c>
      <c r="K4726" s="35" t="str">
        <f aca="false">IF($A4726="","",MOD(MONTH($A4726)-Setup!$B$6+12,12)+1)</f>
        <v/>
      </c>
      <c r="L4726" s="36" t="str">
        <f aca="false">IF($A4726="","",TEXT($A4726,"MMM-YY"))</f>
        <v/>
      </c>
      <c r="M4726" s="37" t="str">
        <f aca="false">IF($A4726="","",IF($Q4726=0,"UNMAPPED",INDEX(COA_Mapping!$C$7:$C$256,$Q4726)))</f>
        <v/>
      </c>
      <c r="N4726" s="38" t="str">
        <f aca="false">IF($A4726="","",IF($Q4726=0,"",INDEX(COA_Mapping!$E$7:$E$256,$Q4726)))</f>
        <v/>
      </c>
      <c r="O4726" s="38" t="n">
        <f aca="false">IF($A4726="",1,IF($Q4726=0,1,INDEX(COA_Mapping!$F$7:$F$256,$Q4726)))</f>
        <v>1</v>
      </c>
      <c r="P4726" s="34" t="str">
        <f aca="false">IF($A4726="","",$I4726*$O4726)</f>
        <v/>
      </c>
      <c r="Q4726" s="39" t="n">
        <f aca="false">IF($B4726="",0,IFERROR(MATCH($B4726,COA_Mapping!$A$7:$A$256,0),0))</f>
        <v>0</v>
      </c>
      <c r="R4726" s="39" t="n">
        <f aca="false">IF($A4726="",-1,IF($J4726=Setup!$B$7,1,IF($J4726=Setup!$B$9,0,-1)))</f>
        <v>-1</v>
      </c>
      <c r="S4726" s="35" t="n">
        <f aca="false">IF(OR($A4726="",$Q4726=0,$R4726=-1),0,$Q4726*1000+$R4726*100+$K4726)</f>
        <v>0</v>
      </c>
      <c r="T4726" s="37" t="str">
        <f aca="false">IF($A4726="","",IF($B4726="","NO ACCOUNT",IF($Q4726=0,"UNMAPPED",IF($R4726=-1,"OUTSIDE FY RANGE","OK"))))</f>
        <v/>
      </c>
      <c r="U4726" s="40" t="str">
        <f aca="false">IF($A4726="","",$B4726&amp;"|"&amp;TEXT($A4726,"yyyymmdd")&amp;"|"&amp;TEXT($I4726,"0.00"))</f>
        <v/>
      </c>
      <c r="V4726" s="35" t="str">
        <f aca="false">IF($A4726="","",COUNTIF($U$8:$U$5007,$U4726))</f>
        <v/>
      </c>
    </row>
    <row r="4727" customFormat="false" ht="15" hidden="false" customHeight="false" outlineLevel="0" collapsed="false">
      <c r="A4727" s="31"/>
      <c r="B4727" s="32"/>
      <c r="C4727" s="32"/>
      <c r="D4727" s="32"/>
      <c r="E4727" s="32"/>
      <c r="F4727" s="32"/>
      <c r="G4727" s="33"/>
      <c r="H4727" s="33"/>
      <c r="I4727" s="34" t="str">
        <f aca="false">IF($A4727="","",$G4727-$H4727)</f>
        <v/>
      </c>
      <c r="J4727" s="35" t="str">
        <f aca="false">IF($A4727="","",IF(Setup!$B$6=1,YEAR($A4727),YEAR($A4727)+IF(MONTH($A4727)&gt;=Setup!$B$6,1,0)))</f>
        <v/>
      </c>
      <c r="K4727" s="35" t="str">
        <f aca="false">IF($A4727="","",MOD(MONTH($A4727)-Setup!$B$6+12,12)+1)</f>
        <v/>
      </c>
      <c r="L4727" s="36" t="str">
        <f aca="false">IF($A4727="","",TEXT($A4727,"MMM-YY"))</f>
        <v/>
      </c>
      <c r="M4727" s="37" t="str">
        <f aca="false">IF($A4727="","",IF($Q4727=0,"UNMAPPED",INDEX(COA_Mapping!$C$7:$C$256,$Q4727)))</f>
        <v/>
      </c>
      <c r="N4727" s="38" t="str">
        <f aca="false">IF($A4727="","",IF($Q4727=0,"",INDEX(COA_Mapping!$E$7:$E$256,$Q4727)))</f>
        <v/>
      </c>
      <c r="O4727" s="38" t="n">
        <f aca="false">IF($A4727="",1,IF($Q4727=0,1,INDEX(COA_Mapping!$F$7:$F$256,$Q4727)))</f>
        <v>1</v>
      </c>
      <c r="P4727" s="34" t="str">
        <f aca="false">IF($A4727="","",$I4727*$O4727)</f>
        <v/>
      </c>
      <c r="Q4727" s="39" t="n">
        <f aca="false">IF($B4727="",0,IFERROR(MATCH($B4727,COA_Mapping!$A$7:$A$256,0),0))</f>
        <v>0</v>
      </c>
      <c r="R4727" s="39" t="n">
        <f aca="false">IF($A4727="",-1,IF($J4727=Setup!$B$7,1,IF($J4727=Setup!$B$9,0,-1)))</f>
        <v>-1</v>
      </c>
      <c r="S4727" s="35" t="n">
        <f aca="false">IF(OR($A4727="",$Q4727=0,$R4727=-1),0,$Q4727*1000+$R4727*100+$K4727)</f>
        <v>0</v>
      </c>
      <c r="T4727" s="37" t="str">
        <f aca="false">IF($A4727="","",IF($B4727="","NO ACCOUNT",IF($Q4727=0,"UNMAPPED",IF($R4727=-1,"OUTSIDE FY RANGE","OK"))))</f>
        <v/>
      </c>
      <c r="U4727" s="40" t="str">
        <f aca="false">IF($A4727="","",$B4727&amp;"|"&amp;TEXT($A4727,"yyyymmdd")&amp;"|"&amp;TEXT($I4727,"0.00"))</f>
        <v/>
      </c>
      <c r="V4727" s="35" t="str">
        <f aca="false">IF($A4727="","",COUNTIF($U$8:$U$5007,$U4727))</f>
        <v/>
      </c>
    </row>
    <row r="4728" customFormat="false" ht="15" hidden="false" customHeight="false" outlineLevel="0" collapsed="false">
      <c r="A4728" s="31"/>
      <c r="B4728" s="32"/>
      <c r="C4728" s="32"/>
      <c r="D4728" s="32"/>
      <c r="E4728" s="32"/>
      <c r="F4728" s="32"/>
      <c r="G4728" s="33"/>
      <c r="H4728" s="33"/>
      <c r="I4728" s="34" t="str">
        <f aca="false">IF($A4728="","",$G4728-$H4728)</f>
        <v/>
      </c>
      <c r="J4728" s="35" t="str">
        <f aca="false">IF($A4728="","",IF(Setup!$B$6=1,YEAR($A4728),YEAR($A4728)+IF(MONTH($A4728)&gt;=Setup!$B$6,1,0)))</f>
        <v/>
      </c>
      <c r="K4728" s="35" t="str">
        <f aca="false">IF($A4728="","",MOD(MONTH($A4728)-Setup!$B$6+12,12)+1)</f>
        <v/>
      </c>
      <c r="L4728" s="36" t="str">
        <f aca="false">IF($A4728="","",TEXT($A4728,"MMM-YY"))</f>
        <v/>
      </c>
      <c r="M4728" s="37" t="str">
        <f aca="false">IF($A4728="","",IF($Q4728=0,"UNMAPPED",INDEX(COA_Mapping!$C$7:$C$256,$Q4728)))</f>
        <v/>
      </c>
      <c r="N4728" s="38" t="str">
        <f aca="false">IF($A4728="","",IF($Q4728=0,"",INDEX(COA_Mapping!$E$7:$E$256,$Q4728)))</f>
        <v/>
      </c>
      <c r="O4728" s="38" t="n">
        <f aca="false">IF($A4728="",1,IF($Q4728=0,1,INDEX(COA_Mapping!$F$7:$F$256,$Q4728)))</f>
        <v>1</v>
      </c>
      <c r="P4728" s="34" t="str">
        <f aca="false">IF($A4728="","",$I4728*$O4728)</f>
        <v/>
      </c>
      <c r="Q4728" s="39" t="n">
        <f aca="false">IF($B4728="",0,IFERROR(MATCH($B4728,COA_Mapping!$A$7:$A$256,0),0))</f>
        <v>0</v>
      </c>
      <c r="R4728" s="39" t="n">
        <f aca="false">IF($A4728="",-1,IF($J4728=Setup!$B$7,1,IF($J4728=Setup!$B$9,0,-1)))</f>
        <v>-1</v>
      </c>
      <c r="S4728" s="35" t="n">
        <f aca="false">IF(OR($A4728="",$Q4728=0,$R4728=-1),0,$Q4728*1000+$R4728*100+$K4728)</f>
        <v>0</v>
      </c>
      <c r="T4728" s="37" t="str">
        <f aca="false">IF($A4728="","",IF($B4728="","NO ACCOUNT",IF($Q4728=0,"UNMAPPED",IF($R4728=-1,"OUTSIDE FY RANGE","OK"))))</f>
        <v/>
      </c>
      <c r="U4728" s="40" t="str">
        <f aca="false">IF($A4728="","",$B4728&amp;"|"&amp;TEXT($A4728,"yyyymmdd")&amp;"|"&amp;TEXT($I4728,"0.00"))</f>
        <v/>
      </c>
      <c r="V4728" s="35" t="str">
        <f aca="false">IF($A4728="","",COUNTIF($U$8:$U$5007,$U4728))</f>
        <v/>
      </c>
    </row>
    <row r="4729" customFormat="false" ht="15" hidden="false" customHeight="false" outlineLevel="0" collapsed="false">
      <c r="A4729" s="31"/>
      <c r="B4729" s="32"/>
      <c r="C4729" s="32"/>
      <c r="D4729" s="32"/>
      <c r="E4729" s="32"/>
      <c r="F4729" s="32"/>
      <c r="G4729" s="33"/>
      <c r="H4729" s="33"/>
      <c r="I4729" s="34" t="str">
        <f aca="false">IF($A4729="","",$G4729-$H4729)</f>
        <v/>
      </c>
      <c r="J4729" s="35" t="str">
        <f aca="false">IF($A4729="","",IF(Setup!$B$6=1,YEAR($A4729),YEAR($A4729)+IF(MONTH($A4729)&gt;=Setup!$B$6,1,0)))</f>
        <v/>
      </c>
      <c r="K4729" s="35" t="str">
        <f aca="false">IF($A4729="","",MOD(MONTH($A4729)-Setup!$B$6+12,12)+1)</f>
        <v/>
      </c>
      <c r="L4729" s="36" t="str">
        <f aca="false">IF($A4729="","",TEXT($A4729,"MMM-YY"))</f>
        <v/>
      </c>
      <c r="M4729" s="37" t="str">
        <f aca="false">IF($A4729="","",IF($Q4729=0,"UNMAPPED",INDEX(COA_Mapping!$C$7:$C$256,$Q4729)))</f>
        <v/>
      </c>
      <c r="N4729" s="38" t="str">
        <f aca="false">IF($A4729="","",IF($Q4729=0,"",INDEX(COA_Mapping!$E$7:$E$256,$Q4729)))</f>
        <v/>
      </c>
      <c r="O4729" s="38" t="n">
        <f aca="false">IF($A4729="",1,IF($Q4729=0,1,INDEX(COA_Mapping!$F$7:$F$256,$Q4729)))</f>
        <v>1</v>
      </c>
      <c r="P4729" s="34" t="str">
        <f aca="false">IF($A4729="","",$I4729*$O4729)</f>
        <v/>
      </c>
      <c r="Q4729" s="39" t="n">
        <f aca="false">IF($B4729="",0,IFERROR(MATCH($B4729,COA_Mapping!$A$7:$A$256,0),0))</f>
        <v>0</v>
      </c>
      <c r="R4729" s="39" t="n">
        <f aca="false">IF($A4729="",-1,IF($J4729=Setup!$B$7,1,IF($J4729=Setup!$B$9,0,-1)))</f>
        <v>-1</v>
      </c>
      <c r="S4729" s="35" t="n">
        <f aca="false">IF(OR($A4729="",$Q4729=0,$R4729=-1),0,$Q4729*1000+$R4729*100+$K4729)</f>
        <v>0</v>
      </c>
      <c r="T4729" s="37" t="str">
        <f aca="false">IF($A4729="","",IF($B4729="","NO ACCOUNT",IF($Q4729=0,"UNMAPPED",IF($R4729=-1,"OUTSIDE FY RANGE","OK"))))</f>
        <v/>
      </c>
      <c r="U4729" s="40" t="str">
        <f aca="false">IF($A4729="","",$B4729&amp;"|"&amp;TEXT($A4729,"yyyymmdd")&amp;"|"&amp;TEXT($I4729,"0.00"))</f>
        <v/>
      </c>
      <c r="V4729" s="35" t="str">
        <f aca="false">IF($A4729="","",COUNTIF($U$8:$U$5007,$U4729))</f>
        <v/>
      </c>
    </row>
    <row r="4730" customFormat="false" ht="15" hidden="false" customHeight="false" outlineLevel="0" collapsed="false">
      <c r="A4730" s="31"/>
      <c r="B4730" s="32"/>
      <c r="C4730" s="32"/>
      <c r="D4730" s="32"/>
      <c r="E4730" s="32"/>
      <c r="F4730" s="32"/>
      <c r="G4730" s="33"/>
      <c r="H4730" s="33"/>
      <c r="I4730" s="34" t="str">
        <f aca="false">IF($A4730="","",$G4730-$H4730)</f>
        <v/>
      </c>
      <c r="J4730" s="35" t="str">
        <f aca="false">IF($A4730="","",IF(Setup!$B$6=1,YEAR($A4730),YEAR($A4730)+IF(MONTH($A4730)&gt;=Setup!$B$6,1,0)))</f>
        <v/>
      </c>
      <c r="K4730" s="35" t="str">
        <f aca="false">IF($A4730="","",MOD(MONTH($A4730)-Setup!$B$6+12,12)+1)</f>
        <v/>
      </c>
      <c r="L4730" s="36" t="str">
        <f aca="false">IF($A4730="","",TEXT($A4730,"MMM-YY"))</f>
        <v/>
      </c>
      <c r="M4730" s="37" t="str">
        <f aca="false">IF($A4730="","",IF($Q4730=0,"UNMAPPED",INDEX(COA_Mapping!$C$7:$C$256,$Q4730)))</f>
        <v/>
      </c>
      <c r="N4730" s="38" t="str">
        <f aca="false">IF($A4730="","",IF($Q4730=0,"",INDEX(COA_Mapping!$E$7:$E$256,$Q4730)))</f>
        <v/>
      </c>
      <c r="O4730" s="38" t="n">
        <f aca="false">IF($A4730="",1,IF($Q4730=0,1,INDEX(COA_Mapping!$F$7:$F$256,$Q4730)))</f>
        <v>1</v>
      </c>
      <c r="P4730" s="34" t="str">
        <f aca="false">IF($A4730="","",$I4730*$O4730)</f>
        <v/>
      </c>
      <c r="Q4730" s="39" t="n">
        <f aca="false">IF($B4730="",0,IFERROR(MATCH($B4730,COA_Mapping!$A$7:$A$256,0),0))</f>
        <v>0</v>
      </c>
      <c r="R4730" s="39" t="n">
        <f aca="false">IF($A4730="",-1,IF($J4730=Setup!$B$7,1,IF($J4730=Setup!$B$9,0,-1)))</f>
        <v>-1</v>
      </c>
      <c r="S4730" s="35" t="n">
        <f aca="false">IF(OR($A4730="",$Q4730=0,$R4730=-1),0,$Q4730*1000+$R4730*100+$K4730)</f>
        <v>0</v>
      </c>
      <c r="T4730" s="37" t="str">
        <f aca="false">IF($A4730="","",IF($B4730="","NO ACCOUNT",IF($Q4730=0,"UNMAPPED",IF($R4730=-1,"OUTSIDE FY RANGE","OK"))))</f>
        <v/>
      </c>
      <c r="U4730" s="40" t="str">
        <f aca="false">IF($A4730="","",$B4730&amp;"|"&amp;TEXT($A4730,"yyyymmdd")&amp;"|"&amp;TEXT($I4730,"0.00"))</f>
        <v/>
      </c>
      <c r="V4730" s="35" t="str">
        <f aca="false">IF($A4730="","",COUNTIF($U$8:$U$5007,$U4730))</f>
        <v/>
      </c>
    </row>
    <row r="4731" customFormat="false" ht="15" hidden="false" customHeight="false" outlineLevel="0" collapsed="false">
      <c r="A4731" s="31"/>
      <c r="B4731" s="32"/>
      <c r="C4731" s="32"/>
      <c r="D4731" s="32"/>
      <c r="E4731" s="32"/>
      <c r="F4731" s="32"/>
      <c r="G4731" s="33"/>
      <c r="H4731" s="33"/>
      <c r="I4731" s="34" t="str">
        <f aca="false">IF($A4731="","",$G4731-$H4731)</f>
        <v/>
      </c>
      <c r="J4731" s="35" t="str">
        <f aca="false">IF($A4731="","",IF(Setup!$B$6=1,YEAR($A4731),YEAR($A4731)+IF(MONTH($A4731)&gt;=Setup!$B$6,1,0)))</f>
        <v/>
      </c>
      <c r="K4731" s="35" t="str">
        <f aca="false">IF($A4731="","",MOD(MONTH($A4731)-Setup!$B$6+12,12)+1)</f>
        <v/>
      </c>
      <c r="L4731" s="36" t="str">
        <f aca="false">IF($A4731="","",TEXT($A4731,"MMM-YY"))</f>
        <v/>
      </c>
      <c r="M4731" s="37" t="str">
        <f aca="false">IF($A4731="","",IF($Q4731=0,"UNMAPPED",INDEX(COA_Mapping!$C$7:$C$256,$Q4731)))</f>
        <v/>
      </c>
      <c r="N4731" s="38" t="str">
        <f aca="false">IF($A4731="","",IF($Q4731=0,"",INDEX(COA_Mapping!$E$7:$E$256,$Q4731)))</f>
        <v/>
      </c>
      <c r="O4731" s="38" t="n">
        <f aca="false">IF($A4731="",1,IF($Q4731=0,1,INDEX(COA_Mapping!$F$7:$F$256,$Q4731)))</f>
        <v>1</v>
      </c>
      <c r="P4731" s="34" t="str">
        <f aca="false">IF($A4731="","",$I4731*$O4731)</f>
        <v/>
      </c>
      <c r="Q4731" s="39" t="n">
        <f aca="false">IF($B4731="",0,IFERROR(MATCH($B4731,COA_Mapping!$A$7:$A$256,0),0))</f>
        <v>0</v>
      </c>
      <c r="R4731" s="39" t="n">
        <f aca="false">IF($A4731="",-1,IF($J4731=Setup!$B$7,1,IF($J4731=Setup!$B$9,0,-1)))</f>
        <v>-1</v>
      </c>
      <c r="S4731" s="35" t="n">
        <f aca="false">IF(OR($A4731="",$Q4731=0,$R4731=-1),0,$Q4731*1000+$R4731*100+$K4731)</f>
        <v>0</v>
      </c>
      <c r="T4731" s="37" t="str">
        <f aca="false">IF($A4731="","",IF($B4731="","NO ACCOUNT",IF($Q4731=0,"UNMAPPED",IF($R4731=-1,"OUTSIDE FY RANGE","OK"))))</f>
        <v/>
      </c>
      <c r="U4731" s="40" t="str">
        <f aca="false">IF($A4731="","",$B4731&amp;"|"&amp;TEXT($A4731,"yyyymmdd")&amp;"|"&amp;TEXT($I4731,"0.00"))</f>
        <v/>
      </c>
      <c r="V4731" s="35" t="str">
        <f aca="false">IF($A4731="","",COUNTIF($U$8:$U$5007,$U4731))</f>
        <v/>
      </c>
    </row>
    <row r="4732" customFormat="false" ht="15" hidden="false" customHeight="false" outlineLevel="0" collapsed="false">
      <c r="A4732" s="31"/>
      <c r="B4732" s="32"/>
      <c r="C4732" s="32"/>
      <c r="D4732" s="32"/>
      <c r="E4732" s="32"/>
      <c r="F4732" s="32"/>
      <c r="G4732" s="33"/>
      <c r="H4732" s="33"/>
      <c r="I4732" s="34" t="str">
        <f aca="false">IF($A4732="","",$G4732-$H4732)</f>
        <v/>
      </c>
      <c r="J4732" s="35" t="str">
        <f aca="false">IF($A4732="","",IF(Setup!$B$6=1,YEAR($A4732),YEAR($A4732)+IF(MONTH($A4732)&gt;=Setup!$B$6,1,0)))</f>
        <v/>
      </c>
      <c r="K4732" s="35" t="str">
        <f aca="false">IF($A4732="","",MOD(MONTH($A4732)-Setup!$B$6+12,12)+1)</f>
        <v/>
      </c>
      <c r="L4732" s="36" t="str">
        <f aca="false">IF($A4732="","",TEXT($A4732,"MMM-YY"))</f>
        <v/>
      </c>
      <c r="M4732" s="37" t="str">
        <f aca="false">IF($A4732="","",IF($Q4732=0,"UNMAPPED",INDEX(COA_Mapping!$C$7:$C$256,$Q4732)))</f>
        <v/>
      </c>
      <c r="N4732" s="38" t="str">
        <f aca="false">IF($A4732="","",IF($Q4732=0,"",INDEX(COA_Mapping!$E$7:$E$256,$Q4732)))</f>
        <v/>
      </c>
      <c r="O4732" s="38" t="n">
        <f aca="false">IF($A4732="",1,IF($Q4732=0,1,INDEX(COA_Mapping!$F$7:$F$256,$Q4732)))</f>
        <v>1</v>
      </c>
      <c r="P4732" s="34" t="str">
        <f aca="false">IF($A4732="","",$I4732*$O4732)</f>
        <v/>
      </c>
      <c r="Q4732" s="39" t="n">
        <f aca="false">IF($B4732="",0,IFERROR(MATCH($B4732,COA_Mapping!$A$7:$A$256,0),0))</f>
        <v>0</v>
      </c>
      <c r="R4732" s="39" t="n">
        <f aca="false">IF($A4732="",-1,IF($J4732=Setup!$B$7,1,IF($J4732=Setup!$B$9,0,-1)))</f>
        <v>-1</v>
      </c>
      <c r="S4732" s="35" t="n">
        <f aca="false">IF(OR($A4732="",$Q4732=0,$R4732=-1),0,$Q4732*1000+$R4732*100+$K4732)</f>
        <v>0</v>
      </c>
      <c r="T4732" s="37" t="str">
        <f aca="false">IF($A4732="","",IF($B4732="","NO ACCOUNT",IF($Q4732=0,"UNMAPPED",IF($R4732=-1,"OUTSIDE FY RANGE","OK"))))</f>
        <v/>
      </c>
      <c r="U4732" s="40" t="str">
        <f aca="false">IF($A4732="","",$B4732&amp;"|"&amp;TEXT($A4732,"yyyymmdd")&amp;"|"&amp;TEXT($I4732,"0.00"))</f>
        <v/>
      </c>
      <c r="V4732" s="35" t="str">
        <f aca="false">IF($A4732="","",COUNTIF($U$8:$U$5007,$U4732))</f>
        <v/>
      </c>
    </row>
    <row r="4733" customFormat="false" ht="15" hidden="false" customHeight="false" outlineLevel="0" collapsed="false">
      <c r="A4733" s="31"/>
      <c r="B4733" s="32"/>
      <c r="C4733" s="32"/>
      <c r="D4733" s="32"/>
      <c r="E4733" s="32"/>
      <c r="F4733" s="32"/>
      <c r="G4733" s="33"/>
      <c r="H4733" s="33"/>
      <c r="I4733" s="34" t="str">
        <f aca="false">IF($A4733="","",$G4733-$H4733)</f>
        <v/>
      </c>
      <c r="J4733" s="35" t="str">
        <f aca="false">IF($A4733="","",IF(Setup!$B$6=1,YEAR($A4733),YEAR($A4733)+IF(MONTH($A4733)&gt;=Setup!$B$6,1,0)))</f>
        <v/>
      </c>
      <c r="K4733" s="35" t="str">
        <f aca="false">IF($A4733="","",MOD(MONTH($A4733)-Setup!$B$6+12,12)+1)</f>
        <v/>
      </c>
      <c r="L4733" s="36" t="str">
        <f aca="false">IF($A4733="","",TEXT($A4733,"MMM-YY"))</f>
        <v/>
      </c>
      <c r="M4733" s="37" t="str">
        <f aca="false">IF($A4733="","",IF($Q4733=0,"UNMAPPED",INDEX(COA_Mapping!$C$7:$C$256,$Q4733)))</f>
        <v/>
      </c>
      <c r="N4733" s="38" t="str">
        <f aca="false">IF($A4733="","",IF($Q4733=0,"",INDEX(COA_Mapping!$E$7:$E$256,$Q4733)))</f>
        <v/>
      </c>
      <c r="O4733" s="38" t="n">
        <f aca="false">IF($A4733="",1,IF($Q4733=0,1,INDEX(COA_Mapping!$F$7:$F$256,$Q4733)))</f>
        <v>1</v>
      </c>
      <c r="P4733" s="34" t="str">
        <f aca="false">IF($A4733="","",$I4733*$O4733)</f>
        <v/>
      </c>
      <c r="Q4733" s="39" t="n">
        <f aca="false">IF($B4733="",0,IFERROR(MATCH($B4733,COA_Mapping!$A$7:$A$256,0),0))</f>
        <v>0</v>
      </c>
      <c r="R4733" s="39" t="n">
        <f aca="false">IF($A4733="",-1,IF($J4733=Setup!$B$7,1,IF($J4733=Setup!$B$9,0,-1)))</f>
        <v>-1</v>
      </c>
      <c r="S4733" s="35" t="n">
        <f aca="false">IF(OR($A4733="",$Q4733=0,$R4733=-1),0,$Q4733*1000+$R4733*100+$K4733)</f>
        <v>0</v>
      </c>
      <c r="T4733" s="37" t="str">
        <f aca="false">IF($A4733="","",IF($B4733="","NO ACCOUNT",IF($Q4733=0,"UNMAPPED",IF($R4733=-1,"OUTSIDE FY RANGE","OK"))))</f>
        <v/>
      </c>
      <c r="U4733" s="40" t="str">
        <f aca="false">IF($A4733="","",$B4733&amp;"|"&amp;TEXT($A4733,"yyyymmdd")&amp;"|"&amp;TEXT($I4733,"0.00"))</f>
        <v/>
      </c>
      <c r="V4733" s="35" t="str">
        <f aca="false">IF($A4733="","",COUNTIF($U$8:$U$5007,$U4733))</f>
        <v/>
      </c>
    </row>
    <row r="4734" customFormat="false" ht="15" hidden="false" customHeight="false" outlineLevel="0" collapsed="false">
      <c r="A4734" s="31"/>
      <c r="B4734" s="32"/>
      <c r="C4734" s="32"/>
      <c r="D4734" s="32"/>
      <c r="E4734" s="32"/>
      <c r="F4734" s="32"/>
      <c r="G4734" s="33"/>
      <c r="H4734" s="33"/>
      <c r="I4734" s="34" t="str">
        <f aca="false">IF($A4734="","",$G4734-$H4734)</f>
        <v/>
      </c>
      <c r="J4734" s="35" t="str">
        <f aca="false">IF($A4734="","",IF(Setup!$B$6=1,YEAR($A4734),YEAR($A4734)+IF(MONTH($A4734)&gt;=Setup!$B$6,1,0)))</f>
        <v/>
      </c>
      <c r="K4734" s="35" t="str">
        <f aca="false">IF($A4734="","",MOD(MONTH($A4734)-Setup!$B$6+12,12)+1)</f>
        <v/>
      </c>
      <c r="L4734" s="36" t="str">
        <f aca="false">IF($A4734="","",TEXT($A4734,"MMM-YY"))</f>
        <v/>
      </c>
      <c r="M4734" s="37" t="str">
        <f aca="false">IF($A4734="","",IF($Q4734=0,"UNMAPPED",INDEX(COA_Mapping!$C$7:$C$256,$Q4734)))</f>
        <v/>
      </c>
      <c r="N4734" s="38" t="str">
        <f aca="false">IF($A4734="","",IF($Q4734=0,"",INDEX(COA_Mapping!$E$7:$E$256,$Q4734)))</f>
        <v/>
      </c>
      <c r="O4734" s="38" t="n">
        <f aca="false">IF($A4734="",1,IF($Q4734=0,1,INDEX(COA_Mapping!$F$7:$F$256,$Q4734)))</f>
        <v>1</v>
      </c>
      <c r="P4734" s="34" t="str">
        <f aca="false">IF($A4734="","",$I4734*$O4734)</f>
        <v/>
      </c>
      <c r="Q4734" s="39" t="n">
        <f aca="false">IF($B4734="",0,IFERROR(MATCH($B4734,COA_Mapping!$A$7:$A$256,0),0))</f>
        <v>0</v>
      </c>
      <c r="R4734" s="39" t="n">
        <f aca="false">IF($A4734="",-1,IF($J4734=Setup!$B$7,1,IF($J4734=Setup!$B$9,0,-1)))</f>
        <v>-1</v>
      </c>
      <c r="S4734" s="35" t="n">
        <f aca="false">IF(OR($A4734="",$Q4734=0,$R4734=-1),0,$Q4734*1000+$R4734*100+$K4734)</f>
        <v>0</v>
      </c>
      <c r="T4734" s="37" t="str">
        <f aca="false">IF($A4734="","",IF($B4734="","NO ACCOUNT",IF($Q4734=0,"UNMAPPED",IF($R4734=-1,"OUTSIDE FY RANGE","OK"))))</f>
        <v/>
      </c>
      <c r="U4734" s="40" t="str">
        <f aca="false">IF($A4734="","",$B4734&amp;"|"&amp;TEXT($A4734,"yyyymmdd")&amp;"|"&amp;TEXT($I4734,"0.00"))</f>
        <v/>
      </c>
      <c r="V4734" s="35" t="str">
        <f aca="false">IF($A4734="","",COUNTIF($U$8:$U$5007,$U4734))</f>
        <v/>
      </c>
    </row>
    <row r="4735" customFormat="false" ht="15" hidden="false" customHeight="false" outlineLevel="0" collapsed="false">
      <c r="A4735" s="31"/>
      <c r="B4735" s="32"/>
      <c r="C4735" s="32"/>
      <c r="D4735" s="32"/>
      <c r="E4735" s="32"/>
      <c r="F4735" s="32"/>
      <c r="G4735" s="33"/>
      <c r="H4735" s="33"/>
      <c r="I4735" s="34" t="str">
        <f aca="false">IF($A4735="","",$G4735-$H4735)</f>
        <v/>
      </c>
      <c r="J4735" s="35" t="str">
        <f aca="false">IF($A4735="","",IF(Setup!$B$6=1,YEAR($A4735),YEAR($A4735)+IF(MONTH($A4735)&gt;=Setup!$B$6,1,0)))</f>
        <v/>
      </c>
      <c r="K4735" s="35" t="str">
        <f aca="false">IF($A4735="","",MOD(MONTH($A4735)-Setup!$B$6+12,12)+1)</f>
        <v/>
      </c>
      <c r="L4735" s="36" t="str">
        <f aca="false">IF($A4735="","",TEXT($A4735,"MMM-YY"))</f>
        <v/>
      </c>
      <c r="M4735" s="37" t="str">
        <f aca="false">IF($A4735="","",IF($Q4735=0,"UNMAPPED",INDEX(COA_Mapping!$C$7:$C$256,$Q4735)))</f>
        <v/>
      </c>
      <c r="N4735" s="38" t="str">
        <f aca="false">IF($A4735="","",IF($Q4735=0,"",INDEX(COA_Mapping!$E$7:$E$256,$Q4735)))</f>
        <v/>
      </c>
      <c r="O4735" s="38" t="n">
        <f aca="false">IF($A4735="",1,IF($Q4735=0,1,INDEX(COA_Mapping!$F$7:$F$256,$Q4735)))</f>
        <v>1</v>
      </c>
      <c r="P4735" s="34" t="str">
        <f aca="false">IF($A4735="","",$I4735*$O4735)</f>
        <v/>
      </c>
      <c r="Q4735" s="39" t="n">
        <f aca="false">IF($B4735="",0,IFERROR(MATCH($B4735,COA_Mapping!$A$7:$A$256,0),0))</f>
        <v>0</v>
      </c>
      <c r="R4735" s="39" t="n">
        <f aca="false">IF($A4735="",-1,IF($J4735=Setup!$B$7,1,IF($J4735=Setup!$B$9,0,-1)))</f>
        <v>-1</v>
      </c>
      <c r="S4735" s="35" t="n">
        <f aca="false">IF(OR($A4735="",$Q4735=0,$R4735=-1),0,$Q4735*1000+$R4735*100+$K4735)</f>
        <v>0</v>
      </c>
      <c r="T4735" s="37" t="str">
        <f aca="false">IF($A4735="","",IF($B4735="","NO ACCOUNT",IF($Q4735=0,"UNMAPPED",IF($R4735=-1,"OUTSIDE FY RANGE","OK"))))</f>
        <v/>
      </c>
      <c r="U4735" s="40" t="str">
        <f aca="false">IF($A4735="","",$B4735&amp;"|"&amp;TEXT($A4735,"yyyymmdd")&amp;"|"&amp;TEXT($I4735,"0.00"))</f>
        <v/>
      </c>
      <c r="V4735" s="35" t="str">
        <f aca="false">IF($A4735="","",COUNTIF($U$8:$U$5007,$U4735))</f>
        <v/>
      </c>
    </row>
    <row r="4736" customFormat="false" ht="15" hidden="false" customHeight="false" outlineLevel="0" collapsed="false">
      <c r="A4736" s="31"/>
      <c r="B4736" s="32"/>
      <c r="C4736" s="32"/>
      <c r="D4736" s="32"/>
      <c r="E4736" s="32"/>
      <c r="F4736" s="32"/>
      <c r="G4736" s="33"/>
      <c r="H4736" s="33"/>
      <c r="I4736" s="34" t="str">
        <f aca="false">IF($A4736="","",$G4736-$H4736)</f>
        <v/>
      </c>
      <c r="J4736" s="35" t="str">
        <f aca="false">IF($A4736="","",IF(Setup!$B$6=1,YEAR($A4736),YEAR($A4736)+IF(MONTH($A4736)&gt;=Setup!$B$6,1,0)))</f>
        <v/>
      </c>
      <c r="K4736" s="35" t="str">
        <f aca="false">IF($A4736="","",MOD(MONTH($A4736)-Setup!$B$6+12,12)+1)</f>
        <v/>
      </c>
      <c r="L4736" s="36" t="str">
        <f aca="false">IF($A4736="","",TEXT($A4736,"MMM-YY"))</f>
        <v/>
      </c>
      <c r="M4736" s="37" t="str">
        <f aca="false">IF($A4736="","",IF($Q4736=0,"UNMAPPED",INDEX(COA_Mapping!$C$7:$C$256,$Q4736)))</f>
        <v/>
      </c>
      <c r="N4736" s="38" t="str">
        <f aca="false">IF($A4736="","",IF($Q4736=0,"",INDEX(COA_Mapping!$E$7:$E$256,$Q4736)))</f>
        <v/>
      </c>
      <c r="O4736" s="38" t="n">
        <f aca="false">IF($A4736="",1,IF($Q4736=0,1,INDEX(COA_Mapping!$F$7:$F$256,$Q4736)))</f>
        <v>1</v>
      </c>
      <c r="P4736" s="34" t="str">
        <f aca="false">IF($A4736="","",$I4736*$O4736)</f>
        <v/>
      </c>
      <c r="Q4736" s="39" t="n">
        <f aca="false">IF($B4736="",0,IFERROR(MATCH($B4736,COA_Mapping!$A$7:$A$256,0),0))</f>
        <v>0</v>
      </c>
      <c r="R4736" s="39" t="n">
        <f aca="false">IF($A4736="",-1,IF($J4736=Setup!$B$7,1,IF($J4736=Setup!$B$9,0,-1)))</f>
        <v>-1</v>
      </c>
      <c r="S4736" s="35" t="n">
        <f aca="false">IF(OR($A4736="",$Q4736=0,$R4736=-1),0,$Q4736*1000+$R4736*100+$K4736)</f>
        <v>0</v>
      </c>
      <c r="T4736" s="37" t="str">
        <f aca="false">IF($A4736="","",IF($B4736="","NO ACCOUNT",IF($Q4736=0,"UNMAPPED",IF($R4736=-1,"OUTSIDE FY RANGE","OK"))))</f>
        <v/>
      </c>
      <c r="U4736" s="40" t="str">
        <f aca="false">IF($A4736="","",$B4736&amp;"|"&amp;TEXT($A4736,"yyyymmdd")&amp;"|"&amp;TEXT($I4736,"0.00"))</f>
        <v/>
      </c>
      <c r="V4736" s="35" t="str">
        <f aca="false">IF($A4736="","",COUNTIF($U$8:$U$5007,$U4736))</f>
        <v/>
      </c>
    </row>
    <row r="4737" customFormat="false" ht="15" hidden="false" customHeight="false" outlineLevel="0" collapsed="false">
      <c r="A4737" s="31"/>
      <c r="B4737" s="32"/>
      <c r="C4737" s="32"/>
      <c r="D4737" s="32"/>
      <c r="E4737" s="32"/>
      <c r="F4737" s="32"/>
      <c r="G4737" s="33"/>
      <c r="H4737" s="33"/>
      <c r="I4737" s="34" t="str">
        <f aca="false">IF($A4737="","",$G4737-$H4737)</f>
        <v/>
      </c>
      <c r="J4737" s="35" t="str">
        <f aca="false">IF($A4737="","",IF(Setup!$B$6=1,YEAR($A4737),YEAR($A4737)+IF(MONTH($A4737)&gt;=Setup!$B$6,1,0)))</f>
        <v/>
      </c>
      <c r="K4737" s="35" t="str">
        <f aca="false">IF($A4737="","",MOD(MONTH($A4737)-Setup!$B$6+12,12)+1)</f>
        <v/>
      </c>
      <c r="L4737" s="36" t="str">
        <f aca="false">IF($A4737="","",TEXT($A4737,"MMM-YY"))</f>
        <v/>
      </c>
      <c r="M4737" s="37" t="str">
        <f aca="false">IF($A4737="","",IF($Q4737=0,"UNMAPPED",INDEX(COA_Mapping!$C$7:$C$256,$Q4737)))</f>
        <v/>
      </c>
      <c r="N4737" s="38" t="str">
        <f aca="false">IF($A4737="","",IF($Q4737=0,"",INDEX(COA_Mapping!$E$7:$E$256,$Q4737)))</f>
        <v/>
      </c>
      <c r="O4737" s="38" t="n">
        <f aca="false">IF($A4737="",1,IF($Q4737=0,1,INDEX(COA_Mapping!$F$7:$F$256,$Q4737)))</f>
        <v>1</v>
      </c>
      <c r="P4737" s="34" t="str">
        <f aca="false">IF($A4737="","",$I4737*$O4737)</f>
        <v/>
      </c>
      <c r="Q4737" s="39" t="n">
        <f aca="false">IF($B4737="",0,IFERROR(MATCH($B4737,COA_Mapping!$A$7:$A$256,0),0))</f>
        <v>0</v>
      </c>
      <c r="R4737" s="39" t="n">
        <f aca="false">IF($A4737="",-1,IF($J4737=Setup!$B$7,1,IF($J4737=Setup!$B$9,0,-1)))</f>
        <v>-1</v>
      </c>
      <c r="S4737" s="35" t="n">
        <f aca="false">IF(OR($A4737="",$Q4737=0,$R4737=-1),0,$Q4737*1000+$R4737*100+$K4737)</f>
        <v>0</v>
      </c>
      <c r="T4737" s="37" t="str">
        <f aca="false">IF($A4737="","",IF($B4737="","NO ACCOUNT",IF($Q4737=0,"UNMAPPED",IF($R4737=-1,"OUTSIDE FY RANGE","OK"))))</f>
        <v/>
      </c>
      <c r="U4737" s="40" t="str">
        <f aca="false">IF($A4737="","",$B4737&amp;"|"&amp;TEXT($A4737,"yyyymmdd")&amp;"|"&amp;TEXT($I4737,"0.00"))</f>
        <v/>
      </c>
      <c r="V4737" s="35" t="str">
        <f aca="false">IF($A4737="","",COUNTIF($U$8:$U$5007,$U4737))</f>
        <v/>
      </c>
    </row>
    <row r="4738" customFormat="false" ht="15" hidden="false" customHeight="false" outlineLevel="0" collapsed="false">
      <c r="A4738" s="31"/>
      <c r="B4738" s="32"/>
      <c r="C4738" s="32"/>
      <c r="D4738" s="32"/>
      <c r="E4738" s="32"/>
      <c r="F4738" s="32"/>
      <c r="G4738" s="33"/>
      <c r="H4738" s="33"/>
      <c r="I4738" s="34" t="str">
        <f aca="false">IF($A4738="","",$G4738-$H4738)</f>
        <v/>
      </c>
      <c r="J4738" s="35" t="str">
        <f aca="false">IF($A4738="","",IF(Setup!$B$6=1,YEAR($A4738),YEAR($A4738)+IF(MONTH($A4738)&gt;=Setup!$B$6,1,0)))</f>
        <v/>
      </c>
      <c r="K4738" s="35" t="str">
        <f aca="false">IF($A4738="","",MOD(MONTH($A4738)-Setup!$B$6+12,12)+1)</f>
        <v/>
      </c>
      <c r="L4738" s="36" t="str">
        <f aca="false">IF($A4738="","",TEXT($A4738,"MMM-YY"))</f>
        <v/>
      </c>
      <c r="M4738" s="37" t="str">
        <f aca="false">IF($A4738="","",IF($Q4738=0,"UNMAPPED",INDEX(COA_Mapping!$C$7:$C$256,$Q4738)))</f>
        <v/>
      </c>
      <c r="N4738" s="38" t="str">
        <f aca="false">IF($A4738="","",IF($Q4738=0,"",INDEX(COA_Mapping!$E$7:$E$256,$Q4738)))</f>
        <v/>
      </c>
      <c r="O4738" s="38" t="n">
        <f aca="false">IF($A4738="",1,IF($Q4738=0,1,INDEX(COA_Mapping!$F$7:$F$256,$Q4738)))</f>
        <v>1</v>
      </c>
      <c r="P4738" s="34" t="str">
        <f aca="false">IF($A4738="","",$I4738*$O4738)</f>
        <v/>
      </c>
      <c r="Q4738" s="39" t="n">
        <f aca="false">IF($B4738="",0,IFERROR(MATCH($B4738,COA_Mapping!$A$7:$A$256,0),0))</f>
        <v>0</v>
      </c>
      <c r="R4738" s="39" t="n">
        <f aca="false">IF($A4738="",-1,IF($J4738=Setup!$B$7,1,IF($J4738=Setup!$B$9,0,-1)))</f>
        <v>-1</v>
      </c>
      <c r="S4738" s="35" t="n">
        <f aca="false">IF(OR($A4738="",$Q4738=0,$R4738=-1),0,$Q4738*1000+$R4738*100+$K4738)</f>
        <v>0</v>
      </c>
      <c r="T4738" s="37" t="str">
        <f aca="false">IF($A4738="","",IF($B4738="","NO ACCOUNT",IF($Q4738=0,"UNMAPPED",IF($R4738=-1,"OUTSIDE FY RANGE","OK"))))</f>
        <v/>
      </c>
      <c r="U4738" s="40" t="str">
        <f aca="false">IF($A4738="","",$B4738&amp;"|"&amp;TEXT($A4738,"yyyymmdd")&amp;"|"&amp;TEXT($I4738,"0.00"))</f>
        <v/>
      </c>
      <c r="V4738" s="35" t="str">
        <f aca="false">IF($A4738="","",COUNTIF($U$8:$U$5007,$U4738))</f>
        <v/>
      </c>
    </row>
    <row r="4739" customFormat="false" ht="15" hidden="false" customHeight="false" outlineLevel="0" collapsed="false">
      <c r="A4739" s="31"/>
      <c r="B4739" s="32"/>
      <c r="C4739" s="32"/>
      <c r="D4739" s="32"/>
      <c r="E4739" s="32"/>
      <c r="F4739" s="32"/>
      <c r="G4739" s="33"/>
      <c r="H4739" s="33"/>
      <c r="I4739" s="34" t="str">
        <f aca="false">IF($A4739="","",$G4739-$H4739)</f>
        <v/>
      </c>
      <c r="J4739" s="35" t="str">
        <f aca="false">IF($A4739="","",IF(Setup!$B$6=1,YEAR($A4739),YEAR($A4739)+IF(MONTH($A4739)&gt;=Setup!$B$6,1,0)))</f>
        <v/>
      </c>
      <c r="K4739" s="35" t="str">
        <f aca="false">IF($A4739="","",MOD(MONTH($A4739)-Setup!$B$6+12,12)+1)</f>
        <v/>
      </c>
      <c r="L4739" s="36" t="str">
        <f aca="false">IF($A4739="","",TEXT($A4739,"MMM-YY"))</f>
        <v/>
      </c>
      <c r="M4739" s="37" t="str">
        <f aca="false">IF($A4739="","",IF($Q4739=0,"UNMAPPED",INDEX(COA_Mapping!$C$7:$C$256,$Q4739)))</f>
        <v/>
      </c>
      <c r="N4739" s="38" t="str">
        <f aca="false">IF($A4739="","",IF($Q4739=0,"",INDEX(COA_Mapping!$E$7:$E$256,$Q4739)))</f>
        <v/>
      </c>
      <c r="O4739" s="38" t="n">
        <f aca="false">IF($A4739="",1,IF($Q4739=0,1,INDEX(COA_Mapping!$F$7:$F$256,$Q4739)))</f>
        <v>1</v>
      </c>
      <c r="P4739" s="34" t="str">
        <f aca="false">IF($A4739="","",$I4739*$O4739)</f>
        <v/>
      </c>
      <c r="Q4739" s="39" t="n">
        <f aca="false">IF($B4739="",0,IFERROR(MATCH($B4739,COA_Mapping!$A$7:$A$256,0),0))</f>
        <v>0</v>
      </c>
      <c r="R4739" s="39" t="n">
        <f aca="false">IF($A4739="",-1,IF($J4739=Setup!$B$7,1,IF($J4739=Setup!$B$9,0,-1)))</f>
        <v>-1</v>
      </c>
      <c r="S4739" s="35" t="n">
        <f aca="false">IF(OR($A4739="",$Q4739=0,$R4739=-1),0,$Q4739*1000+$R4739*100+$K4739)</f>
        <v>0</v>
      </c>
      <c r="T4739" s="37" t="str">
        <f aca="false">IF($A4739="","",IF($B4739="","NO ACCOUNT",IF($Q4739=0,"UNMAPPED",IF($R4739=-1,"OUTSIDE FY RANGE","OK"))))</f>
        <v/>
      </c>
      <c r="U4739" s="40" t="str">
        <f aca="false">IF($A4739="","",$B4739&amp;"|"&amp;TEXT($A4739,"yyyymmdd")&amp;"|"&amp;TEXT($I4739,"0.00"))</f>
        <v/>
      </c>
      <c r="V4739" s="35" t="str">
        <f aca="false">IF($A4739="","",COUNTIF($U$8:$U$5007,$U4739))</f>
        <v/>
      </c>
    </row>
    <row r="4740" customFormat="false" ht="15" hidden="false" customHeight="false" outlineLevel="0" collapsed="false">
      <c r="A4740" s="31"/>
      <c r="B4740" s="32"/>
      <c r="C4740" s="32"/>
      <c r="D4740" s="32"/>
      <c r="E4740" s="32"/>
      <c r="F4740" s="32"/>
      <c r="G4740" s="33"/>
      <c r="H4740" s="33"/>
      <c r="I4740" s="34" t="str">
        <f aca="false">IF($A4740="","",$G4740-$H4740)</f>
        <v/>
      </c>
      <c r="J4740" s="35" t="str">
        <f aca="false">IF($A4740="","",IF(Setup!$B$6=1,YEAR($A4740),YEAR($A4740)+IF(MONTH($A4740)&gt;=Setup!$B$6,1,0)))</f>
        <v/>
      </c>
      <c r="K4740" s="35" t="str">
        <f aca="false">IF($A4740="","",MOD(MONTH($A4740)-Setup!$B$6+12,12)+1)</f>
        <v/>
      </c>
      <c r="L4740" s="36" t="str">
        <f aca="false">IF($A4740="","",TEXT($A4740,"MMM-YY"))</f>
        <v/>
      </c>
      <c r="M4740" s="37" t="str">
        <f aca="false">IF($A4740="","",IF($Q4740=0,"UNMAPPED",INDEX(COA_Mapping!$C$7:$C$256,$Q4740)))</f>
        <v/>
      </c>
      <c r="N4740" s="38" t="str">
        <f aca="false">IF($A4740="","",IF($Q4740=0,"",INDEX(COA_Mapping!$E$7:$E$256,$Q4740)))</f>
        <v/>
      </c>
      <c r="O4740" s="38" t="n">
        <f aca="false">IF($A4740="",1,IF($Q4740=0,1,INDEX(COA_Mapping!$F$7:$F$256,$Q4740)))</f>
        <v>1</v>
      </c>
      <c r="P4740" s="34" t="str">
        <f aca="false">IF($A4740="","",$I4740*$O4740)</f>
        <v/>
      </c>
      <c r="Q4740" s="39" t="n">
        <f aca="false">IF($B4740="",0,IFERROR(MATCH($B4740,COA_Mapping!$A$7:$A$256,0),0))</f>
        <v>0</v>
      </c>
      <c r="R4740" s="39" t="n">
        <f aca="false">IF($A4740="",-1,IF($J4740=Setup!$B$7,1,IF($J4740=Setup!$B$9,0,-1)))</f>
        <v>-1</v>
      </c>
      <c r="S4740" s="35" t="n">
        <f aca="false">IF(OR($A4740="",$Q4740=0,$R4740=-1),0,$Q4740*1000+$R4740*100+$K4740)</f>
        <v>0</v>
      </c>
      <c r="T4740" s="37" t="str">
        <f aca="false">IF($A4740="","",IF($B4740="","NO ACCOUNT",IF($Q4740=0,"UNMAPPED",IF($R4740=-1,"OUTSIDE FY RANGE","OK"))))</f>
        <v/>
      </c>
      <c r="U4740" s="40" t="str">
        <f aca="false">IF($A4740="","",$B4740&amp;"|"&amp;TEXT($A4740,"yyyymmdd")&amp;"|"&amp;TEXT($I4740,"0.00"))</f>
        <v/>
      </c>
      <c r="V4740" s="35" t="str">
        <f aca="false">IF($A4740="","",COUNTIF($U$8:$U$5007,$U4740))</f>
        <v/>
      </c>
    </row>
    <row r="4741" customFormat="false" ht="15" hidden="false" customHeight="false" outlineLevel="0" collapsed="false">
      <c r="A4741" s="31"/>
      <c r="B4741" s="32"/>
      <c r="C4741" s="32"/>
      <c r="D4741" s="32"/>
      <c r="E4741" s="32"/>
      <c r="F4741" s="32"/>
      <c r="G4741" s="33"/>
      <c r="H4741" s="33"/>
      <c r="I4741" s="34" t="str">
        <f aca="false">IF($A4741="","",$G4741-$H4741)</f>
        <v/>
      </c>
      <c r="J4741" s="35" t="str">
        <f aca="false">IF($A4741="","",IF(Setup!$B$6=1,YEAR($A4741),YEAR($A4741)+IF(MONTH($A4741)&gt;=Setup!$B$6,1,0)))</f>
        <v/>
      </c>
      <c r="K4741" s="35" t="str">
        <f aca="false">IF($A4741="","",MOD(MONTH($A4741)-Setup!$B$6+12,12)+1)</f>
        <v/>
      </c>
      <c r="L4741" s="36" t="str">
        <f aca="false">IF($A4741="","",TEXT($A4741,"MMM-YY"))</f>
        <v/>
      </c>
      <c r="M4741" s="37" t="str">
        <f aca="false">IF($A4741="","",IF($Q4741=0,"UNMAPPED",INDEX(COA_Mapping!$C$7:$C$256,$Q4741)))</f>
        <v/>
      </c>
      <c r="N4741" s="38" t="str">
        <f aca="false">IF($A4741="","",IF($Q4741=0,"",INDEX(COA_Mapping!$E$7:$E$256,$Q4741)))</f>
        <v/>
      </c>
      <c r="O4741" s="38" t="n">
        <f aca="false">IF($A4741="",1,IF($Q4741=0,1,INDEX(COA_Mapping!$F$7:$F$256,$Q4741)))</f>
        <v>1</v>
      </c>
      <c r="P4741" s="34" t="str">
        <f aca="false">IF($A4741="","",$I4741*$O4741)</f>
        <v/>
      </c>
      <c r="Q4741" s="39" t="n">
        <f aca="false">IF($B4741="",0,IFERROR(MATCH($B4741,COA_Mapping!$A$7:$A$256,0),0))</f>
        <v>0</v>
      </c>
      <c r="R4741" s="39" t="n">
        <f aca="false">IF($A4741="",-1,IF($J4741=Setup!$B$7,1,IF($J4741=Setup!$B$9,0,-1)))</f>
        <v>-1</v>
      </c>
      <c r="S4741" s="35" t="n">
        <f aca="false">IF(OR($A4741="",$Q4741=0,$R4741=-1),0,$Q4741*1000+$R4741*100+$K4741)</f>
        <v>0</v>
      </c>
      <c r="T4741" s="37" t="str">
        <f aca="false">IF($A4741="","",IF($B4741="","NO ACCOUNT",IF($Q4741=0,"UNMAPPED",IF($R4741=-1,"OUTSIDE FY RANGE","OK"))))</f>
        <v/>
      </c>
      <c r="U4741" s="40" t="str">
        <f aca="false">IF($A4741="","",$B4741&amp;"|"&amp;TEXT($A4741,"yyyymmdd")&amp;"|"&amp;TEXT($I4741,"0.00"))</f>
        <v/>
      </c>
      <c r="V4741" s="35" t="str">
        <f aca="false">IF($A4741="","",COUNTIF($U$8:$U$5007,$U4741))</f>
        <v/>
      </c>
    </row>
    <row r="4742" customFormat="false" ht="15" hidden="false" customHeight="false" outlineLevel="0" collapsed="false">
      <c r="A4742" s="31"/>
      <c r="B4742" s="32"/>
      <c r="C4742" s="32"/>
      <c r="D4742" s="32"/>
      <c r="E4742" s="32"/>
      <c r="F4742" s="32"/>
      <c r="G4742" s="33"/>
      <c r="H4742" s="33"/>
      <c r="I4742" s="34" t="str">
        <f aca="false">IF($A4742="","",$G4742-$H4742)</f>
        <v/>
      </c>
      <c r="J4742" s="35" t="str">
        <f aca="false">IF($A4742="","",IF(Setup!$B$6=1,YEAR($A4742),YEAR($A4742)+IF(MONTH($A4742)&gt;=Setup!$B$6,1,0)))</f>
        <v/>
      </c>
      <c r="K4742" s="35" t="str">
        <f aca="false">IF($A4742="","",MOD(MONTH($A4742)-Setup!$B$6+12,12)+1)</f>
        <v/>
      </c>
      <c r="L4742" s="36" t="str">
        <f aca="false">IF($A4742="","",TEXT($A4742,"MMM-YY"))</f>
        <v/>
      </c>
      <c r="M4742" s="37" t="str">
        <f aca="false">IF($A4742="","",IF($Q4742=0,"UNMAPPED",INDEX(COA_Mapping!$C$7:$C$256,$Q4742)))</f>
        <v/>
      </c>
      <c r="N4742" s="38" t="str">
        <f aca="false">IF($A4742="","",IF($Q4742=0,"",INDEX(COA_Mapping!$E$7:$E$256,$Q4742)))</f>
        <v/>
      </c>
      <c r="O4742" s="38" t="n">
        <f aca="false">IF($A4742="",1,IF($Q4742=0,1,INDEX(COA_Mapping!$F$7:$F$256,$Q4742)))</f>
        <v>1</v>
      </c>
      <c r="P4742" s="34" t="str">
        <f aca="false">IF($A4742="","",$I4742*$O4742)</f>
        <v/>
      </c>
      <c r="Q4742" s="39" t="n">
        <f aca="false">IF($B4742="",0,IFERROR(MATCH($B4742,COA_Mapping!$A$7:$A$256,0),0))</f>
        <v>0</v>
      </c>
      <c r="R4742" s="39" t="n">
        <f aca="false">IF($A4742="",-1,IF($J4742=Setup!$B$7,1,IF($J4742=Setup!$B$9,0,-1)))</f>
        <v>-1</v>
      </c>
      <c r="S4742" s="35" t="n">
        <f aca="false">IF(OR($A4742="",$Q4742=0,$R4742=-1),0,$Q4742*1000+$R4742*100+$K4742)</f>
        <v>0</v>
      </c>
      <c r="T4742" s="37" t="str">
        <f aca="false">IF($A4742="","",IF($B4742="","NO ACCOUNT",IF($Q4742=0,"UNMAPPED",IF($R4742=-1,"OUTSIDE FY RANGE","OK"))))</f>
        <v/>
      </c>
      <c r="U4742" s="40" t="str">
        <f aca="false">IF($A4742="","",$B4742&amp;"|"&amp;TEXT($A4742,"yyyymmdd")&amp;"|"&amp;TEXT($I4742,"0.00"))</f>
        <v/>
      </c>
      <c r="V4742" s="35" t="str">
        <f aca="false">IF($A4742="","",COUNTIF($U$8:$U$5007,$U4742))</f>
        <v/>
      </c>
    </row>
    <row r="4743" customFormat="false" ht="15" hidden="false" customHeight="false" outlineLevel="0" collapsed="false">
      <c r="A4743" s="31"/>
      <c r="B4743" s="32"/>
      <c r="C4743" s="32"/>
      <c r="D4743" s="32"/>
      <c r="E4743" s="32"/>
      <c r="F4743" s="32"/>
      <c r="G4743" s="33"/>
      <c r="H4743" s="33"/>
      <c r="I4743" s="34" t="str">
        <f aca="false">IF($A4743="","",$G4743-$H4743)</f>
        <v/>
      </c>
      <c r="J4743" s="35" t="str">
        <f aca="false">IF($A4743="","",IF(Setup!$B$6=1,YEAR($A4743),YEAR($A4743)+IF(MONTH($A4743)&gt;=Setup!$B$6,1,0)))</f>
        <v/>
      </c>
      <c r="K4743" s="35" t="str">
        <f aca="false">IF($A4743="","",MOD(MONTH($A4743)-Setup!$B$6+12,12)+1)</f>
        <v/>
      </c>
      <c r="L4743" s="36" t="str">
        <f aca="false">IF($A4743="","",TEXT($A4743,"MMM-YY"))</f>
        <v/>
      </c>
      <c r="M4743" s="37" t="str">
        <f aca="false">IF($A4743="","",IF($Q4743=0,"UNMAPPED",INDEX(COA_Mapping!$C$7:$C$256,$Q4743)))</f>
        <v/>
      </c>
      <c r="N4743" s="38" t="str">
        <f aca="false">IF($A4743="","",IF($Q4743=0,"",INDEX(COA_Mapping!$E$7:$E$256,$Q4743)))</f>
        <v/>
      </c>
      <c r="O4743" s="38" t="n">
        <f aca="false">IF($A4743="",1,IF($Q4743=0,1,INDEX(COA_Mapping!$F$7:$F$256,$Q4743)))</f>
        <v>1</v>
      </c>
      <c r="P4743" s="34" t="str">
        <f aca="false">IF($A4743="","",$I4743*$O4743)</f>
        <v/>
      </c>
      <c r="Q4743" s="39" t="n">
        <f aca="false">IF($B4743="",0,IFERROR(MATCH($B4743,COA_Mapping!$A$7:$A$256,0),0))</f>
        <v>0</v>
      </c>
      <c r="R4743" s="39" t="n">
        <f aca="false">IF($A4743="",-1,IF($J4743=Setup!$B$7,1,IF($J4743=Setup!$B$9,0,-1)))</f>
        <v>-1</v>
      </c>
      <c r="S4743" s="35" t="n">
        <f aca="false">IF(OR($A4743="",$Q4743=0,$R4743=-1),0,$Q4743*1000+$R4743*100+$K4743)</f>
        <v>0</v>
      </c>
      <c r="T4743" s="37" t="str">
        <f aca="false">IF($A4743="","",IF($B4743="","NO ACCOUNT",IF($Q4743=0,"UNMAPPED",IF($R4743=-1,"OUTSIDE FY RANGE","OK"))))</f>
        <v/>
      </c>
      <c r="U4743" s="40" t="str">
        <f aca="false">IF($A4743="","",$B4743&amp;"|"&amp;TEXT($A4743,"yyyymmdd")&amp;"|"&amp;TEXT($I4743,"0.00"))</f>
        <v/>
      </c>
      <c r="V4743" s="35" t="str">
        <f aca="false">IF($A4743="","",COUNTIF($U$8:$U$5007,$U4743))</f>
        <v/>
      </c>
    </row>
    <row r="4744" customFormat="false" ht="15" hidden="false" customHeight="false" outlineLevel="0" collapsed="false">
      <c r="A4744" s="31"/>
      <c r="B4744" s="32"/>
      <c r="C4744" s="32"/>
      <c r="D4744" s="32"/>
      <c r="E4744" s="32"/>
      <c r="F4744" s="32"/>
      <c r="G4744" s="33"/>
      <c r="H4744" s="33"/>
      <c r="I4744" s="34" t="str">
        <f aca="false">IF($A4744="","",$G4744-$H4744)</f>
        <v/>
      </c>
      <c r="J4744" s="35" t="str">
        <f aca="false">IF($A4744="","",IF(Setup!$B$6=1,YEAR($A4744),YEAR($A4744)+IF(MONTH($A4744)&gt;=Setup!$B$6,1,0)))</f>
        <v/>
      </c>
      <c r="K4744" s="35" t="str">
        <f aca="false">IF($A4744="","",MOD(MONTH($A4744)-Setup!$B$6+12,12)+1)</f>
        <v/>
      </c>
      <c r="L4744" s="36" t="str">
        <f aca="false">IF($A4744="","",TEXT($A4744,"MMM-YY"))</f>
        <v/>
      </c>
      <c r="M4744" s="37" t="str">
        <f aca="false">IF($A4744="","",IF($Q4744=0,"UNMAPPED",INDEX(COA_Mapping!$C$7:$C$256,$Q4744)))</f>
        <v/>
      </c>
      <c r="N4744" s="38" t="str">
        <f aca="false">IF($A4744="","",IF($Q4744=0,"",INDEX(COA_Mapping!$E$7:$E$256,$Q4744)))</f>
        <v/>
      </c>
      <c r="O4744" s="38" t="n">
        <f aca="false">IF($A4744="",1,IF($Q4744=0,1,INDEX(COA_Mapping!$F$7:$F$256,$Q4744)))</f>
        <v>1</v>
      </c>
      <c r="P4744" s="34" t="str">
        <f aca="false">IF($A4744="","",$I4744*$O4744)</f>
        <v/>
      </c>
      <c r="Q4744" s="39" t="n">
        <f aca="false">IF($B4744="",0,IFERROR(MATCH($B4744,COA_Mapping!$A$7:$A$256,0),0))</f>
        <v>0</v>
      </c>
      <c r="R4744" s="39" t="n">
        <f aca="false">IF($A4744="",-1,IF($J4744=Setup!$B$7,1,IF($J4744=Setup!$B$9,0,-1)))</f>
        <v>-1</v>
      </c>
      <c r="S4744" s="35" t="n">
        <f aca="false">IF(OR($A4744="",$Q4744=0,$R4744=-1),0,$Q4744*1000+$R4744*100+$K4744)</f>
        <v>0</v>
      </c>
      <c r="T4744" s="37" t="str">
        <f aca="false">IF($A4744="","",IF($B4744="","NO ACCOUNT",IF($Q4744=0,"UNMAPPED",IF($R4744=-1,"OUTSIDE FY RANGE","OK"))))</f>
        <v/>
      </c>
      <c r="U4744" s="40" t="str">
        <f aca="false">IF($A4744="","",$B4744&amp;"|"&amp;TEXT($A4744,"yyyymmdd")&amp;"|"&amp;TEXT($I4744,"0.00"))</f>
        <v/>
      </c>
      <c r="V4744" s="35" t="str">
        <f aca="false">IF($A4744="","",COUNTIF($U$8:$U$5007,$U4744))</f>
        <v/>
      </c>
    </row>
    <row r="4745" customFormat="false" ht="15" hidden="false" customHeight="false" outlineLevel="0" collapsed="false">
      <c r="A4745" s="31"/>
      <c r="B4745" s="32"/>
      <c r="C4745" s="32"/>
      <c r="D4745" s="32"/>
      <c r="E4745" s="32"/>
      <c r="F4745" s="32"/>
      <c r="G4745" s="33"/>
      <c r="H4745" s="33"/>
      <c r="I4745" s="34" t="str">
        <f aca="false">IF($A4745="","",$G4745-$H4745)</f>
        <v/>
      </c>
      <c r="J4745" s="35" t="str">
        <f aca="false">IF($A4745="","",IF(Setup!$B$6=1,YEAR($A4745),YEAR($A4745)+IF(MONTH($A4745)&gt;=Setup!$B$6,1,0)))</f>
        <v/>
      </c>
      <c r="K4745" s="35" t="str">
        <f aca="false">IF($A4745="","",MOD(MONTH($A4745)-Setup!$B$6+12,12)+1)</f>
        <v/>
      </c>
      <c r="L4745" s="36" t="str">
        <f aca="false">IF($A4745="","",TEXT($A4745,"MMM-YY"))</f>
        <v/>
      </c>
      <c r="M4745" s="37" t="str">
        <f aca="false">IF($A4745="","",IF($Q4745=0,"UNMAPPED",INDEX(COA_Mapping!$C$7:$C$256,$Q4745)))</f>
        <v/>
      </c>
      <c r="N4745" s="38" t="str">
        <f aca="false">IF($A4745="","",IF($Q4745=0,"",INDEX(COA_Mapping!$E$7:$E$256,$Q4745)))</f>
        <v/>
      </c>
      <c r="O4745" s="38" t="n">
        <f aca="false">IF($A4745="",1,IF($Q4745=0,1,INDEX(COA_Mapping!$F$7:$F$256,$Q4745)))</f>
        <v>1</v>
      </c>
      <c r="P4745" s="34" t="str">
        <f aca="false">IF($A4745="","",$I4745*$O4745)</f>
        <v/>
      </c>
      <c r="Q4745" s="39" t="n">
        <f aca="false">IF($B4745="",0,IFERROR(MATCH($B4745,COA_Mapping!$A$7:$A$256,0),0))</f>
        <v>0</v>
      </c>
      <c r="R4745" s="39" t="n">
        <f aca="false">IF($A4745="",-1,IF($J4745=Setup!$B$7,1,IF($J4745=Setup!$B$9,0,-1)))</f>
        <v>-1</v>
      </c>
      <c r="S4745" s="35" t="n">
        <f aca="false">IF(OR($A4745="",$Q4745=0,$R4745=-1),0,$Q4745*1000+$R4745*100+$K4745)</f>
        <v>0</v>
      </c>
      <c r="T4745" s="37" t="str">
        <f aca="false">IF($A4745="","",IF($B4745="","NO ACCOUNT",IF($Q4745=0,"UNMAPPED",IF($R4745=-1,"OUTSIDE FY RANGE","OK"))))</f>
        <v/>
      </c>
      <c r="U4745" s="40" t="str">
        <f aca="false">IF($A4745="","",$B4745&amp;"|"&amp;TEXT($A4745,"yyyymmdd")&amp;"|"&amp;TEXT($I4745,"0.00"))</f>
        <v/>
      </c>
      <c r="V4745" s="35" t="str">
        <f aca="false">IF($A4745="","",COUNTIF($U$8:$U$5007,$U4745))</f>
        <v/>
      </c>
    </row>
    <row r="4746" customFormat="false" ht="15" hidden="false" customHeight="false" outlineLevel="0" collapsed="false">
      <c r="A4746" s="31"/>
      <c r="B4746" s="32"/>
      <c r="C4746" s="32"/>
      <c r="D4746" s="32"/>
      <c r="E4746" s="32"/>
      <c r="F4746" s="32"/>
      <c r="G4746" s="33"/>
      <c r="H4746" s="33"/>
      <c r="I4746" s="34" t="str">
        <f aca="false">IF($A4746="","",$G4746-$H4746)</f>
        <v/>
      </c>
      <c r="J4746" s="35" t="str">
        <f aca="false">IF($A4746="","",IF(Setup!$B$6=1,YEAR($A4746),YEAR($A4746)+IF(MONTH($A4746)&gt;=Setup!$B$6,1,0)))</f>
        <v/>
      </c>
      <c r="K4746" s="35" t="str">
        <f aca="false">IF($A4746="","",MOD(MONTH($A4746)-Setup!$B$6+12,12)+1)</f>
        <v/>
      </c>
      <c r="L4746" s="36" t="str">
        <f aca="false">IF($A4746="","",TEXT($A4746,"MMM-YY"))</f>
        <v/>
      </c>
      <c r="M4746" s="37" t="str">
        <f aca="false">IF($A4746="","",IF($Q4746=0,"UNMAPPED",INDEX(COA_Mapping!$C$7:$C$256,$Q4746)))</f>
        <v/>
      </c>
      <c r="N4746" s="38" t="str">
        <f aca="false">IF($A4746="","",IF($Q4746=0,"",INDEX(COA_Mapping!$E$7:$E$256,$Q4746)))</f>
        <v/>
      </c>
      <c r="O4746" s="38" t="n">
        <f aca="false">IF($A4746="",1,IF($Q4746=0,1,INDEX(COA_Mapping!$F$7:$F$256,$Q4746)))</f>
        <v>1</v>
      </c>
      <c r="P4746" s="34" t="str">
        <f aca="false">IF($A4746="","",$I4746*$O4746)</f>
        <v/>
      </c>
      <c r="Q4746" s="39" t="n">
        <f aca="false">IF($B4746="",0,IFERROR(MATCH($B4746,COA_Mapping!$A$7:$A$256,0),0))</f>
        <v>0</v>
      </c>
      <c r="R4746" s="39" t="n">
        <f aca="false">IF($A4746="",-1,IF($J4746=Setup!$B$7,1,IF($J4746=Setup!$B$9,0,-1)))</f>
        <v>-1</v>
      </c>
      <c r="S4746" s="35" t="n">
        <f aca="false">IF(OR($A4746="",$Q4746=0,$R4746=-1),0,$Q4746*1000+$R4746*100+$K4746)</f>
        <v>0</v>
      </c>
      <c r="T4746" s="37" t="str">
        <f aca="false">IF($A4746="","",IF($B4746="","NO ACCOUNT",IF($Q4746=0,"UNMAPPED",IF($R4746=-1,"OUTSIDE FY RANGE","OK"))))</f>
        <v/>
      </c>
      <c r="U4746" s="40" t="str">
        <f aca="false">IF($A4746="","",$B4746&amp;"|"&amp;TEXT($A4746,"yyyymmdd")&amp;"|"&amp;TEXT($I4746,"0.00"))</f>
        <v/>
      </c>
      <c r="V4746" s="35" t="str">
        <f aca="false">IF($A4746="","",COUNTIF($U$8:$U$5007,$U4746))</f>
        <v/>
      </c>
    </row>
    <row r="4747" customFormat="false" ht="15" hidden="false" customHeight="false" outlineLevel="0" collapsed="false">
      <c r="A4747" s="31"/>
      <c r="B4747" s="32"/>
      <c r="C4747" s="32"/>
      <c r="D4747" s="32"/>
      <c r="E4747" s="32"/>
      <c r="F4747" s="32"/>
      <c r="G4747" s="33"/>
      <c r="H4747" s="33"/>
      <c r="I4747" s="34" t="str">
        <f aca="false">IF($A4747="","",$G4747-$H4747)</f>
        <v/>
      </c>
      <c r="J4747" s="35" t="str">
        <f aca="false">IF($A4747="","",IF(Setup!$B$6=1,YEAR($A4747),YEAR($A4747)+IF(MONTH($A4747)&gt;=Setup!$B$6,1,0)))</f>
        <v/>
      </c>
      <c r="K4747" s="35" t="str">
        <f aca="false">IF($A4747="","",MOD(MONTH($A4747)-Setup!$B$6+12,12)+1)</f>
        <v/>
      </c>
      <c r="L4747" s="36" t="str">
        <f aca="false">IF($A4747="","",TEXT($A4747,"MMM-YY"))</f>
        <v/>
      </c>
      <c r="M4747" s="37" t="str">
        <f aca="false">IF($A4747="","",IF($Q4747=0,"UNMAPPED",INDEX(COA_Mapping!$C$7:$C$256,$Q4747)))</f>
        <v/>
      </c>
      <c r="N4747" s="38" t="str">
        <f aca="false">IF($A4747="","",IF($Q4747=0,"",INDEX(COA_Mapping!$E$7:$E$256,$Q4747)))</f>
        <v/>
      </c>
      <c r="O4747" s="38" t="n">
        <f aca="false">IF($A4747="",1,IF($Q4747=0,1,INDEX(COA_Mapping!$F$7:$F$256,$Q4747)))</f>
        <v>1</v>
      </c>
      <c r="P4747" s="34" t="str">
        <f aca="false">IF($A4747="","",$I4747*$O4747)</f>
        <v/>
      </c>
      <c r="Q4747" s="39" t="n">
        <f aca="false">IF($B4747="",0,IFERROR(MATCH($B4747,COA_Mapping!$A$7:$A$256,0),0))</f>
        <v>0</v>
      </c>
      <c r="R4747" s="39" t="n">
        <f aca="false">IF($A4747="",-1,IF($J4747=Setup!$B$7,1,IF($J4747=Setup!$B$9,0,-1)))</f>
        <v>-1</v>
      </c>
      <c r="S4747" s="35" t="n">
        <f aca="false">IF(OR($A4747="",$Q4747=0,$R4747=-1),0,$Q4747*1000+$R4747*100+$K4747)</f>
        <v>0</v>
      </c>
      <c r="T4747" s="37" t="str">
        <f aca="false">IF($A4747="","",IF($B4747="","NO ACCOUNT",IF($Q4747=0,"UNMAPPED",IF($R4747=-1,"OUTSIDE FY RANGE","OK"))))</f>
        <v/>
      </c>
      <c r="U4747" s="40" t="str">
        <f aca="false">IF($A4747="","",$B4747&amp;"|"&amp;TEXT($A4747,"yyyymmdd")&amp;"|"&amp;TEXT($I4747,"0.00"))</f>
        <v/>
      </c>
      <c r="V4747" s="35" t="str">
        <f aca="false">IF($A4747="","",COUNTIF($U$8:$U$5007,$U4747))</f>
        <v/>
      </c>
    </row>
    <row r="4748" customFormat="false" ht="15" hidden="false" customHeight="false" outlineLevel="0" collapsed="false">
      <c r="A4748" s="31"/>
      <c r="B4748" s="32"/>
      <c r="C4748" s="32"/>
      <c r="D4748" s="32"/>
      <c r="E4748" s="32"/>
      <c r="F4748" s="32"/>
      <c r="G4748" s="33"/>
      <c r="H4748" s="33"/>
      <c r="I4748" s="34" t="str">
        <f aca="false">IF($A4748="","",$G4748-$H4748)</f>
        <v/>
      </c>
      <c r="J4748" s="35" t="str">
        <f aca="false">IF($A4748="","",IF(Setup!$B$6=1,YEAR($A4748),YEAR($A4748)+IF(MONTH($A4748)&gt;=Setup!$B$6,1,0)))</f>
        <v/>
      </c>
      <c r="K4748" s="35" t="str">
        <f aca="false">IF($A4748="","",MOD(MONTH($A4748)-Setup!$B$6+12,12)+1)</f>
        <v/>
      </c>
      <c r="L4748" s="36" t="str">
        <f aca="false">IF($A4748="","",TEXT($A4748,"MMM-YY"))</f>
        <v/>
      </c>
      <c r="M4748" s="37" t="str">
        <f aca="false">IF($A4748="","",IF($Q4748=0,"UNMAPPED",INDEX(COA_Mapping!$C$7:$C$256,$Q4748)))</f>
        <v/>
      </c>
      <c r="N4748" s="38" t="str">
        <f aca="false">IF($A4748="","",IF($Q4748=0,"",INDEX(COA_Mapping!$E$7:$E$256,$Q4748)))</f>
        <v/>
      </c>
      <c r="O4748" s="38" t="n">
        <f aca="false">IF($A4748="",1,IF($Q4748=0,1,INDEX(COA_Mapping!$F$7:$F$256,$Q4748)))</f>
        <v>1</v>
      </c>
      <c r="P4748" s="34" t="str">
        <f aca="false">IF($A4748="","",$I4748*$O4748)</f>
        <v/>
      </c>
      <c r="Q4748" s="39" t="n">
        <f aca="false">IF($B4748="",0,IFERROR(MATCH($B4748,COA_Mapping!$A$7:$A$256,0),0))</f>
        <v>0</v>
      </c>
      <c r="R4748" s="39" t="n">
        <f aca="false">IF($A4748="",-1,IF($J4748=Setup!$B$7,1,IF($J4748=Setup!$B$9,0,-1)))</f>
        <v>-1</v>
      </c>
      <c r="S4748" s="35" t="n">
        <f aca="false">IF(OR($A4748="",$Q4748=0,$R4748=-1),0,$Q4748*1000+$R4748*100+$K4748)</f>
        <v>0</v>
      </c>
      <c r="T4748" s="37" t="str">
        <f aca="false">IF($A4748="","",IF($B4748="","NO ACCOUNT",IF($Q4748=0,"UNMAPPED",IF($R4748=-1,"OUTSIDE FY RANGE","OK"))))</f>
        <v/>
      </c>
      <c r="U4748" s="40" t="str">
        <f aca="false">IF($A4748="","",$B4748&amp;"|"&amp;TEXT($A4748,"yyyymmdd")&amp;"|"&amp;TEXT($I4748,"0.00"))</f>
        <v/>
      </c>
      <c r="V4748" s="35" t="str">
        <f aca="false">IF($A4748="","",COUNTIF($U$8:$U$5007,$U4748))</f>
        <v/>
      </c>
    </row>
    <row r="4749" customFormat="false" ht="15" hidden="false" customHeight="false" outlineLevel="0" collapsed="false">
      <c r="A4749" s="31"/>
      <c r="B4749" s="32"/>
      <c r="C4749" s="32"/>
      <c r="D4749" s="32"/>
      <c r="E4749" s="32"/>
      <c r="F4749" s="32"/>
      <c r="G4749" s="33"/>
      <c r="H4749" s="33"/>
      <c r="I4749" s="34" t="str">
        <f aca="false">IF($A4749="","",$G4749-$H4749)</f>
        <v/>
      </c>
      <c r="J4749" s="35" t="str">
        <f aca="false">IF($A4749="","",IF(Setup!$B$6=1,YEAR($A4749),YEAR($A4749)+IF(MONTH($A4749)&gt;=Setup!$B$6,1,0)))</f>
        <v/>
      </c>
      <c r="K4749" s="35" t="str">
        <f aca="false">IF($A4749="","",MOD(MONTH($A4749)-Setup!$B$6+12,12)+1)</f>
        <v/>
      </c>
      <c r="L4749" s="36" t="str">
        <f aca="false">IF($A4749="","",TEXT($A4749,"MMM-YY"))</f>
        <v/>
      </c>
      <c r="M4749" s="37" t="str">
        <f aca="false">IF($A4749="","",IF($Q4749=0,"UNMAPPED",INDEX(COA_Mapping!$C$7:$C$256,$Q4749)))</f>
        <v/>
      </c>
      <c r="N4749" s="38" t="str">
        <f aca="false">IF($A4749="","",IF($Q4749=0,"",INDEX(COA_Mapping!$E$7:$E$256,$Q4749)))</f>
        <v/>
      </c>
      <c r="O4749" s="38" t="n">
        <f aca="false">IF($A4749="",1,IF($Q4749=0,1,INDEX(COA_Mapping!$F$7:$F$256,$Q4749)))</f>
        <v>1</v>
      </c>
      <c r="P4749" s="34" t="str">
        <f aca="false">IF($A4749="","",$I4749*$O4749)</f>
        <v/>
      </c>
      <c r="Q4749" s="39" t="n">
        <f aca="false">IF($B4749="",0,IFERROR(MATCH($B4749,COA_Mapping!$A$7:$A$256,0),0))</f>
        <v>0</v>
      </c>
      <c r="R4749" s="39" t="n">
        <f aca="false">IF($A4749="",-1,IF($J4749=Setup!$B$7,1,IF($J4749=Setup!$B$9,0,-1)))</f>
        <v>-1</v>
      </c>
      <c r="S4749" s="35" t="n">
        <f aca="false">IF(OR($A4749="",$Q4749=0,$R4749=-1),0,$Q4749*1000+$R4749*100+$K4749)</f>
        <v>0</v>
      </c>
      <c r="T4749" s="37" t="str">
        <f aca="false">IF($A4749="","",IF($B4749="","NO ACCOUNT",IF($Q4749=0,"UNMAPPED",IF($R4749=-1,"OUTSIDE FY RANGE","OK"))))</f>
        <v/>
      </c>
      <c r="U4749" s="40" t="str">
        <f aca="false">IF($A4749="","",$B4749&amp;"|"&amp;TEXT($A4749,"yyyymmdd")&amp;"|"&amp;TEXT($I4749,"0.00"))</f>
        <v/>
      </c>
      <c r="V4749" s="35" t="str">
        <f aca="false">IF($A4749="","",COUNTIF($U$8:$U$5007,$U4749))</f>
        <v/>
      </c>
    </row>
    <row r="4750" customFormat="false" ht="15" hidden="false" customHeight="false" outlineLevel="0" collapsed="false">
      <c r="A4750" s="31"/>
      <c r="B4750" s="32"/>
      <c r="C4750" s="32"/>
      <c r="D4750" s="32"/>
      <c r="E4750" s="32"/>
      <c r="F4750" s="32"/>
      <c r="G4750" s="33"/>
      <c r="H4750" s="33"/>
      <c r="I4750" s="34" t="str">
        <f aca="false">IF($A4750="","",$G4750-$H4750)</f>
        <v/>
      </c>
      <c r="J4750" s="35" t="str">
        <f aca="false">IF($A4750="","",IF(Setup!$B$6=1,YEAR($A4750),YEAR($A4750)+IF(MONTH($A4750)&gt;=Setup!$B$6,1,0)))</f>
        <v/>
      </c>
      <c r="K4750" s="35" t="str">
        <f aca="false">IF($A4750="","",MOD(MONTH($A4750)-Setup!$B$6+12,12)+1)</f>
        <v/>
      </c>
      <c r="L4750" s="36" t="str">
        <f aca="false">IF($A4750="","",TEXT($A4750,"MMM-YY"))</f>
        <v/>
      </c>
      <c r="M4750" s="37" t="str">
        <f aca="false">IF($A4750="","",IF($Q4750=0,"UNMAPPED",INDEX(COA_Mapping!$C$7:$C$256,$Q4750)))</f>
        <v/>
      </c>
      <c r="N4750" s="38" t="str">
        <f aca="false">IF($A4750="","",IF($Q4750=0,"",INDEX(COA_Mapping!$E$7:$E$256,$Q4750)))</f>
        <v/>
      </c>
      <c r="O4750" s="38" t="n">
        <f aca="false">IF($A4750="",1,IF($Q4750=0,1,INDEX(COA_Mapping!$F$7:$F$256,$Q4750)))</f>
        <v>1</v>
      </c>
      <c r="P4750" s="34" t="str">
        <f aca="false">IF($A4750="","",$I4750*$O4750)</f>
        <v/>
      </c>
      <c r="Q4750" s="39" t="n">
        <f aca="false">IF($B4750="",0,IFERROR(MATCH($B4750,COA_Mapping!$A$7:$A$256,0),0))</f>
        <v>0</v>
      </c>
      <c r="R4750" s="39" t="n">
        <f aca="false">IF($A4750="",-1,IF($J4750=Setup!$B$7,1,IF($J4750=Setup!$B$9,0,-1)))</f>
        <v>-1</v>
      </c>
      <c r="S4750" s="35" t="n">
        <f aca="false">IF(OR($A4750="",$Q4750=0,$R4750=-1),0,$Q4750*1000+$R4750*100+$K4750)</f>
        <v>0</v>
      </c>
      <c r="T4750" s="37" t="str">
        <f aca="false">IF($A4750="","",IF($B4750="","NO ACCOUNT",IF($Q4750=0,"UNMAPPED",IF($R4750=-1,"OUTSIDE FY RANGE","OK"))))</f>
        <v/>
      </c>
      <c r="U4750" s="40" t="str">
        <f aca="false">IF($A4750="","",$B4750&amp;"|"&amp;TEXT($A4750,"yyyymmdd")&amp;"|"&amp;TEXT($I4750,"0.00"))</f>
        <v/>
      </c>
      <c r="V4750" s="35" t="str">
        <f aca="false">IF($A4750="","",COUNTIF($U$8:$U$5007,$U4750))</f>
        <v/>
      </c>
    </row>
    <row r="4751" customFormat="false" ht="15" hidden="false" customHeight="false" outlineLevel="0" collapsed="false">
      <c r="A4751" s="31"/>
      <c r="B4751" s="32"/>
      <c r="C4751" s="32"/>
      <c r="D4751" s="32"/>
      <c r="E4751" s="32"/>
      <c r="F4751" s="32"/>
      <c r="G4751" s="33"/>
      <c r="H4751" s="33"/>
      <c r="I4751" s="34" t="str">
        <f aca="false">IF($A4751="","",$G4751-$H4751)</f>
        <v/>
      </c>
      <c r="J4751" s="35" t="str">
        <f aca="false">IF($A4751="","",IF(Setup!$B$6=1,YEAR($A4751),YEAR($A4751)+IF(MONTH($A4751)&gt;=Setup!$B$6,1,0)))</f>
        <v/>
      </c>
      <c r="K4751" s="35" t="str">
        <f aca="false">IF($A4751="","",MOD(MONTH($A4751)-Setup!$B$6+12,12)+1)</f>
        <v/>
      </c>
      <c r="L4751" s="36" t="str">
        <f aca="false">IF($A4751="","",TEXT($A4751,"MMM-YY"))</f>
        <v/>
      </c>
      <c r="M4751" s="37" t="str">
        <f aca="false">IF($A4751="","",IF($Q4751=0,"UNMAPPED",INDEX(COA_Mapping!$C$7:$C$256,$Q4751)))</f>
        <v/>
      </c>
      <c r="N4751" s="38" t="str">
        <f aca="false">IF($A4751="","",IF($Q4751=0,"",INDEX(COA_Mapping!$E$7:$E$256,$Q4751)))</f>
        <v/>
      </c>
      <c r="O4751" s="38" t="n">
        <f aca="false">IF($A4751="",1,IF($Q4751=0,1,INDEX(COA_Mapping!$F$7:$F$256,$Q4751)))</f>
        <v>1</v>
      </c>
      <c r="P4751" s="34" t="str">
        <f aca="false">IF($A4751="","",$I4751*$O4751)</f>
        <v/>
      </c>
      <c r="Q4751" s="39" t="n">
        <f aca="false">IF($B4751="",0,IFERROR(MATCH($B4751,COA_Mapping!$A$7:$A$256,0),0))</f>
        <v>0</v>
      </c>
      <c r="R4751" s="39" t="n">
        <f aca="false">IF($A4751="",-1,IF($J4751=Setup!$B$7,1,IF($J4751=Setup!$B$9,0,-1)))</f>
        <v>-1</v>
      </c>
      <c r="S4751" s="35" t="n">
        <f aca="false">IF(OR($A4751="",$Q4751=0,$R4751=-1),0,$Q4751*1000+$R4751*100+$K4751)</f>
        <v>0</v>
      </c>
      <c r="T4751" s="37" t="str">
        <f aca="false">IF($A4751="","",IF($B4751="","NO ACCOUNT",IF($Q4751=0,"UNMAPPED",IF($R4751=-1,"OUTSIDE FY RANGE","OK"))))</f>
        <v/>
      </c>
      <c r="U4751" s="40" t="str">
        <f aca="false">IF($A4751="","",$B4751&amp;"|"&amp;TEXT($A4751,"yyyymmdd")&amp;"|"&amp;TEXT($I4751,"0.00"))</f>
        <v/>
      </c>
      <c r="V4751" s="35" t="str">
        <f aca="false">IF($A4751="","",COUNTIF($U$8:$U$5007,$U4751))</f>
        <v/>
      </c>
    </row>
    <row r="4752" customFormat="false" ht="15" hidden="false" customHeight="false" outlineLevel="0" collapsed="false">
      <c r="A4752" s="31"/>
      <c r="B4752" s="32"/>
      <c r="C4752" s="32"/>
      <c r="D4752" s="32"/>
      <c r="E4752" s="32"/>
      <c r="F4752" s="32"/>
      <c r="G4752" s="33"/>
      <c r="H4752" s="33"/>
      <c r="I4752" s="34" t="str">
        <f aca="false">IF($A4752="","",$G4752-$H4752)</f>
        <v/>
      </c>
      <c r="J4752" s="35" t="str">
        <f aca="false">IF($A4752="","",IF(Setup!$B$6=1,YEAR($A4752),YEAR($A4752)+IF(MONTH($A4752)&gt;=Setup!$B$6,1,0)))</f>
        <v/>
      </c>
      <c r="K4752" s="35" t="str">
        <f aca="false">IF($A4752="","",MOD(MONTH($A4752)-Setup!$B$6+12,12)+1)</f>
        <v/>
      </c>
      <c r="L4752" s="36" t="str">
        <f aca="false">IF($A4752="","",TEXT($A4752,"MMM-YY"))</f>
        <v/>
      </c>
      <c r="M4752" s="37" t="str">
        <f aca="false">IF($A4752="","",IF($Q4752=0,"UNMAPPED",INDEX(COA_Mapping!$C$7:$C$256,$Q4752)))</f>
        <v/>
      </c>
      <c r="N4752" s="38" t="str">
        <f aca="false">IF($A4752="","",IF($Q4752=0,"",INDEX(COA_Mapping!$E$7:$E$256,$Q4752)))</f>
        <v/>
      </c>
      <c r="O4752" s="38" t="n">
        <f aca="false">IF($A4752="",1,IF($Q4752=0,1,INDEX(COA_Mapping!$F$7:$F$256,$Q4752)))</f>
        <v>1</v>
      </c>
      <c r="P4752" s="34" t="str">
        <f aca="false">IF($A4752="","",$I4752*$O4752)</f>
        <v/>
      </c>
      <c r="Q4752" s="39" t="n">
        <f aca="false">IF($B4752="",0,IFERROR(MATCH($B4752,COA_Mapping!$A$7:$A$256,0),0))</f>
        <v>0</v>
      </c>
      <c r="R4752" s="39" t="n">
        <f aca="false">IF($A4752="",-1,IF($J4752=Setup!$B$7,1,IF($J4752=Setup!$B$9,0,-1)))</f>
        <v>-1</v>
      </c>
      <c r="S4752" s="35" t="n">
        <f aca="false">IF(OR($A4752="",$Q4752=0,$R4752=-1),0,$Q4752*1000+$R4752*100+$K4752)</f>
        <v>0</v>
      </c>
      <c r="T4752" s="37" t="str">
        <f aca="false">IF($A4752="","",IF($B4752="","NO ACCOUNT",IF($Q4752=0,"UNMAPPED",IF($R4752=-1,"OUTSIDE FY RANGE","OK"))))</f>
        <v/>
      </c>
      <c r="U4752" s="40" t="str">
        <f aca="false">IF($A4752="","",$B4752&amp;"|"&amp;TEXT($A4752,"yyyymmdd")&amp;"|"&amp;TEXT($I4752,"0.00"))</f>
        <v/>
      </c>
      <c r="V4752" s="35" t="str">
        <f aca="false">IF($A4752="","",COUNTIF($U$8:$U$5007,$U4752))</f>
        <v/>
      </c>
    </row>
    <row r="4753" customFormat="false" ht="15" hidden="false" customHeight="false" outlineLevel="0" collapsed="false">
      <c r="A4753" s="31"/>
      <c r="B4753" s="32"/>
      <c r="C4753" s="32"/>
      <c r="D4753" s="32"/>
      <c r="E4753" s="32"/>
      <c r="F4753" s="32"/>
      <c r="G4753" s="33"/>
      <c r="H4753" s="33"/>
      <c r="I4753" s="34" t="str">
        <f aca="false">IF($A4753="","",$G4753-$H4753)</f>
        <v/>
      </c>
      <c r="J4753" s="35" t="str">
        <f aca="false">IF($A4753="","",IF(Setup!$B$6=1,YEAR($A4753),YEAR($A4753)+IF(MONTH($A4753)&gt;=Setup!$B$6,1,0)))</f>
        <v/>
      </c>
      <c r="K4753" s="35" t="str">
        <f aca="false">IF($A4753="","",MOD(MONTH($A4753)-Setup!$B$6+12,12)+1)</f>
        <v/>
      </c>
      <c r="L4753" s="36" t="str">
        <f aca="false">IF($A4753="","",TEXT($A4753,"MMM-YY"))</f>
        <v/>
      </c>
      <c r="M4753" s="37" t="str">
        <f aca="false">IF($A4753="","",IF($Q4753=0,"UNMAPPED",INDEX(COA_Mapping!$C$7:$C$256,$Q4753)))</f>
        <v/>
      </c>
      <c r="N4753" s="38" t="str">
        <f aca="false">IF($A4753="","",IF($Q4753=0,"",INDEX(COA_Mapping!$E$7:$E$256,$Q4753)))</f>
        <v/>
      </c>
      <c r="O4753" s="38" t="n">
        <f aca="false">IF($A4753="",1,IF($Q4753=0,1,INDEX(COA_Mapping!$F$7:$F$256,$Q4753)))</f>
        <v>1</v>
      </c>
      <c r="P4753" s="34" t="str">
        <f aca="false">IF($A4753="","",$I4753*$O4753)</f>
        <v/>
      </c>
      <c r="Q4753" s="39" t="n">
        <f aca="false">IF($B4753="",0,IFERROR(MATCH($B4753,COA_Mapping!$A$7:$A$256,0),0))</f>
        <v>0</v>
      </c>
      <c r="R4753" s="39" t="n">
        <f aca="false">IF($A4753="",-1,IF($J4753=Setup!$B$7,1,IF($J4753=Setup!$B$9,0,-1)))</f>
        <v>-1</v>
      </c>
      <c r="S4753" s="35" t="n">
        <f aca="false">IF(OR($A4753="",$Q4753=0,$R4753=-1),0,$Q4753*1000+$R4753*100+$K4753)</f>
        <v>0</v>
      </c>
      <c r="T4753" s="37" t="str">
        <f aca="false">IF($A4753="","",IF($B4753="","NO ACCOUNT",IF($Q4753=0,"UNMAPPED",IF($R4753=-1,"OUTSIDE FY RANGE","OK"))))</f>
        <v/>
      </c>
      <c r="U4753" s="40" t="str">
        <f aca="false">IF($A4753="","",$B4753&amp;"|"&amp;TEXT($A4753,"yyyymmdd")&amp;"|"&amp;TEXT($I4753,"0.00"))</f>
        <v/>
      </c>
      <c r="V4753" s="35" t="str">
        <f aca="false">IF($A4753="","",COUNTIF($U$8:$U$5007,$U4753))</f>
        <v/>
      </c>
    </row>
    <row r="4754" customFormat="false" ht="15" hidden="false" customHeight="false" outlineLevel="0" collapsed="false">
      <c r="A4754" s="31"/>
      <c r="B4754" s="32"/>
      <c r="C4754" s="32"/>
      <c r="D4754" s="32"/>
      <c r="E4754" s="32"/>
      <c r="F4754" s="32"/>
      <c r="G4754" s="33"/>
      <c r="H4754" s="33"/>
      <c r="I4754" s="34" t="str">
        <f aca="false">IF($A4754="","",$G4754-$H4754)</f>
        <v/>
      </c>
      <c r="J4754" s="35" t="str">
        <f aca="false">IF($A4754="","",IF(Setup!$B$6=1,YEAR($A4754),YEAR($A4754)+IF(MONTH($A4754)&gt;=Setup!$B$6,1,0)))</f>
        <v/>
      </c>
      <c r="K4754" s="35" t="str">
        <f aca="false">IF($A4754="","",MOD(MONTH($A4754)-Setup!$B$6+12,12)+1)</f>
        <v/>
      </c>
      <c r="L4754" s="36" t="str">
        <f aca="false">IF($A4754="","",TEXT($A4754,"MMM-YY"))</f>
        <v/>
      </c>
      <c r="M4754" s="37" t="str">
        <f aca="false">IF($A4754="","",IF($Q4754=0,"UNMAPPED",INDEX(COA_Mapping!$C$7:$C$256,$Q4754)))</f>
        <v/>
      </c>
      <c r="N4754" s="38" t="str">
        <f aca="false">IF($A4754="","",IF($Q4754=0,"",INDEX(COA_Mapping!$E$7:$E$256,$Q4754)))</f>
        <v/>
      </c>
      <c r="O4754" s="38" t="n">
        <f aca="false">IF($A4754="",1,IF($Q4754=0,1,INDEX(COA_Mapping!$F$7:$F$256,$Q4754)))</f>
        <v>1</v>
      </c>
      <c r="P4754" s="34" t="str">
        <f aca="false">IF($A4754="","",$I4754*$O4754)</f>
        <v/>
      </c>
      <c r="Q4754" s="39" t="n">
        <f aca="false">IF($B4754="",0,IFERROR(MATCH($B4754,COA_Mapping!$A$7:$A$256,0),0))</f>
        <v>0</v>
      </c>
      <c r="R4754" s="39" t="n">
        <f aca="false">IF($A4754="",-1,IF($J4754=Setup!$B$7,1,IF($J4754=Setup!$B$9,0,-1)))</f>
        <v>-1</v>
      </c>
      <c r="S4754" s="35" t="n">
        <f aca="false">IF(OR($A4754="",$Q4754=0,$R4754=-1),0,$Q4754*1000+$R4754*100+$K4754)</f>
        <v>0</v>
      </c>
      <c r="T4754" s="37" t="str">
        <f aca="false">IF($A4754="","",IF($B4754="","NO ACCOUNT",IF($Q4754=0,"UNMAPPED",IF($R4754=-1,"OUTSIDE FY RANGE","OK"))))</f>
        <v/>
      </c>
      <c r="U4754" s="40" t="str">
        <f aca="false">IF($A4754="","",$B4754&amp;"|"&amp;TEXT($A4754,"yyyymmdd")&amp;"|"&amp;TEXT($I4754,"0.00"))</f>
        <v/>
      </c>
      <c r="V4754" s="35" t="str">
        <f aca="false">IF($A4754="","",COUNTIF($U$8:$U$5007,$U4754))</f>
        <v/>
      </c>
    </row>
    <row r="4755" customFormat="false" ht="15" hidden="false" customHeight="false" outlineLevel="0" collapsed="false">
      <c r="A4755" s="31"/>
      <c r="B4755" s="32"/>
      <c r="C4755" s="32"/>
      <c r="D4755" s="32"/>
      <c r="E4755" s="32"/>
      <c r="F4755" s="32"/>
      <c r="G4755" s="33"/>
      <c r="H4755" s="33"/>
      <c r="I4755" s="34" t="str">
        <f aca="false">IF($A4755="","",$G4755-$H4755)</f>
        <v/>
      </c>
      <c r="J4755" s="35" t="str">
        <f aca="false">IF($A4755="","",IF(Setup!$B$6=1,YEAR($A4755),YEAR($A4755)+IF(MONTH($A4755)&gt;=Setup!$B$6,1,0)))</f>
        <v/>
      </c>
      <c r="K4755" s="35" t="str">
        <f aca="false">IF($A4755="","",MOD(MONTH($A4755)-Setup!$B$6+12,12)+1)</f>
        <v/>
      </c>
      <c r="L4755" s="36" t="str">
        <f aca="false">IF($A4755="","",TEXT($A4755,"MMM-YY"))</f>
        <v/>
      </c>
      <c r="M4755" s="37" t="str">
        <f aca="false">IF($A4755="","",IF($Q4755=0,"UNMAPPED",INDEX(COA_Mapping!$C$7:$C$256,$Q4755)))</f>
        <v/>
      </c>
      <c r="N4755" s="38" t="str">
        <f aca="false">IF($A4755="","",IF($Q4755=0,"",INDEX(COA_Mapping!$E$7:$E$256,$Q4755)))</f>
        <v/>
      </c>
      <c r="O4755" s="38" t="n">
        <f aca="false">IF($A4755="",1,IF($Q4755=0,1,INDEX(COA_Mapping!$F$7:$F$256,$Q4755)))</f>
        <v>1</v>
      </c>
      <c r="P4755" s="34" t="str">
        <f aca="false">IF($A4755="","",$I4755*$O4755)</f>
        <v/>
      </c>
      <c r="Q4755" s="39" t="n">
        <f aca="false">IF($B4755="",0,IFERROR(MATCH($B4755,COA_Mapping!$A$7:$A$256,0),0))</f>
        <v>0</v>
      </c>
      <c r="R4755" s="39" t="n">
        <f aca="false">IF($A4755="",-1,IF($J4755=Setup!$B$7,1,IF($J4755=Setup!$B$9,0,-1)))</f>
        <v>-1</v>
      </c>
      <c r="S4755" s="35" t="n">
        <f aca="false">IF(OR($A4755="",$Q4755=0,$R4755=-1),0,$Q4755*1000+$R4755*100+$K4755)</f>
        <v>0</v>
      </c>
      <c r="T4755" s="37" t="str">
        <f aca="false">IF($A4755="","",IF($B4755="","NO ACCOUNT",IF($Q4755=0,"UNMAPPED",IF($R4755=-1,"OUTSIDE FY RANGE","OK"))))</f>
        <v/>
      </c>
      <c r="U4755" s="40" t="str">
        <f aca="false">IF($A4755="","",$B4755&amp;"|"&amp;TEXT($A4755,"yyyymmdd")&amp;"|"&amp;TEXT($I4755,"0.00"))</f>
        <v/>
      </c>
      <c r="V4755" s="35" t="str">
        <f aca="false">IF($A4755="","",COUNTIF($U$8:$U$5007,$U4755))</f>
        <v/>
      </c>
    </row>
    <row r="4756" customFormat="false" ht="15" hidden="false" customHeight="false" outlineLevel="0" collapsed="false">
      <c r="A4756" s="31"/>
      <c r="B4756" s="32"/>
      <c r="C4756" s="32"/>
      <c r="D4756" s="32"/>
      <c r="E4756" s="32"/>
      <c r="F4756" s="32"/>
      <c r="G4756" s="33"/>
      <c r="H4756" s="33"/>
      <c r="I4756" s="34" t="str">
        <f aca="false">IF($A4756="","",$G4756-$H4756)</f>
        <v/>
      </c>
      <c r="J4756" s="35" t="str">
        <f aca="false">IF($A4756="","",IF(Setup!$B$6=1,YEAR($A4756),YEAR($A4756)+IF(MONTH($A4756)&gt;=Setup!$B$6,1,0)))</f>
        <v/>
      </c>
      <c r="K4756" s="35" t="str">
        <f aca="false">IF($A4756="","",MOD(MONTH($A4756)-Setup!$B$6+12,12)+1)</f>
        <v/>
      </c>
      <c r="L4756" s="36" t="str">
        <f aca="false">IF($A4756="","",TEXT($A4756,"MMM-YY"))</f>
        <v/>
      </c>
      <c r="M4756" s="37" t="str">
        <f aca="false">IF($A4756="","",IF($Q4756=0,"UNMAPPED",INDEX(COA_Mapping!$C$7:$C$256,$Q4756)))</f>
        <v/>
      </c>
      <c r="N4756" s="38" t="str">
        <f aca="false">IF($A4756="","",IF($Q4756=0,"",INDEX(COA_Mapping!$E$7:$E$256,$Q4756)))</f>
        <v/>
      </c>
      <c r="O4756" s="38" t="n">
        <f aca="false">IF($A4756="",1,IF($Q4756=0,1,INDEX(COA_Mapping!$F$7:$F$256,$Q4756)))</f>
        <v>1</v>
      </c>
      <c r="P4756" s="34" t="str">
        <f aca="false">IF($A4756="","",$I4756*$O4756)</f>
        <v/>
      </c>
      <c r="Q4756" s="39" t="n">
        <f aca="false">IF($B4756="",0,IFERROR(MATCH($B4756,COA_Mapping!$A$7:$A$256,0),0))</f>
        <v>0</v>
      </c>
      <c r="R4756" s="39" t="n">
        <f aca="false">IF($A4756="",-1,IF($J4756=Setup!$B$7,1,IF($J4756=Setup!$B$9,0,-1)))</f>
        <v>-1</v>
      </c>
      <c r="S4756" s="35" t="n">
        <f aca="false">IF(OR($A4756="",$Q4756=0,$R4756=-1),0,$Q4756*1000+$R4756*100+$K4756)</f>
        <v>0</v>
      </c>
      <c r="T4756" s="37" t="str">
        <f aca="false">IF($A4756="","",IF($B4756="","NO ACCOUNT",IF($Q4756=0,"UNMAPPED",IF($R4756=-1,"OUTSIDE FY RANGE","OK"))))</f>
        <v/>
      </c>
      <c r="U4756" s="40" t="str">
        <f aca="false">IF($A4756="","",$B4756&amp;"|"&amp;TEXT($A4756,"yyyymmdd")&amp;"|"&amp;TEXT($I4756,"0.00"))</f>
        <v/>
      </c>
      <c r="V4756" s="35" t="str">
        <f aca="false">IF($A4756="","",COUNTIF($U$8:$U$5007,$U4756))</f>
        <v/>
      </c>
    </row>
    <row r="4757" customFormat="false" ht="15" hidden="false" customHeight="false" outlineLevel="0" collapsed="false">
      <c r="A4757" s="31"/>
      <c r="B4757" s="32"/>
      <c r="C4757" s="32"/>
      <c r="D4757" s="32"/>
      <c r="E4757" s="32"/>
      <c r="F4757" s="32"/>
      <c r="G4757" s="33"/>
      <c r="H4757" s="33"/>
      <c r="I4757" s="34" t="str">
        <f aca="false">IF($A4757="","",$G4757-$H4757)</f>
        <v/>
      </c>
      <c r="J4757" s="35" t="str">
        <f aca="false">IF($A4757="","",IF(Setup!$B$6=1,YEAR($A4757),YEAR($A4757)+IF(MONTH($A4757)&gt;=Setup!$B$6,1,0)))</f>
        <v/>
      </c>
      <c r="K4757" s="35" t="str">
        <f aca="false">IF($A4757="","",MOD(MONTH($A4757)-Setup!$B$6+12,12)+1)</f>
        <v/>
      </c>
      <c r="L4757" s="36" t="str">
        <f aca="false">IF($A4757="","",TEXT($A4757,"MMM-YY"))</f>
        <v/>
      </c>
      <c r="M4757" s="37" t="str">
        <f aca="false">IF($A4757="","",IF($Q4757=0,"UNMAPPED",INDEX(COA_Mapping!$C$7:$C$256,$Q4757)))</f>
        <v/>
      </c>
      <c r="N4757" s="38" t="str">
        <f aca="false">IF($A4757="","",IF($Q4757=0,"",INDEX(COA_Mapping!$E$7:$E$256,$Q4757)))</f>
        <v/>
      </c>
      <c r="O4757" s="38" t="n">
        <f aca="false">IF($A4757="",1,IF($Q4757=0,1,INDEX(COA_Mapping!$F$7:$F$256,$Q4757)))</f>
        <v>1</v>
      </c>
      <c r="P4757" s="34" t="str">
        <f aca="false">IF($A4757="","",$I4757*$O4757)</f>
        <v/>
      </c>
      <c r="Q4757" s="39" t="n">
        <f aca="false">IF($B4757="",0,IFERROR(MATCH($B4757,COA_Mapping!$A$7:$A$256,0),0))</f>
        <v>0</v>
      </c>
      <c r="R4757" s="39" t="n">
        <f aca="false">IF($A4757="",-1,IF($J4757=Setup!$B$7,1,IF($J4757=Setup!$B$9,0,-1)))</f>
        <v>-1</v>
      </c>
      <c r="S4757" s="35" t="n">
        <f aca="false">IF(OR($A4757="",$Q4757=0,$R4757=-1),0,$Q4757*1000+$R4757*100+$K4757)</f>
        <v>0</v>
      </c>
      <c r="T4757" s="37" t="str">
        <f aca="false">IF($A4757="","",IF($B4757="","NO ACCOUNT",IF($Q4757=0,"UNMAPPED",IF($R4757=-1,"OUTSIDE FY RANGE","OK"))))</f>
        <v/>
      </c>
      <c r="U4757" s="40" t="str">
        <f aca="false">IF($A4757="","",$B4757&amp;"|"&amp;TEXT($A4757,"yyyymmdd")&amp;"|"&amp;TEXT($I4757,"0.00"))</f>
        <v/>
      </c>
      <c r="V4757" s="35" t="str">
        <f aca="false">IF($A4757="","",COUNTIF($U$8:$U$5007,$U4757))</f>
        <v/>
      </c>
    </row>
    <row r="4758" customFormat="false" ht="15" hidden="false" customHeight="false" outlineLevel="0" collapsed="false">
      <c r="A4758" s="31"/>
      <c r="B4758" s="32"/>
      <c r="C4758" s="32"/>
      <c r="D4758" s="32"/>
      <c r="E4758" s="32"/>
      <c r="F4758" s="32"/>
      <c r="G4758" s="33"/>
      <c r="H4758" s="33"/>
      <c r="I4758" s="34" t="str">
        <f aca="false">IF($A4758="","",$G4758-$H4758)</f>
        <v/>
      </c>
      <c r="J4758" s="35" t="str">
        <f aca="false">IF($A4758="","",IF(Setup!$B$6=1,YEAR($A4758),YEAR($A4758)+IF(MONTH($A4758)&gt;=Setup!$B$6,1,0)))</f>
        <v/>
      </c>
      <c r="K4758" s="35" t="str">
        <f aca="false">IF($A4758="","",MOD(MONTH($A4758)-Setup!$B$6+12,12)+1)</f>
        <v/>
      </c>
      <c r="L4758" s="36" t="str">
        <f aca="false">IF($A4758="","",TEXT($A4758,"MMM-YY"))</f>
        <v/>
      </c>
      <c r="M4758" s="37" t="str">
        <f aca="false">IF($A4758="","",IF($Q4758=0,"UNMAPPED",INDEX(COA_Mapping!$C$7:$C$256,$Q4758)))</f>
        <v/>
      </c>
      <c r="N4758" s="38" t="str">
        <f aca="false">IF($A4758="","",IF($Q4758=0,"",INDEX(COA_Mapping!$E$7:$E$256,$Q4758)))</f>
        <v/>
      </c>
      <c r="O4758" s="38" t="n">
        <f aca="false">IF($A4758="",1,IF($Q4758=0,1,INDEX(COA_Mapping!$F$7:$F$256,$Q4758)))</f>
        <v>1</v>
      </c>
      <c r="P4758" s="34" t="str">
        <f aca="false">IF($A4758="","",$I4758*$O4758)</f>
        <v/>
      </c>
      <c r="Q4758" s="39" t="n">
        <f aca="false">IF($B4758="",0,IFERROR(MATCH($B4758,COA_Mapping!$A$7:$A$256,0),0))</f>
        <v>0</v>
      </c>
      <c r="R4758" s="39" t="n">
        <f aca="false">IF($A4758="",-1,IF($J4758=Setup!$B$7,1,IF($J4758=Setup!$B$9,0,-1)))</f>
        <v>-1</v>
      </c>
      <c r="S4758" s="35" t="n">
        <f aca="false">IF(OR($A4758="",$Q4758=0,$R4758=-1),0,$Q4758*1000+$R4758*100+$K4758)</f>
        <v>0</v>
      </c>
      <c r="T4758" s="37" t="str">
        <f aca="false">IF($A4758="","",IF($B4758="","NO ACCOUNT",IF($Q4758=0,"UNMAPPED",IF($R4758=-1,"OUTSIDE FY RANGE","OK"))))</f>
        <v/>
      </c>
      <c r="U4758" s="40" t="str">
        <f aca="false">IF($A4758="","",$B4758&amp;"|"&amp;TEXT($A4758,"yyyymmdd")&amp;"|"&amp;TEXT($I4758,"0.00"))</f>
        <v/>
      </c>
      <c r="V4758" s="35" t="str">
        <f aca="false">IF($A4758="","",COUNTIF($U$8:$U$5007,$U4758))</f>
        <v/>
      </c>
    </row>
    <row r="4759" customFormat="false" ht="15" hidden="false" customHeight="false" outlineLevel="0" collapsed="false">
      <c r="A4759" s="31"/>
      <c r="B4759" s="32"/>
      <c r="C4759" s="32"/>
      <c r="D4759" s="32"/>
      <c r="E4759" s="32"/>
      <c r="F4759" s="32"/>
      <c r="G4759" s="33"/>
      <c r="H4759" s="33"/>
      <c r="I4759" s="34" t="str">
        <f aca="false">IF($A4759="","",$G4759-$H4759)</f>
        <v/>
      </c>
      <c r="J4759" s="35" t="str">
        <f aca="false">IF($A4759="","",IF(Setup!$B$6=1,YEAR($A4759),YEAR($A4759)+IF(MONTH($A4759)&gt;=Setup!$B$6,1,0)))</f>
        <v/>
      </c>
      <c r="K4759" s="35" t="str">
        <f aca="false">IF($A4759="","",MOD(MONTH($A4759)-Setup!$B$6+12,12)+1)</f>
        <v/>
      </c>
      <c r="L4759" s="36" t="str">
        <f aca="false">IF($A4759="","",TEXT($A4759,"MMM-YY"))</f>
        <v/>
      </c>
      <c r="M4759" s="37" t="str">
        <f aca="false">IF($A4759="","",IF($Q4759=0,"UNMAPPED",INDEX(COA_Mapping!$C$7:$C$256,$Q4759)))</f>
        <v/>
      </c>
      <c r="N4759" s="38" t="str">
        <f aca="false">IF($A4759="","",IF($Q4759=0,"",INDEX(COA_Mapping!$E$7:$E$256,$Q4759)))</f>
        <v/>
      </c>
      <c r="O4759" s="38" t="n">
        <f aca="false">IF($A4759="",1,IF($Q4759=0,1,INDEX(COA_Mapping!$F$7:$F$256,$Q4759)))</f>
        <v>1</v>
      </c>
      <c r="P4759" s="34" t="str">
        <f aca="false">IF($A4759="","",$I4759*$O4759)</f>
        <v/>
      </c>
      <c r="Q4759" s="39" t="n">
        <f aca="false">IF($B4759="",0,IFERROR(MATCH($B4759,COA_Mapping!$A$7:$A$256,0),0))</f>
        <v>0</v>
      </c>
      <c r="R4759" s="39" t="n">
        <f aca="false">IF($A4759="",-1,IF($J4759=Setup!$B$7,1,IF($J4759=Setup!$B$9,0,-1)))</f>
        <v>-1</v>
      </c>
      <c r="S4759" s="35" t="n">
        <f aca="false">IF(OR($A4759="",$Q4759=0,$R4759=-1),0,$Q4759*1000+$R4759*100+$K4759)</f>
        <v>0</v>
      </c>
      <c r="T4759" s="37" t="str">
        <f aca="false">IF($A4759="","",IF($B4759="","NO ACCOUNT",IF($Q4759=0,"UNMAPPED",IF($R4759=-1,"OUTSIDE FY RANGE","OK"))))</f>
        <v/>
      </c>
      <c r="U4759" s="40" t="str">
        <f aca="false">IF($A4759="","",$B4759&amp;"|"&amp;TEXT($A4759,"yyyymmdd")&amp;"|"&amp;TEXT($I4759,"0.00"))</f>
        <v/>
      </c>
      <c r="V4759" s="35" t="str">
        <f aca="false">IF($A4759="","",COUNTIF($U$8:$U$5007,$U4759))</f>
        <v/>
      </c>
    </row>
    <row r="4760" customFormat="false" ht="15" hidden="false" customHeight="false" outlineLevel="0" collapsed="false">
      <c r="A4760" s="31"/>
      <c r="B4760" s="32"/>
      <c r="C4760" s="32"/>
      <c r="D4760" s="32"/>
      <c r="E4760" s="32"/>
      <c r="F4760" s="32"/>
      <c r="G4760" s="33"/>
      <c r="H4760" s="33"/>
      <c r="I4760" s="34" t="str">
        <f aca="false">IF($A4760="","",$G4760-$H4760)</f>
        <v/>
      </c>
      <c r="J4760" s="35" t="str">
        <f aca="false">IF($A4760="","",IF(Setup!$B$6=1,YEAR($A4760),YEAR($A4760)+IF(MONTH($A4760)&gt;=Setup!$B$6,1,0)))</f>
        <v/>
      </c>
      <c r="K4760" s="35" t="str">
        <f aca="false">IF($A4760="","",MOD(MONTH($A4760)-Setup!$B$6+12,12)+1)</f>
        <v/>
      </c>
      <c r="L4760" s="36" t="str">
        <f aca="false">IF($A4760="","",TEXT($A4760,"MMM-YY"))</f>
        <v/>
      </c>
      <c r="M4760" s="37" t="str">
        <f aca="false">IF($A4760="","",IF($Q4760=0,"UNMAPPED",INDEX(COA_Mapping!$C$7:$C$256,$Q4760)))</f>
        <v/>
      </c>
      <c r="N4760" s="38" t="str">
        <f aca="false">IF($A4760="","",IF($Q4760=0,"",INDEX(COA_Mapping!$E$7:$E$256,$Q4760)))</f>
        <v/>
      </c>
      <c r="O4760" s="38" t="n">
        <f aca="false">IF($A4760="",1,IF($Q4760=0,1,INDEX(COA_Mapping!$F$7:$F$256,$Q4760)))</f>
        <v>1</v>
      </c>
      <c r="P4760" s="34" t="str">
        <f aca="false">IF($A4760="","",$I4760*$O4760)</f>
        <v/>
      </c>
      <c r="Q4760" s="39" t="n">
        <f aca="false">IF($B4760="",0,IFERROR(MATCH($B4760,COA_Mapping!$A$7:$A$256,0),0))</f>
        <v>0</v>
      </c>
      <c r="R4760" s="39" t="n">
        <f aca="false">IF($A4760="",-1,IF($J4760=Setup!$B$7,1,IF($J4760=Setup!$B$9,0,-1)))</f>
        <v>-1</v>
      </c>
      <c r="S4760" s="35" t="n">
        <f aca="false">IF(OR($A4760="",$Q4760=0,$R4760=-1),0,$Q4760*1000+$R4760*100+$K4760)</f>
        <v>0</v>
      </c>
      <c r="T4760" s="37" t="str">
        <f aca="false">IF($A4760="","",IF($B4760="","NO ACCOUNT",IF($Q4760=0,"UNMAPPED",IF($R4760=-1,"OUTSIDE FY RANGE","OK"))))</f>
        <v/>
      </c>
      <c r="U4760" s="40" t="str">
        <f aca="false">IF($A4760="","",$B4760&amp;"|"&amp;TEXT($A4760,"yyyymmdd")&amp;"|"&amp;TEXT($I4760,"0.00"))</f>
        <v/>
      </c>
      <c r="V4760" s="35" t="str">
        <f aca="false">IF($A4760="","",COUNTIF($U$8:$U$5007,$U4760))</f>
        <v/>
      </c>
    </row>
    <row r="4761" customFormat="false" ht="15" hidden="false" customHeight="false" outlineLevel="0" collapsed="false">
      <c r="A4761" s="31"/>
      <c r="B4761" s="32"/>
      <c r="C4761" s="32"/>
      <c r="D4761" s="32"/>
      <c r="E4761" s="32"/>
      <c r="F4761" s="32"/>
      <c r="G4761" s="33"/>
      <c r="H4761" s="33"/>
      <c r="I4761" s="34" t="str">
        <f aca="false">IF($A4761="","",$G4761-$H4761)</f>
        <v/>
      </c>
      <c r="J4761" s="35" t="str">
        <f aca="false">IF($A4761="","",IF(Setup!$B$6=1,YEAR($A4761),YEAR($A4761)+IF(MONTH($A4761)&gt;=Setup!$B$6,1,0)))</f>
        <v/>
      </c>
      <c r="K4761" s="35" t="str">
        <f aca="false">IF($A4761="","",MOD(MONTH($A4761)-Setup!$B$6+12,12)+1)</f>
        <v/>
      </c>
      <c r="L4761" s="36" t="str">
        <f aca="false">IF($A4761="","",TEXT($A4761,"MMM-YY"))</f>
        <v/>
      </c>
      <c r="M4761" s="37" t="str">
        <f aca="false">IF($A4761="","",IF($Q4761=0,"UNMAPPED",INDEX(COA_Mapping!$C$7:$C$256,$Q4761)))</f>
        <v/>
      </c>
      <c r="N4761" s="38" t="str">
        <f aca="false">IF($A4761="","",IF($Q4761=0,"",INDEX(COA_Mapping!$E$7:$E$256,$Q4761)))</f>
        <v/>
      </c>
      <c r="O4761" s="38" t="n">
        <f aca="false">IF($A4761="",1,IF($Q4761=0,1,INDEX(COA_Mapping!$F$7:$F$256,$Q4761)))</f>
        <v>1</v>
      </c>
      <c r="P4761" s="34" t="str">
        <f aca="false">IF($A4761="","",$I4761*$O4761)</f>
        <v/>
      </c>
      <c r="Q4761" s="39" t="n">
        <f aca="false">IF($B4761="",0,IFERROR(MATCH($B4761,COA_Mapping!$A$7:$A$256,0),0))</f>
        <v>0</v>
      </c>
      <c r="R4761" s="39" t="n">
        <f aca="false">IF($A4761="",-1,IF($J4761=Setup!$B$7,1,IF($J4761=Setup!$B$9,0,-1)))</f>
        <v>-1</v>
      </c>
      <c r="S4761" s="35" t="n">
        <f aca="false">IF(OR($A4761="",$Q4761=0,$R4761=-1),0,$Q4761*1000+$R4761*100+$K4761)</f>
        <v>0</v>
      </c>
      <c r="T4761" s="37" t="str">
        <f aca="false">IF($A4761="","",IF($B4761="","NO ACCOUNT",IF($Q4761=0,"UNMAPPED",IF($R4761=-1,"OUTSIDE FY RANGE","OK"))))</f>
        <v/>
      </c>
      <c r="U4761" s="40" t="str">
        <f aca="false">IF($A4761="","",$B4761&amp;"|"&amp;TEXT($A4761,"yyyymmdd")&amp;"|"&amp;TEXT($I4761,"0.00"))</f>
        <v/>
      </c>
      <c r="V4761" s="35" t="str">
        <f aca="false">IF($A4761="","",COUNTIF($U$8:$U$5007,$U4761))</f>
        <v/>
      </c>
    </row>
    <row r="4762" customFormat="false" ht="15" hidden="false" customHeight="false" outlineLevel="0" collapsed="false">
      <c r="A4762" s="31"/>
      <c r="B4762" s="32"/>
      <c r="C4762" s="32"/>
      <c r="D4762" s="32"/>
      <c r="E4762" s="32"/>
      <c r="F4762" s="32"/>
      <c r="G4762" s="33"/>
      <c r="H4762" s="33"/>
      <c r="I4762" s="34" t="str">
        <f aca="false">IF($A4762="","",$G4762-$H4762)</f>
        <v/>
      </c>
      <c r="J4762" s="35" t="str">
        <f aca="false">IF($A4762="","",IF(Setup!$B$6=1,YEAR($A4762),YEAR($A4762)+IF(MONTH($A4762)&gt;=Setup!$B$6,1,0)))</f>
        <v/>
      </c>
      <c r="K4762" s="35" t="str">
        <f aca="false">IF($A4762="","",MOD(MONTH($A4762)-Setup!$B$6+12,12)+1)</f>
        <v/>
      </c>
      <c r="L4762" s="36" t="str">
        <f aca="false">IF($A4762="","",TEXT($A4762,"MMM-YY"))</f>
        <v/>
      </c>
      <c r="M4762" s="37" t="str">
        <f aca="false">IF($A4762="","",IF($Q4762=0,"UNMAPPED",INDEX(COA_Mapping!$C$7:$C$256,$Q4762)))</f>
        <v/>
      </c>
      <c r="N4762" s="38" t="str">
        <f aca="false">IF($A4762="","",IF($Q4762=0,"",INDEX(COA_Mapping!$E$7:$E$256,$Q4762)))</f>
        <v/>
      </c>
      <c r="O4762" s="38" t="n">
        <f aca="false">IF($A4762="",1,IF($Q4762=0,1,INDEX(COA_Mapping!$F$7:$F$256,$Q4762)))</f>
        <v>1</v>
      </c>
      <c r="P4762" s="34" t="str">
        <f aca="false">IF($A4762="","",$I4762*$O4762)</f>
        <v/>
      </c>
      <c r="Q4762" s="39" t="n">
        <f aca="false">IF($B4762="",0,IFERROR(MATCH($B4762,COA_Mapping!$A$7:$A$256,0),0))</f>
        <v>0</v>
      </c>
      <c r="R4762" s="39" t="n">
        <f aca="false">IF($A4762="",-1,IF($J4762=Setup!$B$7,1,IF($J4762=Setup!$B$9,0,-1)))</f>
        <v>-1</v>
      </c>
      <c r="S4762" s="35" t="n">
        <f aca="false">IF(OR($A4762="",$Q4762=0,$R4762=-1),0,$Q4762*1000+$R4762*100+$K4762)</f>
        <v>0</v>
      </c>
      <c r="T4762" s="37" t="str">
        <f aca="false">IF($A4762="","",IF($B4762="","NO ACCOUNT",IF($Q4762=0,"UNMAPPED",IF($R4762=-1,"OUTSIDE FY RANGE","OK"))))</f>
        <v/>
      </c>
      <c r="U4762" s="40" t="str">
        <f aca="false">IF($A4762="","",$B4762&amp;"|"&amp;TEXT($A4762,"yyyymmdd")&amp;"|"&amp;TEXT($I4762,"0.00"))</f>
        <v/>
      </c>
      <c r="V4762" s="35" t="str">
        <f aca="false">IF($A4762="","",COUNTIF($U$8:$U$5007,$U4762))</f>
        <v/>
      </c>
    </row>
    <row r="4763" customFormat="false" ht="15" hidden="false" customHeight="false" outlineLevel="0" collapsed="false">
      <c r="A4763" s="31"/>
      <c r="B4763" s="32"/>
      <c r="C4763" s="32"/>
      <c r="D4763" s="32"/>
      <c r="E4763" s="32"/>
      <c r="F4763" s="32"/>
      <c r="G4763" s="33"/>
      <c r="H4763" s="33"/>
      <c r="I4763" s="34" t="str">
        <f aca="false">IF($A4763="","",$G4763-$H4763)</f>
        <v/>
      </c>
      <c r="J4763" s="35" t="str">
        <f aca="false">IF($A4763="","",IF(Setup!$B$6=1,YEAR($A4763),YEAR($A4763)+IF(MONTH($A4763)&gt;=Setup!$B$6,1,0)))</f>
        <v/>
      </c>
      <c r="K4763" s="35" t="str">
        <f aca="false">IF($A4763="","",MOD(MONTH($A4763)-Setup!$B$6+12,12)+1)</f>
        <v/>
      </c>
      <c r="L4763" s="36" t="str">
        <f aca="false">IF($A4763="","",TEXT($A4763,"MMM-YY"))</f>
        <v/>
      </c>
      <c r="M4763" s="37" t="str">
        <f aca="false">IF($A4763="","",IF($Q4763=0,"UNMAPPED",INDEX(COA_Mapping!$C$7:$C$256,$Q4763)))</f>
        <v/>
      </c>
      <c r="N4763" s="38" t="str">
        <f aca="false">IF($A4763="","",IF($Q4763=0,"",INDEX(COA_Mapping!$E$7:$E$256,$Q4763)))</f>
        <v/>
      </c>
      <c r="O4763" s="38" t="n">
        <f aca="false">IF($A4763="",1,IF($Q4763=0,1,INDEX(COA_Mapping!$F$7:$F$256,$Q4763)))</f>
        <v>1</v>
      </c>
      <c r="P4763" s="34" t="str">
        <f aca="false">IF($A4763="","",$I4763*$O4763)</f>
        <v/>
      </c>
      <c r="Q4763" s="39" t="n">
        <f aca="false">IF($B4763="",0,IFERROR(MATCH($B4763,COA_Mapping!$A$7:$A$256,0),0))</f>
        <v>0</v>
      </c>
      <c r="R4763" s="39" t="n">
        <f aca="false">IF($A4763="",-1,IF($J4763=Setup!$B$7,1,IF($J4763=Setup!$B$9,0,-1)))</f>
        <v>-1</v>
      </c>
      <c r="S4763" s="35" t="n">
        <f aca="false">IF(OR($A4763="",$Q4763=0,$R4763=-1),0,$Q4763*1000+$R4763*100+$K4763)</f>
        <v>0</v>
      </c>
      <c r="T4763" s="37" t="str">
        <f aca="false">IF($A4763="","",IF($B4763="","NO ACCOUNT",IF($Q4763=0,"UNMAPPED",IF($R4763=-1,"OUTSIDE FY RANGE","OK"))))</f>
        <v/>
      </c>
      <c r="U4763" s="40" t="str">
        <f aca="false">IF($A4763="","",$B4763&amp;"|"&amp;TEXT($A4763,"yyyymmdd")&amp;"|"&amp;TEXT($I4763,"0.00"))</f>
        <v/>
      </c>
      <c r="V4763" s="35" t="str">
        <f aca="false">IF($A4763="","",COUNTIF($U$8:$U$5007,$U4763))</f>
        <v/>
      </c>
    </row>
    <row r="4764" customFormat="false" ht="15" hidden="false" customHeight="false" outlineLevel="0" collapsed="false">
      <c r="A4764" s="31"/>
      <c r="B4764" s="32"/>
      <c r="C4764" s="32"/>
      <c r="D4764" s="32"/>
      <c r="E4764" s="32"/>
      <c r="F4764" s="32"/>
      <c r="G4764" s="33"/>
      <c r="H4764" s="33"/>
      <c r="I4764" s="34" t="str">
        <f aca="false">IF($A4764="","",$G4764-$H4764)</f>
        <v/>
      </c>
      <c r="J4764" s="35" t="str">
        <f aca="false">IF($A4764="","",IF(Setup!$B$6=1,YEAR($A4764),YEAR($A4764)+IF(MONTH($A4764)&gt;=Setup!$B$6,1,0)))</f>
        <v/>
      </c>
      <c r="K4764" s="35" t="str">
        <f aca="false">IF($A4764="","",MOD(MONTH($A4764)-Setup!$B$6+12,12)+1)</f>
        <v/>
      </c>
      <c r="L4764" s="36" t="str">
        <f aca="false">IF($A4764="","",TEXT($A4764,"MMM-YY"))</f>
        <v/>
      </c>
      <c r="M4764" s="37" t="str">
        <f aca="false">IF($A4764="","",IF($Q4764=0,"UNMAPPED",INDEX(COA_Mapping!$C$7:$C$256,$Q4764)))</f>
        <v/>
      </c>
      <c r="N4764" s="38" t="str">
        <f aca="false">IF($A4764="","",IF($Q4764=0,"",INDEX(COA_Mapping!$E$7:$E$256,$Q4764)))</f>
        <v/>
      </c>
      <c r="O4764" s="38" t="n">
        <f aca="false">IF($A4764="",1,IF($Q4764=0,1,INDEX(COA_Mapping!$F$7:$F$256,$Q4764)))</f>
        <v>1</v>
      </c>
      <c r="P4764" s="34" t="str">
        <f aca="false">IF($A4764="","",$I4764*$O4764)</f>
        <v/>
      </c>
      <c r="Q4764" s="39" t="n">
        <f aca="false">IF($B4764="",0,IFERROR(MATCH($B4764,COA_Mapping!$A$7:$A$256,0),0))</f>
        <v>0</v>
      </c>
      <c r="R4764" s="39" t="n">
        <f aca="false">IF($A4764="",-1,IF($J4764=Setup!$B$7,1,IF($J4764=Setup!$B$9,0,-1)))</f>
        <v>-1</v>
      </c>
      <c r="S4764" s="35" t="n">
        <f aca="false">IF(OR($A4764="",$Q4764=0,$R4764=-1),0,$Q4764*1000+$R4764*100+$K4764)</f>
        <v>0</v>
      </c>
      <c r="T4764" s="37" t="str">
        <f aca="false">IF($A4764="","",IF($B4764="","NO ACCOUNT",IF($Q4764=0,"UNMAPPED",IF($R4764=-1,"OUTSIDE FY RANGE","OK"))))</f>
        <v/>
      </c>
      <c r="U4764" s="40" t="str">
        <f aca="false">IF($A4764="","",$B4764&amp;"|"&amp;TEXT($A4764,"yyyymmdd")&amp;"|"&amp;TEXT($I4764,"0.00"))</f>
        <v/>
      </c>
      <c r="V4764" s="35" t="str">
        <f aca="false">IF($A4764="","",COUNTIF($U$8:$U$5007,$U4764))</f>
        <v/>
      </c>
    </row>
    <row r="4765" customFormat="false" ht="15" hidden="false" customHeight="false" outlineLevel="0" collapsed="false">
      <c r="A4765" s="31"/>
      <c r="B4765" s="32"/>
      <c r="C4765" s="32"/>
      <c r="D4765" s="32"/>
      <c r="E4765" s="32"/>
      <c r="F4765" s="32"/>
      <c r="G4765" s="33"/>
      <c r="H4765" s="33"/>
      <c r="I4765" s="34" t="str">
        <f aca="false">IF($A4765="","",$G4765-$H4765)</f>
        <v/>
      </c>
      <c r="J4765" s="35" t="str">
        <f aca="false">IF($A4765="","",IF(Setup!$B$6=1,YEAR($A4765),YEAR($A4765)+IF(MONTH($A4765)&gt;=Setup!$B$6,1,0)))</f>
        <v/>
      </c>
      <c r="K4765" s="35" t="str">
        <f aca="false">IF($A4765="","",MOD(MONTH($A4765)-Setup!$B$6+12,12)+1)</f>
        <v/>
      </c>
      <c r="L4765" s="36" t="str">
        <f aca="false">IF($A4765="","",TEXT($A4765,"MMM-YY"))</f>
        <v/>
      </c>
      <c r="M4765" s="37" t="str">
        <f aca="false">IF($A4765="","",IF($Q4765=0,"UNMAPPED",INDEX(COA_Mapping!$C$7:$C$256,$Q4765)))</f>
        <v/>
      </c>
      <c r="N4765" s="38" t="str">
        <f aca="false">IF($A4765="","",IF($Q4765=0,"",INDEX(COA_Mapping!$E$7:$E$256,$Q4765)))</f>
        <v/>
      </c>
      <c r="O4765" s="38" t="n">
        <f aca="false">IF($A4765="",1,IF($Q4765=0,1,INDEX(COA_Mapping!$F$7:$F$256,$Q4765)))</f>
        <v>1</v>
      </c>
      <c r="P4765" s="34" t="str">
        <f aca="false">IF($A4765="","",$I4765*$O4765)</f>
        <v/>
      </c>
      <c r="Q4765" s="39" t="n">
        <f aca="false">IF($B4765="",0,IFERROR(MATCH($B4765,COA_Mapping!$A$7:$A$256,0),0))</f>
        <v>0</v>
      </c>
      <c r="R4765" s="39" t="n">
        <f aca="false">IF($A4765="",-1,IF($J4765=Setup!$B$7,1,IF($J4765=Setup!$B$9,0,-1)))</f>
        <v>-1</v>
      </c>
      <c r="S4765" s="35" t="n">
        <f aca="false">IF(OR($A4765="",$Q4765=0,$R4765=-1),0,$Q4765*1000+$R4765*100+$K4765)</f>
        <v>0</v>
      </c>
      <c r="T4765" s="37" t="str">
        <f aca="false">IF($A4765="","",IF($B4765="","NO ACCOUNT",IF($Q4765=0,"UNMAPPED",IF($R4765=-1,"OUTSIDE FY RANGE","OK"))))</f>
        <v/>
      </c>
      <c r="U4765" s="40" t="str">
        <f aca="false">IF($A4765="","",$B4765&amp;"|"&amp;TEXT($A4765,"yyyymmdd")&amp;"|"&amp;TEXT($I4765,"0.00"))</f>
        <v/>
      </c>
      <c r="V4765" s="35" t="str">
        <f aca="false">IF($A4765="","",COUNTIF($U$8:$U$5007,$U4765))</f>
        <v/>
      </c>
    </row>
    <row r="4766" customFormat="false" ht="15" hidden="false" customHeight="false" outlineLevel="0" collapsed="false">
      <c r="A4766" s="31"/>
      <c r="B4766" s="32"/>
      <c r="C4766" s="32"/>
      <c r="D4766" s="32"/>
      <c r="E4766" s="32"/>
      <c r="F4766" s="32"/>
      <c r="G4766" s="33"/>
      <c r="H4766" s="33"/>
      <c r="I4766" s="34" t="str">
        <f aca="false">IF($A4766="","",$G4766-$H4766)</f>
        <v/>
      </c>
      <c r="J4766" s="35" t="str">
        <f aca="false">IF($A4766="","",IF(Setup!$B$6=1,YEAR($A4766),YEAR($A4766)+IF(MONTH($A4766)&gt;=Setup!$B$6,1,0)))</f>
        <v/>
      </c>
      <c r="K4766" s="35" t="str">
        <f aca="false">IF($A4766="","",MOD(MONTH($A4766)-Setup!$B$6+12,12)+1)</f>
        <v/>
      </c>
      <c r="L4766" s="36" t="str">
        <f aca="false">IF($A4766="","",TEXT($A4766,"MMM-YY"))</f>
        <v/>
      </c>
      <c r="M4766" s="37" t="str">
        <f aca="false">IF($A4766="","",IF($Q4766=0,"UNMAPPED",INDEX(COA_Mapping!$C$7:$C$256,$Q4766)))</f>
        <v/>
      </c>
      <c r="N4766" s="38" t="str">
        <f aca="false">IF($A4766="","",IF($Q4766=0,"",INDEX(COA_Mapping!$E$7:$E$256,$Q4766)))</f>
        <v/>
      </c>
      <c r="O4766" s="38" t="n">
        <f aca="false">IF($A4766="",1,IF($Q4766=0,1,INDEX(COA_Mapping!$F$7:$F$256,$Q4766)))</f>
        <v>1</v>
      </c>
      <c r="P4766" s="34" t="str">
        <f aca="false">IF($A4766="","",$I4766*$O4766)</f>
        <v/>
      </c>
      <c r="Q4766" s="39" t="n">
        <f aca="false">IF($B4766="",0,IFERROR(MATCH($B4766,COA_Mapping!$A$7:$A$256,0),0))</f>
        <v>0</v>
      </c>
      <c r="R4766" s="39" t="n">
        <f aca="false">IF($A4766="",-1,IF($J4766=Setup!$B$7,1,IF($J4766=Setup!$B$9,0,-1)))</f>
        <v>-1</v>
      </c>
      <c r="S4766" s="35" t="n">
        <f aca="false">IF(OR($A4766="",$Q4766=0,$R4766=-1),0,$Q4766*1000+$R4766*100+$K4766)</f>
        <v>0</v>
      </c>
      <c r="T4766" s="37" t="str">
        <f aca="false">IF($A4766="","",IF($B4766="","NO ACCOUNT",IF($Q4766=0,"UNMAPPED",IF($R4766=-1,"OUTSIDE FY RANGE","OK"))))</f>
        <v/>
      </c>
      <c r="U4766" s="40" t="str">
        <f aca="false">IF($A4766="","",$B4766&amp;"|"&amp;TEXT($A4766,"yyyymmdd")&amp;"|"&amp;TEXT($I4766,"0.00"))</f>
        <v/>
      </c>
      <c r="V4766" s="35" t="str">
        <f aca="false">IF($A4766="","",COUNTIF($U$8:$U$5007,$U4766))</f>
        <v/>
      </c>
    </row>
    <row r="4767" customFormat="false" ht="15" hidden="false" customHeight="false" outlineLevel="0" collapsed="false">
      <c r="A4767" s="31"/>
      <c r="B4767" s="32"/>
      <c r="C4767" s="32"/>
      <c r="D4767" s="32"/>
      <c r="E4767" s="32"/>
      <c r="F4767" s="32"/>
      <c r="G4767" s="33"/>
      <c r="H4767" s="33"/>
      <c r="I4767" s="34" t="str">
        <f aca="false">IF($A4767="","",$G4767-$H4767)</f>
        <v/>
      </c>
      <c r="J4767" s="35" t="str">
        <f aca="false">IF($A4767="","",IF(Setup!$B$6=1,YEAR($A4767),YEAR($A4767)+IF(MONTH($A4767)&gt;=Setup!$B$6,1,0)))</f>
        <v/>
      </c>
      <c r="K4767" s="35" t="str">
        <f aca="false">IF($A4767="","",MOD(MONTH($A4767)-Setup!$B$6+12,12)+1)</f>
        <v/>
      </c>
      <c r="L4767" s="36" t="str">
        <f aca="false">IF($A4767="","",TEXT($A4767,"MMM-YY"))</f>
        <v/>
      </c>
      <c r="M4767" s="37" t="str">
        <f aca="false">IF($A4767="","",IF($Q4767=0,"UNMAPPED",INDEX(COA_Mapping!$C$7:$C$256,$Q4767)))</f>
        <v/>
      </c>
      <c r="N4767" s="38" t="str">
        <f aca="false">IF($A4767="","",IF($Q4767=0,"",INDEX(COA_Mapping!$E$7:$E$256,$Q4767)))</f>
        <v/>
      </c>
      <c r="O4767" s="38" t="n">
        <f aca="false">IF($A4767="",1,IF($Q4767=0,1,INDEX(COA_Mapping!$F$7:$F$256,$Q4767)))</f>
        <v>1</v>
      </c>
      <c r="P4767" s="34" t="str">
        <f aca="false">IF($A4767="","",$I4767*$O4767)</f>
        <v/>
      </c>
      <c r="Q4767" s="39" t="n">
        <f aca="false">IF($B4767="",0,IFERROR(MATCH($B4767,COA_Mapping!$A$7:$A$256,0),0))</f>
        <v>0</v>
      </c>
      <c r="R4767" s="39" t="n">
        <f aca="false">IF($A4767="",-1,IF($J4767=Setup!$B$7,1,IF($J4767=Setup!$B$9,0,-1)))</f>
        <v>-1</v>
      </c>
      <c r="S4767" s="35" t="n">
        <f aca="false">IF(OR($A4767="",$Q4767=0,$R4767=-1),0,$Q4767*1000+$R4767*100+$K4767)</f>
        <v>0</v>
      </c>
      <c r="T4767" s="37" t="str">
        <f aca="false">IF($A4767="","",IF($B4767="","NO ACCOUNT",IF($Q4767=0,"UNMAPPED",IF($R4767=-1,"OUTSIDE FY RANGE","OK"))))</f>
        <v/>
      </c>
      <c r="U4767" s="40" t="str">
        <f aca="false">IF($A4767="","",$B4767&amp;"|"&amp;TEXT($A4767,"yyyymmdd")&amp;"|"&amp;TEXT($I4767,"0.00"))</f>
        <v/>
      </c>
      <c r="V4767" s="35" t="str">
        <f aca="false">IF($A4767="","",COUNTIF($U$8:$U$5007,$U4767))</f>
        <v/>
      </c>
    </row>
    <row r="4768" customFormat="false" ht="15" hidden="false" customHeight="false" outlineLevel="0" collapsed="false">
      <c r="A4768" s="31"/>
      <c r="B4768" s="32"/>
      <c r="C4768" s="32"/>
      <c r="D4768" s="32"/>
      <c r="E4768" s="32"/>
      <c r="F4768" s="32"/>
      <c r="G4768" s="33"/>
      <c r="H4768" s="33"/>
      <c r="I4768" s="34" t="str">
        <f aca="false">IF($A4768="","",$G4768-$H4768)</f>
        <v/>
      </c>
      <c r="J4768" s="35" t="str">
        <f aca="false">IF($A4768="","",IF(Setup!$B$6=1,YEAR($A4768),YEAR($A4768)+IF(MONTH($A4768)&gt;=Setup!$B$6,1,0)))</f>
        <v/>
      </c>
      <c r="K4768" s="35" t="str">
        <f aca="false">IF($A4768="","",MOD(MONTH($A4768)-Setup!$B$6+12,12)+1)</f>
        <v/>
      </c>
      <c r="L4768" s="36" t="str">
        <f aca="false">IF($A4768="","",TEXT($A4768,"MMM-YY"))</f>
        <v/>
      </c>
      <c r="M4768" s="37" t="str">
        <f aca="false">IF($A4768="","",IF($Q4768=0,"UNMAPPED",INDEX(COA_Mapping!$C$7:$C$256,$Q4768)))</f>
        <v/>
      </c>
      <c r="N4768" s="38" t="str">
        <f aca="false">IF($A4768="","",IF($Q4768=0,"",INDEX(COA_Mapping!$E$7:$E$256,$Q4768)))</f>
        <v/>
      </c>
      <c r="O4768" s="38" t="n">
        <f aca="false">IF($A4768="",1,IF($Q4768=0,1,INDEX(COA_Mapping!$F$7:$F$256,$Q4768)))</f>
        <v>1</v>
      </c>
      <c r="P4768" s="34" t="str">
        <f aca="false">IF($A4768="","",$I4768*$O4768)</f>
        <v/>
      </c>
      <c r="Q4768" s="39" t="n">
        <f aca="false">IF($B4768="",0,IFERROR(MATCH($B4768,COA_Mapping!$A$7:$A$256,0),0))</f>
        <v>0</v>
      </c>
      <c r="R4768" s="39" t="n">
        <f aca="false">IF($A4768="",-1,IF($J4768=Setup!$B$7,1,IF($J4768=Setup!$B$9,0,-1)))</f>
        <v>-1</v>
      </c>
      <c r="S4768" s="35" t="n">
        <f aca="false">IF(OR($A4768="",$Q4768=0,$R4768=-1),0,$Q4768*1000+$R4768*100+$K4768)</f>
        <v>0</v>
      </c>
      <c r="T4768" s="37" t="str">
        <f aca="false">IF($A4768="","",IF($B4768="","NO ACCOUNT",IF($Q4768=0,"UNMAPPED",IF($R4768=-1,"OUTSIDE FY RANGE","OK"))))</f>
        <v/>
      </c>
      <c r="U4768" s="40" t="str">
        <f aca="false">IF($A4768="","",$B4768&amp;"|"&amp;TEXT($A4768,"yyyymmdd")&amp;"|"&amp;TEXT($I4768,"0.00"))</f>
        <v/>
      </c>
      <c r="V4768" s="35" t="str">
        <f aca="false">IF($A4768="","",COUNTIF($U$8:$U$5007,$U4768))</f>
        <v/>
      </c>
    </row>
    <row r="4769" customFormat="false" ht="15" hidden="false" customHeight="false" outlineLevel="0" collapsed="false">
      <c r="A4769" s="31"/>
      <c r="B4769" s="32"/>
      <c r="C4769" s="32"/>
      <c r="D4769" s="32"/>
      <c r="E4769" s="32"/>
      <c r="F4769" s="32"/>
      <c r="G4769" s="33"/>
      <c r="H4769" s="33"/>
      <c r="I4769" s="34" t="str">
        <f aca="false">IF($A4769="","",$G4769-$H4769)</f>
        <v/>
      </c>
      <c r="J4769" s="35" t="str">
        <f aca="false">IF($A4769="","",IF(Setup!$B$6=1,YEAR($A4769),YEAR($A4769)+IF(MONTH($A4769)&gt;=Setup!$B$6,1,0)))</f>
        <v/>
      </c>
      <c r="K4769" s="35" t="str">
        <f aca="false">IF($A4769="","",MOD(MONTH($A4769)-Setup!$B$6+12,12)+1)</f>
        <v/>
      </c>
      <c r="L4769" s="36" t="str">
        <f aca="false">IF($A4769="","",TEXT($A4769,"MMM-YY"))</f>
        <v/>
      </c>
      <c r="M4769" s="37" t="str">
        <f aca="false">IF($A4769="","",IF($Q4769=0,"UNMAPPED",INDEX(COA_Mapping!$C$7:$C$256,$Q4769)))</f>
        <v/>
      </c>
      <c r="N4769" s="38" t="str">
        <f aca="false">IF($A4769="","",IF($Q4769=0,"",INDEX(COA_Mapping!$E$7:$E$256,$Q4769)))</f>
        <v/>
      </c>
      <c r="O4769" s="38" t="n">
        <f aca="false">IF($A4769="",1,IF($Q4769=0,1,INDEX(COA_Mapping!$F$7:$F$256,$Q4769)))</f>
        <v>1</v>
      </c>
      <c r="P4769" s="34" t="str">
        <f aca="false">IF($A4769="","",$I4769*$O4769)</f>
        <v/>
      </c>
      <c r="Q4769" s="39" t="n">
        <f aca="false">IF($B4769="",0,IFERROR(MATCH($B4769,COA_Mapping!$A$7:$A$256,0),0))</f>
        <v>0</v>
      </c>
      <c r="R4769" s="39" t="n">
        <f aca="false">IF($A4769="",-1,IF($J4769=Setup!$B$7,1,IF($J4769=Setup!$B$9,0,-1)))</f>
        <v>-1</v>
      </c>
      <c r="S4769" s="35" t="n">
        <f aca="false">IF(OR($A4769="",$Q4769=0,$R4769=-1),0,$Q4769*1000+$R4769*100+$K4769)</f>
        <v>0</v>
      </c>
      <c r="T4769" s="37" t="str">
        <f aca="false">IF($A4769="","",IF($B4769="","NO ACCOUNT",IF($Q4769=0,"UNMAPPED",IF($R4769=-1,"OUTSIDE FY RANGE","OK"))))</f>
        <v/>
      </c>
      <c r="U4769" s="40" t="str">
        <f aca="false">IF($A4769="","",$B4769&amp;"|"&amp;TEXT($A4769,"yyyymmdd")&amp;"|"&amp;TEXT($I4769,"0.00"))</f>
        <v/>
      </c>
      <c r="V4769" s="35" t="str">
        <f aca="false">IF($A4769="","",COUNTIF($U$8:$U$5007,$U4769))</f>
        <v/>
      </c>
    </row>
    <row r="4770" customFormat="false" ht="15" hidden="false" customHeight="false" outlineLevel="0" collapsed="false">
      <c r="A4770" s="31"/>
      <c r="B4770" s="32"/>
      <c r="C4770" s="32"/>
      <c r="D4770" s="32"/>
      <c r="E4770" s="32"/>
      <c r="F4770" s="32"/>
      <c r="G4770" s="33"/>
      <c r="H4770" s="33"/>
      <c r="I4770" s="34" t="str">
        <f aca="false">IF($A4770="","",$G4770-$H4770)</f>
        <v/>
      </c>
      <c r="J4770" s="35" t="str">
        <f aca="false">IF($A4770="","",IF(Setup!$B$6=1,YEAR($A4770),YEAR($A4770)+IF(MONTH($A4770)&gt;=Setup!$B$6,1,0)))</f>
        <v/>
      </c>
      <c r="K4770" s="35" t="str">
        <f aca="false">IF($A4770="","",MOD(MONTH($A4770)-Setup!$B$6+12,12)+1)</f>
        <v/>
      </c>
      <c r="L4770" s="36" t="str">
        <f aca="false">IF($A4770="","",TEXT($A4770,"MMM-YY"))</f>
        <v/>
      </c>
      <c r="M4770" s="37" t="str">
        <f aca="false">IF($A4770="","",IF($Q4770=0,"UNMAPPED",INDEX(COA_Mapping!$C$7:$C$256,$Q4770)))</f>
        <v/>
      </c>
      <c r="N4770" s="38" t="str">
        <f aca="false">IF($A4770="","",IF($Q4770=0,"",INDEX(COA_Mapping!$E$7:$E$256,$Q4770)))</f>
        <v/>
      </c>
      <c r="O4770" s="38" t="n">
        <f aca="false">IF($A4770="",1,IF($Q4770=0,1,INDEX(COA_Mapping!$F$7:$F$256,$Q4770)))</f>
        <v>1</v>
      </c>
      <c r="P4770" s="34" t="str">
        <f aca="false">IF($A4770="","",$I4770*$O4770)</f>
        <v/>
      </c>
      <c r="Q4770" s="39" t="n">
        <f aca="false">IF($B4770="",0,IFERROR(MATCH($B4770,COA_Mapping!$A$7:$A$256,0),0))</f>
        <v>0</v>
      </c>
      <c r="R4770" s="39" t="n">
        <f aca="false">IF($A4770="",-1,IF($J4770=Setup!$B$7,1,IF($J4770=Setup!$B$9,0,-1)))</f>
        <v>-1</v>
      </c>
      <c r="S4770" s="35" t="n">
        <f aca="false">IF(OR($A4770="",$Q4770=0,$R4770=-1),0,$Q4770*1000+$R4770*100+$K4770)</f>
        <v>0</v>
      </c>
      <c r="T4770" s="37" t="str">
        <f aca="false">IF($A4770="","",IF($B4770="","NO ACCOUNT",IF($Q4770=0,"UNMAPPED",IF($R4770=-1,"OUTSIDE FY RANGE","OK"))))</f>
        <v/>
      </c>
      <c r="U4770" s="40" t="str">
        <f aca="false">IF($A4770="","",$B4770&amp;"|"&amp;TEXT($A4770,"yyyymmdd")&amp;"|"&amp;TEXT($I4770,"0.00"))</f>
        <v/>
      </c>
      <c r="V4770" s="35" t="str">
        <f aca="false">IF($A4770="","",COUNTIF($U$8:$U$5007,$U4770))</f>
        <v/>
      </c>
    </row>
    <row r="4771" customFormat="false" ht="15" hidden="false" customHeight="false" outlineLevel="0" collapsed="false">
      <c r="A4771" s="31"/>
      <c r="B4771" s="32"/>
      <c r="C4771" s="32"/>
      <c r="D4771" s="32"/>
      <c r="E4771" s="32"/>
      <c r="F4771" s="32"/>
      <c r="G4771" s="33"/>
      <c r="H4771" s="33"/>
      <c r="I4771" s="34" t="str">
        <f aca="false">IF($A4771="","",$G4771-$H4771)</f>
        <v/>
      </c>
      <c r="J4771" s="35" t="str">
        <f aca="false">IF($A4771="","",IF(Setup!$B$6=1,YEAR($A4771),YEAR($A4771)+IF(MONTH($A4771)&gt;=Setup!$B$6,1,0)))</f>
        <v/>
      </c>
      <c r="K4771" s="35" t="str">
        <f aca="false">IF($A4771="","",MOD(MONTH($A4771)-Setup!$B$6+12,12)+1)</f>
        <v/>
      </c>
      <c r="L4771" s="36" t="str">
        <f aca="false">IF($A4771="","",TEXT($A4771,"MMM-YY"))</f>
        <v/>
      </c>
      <c r="M4771" s="37" t="str">
        <f aca="false">IF($A4771="","",IF($Q4771=0,"UNMAPPED",INDEX(COA_Mapping!$C$7:$C$256,$Q4771)))</f>
        <v/>
      </c>
      <c r="N4771" s="38" t="str">
        <f aca="false">IF($A4771="","",IF($Q4771=0,"",INDEX(COA_Mapping!$E$7:$E$256,$Q4771)))</f>
        <v/>
      </c>
      <c r="O4771" s="38" t="n">
        <f aca="false">IF($A4771="",1,IF($Q4771=0,1,INDEX(COA_Mapping!$F$7:$F$256,$Q4771)))</f>
        <v>1</v>
      </c>
      <c r="P4771" s="34" t="str">
        <f aca="false">IF($A4771="","",$I4771*$O4771)</f>
        <v/>
      </c>
      <c r="Q4771" s="39" t="n">
        <f aca="false">IF($B4771="",0,IFERROR(MATCH($B4771,COA_Mapping!$A$7:$A$256,0),0))</f>
        <v>0</v>
      </c>
      <c r="R4771" s="39" t="n">
        <f aca="false">IF($A4771="",-1,IF($J4771=Setup!$B$7,1,IF($J4771=Setup!$B$9,0,-1)))</f>
        <v>-1</v>
      </c>
      <c r="S4771" s="35" t="n">
        <f aca="false">IF(OR($A4771="",$Q4771=0,$R4771=-1),0,$Q4771*1000+$R4771*100+$K4771)</f>
        <v>0</v>
      </c>
      <c r="T4771" s="37" t="str">
        <f aca="false">IF($A4771="","",IF($B4771="","NO ACCOUNT",IF($Q4771=0,"UNMAPPED",IF($R4771=-1,"OUTSIDE FY RANGE","OK"))))</f>
        <v/>
      </c>
      <c r="U4771" s="40" t="str">
        <f aca="false">IF($A4771="","",$B4771&amp;"|"&amp;TEXT($A4771,"yyyymmdd")&amp;"|"&amp;TEXT($I4771,"0.00"))</f>
        <v/>
      </c>
      <c r="V4771" s="35" t="str">
        <f aca="false">IF($A4771="","",COUNTIF($U$8:$U$5007,$U4771))</f>
        <v/>
      </c>
    </row>
    <row r="4772" customFormat="false" ht="15" hidden="false" customHeight="false" outlineLevel="0" collapsed="false">
      <c r="A4772" s="31"/>
      <c r="B4772" s="32"/>
      <c r="C4772" s="32"/>
      <c r="D4772" s="32"/>
      <c r="E4772" s="32"/>
      <c r="F4772" s="32"/>
      <c r="G4772" s="33"/>
      <c r="H4772" s="33"/>
      <c r="I4772" s="34" t="str">
        <f aca="false">IF($A4772="","",$G4772-$H4772)</f>
        <v/>
      </c>
      <c r="J4772" s="35" t="str">
        <f aca="false">IF($A4772="","",IF(Setup!$B$6=1,YEAR($A4772),YEAR($A4772)+IF(MONTH($A4772)&gt;=Setup!$B$6,1,0)))</f>
        <v/>
      </c>
      <c r="K4772" s="35" t="str">
        <f aca="false">IF($A4772="","",MOD(MONTH($A4772)-Setup!$B$6+12,12)+1)</f>
        <v/>
      </c>
      <c r="L4772" s="36" t="str">
        <f aca="false">IF($A4772="","",TEXT($A4772,"MMM-YY"))</f>
        <v/>
      </c>
      <c r="M4772" s="37" t="str">
        <f aca="false">IF($A4772="","",IF($Q4772=0,"UNMAPPED",INDEX(COA_Mapping!$C$7:$C$256,$Q4772)))</f>
        <v/>
      </c>
      <c r="N4772" s="38" t="str">
        <f aca="false">IF($A4772="","",IF($Q4772=0,"",INDEX(COA_Mapping!$E$7:$E$256,$Q4772)))</f>
        <v/>
      </c>
      <c r="O4772" s="38" t="n">
        <f aca="false">IF($A4772="",1,IF($Q4772=0,1,INDEX(COA_Mapping!$F$7:$F$256,$Q4772)))</f>
        <v>1</v>
      </c>
      <c r="P4772" s="34" t="str">
        <f aca="false">IF($A4772="","",$I4772*$O4772)</f>
        <v/>
      </c>
      <c r="Q4772" s="39" t="n">
        <f aca="false">IF($B4772="",0,IFERROR(MATCH($B4772,COA_Mapping!$A$7:$A$256,0),0))</f>
        <v>0</v>
      </c>
      <c r="R4772" s="39" t="n">
        <f aca="false">IF($A4772="",-1,IF($J4772=Setup!$B$7,1,IF($J4772=Setup!$B$9,0,-1)))</f>
        <v>-1</v>
      </c>
      <c r="S4772" s="35" t="n">
        <f aca="false">IF(OR($A4772="",$Q4772=0,$R4772=-1),0,$Q4772*1000+$R4772*100+$K4772)</f>
        <v>0</v>
      </c>
      <c r="T4772" s="37" t="str">
        <f aca="false">IF($A4772="","",IF($B4772="","NO ACCOUNT",IF($Q4772=0,"UNMAPPED",IF($R4772=-1,"OUTSIDE FY RANGE","OK"))))</f>
        <v/>
      </c>
      <c r="U4772" s="40" t="str">
        <f aca="false">IF($A4772="","",$B4772&amp;"|"&amp;TEXT($A4772,"yyyymmdd")&amp;"|"&amp;TEXT($I4772,"0.00"))</f>
        <v/>
      </c>
      <c r="V4772" s="35" t="str">
        <f aca="false">IF($A4772="","",COUNTIF($U$8:$U$5007,$U4772))</f>
        <v/>
      </c>
    </row>
    <row r="4773" customFormat="false" ht="15" hidden="false" customHeight="false" outlineLevel="0" collapsed="false">
      <c r="A4773" s="31"/>
      <c r="B4773" s="32"/>
      <c r="C4773" s="32"/>
      <c r="D4773" s="32"/>
      <c r="E4773" s="32"/>
      <c r="F4773" s="32"/>
      <c r="G4773" s="33"/>
      <c r="H4773" s="33"/>
      <c r="I4773" s="34" t="str">
        <f aca="false">IF($A4773="","",$G4773-$H4773)</f>
        <v/>
      </c>
      <c r="J4773" s="35" t="str">
        <f aca="false">IF($A4773="","",IF(Setup!$B$6=1,YEAR($A4773),YEAR($A4773)+IF(MONTH($A4773)&gt;=Setup!$B$6,1,0)))</f>
        <v/>
      </c>
      <c r="K4773" s="35" t="str">
        <f aca="false">IF($A4773="","",MOD(MONTH($A4773)-Setup!$B$6+12,12)+1)</f>
        <v/>
      </c>
      <c r="L4773" s="36" t="str">
        <f aca="false">IF($A4773="","",TEXT($A4773,"MMM-YY"))</f>
        <v/>
      </c>
      <c r="M4773" s="37" t="str">
        <f aca="false">IF($A4773="","",IF($Q4773=0,"UNMAPPED",INDEX(COA_Mapping!$C$7:$C$256,$Q4773)))</f>
        <v/>
      </c>
      <c r="N4773" s="38" t="str">
        <f aca="false">IF($A4773="","",IF($Q4773=0,"",INDEX(COA_Mapping!$E$7:$E$256,$Q4773)))</f>
        <v/>
      </c>
      <c r="O4773" s="38" t="n">
        <f aca="false">IF($A4773="",1,IF($Q4773=0,1,INDEX(COA_Mapping!$F$7:$F$256,$Q4773)))</f>
        <v>1</v>
      </c>
      <c r="P4773" s="34" t="str">
        <f aca="false">IF($A4773="","",$I4773*$O4773)</f>
        <v/>
      </c>
      <c r="Q4773" s="39" t="n">
        <f aca="false">IF($B4773="",0,IFERROR(MATCH($B4773,COA_Mapping!$A$7:$A$256,0),0))</f>
        <v>0</v>
      </c>
      <c r="R4773" s="39" t="n">
        <f aca="false">IF($A4773="",-1,IF($J4773=Setup!$B$7,1,IF($J4773=Setup!$B$9,0,-1)))</f>
        <v>-1</v>
      </c>
      <c r="S4773" s="35" t="n">
        <f aca="false">IF(OR($A4773="",$Q4773=0,$R4773=-1),0,$Q4773*1000+$R4773*100+$K4773)</f>
        <v>0</v>
      </c>
      <c r="T4773" s="37" t="str">
        <f aca="false">IF($A4773="","",IF($B4773="","NO ACCOUNT",IF($Q4773=0,"UNMAPPED",IF($R4773=-1,"OUTSIDE FY RANGE","OK"))))</f>
        <v/>
      </c>
      <c r="U4773" s="40" t="str">
        <f aca="false">IF($A4773="","",$B4773&amp;"|"&amp;TEXT($A4773,"yyyymmdd")&amp;"|"&amp;TEXT($I4773,"0.00"))</f>
        <v/>
      </c>
      <c r="V4773" s="35" t="str">
        <f aca="false">IF($A4773="","",COUNTIF($U$8:$U$5007,$U4773))</f>
        <v/>
      </c>
    </row>
    <row r="4774" customFormat="false" ht="15" hidden="false" customHeight="false" outlineLevel="0" collapsed="false">
      <c r="A4774" s="31"/>
      <c r="B4774" s="32"/>
      <c r="C4774" s="32"/>
      <c r="D4774" s="32"/>
      <c r="E4774" s="32"/>
      <c r="F4774" s="32"/>
      <c r="G4774" s="33"/>
      <c r="H4774" s="33"/>
      <c r="I4774" s="34" t="str">
        <f aca="false">IF($A4774="","",$G4774-$H4774)</f>
        <v/>
      </c>
      <c r="J4774" s="35" t="str">
        <f aca="false">IF($A4774="","",IF(Setup!$B$6=1,YEAR($A4774),YEAR($A4774)+IF(MONTH($A4774)&gt;=Setup!$B$6,1,0)))</f>
        <v/>
      </c>
      <c r="K4774" s="35" t="str">
        <f aca="false">IF($A4774="","",MOD(MONTH($A4774)-Setup!$B$6+12,12)+1)</f>
        <v/>
      </c>
      <c r="L4774" s="36" t="str">
        <f aca="false">IF($A4774="","",TEXT($A4774,"MMM-YY"))</f>
        <v/>
      </c>
      <c r="M4774" s="37" t="str">
        <f aca="false">IF($A4774="","",IF($Q4774=0,"UNMAPPED",INDEX(COA_Mapping!$C$7:$C$256,$Q4774)))</f>
        <v/>
      </c>
      <c r="N4774" s="38" t="str">
        <f aca="false">IF($A4774="","",IF($Q4774=0,"",INDEX(COA_Mapping!$E$7:$E$256,$Q4774)))</f>
        <v/>
      </c>
      <c r="O4774" s="38" t="n">
        <f aca="false">IF($A4774="",1,IF($Q4774=0,1,INDEX(COA_Mapping!$F$7:$F$256,$Q4774)))</f>
        <v>1</v>
      </c>
      <c r="P4774" s="34" t="str">
        <f aca="false">IF($A4774="","",$I4774*$O4774)</f>
        <v/>
      </c>
      <c r="Q4774" s="39" t="n">
        <f aca="false">IF($B4774="",0,IFERROR(MATCH($B4774,COA_Mapping!$A$7:$A$256,0),0))</f>
        <v>0</v>
      </c>
      <c r="R4774" s="39" t="n">
        <f aca="false">IF($A4774="",-1,IF($J4774=Setup!$B$7,1,IF($J4774=Setup!$B$9,0,-1)))</f>
        <v>-1</v>
      </c>
      <c r="S4774" s="35" t="n">
        <f aca="false">IF(OR($A4774="",$Q4774=0,$R4774=-1),0,$Q4774*1000+$R4774*100+$K4774)</f>
        <v>0</v>
      </c>
      <c r="T4774" s="37" t="str">
        <f aca="false">IF($A4774="","",IF($B4774="","NO ACCOUNT",IF($Q4774=0,"UNMAPPED",IF($R4774=-1,"OUTSIDE FY RANGE","OK"))))</f>
        <v/>
      </c>
      <c r="U4774" s="40" t="str">
        <f aca="false">IF($A4774="","",$B4774&amp;"|"&amp;TEXT($A4774,"yyyymmdd")&amp;"|"&amp;TEXT($I4774,"0.00"))</f>
        <v/>
      </c>
      <c r="V4774" s="35" t="str">
        <f aca="false">IF($A4774="","",COUNTIF($U$8:$U$5007,$U4774))</f>
        <v/>
      </c>
    </row>
    <row r="4775" customFormat="false" ht="15" hidden="false" customHeight="false" outlineLevel="0" collapsed="false">
      <c r="A4775" s="31"/>
      <c r="B4775" s="32"/>
      <c r="C4775" s="32"/>
      <c r="D4775" s="32"/>
      <c r="E4775" s="32"/>
      <c r="F4775" s="32"/>
      <c r="G4775" s="33"/>
      <c r="H4775" s="33"/>
      <c r="I4775" s="34" t="str">
        <f aca="false">IF($A4775="","",$G4775-$H4775)</f>
        <v/>
      </c>
      <c r="J4775" s="35" t="str">
        <f aca="false">IF($A4775="","",IF(Setup!$B$6=1,YEAR($A4775),YEAR($A4775)+IF(MONTH($A4775)&gt;=Setup!$B$6,1,0)))</f>
        <v/>
      </c>
      <c r="K4775" s="35" t="str">
        <f aca="false">IF($A4775="","",MOD(MONTH($A4775)-Setup!$B$6+12,12)+1)</f>
        <v/>
      </c>
      <c r="L4775" s="36" t="str">
        <f aca="false">IF($A4775="","",TEXT($A4775,"MMM-YY"))</f>
        <v/>
      </c>
      <c r="M4775" s="37" t="str">
        <f aca="false">IF($A4775="","",IF($Q4775=0,"UNMAPPED",INDEX(COA_Mapping!$C$7:$C$256,$Q4775)))</f>
        <v/>
      </c>
      <c r="N4775" s="38" t="str">
        <f aca="false">IF($A4775="","",IF($Q4775=0,"",INDEX(COA_Mapping!$E$7:$E$256,$Q4775)))</f>
        <v/>
      </c>
      <c r="O4775" s="38" t="n">
        <f aca="false">IF($A4775="",1,IF($Q4775=0,1,INDEX(COA_Mapping!$F$7:$F$256,$Q4775)))</f>
        <v>1</v>
      </c>
      <c r="P4775" s="34" t="str">
        <f aca="false">IF($A4775="","",$I4775*$O4775)</f>
        <v/>
      </c>
      <c r="Q4775" s="39" t="n">
        <f aca="false">IF($B4775="",0,IFERROR(MATCH($B4775,COA_Mapping!$A$7:$A$256,0),0))</f>
        <v>0</v>
      </c>
      <c r="R4775" s="39" t="n">
        <f aca="false">IF($A4775="",-1,IF($J4775=Setup!$B$7,1,IF($J4775=Setup!$B$9,0,-1)))</f>
        <v>-1</v>
      </c>
      <c r="S4775" s="35" t="n">
        <f aca="false">IF(OR($A4775="",$Q4775=0,$R4775=-1),0,$Q4775*1000+$R4775*100+$K4775)</f>
        <v>0</v>
      </c>
      <c r="T4775" s="37" t="str">
        <f aca="false">IF($A4775="","",IF($B4775="","NO ACCOUNT",IF($Q4775=0,"UNMAPPED",IF($R4775=-1,"OUTSIDE FY RANGE","OK"))))</f>
        <v/>
      </c>
      <c r="U4775" s="40" t="str">
        <f aca="false">IF($A4775="","",$B4775&amp;"|"&amp;TEXT($A4775,"yyyymmdd")&amp;"|"&amp;TEXT($I4775,"0.00"))</f>
        <v/>
      </c>
      <c r="V4775" s="35" t="str">
        <f aca="false">IF($A4775="","",COUNTIF($U$8:$U$5007,$U4775))</f>
        <v/>
      </c>
    </row>
    <row r="4776" customFormat="false" ht="15" hidden="false" customHeight="false" outlineLevel="0" collapsed="false">
      <c r="A4776" s="31"/>
      <c r="B4776" s="32"/>
      <c r="C4776" s="32"/>
      <c r="D4776" s="32"/>
      <c r="E4776" s="32"/>
      <c r="F4776" s="32"/>
      <c r="G4776" s="33"/>
      <c r="H4776" s="33"/>
      <c r="I4776" s="34" t="str">
        <f aca="false">IF($A4776="","",$G4776-$H4776)</f>
        <v/>
      </c>
      <c r="J4776" s="35" t="str">
        <f aca="false">IF($A4776="","",IF(Setup!$B$6=1,YEAR($A4776),YEAR($A4776)+IF(MONTH($A4776)&gt;=Setup!$B$6,1,0)))</f>
        <v/>
      </c>
      <c r="K4776" s="35" t="str">
        <f aca="false">IF($A4776="","",MOD(MONTH($A4776)-Setup!$B$6+12,12)+1)</f>
        <v/>
      </c>
      <c r="L4776" s="36" t="str">
        <f aca="false">IF($A4776="","",TEXT($A4776,"MMM-YY"))</f>
        <v/>
      </c>
      <c r="M4776" s="37" t="str">
        <f aca="false">IF($A4776="","",IF($Q4776=0,"UNMAPPED",INDEX(COA_Mapping!$C$7:$C$256,$Q4776)))</f>
        <v/>
      </c>
      <c r="N4776" s="38" t="str">
        <f aca="false">IF($A4776="","",IF($Q4776=0,"",INDEX(COA_Mapping!$E$7:$E$256,$Q4776)))</f>
        <v/>
      </c>
      <c r="O4776" s="38" t="n">
        <f aca="false">IF($A4776="",1,IF($Q4776=0,1,INDEX(COA_Mapping!$F$7:$F$256,$Q4776)))</f>
        <v>1</v>
      </c>
      <c r="P4776" s="34" t="str">
        <f aca="false">IF($A4776="","",$I4776*$O4776)</f>
        <v/>
      </c>
      <c r="Q4776" s="39" t="n">
        <f aca="false">IF($B4776="",0,IFERROR(MATCH($B4776,COA_Mapping!$A$7:$A$256,0),0))</f>
        <v>0</v>
      </c>
      <c r="R4776" s="39" t="n">
        <f aca="false">IF($A4776="",-1,IF($J4776=Setup!$B$7,1,IF($J4776=Setup!$B$9,0,-1)))</f>
        <v>-1</v>
      </c>
      <c r="S4776" s="35" t="n">
        <f aca="false">IF(OR($A4776="",$Q4776=0,$R4776=-1),0,$Q4776*1000+$R4776*100+$K4776)</f>
        <v>0</v>
      </c>
      <c r="T4776" s="37" t="str">
        <f aca="false">IF($A4776="","",IF($B4776="","NO ACCOUNT",IF($Q4776=0,"UNMAPPED",IF($R4776=-1,"OUTSIDE FY RANGE","OK"))))</f>
        <v/>
      </c>
      <c r="U4776" s="40" t="str">
        <f aca="false">IF($A4776="","",$B4776&amp;"|"&amp;TEXT($A4776,"yyyymmdd")&amp;"|"&amp;TEXT($I4776,"0.00"))</f>
        <v/>
      </c>
      <c r="V4776" s="35" t="str">
        <f aca="false">IF($A4776="","",COUNTIF($U$8:$U$5007,$U4776))</f>
        <v/>
      </c>
    </row>
    <row r="4777" customFormat="false" ht="15" hidden="false" customHeight="false" outlineLevel="0" collapsed="false">
      <c r="A4777" s="31"/>
      <c r="B4777" s="32"/>
      <c r="C4777" s="32"/>
      <c r="D4777" s="32"/>
      <c r="E4777" s="32"/>
      <c r="F4777" s="32"/>
      <c r="G4777" s="33"/>
      <c r="H4777" s="33"/>
      <c r="I4777" s="34" t="str">
        <f aca="false">IF($A4777="","",$G4777-$H4777)</f>
        <v/>
      </c>
      <c r="J4777" s="35" t="str">
        <f aca="false">IF($A4777="","",IF(Setup!$B$6=1,YEAR($A4777),YEAR($A4777)+IF(MONTH($A4777)&gt;=Setup!$B$6,1,0)))</f>
        <v/>
      </c>
      <c r="K4777" s="35" t="str">
        <f aca="false">IF($A4777="","",MOD(MONTH($A4777)-Setup!$B$6+12,12)+1)</f>
        <v/>
      </c>
      <c r="L4777" s="36" t="str">
        <f aca="false">IF($A4777="","",TEXT($A4777,"MMM-YY"))</f>
        <v/>
      </c>
      <c r="M4777" s="37" t="str">
        <f aca="false">IF($A4777="","",IF($Q4777=0,"UNMAPPED",INDEX(COA_Mapping!$C$7:$C$256,$Q4777)))</f>
        <v/>
      </c>
      <c r="N4777" s="38" t="str">
        <f aca="false">IF($A4777="","",IF($Q4777=0,"",INDEX(COA_Mapping!$E$7:$E$256,$Q4777)))</f>
        <v/>
      </c>
      <c r="O4777" s="38" t="n">
        <f aca="false">IF($A4777="",1,IF($Q4777=0,1,INDEX(COA_Mapping!$F$7:$F$256,$Q4777)))</f>
        <v>1</v>
      </c>
      <c r="P4777" s="34" t="str">
        <f aca="false">IF($A4777="","",$I4777*$O4777)</f>
        <v/>
      </c>
      <c r="Q4777" s="39" t="n">
        <f aca="false">IF($B4777="",0,IFERROR(MATCH($B4777,COA_Mapping!$A$7:$A$256,0),0))</f>
        <v>0</v>
      </c>
      <c r="R4777" s="39" t="n">
        <f aca="false">IF($A4777="",-1,IF($J4777=Setup!$B$7,1,IF($J4777=Setup!$B$9,0,-1)))</f>
        <v>-1</v>
      </c>
      <c r="S4777" s="35" t="n">
        <f aca="false">IF(OR($A4777="",$Q4777=0,$R4777=-1),0,$Q4777*1000+$R4777*100+$K4777)</f>
        <v>0</v>
      </c>
      <c r="T4777" s="37" t="str">
        <f aca="false">IF($A4777="","",IF($B4777="","NO ACCOUNT",IF($Q4777=0,"UNMAPPED",IF($R4777=-1,"OUTSIDE FY RANGE","OK"))))</f>
        <v/>
      </c>
      <c r="U4777" s="40" t="str">
        <f aca="false">IF($A4777="","",$B4777&amp;"|"&amp;TEXT($A4777,"yyyymmdd")&amp;"|"&amp;TEXT($I4777,"0.00"))</f>
        <v/>
      </c>
      <c r="V4777" s="35" t="str">
        <f aca="false">IF($A4777="","",COUNTIF($U$8:$U$5007,$U4777))</f>
        <v/>
      </c>
    </row>
    <row r="4778" customFormat="false" ht="15" hidden="false" customHeight="false" outlineLevel="0" collapsed="false">
      <c r="A4778" s="31"/>
      <c r="B4778" s="32"/>
      <c r="C4778" s="32"/>
      <c r="D4778" s="32"/>
      <c r="E4778" s="32"/>
      <c r="F4778" s="32"/>
      <c r="G4778" s="33"/>
      <c r="H4778" s="33"/>
      <c r="I4778" s="34" t="str">
        <f aca="false">IF($A4778="","",$G4778-$H4778)</f>
        <v/>
      </c>
      <c r="J4778" s="35" t="str">
        <f aca="false">IF($A4778="","",IF(Setup!$B$6=1,YEAR($A4778),YEAR($A4778)+IF(MONTH($A4778)&gt;=Setup!$B$6,1,0)))</f>
        <v/>
      </c>
      <c r="K4778" s="35" t="str">
        <f aca="false">IF($A4778="","",MOD(MONTH($A4778)-Setup!$B$6+12,12)+1)</f>
        <v/>
      </c>
      <c r="L4778" s="36" t="str">
        <f aca="false">IF($A4778="","",TEXT($A4778,"MMM-YY"))</f>
        <v/>
      </c>
      <c r="M4778" s="37" t="str">
        <f aca="false">IF($A4778="","",IF($Q4778=0,"UNMAPPED",INDEX(COA_Mapping!$C$7:$C$256,$Q4778)))</f>
        <v/>
      </c>
      <c r="N4778" s="38" t="str">
        <f aca="false">IF($A4778="","",IF($Q4778=0,"",INDEX(COA_Mapping!$E$7:$E$256,$Q4778)))</f>
        <v/>
      </c>
      <c r="O4778" s="38" t="n">
        <f aca="false">IF($A4778="",1,IF($Q4778=0,1,INDEX(COA_Mapping!$F$7:$F$256,$Q4778)))</f>
        <v>1</v>
      </c>
      <c r="P4778" s="34" t="str">
        <f aca="false">IF($A4778="","",$I4778*$O4778)</f>
        <v/>
      </c>
      <c r="Q4778" s="39" t="n">
        <f aca="false">IF($B4778="",0,IFERROR(MATCH($B4778,COA_Mapping!$A$7:$A$256,0),0))</f>
        <v>0</v>
      </c>
      <c r="R4778" s="39" t="n">
        <f aca="false">IF($A4778="",-1,IF($J4778=Setup!$B$7,1,IF($J4778=Setup!$B$9,0,-1)))</f>
        <v>-1</v>
      </c>
      <c r="S4778" s="35" t="n">
        <f aca="false">IF(OR($A4778="",$Q4778=0,$R4778=-1),0,$Q4778*1000+$R4778*100+$K4778)</f>
        <v>0</v>
      </c>
      <c r="T4778" s="37" t="str">
        <f aca="false">IF($A4778="","",IF($B4778="","NO ACCOUNT",IF($Q4778=0,"UNMAPPED",IF($R4778=-1,"OUTSIDE FY RANGE","OK"))))</f>
        <v/>
      </c>
      <c r="U4778" s="40" t="str">
        <f aca="false">IF($A4778="","",$B4778&amp;"|"&amp;TEXT($A4778,"yyyymmdd")&amp;"|"&amp;TEXT($I4778,"0.00"))</f>
        <v/>
      </c>
      <c r="V4778" s="35" t="str">
        <f aca="false">IF($A4778="","",COUNTIF($U$8:$U$5007,$U4778))</f>
        <v/>
      </c>
    </row>
    <row r="4779" customFormat="false" ht="15" hidden="false" customHeight="false" outlineLevel="0" collapsed="false">
      <c r="A4779" s="31"/>
      <c r="B4779" s="32"/>
      <c r="C4779" s="32"/>
      <c r="D4779" s="32"/>
      <c r="E4779" s="32"/>
      <c r="F4779" s="32"/>
      <c r="G4779" s="33"/>
      <c r="H4779" s="33"/>
      <c r="I4779" s="34" t="str">
        <f aca="false">IF($A4779="","",$G4779-$H4779)</f>
        <v/>
      </c>
      <c r="J4779" s="35" t="str">
        <f aca="false">IF($A4779="","",IF(Setup!$B$6=1,YEAR($A4779),YEAR($A4779)+IF(MONTH($A4779)&gt;=Setup!$B$6,1,0)))</f>
        <v/>
      </c>
      <c r="K4779" s="35" t="str">
        <f aca="false">IF($A4779="","",MOD(MONTH($A4779)-Setup!$B$6+12,12)+1)</f>
        <v/>
      </c>
      <c r="L4779" s="36" t="str">
        <f aca="false">IF($A4779="","",TEXT($A4779,"MMM-YY"))</f>
        <v/>
      </c>
      <c r="M4779" s="37" t="str">
        <f aca="false">IF($A4779="","",IF($Q4779=0,"UNMAPPED",INDEX(COA_Mapping!$C$7:$C$256,$Q4779)))</f>
        <v/>
      </c>
      <c r="N4779" s="38" t="str">
        <f aca="false">IF($A4779="","",IF($Q4779=0,"",INDEX(COA_Mapping!$E$7:$E$256,$Q4779)))</f>
        <v/>
      </c>
      <c r="O4779" s="38" t="n">
        <f aca="false">IF($A4779="",1,IF($Q4779=0,1,INDEX(COA_Mapping!$F$7:$F$256,$Q4779)))</f>
        <v>1</v>
      </c>
      <c r="P4779" s="34" t="str">
        <f aca="false">IF($A4779="","",$I4779*$O4779)</f>
        <v/>
      </c>
      <c r="Q4779" s="39" t="n">
        <f aca="false">IF($B4779="",0,IFERROR(MATCH($B4779,COA_Mapping!$A$7:$A$256,0),0))</f>
        <v>0</v>
      </c>
      <c r="R4779" s="39" t="n">
        <f aca="false">IF($A4779="",-1,IF($J4779=Setup!$B$7,1,IF($J4779=Setup!$B$9,0,-1)))</f>
        <v>-1</v>
      </c>
      <c r="S4779" s="35" t="n">
        <f aca="false">IF(OR($A4779="",$Q4779=0,$R4779=-1),0,$Q4779*1000+$R4779*100+$K4779)</f>
        <v>0</v>
      </c>
      <c r="T4779" s="37" t="str">
        <f aca="false">IF($A4779="","",IF($B4779="","NO ACCOUNT",IF($Q4779=0,"UNMAPPED",IF($R4779=-1,"OUTSIDE FY RANGE","OK"))))</f>
        <v/>
      </c>
      <c r="U4779" s="40" t="str">
        <f aca="false">IF($A4779="","",$B4779&amp;"|"&amp;TEXT($A4779,"yyyymmdd")&amp;"|"&amp;TEXT($I4779,"0.00"))</f>
        <v/>
      </c>
      <c r="V4779" s="35" t="str">
        <f aca="false">IF($A4779="","",COUNTIF($U$8:$U$5007,$U4779))</f>
        <v/>
      </c>
    </row>
    <row r="4780" customFormat="false" ht="15" hidden="false" customHeight="false" outlineLevel="0" collapsed="false">
      <c r="A4780" s="31"/>
      <c r="B4780" s="32"/>
      <c r="C4780" s="32"/>
      <c r="D4780" s="32"/>
      <c r="E4780" s="32"/>
      <c r="F4780" s="32"/>
      <c r="G4780" s="33"/>
      <c r="H4780" s="33"/>
      <c r="I4780" s="34" t="str">
        <f aca="false">IF($A4780="","",$G4780-$H4780)</f>
        <v/>
      </c>
      <c r="J4780" s="35" t="str">
        <f aca="false">IF($A4780="","",IF(Setup!$B$6=1,YEAR($A4780),YEAR($A4780)+IF(MONTH($A4780)&gt;=Setup!$B$6,1,0)))</f>
        <v/>
      </c>
      <c r="K4780" s="35" t="str">
        <f aca="false">IF($A4780="","",MOD(MONTH($A4780)-Setup!$B$6+12,12)+1)</f>
        <v/>
      </c>
      <c r="L4780" s="36" t="str">
        <f aca="false">IF($A4780="","",TEXT($A4780,"MMM-YY"))</f>
        <v/>
      </c>
      <c r="M4780" s="37" t="str">
        <f aca="false">IF($A4780="","",IF($Q4780=0,"UNMAPPED",INDEX(COA_Mapping!$C$7:$C$256,$Q4780)))</f>
        <v/>
      </c>
      <c r="N4780" s="38" t="str">
        <f aca="false">IF($A4780="","",IF($Q4780=0,"",INDEX(COA_Mapping!$E$7:$E$256,$Q4780)))</f>
        <v/>
      </c>
      <c r="O4780" s="38" t="n">
        <f aca="false">IF($A4780="",1,IF($Q4780=0,1,INDEX(COA_Mapping!$F$7:$F$256,$Q4780)))</f>
        <v>1</v>
      </c>
      <c r="P4780" s="34" t="str">
        <f aca="false">IF($A4780="","",$I4780*$O4780)</f>
        <v/>
      </c>
      <c r="Q4780" s="39" t="n">
        <f aca="false">IF($B4780="",0,IFERROR(MATCH($B4780,COA_Mapping!$A$7:$A$256,0),0))</f>
        <v>0</v>
      </c>
      <c r="R4780" s="39" t="n">
        <f aca="false">IF($A4780="",-1,IF($J4780=Setup!$B$7,1,IF($J4780=Setup!$B$9,0,-1)))</f>
        <v>-1</v>
      </c>
      <c r="S4780" s="35" t="n">
        <f aca="false">IF(OR($A4780="",$Q4780=0,$R4780=-1),0,$Q4780*1000+$R4780*100+$K4780)</f>
        <v>0</v>
      </c>
      <c r="T4780" s="37" t="str">
        <f aca="false">IF($A4780="","",IF($B4780="","NO ACCOUNT",IF($Q4780=0,"UNMAPPED",IF($R4780=-1,"OUTSIDE FY RANGE","OK"))))</f>
        <v/>
      </c>
      <c r="U4780" s="40" t="str">
        <f aca="false">IF($A4780="","",$B4780&amp;"|"&amp;TEXT($A4780,"yyyymmdd")&amp;"|"&amp;TEXT($I4780,"0.00"))</f>
        <v/>
      </c>
      <c r="V4780" s="35" t="str">
        <f aca="false">IF($A4780="","",COUNTIF($U$8:$U$5007,$U4780))</f>
        <v/>
      </c>
    </row>
    <row r="4781" customFormat="false" ht="15" hidden="false" customHeight="false" outlineLevel="0" collapsed="false">
      <c r="A4781" s="31"/>
      <c r="B4781" s="32"/>
      <c r="C4781" s="32"/>
      <c r="D4781" s="32"/>
      <c r="E4781" s="32"/>
      <c r="F4781" s="32"/>
      <c r="G4781" s="33"/>
      <c r="H4781" s="33"/>
      <c r="I4781" s="34" t="str">
        <f aca="false">IF($A4781="","",$G4781-$H4781)</f>
        <v/>
      </c>
      <c r="J4781" s="35" t="str">
        <f aca="false">IF($A4781="","",IF(Setup!$B$6=1,YEAR($A4781),YEAR($A4781)+IF(MONTH($A4781)&gt;=Setup!$B$6,1,0)))</f>
        <v/>
      </c>
      <c r="K4781" s="35" t="str">
        <f aca="false">IF($A4781="","",MOD(MONTH($A4781)-Setup!$B$6+12,12)+1)</f>
        <v/>
      </c>
      <c r="L4781" s="36" t="str">
        <f aca="false">IF($A4781="","",TEXT($A4781,"MMM-YY"))</f>
        <v/>
      </c>
      <c r="M4781" s="37" t="str">
        <f aca="false">IF($A4781="","",IF($Q4781=0,"UNMAPPED",INDEX(COA_Mapping!$C$7:$C$256,$Q4781)))</f>
        <v/>
      </c>
      <c r="N4781" s="38" t="str">
        <f aca="false">IF($A4781="","",IF($Q4781=0,"",INDEX(COA_Mapping!$E$7:$E$256,$Q4781)))</f>
        <v/>
      </c>
      <c r="O4781" s="38" t="n">
        <f aca="false">IF($A4781="",1,IF($Q4781=0,1,INDEX(COA_Mapping!$F$7:$F$256,$Q4781)))</f>
        <v>1</v>
      </c>
      <c r="P4781" s="34" t="str">
        <f aca="false">IF($A4781="","",$I4781*$O4781)</f>
        <v/>
      </c>
      <c r="Q4781" s="39" t="n">
        <f aca="false">IF($B4781="",0,IFERROR(MATCH($B4781,COA_Mapping!$A$7:$A$256,0),0))</f>
        <v>0</v>
      </c>
      <c r="R4781" s="39" t="n">
        <f aca="false">IF($A4781="",-1,IF($J4781=Setup!$B$7,1,IF($J4781=Setup!$B$9,0,-1)))</f>
        <v>-1</v>
      </c>
      <c r="S4781" s="35" t="n">
        <f aca="false">IF(OR($A4781="",$Q4781=0,$R4781=-1),0,$Q4781*1000+$R4781*100+$K4781)</f>
        <v>0</v>
      </c>
      <c r="T4781" s="37" t="str">
        <f aca="false">IF($A4781="","",IF($B4781="","NO ACCOUNT",IF($Q4781=0,"UNMAPPED",IF($R4781=-1,"OUTSIDE FY RANGE","OK"))))</f>
        <v/>
      </c>
      <c r="U4781" s="40" t="str">
        <f aca="false">IF($A4781="","",$B4781&amp;"|"&amp;TEXT($A4781,"yyyymmdd")&amp;"|"&amp;TEXT($I4781,"0.00"))</f>
        <v/>
      </c>
      <c r="V4781" s="35" t="str">
        <f aca="false">IF($A4781="","",COUNTIF($U$8:$U$5007,$U4781))</f>
        <v/>
      </c>
    </row>
    <row r="4782" customFormat="false" ht="15" hidden="false" customHeight="false" outlineLevel="0" collapsed="false">
      <c r="A4782" s="31"/>
      <c r="B4782" s="32"/>
      <c r="C4782" s="32"/>
      <c r="D4782" s="32"/>
      <c r="E4782" s="32"/>
      <c r="F4782" s="32"/>
      <c r="G4782" s="33"/>
      <c r="H4782" s="33"/>
      <c r="I4782" s="34" t="str">
        <f aca="false">IF($A4782="","",$G4782-$H4782)</f>
        <v/>
      </c>
      <c r="J4782" s="35" t="str">
        <f aca="false">IF($A4782="","",IF(Setup!$B$6=1,YEAR($A4782),YEAR($A4782)+IF(MONTH($A4782)&gt;=Setup!$B$6,1,0)))</f>
        <v/>
      </c>
      <c r="K4782" s="35" t="str">
        <f aca="false">IF($A4782="","",MOD(MONTH($A4782)-Setup!$B$6+12,12)+1)</f>
        <v/>
      </c>
      <c r="L4782" s="36" t="str">
        <f aca="false">IF($A4782="","",TEXT($A4782,"MMM-YY"))</f>
        <v/>
      </c>
      <c r="M4782" s="37" t="str">
        <f aca="false">IF($A4782="","",IF($Q4782=0,"UNMAPPED",INDEX(COA_Mapping!$C$7:$C$256,$Q4782)))</f>
        <v/>
      </c>
      <c r="N4782" s="38" t="str">
        <f aca="false">IF($A4782="","",IF($Q4782=0,"",INDEX(COA_Mapping!$E$7:$E$256,$Q4782)))</f>
        <v/>
      </c>
      <c r="O4782" s="38" t="n">
        <f aca="false">IF($A4782="",1,IF($Q4782=0,1,INDEX(COA_Mapping!$F$7:$F$256,$Q4782)))</f>
        <v>1</v>
      </c>
      <c r="P4782" s="34" t="str">
        <f aca="false">IF($A4782="","",$I4782*$O4782)</f>
        <v/>
      </c>
      <c r="Q4782" s="39" t="n">
        <f aca="false">IF($B4782="",0,IFERROR(MATCH($B4782,COA_Mapping!$A$7:$A$256,0),0))</f>
        <v>0</v>
      </c>
      <c r="R4782" s="39" t="n">
        <f aca="false">IF($A4782="",-1,IF($J4782=Setup!$B$7,1,IF($J4782=Setup!$B$9,0,-1)))</f>
        <v>-1</v>
      </c>
      <c r="S4782" s="35" t="n">
        <f aca="false">IF(OR($A4782="",$Q4782=0,$R4782=-1),0,$Q4782*1000+$R4782*100+$K4782)</f>
        <v>0</v>
      </c>
      <c r="T4782" s="37" t="str">
        <f aca="false">IF($A4782="","",IF($B4782="","NO ACCOUNT",IF($Q4782=0,"UNMAPPED",IF($R4782=-1,"OUTSIDE FY RANGE","OK"))))</f>
        <v/>
      </c>
      <c r="U4782" s="40" t="str">
        <f aca="false">IF($A4782="","",$B4782&amp;"|"&amp;TEXT($A4782,"yyyymmdd")&amp;"|"&amp;TEXT($I4782,"0.00"))</f>
        <v/>
      </c>
      <c r="V4782" s="35" t="str">
        <f aca="false">IF($A4782="","",COUNTIF($U$8:$U$5007,$U4782))</f>
        <v/>
      </c>
    </row>
    <row r="4783" customFormat="false" ht="15" hidden="false" customHeight="false" outlineLevel="0" collapsed="false">
      <c r="A4783" s="31"/>
      <c r="B4783" s="32"/>
      <c r="C4783" s="32"/>
      <c r="D4783" s="32"/>
      <c r="E4783" s="32"/>
      <c r="F4783" s="32"/>
      <c r="G4783" s="33"/>
      <c r="H4783" s="33"/>
      <c r="I4783" s="34" t="str">
        <f aca="false">IF($A4783="","",$G4783-$H4783)</f>
        <v/>
      </c>
      <c r="J4783" s="35" t="str">
        <f aca="false">IF($A4783="","",IF(Setup!$B$6=1,YEAR($A4783),YEAR($A4783)+IF(MONTH($A4783)&gt;=Setup!$B$6,1,0)))</f>
        <v/>
      </c>
      <c r="K4783" s="35" t="str">
        <f aca="false">IF($A4783="","",MOD(MONTH($A4783)-Setup!$B$6+12,12)+1)</f>
        <v/>
      </c>
      <c r="L4783" s="36" t="str">
        <f aca="false">IF($A4783="","",TEXT($A4783,"MMM-YY"))</f>
        <v/>
      </c>
      <c r="M4783" s="37" t="str">
        <f aca="false">IF($A4783="","",IF($Q4783=0,"UNMAPPED",INDEX(COA_Mapping!$C$7:$C$256,$Q4783)))</f>
        <v/>
      </c>
      <c r="N4783" s="38" t="str">
        <f aca="false">IF($A4783="","",IF($Q4783=0,"",INDEX(COA_Mapping!$E$7:$E$256,$Q4783)))</f>
        <v/>
      </c>
      <c r="O4783" s="38" t="n">
        <f aca="false">IF($A4783="",1,IF($Q4783=0,1,INDEX(COA_Mapping!$F$7:$F$256,$Q4783)))</f>
        <v>1</v>
      </c>
      <c r="P4783" s="34" t="str">
        <f aca="false">IF($A4783="","",$I4783*$O4783)</f>
        <v/>
      </c>
      <c r="Q4783" s="39" t="n">
        <f aca="false">IF($B4783="",0,IFERROR(MATCH($B4783,COA_Mapping!$A$7:$A$256,0),0))</f>
        <v>0</v>
      </c>
      <c r="R4783" s="39" t="n">
        <f aca="false">IF($A4783="",-1,IF($J4783=Setup!$B$7,1,IF($J4783=Setup!$B$9,0,-1)))</f>
        <v>-1</v>
      </c>
      <c r="S4783" s="35" t="n">
        <f aca="false">IF(OR($A4783="",$Q4783=0,$R4783=-1),0,$Q4783*1000+$R4783*100+$K4783)</f>
        <v>0</v>
      </c>
      <c r="T4783" s="37" t="str">
        <f aca="false">IF($A4783="","",IF($B4783="","NO ACCOUNT",IF($Q4783=0,"UNMAPPED",IF($R4783=-1,"OUTSIDE FY RANGE","OK"))))</f>
        <v/>
      </c>
      <c r="U4783" s="40" t="str">
        <f aca="false">IF($A4783="","",$B4783&amp;"|"&amp;TEXT($A4783,"yyyymmdd")&amp;"|"&amp;TEXT($I4783,"0.00"))</f>
        <v/>
      </c>
      <c r="V4783" s="35" t="str">
        <f aca="false">IF($A4783="","",COUNTIF($U$8:$U$5007,$U4783))</f>
        <v/>
      </c>
    </row>
    <row r="4784" customFormat="false" ht="15" hidden="false" customHeight="false" outlineLevel="0" collapsed="false">
      <c r="A4784" s="31"/>
      <c r="B4784" s="32"/>
      <c r="C4784" s="32"/>
      <c r="D4784" s="32"/>
      <c r="E4784" s="32"/>
      <c r="F4784" s="32"/>
      <c r="G4784" s="33"/>
      <c r="H4784" s="33"/>
      <c r="I4784" s="34" t="str">
        <f aca="false">IF($A4784="","",$G4784-$H4784)</f>
        <v/>
      </c>
      <c r="J4784" s="35" t="str">
        <f aca="false">IF($A4784="","",IF(Setup!$B$6=1,YEAR($A4784),YEAR($A4784)+IF(MONTH($A4784)&gt;=Setup!$B$6,1,0)))</f>
        <v/>
      </c>
      <c r="K4784" s="35" t="str">
        <f aca="false">IF($A4784="","",MOD(MONTH($A4784)-Setup!$B$6+12,12)+1)</f>
        <v/>
      </c>
      <c r="L4784" s="36" t="str">
        <f aca="false">IF($A4784="","",TEXT($A4784,"MMM-YY"))</f>
        <v/>
      </c>
      <c r="M4784" s="37" t="str">
        <f aca="false">IF($A4784="","",IF($Q4784=0,"UNMAPPED",INDEX(COA_Mapping!$C$7:$C$256,$Q4784)))</f>
        <v/>
      </c>
      <c r="N4784" s="38" t="str">
        <f aca="false">IF($A4784="","",IF($Q4784=0,"",INDEX(COA_Mapping!$E$7:$E$256,$Q4784)))</f>
        <v/>
      </c>
      <c r="O4784" s="38" t="n">
        <f aca="false">IF($A4784="",1,IF($Q4784=0,1,INDEX(COA_Mapping!$F$7:$F$256,$Q4784)))</f>
        <v>1</v>
      </c>
      <c r="P4784" s="34" t="str">
        <f aca="false">IF($A4784="","",$I4784*$O4784)</f>
        <v/>
      </c>
      <c r="Q4784" s="39" t="n">
        <f aca="false">IF($B4784="",0,IFERROR(MATCH($B4784,COA_Mapping!$A$7:$A$256,0),0))</f>
        <v>0</v>
      </c>
      <c r="R4784" s="39" t="n">
        <f aca="false">IF($A4784="",-1,IF($J4784=Setup!$B$7,1,IF($J4784=Setup!$B$9,0,-1)))</f>
        <v>-1</v>
      </c>
      <c r="S4784" s="35" t="n">
        <f aca="false">IF(OR($A4784="",$Q4784=0,$R4784=-1),0,$Q4784*1000+$R4784*100+$K4784)</f>
        <v>0</v>
      </c>
      <c r="T4784" s="37" t="str">
        <f aca="false">IF($A4784="","",IF($B4784="","NO ACCOUNT",IF($Q4784=0,"UNMAPPED",IF($R4784=-1,"OUTSIDE FY RANGE","OK"))))</f>
        <v/>
      </c>
      <c r="U4784" s="40" t="str">
        <f aca="false">IF($A4784="","",$B4784&amp;"|"&amp;TEXT($A4784,"yyyymmdd")&amp;"|"&amp;TEXT($I4784,"0.00"))</f>
        <v/>
      </c>
      <c r="V4784" s="35" t="str">
        <f aca="false">IF($A4784="","",COUNTIF($U$8:$U$5007,$U4784))</f>
        <v/>
      </c>
    </row>
    <row r="4785" customFormat="false" ht="15" hidden="false" customHeight="false" outlineLevel="0" collapsed="false">
      <c r="A4785" s="31"/>
      <c r="B4785" s="32"/>
      <c r="C4785" s="32"/>
      <c r="D4785" s="32"/>
      <c r="E4785" s="32"/>
      <c r="F4785" s="32"/>
      <c r="G4785" s="33"/>
      <c r="H4785" s="33"/>
      <c r="I4785" s="34" t="str">
        <f aca="false">IF($A4785="","",$G4785-$H4785)</f>
        <v/>
      </c>
      <c r="J4785" s="35" t="str">
        <f aca="false">IF($A4785="","",IF(Setup!$B$6=1,YEAR($A4785),YEAR($A4785)+IF(MONTH($A4785)&gt;=Setup!$B$6,1,0)))</f>
        <v/>
      </c>
      <c r="K4785" s="35" t="str">
        <f aca="false">IF($A4785="","",MOD(MONTH($A4785)-Setup!$B$6+12,12)+1)</f>
        <v/>
      </c>
      <c r="L4785" s="36" t="str">
        <f aca="false">IF($A4785="","",TEXT($A4785,"MMM-YY"))</f>
        <v/>
      </c>
      <c r="M4785" s="37" t="str">
        <f aca="false">IF($A4785="","",IF($Q4785=0,"UNMAPPED",INDEX(COA_Mapping!$C$7:$C$256,$Q4785)))</f>
        <v/>
      </c>
      <c r="N4785" s="38" t="str">
        <f aca="false">IF($A4785="","",IF($Q4785=0,"",INDEX(COA_Mapping!$E$7:$E$256,$Q4785)))</f>
        <v/>
      </c>
      <c r="O4785" s="38" t="n">
        <f aca="false">IF($A4785="",1,IF($Q4785=0,1,INDEX(COA_Mapping!$F$7:$F$256,$Q4785)))</f>
        <v>1</v>
      </c>
      <c r="P4785" s="34" t="str">
        <f aca="false">IF($A4785="","",$I4785*$O4785)</f>
        <v/>
      </c>
      <c r="Q4785" s="39" t="n">
        <f aca="false">IF($B4785="",0,IFERROR(MATCH($B4785,COA_Mapping!$A$7:$A$256,0),0))</f>
        <v>0</v>
      </c>
      <c r="R4785" s="39" t="n">
        <f aca="false">IF($A4785="",-1,IF($J4785=Setup!$B$7,1,IF($J4785=Setup!$B$9,0,-1)))</f>
        <v>-1</v>
      </c>
      <c r="S4785" s="35" t="n">
        <f aca="false">IF(OR($A4785="",$Q4785=0,$R4785=-1),0,$Q4785*1000+$R4785*100+$K4785)</f>
        <v>0</v>
      </c>
      <c r="T4785" s="37" t="str">
        <f aca="false">IF($A4785="","",IF($B4785="","NO ACCOUNT",IF($Q4785=0,"UNMAPPED",IF($R4785=-1,"OUTSIDE FY RANGE","OK"))))</f>
        <v/>
      </c>
      <c r="U4785" s="40" t="str">
        <f aca="false">IF($A4785="","",$B4785&amp;"|"&amp;TEXT($A4785,"yyyymmdd")&amp;"|"&amp;TEXT($I4785,"0.00"))</f>
        <v/>
      </c>
      <c r="V4785" s="35" t="str">
        <f aca="false">IF($A4785="","",COUNTIF($U$8:$U$5007,$U4785))</f>
        <v/>
      </c>
    </row>
    <row r="4786" customFormat="false" ht="15" hidden="false" customHeight="false" outlineLevel="0" collapsed="false">
      <c r="A4786" s="31"/>
      <c r="B4786" s="32"/>
      <c r="C4786" s="32"/>
      <c r="D4786" s="32"/>
      <c r="E4786" s="32"/>
      <c r="F4786" s="32"/>
      <c r="G4786" s="33"/>
      <c r="H4786" s="33"/>
      <c r="I4786" s="34" t="str">
        <f aca="false">IF($A4786="","",$G4786-$H4786)</f>
        <v/>
      </c>
      <c r="J4786" s="35" t="str">
        <f aca="false">IF($A4786="","",IF(Setup!$B$6=1,YEAR($A4786),YEAR($A4786)+IF(MONTH($A4786)&gt;=Setup!$B$6,1,0)))</f>
        <v/>
      </c>
      <c r="K4786" s="35" t="str">
        <f aca="false">IF($A4786="","",MOD(MONTH($A4786)-Setup!$B$6+12,12)+1)</f>
        <v/>
      </c>
      <c r="L4786" s="36" t="str">
        <f aca="false">IF($A4786="","",TEXT($A4786,"MMM-YY"))</f>
        <v/>
      </c>
      <c r="M4786" s="37" t="str">
        <f aca="false">IF($A4786="","",IF($Q4786=0,"UNMAPPED",INDEX(COA_Mapping!$C$7:$C$256,$Q4786)))</f>
        <v/>
      </c>
      <c r="N4786" s="38" t="str">
        <f aca="false">IF($A4786="","",IF($Q4786=0,"",INDEX(COA_Mapping!$E$7:$E$256,$Q4786)))</f>
        <v/>
      </c>
      <c r="O4786" s="38" t="n">
        <f aca="false">IF($A4786="",1,IF($Q4786=0,1,INDEX(COA_Mapping!$F$7:$F$256,$Q4786)))</f>
        <v>1</v>
      </c>
      <c r="P4786" s="34" t="str">
        <f aca="false">IF($A4786="","",$I4786*$O4786)</f>
        <v/>
      </c>
      <c r="Q4786" s="39" t="n">
        <f aca="false">IF($B4786="",0,IFERROR(MATCH($B4786,COA_Mapping!$A$7:$A$256,0),0))</f>
        <v>0</v>
      </c>
      <c r="R4786" s="39" t="n">
        <f aca="false">IF($A4786="",-1,IF($J4786=Setup!$B$7,1,IF($J4786=Setup!$B$9,0,-1)))</f>
        <v>-1</v>
      </c>
      <c r="S4786" s="35" t="n">
        <f aca="false">IF(OR($A4786="",$Q4786=0,$R4786=-1),0,$Q4786*1000+$R4786*100+$K4786)</f>
        <v>0</v>
      </c>
      <c r="T4786" s="37" t="str">
        <f aca="false">IF($A4786="","",IF($B4786="","NO ACCOUNT",IF($Q4786=0,"UNMAPPED",IF($R4786=-1,"OUTSIDE FY RANGE","OK"))))</f>
        <v/>
      </c>
      <c r="U4786" s="40" t="str">
        <f aca="false">IF($A4786="","",$B4786&amp;"|"&amp;TEXT($A4786,"yyyymmdd")&amp;"|"&amp;TEXT($I4786,"0.00"))</f>
        <v/>
      </c>
      <c r="V4786" s="35" t="str">
        <f aca="false">IF($A4786="","",COUNTIF($U$8:$U$5007,$U4786))</f>
        <v/>
      </c>
    </row>
    <row r="4787" customFormat="false" ht="15" hidden="false" customHeight="false" outlineLevel="0" collapsed="false">
      <c r="A4787" s="31"/>
      <c r="B4787" s="32"/>
      <c r="C4787" s="32"/>
      <c r="D4787" s="32"/>
      <c r="E4787" s="32"/>
      <c r="F4787" s="32"/>
      <c r="G4787" s="33"/>
      <c r="H4787" s="33"/>
      <c r="I4787" s="34" t="str">
        <f aca="false">IF($A4787="","",$G4787-$H4787)</f>
        <v/>
      </c>
      <c r="J4787" s="35" t="str">
        <f aca="false">IF($A4787="","",IF(Setup!$B$6=1,YEAR($A4787),YEAR($A4787)+IF(MONTH($A4787)&gt;=Setup!$B$6,1,0)))</f>
        <v/>
      </c>
      <c r="K4787" s="35" t="str">
        <f aca="false">IF($A4787="","",MOD(MONTH($A4787)-Setup!$B$6+12,12)+1)</f>
        <v/>
      </c>
      <c r="L4787" s="36" t="str">
        <f aca="false">IF($A4787="","",TEXT($A4787,"MMM-YY"))</f>
        <v/>
      </c>
      <c r="M4787" s="37" t="str">
        <f aca="false">IF($A4787="","",IF($Q4787=0,"UNMAPPED",INDEX(COA_Mapping!$C$7:$C$256,$Q4787)))</f>
        <v/>
      </c>
      <c r="N4787" s="38" t="str">
        <f aca="false">IF($A4787="","",IF($Q4787=0,"",INDEX(COA_Mapping!$E$7:$E$256,$Q4787)))</f>
        <v/>
      </c>
      <c r="O4787" s="38" t="n">
        <f aca="false">IF($A4787="",1,IF($Q4787=0,1,INDEX(COA_Mapping!$F$7:$F$256,$Q4787)))</f>
        <v>1</v>
      </c>
      <c r="P4787" s="34" t="str">
        <f aca="false">IF($A4787="","",$I4787*$O4787)</f>
        <v/>
      </c>
      <c r="Q4787" s="39" t="n">
        <f aca="false">IF($B4787="",0,IFERROR(MATCH($B4787,COA_Mapping!$A$7:$A$256,0),0))</f>
        <v>0</v>
      </c>
      <c r="R4787" s="39" t="n">
        <f aca="false">IF($A4787="",-1,IF($J4787=Setup!$B$7,1,IF($J4787=Setup!$B$9,0,-1)))</f>
        <v>-1</v>
      </c>
      <c r="S4787" s="35" t="n">
        <f aca="false">IF(OR($A4787="",$Q4787=0,$R4787=-1),0,$Q4787*1000+$R4787*100+$K4787)</f>
        <v>0</v>
      </c>
      <c r="T4787" s="37" t="str">
        <f aca="false">IF($A4787="","",IF($B4787="","NO ACCOUNT",IF($Q4787=0,"UNMAPPED",IF($R4787=-1,"OUTSIDE FY RANGE","OK"))))</f>
        <v/>
      </c>
      <c r="U4787" s="40" t="str">
        <f aca="false">IF($A4787="","",$B4787&amp;"|"&amp;TEXT($A4787,"yyyymmdd")&amp;"|"&amp;TEXT($I4787,"0.00"))</f>
        <v/>
      </c>
      <c r="V4787" s="35" t="str">
        <f aca="false">IF($A4787="","",COUNTIF($U$8:$U$5007,$U4787))</f>
        <v/>
      </c>
    </row>
    <row r="4788" customFormat="false" ht="15" hidden="false" customHeight="false" outlineLevel="0" collapsed="false">
      <c r="A4788" s="31"/>
      <c r="B4788" s="32"/>
      <c r="C4788" s="32"/>
      <c r="D4788" s="32"/>
      <c r="E4788" s="32"/>
      <c r="F4788" s="32"/>
      <c r="G4788" s="33"/>
      <c r="H4788" s="33"/>
      <c r="I4788" s="34" t="str">
        <f aca="false">IF($A4788="","",$G4788-$H4788)</f>
        <v/>
      </c>
      <c r="J4788" s="35" t="str">
        <f aca="false">IF($A4788="","",IF(Setup!$B$6=1,YEAR($A4788),YEAR($A4788)+IF(MONTH($A4788)&gt;=Setup!$B$6,1,0)))</f>
        <v/>
      </c>
      <c r="K4788" s="35" t="str">
        <f aca="false">IF($A4788="","",MOD(MONTH($A4788)-Setup!$B$6+12,12)+1)</f>
        <v/>
      </c>
      <c r="L4788" s="36" t="str">
        <f aca="false">IF($A4788="","",TEXT($A4788,"MMM-YY"))</f>
        <v/>
      </c>
      <c r="M4788" s="37" t="str">
        <f aca="false">IF($A4788="","",IF($Q4788=0,"UNMAPPED",INDEX(COA_Mapping!$C$7:$C$256,$Q4788)))</f>
        <v/>
      </c>
      <c r="N4788" s="38" t="str">
        <f aca="false">IF($A4788="","",IF($Q4788=0,"",INDEX(COA_Mapping!$E$7:$E$256,$Q4788)))</f>
        <v/>
      </c>
      <c r="O4788" s="38" t="n">
        <f aca="false">IF($A4788="",1,IF($Q4788=0,1,INDEX(COA_Mapping!$F$7:$F$256,$Q4788)))</f>
        <v>1</v>
      </c>
      <c r="P4788" s="34" t="str">
        <f aca="false">IF($A4788="","",$I4788*$O4788)</f>
        <v/>
      </c>
      <c r="Q4788" s="39" t="n">
        <f aca="false">IF($B4788="",0,IFERROR(MATCH($B4788,COA_Mapping!$A$7:$A$256,0),0))</f>
        <v>0</v>
      </c>
      <c r="R4788" s="39" t="n">
        <f aca="false">IF($A4788="",-1,IF($J4788=Setup!$B$7,1,IF($J4788=Setup!$B$9,0,-1)))</f>
        <v>-1</v>
      </c>
      <c r="S4788" s="35" t="n">
        <f aca="false">IF(OR($A4788="",$Q4788=0,$R4788=-1),0,$Q4788*1000+$R4788*100+$K4788)</f>
        <v>0</v>
      </c>
      <c r="T4788" s="37" t="str">
        <f aca="false">IF($A4788="","",IF($B4788="","NO ACCOUNT",IF($Q4788=0,"UNMAPPED",IF($R4788=-1,"OUTSIDE FY RANGE","OK"))))</f>
        <v/>
      </c>
      <c r="U4788" s="40" t="str">
        <f aca="false">IF($A4788="","",$B4788&amp;"|"&amp;TEXT($A4788,"yyyymmdd")&amp;"|"&amp;TEXT($I4788,"0.00"))</f>
        <v/>
      </c>
      <c r="V4788" s="35" t="str">
        <f aca="false">IF($A4788="","",COUNTIF($U$8:$U$5007,$U4788))</f>
        <v/>
      </c>
    </row>
    <row r="4789" customFormat="false" ht="15" hidden="false" customHeight="false" outlineLevel="0" collapsed="false">
      <c r="A4789" s="31"/>
      <c r="B4789" s="32"/>
      <c r="C4789" s="32"/>
      <c r="D4789" s="32"/>
      <c r="E4789" s="32"/>
      <c r="F4789" s="32"/>
      <c r="G4789" s="33"/>
      <c r="H4789" s="33"/>
      <c r="I4789" s="34" t="str">
        <f aca="false">IF($A4789="","",$G4789-$H4789)</f>
        <v/>
      </c>
      <c r="J4789" s="35" t="str">
        <f aca="false">IF($A4789="","",IF(Setup!$B$6=1,YEAR($A4789),YEAR($A4789)+IF(MONTH($A4789)&gt;=Setup!$B$6,1,0)))</f>
        <v/>
      </c>
      <c r="K4789" s="35" t="str">
        <f aca="false">IF($A4789="","",MOD(MONTH($A4789)-Setup!$B$6+12,12)+1)</f>
        <v/>
      </c>
      <c r="L4789" s="36" t="str">
        <f aca="false">IF($A4789="","",TEXT($A4789,"MMM-YY"))</f>
        <v/>
      </c>
      <c r="M4789" s="37" t="str">
        <f aca="false">IF($A4789="","",IF($Q4789=0,"UNMAPPED",INDEX(COA_Mapping!$C$7:$C$256,$Q4789)))</f>
        <v/>
      </c>
      <c r="N4789" s="38" t="str">
        <f aca="false">IF($A4789="","",IF($Q4789=0,"",INDEX(COA_Mapping!$E$7:$E$256,$Q4789)))</f>
        <v/>
      </c>
      <c r="O4789" s="38" t="n">
        <f aca="false">IF($A4789="",1,IF($Q4789=0,1,INDEX(COA_Mapping!$F$7:$F$256,$Q4789)))</f>
        <v>1</v>
      </c>
      <c r="P4789" s="34" t="str">
        <f aca="false">IF($A4789="","",$I4789*$O4789)</f>
        <v/>
      </c>
      <c r="Q4789" s="39" t="n">
        <f aca="false">IF($B4789="",0,IFERROR(MATCH($B4789,COA_Mapping!$A$7:$A$256,0),0))</f>
        <v>0</v>
      </c>
      <c r="R4789" s="39" t="n">
        <f aca="false">IF($A4789="",-1,IF($J4789=Setup!$B$7,1,IF($J4789=Setup!$B$9,0,-1)))</f>
        <v>-1</v>
      </c>
      <c r="S4789" s="35" t="n">
        <f aca="false">IF(OR($A4789="",$Q4789=0,$R4789=-1),0,$Q4789*1000+$R4789*100+$K4789)</f>
        <v>0</v>
      </c>
      <c r="T4789" s="37" t="str">
        <f aca="false">IF($A4789="","",IF($B4789="","NO ACCOUNT",IF($Q4789=0,"UNMAPPED",IF($R4789=-1,"OUTSIDE FY RANGE","OK"))))</f>
        <v/>
      </c>
      <c r="U4789" s="40" t="str">
        <f aca="false">IF($A4789="","",$B4789&amp;"|"&amp;TEXT($A4789,"yyyymmdd")&amp;"|"&amp;TEXT($I4789,"0.00"))</f>
        <v/>
      </c>
      <c r="V4789" s="35" t="str">
        <f aca="false">IF($A4789="","",COUNTIF($U$8:$U$5007,$U4789))</f>
        <v/>
      </c>
    </row>
    <row r="4790" customFormat="false" ht="15" hidden="false" customHeight="false" outlineLevel="0" collapsed="false">
      <c r="A4790" s="31"/>
      <c r="B4790" s="32"/>
      <c r="C4790" s="32"/>
      <c r="D4790" s="32"/>
      <c r="E4790" s="32"/>
      <c r="F4790" s="32"/>
      <c r="G4790" s="33"/>
      <c r="H4790" s="33"/>
      <c r="I4790" s="34" t="str">
        <f aca="false">IF($A4790="","",$G4790-$H4790)</f>
        <v/>
      </c>
      <c r="J4790" s="35" t="str">
        <f aca="false">IF($A4790="","",IF(Setup!$B$6=1,YEAR($A4790),YEAR($A4790)+IF(MONTH($A4790)&gt;=Setup!$B$6,1,0)))</f>
        <v/>
      </c>
      <c r="K4790" s="35" t="str">
        <f aca="false">IF($A4790="","",MOD(MONTH($A4790)-Setup!$B$6+12,12)+1)</f>
        <v/>
      </c>
      <c r="L4790" s="36" t="str">
        <f aca="false">IF($A4790="","",TEXT($A4790,"MMM-YY"))</f>
        <v/>
      </c>
      <c r="M4790" s="37" t="str">
        <f aca="false">IF($A4790="","",IF($Q4790=0,"UNMAPPED",INDEX(COA_Mapping!$C$7:$C$256,$Q4790)))</f>
        <v/>
      </c>
      <c r="N4790" s="38" t="str">
        <f aca="false">IF($A4790="","",IF($Q4790=0,"",INDEX(COA_Mapping!$E$7:$E$256,$Q4790)))</f>
        <v/>
      </c>
      <c r="O4790" s="38" t="n">
        <f aca="false">IF($A4790="",1,IF($Q4790=0,1,INDEX(COA_Mapping!$F$7:$F$256,$Q4790)))</f>
        <v>1</v>
      </c>
      <c r="P4790" s="34" t="str">
        <f aca="false">IF($A4790="","",$I4790*$O4790)</f>
        <v/>
      </c>
      <c r="Q4790" s="39" t="n">
        <f aca="false">IF($B4790="",0,IFERROR(MATCH($B4790,COA_Mapping!$A$7:$A$256,0),0))</f>
        <v>0</v>
      </c>
      <c r="R4790" s="39" t="n">
        <f aca="false">IF($A4790="",-1,IF($J4790=Setup!$B$7,1,IF($J4790=Setup!$B$9,0,-1)))</f>
        <v>-1</v>
      </c>
      <c r="S4790" s="35" t="n">
        <f aca="false">IF(OR($A4790="",$Q4790=0,$R4790=-1),0,$Q4790*1000+$R4790*100+$K4790)</f>
        <v>0</v>
      </c>
      <c r="T4790" s="37" t="str">
        <f aca="false">IF($A4790="","",IF($B4790="","NO ACCOUNT",IF($Q4790=0,"UNMAPPED",IF($R4790=-1,"OUTSIDE FY RANGE","OK"))))</f>
        <v/>
      </c>
      <c r="U4790" s="40" t="str">
        <f aca="false">IF($A4790="","",$B4790&amp;"|"&amp;TEXT($A4790,"yyyymmdd")&amp;"|"&amp;TEXT($I4790,"0.00"))</f>
        <v/>
      </c>
      <c r="V4790" s="35" t="str">
        <f aca="false">IF($A4790="","",COUNTIF($U$8:$U$5007,$U4790))</f>
        <v/>
      </c>
    </row>
    <row r="4791" customFormat="false" ht="15" hidden="false" customHeight="false" outlineLevel="0" collapsed="false">
      <c r="A4791" s="31"/>
      <c r="B4791" s="32"/>
      <c r="C4791" s="32"/>
      <c r="D4791" s="32"/>
      <c r="E4791" s="32"/>
      <c r="F4791" s="32"/>
      <c r="G4791" s="33"/>
      <c r="H4791" s="33"/>
      <c r="I4791" s="34" t="str">
        <f aca="false">IF($A4791="","",$G4791-$H4791)</f>
        <v/>
      </c>
      <c r="J4791" s="35" t="str">
        <f aca="false">IF($A4791="","",IF(Setup!$B$6=1,YEAR($A4791),YEAR($A4791)+IF(MONTH($A4791)&gt;=Setup!$B$6,1,0)))</f>
        <v/>
      </c>
      <c r="K4791" s="35" t="str">
        <f aca="false">IF($A4791="","",MOD(MONTH($A4791)-Setup!$B$6+12,12)+1)</f>
        <v/>
      </c>
      <c r="L4791" s="36" t="str">
        <f aca="false">IF($A4791="","",TEXT($A4791,"MMM-YY"))</f>
        <v/>
      </c>
      <c r="M4791" s="37" t="str">
        <f aca="false">IF($A4791="","",IF($Q4791=0,"UNMAPPED",INDEX(COA_Mapping!$C$7:$C$256,$Q4791)))</f>
        <v/>
      </c>
      <c r="N4791" s="38" t="str">
        <f aca="false">IF($A4791="","",IF($Q4791=0,"",INDEX(COA_Mapping!$E$7:$E$256,$Q4791)))</f>
        <v/>
      </c>
      <c r="O4791" s="38" t="n">
        <f aca="false">IF($A4791="",1,IF($Q4791=0,1,INDEX(COA_Mapping!$F$7:$F$256,$Q4791)))</f>
        <v>1</v>
      </c>
      <c r="P4791" s="34" t="str">
        <f aca="false">IF($A4791="","",$I4791*$O4791)</f>
        <v/>
      </c>
      <c r="Q4791" s="39" t="n">
        <f aca="false">IF($B4791="",0,IFERROR(MATCH($B4791,COA_Mapping!$A$7:$A$256,0),0))</f>
        <v>0</v>
      </c>
      <c r="R4791" s="39" t="n">
        <f aca="false">IF($A4791="",-1,IF($J4791=Setup!$B$7,1,IF($J4791=Setup!$B$9,0,-1)))</f>
        <v>-1</v>
      </c>
      <c r="S4791" s="35" t="n">
        <f aca="false">IF(OR($A4791="",$Q4791=0,$R4791=-1),0,$Q4791*1000+$R4791*100+$K4791)</f>
        <v>0</v>
      </c>
      <c r="T4791" s="37" t="str">
        <f aca="false">IF($A4791="","",IF($B4791="","NO ACCOUNT",IF($Q4791=0,"UNMAPPED",IF($R4791=-1,"OUTSIDE FY RANGE","OK"))))</f>
        <v/>
      </c>
      <c r="U4791" s="40" t="str">
        <f aca="false">IF($A4791="","",$B4791&amp;"|"&amp;TEXT($A4791,"yyyymmdd")&amp;"|"&amp;TEXT($I4791,"0.00"))</f>
        <v/>
      </c>
      <c r="V4791" s="35" t="str">
        <f aca="false">IF($A4791="","",COUNTIF($U$8:$U$5007,$U4791))</f>
        <v/>
      </c>
    </row>
    <row r="4792" customFormat="false" ht="15" hidden="false" customHeight="false" outlineLevel="0" collapsed="false">
      <c r="A4792" s="31"/>
      <c r="B4792" s="32"/>
      <c r="C4792" s="32"/>
      <c r="D4792" s="32"/>
      <c r="E4792" s="32"/>
      <c r="F4792" s="32"/>
      <c r="G4792" s="33"/>
      <c r="H4792" s="33"/>
      <c r="I4792" s="34" t="str">
        <f aca="false">IF($A4792="","",$G4792-$H4792)</f>
        <v/>
      </c>
      <c r="J4792" s="35" t="str">
        <f aca="false">IF($A4792="","",IF(Setup!$B$6=1,YEAR($A4792),YEAR($A4792)+IF(MONTH($A4792)&gt;=Setup!$B$6,1,0)))</f>
        <v/>
      </c>
      <c r="K4792" s="35" t="str">
        <f aca="false">IF($A4792="","",MOD(MONTH($A4792)-Setup!$B$6+12,12)+1)</f>
        <v/>
      </c>
      <c r="L4792" s="36" t="str">
        <f aca="false">IF($A4792="","",TEXT($A4792,"MMM-YY"))</f>
        <v/>
      </c>
      <c r="M4792" s="37" t="str">
        <f aca="false">IF($A4792="","",IF($Q4792=0,"UNMAPPED",INDEX(COA_Mapping!$C$7:$C$256,$Q4792)))</f>
        <v/>
      </c>
      <c r="N4792" s="38" t="str">
        <f aca="false">IF($A4792="","",IF($Q4792=0,"",INDEX(COA_Mapping!$E$7:$E$256,$Q4792)))</f>
        <v/>
      </c>
      <c r="O4792" s="38" t="n">
        <f aca="false">IF($A4792="",1,IF($Q4792=0,1,INDEX(COA_Mapping!$F$7:$F$256,$Q4792)))</f>
        <v>1</v>
      </c>
      <c r="P4792" s="34" t="str">
        <f aca="false">IF($A4792="","",$I4792*$O4792)</f>
        <v/>
      </c>
      <c r="Q4792" s="39" t="n">
        <f aca="false">IF($B4792="",0,IFERROR(MATCH($B4792,COA_Mapping!$A$7:$A$256,0),0))</f>
        <v>0</v>
      </c>
      <c r="R4792" s="39" t="n">
        <f aca="false">IF($A4792="",-1,IF($J4792=Setup!$B$7,1,IF($J4792=Setup!$B$9,0,-1)))</f>
        <v>-1</v>
      </c>
      <c r="S4792" s="35" t="n">
        <f aca="false">IF(OR($A4792="",$Q4792=0,$R4792=-1),0,$Q4792*1000+$R4792*100+$K4792)</f>
        <v>0</v>
      </c>
      <c r="T4792" s="37" t="str">
        <f aca="false">IF($A4792="","",IF($B4792="","NO ACCOUNT",IF($Q4792=0,"UNMAPPED",IF($R4792=-1,"OUTSIDE FY RANGE","OK"))))</f>
        <v/>
      </c>
      <c r="U4792" s="40" t="str">
        <f aca="false">IF($A4792="","",$B4792&amp;"|"&amp;TEXT($A4792,"yyyymmdd")&amp;"|"&amp;TEXT($I4792,"0.00"))</f>
        <v/>
      </c>
      <c r="V4792" s="35" t="str">
        <f aca="false">IF($A4792="","",COUNTIF($U$8:$U$5007,$U4792))</f>
        <v/>
      </c>
    </row>
    <row r="4793" customFormat="false" ht="15" hidden="false" customHeight="false" outlineLevel="0" collapsed="false">
      <c r="A4793" s="31"/>
      <c r="B4793" s="32"/>
      <c r="C4793" s="32"/>
      <c r="D4793" s="32"/>
      <c r="E4793" s="32"/>
      <c r="F4793" s="32"/>
      <c r="G4793" s="33"/>
      <c r="H4793" s="33"/>
      <c r="I4793" s="34" t="str">
        <f aca="false">IF($A4793="","",$G4793-$H4793)</f>
        <v/>
      </c>
      <c r="J4793" s="35" t="str">
        <f aca="false">IF($A4793="","",IF(Setup!$B$6=1,YEAR($A4793),YEAR($A4793)+IF(MONTH($A4793)&gt;=Setup!$B$6,1,0)))</f>
        <v/>
      </c>
      <c r="K4793" s="35" t="str">
        <f aca="false">IF($A4793="","",MOD(MONTH($A4793)-Setup!$B$6+12,12)+1)</f>
        <v/>
      </c>
      <c r="L4793" s="36" t="str">
        <f aca="false">IF($A4793="","",TEXT($A4793,"MMM-YY"))</f>
        <v/>
      </c>
      <c r="M4793" s="37" t="str">
        <f aca="false">IF($A4793="","",IF($Q4793=0,"UNMAPPED",INDEX(COA_Mapping!$C$7:$C$256,$Q4793)))</f>
        <v/>
      </c>
      <c r="N4793" s="38" t="str">
        <f aca="false">IF($A4793="","",IF($Q4793=0,"",INDEX(COA_Mapping!$E$7:$E$256,$Q4793)))</f>
        <v/>
      </c>
      <c r="O4793" s="38" t="n">
        <f aca="false">IF($A4793="",1,IF($Q4793=0,1,INDEX(COA_Mapping!$F$7:$F$256,$Q4793)))</f>
        <v>1</v>
      </c>
      <c r="P4793" s="34" t="str">
        <f aca="false">IF($A4793="","",$I4793*$O4793)</f>
        <v/>
      </c>
      <c r="Q4793" s="39" t="n">
        <f aca="false">IF($B4793="",0,IFERROR(MATCH($B4793,COA_Mapping!$A$7:$A$256,0),0))</f>
        <v>0</v>
      </c>
      <c r="R4793" s="39" t="n">
        <f aca="false">IF($A4793="",-1,IF($J4793=Setup!$B$7,1,IF($J4793=Setup!$B$9,0,-1)))</f>
        <v>-1</v>
      </c>
      <c r="S4793" s="35" t="n">
        <f aca="false">IF(OR($A4793="",$Q4793=0,$R4793=-1),0,$Q4793*1000+$R4793*100+$K4793)</f>
        <v>0</v>
      </c>
      <c r="T4793" s="37" t="str">
        <f aca="false">IF($A4793="","",IF($B4793="","NO ACCOUNT",IF($Q4793=0,"UNMAPPED",IF($R4793=-1,"OUTSIDE FY RANGE","OK"))))</f>
        <v/>
      </c>
      <c r="U4793" s="40" t="str">
        <f aca="false">IF($A4793="","",$B4793&amp;"|"&amp;TEXT($A4793,"yyyymmdd")&amp;"|"&amp;TEXT($I4793,"0.00"))</f>
        <v/>
      </c>
      <c r="V4793" s="35" t="str">
        <f aca="false">IF($A4793="","",COUNTIF($U$8:$U$5007,$U4793))</f>
        <v/>
      </c>
    </row>
    <row r="4794" customFormat="false" ht="15" hidden="false" customHeight="false" outlineLevel="0" collapsed="false">
      <c r="A4794" s="31"/>
      <c r="B4794" s="32"/>
      <c r="C4794" s="32"/>
      <c r="D4794" s="32"/>
      <c r="E4794" s="32"/>
      <c r="F4794" s="32"/>
      <c r="G4794" s="33"/>
      <c r="H4794" s="33"/>
      <c r="I4794" s="34" t="str">
        <f aca="false">IF($A4794="","",$G4794-$H4794)</f>
        <v/>
      </c>
      <c r="J4794" s="35" t="str">
        <f aca="false">IF($A4794="","",IF(Setup!$B$6=1,YEAR($A4794),YEAR($A4794)+IF(MONTH($A4794)&gt;=Setup!$B$6,1,0)))</f>
        <v/>
      </c>
      <c r="K4794" s="35" t="str">
        <f aca="false">IF($A4794="","",MOD(MONTH($A4794)-Setup!$B$6+12,12)+1)</f>
        <v/>
      </c>
      <c r="L4794" s="36" t="str">
        <f aca="false">IF($A4794="","",TEXT($A4794,"MMM-YY"))</f>
        <v/>
      </c>
      <c r="M4794" s="37" t="str">
        <f aca="false">IF($A4794="","",IF($Q4794=0,"UNMAPPED",INDEX(COA_Mapping!$C$7:$C$256,$Q4794)))</f>
        <v/>
      </c>
      <c r="N4794" s="38" t="str">
        <f aca="false">IF($A4794="","",IF($Q4794=0,"",INDEX(COA_Mapping!$E$7:$E$256,$Q4794)))</f>
        <v/>
      </c>
      <c r="O4794" s="38" t="n">
        <f aca="false">IF($A4794="",1,IF($Q4794=0,1,INDEX(COA_Mapping!$F$7:$F$256,$Q4794)))</f>
        <v>1</v>
      </c>
      <c r="P4794" s="34" t="str">
        <f aca="false">IF($A4794="","",$I4794*$O4794)</f>
        <v/>
      </c>
      <c r="Q4794" s="39" t="n">
        <f aca="false">IF($B4794="",0,IFERROR(MATCH($B4794,COA_Mapping!$A$7:$A$256,0),0))</f>
        <v>0</v>
      </c>
      <c r="R4794" s="39" t="n">
        <f aca="false">IF($A4794="",-1,IF($J4794=Setup!$B$7,1,IF($J4794=Setup!$B$9,0,-1)))</f>
        <v>-1</v>
      </c>
      <c r="S4794" s="35" t="n">
        <f aca="false">IF(OR($A4794="",$Q4794=0,$R4794=-1),0,$Q4794*1000+$R4794*100+$K4794)</f>
        <v>0</v>
      </c>
      <c r="T4794" s="37" t="str">
        <f aca="false">IF($A4794="","",IF($B4794="","NO ACCOUNT",IF($Q4794=0,"UNMAPPED",IF($R4794=-1,"OUTSIDE FY RANGE","OK"))))</f>
        <v/>
      </c>
      <c r="U4794" s="40" t="str">
        <f aca="false">IF($A4794="","",$B4794&amp;"|"&amp;TEXT($A4794,"yyyymmdd")&amp;"|"&amp;TEXT($I4794,"0.00"))</f>
        <v/>
      </c>
      <c r="V4794" s="35" t="str">
        <f aca="false">IF($A4794="","",COUNTIF($U$8:$U$5007,$U4794))</f>
        <v/>
      </c>
    </row>
    <row r="4795" customFormat="false" ht="15" hidden="false" customHeight="false" outlineLevel="0" collapsed="false">
      <c r="A4795" s="31"/>
      <c r="B4795" s="32"/>
      <c r="C4795" s="32"/>
      <c r="D4795" s="32"/>
      <c r="E4795" s="32"/>
      <c r="F4795" s="32"/>
      <c r="G4795" s="33"/>
      <c r="H4795" s="33"/>
      <c r="I4795" s="34" t="str">
        <f aca="false">IF($A4795="","",$G4795-$H4795)</f>
        <v/>
      </c>
      <c r="J4795" s="35" t="str">
        <f aca="false">IF($A4795="","",IF(Setup!$B$6=1,YEAR($A4795),YEAR($A4795)+IF(MONTH($A4795)&gt;=Setup!$B$6,1,0)))</f>
        <v/>
      </c>
      <c r="K4795" s="35" t="str">
        <f aca="false">IF($A4795="","",MOD(MONTH($A4795)-Setup!$B$6+12,12)+1)</f>
        <v/>
      </c>
      <c r="L4795" s="36" t="str">
        <f aca="false">IF($A4795="","",TEXT($A4795,"MMM-YY"))</f>
        <v/>
      </c>
      <c r="M4795" s="37" t="str">
        <f aca="false">IF($A4795="","",IF($Q4795=0,"UNMAPPED",INDEX(COA_Mapping!$C$7:$C$256,$Q4795)))</f>
        <v/>
      </c>
      <c r="N4795" s="38" t="str">
        <f aca="false">IF($A4795="","",IF($Q4795=0,"",INDEX(COA_Mapping!$E$7:$E$256,$Q4795)))</f>
        <v/>
      </c>
      <c r="O4795" s="38" t="n">
        <f aca="false">IF($A4795="",1,IF($Q4795=0,1,INDEX(COA_Mapping!$F$7:$F$256,$Q4795)))</f>
        <v>1</v>
      </c>
      <c r="P4795" s="34" t="str">
        <f aca="false">IF($A4795="","",$I4795*$O4795)</f>
        <v/>
      </c>
      <c r="Q4795" s="39" t="n">
        <f aca="false">IF($B4795="",0,IFERROR(MATCH($B4795,COA_Mapping!$A$7:$A$256,0),0))</f>
        <v>0</v>
      </c>
      <c r="R4795" s="39" t="n">
        <f aca="false">IF($A4795="",-1,IF($J4795=Setup!$B$7,1,IF($J4795=Setup!$B$9,0,-1)))</f>
        <v>-1</v>
      </c>
      <c r="S4795" s="35" t="n">
        <f aca="false">IF(OR($A4795="",$Q4795=0,$R4795=-1),0,$Q4795*1000+$R4795*100+$K4795)</f>
        <v>0</v>
      </c>
      <c r="T4795" s="37" t="str">
        <f aca="false">IF($A4795="","",IF($B4795="","NO ACCOUNT",IF($Q4795=0,"UNMAPPED",IF($R4795=-1,"OUTSIDE FY RANGE","OK"))))</f>
        <v/>
      </c>
      <c r="U4795" s="40" t="str">
        <f aca="false">IF($A4795="","",$B4795&amp;"|"&amp;TEXT($A4795,"yyyymmdd")&amp;"|"&amp;TEXT($I4795,"0.00"))</f>
        <v/>
      </c>
      <c r="V4795" s="35" t="str">
        <f aca="false">IF($A4795="","",COUNTIF($U$8:$U$5007,$U4795))</f>
        <v/>
      </c>
    </row>
    <row r="4796" customFormat="false" ht="15" hidden="false" customHeight="false" outlineLevel="0" collapsed="false">
      <c r="A4796" s="31"/>
      <c r="B4796" s="32"/>
      <c r="C4796" s="32"/>
      <c r="D4796" s="32"/>
      <c r="E4796" s="32"/>
      <c r="F4796" s="32"/>
      <c r="G4796" s="33"/>
      <c r="H4796" s="33"/>
      <c r="I4796" s="34" t="str">
        <f aca="false">IF($A4796="","",$G4796-$H4796)</f>
        <v/>
      </c>
      <c r="J4796" s="35" t="str">
        <f aca="false">IF($A4796="","",IF(Setup!$B$6=1,YEAR($A4796),YEAR($A4796)+IF(MONTH($A4796)&gt;=Setup!$B$6,1,0)))</f>
        <v/>
      </c>
      <c r="K4796" s="35" t="str">
        <f aca="false">IF($A4796="","",MOD(MONTH($A4796)-Setup!$B$6+12,12)+1)</f>
        <v/>
      </c>
      <c r="L4796" s="36" t="str">
        <f aca="false">IF($A4796="","",TEXT($A4796,"MMM-YY"))</f>
        <v/>
      </c>
      <c r="M4796" s="37" t="str">
        <f aca="false">IF($A4796="","",IF($Q4796=0,"UNMAPPED",INDEX(COA_Mapping!$C$7:$C$256,$Q4796)))</f>
        <v/>
      </c>
      <c r="N4796" s="38" t="str">
        <f aca="false">IF($A4796="","",IF($Q4796=0,"",INDEX(COA_Mapping!$E$7:$E$256,$Q4796)))</f>
        <v/>
      </c>
      <c r="O4796" s="38" t="n">
        <f aca="false">IF($A4796="",1,IF($Q4796=0,1,INDEX(COA_Mapping!$F$7:$F$256,$Q4796)))</f>
        <v>1</v>
      </c>
      <c r="P4796" s="34" t="str">
        <f aca="false">IF($A4796="","",$I4796*$O4796)</f>
        <v/>
      </c>
      <c r="Q4796" s="39" t="n">
        <f aca="false">IF($B4796="",0,IFERROR(MATCH($B4796,COA_Mapping!$A$7:$A$256,0),0))</f>
        <v>0</v>
      </c>
      <c r="R4796" s="39" t="n">
        <f aca="false">IF($A4796="",-1,IF($J4796=Setup!$B$7,1,IF($J4796=Setup!$B$9,0,-1)))</f>
        <v>-1</v>
      </c>
      <c r="S4796" s="35" t="n">
        <f aca="false">IF(OR($A4796="",$Q4796=0,$R4796=-1),0,$Q4796*1000+$R4796*100+$K4796)</f>
        <v>0</v>
      </c>
      <c r="T4796" s="37" t="str">
        <f aca="false">IF($A4796="","",IF($B4796="","NO ACCOUNT",IF($Q4796=0,"UNMAPPED",IF($R4796=-1,"OUTSIDE FY RANGE","OK"))))</f>
        <v/>
      </c>
      <c r="U4796" s="40" t="str">
        <f aca="false">IF($A4796="","",$B4796&amp;"|"&amp;TEXT($A4796,"yyyymmdd")&amp;"|"&amp;TEXT($I4796,"0.00"))</f>
        <v/>
      </c>
      <c r="V4796" s="35" t="str">
        <f aca="false">IF($A4796="","",COUNTIF($U$8:$U$5007,$U4796))</f>
        <v/>
      </c>
    </row>
    <row r="4797" customFormat="false" ht="15" hidden="false" customHeight="false" outlineLevel="0" collapsed="false">
      <c r="A4797" s="31"/>
      <c r="B4797" s="32"/>
      <c r="C4797" s="32"/>
      <c r="D4797" s="32"/>
      <c r="E4797" s="32"/>
      <c r="F4797" s="32"/>
      <c r="G4797" s="33"/>
      <c r="H4797" s="33"/>
      <c r="I4797" s="34" t="str">
        <f aca="false">IF($A4797="","",$G4797-$H4797)</f>
        <v/>
      </c>
      <c r="J4797" s="35" t="str">
        <f aca="false">IF($A4797="","",IF(Setup!$B$6=1,YEAR($A4797),YEAR($A4797)+IF(MONTH($A4797)&gt;=Setup!$B$6,1,0)))</f>
        <v/>
      </c>
      <c r="K4797" s="35" t="str">
        <f aca="false">IF($A4797="","",MOD(MONTH($A4797)-Setup!$B$6+12,12)+1)</f>
        <v/>
      </c>
      <c r="L4797" s="36" t="str">
        <f aca="false">IF($A4797="","",TEXT($A4797,"MMM-YY"))</f>
        <v/>
      </c>
      <c r="M4797" s="37" t="str">
        <f aca="false">IF($A4797="","",IF($Q4797=0,"UNMAPPED",INDEX(COA_Mapping!$C$7:$C$256,$Q4797)))</f>
        <v/>
      </c>
      <c r="N4797" s="38" t="str">
        <f aca="false">IF($A4797="","",IF($Q4797=0,"",INDEX(COA_Mapping!$E$7:$E$256,$Q4797)))</f>
        <v/>
      </c>
      <c r="O4797" s="38" t="n">
        <f aca="false">IF($A4797="",1,IF($Q4797=0,1,INDEX(COA_Mapping!$F$7:$F$256,$Q4797)))</f>
        <v>1</v>
      </c>
      <c r="P4797" s="34" t="str">
        <f aca="false">IF($A4797="","",$I4797*$O4797)</f>
        <v/>
      </c>
      <c r="Q4797" s="39" t="n">
        <f aca="false">IF($B4797="",0,IFERROR(MATCH($B4797,COA_Mapping!$A$7:$A$256,0),0))</f>
        <v>0</v>
      </c>
      <c r="R4797" s="39" t="n">
        <f aca="false">IF($A4797="",-1,IF($J4797=Setup!$B$7,1,IF($J4797=Setup!$B$9,0,-1)))</f>
        <v>-1</v>
      </c>
      <c r="S4797" s="35" t="n">
        <f aca="false">IF(OR($A4797="",$Q4797=0,$R4797=-1),0,$Q4797*1000+$R4797*100+$K4797)</f>
        <v>0</v>
      </c>
      <c r="T4797" s="37" t="str">
        <f aca="false">IF($A4797="","",IF($B4797="","NO ACCOUNT",IF($Q4797=0,"UNMAPPED",IF($R4797=-1,"OUTSIDE FY RANGE","OK"))))</f>
        <v/>
      </c>
      <c r="U4797" s="40" t="str">
        <f aca="false">IF($A4797="","",$B4797&amp;"|"&amp;TEXT($A4797,"yyyymmdd")&amp;"|"&amp;TEXT($I4797,"0.00"))</f>
        <v/>
      </c>
      <c r="V4797" s="35" t="str">
        <f aca="false">IF($A4797="","",COUNTIF($U$8:$U$5007,$U4797))</f>
        <v/>
      </c>
    </row>
    <row r="4798" customFormat="false" ht="15" hidden="false" customHeight="false" outlineLevel="0" collapsed="false">
      <c r="A4798" s="31"/>
      <c r="B4798" s="32"/>
      <c r="C4798" s="32"/>
      <c r="D4798" s="32"/>
      <c r="E4798" s="32"/>
      <c r="F4798" s="32"/>
      <c r="G4798" s="33"/>
      <c r="H4798" s="33"/>
      <c r="I4798" s="34" t="str">
        <f aca="false">IF($A4798="","",$G4798-$H4798)</f>
        <v/>
      </c>
      <c r="J4798" s="35" t="str">
        <f aca="false">IF($A4798="","",IF(Setup!$B$6=1,YEAR($A4798),YEAR($A4798)+IF(MONTH($A4798)&gt;=Setup!$B$6,1,0)))</f>
        <v/>
      </c>
      <c r="K4798" s="35" t="str">
        <f aca="false">IF($A4798="","",MOD(MONTH($A4798)-Setup!$B$6+12,12)+1)</f>
        <v/>
      </c>
      <c r="L4798" s="36" t="str">
        <f aca="false">IF($A4798="","",TEXT($A4798,"MMM-YY"))</f>
        <v/>
      </c>
      <c r="M4798" s="37" t="str">
        <f aca="false">IF($A4798="","",IF($Q4798=0,"UNMAPPED",INDEX(COA_Mapping!$C$7:$C$256,$Q4798)))</f>
        <v/>
      </c>
      <c r="N4798" s="38" t="str">
        <f aca="false">IF($A4798="","",IF($Q4798=0,"",INDEX(COA_Mapping!$E$7:$E$256,$Q4798)))</f>
        <v/>
      </c>
      <c r="O4798" s="38" t="n">
        <f aca="false">IF($A4798="",1,IF($Q4798=0,1,INDEX(COA_Mapping!$F$7:$F$256,$Q4798)))</f>
        <v>1</v>
      </c>
      <c r="P4798" s="34" t="str">
        <f aca="false">IF($A4798="","",$I4798*$O4798)</f>
        <v/>
      </c>
      <c r="Q4798" s="39" t="n">
        <f aca="false">IF($B4798="",0,IFERROR(MATCH($B4798,COA_Mapping!$A$7:$A$256,0),0))</f>
        <v>0</v>
      </c>
      <c r="R4798" s="39" t="n">
        <f aca="false">IF($A4798="",-1,IF($J4798=Setup!$B$7,1,IF($J4798=Setup!$B$9,0,-1)))</f>
        <v>-1</v>
      </c>
      <c r="S4798" s="35" t="n">
        <f aca="false">IF(OR($A4798="",$Q4798=0,$R4798=-1),0,$Q4798*1000+$R4798*100+$K4798)</f>
        <v>0</v>
      </c>
      <c r="T4798" s="37" t="str">
        <f aca="false">IF($A4798="","",IF($B4798="","NO ACCOUNT",IF($Q4798=0,"UNMAPPED",IF($R4798=-1,"OUTSIDE FY RANGE","OK"))))</f>
        <v/>
      </c>
      <c r="U4798" s="40" t="str">
        <f aca="false">IF($A4798="","",$B4798&amp;"|"&amp;TEXT($A4798,"yyyymmdd")&amp;"|"&amp;TEXT($I4798,"0.00"))</f>
        <v/>
      </c>
      <c r="V4798" s="35" t="str">
        <f aca="false">IF($A4798="","",COUNTIF($U$8:$U$5007,$U4798))</f>
        <v/>
      </c>
    </row>
    <row r="4799" customFormat="false" ht="15" hidden="false" customHeight="false" outlineLevel="0" collapsed="false">
      <c r="A4799" s="31"/>
      <c r="B4799" s="32"/>
      <c r="C4799" s="32"/>
      <c r="D4799" s="32"/>
      <c r="E4799" s="32"/>
      <c r="F4799" s="32"/>
      <c r="G4799" s="33"/>
      <c r="H4799" s="33"/>
      <c r="I4799" s="34" t="str">
        <f aca="false">IF($A4799="","",$G4799-$H4799)</f>
        <v/>
      </c>
      <c r="J4799" s="35" t="str">
        <f aca="false">IF($A4799="","",IF(Setup!$B$6=1,YEAR($A4799),YEAR($A4799)+IF(MONTH($A4799)&gt;=Setup!$B$6,1,0)))</f>
        <v/>
      </c>
      <c r="K4799" s="35" t="str">
        <f aca="false">IF($A4799="","",MOD(MONTH($A4799)-Setup!$B$6+12,12)+1)</f>
        <v/>
      </c>
      <c r="L4799" s="36" t="str">
        <f aca="false">IF($A4799="","",TEXT($A4799,"MMM-YY"))</f>
        <v/>
      </c>
      <c r="M4799" s="37" t="str">
        <f aca="false">IF($A4799="","",IF($Q4799=0,"UNMAPPED",INDEX(COA_Mapping!$C$7:$C$256,$Q4799)))</f>
        <v/>
      </c>
      <c r="N4799" s="38" t="str">
        <f aca="false">IF($A4799="","",IF($Q4799=0,"",INDEX(COA_Mapping!$E$7:$E$256,$Q4799)))</f>
        <v/>
      </c>
      <c r="O4799" s="38" t="n">
        <f aca="false">IF($A4799="",1,IF($Q4799=0,1,INDEX(COA_Mapping!$F$7:$F$256,$Q4799)))</f>
        <v>1</v>
      </c>
      <c r="P4799" s="34" t="str">
        <f aca="false">IF($A4799="","",$I4799*$O4799)</f>
        <v/>
      </c>
      <c r="Q4799" s="39" t="n">
        <f aca="false">IF($B4799="",0,IFERROR(MATCH($B4799,COA_Mapping!$A$7:$A$256,0),0))</f>
        <v>0</v>
      </c>
      <c r="R4799" s="39" t="n">
        <f aca="false">IF($A4799="",-1,IF($J4799=Setup!$B$7,1,IF($J4799=Setup!$B$9,0,-1)))</f>
        <v>-1</v>
      </c>
      <c r="S4799" s="35" t="n">
        <f aca="false">IF(OR($A4799="",$Q4799=0,$R4799=-1),0,$Q4799*1000+$R4799*100+$K4799)</f>
        <v>0</v>
      </c>
      <c r="T4799" s="37" t="str">
        <f aca="false">IF($A4799="","",IF($B4799="","NO ACCOUNT",IF($Q4799=0,"UNMAPPED",IF($R4799=-1,"OUTSIDE FY RANGE","OK"))))</f>
        <v/>
      </c>
      <c r="U4799" s="40" t="str">
        <f aca="false">IF($A4799="","",$B4799&amp;"|"&amp;TEXT($A4799,"yyyymmdd")&amp;"|"&amp;TEXT($I4799,"0.00"))</f>
        <v/>
      </c>
      <c r="V4799" s="35" t="str">
        <f aca="false">IF($A4799="","",COUNTIF($U$8:$U$5007,$U4799))</f>
        <v/>
      </c>
    </row>
    <row r="4800" customFormat="false" ht="15" hidden="false" customHeight="false" outlineLevel="0" collapsed="false">
      <c r="A4800" s="31"/>
      <c r="B4800" s="32"/>
      <c r="C4800" s="32"/>
      <c r="D4800" s="32"/>
      <c r="E4800" s="32"/>
      <c r="F4800" s="32"/>
      <c r="G4800" s="33"/>
      <c r="H4800" s="33"/>
      <c r="I4800" s="34" t="str">
        <f aca="false">IF($A4800="","",$G4800-$H4800)</f>
        <v/>
      </c>
      <c r="J4800" s="35" t="str">
        <f aca="false">IF($A4800="","",IF(Setup!$B$6=1,YEAR($A4800),YEAR($A4800)+IF(MONTH($A4800)&gt;=Setup!$B$6,1,0)))</f>
        <v/>
      </c>
      <c r="K4800" s="35" t="str">
        <f aca="false">IF($A4800="","",MOD(MONTH($A4800)-Setup!$B$6+12,12)+1)</f>
        <v/>
      </c>
      <c r="L4800" s="36" t="str">
        <f aca="false">IF($A4800="","",TEXT($A4800,"MMM-YY"))</f>
        <v/>
      </c>
      <c r="M4800" s="37" t="str">
        <f aca="false">IF($A4800="","",IF($Q4800=0,"UNMAPPED",INDEX(COA_Mapping!$C$7:$C$256,$Q4800)))</f>
        <v/>
      </c>
      <c r="N4800" s="38" t="str">
        <f aca="false">IF($A4800="","",IF($Q4800=0,"",INDEX(COA_Mapping!$E$7:$E$256,$Q4800)))</f>
        <v/>
      </c>
      <c r="O4800" s="38" t="n">
        <f aca="false">IF($A4800="",1,IF($Q4800=0,1,INDEX(COA_Mapping!$F$7:$F$256,$Q4800)))</f>
        <v>1</v>
      </c>
      <c r="P4800" s="34" t="str">
        <f aca="false">IF($A4800="","",$I4800*$O4800)</f>
        <v/>
      </c>
      <c r="Q4800" s="39" t="n">
        <f aca="false">IF($B4800="",0,IFERROR(MATCH($B4800,COA_Mapping!$A$7:$A$256,0),0))</f>
        <v>0</v>
      </c>
      <c r="R4800" s="39" t="n">
        <f aca="false">IF($A4800="",-1,IF($J4800=Setup!$B$7,1,IF($J4800=Setup!$B$9,0,-1)))</f>
        <v>-1</v>
      </c>
      <c r="S4800" s="35" t="n">
        <f aca="false">IF(OR($A4800="",$Q4800=0,$R4800=-1),0,$Q4800*1000+$R4800*100+$K4800)</f>
        <v>0</v>
      </c>
      <c r="T4800" s="37" t="str">
        <f aca="false">IF($A4800="","",IF($B4800="","NO ACCOUNT",IF($Q4800=0,"UNMAPPED",IF($R4800=-1,"OUTSIDE FY RANGE","OK"))))</f>
        <v/>
      </c>
      <c r="U4800" s="40" t="str">
        <f aca="false">IF($A4800="","",$B4800&amp;"|"&amp;TEXT($A4800,"yyyymmdd")&amp;"|"&amp;TEXT($I4800,"0.00"))</f>
        <v/>
      </c>
      <c r="V4800" s="35" t="str">
        <f aca="false">IF($A4800="","",COUNTIF($U$8:$U$5007,$U4800))</f>
        <v/>
      </c>
    </row>
    <row r="4801" customFormat="false" ht="15" hidden="false" customHeight="false" outlineLevel="0" collapsed="false">
      <c r="A4801" s="31"/>
      <c r="B4801" s="32"/>
      <c r="C4801" s="32"/>
      <c r="D4801" s="32"/>
      <c r="E4801" s="32"/>
      <c r="F4801" s="32"/>
      <c r="G4801" s="33"/>
      <c r="H4801" s="33"/>
      <c r="I4801" s="34" t="str">
        <f aca="false">IF($A4801="","",$G4801-$H4801)</f>
        <v/>
      </c>
      <c r="J4801" s="35" t="str">
        <f aca="false">IF($A4801="","",IF(Setup!$B$6=1,YEAR($A4801),YEAR($A4801)+IF(MONTH($A4801)&gt;=Setup!$B$6,1,0)))</f>
        <v/>
      </c>
      <c r="K4801" s="35" t="str">
        <f aca="false">IF($A4801="","",MOD(MONTH($A4801)-Setup!$B$6+12,12)+1)</f>
        <v/>
      </c>
      <c r="L4801" s="36" t="str">
        <f aca="false">IF($A4801="","",TEXT($A4801,"MMM-YY"))</f>
        <v/>
      </c>
      <c r="M4801" s="37" t="str">
        <f aca="false">IF($A4801="","",IF($Q4801=0,"UNMAPPED",INDEX(COA_Mapping!$C$7:$C$256,$Q4801)))</f>
        <v/>
      </c>
      <c r="N4801" s="38" t="str">
        <f aca="false">IF($A4801="","",IF($Q4801=0,"",INDEX(COA_Mapping!$E$7:$E$256,$Q4801)))</f>
        <v/>
      </c>
      <c r="O4801" s="38" t="n">
        <f aca="false">IF($A4801="",1,IF($Q4801=0,1,INDEX(COA_Mapping!$F$7:$F$256,$Q4801)))</f>
        <v>1</v>
      </c>
      <c r="P4801" s="34" t="str">
        <f aca="false">IF($A4801="","",$I4801*$O4801)</f>
        <v/>
      </c>
      <c r="Q4801" s="39" t="n">
        <f aca="false">IF($B4801="",0,IFERROR(MATCH($B4801,COA_Mapping!$A$7:$A$256,0),0))</f>
        <v>0</v>
      </c>
      <c r="R4801" s="39" t="n">
        <f aca="false">IF($A4801="",-1,IF($J4801=Setup!$B$7,1,IF($J4801=Setup!$B$9,0,-1)))</f>
        <v>-1</v>
      </c>
      <c r="S4801" s="35" t="n">
        <f aca="false">IF(OR($A4801="",$Q4801=0,$R4801=-1),0,$Q4801*1000+$R4801*100+$K4801)</f>
        <v>0</v>
      </c>
      <c r="T4801" s="37" t="str">
        <f aca="false">IF($A4801="","",IF($B4801="","NO ACCOUNT",IF($Q4801=0,"UNMAPPED",IF($R4801=-1,"OUTSIDE FY RANGE","OK"))))</f>
        <v/>
      </c>
      <c r="U4801" s="40" t="str">
        <f aca="false">IF($A4801="","",$B4801&amp;"|"&amp;TEXT($A4801,"yyyymmdd")&amp;"|"&amp;TEXT($I4801,"0.00"))</f>
        <v/>
      </c>
      <c r="V4801" s="35" t="str">
        <f aca="false">IF($A4801="","",COUNTIF($U$8:$U$5007,$U4801))</f>
        <v/>
      </c>
    </row>
    <row r="4802" customFormat="false" ht="15" hidden="false" customHeight="false" outlineLevel="0" collapsed="false">
      <c r="A4802" s="31"/>
      <c r="B4802" s="32"/>
      <c r="C4802" s="32"/>
      <c r="D4802" s="32"/>
      <c r="E4802" s="32"/>
      <c r="F4802" s="32"/>
      <c r="G4802" s="33"/>
      <c r="H4802" s="33"/>
      <c r="I4802" s="34" t="str">
        <f aca="false">IF($A4802="","",$G4802-$H4802)</f>
        <v/>
      </c>
      <c r="J4802" s="35" t="str">
        <f aca="false">IF($A4802="","",IF(Setup!$B$6=1,YEAR($A4802),YEAR($A4802)+IF(MONTH($A4802)&gt;=Setup!$B$6,1,0)))</f>
        <v/>
      </c>
      <c r="K4802" s="35" t="str">
        <f aca="false">IF($A4802="","",MOD(MONTH($A4802)-Setup!$B$6+12,12)+1)</f>
        <v/>
      </c>
      <c r="L4802" s="36" t="str">
        <f aca="false">IF($A4802="","",TEXT($A4802,"MMM-YY"))</f>
        <v/>
      </c>
      <c r="M4802" s="37" t="str">
        <f aca="false">IF($A4802="","",IF($Q4802=0,"UNMAPPED",INDEX(COA_Mapping!$C$7:$C$256,$Q4802)))</f>
        <v/>
      </c>
      <c r="N4802" s="38" t="str">
        <f aca="false">IF($A4802="","",IF($Q4802=0,"",INDEX(COA_Mapping!$E$7:$E$256,$Q4802)))</f>
        <v/>
      </c>
      <c r="O4802" s="38" t="n">
        <f aca="false">IF($A4802="",1,IF($Q4802=0,1,INDEX(COA_Mapping!$F$7:$F$256,$Q4802)))</f>
        <v>1</v>
      </c>
      <c r="P4802" s="34" t="str">
        <f aca="false">IF($A4802="","",$I4802*$O4802)</f>
        <v/>
      </c>
      <c r="Q4802" s="39" t="n">
        <f aca="false">IF($B4802="",0,IFERROR(MATCH($B4802,COA_Mapping!$A$7:$A$256,0),0))</f>
        <v>0</v>
      </c>
      <c r="R4802" s="39" t="n">
        <f aca="false">IF($A4802="",-1,IF($J4802=Setup!$B$7,1,IF($J4802=Setup!$B$9,0,-1)))</f>
        <v>-1</v>
      </c>
      <c r="S4802" s="35" t="n">
        <f aca="false">IF(OR($A4802="",$Q4802=0,$R4802=-1),0,$Q4802*1000+$R4802*100+$K4802)</f>
        <v>0</v>
      </c>
      <c r="T4802" s="37" t="str">
        <f aca="false">IF($A4802="","",IF($B4802="","NO ACCOUNT",IF($Q4802=0,"UNMAPPED",IF($R4802=-1,"OUTSIDE FY RANGE","OK"))))</f>
        <v/>
      </c>
      <c r="U4802" s="40" t="str">
        <f aca="false">IF($A4802="","",$B4802&amp;"|"&amp;TEXT($A4802,"yyyymmdd")&amp;"|"&amp;TEXT($I4802,"0.00"))</f>
        <v/>
      </c>
      <c r="V4802" s="35" t="str">
        <f aca="false">IF($A4802="","",COUNTIF($U$8:$U$5007,$U4802))</f>
        <v/>
      </c>
    </row>
    <row r="4803" customFormat="false" ht="15" hidden="false" customHeight="false" outlineLevel="0" collapsed="false">
      <c r="A4803" s="31"/>
      <c r="B4803" s="32"/>
      <c r="C4803" s="32"/>
      <c r="D4803" s="32"/>
      <c r="E4803" s="32"/>
      <c r="F4803" s="32"/>
      <c r="G4803" s="33"/>
      <c r="H4803" s="33"/>
      <c r="I4803" s="34" t="str">
        <f aca="false">IF($A4803="","",$G4803-$H4803)</f>
        <v/>
      </c>
      <c r="J4803" s="35" t="str">
        <f aca="false">IF($A4803="","",IF(Setup!$B$6=1,YEAR($A4803),YEAR($A4803)+IF(MONTH($A4803)&gt;=Setup!$B$6,1,0)))</f>
        <v/>
      </c>
      <c r="K4803" s="35" t="str">
        <f aca="false">IF($A4803="","",MOD(MONTH($A4803)-Setup!$B$6+12,12)+1)</f>
        <v/>
      </c>
      <c r="L4803" s="36" t="str">
        <f aca="false">IF($A4803="","",TEXT($A4803,"MMM-YY"))</f>
        <v/>
      </c>
      <c r="M4803" s="37" t="str">
        <f aca="false">IF($A4803="","",IF($Q4803=0,"UNMAPPED",INDEX(COA_Mapping!$C$7:$C$256,$Q4803)))</f>
        <v/>
      </c>
      <c r="N4803" s="38" t="str">
        <f aca="false">IF($A4803="","",IF($Q4803=0,"",INDEX(COA_Mapping!$E$7:$E$256,$Q4803)))</f>
        <v/>
      </c>
      <c r="O4803" s="38" t="n">
        <f aca="false">IF($A4803="",1,IF($Q4803=0,1,INDEX(COA_Mapping!$F$7:$F$256,$Q4803)))</f>
        <v>1</v>
      </c>
      <c r="P4803" s="34" t="str">
        <f aca="false">IF($A4803="","",$I4803*$O4803)</f>
        <v/>
      </c>
      <c r="Q4803" s="39" t="n">
        <f aca="false">IF($B4803="",0,IFERROR(MATCH($B4803,COA_Mapping!$A$7:$A$256,0),0))</f>
        <v>0</v>
      </c>
      <c r="R4803" s="39" t="n">
        <f aca="false">IF($A4803="",-1,IF($J4803=Setup!$B$7,1,IF($J4803=Setup!$B$9,0,-1)))</f>
        <v>-1</v>
      </c>
      <c r="S4803" s="35" t="n">
        <f aca="false">IF(OR($A4803="",$Q4803=0,$R4803=-1),0,$Q4803*1000+$R4803*100+$K4803)</f>
        <v>0</v>
      </c>
      <c r="T4803" s="37" t="str">
        <f aca="false">IF($A4803="","",IF($B4803="","NO ACCOUNT",IF($Q4803=0,"UNMAPPED",IF($R4803=-1,"OUTSIDE FY RANGE","OK"))))</f>
        <v/>
      </c>
      <c r="U4803" s="40" t="str">
        <f aca="false">IF($A4803="","",$B4803&amp;"|"&amp;TEXT($A4803,"yyyymmdd")&amp;"|"&amp;TEXT($I4803,"0.00"))</f>
        <v/>
      </c>
      <c r="V4803" s="35" t="str">
        <f aca="false">IF($A4803="","",COUNTIF($U$8:$U$5007,$U4803))</f>
        <v/>
      </c>
    </row>
    <row r="4804" customFormat="false" ht="15" hidden="false" customHeight="false" outlineLevel="0" collapsed="false">
      <c r="A4804" s="31"/>
      <c r="B4804" s="32"/>
      <c r="C4804" s="32"/>
      <c r="D4804" s="32"/>
      <c r="E4804" s="32"/>
      <c r="F4804" s="32"/>
      <c r="G4804" s="33"/>
      <c r="H4804" s="33"/>
      <c r="I4804" s="34" t="str">
        <f aca="false">IF($A4804="","",$G4804-$H4804)</f>
        <v/>
      </c>
      <c r="J4804" s="35" t="str">
        <f aca="false">IF($A4804="","",IF(Setup!$B$6=1,YEAR($A4804),YEAR($A4804)+IF(MONTH($A4804)&gt;=Setup!$B$6,1,0)))</f>
        <v/>
      </c>
      <c r="K4804" s="35" t="str">
        <f aca="false">IF($A4804="","",MOD(MONTH($A4804)-Setup!$B$6+12,12)+1)</f>
        <v/>
      </c>
      <c r="L4804" s="36" t="str">
        <f aca="false">IF($A4804="","",TEXT($A4804,"MMM-YY"))</f>
        <v/>
      </c>
      <c r="M4804" s="37" t="str">
        <f aca="false">IF($A4804="","",IF($Q4804=0,"UNMAPPED",INDEX(COA_Mapping!$C$7:$C$256,$Q4804)))</f>
        <v/>
      </c>
      <c r="N4804" s="38" t="str">
        <f aca="false">IF($A4804="","",IF($Q4804=0,"",INDEX(COA_Mapping!$E$7:$E$256,$Q4804)))</f>
        <v/>
      </c>
      <c r="O4804" s="38" t="n">
        <f aca="false">IF($A4804="",1,IF($Q4804=0,1,INDEX(COA_Mapping!$F$7:$F$256,$Q4804)))</f>
        <v>1</v>
      </c>
      <c r="P4804" s="34" t="str">
        <f aca="false">IF($A4804="","",$I4804*$O4804)</f>
        <v/>
      </c>
      <c r="Q4804" s="39" t="n">
        <f aca="false">IF($B4804="",0,IFERROR(MATCH($B4804,COA_Mapping!$A$7:$A$256,0),0))</f>
        <v>0</v>
      </c>
      <c r="R4804" s="39" t="n">
        <f aca="false">IF($A4804="",-1,IF($J4804=Setup!$B$7,1,IF($J4804=Setup!$B$9,0,-1)))</f>
        <v>-1</v>
      </c>
      <c r="S4804" s="35" t="n">
        <f aca="false">IF(OR($A4804="",$Q4804=0,$R4804=-1),0,$Q4804*1000+$R4804*100+$K4804)</f>
        <v>0</v>
      </c>
      <c r="T4804" s="37" t="str">
        <f aca="false">IF($A4804="","",IF($B4804="","NO ACCOUNT",IF($Q4804=0,"UNMAPPED",IF($R4804=-1,"OUTSIDE FY RANGE","OK"))))</f>
        <v/>
      </c>
      <c r="U4804" s="40" t="str">
        <f aca="false">IF($A4804="","",$B4804&amp;"|"&amp;TEXT($A4804,"yyyymmdd")&amp;"|"&amp;TEXT($I4804,"0.00"))</f>
        <v/>
      </c>
      <c r="V4804" s="35" t="str">
        <f aca="false">IF($A4804="","",COUNTIF($U$8:$U$5007,$U4804))</f>
        <v/>
      </c>
    </row>
    <row r="4805" customFormat="false" ht="15" hidden="false" customHeight="false" outlineLevel="0" collapsed="false">
      <c r="A4805" s="31"/>
      <c r="B4805" s="32"/>
      <c r="C4805" s="32"/>
      <c r="D4805" s="32"/>
      <c r="E4805" s="32"/>
      <c r="F4805" s="32"/>
      <c r="G4805" s="33"/>
      <c r="H4805" s="33"/>
      <c r="I4805" s="34" t="str">
        <f aca="false">IF($A4805="","",$G4805-$H4805)</f>
        <v/>
      </c>
      <c r="J4805" s="35" t="str">
        <f aca="false">IF($A4805="","",IF(Setup!$B$6=1,YEAR($A4805),YEAR($A4805)+IF(MONTH($A4805)&gt;=Setup!$B$6,1,0)))</f>
        <v/>
      </c>
      <c r="K4805" s="35" t="str">
        <f aca="false">IF($A4805="","",MOD(MONTH($A4805)-Setup!$B$6+12,12)+1)</f>
        <v/>
      </c>
      <c r="L4805" s="36" t="str">
        <f aca="false">IF($A4805="","",TEXT($A4805,"MMM-YY"))</f>
        <v/>
      </c>
      <c r="M4805" s="37" t="str">
        <f aca="false">IF($A4805="","",IF($Q4805=0,"UNMAPPED",INDEX(COA_Mapping!$C$7:$C$256,$Q4805)))</f>
        <v/>
      </c>
      <c r="N4805" s="38" t="str">
        <f aca="false">IF($A4805="","",IF($Q4805=0,"",INDEX(COA_Mapping!$E$7:$E$256,$Q4805)))</f>
        <v/>
      </c>
      <c r="O4805" s="38" t="n">
        <f aca="false">IF($A4805="",1,IF($Q4805=0,1,INDEX(COA_Mapping!$F$7:$F$256,$Q4805)))</f>
        <v>1</v>
      </c>
      <c r="P4805" s="34" t="str">
        <f aca="false">IF($A4805="","",$I4805*$O4805)</f>
        <v/>
      </c>
      <c r="Q4805" s="39" t="n">
        <f aca="false">IF($B4805="",0,IFERROR(MATCH($B4805,COA_Mapping!$A$7:$A$256,0),0))</f>
        <v>0</v>
      </c>
      <c r="R4805" s="39" t="n">
        <f aca="false">IF($A4805="",-1,IF($J4805=Setup!$B$7,1,IF($J4805=Setup!$B$9,0,-1)))</f>
        <v>-1</v>
      </c>
      <c r="S4805" s="35" t="n">
        <f aca="false">IF(OR($A4805="",$Q4805=0,$R4805=-1),0,$Q4805*1000+$R4805*100+$K4805)</f>
        <v>0</v>
      </c>
      <c r="T4805" s="37" t="str">
        <f aca="false">IF($A4805="","",IF($B4805="","NO ACCOUNT",IF($Q4805=0,"UNMAPPED",IF($R4805=-1,"OUTSIDE FY RANGE","OK"))))</f>
        <v/>
      </c>
      <c r="U4805" s="40" t="str">
        <f aca="false">IF($A4805="","",$B4805&amp;"|"&amp;TEXT($A4805,"yyyymmdd")&amp;"|"&amp;TEXT($I4805,"0.00"))</f>
        <v/>
      </c>
      <c r="V4805" s="35" t="str">
        <f aca="false">IF($A4805="","",COUNTIF($U$8:$U$5007,$U4805))</f>
        <v/>
      </c>
    </row>
    <row r="4806" customFormat="false" ht="15" hidden="false" customHeight="false" outlineLevel="0" collapsed="false">
      <c r="A4806" s="31"/>
      <c r="B4806" s="32"/>
      <c r="C4806" s="32"/>
      <c r="D4806" s="32"/>
      <c r="E4806" s="32"/>
      <c r="F4806" s="32"/>
      <c r="G4806" s="33"/>
      <c r="H4806" s="33"/>
      <c r="I4806" s="34" t="str">
        <f aca="false">IF($A4806="","",$G4806-$H4806)</f>
        <v/>
      </c>
      <c r="J4806" s="35" t="str">
        <f aca="false">IF($A4806="","",IF(Setup!$B$6=1,YEAR($A4806),YEAR($A4806)+IF(MONTH($A4806)&gt;=Setup!$B$6,1,0)))</f>
        <v/>
      </c>
      <c r="K4806" s="35" t="str">
        <f aca="false">IF($A4806="","",MOD(MONTH($A4806)-Setup!$B$6+12,12)+1)</f>
        <v/>
      </c>
      <c r="L4806" s="36" t="str">
        <f aca="false">IF($A4806="","",TEXT($A4806,"MMM-YY"))</f>
        <v/>
      </c>
      <c r="M4806" s="37" t="str">
        <f aca="false">IF($A4806="","",IF($Q4806=0,"UNMAPPED",INDEX(COA_Mapping!$C$7:$C$256,$Q4806)))</f>
        <v/>
      </c>
      <c r="N4806" s="38" t="str">
        <f aca="false">IF($A4806="","",IF($Q4806=0,"",INDEX(COA_Mapping!$E$7:$E$256,$Q4806)))</f>
        <v/>
      </c>
      <c r="O4806" s="38" t="n">
        <f aca="false">IF($A4806="",1,IF($Q4806=0,1,INDEX(COA_Mapping!$F$7:$F$256,$Q4806)))</f>
        <v>1</v>
      </c>
      <c r="P4806" s="34" t="str">
        <f aca="false">IF($A4806="","",$I4806*$O4806)</f>
        <v/>
      </c>
      <c r="Q4806" s="39" t="n">
        <f aca="false">IF($B4806="",0,IFERROR(MATCH($B4806,COA_Mapping!$A$7:$A$256,0),0))</f>
        <v>0</v>
      </c>
      <c r="R4806" s="39" t="n">
        <f aca="false">IF($A4806="",-1,IF($J4806=Setup!$B$7,1,IF($J4806=Setup!$B$9,0,-1)))</f>
        <v>-1</v>
      </c>
      <c r="S4806" s="35" t="n">
        <f aca="false">IF(OR($A4806="",$Q4806=0,$R4806=-1),0,$Q4806*1000+$R4806*100+$K4806)</f>
        <v>0</v>
      </c>
      <c r="T4806" s="37" t="str">
        <f aca="false">IF($A4806="","",IF($B4806="","NO ACCOUNT",IF($Q4806=0,"UNMAPPED",IF($R4806=-1,"OUTSIDE FY RANGE","OK"))))</f>
        <v/>
      </c>
      <c r="U4806" s="40" t="str">
        <f aca="false">IF($A4806="","",$B4806&amp;"|"&amp;TEXT($A4806,"yyyymmdd")&amp;"|"&amp;TEXT($I4806,"0.00"))</f>
        <v/>
      </c>
      <c r="V4806" s="35" t="str">
        <f aca="false">IF($A4806="","",COUNTIF($U$8:$U$5007,$U4806))</f>
        <v/>
      </c>
    </row>
    <row r="4807" customFormat="false" ht="15" hidden="false" customHeight="false" outlineLevel="0" collapsed="false">
      <c r="A4807" s="31"/>
      <c r="B4807" s="32"/>
      <c r="C4807" s="32"/>
      <c r="D4807" s="32"/>
      <c r="E4807" s="32"/>
      <c r="F4807" s="32"/>
      <c r="G4807" s="33"/>
      <c r="H4807" s="33"/>
      <c r="I4807" s="34" t="str">
        <f aca="false">IF($A4807="","",$G4807-$H4807)</f>
        <v/>
      </c>
      <c r="J4807" s="35" t="str">
        <f aca="false">IF($A4807="","",IF(Setup!$B$6=1,YEAR($A4807),YEAR($A4807)+IF(MONTH($A4807)&gt;=Setup!$B$6,1,0)))</f>
        <v/>
      </c>
      <c r="K4807" s="35" t="str">
        <f aca="false">IF($A4807="","",MOD(MONTH($A4807)-Setup!$B$6+12,12)+1)</f>
        <v/>
      </c>
      <c r="L4807" s="36" t="str">
        <f aca="false">IF($A4807="","",TEXT($A4807,"MMM-YY"))</f>
        <v/>
      </c>
      <c r="M4807" s="37" t="str">
        <f aca="false">IF($A4807="","",IF($Q4807=0,"UNMAPPED",INDEX(COA_Mapping!$C$7:$C$256,$Q4807)))</f>
        <v/>
      </c>
      <c r="N4807" s="38" t="str">
        <f aca="false">IF($A4807="","",IF($Q4807=0,"",INDEX(COA_Mapping!$E$7:$E$256,$Q4807)))</f>
        <v/>
      </c>
      <c r="O4807" s="38" t="n">
        <f aca="false">IF($A4807="",1,IF($Q4807=0,1,INDEX(COA_Mapping!$F$7:$F$256,$Q4807)))</f>
        <v>1</v>
      </c>
      <c r="P4807" s="34" t="str">
        <f aca="false">IF($A4807="","",$I4807*$O4807)</f>
        <v/>
      </c>
      <c r="Q4807" s="39" t="n">
        <f aca="false">IF($B4807="",0,IFERROR(MATCH($B4807,COA_Mapping!$A$7:$A$256,0),0))</f>
        <v>0</v>
      </c>
      <c r="R4807" s="39" t="n">
        <f aca="false">IF($A4807="",-1,IF($J4807=Setup!$B$7,1,IF($J4807=Setup!$B$9,0,-1)))</f>
        <v>-1</v>
      </c>
      <c r="S4807" s="35" t="n">
        <f aca="false">IF(OR($A4807="",$Q4807=0,$R4807=-1),0,$Q4807*1000+$R4807*100+$K4807)</f>
        <v>0</v>
      </c>
      <c r="T4807" s="37" t="str">
        <f aca="false">IF($A4807="","",IF($B4807="","NO ACCOUNT",IF($Q4807=0,"UNMAPPED",IF($R4807=-1,"OUTSIDE FY RANGE","OK"))))</f>
        <v/>
      </c>
      <c r="U4807" s="40" t="str">
        <f aca="false">IF($A4807="","",$B4807&amp;"|"&amp;TEXT($A4807,"yyyymmdd")&amp;"|"&amp;TEXT($I4807,"0.00"))</f>
        <v/>
      </c>
      <c r="V4807" s="35" t="str">
        <f aca="false">IF($A4807="","",COUNTIF($U$8:$U$5007,$U4807))</f>
        <v/>
      </c>
    </row>
    <row r="4808" customFormat="false" ht="15" hidden="false" customHeight="false" outlineLevel="0" collapsed="false">
      <c r="A4808" s="31"/>
      <c r="B4808" s="32"/>
      <c r="C4808" s="32"/>
      <c r="D4808" s="32"/>
      <c r="E4808" s="32"/>
      <c r="F4808" s="32"/>
      <c r="G4808" s="33"/>
      <c r="H4808" s="33"/>
      <c r="I4808" s="34" t="str">
        <f aca="false">IF($A4808="","",$G4808-$H4808)</f>
        <v/>
      </c>
      <c r="J4808" s="35" t="str">
        <f aca="false">IF($A4808="","",IF(Setup!$B$6=1,YEAR($A4808),YEAR($A4808)+IF(MONTH($A4808)&gt;=Setup!$B$6,1,0)))</f>
        <v/>
      </c>
      <c r="K4808" s="35" t="str">
        <f aca="false">IF($A4808="","",MOD(MONTH($A4808)-Setup!$B$6+12,12)+1)</f>
        <v/>
      </c>
      <c r="L4808" s="36" t="str">
        <f aca="false">IF($A4808="","",TEXT($A4808,"MMM-YY"))</f>
        <v/>
      </c>
      <c r="M4808" s="37" t="str">
        <f aca="false">IF($A4808="","",IF($Q4808=0,"UNMAPPED",INDEX(COA_Mapping!$C$7:$C$256,$Q4808)))</f>
        <v/>
      </c>
      <c r="N4808" s="38" t="str">
        <f aca="false">IF($A4808="","",IF($Q4808=0,"",INDEX(COA_Mapping!$E$7:$E$256,$Q4808)))</f>
        <v/>
      </c>
      <c r="O4808" s="38" t="n">
        <f aca="false">IF($A4808="",1,IF($Q4808=0,1,INDEX(COA_Mapping!$F$7:$F$256,$Q4808)))</f>
        <v>1</v>
      </c>
      <c r="P4808" s="34" t="str">
        <f aca="false">IF($A4808="","",$I4808*$O4808)</f>
        <v/>
      </c>
      <c r="Q4808" s="39" t="n">
        <f aca="false">IF($B4808="",0,IFERROR(MATCH($B4808,COA_Mapping!$A$7:$A$256,0),0))</f>
        <v>0</v>
      </c>
      <c r="R4808" s="39" t="n">
        <f aca="false">IF($A4808="",-1,IF($J4808=Setup!$B$7,1,IF($J4808=Setup!$B$9,0,-1)))</f>
        <v>-1</v>
      </c>
      <c r="S4808" s="35" t="n">
        <f aca="false">IF(OR($A4808="",$Q4808=0,$R4808=-1),0,$Q4808*1000+$R4808*100+$K4808)</f>
        <v>0</v>
      </c>
      <c r="T4808" s="37" t="str">
        <f aca="false">IF($A4808="","",IF($B4808="","NO ACCOUNT",IF($Q4808=0,"UNMAPPED",IF($R4808=-1,"OUTSIDE FY RANGE","OK"))))</f>
        <v/>
      </c>
      <c r="U4808" s="40" t="str">
        <f aca="false">IF($A4808="","",$B4808&amp;"|"&amp;TEXT($A4808,"yyyymmdd")&amp;"|"&amp;TEXT($I4808,"0.00"))</f>
        <v/>
      </c>
      <c r="V4808" s="35" t="str">
        <f aca="false">IF($A4808="","",COUNTIF($U$8:$U$5007,$U4808))</f>
        <v/>
      </c>
    </row>
    <row r="4809" customFormat="false" ht="15" hidden="false" customHeight="false" outlineLevel="0" collapsed="false">
      <c r="A4809" s="31"/>
      <c r="B4809" s="32"/>
      <c r="C4809" s="32"/>
      <c r="D4809" s="32"/>
      <c r="E4809" s="32"/>
      <c r="F4809" s="32"/>
      <c r="G4809" s="33"/>
      <c r="H4809" s="33"/>
      <c r="I4809" s="34" t="str">
        <f aca="false">IF($A4809="","",$G4809-$H4809)</f>
        <v/>
      </c>
      <c r="J4809" s="35" t="str">
        <f aca="false">IF($A4809="","",IF(Setup!$B$6=1,YEAR($A4809),YEAR($A4809)+IF(MONTH($A4809)&gt;=Setup!$B$6,1,0)))</f>
        <v/>
      </c>
      <c r="K4809" s="35" t="str">
        <f aca="false">IF($A4809="","",MOD(MONTH($A4809)-Setup!$B$6+12,12)+1)</f>
        <v/>
      </c>
      <c r="L4809" s="36" t="str">
        <f aca="false">IF($A4809="","",TEXT($A4809,"MMM-YY"))</f>
        <v/>
      </c>
      <c r="M4809" s="37" t="str">
        <f aca="false">IF($A4809="","",IF($Q4809=0,"UNMAPPED",INDEX(COA_Mapping!$C$7:$C$256,$Q4809)))</f>
        <v/>
      </c>
      <c r="N4809" s="38" t="str">
        <f aca="false">IF($A4809="","",IF($Q4809=0,"",INDEX(COA_Mapping!$E$7:$E$256,$Q4809)))</f>
        <v/>
      </c>
      <c r="O4809" s="38" t="n">
        <f aca="false">IF($A4809="",1,IF($Q4809=0,1,INDEX(COA_Mapping!$F$7:$F$256,$Q4809)))</f>
        <v>1</v>
      </c>
      <c r="P4809" s="34" t="str">
        <f aca="false">IF($A4809="","",$I4809*$O4809)</f>
        <v/>
      </c>
      <c r="Q4809" s="39" t="n">
        <f aca="false">IF($B4809="",0,IFERROR(MATCH($B4809,COA_Mapping!$A$7:$A$256,0),0))</f>
        <v>0</v>
      </c>
      <c r="R4809" s="39" t="n">
        <f aca="false">IF($A4809="",-1,IF($J4809=Setup!$B$7,1,IF($J4809=Setup!$B$9,0,-1)))</f>
        <v>-1</v>
      </c>
      <c r="S4809" s="35" t="n">
        <f aca="false">IF(OR($A4809="",$Q4809=0,$R4809=-1),0,$Q4809*1000+$R4809*100+$K4809)</f>
        <v>0</v>
      </c>
      <c r="T4809" s="37" t="str">
        <f aca="false">IF($A4809="","",IF($B4809="","NO ACCOUNT",IF($Q4809=0,"UNMAPPED",IF($R4809=-1,"OUTSIDE FY RANGE","OK"))))</f>
        <v/>
      </c>
      <c r="U4809" s="40" t="str">
        <f aca="false">IF($A4809="","",$B4809&amp;"|"&amp;TEXT($A4809,"yyyymmdd")&amp;"|"&amp;TEXT($I4809,"0.00"))</f>
        <v/>
      </c>
      <c r="V4809" s="35" t="str">
        <f aca="false">IF($A4809="","",COUNTIF($U$8:$U$5007,$U4809))</f>
        <v/>
      </c>
    </row>
    <row r="4810" customFormat="false" ht="15" hidden="false" customHeight="false" outlineLevel="0" collapsed="false">
      <c r="A4810" s="31"/>
      <c r="B4810" s="32"/>
      <c r="C4810" s="32"/>
      <c r="D4810" s="32"/>
      <c r="E4810" s="32"/>
      <c r="F4810" s="32"/>
      <c r="G4810" s="33"/>
      <c r="H4810" s="33"/>
      <c r="I4810" s="34" t="str">
        <f aca="false">IF($A4810="","",$G4810-$H4810)</f>
        <v/>
      </c>
      <c r="J4810" s="35" t="str">
        <f aca="false">IF($A4810="","",IF(Setup!$B$6=1,YEAR($A4810),YEAR($A4810)+IF(MONTH($A4810)&gt;=Setup!$B$6,1,0)))</f>
        <v/>
      </c>
      <c r="K4810" s="35" t="str">
        <f aca="false">IF($A4810="","",MOD(MONTH($A4810)-Setup!$B$6+12,12)+1)</f>
        <v/>
      </c>
      <c r="L4810" s="36" t="str">
        <f aca="false">IF($A4810="","",TEXT($A4810,"MMM-YY"))</f>
        <v/>
      </c>
      <c r="M4810" s="37" t="str">
        <f aca="false">IF($A4810="","",IF($Q4810=0,"UNMAPPED",INDEX(COA_Mapping!$C$7:$C$256,$Q4810)))</f>
        <v/>
      </c>
      <c r="N4810" s="38" t="str">
        <f aca="false">IF($A4810="","",IF($Q4810=0,"",INDEX(COA_Mapping!$E$7:$E$256,$Q4810)))</f>
        <v/>
      </c>
      <c r="O4810" s="38" t="n">
        <f aca="false">IF($A4810="",1,IF($Q4810=0,1,INDEX(COA_Mapping!$F$7:$F$256,$Q4810)))</f>
        <v>1</v>
      </c>
      <c r="P4810" s="34" t="str">
        <f aca="false">IF($A4810="","",$I4810*$O4810)</f>
        <v/>
      </c>
      <c r="Q4810" s="39" t="n">
        <f aca="false">IF($B4810="",0,IFERROR(MATCH($B4810,COA_Mapping!$A$7:$A$256,0),0))</f>
        <v>0</v>
      </c>
      <c r="R4810" s="39" t="n">
        <f aca="false">IF($A4810="",-1,IF($J4810=Setup!$B$7,1,IF($J4810=Setup!$B$9,0,-1)))</f>
        <v>-1</v>
      </c>
      <c r="S4810" s="35" t="n">
        <f aca="false">IF(OR($A4810="",$Q4810=0,$R4810=-1),0,$Q4810*1000+$R4810*100+$K4810)</f>
        <v>0</v>
      </c>
      <c r="T4810" s="37" t="str">
        <f aca="false">IF($A4810="","",IF($B4810="","NO ACCOUNT",IF($Q4810=0,"UNMAPPED",IF($R4810=-1,"OUTSIDE FY RANGE","OK"))))</f>
        <v/>
      </c>
      <c r="U4810" s="40" t="str">
        <f aca="false">IF($A4810="","",$B4810&amp;"|"&amp;TEXT($A4810,"yyyymmdd")&amp;"|"&amp;TEXT($I4810,"0.00"))</f>
        <v/>
      </c>
      <c r="V4810" s="35" t="str">
        <f aca="false">IF($A4810="","",COUNTIF($U$8:$U$5007,$U4810))</f>
        <v/>
      </c>
    </row>
    <row r="4811" customFormat="false" ht="15" hidden="false" customHeight="false" outlineLevel="0" collapsed="false">
      <c r="A4811" s="31"/>
      <c r="B4811" s="32"/>
      <c r="C4811" s="32"/>
      <c r="D4811" s="32"/>
      <c r="E4811" s="32"/>
      <c r="F4811" s="32"/>
      <c r="G4811" s="33"/>
      <c r="H4811" s="33"/>
      <c r="I4811" s="34" t="str">
        <f aca="false">IF($A4811="","",$G4811-$H4811)</f>
        <v/>
      </c>
      <c r="J4811" s="35" t="str">
        <f aca="false">IF($A4811="","",IF(Setup!$B$6=1,YEAR($A4811),YEAR($A4811)+IF(MONTH($A4811)&gt;=Setup!$B$6,1,0)))</f>
        <v/>
      </c>
      <c r="K4811" s="35" t="str">
        <f aca="false">IF($A4811="","",MOD(MONTH($A4811)-Setup!$B$6+12,12)+1)</f>
        <v/>
      </c>
      <c r="L4811" s="36" t="str">
        <f aca="false">IF($A4811="","",TEXT($A4811,"MMM-YY"))</f>
        <v/>
      </c>
      <c r="M4811" s="37" t="str">
        <f aca="false">IF($A4811="","",IF($Q4811=0,"UNMAPPED",INDEX(COA_Mapping!$C$7:$C$256,$Q4811)))</f>
        <v/>
      </c>
      <c r="N4811" s="38" t="str">
        <f aca="false">IF($A4811="","",IF($Q4811=0,"",INDEX(COA_Mapping!$E$7:$E$256,$Q4811)))</f>
        <v/>
      </c>
      <c r="O4811" s="38" t="n">
        <f aca="false">IF($A4811="",1,IF($Q4811=0,1,INDEX(COA_Mapping!$F$7:$F$256,$Q4811)))</f>
        <v>1</v>
      </c>
      <c r="P4811" s="34" t="str">
        <f aca="false">IF($A4811="","",$I4811*$O4811)</f>
        <v/>
      </c>
      <c r="Q4811" s="39" t="n">
        <f aca="false">IF($B4811="",0,IFERROR(MATCH($B4811,COA_Mapping!$A$7:$A$256,0),0))</f>
        <v>0</v>
      </c>
      <c r="R4811" s="39" t="n">
        <f aca="false">IF($A4811="",-1,IF($J4811=Setup!$B$7,1,IF($J4811=Setup!$B$9,0,-1)))</f>
        <v>-1</v>
      </c>
      <c r="S4811" s="35" t="n">
        <f aca="false">IF(OR($A4811="",$Q4811=0,$R4811=-1),0,$Q4811*1000+$R4811*100+$K4811)</f>
        <v>0</v>
      </c>
      <c r="T4811" s="37" t="str">
        <f aca="false">IF($A4811="","",IF($B4811="","NO ACCOUNT",IF($Q4811=0,"UNMAPPED",IF($R4811=-1,"OUTSIDE FY RANGE","OK"))))</f>
        <v/>
      </c>
      <c r="U4811" s="40" t="str">
        <f aca="false">IF($A4811="","",$B4811&amp;"|"&amp;TEXT($A4811,"yyyymmdd")&amp;"|"&amp;TEXT($I4811,"0.00"))</f>
        <v/>
      </c>
      <c r="V4811" s="35" t="str">
        <f aca="false">IF($A4811="","",COUNTIF($U$8:$U$5007,$U4811))</f>
        <v/>
      </c>
    </row>
    <row r="4812" customFormat="false" ht="15" hidden="false" customHeight="false" outlineLevel="0" collapsed="false">
      <c r="A4812" s="31"/>
      <c r="B4812" s="32"/>
      <c r="C4812" s="32"/>
      <c r="D4812" s="32"/>
      <c r="E4812" s="32"/>
      <c r="F4812" s="32"/>
      <c r="G4812" s="33"/>
      <c r="H4812" s="33"/>
      <c r="I4812" s="34" t="str">
        <f aca="false">IF($A4812="","",$G4812-$H4812)</f>
        <v/>
      </c>
      <c r="J4812" s="35" t="str">
        <f aca="false">IF($A4812="","",IF(Setup!$B$6=1,YEAR($A4812),YEAR($A4812)+IF(MONTH($A4812)&gt;=Setup!$B$6,1,0)))</f>
        <v/>
      </c>
      <c r="K4812" s="35" t="str">
        <f aca="false">IF($A4812="","",MOD(MONTH($A4812)-Setup!$B$6+12,12)+1)</f>
        <v/>
      </c>
      <c r="L4812" s="36" t="str">
        <f aca="false">IF($A4812="","",TEXT($A4812,"MMM-YY"))</f>
        <v/>
      </c>
      <c r="M4812" s="37" t="str">
        <f aca="false">IF($A4812="","",IF($Q4812=0,"UNMAPPED",INDEX(COA_Mapping!$C$7:$C$256,$Q4812)))</f>
        <v/>
      </c>
      <c r="N4812" s="38" t="str">
        <f aca="false">IF($A4812="","",IF($Q4812=0,"",INDEX(COA_Mapping!$E$7:$E$256,$Q4812)))</f>
        <v/>
      </c>
      <c r="O4812" s="38" t="n">
        <f aca="false">IF($A4812="",1,IF($Q4812=0,1,INDEX(COA_Mapping!$F$7:$F$256,$Q4812)))</f>
        <v>1</v>
      </c>
      <c r="P4812" s="34" t="str">
        <f aca="false">IF($A4812="","",$I4812*$O4812)</f>
        <v/>
      </c>
      <c r="Q4812" s="39" t="n">
        <f aca="false">IF($B4812="",0,IFERROR(MATCH($B4812,COA_Mapping!$A$7:$A$256,0),0))</f>
        <v>0</v>
      </c>
      <c r="R4812" s="39" t="n">
        <f aca="false">IF($A4812="",-1,IF($J4812=Setup!$B$7,1,IF($J4812=Setup!$B$9,0,-1)))</f>
        <v>-1</v>
      </c>
      <c r="S4812" s="35" t="n">
        <f aca="false">IF(OR($A4812="",$Q4812=0,$R4812=-1),0,$Q4812*1000+$R4812*100+$K4812)</f>
        <v>0</v>
      </c>
      <c r="T4812" s="37" t="str">
        <f aca="false">IF($A4812="","",IF($B4812="","NO ACCOUNT",IF($Q4812=0,"UNMAPPED",IF($R4812=-1,"OUTSIDE FY RANGE","OK"))))</f>
        <v/>
      </c>
      <c r="U4812" s="40" t="str">
        <f aca="false">IF($A4812="","",$B4812&amp;"|"&amp;TEXT($A4812,"yyyymmdd")&amp;"|"&amp;TEXT($I4812,"0.00"))</f>
        <v/>
      </c>
      <c r="V4812" s="35" t="str">
        <f aca="false">IF($A4812="","",COUNTIF($U$8:$U$5007,$U4812))</f>
        <v/>
      </c>
    </row>
    <row r="4813" customFormat="false" ht="15" hidden="false" customHeight="false" outlineLevel="0" collapsed="false">
      <c r="A4813" s="31"/>
      <c r="B4813" s="32"/>
      <c r="C4813" s="32"/>
      <c r="D4813" s="32"/>
      <c r="E4813" s="32"/>
      <c r="F4813" s="32"/>
      <c r="G4813" s="33"/>
      <c r="H4813" s="33"/>
      <c r="I4813" s="34" t="str">
        <f aca="false">IF($A4813="","",$G4813-$H4813)</f>
        <v/>
      </c>
      <c r="J4813" s="35" t="str">
        <f aca="false">IF($A4813="","",IF(Setup!$B$6=1,YEAR($A4813),YEAR($A4813)+IF(MONTH($A4813)&gt;=Setup!$B$6,1,0)))</f>
        <v/>
      </c>
      <c r="K4813" s="35" t="str">
        <f aca="false">IF($A4813="","",MOD(MONTH($A4813)-Setup!$B$6+12,12)+1)</f>
        <v/>
      </c>
      <c r="L4813" s="36" t="str">
        <f aca="false">IF($A4813="","",TEXT($A4813,"MMM-YY"))</f>
        <v/>
      </c>
      <c r="M4813" s="37" t="str">
        <f aca="false">IF($A4813="","",IF($Q4813=0,"UNMAPPED",INDEX(COA_Mapping!$C$7:$C$256,$Q4813)))</f>
        <v/>
      </c>
      <c r="N4813" s="38" t="str">
        <f aca="false">IF($A4813="","",IF($Q4813=0,"",INDEX(COA_Mapping!$E$7:$E$256,$Q4813)))</f>
        <v/>
      </c>
      <c r="O4813" s="38" t="n">
        <f aca="false">IF($A4813="",1,IF($Q4813=0,1,INDEX(COA_Mapping!$F$7:$F$256,$Q4813)))</f>
        <v>1</v>
      </c>
      <c r="P4813" s="34" t="str">
        <f aca="false">IF($A4813="","",$I4813*$O4813)</f>
        <v/>
      </c>
      <c r="Q4813" s="39" t="n">
        <f aca="false">IF($B4813="",0,IFERROR(MATCH($B4813,COA_Mapping!$A$7:$A$256,0),0))</f>
        <v>0</v>
      </c>
      <c r="R4813" s="39" t="n">
        <f aca="false">IF($A4813="",-1,IF($J4813=Setup!$B$7,1,IF($J4813=Setup!$B$9,0,-1)))</f>
        <v>-1</v>
      </c>
      <c r="S4813" s="35" t="n">
        <f aca="false">IF(OR($A4813="",$Q4813=0,$R4813=-1),0,$Q4813*1000+$R4813*100+$K4813)</f>
        <v>0</v>
      </c>
      <c r="T4813" s="37" t="str">
        <f aca="false">IF($A4813="","",IF($B4813="","NO ACCOUNT",IF($Q4813=0,"UNMAPPED",IF($R4813=-1,"OUTSIDE FY RANGE","OK"))))</f>
        <v/>
      </c>
      <c r="U4813" s="40" t="str">
        <f aca="false">IF($A4813="","",$B4813&amp;"|"&amp;TEXT($A4813,"yyyymmdd")&amp;"|"&amp;TEXT($I4813,"0.00"))</f>
        <v/>
      </c>
      <c r="V4813" s="35" t="str">
        <f aca="false">IF($A4813="","",COUNTIF($U$8:$U$5007,$U4813))</f>
        <v/>
      </c>
    </row>
    <row r="4814" customFormat="false" ht="15" hidden="false" customHeight="false" outlineLevel="0" collapsed="false">
      <c r="A4814" s="31"/>
      <c r="B4814" s="32"/>
      <c r="C4814" s="32"/>
      <c r="D4814" s="32"/>
      <c r="E4814" s="32"/>
      <c r="F4814" s="32"/>
      <c r="G4814" s="33"/>
      <c r="H4814" s="33"/>
      <c r="I4814" s="34" t="str">
        <f aca="false">IF($A4814="","",$G4814-$H4814)</f>
        <v/>
      </c>
      <c r="J4814" s="35" t="str">
        <f aca="false">IF($A4814="","",IF(Setup!$B$6=1,YEAR($A4814),YEAR($A4814)+IF(MONTH($A4814)&gt;=Setup!$B$6,1,0)))</f>
        <v/>
      </c>
      <c r="K4814" s="35" t="str">
        <f aca="false">IF($A4814="","",MOD(MONTH($A4814)-Setup!$B$6+12,12)+1)</f>
        <v/>
      </c>
      <c r="L4814" s="36" t="str">
        <f aca="false">IF($A4814="","",TEXT($A4814,"MMM-YY"))</f>
        <v/>
      </c>
      <c r="M4814" s="37" t="str">
        <f aca="false">IF($A4814="","",IF($Q4814=0,"UNMAPPED",INDEX(COA_Mapping!$C$7:$C$256,$Q4814)))</f>
        <v/>
      </c>
      <c r="N4814" s="38" t="str">
        <f aca="false">IF($A4814="","",IF($Q4814=0,"",INDEX(COA_Mapping!$E$7:$E$256,$Q4814)))</f>
        <v/>
      </c>
      <c r="O4814" s="38" t="n">
        <f aca="false">IF($A4814="",1,IF($Q4814=0,1,INDEX(COA_Mapping!$F$7:$F$256,$Q4814)))</f>
        <v>1</v>
      </c>
      <c r="P4814" s="34" t="str">
        <f aca="false">IF($A4814="","",$I4814*$O4814)</f>
        <v/>
      </c>
      <c r="Q4814" s="39" t="n">
        <f aca="false">IF($B4814="",0,IFERROR(MATCH($B4814,COA_Mapping!$A$7:$A$256,0),0))</f>
        <v>0</v>
      </c>
      <c r="R4814" s="39" t="n">
        <f aca="false">IF($A4814="",-1,IF($J4814=Setup!$B$7,1,IF($J4814=Setup!$B$9,0,-1)))</f>
        <v>-1</v>
      </c>
      <c r="S4814" s="35" t="n">
        <f aca="false">IF(OR($A4814="",$Q4814=0,$R4814=-1),0,$Q4814*1000+$R4814*100+$K4814)</f>
        <v>0</v>
      </c>
      <c r="T4814" s="37" t="str">
        <f aca="false">IF($A4814="","",IF($B4814="","NO ACCOUNT",IF($Q4814=0,"UNMAPPED",IF($R4814=-1,"OUTSIDE FY RANGE","OK"))))</f>
        <v/>
      </c>
      <c r="U4814" s="40" t="str">
        <f aca="false">IF($A4814="","",$B4814&amp;"|"&amp;TEXT($A4814,"yyyymmdd")&amp;"|"&amp;TEXT($I4814,"0.00"))</f>
        <v/>
      </c>
      <c r="V4814" s="35" t="str">
        <f aca="false">IF($A4814="","",COUNTIF($U$8:$U$5007,$U4814))</f>
        <v/>
      </c>
    </row>
    <row r="4815" customFormat="false" ht="15" hidden="false" customHeight="false" outlineLevel="0" collapsed="false">
      <c r="A4815" s="31"/>
      <c r="B4815" s="32"/>
      <c r="C4815" s="32"/>
      <c r="D4815" s="32"/>
      <c r="E4815" s="32"/>
      <c r="F4815" s="32"/>
      <c r="G4815" s="33"/>
      <c r="H4815" s="33"/>
      <c r="I4815" s="34" t="str">
        <f aca="false">IF($A4815="","",$G4815-$H4815)</f>
        <v/>
      </c>
      <c r="J4815" s="35" t="str">
        <f aca="false">IF($A4815="","",IF(Setup!$B$6=1,YEAR($A4815),YEAR($A4815)+IF(MONTH($A4815)&gt;=Setup!$B$6,1,0)))</f>
        <v/>
      </c>
      <c r="K4815" s="35" t="str">
        <f aca="false">IF($A4815="","",MOD(MONTH($A4815)-Setup!$B$6+12,12)+1)</f>
        <v/>
      </c>
      <c r="L4815" s="36" t="str">
        <f aca="false">IF($A4815="","",TEXT($A4815,"MMM-YY"))</f>
        <v/>
      </c>
      <c r="M4815" s="37" t="str">
        <f aca="false">IF($A4815="","",IF($Q4815=0,"UNMAPPED",INDEX(COA_Mapping!$C$7:$C$256,$Q4815)))</f>
        <v/>
      </c>
      <c r="N4815" s="38" t="str">
        <f aca="false">IF($A4815="","",IF($Q4815=0,"",INDEX(COA_Mapping!$E$7:$E$256,$Q4815)))</f>
        <v/>
      </c>
      <c r="O4815" s="38" t="n">
        <f aca="false">IF($A4815="",1,IF($Q4815=0,1,INDEX(COA_Mapping!$F$7:$F$256,$Q4815)))</f>
        <v>1</v>
      </c>
      <c r="P4815" s="34" t="str">
        <f aca="false">IF($A4815="","",$I4815*$O4815)</f>
        <v/>
      </c>
      <c r="Q4815" s="39" t="n">
        <f aca="false">IF($B4815="",0,IFERROR(MATCH($B4815,COA_Mapping!$A$7:$A$256,0),0))</f>
        <v>0</v>
      </c>
      <c r="R4815" s="39" t="n">
        <f aca="false">IF($A4815="",-1,IF($J4815=Setup!$B$7,1,IF($J4815=Setup!$B$9,0,-1)))</f>
        <v>-1</v>
      </c>
      <c r="S4815" s="35" t="n">
        <f aca="false">IF(OR($A4815="",$Q4815=0,$R4815=-1),0,$Q4815*1000+$R4815*100+$K4815)</f>
        <v>0</v>
      </c>
      <c r="T4815" s="37" t="str">
        <f aca="false">IF($A4815="","",IF($B4815="","NO ACCOUNT",IF($Q4815=0,"UNMAPPED",IF($R4815=-1,"OUTSIDE FY RANGE","OK"))))</f>
        <v/>
      </c>
      <c r="U4815" s="40" t="str">
        <f aca="false">IF($A4815="","",$B4815&amp;"|"&amp;TEXT($A4815,"yyyymmdd")&amp;"|"&amp;TEXT($I4815,"0.00"))</f>
        <v/>
      </c>
      <c r="V4815" s="35" t="str">
        <f aca="false">IF($A4815="","",COUNTIF($U$8:$U$5007,$U4815))</f>
        <v/>
      </c>
    </row>
    <row r="4816" customFormat="false" ht="15" hidden="false" customHeight="false" outlineLevel="0" collapsed="false">
      <c r="A4816" s="31"/>
      <c r="B4816" s="32"/>
      <c r="C4816" s="32"/>
      <c r="D4816" s="32"/>
      <c r="E4816" s="32"/>
      <c r="F4816" s="32"/>
      <c r="G4816" s="33"/>
      <c r="H4816" s="33"/>
      <c r="I4816" s="34" t="str">
        <f aca="false">IF($A4816="","",$G4816-$H4816)</f>
        <v/>
      </c>
      <c r="J4816" s="35" t="str">
        <f aca="false">IF($A4816="","",IF(Setup!$B$6=1,YEAR($A4816),YEAR($A4816)+IF(MONTH($A4816)&gt;=Setup!$B$6,1,0)))</f>
        <v/>
      </c>
      <c r="K4816" s="35" t="str">
        <f aca="false">IF($A4816="","",MOD(MONTH($A4816)-Setup!$B$6+12,12)+1)</f>
        <v/>
      </c>
      <c r="L4816" s="36" t="str">
        <f aca="false">IF($A4816="","",TEXT($A4816,"MMM-YY"))</f>
        <v/>
      </c>
      <c r="M4816" s="37" t="str">
        <f aca="false">IF($A4816="","",IF($Q4816=0,"UNMAPPED",INDEX(COA_Mapping!$C$7:$C$256,$Q4816)))</f>
        <v/>
      </c>
      <c r="N4816" s="38" t="str">
        <f aca="false">IF($A4816="","",IF($Q4816=0,"",INDEX(COA_Mapping!$E$7:$E$256,$Q4816)))</f>
        <v/>
      </c>
      <c r="O4816" s="38" t="n">
        <f aca="false">IF($A4816="",1,IF($Q4816=0,1,INDEX(COA_Mapping!$F$7:$F$256,$Q4816)))</f>
        <v>1</v>
      </c>
      <c r="P4816" s="34" t="str">
        <f aca="false">IF($A4816="","",$I4816*$O4816)</f>
        <v/>
      </c>
      <c r="Q4816" s="39" t="n">
        <f aca="false">IF($B4816="",0,IFERROR(MATCH($B4816,COA_Mapping!$A$7:$A$256,0),0))</f>
        <v>0</v>
      </c>
      <c r="R4816" s="39" t="n">
        <f aca="false">IF($A4816="",-1,IF($J4816=Setup!$B$7,1,IF($J4816=Setup!$B$9,0,-1)))</f>
        <v>-1</v>
      </c>
      <c r="S4816" s="35" t="n">
        <f aca="false">IF(OR($A4816="",$Q4816=0,$R4816=-1),0,$Q4816*1000+$R4816*100+$K4816)</f>
        <v>0</v>
      </c>
      <c r="T4816" s="37" t="str">
        <f aca="false">IF($A4816="","",IF($B4816="","NO ACCOUNT",IF($Q4816=0,"UNMAPPED",IF($R4816=-1,"OUTSIDE FY RANGE","OK"))))</f>
        <v/>
      </c>
      <c r="U4816" s="40" t="str">
        <f aca="false">IF($A4816="","",$B4816&amp;"|"&amp;TEXT($A4816,"yyyymmdd")&amp;"|"&amp;TEXT($I4816,"0.00"))</f>
        <v/>
      </c>
      <c r="V4816" s="35" t="str">
        <f aca="false">IF($A4816="","",COUNTIF($U$8:$U$5007,$U4816))</f>
        <v/>
      </c>
    </row>
    <row r="4817" customFormat="false" ht="15" hidden="false" customHeight="false" outlineLevel="0" collapsed="false">
      <c r="A4817" s="31"/>
      <c r="B4817" s="32"/>
      <c r="C4817" s="32"/>
      <c r="D4817" s="32"/>
      <c r="E4817" s="32"/>
      <c r="F4817" s="32"/>
      <c r="G4817" s="33"/>
      <c r="H4817" s="33"/>
      <c r="I4817" s="34" t="str">
        <f aca="false">IF($A4817="","",$G4817-$H4817)</f>
        <v/>
      </c>
      <c r="J4817" s="35" t="str">
        <f aca="false">IF($A4817="","",IF(Setup!$B$6=1,YEAR($A4817),YEAR($A4817)+IF(MONTH($A4817)&gt;=Setup!$B$6,1,0)))</f>
        <v/>
      </c>
      <c r="K4817" s="35" t="str">
        <f aca="false">IF($A4817="","",MOD(MONTH($A4817)-Setup!$B$6+12,12)+1)</f>
        <v/>
      </c>
      <c r="L4817" s="36" t="str">
        <f aca="false">IF($A4817="","",TEXT($A4817,"MMM-YY"))</f>
        <v/>
      </c>
      <c r="M4817" s="37" t="str">
        <f aca="false">IF($A4817="","",IF($Q4817=0,"UNMAPPED",INDEX(COA_Mapping!$C$7:$C$256,$Q4817)))</f>
        <v/>
      </c>
      <c r="N4817" s="38" t="str">
        <f aca="false">IF($A4817="","",IF($Q4817=0,"",INDEX(COA_Mapping!$E$7:$E$256,$Q4817)))</f>
        <v/>
      </c>
      <c r="O4817" s="38" t="n">
        <f aca="false">IF($A4817="",1,IF($Q4817=0,1,INDEX(COA_Mapping!$F$7:$F$256,$Q4817)))</f>
        <v>1</v>
      </c>
      <c r="P4817" s="34" t="str">
        <f aca="false">IF($A4817="","",$I4817*$O4817)</f>
        <v/>
      </c>
      <c r="Q4817" s="39" t="n">
        <f aca="false">IF($B4817="",0,IFERROR(MATCH($B4817,COA_Mapping!$A$7:$A$256,0),0))</f>
        <v>0</v>
      </c>
      <c r="R4817" s="39" t="n">
        <f aca="false">IF($A4817="",-1,IF($J4817=Setup!$B$7,1,IF($J4817=Setup!$B$9,0,-1)))</f>
        <v>-1</v>
      </c>
      <c r="S4817" s="35" t="n">
        <f aca="false">IF(OR($A4817="",$Q4817=0,$R4817=-1),0,$Q4817*1000+$R4817*100+$K4817)</f>
        <v>0</v>
      </c>
      <c r="T4817" s="37" t="str">
        <f aca="false">IF($A4817="","",IF($B4817="","NO ACCOUNT",IF($Q4817=0,"UNMAPPED",IF($R4817=-1,"OUTSIDE FY RANGE","OK"))))</f>
        <v/>
      </c>
      <c r="U4817" s="40" t="str">
        <f aca="false">IF($A4817="","",$B4817&amp;"|"&amp;TEXT($A4817,"yyyymmdd")&amp;"|"&amp;TEXT($I4817,"0.00"))</f>
        <v/>
      </c>
      <c r="V4817" s="35" t="str">
        <f aca="false">IF($A4817="","",COUNTIF($U$8:$U$5007,$U4817))</f>
        <v/>
      </c>
    </row>
    <row r="4818" customFormat="false" ht="15" hidden="false" customHeight="false" outlineLevel="0" collapsed="false">
      <c r="A4818" s="31"/>
      <c r="B4818" s="32"/>
      <c r="C4818" s="32"/>
      <c r="D4818" s="32"/>
      <c r="E4818" s="32"/>
      <c r="F4818" s="32"/>
      <c r="G4818" s="33"/>
      <c r="H4818" s="33"/>
      <c r="I4818" s="34" t="str">
        <f aca="false">IF($A4818="","",$G4818-$H4818)</f>
        <v/>
      </c>
      <c r="J4818" s="35" t="str">
        <f aca="false">IF($A4818="","",IF(Setup!$B$6=1,YEAR($A4818),YEAR($A4818)+IF(MONTH($A4818)&gt;=Setup!$B$6,1,0)))</f>
        <v/>
      </c>
      <c r="K4818" s="35" t="str">
        <f aca="false">IF($A4818="","",MOD(MONTH($A4818)-Setup!$B$6+12,12)+1)</f>
        <v/>
      </c>
      <c r="L4818" s="36" t="str">
        <f aca="false">IF($A4818="","",TEXT($A4818,"MMM-YY"))</f>
        <v/>
      </c>
      <c r="M4818" s="37" t="str">
        <f aca="false">IF($A4818="","",IF($Q4818=0,"UNMAPPED",INDEX(COA_Mapping!$C$7:$C$256,$Q4818)))</f>
        <v/>
      </c>
      <c r="N4818" s="38" t="str">
        <f aca="false">IF($A4818="","",IF($Q4818=0,"",INDEX(COA_Mapping!$E$7:$E$256,$Q4818)))</f>
        <v/>
      </c>
      <c r="O4818" s="38" t="n">
        <f aca="false">IF($A4818="",1,IF($Q4818=0,1,INDEX(COA_Mapping!$F$7:$F$256,$Q4818)))</f>
        <v>1</v>
      </c>
      <c r="P4818" s="34" t="str">
        <f aca="false">IF($A4818="","",$I4818*$O4818)</f>
        <v/>
      </c>
      <c r="Q4818" s="39" t="n">
        <f aca="false">IF($B4818="",0,IFERROR(MATCH($B4818,COA_Mapping!$A$7:$A$256,0),0))</f>
        <v>0</v>
      </c>
      <c r="R4818" s="39" t="n">
        <f aca="false">IF($A4818="",-1,IF($J4818=Setup!$B$7,1,IF($J4818=Setup!$B$9,0,-1)))</f>
        <v>-1</v>
      </c>
      <c r="S4818" s="35" t="n">
        <f aca="false">IF(OR($A4818="",$Q4818=0,$R4818=-1),0,$Q4818*1000+$R4818*100+$K4818)</f>
        <v>0</v>
      </c>
      <c r="T4818" s="37" t="str">
        <f aca="false">IF($A4818="","",IF($B4818="","NO ACCOUNT",IF($Q4818=0,"UNMAPPED",IF($R4818=-1,"OUTSIDE FY RANGE","OK"))))</f>
        <v/>
      </c>
      <c r="U4818" s="40" t="str">
        <f aca="false">IF($A4818="","",$B4818&amp;"|"&amp;TEXT($A4818,"yyyymmdd")&amp;"|"&amp;TEXT($I4818,"0.00"))</f>
        <v/>
      </c>
      <c r="V4818" s="35" t="str">
        <f aca="false">IF($A4818="","",COUNTIF($U$8:$U$5007,$U4818))</f>
        <v/>
      </c>
    </row>
    <row r="4819" customFormat="false" ht="15" hidden="false" customHeight="false" outlineLevel="0" collapsed="false">
      <c r="A4819" s="31"/>
      <c r="B4819" s="32"/>
      <c r="C4819" s="32"/>
      <c r="D4819" s="32"/>
      <c r="E4819" s="32"/>
      <c r="F4819" s="32"/>
      <c r="G4819" s="33"/>
      <c r="H4819" s="33"/>
      <c r="I4819" s="34" t="str">
        <f aca="false">IF($A4819="","",$G4819-$H4819)</f>
        <v/>
      </c>
      <c r="J4819" s="35" t="str">
        <f aca="false">IF($A4819="","",IF(Setup!$B$6=1,YEAR($A4819),YEAR($A4819)+IF(MONTH($A4819)&gt;=Setup!$B$6,1,0)))</f>
        <v/>
      </c>
      <c r="K4819" s="35" t="str">
        <f aca="false">IF($A4819="","",MOD(MONTH($A4819)-Setup!$B$6+12,12)+1)</f>
        <v/>
      </c>
      <c r="L4819" s="36" t="str">
        <f aca="false">IF($A4819="","",TEXT($A4819,"MMM-YY"))</f>
        <v/>
      </c>
      <c r="M4819" s="37" t="str">
        <f aca="false">IF($A4819="","",IF($Q4819=0,"UNMAPPED",INDEX(COA_Mapping!$C$7:$C$256,$Q4819)))</f>
        <v/>
      </c>
      <c r="N4819" s="38" t="str">
        <f aca="false">IF($A4819="","",IF($Q4819=0,"",INDEX(COA_Mapping!$E$7:$E$256,$Q4819)))</f>
        <v/>
      </c>
      <c r="O4819" s="38" t="n">
        <f aca="false">IF($A4819="",1,IF($Q4819=0,1,INDEX(COA_Mapping!$F$7:$F$256,$Q4819)))</f>
        <v>1</v>
      </c>
      <c r="P4819" s="34" t="str">
        <f aca="false">IF($A4819="","",$I4819*$O4819)</f>
        <v/>
      </c>
      <c r="Q4819" s="39" t="n">
        <f aca="false">IF($B4819="",0,IFERROR(MATCH($B4819,COA_Mapping!$A$7:$A$256,0),0))</f>
        <v>0</v>
      </c>
      <c r="R4819" s="39" t="n">
        <f aca="false">IF($A4819="",-1,IF($J4819=Setup!$B$7,1,IF($J4819=Setup!$B$9,0,-1)))</f>
        <v>-1</v>
      </c>
      <c r="S4819" s="35" t="n">
        <f aca="false">IF(OR($A4819="",$Q4819=0,$R4819=-1),0,$Q4819*1000+$R4819*100+$K4819)</f>
        <v>0</v>
      </c>
      <c r="T4819" s="37" t="str">
        <f aca="false">IF($A4819="","",IF($B4819="","NO ACCOUNT",IF($Q4819=0,"UNMAPPED",IF($R4819=-1,"OUTSIDE FY RANGE","OK"))))</f>
        <v/>
      </c>
      <c r="U4819" s="40" t="str">
        <f aca="false">IF($A4819="","",$B4819&amp;"|"&amp;TEXT($A4819,"yyyymmdd")&amp;"|"&amp;TEXT($I4819,"0.00"))</f>
        <v/>
      </c>
      <c r="V4819" s="35" t="str">
        <f aca="false">IF($A4819="","",COUNTIF($U$8:$U$5007,$U4819))</f>
        <v/>
      </c>
    </row>
    <row r="4820" customFormat="false" ht="15" hidden="false" customHeight="false" outlineLevel="0" collapsed="false">
      <c r="A4820" s="31"/>
      <c r="B4820" s="32"/>
      <c r="C4820" s="32"/>
      <c r="D4820" s="32"/>
      <c r="E4820" s="32"/>
      <c r="F4820" s="32"/>
      <c r="G4820" s="33"/>
      <c r="H4820" s="33"/>
      <c r="I4820" s="34" t="str">
        <f aca="false">IF($A4820="","",$G4820-$H4820)</f>
        <v/>
      </c>
      <c r="J4820" s="35" t="str">
        <f aca="false">IF($A4820="","",IF(Setup!$B$6=1,YEAR($A4820),YEAR($A4820)+IF(MONTH($A4820)&gt;=Setup!$B$6,1,0)))</f>
        <v/>
      </c>
      <c r="K4820" s="35" t="str">
        <f aca="false">IF($A4820="","",MOD(MONTH($A4820)-Setup!$B$6+12,12)+1)</f>
        <v/>
      </c>
      <c r="L4820" s="36" t="str">
        <f aca="false">IF($A4820="","",TEXT($A4820,"MMM-YY"))</f>
        <v/>
      </c>
      <c r="M4820" s="37" t="str">
        <f aca="false">IF($A4820="","",IF($Q4820=0,"UNMAPPED",INDEX(COA_Mapping!$C$7:$C$256,$Q4820)))</f>
        <v/>
      </c>
      <c r="N4820" s="38" t="str">
        <f aca="false">IF($A4820="","",IF($Q4820=0,"",INDEX(COA_Mapping!$E$7:$E$256,$Q4820)))</f>
        <v/>
      </c>
      <c r="O4820" s="38" t="n">
        <f aca="false">IF($A4820="",1,IF($Q4820=0,1,INDEX(COA_Mapping!$F$7:$F$256,$Q4820)))</f>
        <v>1</v>
      </c>
      <c r="P4820" s="34" t="str">
        <f aca="false">IF($A4820="","",$I4820*$O4820)</f>
        <v/>
      </c>
      <c r="Q4820" s="39" t="n">
        <f aca="false">IF($B4820="",0,IFERROR(MATCH($B4820,COA_Mapping!$A$7:$A$256,0),0))</f>
        <v>0</v>
      </c>
      <c r="R4820" s="39" t="n">
        <f aca="false">IF($A4820="",-1,IF($J4820=Setup!$B$7,1,IF($J4820=Setup!$B$9,0,-1)))</f>
        <v>-1</v>
      </c>
      <c r="S4820" s="35" t="n">
        <f aca="false">IF(OR($A4820="",$Q4820=0,$R4820=-1),0,$Q4820*1000+$R4820*100+$K4820)</f>
        <v>0</v>
      </c>
      <c r="T4820" s="37" t="str">
        <f aca="false">IF($A4820="","",IF($B4820="","NO ACCOUNT",IF($Q4820=0,"UNMAPPED",IF($R4820=-1,"OUTSIDE FY RANGE","OK"))))</f>
        <v/>
      </c>
      <c r="U4820" s="40" t="str">
        <f aca="false">IF($A4820="","",$B4820&amp;"|"&amp;TEXT($A4820,"yyyymmdd")&amp;"|"&amp;TEXT($I4820,"0.00"))</f>
        <v/>
      </c>
      <c r="V4820" s="35" t="str">
        <f aca="false">IF($A4820="","",COUNTIF($U$8:$U$5007,$U4820))</f>
        <v/>
      </c>
    </row>
    <row r="4821" customFormat="false" ht="15" hidden="false" customHeight="false" outlineLevel="0" collapsed="false">
      <c r="A4821" s="31"/>
      <c r="B4821" s="32"/>
      <c r="C4821" s="32"/>
      <c r="D4821" s="32"/>
      <c r="E4821" s="32"/>
      <c r="F4821" s="32"/>
      <c r="G4821" s="33"/>
      <c r="H4821" s="33"/>
      <c r="I4821" s="34" t="str">
        <f aca="false">IF($A4821="","",$G4821-$H4821)</f>
        <v/>
      </c>
      <c r="J4821" s="35" t="str">
        <f aca="false">IF($A4821="","",IF(Setup!$B$6=1,YEAR($A4821),YEAR($A4821)+IF(MONTH($A4821)&gt;=Setup!$B$6,1,0)))</f>
        <v/>
      </c>
      <c r="K4821" s="35" t="str">
        <f aca="false">IF($A4821="","",MOD(MONTH($A4821)-Setup!$B$6+12,12)+1)</f>
        <v/>
      </c>
      <c r="L4821" s="36" t="str">
        <f aca="false">IF($A4821="","",TEXT($A4821,"MMM-YY"))</f>
        <v/>
      </c>
      <c r="M4821" s="37" t="str">
        <f aca="false">IF($A4821="","",IF($Q4821=0,"UNMAPPED",INDEX(COA_Mapping!$C$7:$C$256,$Q4821)))</f>
        <v/>
      </c>
      <c r="N4821" s="38" t="str">
        <f aca="false">IF($A4821="","",IF($Q4821=0,"",INDEX(COA_Mapping!$E$7:$E$256,$Q4821)))</f>
        <v/>
      </c>
      <c r="O4821" s="38" t="n">
        <f aca="false">IF($A4821="",1,IF($Q4821=0,1,INDEX(COA_Mapping!$F$7:$F$256,$Q4821)))</f>
        <v>1</v>
      </c>
      <c r="P4821" s="34" t="str">
        <f aca="false">IF($A4821="","",$I4821*$O4821)</f>
        <v/>
      </c>
      <c r="Q4821" s="39" t="n">
        <f aca="false">IF($B4821="",0,IFERROR(MATCH($B4821,COA_Mapping!$A$7:$A$256,0),0))</f>
        <v>0</v>
      </c>
      <c r="R4821" s="39" t="n">
        <f aca="false">IF($A4821="",-1,IF($J4821=Setup!$B$7,1,IF($J4821=Setup!$B$9,0,-1)))</f>
        <v>-1</v>
      </c>
      <c r="S4821" s="35" t="n">
        <f aca="false">IF(OR($A4821="",$Q4821=0,$R4821=-1),0,$Q4821*1000+$R4821*100+$K4821)</f>
        <v>0</v>
      </c>
      <c r="T4821" s="37" t="str">
        <f aca="false">IF($A4821="","",IF($B4821="","NO ACCOUNT",IF($Q4821=0,"UNMAPPED",IF($R4821=-1,"OUTSIDE FY RANGE","OK"))))</f>
        <v/>
      </c>
      <c r="U4821" s="40" t="str">
        <f aca="false">IF($A4821="","",$B4821&amp;"|"&amp;TEXT($A4821,"yyyymmdd")&amp;"|"&amp;TEXT($I4821,"0.00"))</f>
        <v/>
      </c>
      <c r="V4821" s="35" t="str">
        <f aca="false">IF($A4821="","",COUNTIF($U$8:$U$5007,$U4821))</f>
        <v/>
      </c>
    </row>
    <row r="4822" customFormat="false" ht="15" hidden="false" customHeight="false" outlineLevel="0" collapsed="false">
      <c r="A4822" s="31"/>
      <c r="B4822" s="32"/>
      <c r="C4822" s="32"/>
      <c r="D4822" s="32"/>
      <c r="E4822" s="32"/>
      <c r="F4822" s="32"/>
      <c r="G4822" s="33"/>
      <c r="H4822" s="33"/>
      <c r="I4822" s="34" t="str">
        <f aca="false">IF($A4822="","",$G4822-$H4822)</f>
        <v/>
      </c>
      <c r="J4822" s="35" t="str">
        <f aca="false">IF($A4822="","",IF(Setup!$B$6=1,YEAR($A4822),YEAR($A4822)+IF(MONTH($A4822)&gt;=Setup!$B$6,1,0)))</f>
        <v/>
      </c>
      <c r="K4822" s="35" t="str">
        <f aca="false">IF($A4822="","",MOD(MONTH($A4822)-Setup!$B$6+12,12)+1)</f>
        <v/>
      </c>
      <c r="L4822" s="36" t="str">
        <f aca="false">IF($A4822="","",TEXT($A4822,"MMM-YY"))</f>
        <v/>
      </c>
      <c r="M4822" s="37" t="str">
        <f aca="false">IF($A4822="","",IF($Q4822=0,"UNMAPPED",INDEX(COA_Mapping!$C$7:$C$256,$Q4822)))</f>
        <v/>
      </c>
      <c r="N4822" s="38" t="str">
        <f aca="false">IF($A4822="","",IF($Q4822=0,"",INDEX(COA_Mapping!$E$7:$E$256,$Q4822)))</f>
        <v/>
      </c>
      <c r="O4822" s="38" t="n">
        <f aca="false">IF($A4822="",1,IF($Q4822=0,1,INDEX(COA_Mapping!$F$7:$F$256,$Q4822)))</f>
        <v>1</v>
      </c>
      <c r="P4822" s="34" t="str">
        <f aca="false">IF($A4822="","",$I4822*$O4822)</f>
        <v/>
      </c>
      <c r="Q4822" s="39" t="n">
        <f aca="false">IF($B4822="",0,IFERROR(MATCH($B4822,COA_Mapping!$A$7:$A$256,0),0))</f>
        <v>0</v>
      </c>
      <c r="R4822" s="39" t="n">
        <f aca="false">IF($A4822="",-1,IF($J4822=Setup!$B$7,1,IF($J4822=Setup!$B$9,0,-1)))</f>
        <v>-1</v>
      </c>
      <c r="S4822" s="35" t="n">
        <f aca="false">IF(OR($A4822="",$Q4822=0,$R4822=-1),0,$Q4822*1000+$R4822*100+$K4822)</f>
        <v>0</v>
      </c>
      <c r="T4822" s="37" t="str">
        <f aca="false">IF($A4822="","",IF($B4822="","NO ACCOUNT",IF($Q4822=0,"UNMAPPED",IF($R4822=-1,"OUTSIDE FY RANGE","OK"))))</f>
        <v/>
      </c>
      <c r="U4822" s="40" t="str">
        <f aca="false">IF($A4822="","",$B4822&amp;"|"&amp;TEXT($A4822,"yyyymmdd")&amp;"|"&amp;TEXT($I4822,"0.00"))</f>
        <v/>
      </c>
      <c r="V4822" s="35" t="str">
        <f aca="false">IF($A4822="","",COUNTIF($U$8:$U$5007,$U4822))</f>
        <v/>
      </c>
    </row>
    <row r="4823" customFormat="false" ht="15" hidden="false" customHeight="false" outlineLevel="0" collapsed="false">
      <c r="A4823" s="31"/>
      <c r="B4823" s="32"/>
      <c r="C4823" s="32"/>
      <c r="D4823" s="32"/>
      <c r="E4823" s="32"/>
      <c r="F4823" s="32"/>
      <c r="G4823" s="33"/>
      <c r="H4823" s="33"/>
      <c r="I4823" s="34" t="str">
        <f aca="false">IF($A4823="","",$G4823-$H4823)</f>
        <v/>
      </c>
      <c r="J4823" s="35" t="str">
        <f aca="false">IF($A4823="","",IF(Setup!$B$6=1,YEAR($A4823),YEAR($A4823)+IF(MONTH($A4823)&gt;=Setup!$B$6,1,0)))</f>
        <v/>
      </c>
      <c r="K4823" s="35" t="str">
        <f aca="false">IF($A4823="","",MOD(MONTH($A4823)-Setup!$B$6+12,12)+1)</f>
        <v/>
      </c>
      <c r="L4823" s="36" t="str">
        <f aca="false">IF($A4823="","",TEXT($A4823,"MMM-YY"))</f>
        <v/>
      </c>
      <c r="M4823" s="37" t="str">
        <f aca="false">IF($A4823="","",IF($Q4823=0,"UNMAPPED",INDEX(COA_Mapping!$C$7:$C$256,$Q4823)))</f>
        <v/>
      </c>
      <c r="N4823" s="38" t="str">
        <f aca="false">IF($A4823="","",IF($Q4823=0,"",INDEX(COA_Mapping!$E$7:$E$256,$Q4823)))</f>
        <v/>
      </c>
      <c r="O4823" s="38" t="n">
        <f aca="false">IF($A4823="",1,IF($Q4823=0,1,INDEX(COA_Mapping!$F$7:$F$256,$Q4823)))</f>
        <v>1</v>
      </c>
      <c r="P4823" s="34" t="str">
        <f aca="false">IF($A4823="","",$I4823*$O4823)</f>
        <v/>
      </c>
      <c r="Q4823" s="39" t="n">
        <f aca="false">IF($B4823="",0,IFERROR(MATCH($B4823,COA_Mapping!$A$7:$A$256,0),0))</f>
        <v>0</v>
      </c>
      <c r="R4823" s="39" t="n">
        <f aca="false">IF($A4823="",-1,IF($J4823=Setup!$B$7,1,IF($J4823=Setup!$B$9,0,-1)))</f>
        <v>-1</v>
      </c>
      <c r="S4823" s="35" t="n">
        <f aca="false">IF(OR($A4823="",$Q4823=0,$R4823=-1),0,$Q4823*1000+$R4823*100+$K4823)</f>
        <v>0</v>
      </c>
      <c r="T4823" s="37" t="str">
        <f aca="false">IF($A4823="","",IF($B4823="","NO ACCOUNT",IF($Q4823=0,"UNMAPPED",IF($R4823=-1,"OUTSIDE FY RANGE","OK"))))</f>
        <v/>
      </c>
      <c r="U4823" s="40" t="str">
        <f aca="false">IF($A4823="","",$B4823&amp;"|"&amp;TEXT($A4823,"yyyymmdd")&amp;"|"&amp;TEXT($I4823,"0.00"))</f>
        <v/>
      </c>
      <c r="V4823" s="35" t="str">
        <f aca="false">IF($A4823="","",COUNTIF($U$8:$U$5007,$U4823))</f>
        <v/>
      </c>
    </row>
    <row r="4824" customFormat="false" ht="15" hidden="false" customHeight="false" outlineLevel="0" collapsed="false">
      <c r="A4824" s="31"/>
      <c r="B4824" s="32"/>
      <c r="C4824" s="32"/>
      <c r="D4824" s="32"/>
      <c r="E4824" s="32"/>
      <c r="F4824" s="32"/>
      <c r="G4824" s="33"/>
      <c r="H4824" s="33"/>
      <c r="I4824" s="34" t="str">
        <f aca="false">IF($A4824="","",$G4824-$H4824)</f>
        <v/>
      </c>
      <c r="J4824" s="35" t="str">
        <f aca="false">IF($A4824="","",IF(Setup!$B$6=1,YEAR($A4824),YEAR($A4824)+IF(MONTH($A4824)&gt;=Setup!$B$6,1,0)))</f>
        <v/>
      </c>
      <c r="K4824" s="35" t="str">
        <f aca="false">IF($A4824="","",MOD(MONTH($A4824)-Setup!$B$6+12,12)+1)</f>
        <v/>
      </c>
      <c r="L4824" s="36" t="str">
        <f aca="false">IF($A4824="","",TEXT($A4824,"MMM-YY"))</f>
        <v/>
      </c>
      <c r="M4824" s="37" t="str">
        <f aca="false">IF($A4824="","",IF($Q4824=0,"UNMAPPED",INDEX(COA_Mapping!$C$7:$C$256,$Q4824)))</f>
        <v/>
      </c>
      <c r="N4824" s="38" t="str">
        <f aca="false">IF($A4824="","",IF($Q4824=0,"",INDEX(COA_Mapping!$E$7:$E$256,$Q4824)))</f>
        <v/>
      </c>
      <c r="O4824" s="38" t="n">
        <f aca="false">IF($A4824="",1,IF($Q4824=0,1,INDEX(COA_Mapping!$F$7:$F$256,$Q4824)))</f>
        <v>1</v>
      </c>
      <c r="P4824" s="34" t="str">
        <f aca="false">IF($A4824="","",$I4824*$O4824)</f>
        <v/>
      </c>
      <c r="Q4824" s="39" t="n">
        <f aca="false">IF($B4824="",0,IFERROR(MATCH($B4824,COA_Mapping!$A$7:$A$256,0),0))</f>
        <v>0</v>
      </c>
      <c r="R4824" s="39" t="n">
        <f aca="false">IF($A4824="",-1,IF($J4824=Setup!$B$7,1,IF($J4824=Setup!$B$9,0,-1)))</f>
        <v>-1</v>
      </c>
      <c r="S4824" s="35" t="n">
        <f aca="false">IF(OR($A4824="",$Q4824=0,$R4824=-1),0,$Q4824*1000+$R4824*100+$K4824)</f>
        <v>0</v>
      </c>
      <c r="T4824" s="37" t="str">
        <f aca="false">IF($A4824="","",IF($B4824="","NO ACCOUNT",IF($Q4824=0,"UNMAPPED",IF($R4824=-1,"OUTSIDE FY RANGE","OK"))))</f>
        <v/>
      </c>
      <c r="U4824" s="40" t="str">
        <f aca="false">IF($A4824="","",$B4824&amp;"|"&amp;TEXT($A4824,"yyyymmdd")&amp;"|"&amp;TEXT($I4824,"0.00"))</f>
        <v/>
      </c>
      <c r="V4824" s="35" t="str">
        <f aca="false">IF($A4824="","",COUNTIF($U$8:$U$5007,$U4824))</f>
        <v/>
      </c>
    </row>
    <row r="4825" customFormat="false" ht="15" hidden="false" customHeight="false" outlineLevel="0" collapsed="false">
      <c r="A4825" s="31"/>
      <c r="B4825" s="32"/>
      <c r="C4825" s="32"/>
      <c r="D4825" s="32"/>
      <c r="E4825" s="32"/>
      <c r="F4825" s="32"/>
      <c r="G4825" s="33"/>
      <c r="H4825" s="33"/>
      <c r="I4825" s="34" t="str">
        <f aca="false">IF($A4825="","",$G4825-$H4825)</f>
        <v/>
      </c>
      <c r="J4825" s="35" t="str">
        <f aca="false">IF($A4825="","",IF(Setup!$B$6=1,YEAR($A4825),YEAR($A4825)+IF(MONTH($A4825)&gt;=Setup!$B$6,1,0)))</f>
        <v/>
      </c>
      <c r="K4825" s="35" t="str">
        <f aca="false">IF($A4825="","",MOD(MONTH($A4825)-Setup!$B$6+12,12)+1)</f>
        <v/>
      </c>
      <c r="L4825" s="36" t="str">
        <f aca="false">IF($A4825="","",TEXT($A4825,"MMM-YY"))</f>
        <v/>
      </c>
      <c r="M4825" s="37" t="str">
        <f aca="false">IF($A4825="","",IF($Q4825=0,"UNMAPPED",INDEX(COA_Mapping!$C$7:$C$256,$Q4825)))</f>
        <v/>
      </c>
      <c r="N4825" s="38" t="str">
        <f aca="false">IF($A4825="","",IF($Q4825=0,"",INDEX(COA_Mapping!$E$7:$E$256,$Q4825)))</f>
        <v/>
      </c>
      <c r="O4825" s="38" t="n">
        <f aca="false">IF($A4825="",1,IF($Q4825=0,1,INDEX(COA_Mapping!$F$7:$F$256,$Q4825)))</f>
        <v>1</v>
      </c>
      <c r="P4825" s="34" t="str">
        <f aca="false">IF($A4825="","",$I4825*$O4825)</f>
        <v/>
      </c>
      <c r="Q4825" s="39" t="n">
        <f aca="false">IF($B4825="",0,IFERROR(MATCH($B4825,COA_Mapping!$A$7:$A$256,0),0))</f>
        <v>0</v>
      </c>
      <c r="R4825" s="39" t="n">
        <f aca="false">IF($A4825="",-1,IF($J4825=Setup!$B$7,1,IF($J4825=Setup!$B$9,0,-1)))</f>
        <v>-1</v>
      </c>
      <c r="S4825" s="35" t="n">
        <f aca="false">IF(OR($A4825="",$Q4825=0,$R4825=-1),0,$Q4825*1000+$R4825*100+$K4825)</f>
        <v>0</v>
      </c>
      <c r="T4825" s="37" t="str">
        <f aca="false">IF($A4825="","",IF($B4825="","NO ACCOUNT",IF($Q4825=0,"UNMAPPED",IF($R4825=-1,"OUTSIDE FY RANGE","OK"))))</f>
        <v/>
      </c>
      <c r="U4825" s="40" t="str">
        <f aca="false">IF($A4825="","",$B4825&amp;"|"&amp;TEXT($A4825,"yyyymmdd")&amp;"|"&amp;TEXT($I4825,"0.00"))</f>
        <v/>
      </c>
      <c r="V4825" s="35" t="str">
        <f aca="false">IF($A4825="","",COUNTIF($U$8:$U$5007,$U4825))</f>
        <v/>
      </c>
    </row>
    <row r="4826" customFormat="false" ht="15" hidden="false" customHeight="false" outlineLevel="0" collapsed="false">
      <c r="A4826" s="31"/>
      <c r="B4826" s="32"/>
      <c r="C4826" s="32"/>
      <c r="D4826" s="32"/>
      <c r="E4826" s="32"/>
      <c r="F4826" s="32"/>
      <c r="G4826" s="33"/>
      <c r="H4826" s="33"/>
      <c r="I4826" s="34" t="str">
        <f aca="false">IF($A4826="","",$G4826-$H4826)</f>
        <v/>
      </c>
      <c r="J4826" s="35" t="str">
        <f aca="false">IF($A4826="","",IF(Setup!$B$6=1,YEAR($A4826),YEAR($A4826)+IF(MONTH($A4826)&gt;=Setup!$B$6,1,0)))</f>
        <v/>
      </c>
      <c r="K4826" s="35" t="str">
        <f aca="false">IF($A4826="","",MOD(MONTH($A4826)-Setup!$B$6+12,12)+1)</f>
        <v/>
      </c>
      <c r="L4826" s="36" t="str">
        <f aca="false">IF($A4826="","",TEXT($A4826,"MMM-YY"))</f>
        <v/>
      </c>
      <c r="M4826" s="37" t="str">
        <f aca="false">IF($A4826="","",IF($Q4826=0,"UNMAPPED",INDEX(COA_Mapping!$C$7:$C$256,$Q4826)))</f>
        <v/>
      </c>
      <c r="N4826" s="38" t="str">
        <f aca="false">IF($A4826="","",IF($Q4826=0,"",INDEX(COA_Mapping!$E$7:$E$256,$Q4826)))</f>
        <v/>
      </c>
      <c r="O4826" s="38" t="n">
        <f aca="false">IF($A4826="",1,IF($Q4826=0,1,INDEX(COA_Mapping!$F$7:$F$256,$Q4826)))</f>
        <v>1</v>
      </c>
      <c r="P4826" s="34" t="str">
        <f aca="false">IF($A4826="","",$I4826*$O4826)</f>
        <v/>
      </c>
      <c r="Q4826" s="39" t="n">
        <f aca="false">IF($B4826="",0,IFERROR(MATCH($B4826,COA_Mapping!$A$7:$A$256,0),0))</f>
        <v>0</v>
      </c>
      <c r="R4826" s="39" t="n">
        <f aca="false">IF($A4826="",-1,IF($J4826=Setup!$B$7,1,IF($J4826=Setup!$B$9,0,-1)))</f>
        <v>-1</v>
      </c>
      <c r="S4826" s="35" t="n">
        <f aca="false">IF(OR($A4826="",$Q4826=0,$R4826=-1),0,$Q4826*1000+$R4826*100+$K4826)</f>
        <v>0</v>
      </c>
      <c r="T4826" s="37" t="str">
        <f aca="false">IF($A4826="","",IF($B4826="","NO ACCOUNT",IF($Q4826=0,"UNMAPPED",IF($R4826=-1,"OUTSIDE FY RANGE","OK"))))</f>
        <v/>
      </c>
      <c r="U4826" s="40" t="str">
        <f aca="false">IF($A4826="","",$B4826&amp;"|"&amp;TEXT($A4826,"yyyymmdd")&amp;"|"&amp;TEXT($I4826,"0.00"))</f>
        <v/>
      </c>
      <c r="V4826" s="35" t="str">
        <f aca="false">IF($A4826="","",COUNTIF($U$8:$U$5007,$U4826))</f>
        <v/>
      </c>
    </row>
    <row r="4827" customFormat="false" ht="15" hidden="false" customHeight="false" outlineLevel="0" collapsed="false">
      <c r="A4827" s="31"/>
      <c r="B4827" s="32"/>
      <c r="C4827" s="32"/>
      <c r="D4827" s="32"/>
      <c r="E4827" s="32"/>
      <c r="F4827" s="32"/>
      <c r="G4827" s="33"/>
      <c r="H4827" s="33"/>
      <c r="I4827" s="34" t="str">
        <f aca="false">IF($A4827="","",$G4827-$H4827)</f>
        <v/>
      </c>
      <c r="J4827" s="35" t="str">
        <f aca="false">IF($A4827="","",IF(Setup!$B$6=1,YEAR($A4827),YEAR($A4827)+IF(MONTH($A4827)&gt;=Setup!$B$6,1,0)))</f>
        <v/>
      </c>
      <c r="K4827" s="35" t="str">
        <f aca="false">IF($A4827="","",MOD(MONTH($A4827)-Setup!$B$6+12,12)+1)</f>
        <v/>
      </c>
      <c r="L4827" s="36" t="str">
        <f aca="false">IF($A4827="","",TEXT($A4827,"MMM-YY"))</f>
        <v/>
      </c>
      <c r="M4827" s="37" t="str">
        <f aca="false">IF($A4827="","",IF($Q4827=0,"UNMAPPED",INDEX(COA_Mapping!$C$7:$C$256,$Q4827)))</f>
        <v/>
      </c>
      <c r="N4827" s="38" t="str">
        <f aca="false">IF($A4827="","",IF($Q4827=0,"",INDEX(COA_Mapping!$E$7:$E$256,$Q4827)))</f>
        <v/>
      </c>
      <c r="O4827" s="38" t="n">
        <f aca="false">IF($A4827="",1,IF($Q4827=0,1,INDEX(COA_Mapping!$F$7:$F$256,$Q4827)))</f>
        <v>1</v>
      </c>
      <c r="P4827" s="34" t="str">
        <f aca="false">IF($A4827="","",$I4827*$O4827)</f>
        <v/>
      </c>
      <c r="Q4827" s="39" t="n">
        <f aca="false">IF($B4827="",0,IFERROR(MATCH($B4827,COA_Mapping!$A$7:$A$256,0),0))</f>
        <v>0</v>
      </c>
      <c r="R4827" s="39" t="n">
        <f aca="false">IF($A4827="",-1,IF($J4827=Setup!$B$7,1,IF($J4827=Setup!$B$9,0,-1)))</f>
        <v>-1</v>
      </c>
      <c r="S4827" s="35" t="n">
        <f aca="false">IF(OR($A4827="",$Q4827=0,$R4827=-1),0,$Q4827*1000+$R4827*100+$K4827)</f>
        <v>0</v>
      </c>
      <c r="T4827" s="37" t="str">
        <f aca="false">IF($A4827="","",IF($B4827="","NO ACCOUNT",IF($Q4827=0,"UNMAPPED",IF($R4827=-1,"OUTSIDE FY RANGE","OK"))))</f>
        <v/>
      </c>
      <c r="U4827" s="40" t="str">
        <f aca="false">IF($A4827="","",$B4827&amp;"|"&amp;TEXT($A4827,"yyyymmdd")&amp;"|"&amp;TEXT($I4827,"0.00"))</f>
        <v/>
      </c>
      <c r="V4827" s="35" t="str">
        <f aca="false">IF($A4827="","",COUNTIF($U$8:$U$5007,$U4827))</f>
        <v/>
      </c>
    </row>
    <row r="4828" customFormat="false" ht="15" hidden="false" customHeight="false" outlineLevel="0" collapsed="false">
      <c r="A4828" s="31"/>
      <c r="B4828" s="32"/>
      <c r="C4828" s="32"/>
      <c r="D4828" s="32"/>
      <c r="E4828" s="32"/>
      <c r="F4828" s="32"/>
      <c r="G4828" s="33"/>
      <c r="H4828" s="33"/>
      <c r="I4828" s="34" t="str">
        <f aca="false">IF($A4828="","",$G4828-$H4828)</f>
        <v/>
      </c>
      <c r="J4828" s="35" t="str">
        <f aca="false">IF($A4828="","",IF(Setup!$B$6=1,YEAR($A4828),YEAR($A4828)+IF(MONTH($A4828)&gt;=Setup!$B$6,1,0)))</f>
        <v/>
      </c>
      <c r="K4828" s="35" t="str">
        <f aca="false">IF($A4828="","",MOD(MONTH($A4828)-Setup!$B$6+12,12)+1)</f>
        <v/>
      </c>
      <c r="L4828" s="36" t="str">
        <f aca="false">IF($A4828="","",TEXT($A4828,"MMM-YY"))</f>
        <v/>
      </c>
      <c r="M4828" s="37" t="str">
        <f aca="false">IF($A4828="","",IF($Q4828=0,"UNMAPPED",INDEX(COA_Mapping!$C$7:$C$256,$Q4828)))</f>
        <v/>
      </c>
      <c r="N4828" s="38" t="str">
        <f aca="false">IF($A4828="","",IF($Q4828=0,"",INDEX(COA_Mapping!$E$7:$E$256,$Q4828)))</f>
        <v/>
      </c>
      <c r="O4828" s="38" t="n">
        <f aca="false">IF($A4828="",1,IF($Q4828=0,1,INDEX(COA_Mapping!$F$7:$F$256,$Q4828)))</f>
        <v>1</v>
      </c>
      <c r="P4828" s="34" t="str">
        <f aca="false">IF($A4828="","",$I4828*$O4828)</f>
        <v/>
      </c>
      <c r="Q4828" s="39" t="n">
        <f aca="false">IF($B4828="",0,IFERROR(MATCH($B4828,COA_Mapping!$A$7:$A$256,0),0))</f>
        <v>0</v>
      </c>
      <c r="R4828" s="39" t="n">
        <f aca="false">IF($A4828="",-1,IF($J4828=Setup!$B$7,1,IF($J4828=Setup!$B$9,0,-1)))</f>
        <v>-1</v>
      </c>
      <c r="S4828" s="35" t="n">
        <f aca="false">IF(OR($A4828="",$Q4828=0,$R4828=-1),0,$Q4828*1000+$R4828*100+$K4828)</f>
        <v>0</v>
      </c>
      <c r="T4828" s="37" t="str">
        <f aca="false">IF($A4828="","",IF($B4828="","NO ACCOUNT",IF($Q4828=0,"UNMAPPED",IF($R4828=-1,"OUTSIDE FY RANGE","OK"))))</f>
        <v/>
      </c>
      <c r="U4828" s="40" t="str">
        <f aca="false">IF($A4828="","",$B4828&amp;"|"&amp;TEXT($A4828,"yyyymmdd")&amp;"|"&amp;TEXT($I4828,"0.00"))</f>
        <v/>
      </c>
      <c r="V4828" s="35" t="str">
        <f aca="false">IF($A4828="","",COUNTIF($U$8:$U$5007,$U4828))</f>
        <v/>
      </c>
    </row>
    <row r="4829" customFormat="false" ht="15" hidden="false" customHeight="false" outlineLevel="0" collapsed="false">
      <c r="A4829" s="31"/>
      <c r="B4829" s="32"/>
      <c r="C4829" s="32"/>
      <c r="D4829" s="32"/>
      <c r="E4829" s="32"/>
      <c r="F4829" s="32"/>
      <c r="G4829" s="33"/>
      <c r="H4829" s="33"/>
      <c r="I4829" s="34" t="str">
        <f aca="false">IF($A4829="","",$G4829-$H4829)</f>
        <v/>
      </c>
      <c r="J4829" s="35" t="str">
        <f aca="false">IF($A4829="","",IF(Setup!$B$6=1,YEAR($A4829),YEAR($A4829)+IF(MONTH($A4829)&gt;=Setup!$B$6,1,0)))</f>
        <v/>
      </c>
      <c r="K4829" s="35" t="str">
        <f aca="false">IF($A4829="","",MOD(MONTH($A4829)-Setup!$B$6+12,12)+1)</f>
        <v/>
      </c>
      <c r="L4829" s="36" t="str">
        <f aca="false">IF($A4829="","",TEXT($A4829,"MMM-YY"))</f>
        <v/>
      </c>
      <c r="M4829" s="37" t="str">
        <f aca="false">IF($A4829="","",IF($Q4829=0,"UNMAPPED",INDEX(COA_Mapping!$C$7:$C$256,$Q4829)))</f>
        <v/>
      </c>
      <c r="N4829" s="38" t="str">
        <f aca="false">IF($A4829="","",IF($Q4829=0,"",INDEX(COA_Mapping!$E$7:$E$256,$Q4829)))</f>
        <v/>
      </c>
      <c r="O4829" s="38" t="n">
        <f aca="false">IF($A4829="",1,IF($Q4829=0,1,INDEX(COA_Mapping!$F$7:$F$256,$Q4829)))</f>
        <v>1</v>
      </c>
      <c r="P4829" s="34" t="str">
        <f aca="false">IF($A4829="","",$I4829*$O4829)</f>
        <v/>
      </c>
      <c r="Q4829" s="39" t="n">
        <f aca="false">IF($B4829="",0,IFERROR(MATCH($B4829,COA_Mapping!$A$7:$A$256,0),0))</f>
        <v>0</v>
      </c>
      <c r="R4829" s="39" t="n">
        <f aca="false">IF($A4829="",-1,IF($J4829=Setup!$B$7,1,IF($J4829=Setup!$B$9,0,-1)))</f>
        <v>-1</v>
      </c>
      <c r="S4829" s="35" t="n">
        <f aca="false">IF(OR($A4829="",$Q4829=0,$R4829=-1),0,$Q4829*1000+$R4829*100+$K4829)</f>
        <v>0</v>
      </c>
      <c r="T4829" s="37" t="str">
        <f aca="false">IF($A4829="","",IF($B4829="","NO ACCOUNT",IF($Q4829=0,"UNMAPPED",IF($R4829=-1,"OUTSIDE FY RANGE","OK"))))</f>
        <v/>
      </c>
      <c r="U4829" s="40" t="str">
        <f aca="false">IF($A4829="","",$B4829&amp;"|"&amp;TEXT($A4829,"yyyymmdd")&amp;"|"&amp;TEXT($I4829,"0.00"))</f>
        <v/>
      </c>
      <c r="V4829" s="35" t="str">
        <f aca="false">IF($A4829="","",COUNTIF($U$8:$U$5007,$U4829))</f>
        <v/>
      </c>
    </row>
    <row r="4830" customFormat="false" ht="15" hidden="false" customHeight="false" outlineLevel="0" collapsed="false">
      <c r="A4830" s="31"/>
      <c r="B4830" s="32"/>
      <c r="C4830" s="32"/>
      <c r="D4830" s="32"/>
      <c r="E4830" s="32"/>
      <c r="F4830" s="32"/>
      <c r="G4830" s="33"/>
      <c r="H4830" s="33"/>
      <c r="I4830" s="34" t="str">
        <f aca="false">IF($A4830="","",$G4830-$H4830)</f>
        <v/>
      </c>
      <c r="J4830" s="35" t="str">
        <f aca="false">IF($A4830="","",IF(Setup!$B$6=1,YEAR($A4830),YEAR($A4830)+IF(MONTH($A4830)&gt;=Setup!$B$6,1,0)))</f>
        <v/>
      </c>
      <c r="K4830" s="35" t="str">
        <f aca="false">IF($A4830="","",MOD(MONTH($A4830)-Setup!$B$6+12,12)+1)</f>
        <v/>
      </c>
      <c r="L4830" s="36" t="str">
        <f aca="false">IF($A4830="","",TEXT($A4830,"MMM-YY"))</f>
        <v/>
      </c>
      <c r="M4830" s="37" t="str">
        <f aca="false">IF($A4830="","",IF($Q4830=0,"UNMAPPED",INDEX(COA_Mapping!$C$7:$C$256,$Q4830)))</f>
        <v/>
      </c>
      <c r="N4830" s="38" t="str">
        <f aca="false">IF($A4830="","",IF($Q4830=0,"",INDEX(COA_Mapping!$E$7:$E$256,$Q4830)))</f>
        <v/>
      </c>
      <c r="O4830" s="38" t="n">
        <f aca="false">IF($A4830="",1,IF($Q4830=0,1,INDEX(COA_Mapping!$F$7:$F$256,$Q4830)))</f>
        <v>1</v>
      </c>
      <c r="P4830" s="34" t="str">
        <f aca="false">IF($A4830="","",$I4830*$O4830)</f>
        <v/>
      </c>
      <c r="Q4830" s="39" t="n">
        <f aca="false">IF($B4830="",0,IFERROR(MATCH($B4830,COA_Mapping!$A$7:$A$256,0),0))</f>
        <v>0</v>
      </c>
      <c r="R4830" s="39" t="n">
        <f aca="false">IF($A4830="",-1,IF($J4830=Setup!$B$7,1,IF($J4830=Setup!$B$9,0,-1)))</f>
        <v>-1</v>
      </c>
      <c r="S4830" s="35" t="n">
        <f aca="false">IF(OR($A4830="",$Q4830=0,$R4830=-1),0,$Q4830*1000+$R4830*100+$K4830)</f>
        <v>0</v>
      </c>
      <c r="T4830" s="37" t="str">
        <f aca="false">IF($A4830="","",IF($B4830="","NO ACCOUNT",IF($Q4830=0,"UNMAPPED",IF($R4830=-1,"OUTSIDE FY RANGE","OK"))))</f>
        <v/>
      </c>
      <c r="U4830" s="40" t="str">
        <f aca="false">IF($A4830="","",$B4830&amp;"|"&amp;TEXT($A4830,"yyyymmdd")&amp;"|"&amp;TEXT($I4830,"0.00"))</f>
        <v/>
      </c>
      <c r="V4830" s="35" t="str">
        <f aca="false">IF($A4830="","",COUNTIF($U$8:$U$5007,$U4830))</f>
        <v/>
      </c>
    </row>
    <row r="4831" customFormat="false" ht="15" hidden="false" customHeight="false" outlineLevel="0" collapsed="false">
      <c r="A4831" s="31"/>
      <c r="B4831" s="32"/>
      <c r="C4831" s="32"/>
      <c r="D4831" s="32"/>
      <c r="E4831" s="32"/>
      <c r="F4831" s="32"/>
      <c r="G4831" s="33"/>
      <c r="H4831" s="33"/>
      <c r="I4831" s="34" t="str">
        <f aca="false">IF($A4831="","",$G4831-$H4831)</f>
        <v/>
      </c>
      <c r="J4831" s="35" t="str">
        <f aca="false">IF($A4831="","",IF(Setup!$B$6=1,YEAR($A4831),YEAR($A4831)+IF(MONTH($A4831)&gt;=Setup!$B$6,1,0)))</f>
        <v/>
      </c>
      <c r="K4831" s="35" t="str">
        <f aca="false">IF($A4831="","",MOD(MONTH($A4831)-Setup!$B$6+12,12)+1)</f>
        <v/>
      </c>
      <c r="L4831" s="36" t="str">
        <f aca="false">IF($A4831="","",TEXT($A4831,"MMM-YY"))</f>
        <v/>
      </c>
      <c r="M4831" s="37" t="str">
        <f aca="false">IF($A4831="","",IF($Q4831=0,"UNMAPPED",INDEX(COA_Mapping!$C$7:$C$256,$Q4831)))</f>
        <v/>
      </c>
      <c r="N4831" s="38" t="str">
        <f aca="false">IF($A4831="","",IF($Q4831=0,"",INDEX(COA_Mapping!$E$7:$E$256,$Q4831)))</f>
        <v/>
      </c>
      <c r="O4831" s="38" t="n">
        <f aca="false">IF($A4831="",1,IF($Q4831=0,1,INDEX(COA_Mapping!$F$7:$F$256,$Q4831)))</f>
        <v>1</v>
      </c>
      <c r="P4831" s="34" t="str">
        <f aca="false">IF($A4831="","",$I4831*$O4831)</f>
        <v/>
      </c>
      <c r="Q4831" s="39" t="n">
        <f aca="false">IF($B4831="",0,IFERROR(MATCH($B4831,COA_Mapping!$A$7:$A$256,0),0))</f>
        <v>0</v>
      </c>
      <c r="R4831" s="39" t="n">
        <f aca="false">IF($A4831="",-1,IF($J4831=Setup!$B$7,1,IF($J4831=Setup!$B$9,0,-1)))</f>
        <v>-1</v>
      </c>
      <c r="S4831" s="35" t="n">
        <f aca="false">IF(OR($A4831="",$Q4831=0,$R4831=-1),0,$Q4831*1000+$R4831*100+$K4831)</f>
        <v>0</v>
      </c>
      <c r="T4831" s="37" t="str">
        <f aca="false">IF($A4831="","",IF($B4831="","NO ACCOUNT",IF($Q4831=0,"UNMAPPED",IF($R4831=-1,"OUTSIDE FY RANGE","OK"))))</f>
        <v/>
      </c>
      <c r="U4831" s="40" t="str">
        <f aca="false">IF($A4831="","",$B4831&amp;"|"&amp;TEXT($A4831,"yyyymmdd")&amp;"|"&amp;TEXT($I4831,"0.00"))</f>
        <v/>
      </c>
      <c r="V4831" s="35" t="str">
        <f aca="false">IF($A4831="","",COUNTIF($U$8:$U$5007,$U4831))</f>
        <v/>
      </c>
    </row>
    <row r="4832" customFormat="false" ht="15" hidden="false" customHeight="false" outlineLevel="0" collapsed="false">
      <c r="A4832" s="31"/>
      <c r="B4832" s="32"/>
      <c r="C4832" s="32"/>
      <c r="D4832" s="32"/>
      <c r="E4832" s="32"/>
      <c r="F4832" s="32"/>
      <c r="G4832" s="33"/>
      <c r="H4832" s="33"/>
      <c r="I4832" s="34" t="str">
        <f aca="false">IF($A4832="","",$G4832-$H4832)</f>
        <v/>
      </c>
      <c r="J4832" s="35" t="str">
        <f aca="false">IF($A4832="","",IF(Setup!$B$6=1,YEAR($A4832),YEAR($A4832)+IF(MONTH($A4832)&gt;=Setup!$B$6,1,0)))</f>
        <v/>
      </c>
      <c r="K4832" s="35" t="str">
        <f aca="false">IF($A4832="","",MOD(MONTH($A4832)-Setup!$B$6+12,12)+1)</f>
        <v/>
      </c>
      <c r="L4832" s="36" t="str">
        <f aca="false">IF($A4832="","",TEXT($A4832,"MMM-YY"))</f>
        <v/>
      </c>
      <c r="M4832" s="37" t="str">
        <f aca="false">IF($A4832="","",IF($Q4832=0,"UNMAPPED",INDEX(COA_Mapping!$C$7:$C$256,$Q4832)))</f>
        <v/>
      </c>
      <c r="N4832" s="38" t="str">
        <f aca="false">IF($A4832="","",IF($Q4832=0,"",INDEX(COA_Mapping!$E$7:$E$256,$Q4832)))</f>
        <v/>
      </c>
      <c r="O4832" s="38" t="n">
        <f aca="false">IF($A4832="",1,IF($Q4832=0,1,INDEX(COA_Mapping!$F$7:$F$256,$Q4832)))</f>
        <v>1</v>
      </c>
      <c r="P4832" s="34" t="str">
        <f aca="false">IF($A4832="","",$I4832*$O4832)</f>
        <v/>
      </c>
      <c r="Q4832" s="39" t="n">
        <f aca="false">IF($B4832="",0,IFERROR(MATCH($B4832,COA_Mapping!$A$7:$A$256,0),0))</f>
        <v>0</v>
      </c>
      <c r="R4832" s="39" t="n">
        <f aca="false">IF($A4832="",-1,IF($J4832=Setup!$B$7,1,IF($J4832=Setup!$B$9,0,-1)))</f>
        <v>-1</v>
      </c>
      <c r="S4832" s="35" t="n">
        <f aca="false">IF(OR($A4832="",$Q4832=0,$R4832=-1),0,$Q4832*1000+$R4832*100+$K4832)</f>
        <v>0</v>
      </c>
      <c r="T4832" s="37" t="str">
        <f aca="false">IF($A4832="","",IF($B4832="","NO ACCOUNT",IF($Q4832=0,"UNMAPPED",IF($R4832=-1,"OUTSIDE FY RANGE","OK"))))</f>
        <v/>
      </c>
      <c r="U4832" s="40" t="str">
        <f aca="false">IF($A4832="","",$B4832&amp;"|"&amp;TEXT($A4832,"yyyymmdd")&amp;"|"&amp;TEXT($I4832,"0.00"))</f>
        <v/>
      </c>
      <c r="V4832" s="35" t="str">
        <f aca="false">IF($A4832="","",COUNTIF($U$8:$U$5007,$U4832))</f>
        <v/>
      </c>
    </row>
    <row r="4833" customFormat="false" ht="15" hidden="false" customHeight="false" outlineLevel="0" collapsed="false">
      <c r="A4833" s="31"/>
      <c r="B4833" s="32"/>
      <c r="C4833" s="32"/>
      <c r="D4833" s="32"/>
      <c r="E4833" s="32"/>
      <c r="F4833" s="32"/>
      <c r="G4833" s="33"/>
      <c r="H4833" s="33"/>
      <c r="I4833" s="34" t="str">
        <f aca="false">IF($A4833="","",$G4833-$H4833)</f>
        <v/>
      </c>
      <c r="J4833" s="35" t="str">
        <f aca="false">IF($A4833="","",IF(Setup!$B$6=1,YEAR($A4833),YEAR($A4833)+IF(MONTH($A4833)&gt;=Setup!$B$6,1,0)))</f>
        <v/>
      </c>
      <c r="K4833" s="35" t="str">
        <f aca="false">IF($A4833="","",MOD(MONTH($A4833)-Setup!$B$6+12,12)+1)</f>
        <v/>
      </c>
      <c r="L4833" s="36" t="str">
        <f aca="false">IF($A4833="","",TEXT($A4833,"MMM-YY"))</f>
        <v/>
      </c>
      <c r="M4833" s="37" t="str">
        <f aca="false">IF($A4833="","",IF($Q4833=0,"UNMAPPED",INDEX(COA_Mapping!$C$7:$C$256,$Q4833)))</f>
        <v/>
      </c>
      <c r="N4833" s="38" t="str">
        <f aca="false">IF($A4833="","",IF($Q4833=0,"",INDEX(COA_Mapping!$E$7:$E$256,$Q4833)))</f>
        <v/>
      </c>
      <c r="O4833" s="38" t="n">
        <f aca="false">IF($A4833="",1,IF($Q4833=0,1,INDEX(COA_Mapping!$F$7:$F$256,$Q4833)))</f>
        <v>1</v>
      </c>
      <c r="P4833" s="34" t="str">
        <f aca="false">IF($A4833="","",$I4833*$O4833)</f>
        <v/>
      </c>
      <c r="Q4833" s="39" t="n">
        <f aca="false">IF($B4833="",0,IFERROR(MATCH($B4833,COA_Mapping!$A$7:$A$256,0),0))</f>
        <v>0</v>
      </c>
      <c r="R4833" s="39" t="n">
        <f aca="false">IF($A4833="",-1,IF($J4833=Setup!$B$7,1,IF($J4833=Setup!$B$9,0,-1)))</f>
        <v>-1</v>
      </c>
      <c r="S4833" s="35" t="n">
        <f aca="false">IF(OR($A4833="",$Q4833=0,$R4833=-1),0,$Q4833*1000+$R4833*100+$K4833)</f>
        <v>0</v>
      </c>
      <c r="T4833" s="37" t="str">
        <f aca="false">IF($A4833="","",IF($B4833="","NO ACCOUNT",IF($Q4833=0,"UNMAPPED",IF($R4833=-1,"OUTSIDE FY RANGE","OK"))))</f>
        <v/>
      </c>
      <c r="U4833" s="40" t="str">
        <f aca="false">IF($A4833="","",$B4833&amp;"|"&amp;TEXT($A4833,"yyyymmdd")&amp;"|"&amp;TEXT($I4833,"0.00"))</f>
        <v/>
      </c>
      <c r="V4833" s="35" t="str">
        <f aca="false">IF($A4833="","",COUNTIF($U$8:$U$5007,$U4833))</f>
        <v/>
      </c>
    </row>
    <row r="4834" customFormat="false" ht="15" hidden="false" customHeight="false" outlineLevel="0" collapsed="false">
      <c r="A4834" s="31"/>
      <c r="B4834" s="32"/>
      <c r="C4834" s="32"/>
      <c r="D4834" s="32"/>
      <c r="E4834" s="32"/>
      <c r="F4834" s="32"/>
      <c r="G4834" s="33"/>
      <c r="H4834" s="33"/>
      <c r="I4834" s="34" t="str">
        <f aca="false">IF($A4834="","",$G4834-$H4834)</f>
        <v/>
      </c>
      <c r="J4834" s="35" t="str">
        <f aca="false">IF($A4834="","",IF(Setup!$B$6=1,YEAR($A4834),YEAR($A4834)+IF(MONTH($A4834)&gt;=Setup!$B$6,1,0)))</f>
        <v/>
      </c>
      <c r="K4834" s="35" t="str">
        <f aca="false">IF($A4834="","",MOD(MONTH($A4834)-Setup!$B$6+12,12)+1)</f>
        <v/>
      </c>
      <c r="L4834" s="36" t="str">
        <f aca="false">IF($A4834="","",TEXT($A4834,"MMM-YY"))</f>
        <v/>
      </c>
      <c r="M4834" s="37" t="str">
        <f aca="false">IF($A4834="","",IF($Q4834=0,"UNMAPPED",INDEX(COA_Mapping!$C$7:$C$256,$Q4834)))</f>
        <v/>
      </c>
      <c r="N4834" s="38" t="str">
        <f aca="false">IF($A4834="","",IF($Q4834=0,"",INDEX(COA_Mapping!$E$7:$E$256,$Q4834)))</f>
        <v/>
      </c>
      <c r="O4834" s="38" t="n">
        <f aca="false">IF($A4834="",1,IF($Q4834=0,1,INDEX(COA_Mapping!$F$7:$F$256,$Q4834)))</f>
        <v>1</v>
      </c>
      <c r="P4834" s="34" t="str">
        <f aca="false">IF($A4834="","",$I4834*$O4834)</f>
        <v/>
      </c>
      <c r="Q4834" s="39" t="n">
        <f aca="false">IF($B4834="",0,IFERROR(MATCH($B4834,COA_Mapping!$A$7:$A$256,0),0))</f>
        <v>0</v>
      </c>
      <c r="R4834" s="39" t="n">
        <f aca="false">IF($A4834="",-1,IF($J4834=Setup!$B$7,1,IF($J4834=Setup!$B$9,0,-1)))</f>
        <v>-1</v>
      </c>
      <c r="S4834" s="35" t="n">
        <f aca="false">IF(OR($A4834="",$Q4834=0,$R4834=-1),0,$Q4834*1000+$R4834*100+$K4834)</f>
        <v>0</v>
      </c>
      <c r="T4834" s="37" t="str">
        <f aca="false">IF($A4834="","",IF($B4834="","NO ACCOUNT",IF($Q4834=0,"UNMAPPED",IF($R4834=-1,"OUTSIDE FY RANGE","OK"))))</f>
        <v/>
      </c>
      <c r="U4834" s="40" t="str">
        <f aca="false">IF($A4834="","",$B4834&amp;"|"&amp;TEXT($A4834,"yyyymmdd")&amp;"|"&amp;TEXT($I4834,"0.00"))</f>
        <v/>
      </c>
      <c r="V4834" s="35" t="str">
        <f aca="false">IF($A4834="","",COUNTIF($U$8:$U$5007,$U4834))</f>
        <v/>
      </c>
    </row>
    <row r="4835" customFormat="false" ht="15" hidden="false" customHeight="false" outlineLevel="0" collapsed="false">
      <c r="A4835" s="31"/>
      <c r="B4835" s="32"/>
      <c r="C4835" s="32"/>
      <c r="D4835" s="32"/>
      <c r="E4835" s="32"/>
      <c r="F4835" s="32"/>
      <c r="G4835" s="33"/>
      <c r="H4835" s="33"/>
      <c r="I4835" s="34" t="str">
        <f aca="false">IF($A4835="","",$G4835-$H4835)</f>
        <v/>
      </c>
      <c r="J4835" s="35" t="str">
        <f aca="false">IF($A4835="","",IF(Setup!$B$6=1,YEAR($A4835),YEAR($A4835)+IF(MONTH($A4835)&gt;=Setup!$B$6,1,0)))</f>
        <v/>
      </c>
      <c r="K4835" s="35" t="str">
        <f aca="false">IF($A4835="","",MOD(MONTH($A4835)-Setup!$B$6+12,12)+1)</f>
        <v/>
      </c>
      <c r="L4835" s="36" t="str">
        <f aca="false">IF($A4835="","",TEXT($A4835,"MMM-YY"))</f>
        <v/>
      </c>
      <c r="M4835" s="37" t="str">
        <f aca="false">IF($A4835="","",IF($Q4835=0,"UNMAPPED",INDEX(COA_Mapping!$C$7:$C$256,$Q4835)))</f>
        <v/>
      </c>
      <c r="N4835" s="38" t="str">
        <f aca="false">IF($A4835="","",IF($Q4835=0,"",INDEX(COA_Mapping!$E$7:$E$256,$Q4835)))</f>
        <v/>
      </c>
      <c r="O4835" s="38" t="n">
        <f aca="false">IF($A4835="",1,IF($Q4835=0,1,INDEX(COA_Mapping!$F$7:$F$256,$Q4835)))</f>
        <v>1</v>
      </c>
      <c r="P4835" s="34" t="str">
        <f aca="false">IF($A4835="","",$I4835*$O4835)</f>
        <v/>
      </c>
      <c r="Q4835" s="39" t="n">
        <f aca="false">IF($B4835="",0,IFERROR(MATCH($B4835,COA_Mapping!$A$7:$A$256,0),0))</f>
        <v>0</v>
      </c>
      <c r="R4835" s="39" t="n">
        <f aca="false">IF($A4835="",-1,IF($J4835=Setup!$B$7,1,IF($J4835=Setup!$B$9,0,-1)))</f>
        <v>-1</v>
      </c>
      <c r="S4835" s="35" t="n">
        <f aca="false">IF(OR($A4835="",$Q4835=0,$R4835=-1),0,$Q4835*1000+$R4835*100+$K4835)</f>
        <v>0</v>
      </c>
      <c r="T4835" s="37" t="str">
        <f aca="false">IF($A4835="","",IF($B4835="","NO ACCOUNT",IF($Q4835=0,"UNMAPPED",IF($R4835=-1,"OUTSIDE FY RANGE","OK"))))</f>
        <v/>
      </c>
      <c r="U4835" s="40" t="str">
        <f aca="false">IF($A4835="","",$B4835&amp;"|"&amp;TEXT($A4835,"yyyymmdd")&amp;"|"&amp;TEXT($I4835,"0.00"))</f>
        <v/>
      </c>
      <c r="V4835" s="35" t="str">
        <f aca="false">IF($A4835="","",COUNTIF($U$8:$U$5007,$U4835))</f>
        <v/>
      </c>
    </row>
    <row r="4836" customFormat="false" ht="15" hidden="false" customHeight="false" outlineLevel="0" collapsed="false">
      <c r="A4836" s="31"/>
      <c r="B4836" s="32"/>
      <c r="C4836" s="32"/>
      <c r="D4836" s="32"/>
      <c r="E4836" s="32"/>
      <c r="F4836" s="32"/>
      <c r="G4836" s="33"/>
      <c r="H4836" s="33"/>
      <c r="I4836" s="34" t="str">
        <f aca="false">IF($A4836="","",$G4836-$H4836)</f>
        <v/>
      </c>
      <c r="J4836" s="35" t="str">
        <f aca="false">IF($A4836="","",IF(Setup!$B$6=1,YEAR($A4836),YEAR($A4836)+IF(MONTH($A4836)&gt;=Setup!$B$6,1,0)))</f>
        <v/>
      </c>
      <c r="K4836" s="35" t="str">
        <f aca="false">IF($A4836="","",MOD(MONTH($A4836)-Setup!$B$6+12,12)+1)</f>
        <v/>
      </c>
      <c r="L4836" s="36" t="str">
        <f aca="false">IF($A4836="","",TEXT($A4836,"MMM-YY"))</f>
        <v/>
      </c>
      <c r="M4836" s="37" t="str">
        <f aca="false">IF($A4836="","",IF($Q4836=0,"UNMAPPED",INDEX(COA_Mapping!$C$7:$C$256,$Q4836)))</f>
        <v/>
      </c>
      <c r="N4836" s="38" t="str">
        <f aca="false">IF($A4836="","",IF($Q4836=0,"",INDEX(COA_Mapping!$E$7:$E$256,$Q4836)))</f>
        <v/>
      </c>
      <c r="O4836" s="38" t="n">
        <f aca="false">IF($A4836="",1,IF($Q4836=0,1,INDEX(COA_Mapping!$F$7:$F$256,$Q4836)))</f>
        <v>1</v>
      </c>
      <c r="P4836" s="34" t="str">
        <f aca="false">IF($A4836="","",$I4836*$O4836)</f>
        <v/>
      </c>
      <c r="Q4836" s="39" t="n">
        <f aca="false">IF($B4836="",0,IFERROR(MATCH($B4836,COA_Mapping!$A$7:$A$256,0),0))</f>
        <v>0</v>
      </c>
      <c r="R4836" s="39" t="n">
        <f aca="false">IF($A4836="",-1,IF($J4836=Setup!$B$7,1,IF($J4836=Setup!$B$9,0,-1)))</f>
        <v>-1</v>
      </c>
      <c r="S4836" s="35" t="n">
        <f aca="false">IF(OR($A4836="",$Q4836=0,$R4836=-1),0,$Q4836*1000+$R4836*100+$K4836)</f>
        <v>0</v>
      </c>
      <c r="T4836" s="37" t="str">
        <f aca="false">IF($A4836="","",IF($B4836="","NO ACCOUNT",IF($Q4836=0,"UNMAPPED",IF($R4836=-1,"OUTSIDE FY RANGE","OK"))))</f>
        <v/>
      </c>
      <c r="U4836" s="40" t="str">
        <f aca="false">IF($A4836="","",$B4836&amp;"|"&amp;TEXT($A4836,"yyyymmdd")&amp;"|"&amp;TEXT($I4836,"0.00"))</f>
        <v/>
      </c>
      <c r="V4836" s="35" t="str">
        <f aca="false">IF($A4836="","",COUNTIF($U$8:$U$5007,$U4836))</f>
        <v/>
      </c>
    </row>
    <row r="4837" customFormat="false" ht="15" hidden="false" customHeight="false" outlineLevel="0" collapsed="false">
      <c r="A4837" s="31"/>
      <c r="B4837" s="32"/>
      <c r="C4837" s="32"/>
      <c r="D4837" s="32"/>
      <c r="E4837" s="32"/>
      <c r="F4837" s="32"/>
      <c r="G4837" s="33"/>
      <c r="H4837" s="33"/>
      <c r="I4837" s="34" t="str">
        <f aca="false">IF($A4837="","",$G4837-$H4837)</f>
        <v/>
      </c>
      <c r="J4837" s="35" t="str">
        <f aca="false">IF($A4837="","",IF(Setup!$B$6=1,YEAR($A4837),YEAR($A4837)+IF(MONTH($A4837)&gt;=Setup!$B$6,1,0)))</f>
        <v/>
      </c>
      <c r="K4837" s="35" t="str">
        <f aca="false">IF($A4837="","",MOD(MONTH($A4837)-Setup!$B$6+12,12)+1)</f>
        <v/>
      </c>
      <c r="L4837" s="36" t="str">
        <f aca="false">IF($A4837="","",TEXT($A4837,"MMM-YY"))</f>
        <v/>
      </c>
      <c r="M4837" s="37" t="str">
        <f aca="false">IF($A4837="","",IF($Q4837=0,"UNMAPPED",INDEX(COA_Mapping!$C$7:$C$256,$Q4837)))</f>
        <v/>
      </c>
      <c r="N4837" s="38" t="str">
        <f aca="false">IF($A4837="","",IF($Q4837=0,"",INDEX(COA_Mapping!$E$7:$E$256,$Q4837)))</f>
        <v/>
      </c>
      <c r="O4837" s="38" t="n">
        <f aca="false">IF($A4837="",1,IF($Q4837=0,1,INDEX(COA_Mapping!$F$7:$F$256,$Q4837)))</f>
        <v>1</v>
      </c>
      <c r="P4837" s="34" t="str">
        <f aca="false">IF($A4837="","",$I4837*$O4837)</f>
        <v/>
      </c>
      <c r="Q4837" s="39" t="n">
        <f aca="false">IF($B4837="",0,IFERROR(MATCH($B4837,COA_Mapping!$A$7:$A$256,0),0))</f>
        <v>0</v>
      </c>
      <c r="R4837" s="39" t="n">
        <f aca="false">IF($A4837="",-1,IF($J4837=Setup!$B$7,1,IF($J4837=Setup!$B$9,0,-1)))</f>
        <v>-1</v>
      </c>
      <c r="S4837" s="35" t="n">
        <f aca="false">IF(OR($A4837="",$Q4837=0,$R4837=-1),0,$Q4837*1000+$R4837*100+$K4837)</f>
        <v>0</v>
      </c>
      <c r="T4837" s="37" t="str">
        <f aca="false">IF($A4837="","",IF($B4837="","NO ACCOUNT",IF($Q4837=0,"UNMAPPED",IF($R4837=-1,"OUTSIDE FY RANGE","OK"))))</f>
        <v/>
      </c>
      <c r="U4837" s="40" t="str">
        <f aca="false">IF($A4837="","",$B4837&amp;"|"&amp;TEXT($A4837,"yyyymmdd")&amp;"|"&amp;TEXT($I4837,"0.00"))</f>
        <v/>
      </c>
      <c r="V4837" s="35" t="str">
        <f aca="false">IF($A4837="","",COUNTIF($U$8:$U$5007,$U4837))</f>
        <v/>
      </c>
    </row>
    <row r="4838" customFormat="false" ht="15" hidden="false" customHeight="false" outlineLevel="0" collapsed="false">
      <c r="A4838" s="31"/>
      <c r="B4838" s="32"/>
      <c r="C4838" s="32"/>
      <c r="D4838" s="32"/>
      <c r="E4838" s="32"/>
      <c r="F4838" s="32"/>
      <c r="G4838" s="33"/>
      <c r="H4838" s="33"/>
      <c r="I4838" s="34" t="str">
        <f aca="false">IF($A4838="","",$G4838-$H4838)</f>
        <v/>
      </c>
      <c r="J4838" s="35" t="str">
        <f aca="false">IF($A4838="","",IF(Setup!$B$6=1,YEAR($A4838),YEAR($A4838)+IF(MONTH($A4838)&gt;=Setup!$B$6,1,0)))</f>
        <v/>
      </c>
      <c r="K4838" s="35" t="str">
        <f aca="false">IF($A4838="","",MOD(MONTH($A4838)-Setup!$B$6+12,12)+1)</f>
        <v/>
      </c>
      <c r="L4838" s="36" t="str">
        <f aca="false">IF($A4838="","",TEXT($A4838,"MMM-YY"))</f>
        <v/>
      </c>
      <c r="M4838" s="37" t="str">
        <f aca="false">IF($A4838="","",IF($Q4838=0,"UNMAPPED",INDEX(COA_Mapping!$C$7:$C$256,$Q4838)))</f>
        <v/>
      </c>
      <c r="N4838" s="38" t="str">
        <f aca="false">IF($A4838="","",IF($Q4838=0,"",INDEX(COA_Mapping!$E$7:$E$256,$Q4838)))</f>
        <v/>
      </c>
      <c r="O4838" s="38" t="n">
        <f aca="false">IF($A4838="",1,IF($Q4838=0,1,INDEX(COA_Mapping!$F$7:$F$256,$Q4838)))</f>
        <v>1</v>
      </c>
      <c r="P4838" s="34" t="str">
        <f aca="false">IF($A4838="","",$I4838*$O4838)</f>
        <v/>
      </c>
      <c r="Q4838" s="39" t="n">
        <f aca="false">IF($B4838="",0,IFERROR(MATCH($B4838,COA_Mapping!$A$7:$A$256,0),0))</f>
        <v>0</v>
      </c>
      <c r="R4838" s="39" t="n">
        <f aca="false">IF($A4838="",-1,IF($J4838=Setup!$B$7,1,IF($J4838=Setup!$B$9,0,-1)))</f>
        <v>-1</v>
      </c>
      <c r="S4838" s="35" t="n">
        <f aca="false">IF(OR($A4838="",$Q4838=0,$R4838=-1),0,$Q4838*1000+$R4838*100+$K4838)</f>
        <v>0</v>
      </c>
      <c r="T4838" s="37" t="str">
        <f aca="false">IF($A4838="","",IF($B4838="","NO ACCOUNT",IF($Q4838=0,"UNMAPPED",IF($R4838=-1,"OUTSIDE FY RANGE","OK"))))</f>
        <v/>
      </c>
      <c r="U4838" s="40" t="str">
        <f aca="false">IF($A4838="","",$B4838&amp;"|"&amp;TEXT($A4838,"yyyymmdd")&amp;"|"&amp;TEXT($I4838,"0.00"))</f>
        <v/>
      </c>
      <c r="V4838" s="35" t="str">
        <f aca="false">IF($A4838="","",COUNTIF($U$8:$U$5007,$U4838))</f>
        <v/>
      </c>
    </row>
    <row r="4839" customFormat="false" ht="15" hidden="false" customHeight="false" outlineLevel="0" collapsed="false">
      <c r="A4839" s="31"/>
      <c r="B4839" s="32"/>
      <c r="C4839" s="32"/>
      <c r="D4839" s="32"/>
      <c r="E4839" s="32"/>
      <c r="F4839" s="32"/>
      <c r="G4839" s="33"/>
      <c r="H4839" s="33"/>
      <c r="I4839" s="34" t="str">
        <f aca="false">IF($A4839="","",$G4839-$H4839)</f>
        <v/>
      </c>
      <c r="J4839" s="35" t="str">
        <f aca="false">IF($A4839="","",IF(Setup!$B$6=1,YEAR($A4839),YEAR($A4839)+IF(MONTH($A4839)&gt;=Setup!$B$6,1,0)))</f>
        <v/>
      </c>
      <c r="K4839" s="35" t="str">
        <f aca="false">IF($A4839="","",MOD(MONTH($A4839)-Setup!$B$6+12,12)+1)</f>
        <v/>
      </c>
      <c r="L4839" s="36" t="str">
        <f aca="false">IF($A4839="","",TEXT($A4839,"MMM-YY"))</f>
        <v/>
      </c>
      <c r="M4839" s="37" t="str">
        <f aca="false">IF($A4839="","",IF($Q4839=0,"UNMAPPED",INDEX(COA_Mapping!$C$7:$C$256,$Q4839)))</f>
        <v/>
      </c>
      <c r="N4839" s="38" t="str">
        <f aca="false">IF($A4839="","",IF($Q4839=0,"",INDEX(COA_Mapping!$E$7:$E$256,$Q4839)))</f>
        <v/>
      </c>
      <c r="O4839" s="38" t="n">
        <f aca="false">IF($A4839="",1,IF($Q4839=0,1,INDEX(COA_Mapping!$F$7:$F$256,$Q4839)))</f>
        <v>1</v>
      </c>
      <c r="P4839" s="34" t="str">
        <f aca="false">IF($A4839="","",$I4839*$O4839)</f>
        <v/>
      </c>
      <c r="Q4839" s="39" t="n">
        <f aca="false">IF($B4839="",0,IFERROR(MATCH($B4839,COA_Mapping!$A$7:$A$256,0),0))</f>
        <v>0</v>
      </c>
      <c r="R4839" s="39" t="n">
        <f aca="false">IF($A4839="",-1,IF($J4839=Setup!$B$7,1,IF($J4839=Setup!$B$9,0,-1)))</f>
        <v>-1</v>
      </c>
      <c r="S4839" s="35" t="n">
        <f aca="false">IF(OR($A4839="",$Q4839=0,$R4839=-1),0,$Q4839*1000+$R4839*100+$K4839)</f>
        <v>0</v>
      </c>
      <c r="T4839" s="37" t="str">
        <f aca="false">IF($A4839="","",IF($B4839="","NO ACCOUNT",IF($Q4839=0,"UNMAPPED",IF($R4839=-1,"OUTSIDE FY RANGE","OK"))))</f>
        <v/>
      </c>
      <c r="U4839" s="40" t="str">
        <f aca="false">IF($A4839="","",$B4839&amp;"|"&amp;TEXT($A4839,"yyyymmdd")&amp;"|"&amp;TEXT($I4839,"0.00"))</f>
        <v/>
      </c>
      <c r="V4839" s="35" t="str">
        <f aca="false">IF($A4839="","",COUNTIF($U$8:$U$5007,$U4839))</f>
        <v/>
      </c>
    </row>
    <row r="4840" customFormat="false" ht="15" hidden="false" customHeight="false" outlineLevel="0" collapsed="false">
      <c r="A4840" s="31"/>
      <c r="B4840" s="32"/>
      <c r="C4840" s="32"/>
      <c r="D4840" s="32"/>
      <c r="E4840" s="32"/>
      <c r="F4840" s="32"/>
      <c r="G4840" s="33"/>
      <c r="H4840" s="33"/>
      <c r="I4840" s="34" t="str">
        <f aca="false">IF($A4840="","",$G4840-$H4840)</f>
        <v/>
      </c>
      <c r="J4840" s="35" t="str">
        <f aca="false">IF($A4840="","",IF(Setup!$B$6=1,YEAR($A4840),YEAR($A4840)+IF(MONTH($A4840)&gt;=Setup!$B$6,1,0)))</f>
        <v/>
      </c>
      <c r="K4840" s="35" t="str">
        <f aca="false">IF($A4840="","",MOD(MONTH($A4840)-Setup!$B$6+12,12)+1)</f>
        <v/>
      </c>
      <c r="L4840" s="36" t="str">
        <f aca="false">IF($A4840="","",TEXT($A4840,"MMM-YY"))</f>
        <v/>
      </c>
      <c r="M4840" s="37" t="str">
        <f aca="false">IF($A4840="","",IF($Q4840=0,"UNMAPPED",INDEX(COA_Mapping!$C$7:$C$256,$Q4840)))</f>
        <v/>
      </c>
      <c r="N4840" s="38" t="str">
        <f aca="false">IF($A4840="","",IF($Q4840=0,"",INDEX(COA_Mapping!$E$7:$E$256,$Q4840)))</f>
        <v/>
      </c>
      <c r="O4840" s="38" t="n">
        <f aca="false">IF($A4840="",1,IF($Q4840=0,1,INDEX(COA_Mapping!$F$7:$F$256,$Q4840)))</f>
        <v>1</v>
      </c>
      <c r="P4840" s="34" t="str">
        <f aca="false">IF($A4840="","",$I4840*$O4840)</f>
        <v/>
      </c>
      <c r="Q4840" s="39" t="n">
        <f aca="false">IF($B4840="",0,IFERROR(MATCH($B4840,COA_Mapping!$A$7:$A$256,0),0))</f>
        <v>0</v>
      </c>
      <c r="R4840" s="39" t="n">
        <f aca="false">IF($A4840="",-1,IF($J4840=Setup!$B$7,1,IF($J4840=Setup!$B$9,0,-1)))</f>
        <v>-1</v>
      </c>
      <c r="S4840" s="35" t="n">
        <f aca="false">IF(OR($A4840="",$Q4840=0,$R4840=-1),0,$Q4840*1000+$R4840*100+$K4840)</f>
        <v>0</v>
      </c>
      <c r="T4840" s="37" t="str">
        <f aca="false">IF($A4840="","",IF($B4840="","NO ACCOUNT",IF($Q4840=0,"UNMAPPED",IF($R4840=-1,"OUTSIDE FY RANGE","OK"))))</f>
        <v/>
      </c>
      <c r="U4840" s="40" t="str">
        <f aca="false">IF($A4840="","",$B4840&amp;"|"&amp;TEXT($A4840,"yyyymmdd")&amp;"|"&amp;TEXT($I4840,"0.00"))</f>
        <v/>
      </c>
      <c r="V4840" s="35" t="str">
        <f aca="false">IF($A4840="","",COUNTIF($U$8:$U$5007,$U4840))</f>
        <v/>
      </c>
    </row>
    <row r="4841" customFormat="false" ht="15" hidden="false" customHeight="false" outlineLevel="0" collapsed="false">
      <c r="A4841" s="31"/>
      <c r="B4841" s="32"/>
      <c r="C4841" s="32"/>
      <c r="D4841" s="32"/>
      <c r="E4841" s="32"/>
      <c r="F4841" s="32"/>
      <c r="G4841" s="33"/>
      <c r="H4841" s="33"/>
      <c r="I4841" s="34" t="str">
        <f aca="false">IF($A4841="","",$G4841-$H4841)</f>
        <v/>
      </c>
      <c r="J4841" s="35" t="str">
        <f aca="false">IF($A4841="","",IF(Setup!$B$6=1,YEAR($A4841),YEAR($A4841)+IF(MONTH($A4841)&gt;=Setup!$B$6,1,0)))</f>
        <v/>
      </c>
      <c r="K4841" s="35" t="str">
        <f aca="false">IF($A4841="","",MOD(MONTH($A4841)-Setup!$B$6+12,12)+1)</f>
        <v/>
      </c>
      <c r="L4841" s="36" t="str">
        <f aca="false">IF($A4841="","",TEXT($A4841,"MMM-YY"))</f>
        <v/>
      </c>
      <c r="M4841" s="37" t="str">
        <f aca="false">IF($A4841="","",IF($Q4841=0,"UNMAPPED",INDEX(COA_Mapping!$C$7:$C$256,$Q4841)))</f>
        <v/>
      </c>
      <c r="N4841" s="38" t="str">
        <f aca="false">IF($A4841="","",IF($Q4841=0,"",INDEX(COA_Mapping!$E$7:$E$256,$Q4841)))</f>
        <v/>
      </c>
      <c r="O4841" s="38" t="n">
        <f aca="false">IF($A4841="",1,IF($Q4841=0,1,INDEX(COA_Mapping!$F$7:$F$256,$Q4841)))</f>
        <v>1</v>
      </c>
      <c r="P4841" s="34" t="str">
        <f aca="false">IF($A4841="","",$I4841*$O4841)</f>
        <v/>
      </c>
      <c r="Q4841" s="39" t="n">
        <f aca="false">IF($B4841="",0,IFERROR(MATCH($B4841,COA_Mapping!$A$7:$A$256,0),0))</f>
        <v>0</v>
      </c>
      <c r="R4841" s="39" t="n">
        <f aca="false">IF($A4841="",-1,IF($J4841=Setup!$B$7,1,IF($J4841=Setup!$B$9,0,-1)))</f>
        <v>-1</v>
      </c>
      <c r="S4841" s="35" t="n">
        <f aca="false">IF(OR($A4841="",$Q4841=0,$R4841=-1),0,$Q4841*1000+$R4841*100+$K4841)</f>
        <v>0</v>
      </c>
      <c r="T4841" s="37" t="str">
        <f aca="false">IF($A4841="","",IF($B4841="","NO ACCOUNT",IF($Q4841=0,"UNMAPPED",IF($R4841=-1,"OUTSIDE FY RANGE","OK"))))</f>
        <v/>
      </c>
      <c r="U4841" s="40" t="str">
        <f aca="false">IF($A4841="","",$B4841&amp;"|"&amp;TEXT($A4841,"yyyymmdd")&amp;"|"&amp;TEXT($I4841,"0.00"))</f>
        <v/>
      </c>
      <c r="V4841" s="35" t="str">
        <f aca="false">IF($A4841="","",COUNTIF($U$8:$U$5007,$U4841))</f>
        <v/>
      </c>
    </row>
    <row r="4842" customFormat="false" ht="15" hidden="false" customHeight="false" outlineLevel="0" collapsed="false">
      <c r="A4842" s="31"/>
      <c r="B4842" s="32"/>
      <c r="C4842" s="32"/>
      <c r="D4842" s="32"/>
      <c r="E4842" s="32"/>
      <c r="F4842" s="32"/>
      <c r="G4842" s="33"/>
      <c r="H4842" s="33"/>
      <c r="I4842" s="34" t="str">
        <f aca="false">IF($A4842="","",$G4842-$H4842)</f>
        <v/>
      </c>
      <c r="J4842" s="35" t="str">
        <f aca="false">IF($A4842="","",IF(Setup!$B$6=1,YEAR($A4842),YEAR($A4842)+IF(MONTH($A4842)&gt;=Setup!$B$6,1,0)))</f>
        <v/>
      </c>
      <c r="K4842" s="35" t="str">
        <f aca="false">IF($A4842="","",MOD(MONTH($A4842)-Setup!$B$6+12,12)+1)</f>
        <v/>
      </c>
      <c r="L4842" s="36" t="str">
        <f aca="false">IF($A4842="","",TEXT($A4842,"MMM-YY"))</f>
        <v/>
      </c>
      <c r="M4842" s="37" t="str">
        <f aca="false">IF($A4842="","",IF($Q4842=0,"UNMAPPED",INDEX(COA_Mapping!$C$7:$C$256,$Q4842)))</f>
        <v/>
      </c>
      <c r="N4842" s="38" t="str">
        <f aca="false">IF($A4842="","",IF($Q4842=0,"",INDEX(COA_Mapping!$E$7:$E$256,$Q4842)))</f>
        <v/>
      </c>
      <c r="O4842" s="38" t="n">
        <f aca="false">IF($A4842="",1,IF($Q4842=0,1,INDEX(COA_Mapping!$F$7:$F$256,$Q4842)))</f>
        <v>1</v>
      </c>
      <c r="P4842" s="34" t="str">
        <f aca="false">IF($A4842="","",$I4842*$O4842)</f>
        <v/>
      </c>
      <c r="Q4842" s="39" t="n">
        <f aca="false">IF($B4842="",0,IFERROR(MATCH($B4842,COA_Mapping!$A$7:$A$256,0),0))</f>
        <v>0</v>
      </c>
      <c r="R4842" s="39" t="n">
        <f aca="false">IF($A4842="",-1,IF($J4842=Setup!$B$7,1,IF($J4842=Setup!$B$9,0,-1)))</f>
        <v>-1</v>
      </c>
      <c r="S4842" s="35" t="n">
        <f aca="false">IF(OR($A4842="",$Q4842=0,$R4842=-1),0,$Q4842*1000+$R4842*100+$K4842)</f>
        <v>0</v>
      </c>
      <c r="T4842" s="37" t="str">
        <f aca="false">IF($A4842="","",IF($B4842="","NO ACCOUNT",IF($Q4842=0,"UNMAPPED",IF($R4842=-1,"OUTSIDE FY RANGE","OK"))))</f>
        <v/>
      </c>
      <c r="U4842" s="40" t="str">
        <f aca="false">IF($A4842="","",$B4842&amp;"|"&amp;TEXT($A4842,"yyyymmdd")&amp;"|"&amp;TEXT($I4842,"0.00"))</f>
        <v/>
      </c>
      <c r="V4842" s="35" t="str">
        <f aca="false">IF($A4842="","",COUNTIF($U$8:$U$5007,$U4842))</f>
        <v/>
      </c>
    </row>
    <row r="4843" customFormat="false" ht="15" hidden="false" customHeight="false" outlineLevel="0" collapsed="false">
      <c r="A4843" s="31"/>
      <c r="B4843" s="32"/>
      <c r="C4843" s="32"/>
      <c r="D4843" s="32"/>
      <c r="E4843" s="32"/>
      <c r="F4843" s="32"/>
      <c r="G4843" s="33"/>
      <c r="H4843" s="33"/>
      <c r="I4843" s="34" t="str">
        <f aca="false">IF($A4843="","",$G4843-$H4843)</f>
        <v/>
      </c>
      <c r="J4843" s="35" t="str">
        <f aca="false">IF($A4843="","",IF(Setup!$B$6=1,YEAR($A4843),YEAR($A4843)+IF(MONTH($A4843)&gt;=Setup!$B$6,1,0)))</f>
        <v/>
      </c>
      <c r="K4843" s="35" t="str">
        <f aca="false">IF($A4843="","",MOD(MONTH($A4843)-Setup!$B$6+12,12)+1)</f>
        <v/>
      </c>
      <c r="L4843" s="36" t="str">
        <f aca="false">IF($A4843="","",TEXT($A4843,"MMM-YY"))</f>
        <v/>
      </c>
      <c r="M4843" s="37" t="str">
        <f aca="false">IF($A4843="","",IF($Q4843=0,"UNMAPPED",INDEX(COA_Mapping!$C$7:$C$256,$Q4843)))</f>
        <v/>
      </c>
      <c r="N4843" s="38" t="str">
        <f aca="false">IF($A4843="","",IF($Q4843=0,"",INDEX(COA_Mapping!$E$7:$E$256,$Q4843)))</f>
        <v/>
      </c>
      <c r="O4843" s="38" t="n">
        <f aca="false">IF($A4843="",1,IF($Q4843=0,1,INDEX(COA_Mapping!$F$7:$F$256,$Q4843)))</f>
        <v>1</v>
      </c>
      <c r="P4843" s="34" t="str">
        <f aca="false">IF($A4843="","",$I4843*$O4843)</f>
        <v/>
      </c>
      <c r="Q4843" s="39" t="n">
        <f aca="false">IF($B4843="",0,IFERROR(MATCH($B4843,COA_Mapping!$A$7:$A$256,0),0))</f>
        <v>0</v>
      </c>
      <c r="R4843" s="39" t="n">
        <f aca="false">IF($A4843="",-1,IF($J4843=Setup!$B$7,1,IF($J4843=Setup!$B$9,0,-1)))</f>
        <v>-1</v>
      </c>
      <c r="S4843" s="35" t="n">
        <f aca="false">IF(OR($A4843="",$Q4843=0,$R4843=-1),0,$Q4843*1000+$R4843*100+$K4843)</f>
        <v>0</v>
      </c>
      <c r="T4843" s="37" t="str">
        <f aca="false">IF($A4843="","",IF($B4843="","NO ACCOUNT",IF($Q4843=0,"UNMAPPED",IF($R4843=-1,"OUTSIDE FY RANGE","OK"))))</f>
        <v/>
      </c>
      <c r="U4843" s="40" t="str">
        <f aca="false">IF($A4843="","",$B4843&amp;"|"&amp;TEXT($A4843,"yyyymmdd")&amp;"|"&amp;TEXT($I4843,"0.00"))</f>
        <v/>
      </c>
      <c r="V4843" s="35" t="str">
        <f aca="false">IF($A4843="","",COUNTIF($U$8:$U$5007,$U4843))</f>
        <v/>
      </c>
    </row>
    <row r="4844" customFormat="false" ht="15" hidden="false" customHeight="false" outlineLevel="0" collapsed="false">
      <c r="A4844" s="31"/>
      <c r="B4844" s="32"/>
      <c r="C4844" s="32"/>
      <c r="D4844" s="32"/>
      <c r="E4844" s="32"/>
      <c r="F4844" s="32"/>
      <c r="G4844" s="33"/>
      <c r="H4844" s="33"/>
      <c r="I4844" s="34" t="str">
        <f aca="false">IF($A4844="","",$G4844-$H4844)</f>
        <v/>
      </c>
      <c r="J4844" s="35" t="str">
        <f aca="false">IF($A4844="","",IF(Setup!$B$6=1,YEAR($A4844),YEAR($A4844)+IF(MONTH($A4844)&gt;=Setup!$B$6,1,0)))</f>
        <v/>
      </c>
      <c r="K4844" s="35" t="str">
        <f aca="false">IF($A4844="","",MOD(MONTH($A4844)-Setup!$B$6+12,12)+1)</f>
        <v/>
      </c>
      <c r="L4844" s="36" t="str">
        <f aca="false">IF($A4844="","",TEXT($A4844,"MMM-YY"))</f>
        <v/>
      </c>
      <c r="M4844" s="37" t="str">
        <f aca="false">IF($A4844="","",IF($Q4844=0,"UNMAPPED",INDEX(COA_Mapping!$C$7:$C$256,$Q4844)))</f>
        <v/>
      </c>
      <c r="N4844" s="38" t="str">
        <f aca="false">IF($A4844="","",IF($Q4844=0,"",INDEX(COA_Mapping!$E$7:$E$256,$Q4844)))</f>
        <v/>
      </c>
      <c r="O4844" s="38" t="n">
        <f aca="false">IF($A4844="",1,IF($Q4844=0,1,INDEX(COA_Mapping!$F$7:$F$256,$Q4844)))</f>
        <v>1</v>
      </c>
      <c r="P4844" s="34" t="str">
        <f aca="false">IF($A4844="","",$I4844*$O4844)</f>
        <v/>
      </c>
      <c r="Q4844" s="39" t="n">
        <f aca="false">IF($B4844="",0,IFERROR(MATCH($B4844,COA_Mapping!$A$7:$A$256,0),0))</f>
        <v>0</v>
      </c>
      <c r="R4844" s="39" t="n">
        <f aca="false">IF($A4844="",-1,IF($J4844=Setup!$B$7,1,IF($J4844=Setup!$B$9,0,-1)))</f>
        <v>-1</v>
      </c>
      <c r="S4844" s="35" t="n">
        <f aca="false">IF(OR($A4844="",$Q4844=0,$R4844=-1),0,$Q4844*1000+$R4844*100+$K4844)</f>
        <v>0</v>
      </c>
      <c r="T4844" s="37" t="str">
        <f aca="false">IF($A4844="","",IF($B4844="","NO ACCOUNT",IF($Q4844=0,"UNMAPPED",IF($R4844=-1,"OUTSIDE FY RANGE","OK"))))</f>
        <v/>
      </c>
      <c r="U4844" s="40" t="str">
        <f aca="false">IF($A4844="","",$B4844&amp;"|"&amp;TEXT($A4844,"yyyymmdd")&amp;"|"&amp;TEXT($I4844,"0.00"))</f>
        <v/>
      </c>
      <c r="V4844" s="35" t="str">
        <f aca="false">IF($A4844="","",COUNTIF($U$8:$U$5007,$U4844))</f>
        <v/>
      </c>
    </row>
    <row r="4845" customFormat="false" ht="15" hidden="false" customHeight="false" outlineLevel="0" collapsed="false">
      <c r="A4845" s="31"/>
      <c r="B4845" s="32"/>
      <c r="C4845" s="32"/>
      <c r="D4845" s="32"/>
      <c r="E4845" s="32"/>
      <c r="F4845" s="32"/>
      <c r="G4845" s="33"/>
      <c r="H4845" s="33"/>
      <c r="I4845" s="34" t="str">
        <f aca="false">IF($A4845="","",$G4845-$H4845)</f>
        <v/>
      </c>
      <c r="J4845" s="35" t="str">
        <f aca="false">IF($A4845="","",IF(Setup!$B$6=1,YEAR($A4845),YEAR($A4845)+IF(MONTH($A4845)&gt;=Setup!$B$6,1,0)))</f>
        <v/>
      </c>
      <c r="K4845" s="35" t="str">
        <f aca="false">IF($A4845="","",MOD(MONTH($A4845)-Setup!$B$6+12,12)+1)</f>
        <v/>
      </c>
      <c r="L4845" s="36" t="str">
        <f aca="false">IF($A4845="","",TEXT($A4845,"MMM-YY"))</f>
        <v/>
      </c>
      <c r="M4845" s="37" t="str">
        <f aca="false">IF($A4845="","",IF($Q4845=0,"UNMAPPED",INDEX(COA_Mapping!$C$7:$C$256,$Q4845)))</f>
        <v/>
      </c>
      <c r="N4845" s="38" t="str">
        <f aca="false">IF($A4845="","",IF($Q4845=0,"",INDEX(COA_Mapping!$E$7:$E$256,$Q4845)))</f>
        <v/>
      </c>
      <c r="O4845" s="38" t="n">
        <f aca="false">IF($A4845="",1,IF($Q4845=0,1,INDEX(COA_Mapping!$F$7:$F$256,$Q4845)))</f>
        <v>1</v>
      </c>
      <c r="P4845" s="34" t="str">
        <f aca="false">IF($A4845="","",$I4845*$O4845)</f>
        <v/>
      </c>
      <c r="Q4845" s="39" t="n">
        <f aca="false">IF($B4845="",0,IFERROR(MATCH($B4845,COA_Mapping!$A$7:$A$256,0),0))</f>
        <v>0</v>
      </c>
      <c r="R4845" s="39" t="n">
        <f aca="false">IF($A4845="",-1,IF($J4845=Setup!$B$7,1,IF($J4845=Setup!$B$9,0,-1)))</f>
        <v>-1</v>
      </c>
      <c r="S4845" s="35" t="n">
        <f aca="false">IF(OR($A4845="",$Q4845=0,$R4845=-1),0,$Q4845*1000+$R4845*100+$K4845)</f>
        <v>0</v>
      </c>
      <c r="T4845" s="37" t="str">
        <f aca="false">IF($A4845="","",IF($B4845="","NO ACCOUNT",IF($Q4845=0,"UNMAPPED",IF($R4845=-1,"OUTSIDE FY RANGE","OK"))))</f>
        <v/>
      </c>
      <c r="U4845" s="40" t="str">
        <f aca="false">IF($A4845="","",$B4845&amp;"|"&amp;TEXT($A4845,"yyyymmdd")&amp;"|"&amp;TEXT($I4845,"0.00"))</f>
        <v/>
      </c>
      <c r="V4845" s="35" t="str">
        <f aca="false">IF($A4845="","",COUNTIF($U$8:$U$5007,$U4845))</f>
        <v/>
      </c>
    </row>
    <row r="4846" customFormat="false" ht="15" hidden="false" customHeight="false" outlineLevel="0" collapsed="false">
      <c r="A4846" s="31"/>
      <c r="B4846" s="32"/>
      <c r="C4846" s="32"/>
      <c r="D4846" s="32"/>
      <c r="E4846" s="32"/>
      <c r="F4846" s="32"/>
      <c r="G4846" s="33"/>
      <c r="H4846" s="33"/>
      <c r="I4846" s="34" t="str">
        <f aca="false">IF($A4846="","",$G4846-$H4846)</f>
        <v/>
      </c>
      <c r="J4846" s="35" t="str">
        <f aca="false">IF($A4846="","",IF(Setup!$B$6=1,YEAR($A4846),YEAR($A4846)+IF(MONTH($A4846)&gt;=Setup!$B$6,1,0)))</f>
        <v/>
      </c>
      <c r="K4846" s="35" t="str">
        <f aca="false">IF($A4846="","",MOD(MONTH($A4846)-Setup!$B$6+12,12)+1)</f>
        <v/>
      </c>
      <c r="L4846" s="36" t="str">
        <f aca="false">IF($A4846="","",TEXT($A4846,"MMM-YY"))</f>
        <v/>
      </c>
      <c r="M4846" s="37" t="str">
        <f aca="false">IF($A4846="","",IF($Q4846=0,"UNMAPPED",INDEX(COA_Mapping!$C$7:$C$256,$Q4846)))</f>
        <v/>
      </c>
      <c r="N4846" s="38" t="str">
        <f aca="false">IF($A4846="","",IF($Q4846=0,"",INDEX(COA_Mapping!$E$7:$E$256,$Q4846)))</f>
        <v/>
      </c>
      <c r="O4846" s="38" t="n">
        <f aca="false">IF($A4846="",1,IF($Q4846=0,1,INDEX(COA_Mapping!$F$7:$F$256,$Q4846)))</f>
        <v>1</v>
      </c>
      <c r="P4846" s="34" t="str">
        <f aca="false">IF($A4846="","",$I4846*$O4846)</f>
        <v/>
      </c>
      <c r="Q4846" s="39" t="n">
        <f aca="false">IF($B4846="",0,IFERROR(MATCH($B4846,COA_Mapping!$A$7:$A$256,0),0))</f>
        <v>0</v>
      </c>
      <c r="R4846" s="39" t="n">
        <f aca="false">IF($A4846="",-1,IF($J4846=Setup!$B$7,1,IF($J4846=Setup!$B$9,0,-1)))</f>
        <v>-1</v>
      </c>
      <c r="S4846" s="35" t="n">
        <f aca="false">IF(OR($A4846="",$Q4846=0,$R4846=-1),0,$Q4846*1000+$R4846*100+$K4846)</f>
        <v>0</v>
      </c>
      <c r="T4846" s="37" t="str">
        <f aca="false">IF($A4846="","",IF($B4846="","NO ACCOUNT",IF($Q4846=0,"UNMAPPED",IF($R4846=-1,"OUTSIDE FY RANGE","OK"))))</f>
        <v/>
      </c>
      <c r="U4846" s="40" t="str">
        <f aca="false">IF($A4846="","",$B4846&amp;"|"&amp;TEXT($A4846,"yyyymmdd")&amp;"|"&amp;TEXT($I4846,"0.00"))</f>
        <v/>
      </c>
      <c r="V4846" s="35" t="str">
        <f aca="false">IF($A4846="","",COUNTIF($U$8:$U$5007,$U4846))</f>
        <v/>
      </c>
    </row>
    <row r="4847" customFormat="false" ht="15" hidden="false" customHeight="false" outlineLevel="0" collapsed="false">
      <c r="A4847" s="31"/>
      <c r="B4847" s="32"/>
      <c r="C4847" s="32"/>
      <c r="D4847" s="32"/>
      <c r="E4847" s="32"/>
      <c r="F4847" s="32"/>
      <c r="G4847" s="33"/>
      <c r="H4847" s="33"/>
      <c r="I4847" s="34" t="str">
        <f aca="false">IF($A4847="","",$G4847-$H4847)</f>
        <v/>
      </c>
      <c r="J4847" s="35" t="str">
        <f aca="false">IF($A4847="","",IF(Setup!$B$6=1,YEAR($A4847),YEAR($A4847)+IF(MONTH($A4847)&gt;=Setup!$B$6,1,0)))</f>
        <v/>
      </c>
      <c r="K4847" s="35" t="str">
        <f aca="false">IF($A4847="","",MOD(MONTH($A4847)-Setup!$B$6+12,12)+1)</f>
        <v/>
      </c>
      <c r="L4847" s="36" t="str">
        <f aca="false">IF($A4847="","",TEXT($A4847,"MMM-YY"))</f>
        <v/>
      </c>
      <c r="M4847" s="37" t="str">
        <f aca="false">IF($A4847="","",IF($Q4847=0,"UNMAPPED",INDEX(COA_Mapping!$C$7:$C$256,$Q4847)))</f>
        <v/>
      </c>
      <c r="N4847" s="38" t="str">
        <f aca="false">IF($A4847="","",IF($Q4847=0,"",INDEX(COA_Mapping!$E$7:$E$256,$Q4847)))</f>
        <v/>
      </c>
      <c r="O4847" s="38" t="n">
        <f aca="false">IF($A4847="",1,IF($Q4847=0,1,INDEX(COA_Mapping!$F$7:$F$256,$Q4847)))</f>
        <v>1</v>
      </c>
      <c r="P4847" s="34" t="str">
        <f aca="false">IF($A4847="","",$I4847*$O4847)</f>
        <v/>
      </c>
      <c r="Q4847" s="39" t="n">
        <f aca="false">IF($B4847="",0,IFERROR(MATCH($B4847,COA_Mapping!$A$7:$A$256,0),0))</f>
        <v>0</v>
      </c>
      <c r="R4847" s="39" t="n">
        <f aca="false">IF($A4847="",-1,IF($J4847=Setup!$B$7,1,IF($J4847=Setup!$B$9,0,-1)))</f>
        <v>-1</v>
      </c>
      <c r="S4847" s="35" t="n">
        <f aca="false">IF(OR($A4847="",$Q4847=0,$R4847=-1),0,$Q4847*1000+$R4847*100+$K4847)</f>
        <v>0</v>
      </c>
      <c r="T4847" s="37" t="str">
        <f aca="false">IF($A4847="","",IF($B4847="","NO ACCOUNT",IF($Q4847=0,"UNMAPPED",IF($R4847=-1,"OUTSIDE FY RANGE","OK"))))</f>
        <v/>
      </c>
      <c r="U4847" s="40" t="str">
        <f aca="false">IF($A4847="","",$B4847&amp;"|"&amp;TEXT($A4847,"yyyymmdd")&amp;"|"&amp;TEXT($I4847,"0.00"))</f>
        <v/>
      </c>
      <c r="V4847" s="35" t="str">
        <f aca="false">IF($A4847="","",COUNTIF($U$8:$U$5007,$U4847))</f>
        <v/>
      </c>
    </row>
    <row r="4848" customFormat="false" ht="15" hidden="false" customHeight="false" outlineLevel="0" collapsed="false">
      <c r="A4848" s="31"/>
      <c r="B4848" s="32"/>
      <c r="C4848" s="32"/>
      <c r="D4848" s="32"/>
      <c r="E4848" s="32"/>
      <c r="F4848" s="32"/>
      <c r="G4848" s="33"/>
      <c r="H4848" s="33"/>
      <c r="I4848" s="34" t="str">
        <f aca="false">IF($A4848="","",$G4848-$H4848)</f>
        <v/>
      </c>
      <c r="J4848" s="35" t="str">
        <f aca="false">IF($A4848="","",IF(Setup!$B$6=1,YEAR($A4848),YEAR($A4848)+IF(MONTH($A4848)&gt;=Setup!$B$6,1,0)))</f>
        <v/>
      </c>
      <c r="K4848" s="35" t="str">
        <f aca="false">IF($A4848="","",MOD(MONTH($A4848)-Setup!$B$6+12,12)+1)</f>
        <v/>
      </c>
      <c r="L4848" s="36" t="str">
        <f aca="false">IF($A4848="","",TEXT($A4848,"MMM-YY"))</f>
        <v/>
      </c>
      <c r="M4848" s="37" t="str">
        <f aca="false">IF($A4848="","",IF($Q4848=0,"UNMAPPED",INDEX(COA_Mapping!$C$7:$C$256,$Q4848)))</f>
        <v/>
      </c>
      <c r="N4848" s="38" t="str">
        <f aca="false">IF($A4848="","",IF($Q4848=0,"",INDEX(COA_Mapping!$E$7:$E$256,$Q4848)))</f>
        <v/>
      </c>
      <c r="O4848" s="38" t="n">
        <f aca="false">IF($A4848="",1,IF($Q4848=0,1,INDEX(COA_Mapping!$F$7:$F$256,$Q4848)))</f>
        <v>1</v>
      </c>
      <c r="P4848" s="34" t="str">
        <f aca="false">IF($A4848="","",$I4848*$O4848)</f>
        <v/>
      </c>
      <c r="Q4848" s="39" t="n">
        <f aca="false">IF($B4848="",0,IFERROR(MATCH($B4848,COA_Mapping!$A$7:$A$256,0),0))</f>
        <v>0</v>
      </c>
      <c r="R4848" s="39" t="n">
        <f aca="false">IF($A4848="",-1,IF($J4848=Setup!$B$7,1,IF($J4848=Setup!$B$9,0,-1)))</f>
        <v>-1</v>
      </c>
      <c r="S4848" s="35" t="n">
        <f aca="false">IF(OR($A4848="",$Q4848=0,$R4848=-1),0,$Q4848*1000+$R4848*100+$K4848)</f>
        <v>0</v>
      </c>
      <c r="T4848" s="37" t="str">
        <f aca="false">IF($A4848="","",IF($B4848="","NO ACCOUNT",IF($Q4848=0,"UNMAPPED",IF($R4848=-1,"OUTSIDE FY RANGE","OK"))))</f>
        <v/>
      </c>
      <c r="U4848" s="40" t="str">
        <f aca="false">IF($A4848="","",$B4848&amp;"|"&amp;TEXT($A4848,"yyyymmdd")&amp;"|"&amp;TEXT($I4848,"0.00"))</f>
        <v/>
      </c>
      <c r="V4848" s="35" t="str">
        <f aca="false">IF($A4848="","",COUNTIF($U$8:$U$5007,$U4848))</f>
        <v/>
      </c>
    </row>
    <row r="4849" customFormat="false" ht="15" hidden="false" customHeight="false" outlineLevel="0" collapsed="false">
      <c r="A4849" s="31"/>
      <c r="B4849" s="32"/>
      <c r="C4849" s="32"/>
      <c r="D4849" s="32"/>
      <c r="E4849" s="32"/>
      <c r="F4849" s="32"/>
      <c r="G4849" s="33"/>
      <c r="H4849" s="33"/>
      <c r="I4849" s="34" t="str">
        <f aca="false">IF($A4849="","",$G4849-$H4849)</f>
        <v/>
      </c>
      <c r="J4849" s="35" t="str">
        <f aca="false">IF($A4849="","",IF(Setup!$B$6=1,YEAR($A4849),YEAR($A4849)+IF(MONTH($A4849)&gt;=Setup!$B$6,1,0)))</f>
        <v/>
      </c>
      <c r="K4849" s="35" t="str">
        <f aca="false">IF($A4849="","",MOD(MONTH($A4849)-Setup!$B$6+12,12)+1)</f>
        <v/>
      </c>
      <c r="L4849" s="36" t="str">
        <f aca="false">IF($A4849="","",TEXT($A4849,"MMM-YY"))</f>
        <v/>
      </c>
      <c r="M4849" s="37" t="str">
        <f aca="false">IF($A4849="","",IF($Q4849=0,"UNMAPPED",INDEX(COA_Mapping!$C$7:$C$256,$Q4849)))</f>
        <v/>
      </c>
      <c r="N4849" s="38" t="str">
        <f aca="false">IF($A4849="","",IF($Q4849=0,"",INDEX(COA_Mapping!$E$7:$E$256,$Q4849)))</f>
        <v/>
      </c>
      <c r="O4849" s="38" t="n">
        <f aca="false">IF($A4849="",1,IF($Q4849=0,1,INDEX(COA_Mapping!$F$7:$F$256,$Q4849)))</f>
        <v>1</v>
      </c>
      <c r="P4849" s="34" t="str">
        <f aca="false">IF($A4849="","",$I4849*$O4849)</f>
        <v/>
      </c>
      <c r="Q4849" s="39" t="n">
        <f aca="false">IF($B4849="",0,IFERROR(MATCH($B4849,COA_Mapping!$A$7:$A$256,0),0))</f>
        <v>0</v>
      </c>
      <c r="R4849" s="39" t="n">
        <f aca="false">IF($A4849="",-1,IF($J4849=Setup!$B$7,1,IF($J4849=Setup!$B$9,0,-1)))</f>
        <v>-1</v>
      </c>
      <c r="S4849" s="35" t="n">
        <f aca="false">IF(OR($A4849="",$Q4849=0,$R4849=-1),0,$Q4849*1000+$R4849*100+$K4849)</f>
        <v>0</v>
      </c>
      <c r="T4849" s="37" t="str">
        <f aca="false">IF($A4849="","",IF($B4849="","NO ACCOUNT",IF($Q4849=0,"UNMAPPED",IF($R4849=-1,"OUTSIDE FY RANGE","OK"))))</f>
        <v/>
      </c>
      <c r="U4849" s="40" t="str">
        <f aca="false">IF($A4849="","",$B4849&amp;"|"&amp;TEXT($A4849,"yyyymmdd")&amp;"|"&amp;TEXT($I4849,"0.00"))</f>
        <v/>
      </c>
      <c r="V4849" s="35" t="str">
        <f aca="false">IF($A4849="","",COUNTIF($U$8:$U$5007,$U4849))</f>
        <v/>
      </c>
    </row>
    <row r="4850" customFormat="false" ht="15" hidden="false" customHeight="false" outlineLevel="0" collapsed="false">
      <c r="A4850" s="31"/>
      <c r="B4850" s="32"/>
      <c r="C4850" s="32"/>
      <c r="D4850" s="32"/>
      <c r="E4850" s="32"/>
      <c r="F4850" s="32"/>
      <c r="G4850" s="33"/>
      <c r="H4850" s="33"/>
      <c r="I4850" s="34" t="str">
        <f aca="false">IF($A4850="","",$G4850-$H4850)</f>
        <v/>
      </c>
      <c r="J4850" s="35" t="str">
        <f aca="false">IF($A4850="","",IF(Setup!$B$6=1,YEAR($A4850),YEAR($A4850)+IF(MONTH($A4850)&gt;=Setup!$B$6,1,0)))</f>
        <v/>
      </c>
      <c r="K4850" s="35" t="str">
        <f aca="false">IF($A4850="","",MOD(MONTH($A4850)-Setup!$B$6+12,12)+1)</f>
        <v/>
      </c>
      <c r="L4850" s="36" t="str">
        <f aca="false">IF($A4850="","",TEXT($A4850,"MMM-YY"))</f>
        <v/>
      </c>
      <c r="M4850" s="37" t="str">
        <f aca="false">IF($A4850="","",IF($Q4850=0,"UNMAPPED",INDEX(COA_Mapping!$C$7:$C$256,$Q4850)))</f>
        <v/>
      </c>
      <c r="N4850" s="38" t="str">
        <f aca="false">IF($A4850="","",IF($Q4850=0,"",INDEX(COA_Mapping!$E$7:$E$256,$Q4850)))</f>
        <v/>
      </c>
      <c r="O4850" s="38" t="n">
        <f aca="false">IF($A4850="",1,IF($Q4850=0,1,INDEX(COA_Mapping!$F$7:$F$256,$Q4850)))</f>
        <v>1</v>
      </c>
      <c r="P4850" s="34" t="str">
        <f aca="false">IF($A4850="","",$I4850*$O4850)</f>
        <v/>
      </c>
      <c r="Q4850" s="39" t="n">
        <f aca="false">IF($B4850="",0,IFERROR(MATCH($B4850,COA_Mapping!$A$7:$A$256,0),0))</f>
        <v>0</v>
      </c>
      <c r="R4850" s="39" t="n">
        <f aca="false">IF($A4850="",-1,IF($J4850=Setup!$B$7,1,IF($J4850=Setup!$B$9,0,-1)))</f>
        <v>-1</v>
      </c>
      <c r="S4850" s="35" t="n">
        <f aca="false">IF(OR($A4850="",$Q4850=0,$R4850=-1),0,$Q4850*1000+$R4850*100+$K4850)</f>
        <v>0</v>
      </c>
      <c r="T4850" s="37" t="str">
        <f aca="false">IF($A4850="","",IF($B4850="","NO ACCOUNT",IF($Q4850=0,"UNMAPPED",IF($R4850=-1,"OUTSIDE FY RANGE","OK"))))</f>
        <v/>
      </c>
      <c r="U4850" s="40" t="str">
        <f aca="false">IF($A4850="","",$B4850&amp;"|"&amp;TEXT($A4850,"yyyymmdd")&amp;"|"&amp;TEXT($I4850,"0.00"))</f>
        <v/>
      </c>
      <c r="V4850" s="35" t="str">
        <f aca="false">IF($A4850="","",COUNTIF($U$8:$U$5007,$U4850))</f>
        <v/>
      </c>
    </row>
    <row r="4851" customFormat="false" ht="15" hidden="false" customHeight="false" outlineLevel="0" collapsed="false">
      <c r="A4851" s="31"/>
      <c r="B4851" s="32"/>
      <c r="C4851" s="32"/>
      <c r="D4851" s="32"/>
      <c r="E4851" s="32"/>
      <c r="F4851" s="32"/>
      <c r="G4851" s="33"/>
      <c r="H4851" s="33"/>
      <c r="I4851" s="34" t="str">
        <f aca="false">IF($A4851="","",$G4851-$H4851)</f>
        <v/>
      </c>
      <c r="J4851" s="35" t="str">
        <f aca="false">IF($A4851="","",IF(Setup!$B$6=1,YEAR($A4851),YEAR($A4851)+IF(MONTH($A4851)&gt;=Setup!$B$6,1,0)))</f>
        <v/>
      </c>
      <c r="K4851" s="35" t="str">
        <f aca="false">IF($A4851="","",MOD(MONTH($A4851)-Setup!$B$6+12,12)+1)</f>
        <v/>
      </c>
      <c r="L4851" s="36" t="str">
        <f aca="false">IF($A4851="","",TEXT($A4851,"MMM-YY"))</f>
        <v/>
      </c>
      <c r="M4851" s="37" t="str">
        <f aca="false">IF($A4851="","",IF($Q4851=0,"UNMAPPED",INDEX(COA_Mapping!$C$7:$C$256,$Q4851)))</f>
        <v/>
      </c>
      <c r="N4851" s="38" t="str">
        <f aca="false">IF($A4851="","",IF($Q4851=0,"",INDEX(COA_Mapping!$E$7:$E$256,$Q4851)))</f>
        <v/>
      </c>
      <c r="O4851" s="38" t="n">
        <f aca="false">IF($A4851="",1,IF($Q4851=0,1,INDEX(COA_Mapping!$F$7:$F$256,$Q4851)))</f>
        <v>1</v>
      </c>
      <c r="P4851" s="34" t="str">
        <f aca="false">IF($A4851="","",$I4851*$O4851)</f>
        <v/>
      </c>
      <c r="Q4851" s="39" t="n">
        <f aca="false">IF($B4851="",0,IFERROR(MATCH($B4851,COA_Mapping!$A$7:$A$256,0),0))</f>
        <v>0</v>
      </c>
      <c r="R4851" s="39" t="n">
        <f aca="false">IF($A4851="",-1,IF($J4851=Setup!$B$7,1,IF($J4851=Setup!$B$9,0,-1)))</f>
        <v>-1</v>
      </c>
      <c r="S4851" s="35" t="n">
        <f aca="false">IF(OR($A4851="",$Q4851=0,$R4851=-1),0,$Q4851*1000+$R4851*100+$K4851)</f>
        <v>0</v>
      </c>
      <c r="T4851" s="37" t="str">
        <f aca="false">IF($A4851="","",IF($B4851="","NO ACCOUNT",IF($Q4851=0,"UNMAPPED",IF($R4851=-1,"OUTSIDE FY RANGE","OK"))))</f>
        <v/>
      </c>
      <c r="U4851" s="40" t="str">
        <f aca="false">IF($A4851="","",$B4851&amp;"|"&amp;TEXT($A4851,"yyyymmdd")&amp;"|"&amp;TEXT($I4851,"0.00"))</f>
        <v/>
      </c>
      <c r="V4851" s="35" t="str">
        <f aca="false">IF($A4851="","",COUNTIF($U$8:$U$5007,$U4851))</f>
        <v/>
      </c>
    </row>
    <row r="4852" customFormat="false" ht="15" hidden="false" customHeight="false" outlineLevel="0" collapsed="false">
      <c r="A4852" s="31"/>
      <c r="B4852" s="32"/>
      <c r="C4852" s="32"/>
      <c r="D4852" s="32"/>
      <c r="E4852" s="32"/>
      <c r="F4852" s="32"/>
      <c r="G4852" s="33"/>
      <c r="H4852" s="33"/>
      <c r="I4852" s="34" t="str">
        <f aca="false">IF($A4852="","",$G4852-$H4852)</f>
        <v/>
      </c>
      <c r="J4852" s="35" t="str">
        <f aca="false">IF($A4852="","",IF(Setup!$B$6=1,YEAR($A4852),YEAR($A4852)+IF(MONTH($A4852)&gt;=Setup!$B$6,1,0)))</f>
        <v/>
      </c>
      <c r="K4852" s="35" t="str">
        <f aca="false">IF($A4852="","",MOD(MONTH($A4852)-Setup!$B$6+12,12)+1)</f>
        <v/>
      </c>
      <c r="L4852" s="36" t="str">
        <f aca="false">IF($A4852="","",TEXT($A4852,"MMM-YY"))</f>
        <v/>
      </c>
      <c r="M4852" s="37" t="str">
        <f aca="false">IF($A4852="","",IF($Q4852=0,"UNMAPPED",INDEX(COA_Mapping!$C$7:$C$256,$Q4852)))</f>
        <v/>
      </c>
      <c r="N4852" s="38" t="str">
        <f aca="false">IF($A4852="","",IF($Q4852=0,"",INDEX(COA_Mapping!$E$7:$E$256,$Q4852)))</f>
        <v/>
      </c>
      <c r="O4852" s="38" t="n">
        <f aca="false">IF($A4852="",1,IF($Q4852=0,1,INDEX(COA_Mapping!$F$7:$F$256,$Q4852)))</f>
        <v>1</v>
      </c>
      <c r="P4852" s="34" t="str">
        <f aca="false">IF($A4852="","",$I4852*$O4852)</f>
        <v/>
      </c>
      <c r="Q4852" s="39" t="n">
        <f aca="false">IF($B4852="",0,IFERROR(MATCH($B4852,COA_Mapping!$A$7:$A$256,0),0))</f>
        <v>0</v>
      </c>
      <c r="R4852" s="39" t="n">
        <f aca="false">IF($A4852="",-1,IF($J4852=Setup!$B$7,1,IF($J4852=Setup!$B$9,0,-1)))</f>
        <v>-1</v>
      </c>
      <c r="S4852" s="35" t="n">
        <f aca="false">IF(OR($A4852="",$Q4852=0,$R4852=-1),0,$Q4852*1000+$R4852*100+$K4852)</f>
        <v>0</v>
      </c>
      <c r="T4852" s="37" t="str">
        <f aca="false">IF($A4852="","",IF($B4852="","NO ACCOUNT",IF($Q4852=0,"UNMAPPED",IF($R4852=-1,"OUTSIDE FY RANGE","OK"))))</f>
        <v/>
      </c>
      <c r="U4852" s="40" t="str">
        <f aca="false">IF($A4852="","",$B4852&amp;"|"&amp;TEXT($A4852,"yyyymmdd")&amp;"|"&amp;TEXT($I4852,"0.00"))</f>
        <v/>
      </c>
      <c r="V4852" s="35" t="str">
        <f aca="false">IF($A4852="","",COUNTIF($U$8:$U$5007,$U4852))</f>
        <v/>
      </c>
    </row>
    <row r="4853" customFormat="false" ht="15" hidden="false" customHeight="false" outlineLevel="0" collapsed="false">
      <c r="A4853" s="31"/>
      <c r="B4853" s="32"/>
      <c r="C4853" s="32"/>
      <c r="D4853" s="32"/>
      <c r="E4853" s="32"/>
      <c r="F4853" s="32"/>
      <c r="G4853" s="33"/>
      <c r="H4853" s="33"/>
      <c r="I4853" s="34" t="str">
        <f aca="false">IF($A4853="","",$G4853-$H4853)</f>
        <v/>
      </c>
      <c r="J4853" s="35" t="str">
        <f aca="false">IF($A4853="","",IF(Setup!$B$6=1,YEAR($A4853),YEAR($A4853)+IF(MONTH($A4853)&gt;=Setup!$B$6,1,0)))</f>
        <v/>
      </c>
      <c r="K4853" s="35" t="str">
        <f aca="false">IF($A4853="","",MOD(MONTH($A4853)-Setup!$B$6+12,12)+1)</f>
        <v/>
      </c>
      <c r="L4853" s="36" t="str">
        <f aca="false">IF($A4853="","",TEXT($A4853,"MMM-YY"))</f>
        <v/>
      </c>
      <c r="M4853" s="37" t="str">
        <f aca="false">IF($A4853="","",IF($Q4853=0,"UNMAPPED",INDEX(COA_Mapping!$C$7:$C$256,$Q4853)))</f>
        <v/>
      </c>
      <c r="N4853" s="38" t="str">
        <f aca="false">IF($A4853="","",IF($Q4853=0,"",INDEX(COA_Mapping!$E$7:$E$256,$Q4853)))</f>
        <v/>
      </c>
      <c r="O4853" s="38" t="n">
        <f aca="false">IF($A4853="",1,IF($Q4853=0,1,INDEX(COA_Mapping!$F$7:$F$256,$Q4853)))</f>
        <v>1</v>
      </c>
      <c r="P4853" s="34" t="str">
        <f aca="false">IF($A4853="","",$I4853*$O4853)</f>
        <v/>
      </c>
      <c r="Q4853" s="39" t="n">
        <f aca="false">IF($B4853="",0,IFERROR(MATCH($B4853,COA_Mapping!$A$7:$A$256,0),0))</f>
        <v>0</v>
      </c>
      <c r="R4853" s="39" t="n">
        <f aca="false">IF($A4853="",-1,IF($J4853=Setup!$B$7,1,IF($J4853=Setup!$B$9,0,-1)))</f>
        <v>-1</v>
      </c>
      <c r="S4853" s="35" t="n">
        <f aca="false">IF(OR($A4853="",$Q4853=0,$R4853=-1),0,$Q4853*1000+$R4853*100+$K4853)</f>
        <v>0</v>
      </c>
      <c r="T4853" s="37" t="str">
        <f aca="false">IF($A4853="","",IF($B4853="","NO ACCOUNT",IF($Q4853=0,"UNMAPPED",IF($R4853=-1,"OUTSIDE FY RANGE","OK"))))</f>
        <v/>
      </c>
      <c r="U4853" s="40" t="str">
        <f aca="false">IF($A4853="","",$B4853&amp;"|"&amp;TEXT($A4853,"yyyymmdd")&amp;"|"&amp;TEXT($I4853,"0.00"))</f>
        <v/>
      </c>
      <c r="V4853" s="35" t="str">
        <f aca="false">IF($A4853="","",COUNTIF($U$8:$U$5007,$U4853))</f>
        <v/>
      </c>
    </row>
    <row r="4854" customFormat="false" ht="15" hidden="false" customHeight="false" outlineLevel="0" collapsed="false">
      <c r="A4854" s="31"/>
      <c r="B4854" s="32"/>
      <c r="C4854" s="32"/>
      <c r="D4854" s="32"/>
      <c r="E4854" s="32"/>
      <c r="F4854" s="32"/>
      <c r="G4854" s="33"/>
      <c r="H4854" s="33"/>
      <c r="I4854" s="34" t="str">
        <f aca="false">IF($A4854="","",$G4854-$H4854)</f>
        <v/>
      </c>
      <c r="J4854" s="35" t="str">
        <f aca="false">IF($A4854="","",IF(Setup!$B$6=1,YEAR($A4854),YEAR($A4854)+IF(MONTH($A4854)&gt;=Setup!$B$6,1,0)))</f>
        <v/>
      </c>
      <c r="K4854" s="35" t="str">
        <f aca="false">IF($A4854="","",MOD(MONTH($A4854)-Setup!$B$6+12,12)+1)</f>
        <v/>
      </c>
      <c r="L4854" s="36" t="str">
        <f aca="false">IF($A4854="","",TEXT($A4854,"MMM-YY"))</f>
        <v/>
      </c>
      <c r="M4854" s="37" t="str">
        <f aca="false">IF($A4854="","",IF($Q4854=0,"UNMAPPED",INDEX(COA_Mapping!$C$7:$C$256,$Q4854)))</f>
        <v/>
      </c>
      <c r="N4854" s="38" t="str">
        <f aca="false">IF($A4854="","",IF($Q4854=0,"",INDEX(COA_Mapping!$E$7:$E$256,$Q4854)))</f>
        <v/>
      </c>
      <c r="O4854" s="38" t="n">
        <f aca="false">IF($A4854="",1,IF($Q4854=0,1,INDEX(COA_Mapping!$F$7:$F$256,$Q4854)))</f>
        <v>1</v>
      </c>
      <c r="P4854" s="34" t="str">
        <f aca="false">IF($A4854="","",$I4854*$O4854)</f>
        <v/>
      </c>
      <c r="Q4854" s="39" t="n">
        <f aca="false">IF($B4854="",0,IFERROR(MATCH($B4854,COA_Mapping!$A$7:$A$256,0),0))</f>
        <v>0</v>
      </c>
      <c r="R4854" s="39" t="n">
        <f aca="false">IF($A4854="",-1,IF($J4854=Setup!$B$7,1,IF($J4854=Setup!$B$9,0,-1)))</f>
        <v>-1</v>
      </c>
      <c r="S4854" s="35" t="n">
        <f aca="false">IF(OR($A4854="",$Q4854=0,$R4854=-1),0,$Q4854*1000+$R4854*100+$K4854)</f>
        <v>0</v>
      </c>
      <c r="T4854" s="37" t="str">
        <f aca="false">IF($A4854="","",IF($B4854="","NO ACCOUNT",IF($Q4854=0,"UNMAPPED",IF($R4854=-1,"OUTSIDE FY RANGE","OK"))))</f>
        <v/>
      </c>
      <c r="U4854" s="40" t="str">
        <f aca="false">IF($A4854="","",$B4854&amp;"|"&amp;TEXT($A4854,"yyyymmdd")&amp;"|"&amp;TEXT($I4854,"0.00"))</f>
        <v/>
      </c>
      <c r="V4854" s="35" t="str">
        <f aca="false">IF($A4854="","",COUNTIF($U$8:$U$5007,$U4854))</f>
        <v/>
      </c>
    </row>
    <row r="4855" customFormat="false" ht="15" hidden="false" customHeight="false" outlineLevel="0" collapsed="false">
      <c r="A4855" s="31"/>
      <c r="B4855" s="32"/>
      <c r="C4855" s="32"/>
      <c r="D4855" s="32"/>
      <c r="E4855" s="32"/>
      <c r="F4855" s="32"/>
      <c r="G4855" s="33"/>
      <c r="H4855" s="33"/>
      <c r="I4855" s="34" t="str">
        <f aca="false">IF($A4855="","",$G4855-$H4855)</f>
        <v/>
      </c>
      <c r="J4855" s="35" t="str">
        <f aca="false">IF($A4855="","",IF(Setup!$B$6=1,YEAR($A4855),YEAR($A4855)+IF(MONTH($A4855)&gt;=Setup!$B$6,1,0)))</f>
        <v/>
      </c>
      <c r="K4855" s="35" t="str">
        <f aca="false">IF($A4855="","",MOD(MONTH($A4855)-Setup!$B$6+12,12)+1)</f>
        <v/>
      </c>
      <c r="L4855" s="36" t="str">
        <f aca="false">IF($A4855="","",TEXT($A4855,"MMM-YY"))</f>
        <v/>
      </c>
      <c r="M4855" s="37" t="str">
        <f aca="false">IF($A4855="","",IF($Q4855=0,"UNMAPPED",INDEX(COA_Mapping!$C$7:$C$256,$Q4855)))</f>
        <v/>
      </c>
      <c r="N4855" s="38" t="str">
        <f aca="false">IF($A4855="","",IF($Q4855=0,"",INDEX(COA_Mapping!$E$7:$E$256,$Q4855)))</f>
        <v/>
      </c>
      <c r="O4855" s="38" t="n">
        <f aca="false">IF($A4855="",1,IF($Q4855=0,1,INDEX(COA_Mapping!$F$7:$F$256,$Q4855)))</f>
        <v>1</v>
      </c>
      <c r="P4855" s="34" t="str">
        <f aca="false">IF($A4855="","",$I4855*$O4855)</f>
        <v/>
      </c>
      <c r="Q4855" s="39" t="n">
        <f aca="false">IF($B4855="",0,IFERROR(MATCH($B4855,COA_Mapping!$A$7:$A$256,0),0))</f>
        <v>0</v>
      </c>
      <c r="R4855" s="39" t="n">
        <f aca="false">IF($A4855="",-1,IF($J4855=Setup!$B$7,1,IF($J4855=Setup!$B$9,0,-1)))</f>
        <v>-1</v>
      </c>
      <c r="S4855" s="35" t="n">
        <f aca="false">IF(OR($A4855="",$Q4855=0,$R4855=-1),0,$Q4855*1000+$R4855*100+$K4855)</f>
        <v>0</v>
      </c>
      <c r="T4855" s="37" t="str">
        <f aca="false">IF($A4855="","",IF($B4855="","NO ACCOUNT",IF($Q4855=0,"UNMAPPED",IF($R4855=-1,"OUTSIDE FY RANGE","OK"))))</f>
        <v/>
      </c>
      <c r="U4855" s="40" t="str">
        <f aca="false">IF($A4855="","",$B4855&amp;"|"&amp;TEXT($A4855,"yyyymmdd")&amp;"|"&amp;TEXT($I4855,"0.00"))</f>
        <v/>
      </c>
      <c r="V4855" s="35" t="str">
        <f aca="false">IF($A4855="","",COUNTIF($U$8:$U$5007,$U4855))</f>
        <v/>
      </c>
    </row>
    <row r="4856" customFormat="false" ht="15" hidden="false" customHeight="false" outlineLevel="0" collapsed="false">
      <c r="A4856" s="31"/>
      <c r="B4856" s="32"/>
      <c r="C4856" s="32"/>
      <c r="D4856" s="32"/>
      <c r="E4856" s="32"/>
      <c r="F4856" s="32"/>
      <c r="G4856" s="33"/>
      <c r="H4856" s="33"/>
      <c r="I4856" s="34" t="str">
        <f aca="false">IF($A4856="","",$G4856-$H4856)</f>
        <v/>
      </c>
      <c r="J4856" s="35" t="str">
        <f aca="false">IF($A4856="","",IF(Setup!$B$6=1,YEAR($A4856),YEAR($A4856)+IF(MONTH($A4856)&gt;=Setup!$B$6,1,0)))</f>
        <v/>
      </c>
      <c r="K4856" s="35" t="str">
        <f aca="false">IF($A4856="","",MOD(MONTH($A4856)-Setup!$B$6+12,12)+1)</f>
        <v/>
      </c>
      <c r="L4856" s="36" t="str">
        <f aca="false">IF($A4856="","",TEXT($A4856,"MMM-YY"))</f>
        <v/>
      </c>
      <c r="M4856" s="37" t="str">
        <f aca="false">IF($A4856="","",IF($Q4856=0,"UNMAPPED",INDEX(COA_Mapping!$C$7:$C$256,$Q4856)))</f>
        <v/>
      </c>
      <c r="N4856" s="38" t="str">
        <f aca="false">IF($A4856="","",IF($Q4856=0,"",INDEX(COA_Mapping!$E$7:$E$256,$Q4856)))</f>
        <v/>
      </c>
      <c r="O4856" s="38" t="n">
        <f aca="false">IF($A4856="",1,IF($Q4856=0,1,INDEX(COA_Mapping!$F$7:$F$256,$Q4856)))</f>
        <v>1</v>
      </c>
      <c r="P4856" s="34" t="str">
        <f aca="false">IF($A4856="","",$I4856*$O4856)</f>
        <v/>
      </c>
      <c r="Q4856" s="39" t="n">
        <f aca="false">IF($B4856="",0,IFERROR(MATCH($B4856,COA_Mapping!$A$7:$A$256,0),0))</f>
        <v>0</v>
      </c>
      <c r="R4856" s="39" t="n">
        <f aca="false">IF($A4856="",-1,IF($J4856=Setup!$B$7,1,IF($J4856=Setup!$B$9,0,-1)))</f>
        <v>-1</v>
      </c>
      <c r="S4856" s="35" t="n">
        <f aca="false">IF(OR($A4856="",$Q4856=0,$R4856=-1),0,$Q4856*1000+$R4856*100+$K4856)</f>
        <v>0</v>
      </c>
      <c r="T4856" s="37" t="str">
        <f aca="false">IF($A4856="","",IF($B4856="","NO ACCOUNT",IF($Q4856=0,"UNMAPPED",IF($R4856=-1,"OUTSIDE FY RANGE","OK"))))</f>
        <v/>
      </c>
      <c r="U4856" s="40" t="str">
        <f aca="false">IF($A4856="","",$B4856&amp;"|"&amp;TEXT($A4856,"yyyymmdd")&amp;"|"&amp;TEXT($I4856,"0.00"))</f>
        <v/>
      </c>
      <c r="V4856" s="35" t="str">
        <f aca="false">IF($A4856="","",COUNTIF($U$8:$U$5007,$U4856))</f>
        <v/>
      </c>
    </row>
    <row r="4857" customFormat="false" ht="15" hidden="false" customHeight="false" outlineLevel="0" collapsed="false">
      <c r="A4857" s="31"/>
      <c r="B4857" s="32"/>
      <c r="C4857" s="32"/>
      <c r="D4857" s="32"/>
      <c r="E4857" s="32"/>
      <c r="F4857" s="32"/>
      <c r="G4857" s="33"/>
      <c r="H4857" s="33"/>
      <c r="I4857" s="34" t="str">
        <f aca="false">IF($A4857="","",$G4857-$H4857)</f>
        <v/>
      </c>
      <c r="J4857" s="35" t="str">
        <f aca="false">IF($A4857="","",IF(Setup!$B$6=1,YEAR($A4857),YEAR($A4857)+IF(MONTH($A4857)&gt;=Setup!$B$6,1,0)))</f>
        <v/>
      </c>
      <c r="K4857" s="35" t="str">
        <f aca="false">IF($A4857="","",MOD(MONTH($A4857)-Setup!$B$6+12,12)+1)</f>
        <v/>
      </c>
      <c r="L4857" s="36" t="str">
        <f aca="false">IF($A4857="","",TEXT($A4857,"MMM-YY"))</f>
        <v/>
      </c>
      <c r="M4857" s="37" t="str">
        <f aca="false">IF($A4857="","",IF($Q4857=0,"UNMAPPED",INDEX(COA_Mapping!$C$7:$C$256,$Q4857)))</f>
        <v/>
      </c>
      <c r="N4857" s="38" t="str">
        <f aca="false">IF($A4857="","",IF($Q4857=0,"",INDEX(COA_Mapping!$E$7:$E$256,$Q4857)))</f>
        <v/>
      </c>
      <c r="O4857" s="38" t="n">
        <f aca="false">IF($A4857="",1,IF($Q4857=0,1,INDEX(COA_Mapping!$F$7:$F$256,$Q4857)))</f>
        <v>1</v>
      </c>
      <c r="P4857" s="34" t="str">
        <f aca="false">IF($A4857="","",$I4857*$O4857)</f>
        <v/>
      </c>
      <c r="Q4857" s="39" t="n">
        <f aca="false">IF($B4857="",0,IFERROR(MATCH($B4857,COA_Mapping!$A$7:$A$256,0),0))</f>
        <v>0</v>
      </c>
      <c r="R4857" s="39" t="n">
        <f aca="false">IF($A4857="",-1,IF($J4857=Setup!$B$7,1,IF($J4857=Setup!$B$9,0,-1)))</f>
        <v>-1</v>
      </c>
      <c r="S4857" s="35" t="n">
        <f aca="false">IF(OR($A4857="",$Q4857=0,$R4857=-1),0,$Q4857*1000+$R4857*100+$K4857)</f>
        <v>0</v>
      </c>
      <c r="T4857" s="37" t="str">
        <f aca="false">IF($A4857="","",IF($B4857="","NO ACCOUNT",IF($Q4857=0,"UNMAPPED",IF($R4857=-1,"OUTSIDE FY RANGE","OK"))))</f>
        <v/>
      </c>
      <c r="U4857" s="40" t="str">
        <f aca="false">IF($A4857="","",$B4857&amp;"|"&amp;TEXT($A4857,"yyyymmdd")&amp;"|"&amp;TEXT($I4857,"0.00"))</f>
        <v/>
      </c>
      <c r="V4857" s="35" t="str">
        <f aca="false">IF($A4857="","",COUNTIF($U$8:$U$5007,$U4857))</f>
        <v/>
      </c>
    </row>
    <row r="4858" customFormat="false" ht="15" hidden="false" customHeight="false" outlineLevel="0" collapsed="false">
      <c r="A4858" s="31"/>
      <c r="B4858" s="32"/>
      <c r="C4858" s="32"/>
      <c r="D4858" s="32"/>
      <c r="E4858" s="32"/>
      <c r="F4858" s="32"/>
      <c r="G4858" s="33"/>
      <c r="H4858" s="33"/>
      <c r="I4858" s="34" t="str">
        <f aca="false">IF($A4858="","",$G4858-$H4858)</f>
        <v/>
      </c>
      <c r="J4858" s="35" t="str">
        <f aca="false">IF($A4858="","",IF(Setup!$B$6=1,YEAR($A4858),YEAR($A4858)+IF(MONTH($A4858)&gt;=Setup!$B$6,1,0)))</f>
        <v/>
      </c>
      <c r="K4858" s="35" t="str">
        <f aca="false">IF($A4858="","",MOD(MONTH($A4858)-Setup!$B$6+12,12)+1)</f>
        <v/>
      </c>
      <c r="L4858" s="36" t="str">
        <f aca="false">IF($A4858="","",TEXT($A4858,"MMM-YY"))</f>
        <v/>
      </c>
      <c r="M4858" s="37" t="str">
        <f aca="false">IF($A4858="","",IF($Q4858=0,"UNMAPPED",INDEX(COA_Mapping!$C$7:$C$256,$Q4858)))</f>
        <v/>
      </c>
      <c r="N4858" s="38" t="str">
        <f aca="false">IF($A4858="","",IF($Q4858=0,"",INDEX(COA_Mapping!$E$7:$E$256,$Q4858)))</f>
        <v/>
      </c>
      <c r="O4858" s="38" t="n">
        <f aca="false">IF($A4858="",1,IF($Q4858=0,1,INDEX(COA_Mapping!$F$7:$F$256,$Q4858)))</f>
        <v>1</v>
      </c>
      <c r="P4858" s="34" t="str">
        <f aca="false">IF($A4858="","",$I4858*$O4858)</f>
        <v/>
      </c>
      <c r="Q4858" s="39" t="n">
        <f aca="false">IF($B4858="",0,IFERROR(MATCH($B4858,COA_Mapping!$A$7:$A$256,0),0))</f>
        <v>0</v>
      </c>
      <c r="R4858" s="39" t="n">
        <f aca="false">IF($A4858="",-1,IF($J4858=Setup!$B$7,1,IF($J4858=Setup!$B$9,0,-1)))</f>
        <v>-1</v>
      </c>
      <c r="S4858" s="35" t="n">
        <f aca="false">IF(OR($A4858="",$Q4858=0,$R4858=-1),0,$Q4858*1000+$R4858*100+$K4858)</f>
        <v>0</v>
      </c>
      <c r="T4858" s="37" t="str">
        <f aca="false">IF($A4858="","",IF($B4858="","NO ACCOUNT",IF($Q4858=0,"UNMAPPED",IF($R4858=-1,"OUTSIDE FY RANGE","OK"))))</f>
        <v/>
      </c>
      <c r="U4858" s="40" t="str">
        <f aca="false">IF($A4858="","",$B4858&amp;"|"&amp;TEXT($A4858,"yyyymmdd")&amp;"|"&amp;TEXT($I4858,"0.00"))</f>
        <v/>
      </c>
      <c r="V4858" s="35" t="str">
        <f aca="false">IF($A4858="","",COUNTIF($U$8:$U$5007,$U4858))</f>
        <v/>
      </c>
    </row>
    <row r="4859" customFormat="false" ht="15" hidden="false" customHeight="false" outlineLevel="0" collapsed="false">
      <c r="A4859" s="31"/>
      <c r="B4859" s="32"/>
      <c r="C4859" s="32"/>
      <c r="D4859" s="32"/>
      <c r="E4859" s="32"/>
      <c r="F4859" s="32"/>
      <c r="G4859" s="33"/>
      <c r="H4859" s="33"/>
      <c r="I4859" s="34" t="str">
        <f aca="false">IF($A4859="","",$G4859-$H4859)</f>
        <v/>
      </c>
      <c r="J4859" s="35" t="str">
        <f aca="false">IF($A4859="","",IF(Setup!$B$6=1,YEAR($A4859),YEAR($A4859)+IF(MONTH($A4859)&gt;=Setup!$B$6,1,0)))</f>
        <v/>
      </c>
      <c r="K4859" s="35" t="str">
        <f aca="false">IF($A4859="","",MOD(MONTH($A4859)-Setup!$B$6+12,12)+1)</f>
        <v/>
      </c>
      <c r="L4859" s="36" t="str">
        <f aca="false">IF($A4859="","",TEXT($A4859,"MMM-YY"))</f>
        <v/>
      </c>
      <c r="M4859" s="37" t="str">
        <f aca="false">IF($A4859="","",IF($Q4859=0,"UNMAPPED",INDEX(COA_Mapping!$C$7:$C$256,$Q4859)))</f>
        <v/>
      </c>
      <c r="N4859" s="38" t="str">
        <f aca="false">IF($A4859="","",IF($Q4859=0,"",INDEX(COA_Mapping!$E$7:$E$256,$Q4859)))</f>
        <v/>
      </c>
      <c r="O4859" s="38" t="n">
        <f aca="false">IF($A4859="",1,IF($Q4859=0,1,INDEX(COA_Mapping!$F$7:$F$256,$Q4859)))</f>
        <v>1</v>
      </c>
      <c r="P4859" s="34" t="str">
        <f aca="false">IF($A4859="","",$I4859*$O4859)</f>
        <v/>
      </c>
      <c r="Q4859" s="39" t="n">
        <f aca="false">IF($B4859="",0,IFERROR(MATCH($B4859,COA_Mapping!$A$7:$A$256,0),0))</f>
        <v>0</v>
      </c>
      <c r="R4859" s="39" t="n">
        <f aca="false">IF($A4859="",-1,IF($J4859=Setup!$B$7,1,IF($J4859=Setup!$B$9,0,-1)))</f>
        <v>-1</v>
      </c>
      <c r="S4859" s="35" t="n">
        <f aca="false">IF(OR($A4859="",$Q4859=0,$R4859=-1),0,$Q4859*1000+$R4859*100+$K4859)</f>
        <v>0</v>
      </c>
      <c r="T4859" s="37" t="str">
        <f aca="false">IF($A4859="","",IF($B4859="","NO ACCOUNT",IF($Q4859=0,"UNMAPPED",IF($R4859=-1,"OUTSIDE FY RANGE","OK"))))</f>
        <v/>
      </c>
      <c r="U4859" s="40" t="str">
        <f aca="false">IF($A4859="","",$B4859&amp;"|"&amp;TEXT($A4859,"yyyymmdd")&amp;"|"&amp;TEXT($I4859,"0.00"))</f>
        <v/>
      </c>
      <c r="V4859" s="35" t="str">
        <f aca="false">IF($A4859="","",COUNTIF($U$8:$U$5007,$U4859))</f>
        <v/>
      </c>
    </row>
    <row r="4860" customFormat="false" ht="15" hidden="false" customHeight="false" outlineLevel="0" collapsed="false">
      <c r="A4860" s="31"/>
      <c r="B4860" s="32"/>
      <c r="C4860" s="32"/>
      <c r="D4860" s="32"/>
      <c r="E4860" s="32"/>
      <c r="F4860" s="32"/>
      <c r="G4860" s="33"/>
      <c r="H4860" s="33"/>
      <c r="I4860" s="34" t="str">
        <f aca="false">IF($A4860="","",$G4860-$H4860)</f>
        <v/>
      </c>
      <c r="J4860" s="35" t="str">
        <f aca="false">IF($A4860="","",IF(Setup!$B$6=1,YEAR($A4860),YEAR($A4860)+IF(MONTH($A4860)&gt;=Setup!$B$6,1,0)))</f>
        <v/>
      </c>
      <c r="K4860" s="35" t="str">
        <f aca="false">IF($A4860="","",MOD(MONTH($A4860)-Setup!$B$6+12,12)+1)</f>
        <v/>
      </c>
      <c r="L4860" s="36" t="str">
        <f aca="false">IF($A4860="","",TEXT($A4860,"MMM-YY"))</f>
        <v/>
      </c>
      <c r="M4860" s="37" t="str">
        <f aca="false">IF($A4860="","",IF($Q4860=0,"UNMAPPED",INDEX(COA_Mapping!$C$7:$C$256,$Q4860)))</f>
        <v/>
      </c>
      <c r="N4860" s="38" t="str">
        <f aca="false">IF($A4860="","",IF($Q4860=0,"",INDEX(COA_Mapping!$E$7:$E$256,$Q4860)))</f>
        <v/>
      </c>
      <c r="O4860" s="38" t="n">
        <f aca="false">IF($A4860="",1,IF($Q4860=0,1,INDEX(COA_Mapping!$F$7:$F$256,$Q4860)))</f>
        <v>1</v>
      </c>
      <c r="P4860" s="34" t="str">
        <f aca="false">IF($A4860="","",$I4860*$O4860)</f>
        <v/>
      </c>
      <c r="Q4860" s="39" t="n">
        <f aca="false">IF($B4860="",0,IFERROR(MATCH($B4860,COA_Mapping!$A$7:$A$256,0),0))</f>
        <v>0</v>
      </c>
      <c r="R4860" s="39" t="n">
        <f aca="false">IF($A4860="",-1,IF($J4860=Setup!$B$7,1,IF($J4860=Setup!$B$9,0,-1)))</f>
        <v>-1</v>
      </c>
      <c r="S4860" s="35" t="n">
        <f aca="false">IF(OR($A4860="",$Q4860=0,$R4860=-1),0,$Q4860*1000+$R4860*100+$K4860)</f>
        <v>0</v>
      </c>
      <c r="T4860" s="37" t="str">
        <f aca="false">IF($A4860="","",IF($B4860="","NO ACCOUNT",IF($Q4860=0,"UNMAPPED",IF($R4860=-1,"OUTSIDE FY RANGE","OK"))))</f>
        <v/>
      </c>
      <c r="U4860" s="40" t="str">
        <f aca="false">IF($A4860="","",$B4860&amp;"|"&amp;TEXT($A4860,"yyyymmdd")&amp;"|"&amp;TEXT($I4860,"0.00"))</f>
        <v/>
      </c>
      <c r="V4860" s="35" t="str">
        <f aca="false">IF($A4860="","",COUNTIF($U$8:$U$5007,$U4860))</f>
        <v/>
      </c>
    </row>
    <row r="4861" customFormat="false" ht="15" hidden="false" customHeight="false" outlineLevel="0" collapsed="false">
      <c r="A4861" s="31"/>
      <c r="B4861" s="32"/>
      <c r="C4861" s="32"/>
      <c r="D4861" s="32"/>
      <c r="E4861" s="32"/>
      <c r="F4861" s="32"/>
      <c r="G4861" s="33"/>
      <c r="H4861" s="33"/>
      <c r="I4861" s="34" t="str">
        <f aca="false">IF($A4861="","",$G4861-$H4861)</f>
        <v/>
      </c>
      <c r="J4861" s="35" t="str">
        <f aca="false">IF($A4861="","",IF(Setup!$B$6=1,YEAR($A4861),YEAR($A4861)+IF(MONTH($A4861)&gt;=Setup!$B$6,1,0)))</f>
        <v/>
      </c>
      <c r="K4861" s="35" t="str">
        <f aca="false">IF($A4861="","",MOD(MONTH($A4861)-Setup!$B$6+12,12)+1)</f>
        <v/>
      </c>
      <c r="L4861" s="36" t="str">
        <f aca="false">IF($A4861="","",TEXT($A4861,"MMM-YY"))</f>
        <v/>
      </c>
      <c r="M4861" s="37" t="str">
        <f aca="false">IF($A4861="","",IF($Q4861=0,"UNMAPPED",INDEX(COA_Mapping!$C$7:$C$256,$Q4861)))</f>
        <v/>
      </c>
      <c r="N4861" s="38" t="str">
        <f aca="false">IF($A4861="","",IF($Q4861=0,"",INDEX(COA_Mapping!$E$7:$E$256,$Q4861)))</f>
        <v/>
      </c>
      <c r="O4861" s="38" t="n">
        <f aca="false">IF($A4861="",1,IF($Q4861=0,1,INDEX(COA_Mapping!$F$7:$F$256,$Q4861)))</f>
        <v>1</v>
      </c>
      <c r="P4861" s="34" t="str">
        <f aca="false">IF($A4861="","",$I4861*$O4861)</f>
        <v/>
      </c>
      <c r="Q4861" s="39" t="n">
        <f aca="false">IF($B4861="",0,IFERROR(MATCH($B4861,COA_Mapping!$A$7:$A$256,0),0))</f>
        <v>0</v>
      </c>
      <c r="R4861" s="39" t="n">
        <f aca="false">IF($A4861="",-1,IF($J4861=Setup!$B$7,1,IF($J4861=Setup!$B$9,0,-1)))</f>
        <v>-1</v>
      </c>
      <c r="S4861" s="35" t="n">
        <f aca="false">IF(OR($A4861="",$Q4861=0,$R4861=-1),0,$Q4861*1000+$R4861*100+$K4861)</f>
        <v>0</v>
      </c>
      <c r="T4861" s="37" t="str">
        <f aca="false">IF($A4861="","",IF($B4861="","NO ACCOUNT",IF($Q4861=0,"UNMAPPED",IF($R4861=-1,"OUTSIDE FY RANGE","OK"))))</f>
        <v/>
      </c>
      <c r="U4861" s="40" t="str">
        <f aca="false">IF($A4861="","",$B4861&amp;"|"&amp;TEXT($A4861,"yyyymmdd")&amp;"|"&amp;TEXT($I4861,"0.00"))</f>
        <v/>
      </c>
      <c r="V4861" s="35" t="str">
        <f aca="false">IF($A4861="","",COUNTIF($U$8:$U$5007,$U4861))</f>
        <v/>
      </c>
    </row>
    <row r="4862" customFormat="false" ht="15" hidden="false" customHeight="false" outlineLevel="0" collapsed="false">
      <c r="A4862" s="31"/>
      <c r="B4862" s="32"/>
      <c r="C4862" s="32"/>
      <c r="D4862" s="32"/>
      <c r="E4862" s="32"/>
      <c r="F4862" s="32"/>
      <c r="G4862" s="33"/>
      <c r="H4862" s="33"/>
      <c r="I4862" s="34" t="str">
        <f aca="false">IF($A4862="","",$G4862-$H4862)</f>
        <v/>
      </c>
      <c r="J4862" s="35" t="str">
        <f aca="false">IF($A4862="","",IF(Setup!$B$6=1,YEAR($A4862),YEAR($A4862)+IF(MONTH($A4862)&gt;=Setup!$B$6,1,0)))</f>
        <v/>
      </c>
      <c r="K4862" s="35" t="str">
        <f aca="false">IF($A4862="","",MOD(MONTH($A4862)-Setup!$B$6+12,12)+1)</f>
        <v/>
      </c>
      <c r="L4862" s="36" t="str">
        <f aca="false">IF($A4862="","",TEXT($A4862,"MMM-YY"))</f>
        <v/>
      </c>
      <c r="M4862" s="37" t="str">
        <f aca="false">IF($A4862="","",IF($Q4862=0,"UNMAPPED",INDEX(COA_Mapping!$C$7:$C$256,$Q4862)))</f>
        <v/>
      </c>
      <c r="N4862" s="38" t="str">
        <f aca="false">IF($A4862="","",IF($Q4862=0,"",INDEX(COA_Mapping!$E$7:$E$256,$Q4862)))</f>
        <v/>
      </c>
      <c r="O4862" s="38" t="n">
        <f aca="false">IF($A4862="",1,IF($Q4862=0,1,INDEX(COA_Mapping!$F$7:$F$256,$Q4862)))</f>
        <v>1</v>
      </c>
      <c r="P4862" s="34" t="str">
        <f aca="false">IF($A4862="","",$I4862*$O4862)</f>
        <v/>
      </c>
      <c r="Q4862" s="39" t="n">
        <f aca="false">IF($B4862="",0,IFERROR(MATCH($B4862,COA_Mapping!$A$7:$A$256,0),0))</f>
        <v>0</v>
      </c>
      <c r="R4862" s="39" t="n">
        <f aca="false">IF($A4862="",-1,IF($J4862=Setup!$B$7,1,IF($J4862=Setup!$B$9,0,-1)))</f>
        <v>-1</v>
      </c>
      <c r="S4862" s="35" t="n">
        <f aca="false">IF(OR($A4862="",$Q4862=0,$R4862=-1),0,$Q4862*1000+$R4862*100+$K4862)</f>
        <v>0</v>
      </c>
      <c r="T4862" s="37" t="str">
        <f aca="false">IF($A4862="","",IF($B4862="","NO ACCOUNT",IF($Q4862=0,"UNMAPPED",IF($R4862=-1,"OUTSIDE FY RANGE","OK"))))</f>
        <v/>
      </c>
      <c r="U4862" s="40" t="str">
        <f aca="false">IF($A4862="","",$B4862&amp;"|"&amp;TEXT($A4862,"yyyymmdd")&amp;"|"&amp;TEXT($I4862,"0.00"))</f>
        <v/>
      </c>
      <c r="V4862" s="35" t="str">
        <f aca="false">IF($A4862="","",COUNTIF($U$8:$U$5007,$U4862))</f>
        <v/>
      </c>
    </row>
    <row r="4863" customFormat="false" ht="15" hidden="false" customHeight="false" outlineLevel="0" collapsed="false">
      <c r="A4863" s="31"/>
      <c r="B4863" s="32"/>
      <c r="C4863" s="32"/>
      <c r="D4863" s="32"/>
      <c r="E4863" s="32"/>
      <c r="F4863" s="32"/>
      <c r="G4863" s="33"/>
      <c r="H4863" s="33"/>
      <c r="I4863" s="34" t="str">
        <f aca="false">IF($A4863="","",$G4863-$H4863)</f>
        <v/>
      </c>
      <c r="J4863" s="35" t="str">
        <f aca="false">IF($A4863="","",IF(Setup!$B$6=1,YEAR($A4863),YEAR($A4863)+IF(MONTH($A4863)&gt;=Setup!$B$6,1,0)))</f>
        <v/>
      </c>
      <c r="K4863" s="35" t="str">
        <f aca="false">IF($A4863="","",MOD(MONTH($A4863)-Setup!$B$6+12,12)+1)</f>
        <v/>
      </c>
      <c r="L4863" s="36" t="str">
        <f aca="false">IF($A4863="","",TEXT($A4863,"MMM-YY"))</f>
        <v/>
      </c>
      <c r="M4863" s="37" t="str">
        <f aca="false">IF($A4863="","",IF($Q4863=0,"UNMAPPED",INDEX(COA_Mapping!$C$7:$C$256,$Q4863)))</f>
        <v/>
      </c>
      <c r="N4863" s="38" t="str">
        <f aca="false">IF($A4863="","",IF($Q4863=0,"",INDEX(COA_Mapping!$E$7:$E$256,$Q4863)))</f>
        <v/>
      </c>
      <c r="O4863" s="38" t="n">
        <f aca="false">IF($A4863="",1,IF($Q4863=0,1,INDEX(COA_Mapping!$F$7:$F$256,$Q4863)))</f>
        <v>1</v>
      </c>
      <c r="P4863" s="34" t="str">
        <f aca="false">IF($A4863="","",$I4863*$O4863)</f>
        <v/>
      </c>
      <c r="Q4863" s="39" t="n">
        <f aca="false">IF($B4863="",0,IFERROR(MATCH($B4863,COA_Mapping!$A$7:$A$256,0),0))</f>
        <v>0</v>
      </c>
      <c r="R4863" s="39" t="n">
        <f aca="false">IF($A4863="",-1,IF($J4863=Setup!$B$7,1,IF($J4863=Setup!$B$9,0,-1)))</f>
        <v>-1</v>
      </c>
      <c r="S4863" s="35" t="n">
        <f aca="false">IF(OR($A4863="",$Q4863=0,$R4863=-1),0,$Q4863*1000+$R4863*100+$K4863)</f>
        <v>0</v>
      </c>
      <c r="T4863" s="37" t="str">
        <f aca="false">IF($A4863="","",IF($B4863="","NO ACCOUNT",IF($Q4863=0,"UNMAPPED",IF($R4863=-1,"OUTSIDE FY RANGE","OK"))))</f>
        <v/>
      </c>
      <c r="U4863" s="40" t="str">
        <f aca="false">IF($A4863="","",$B4863&amp;"|"&amp;TEXT($A4863,"yyyymmdd")&amp;"|"&amp;TEXT($I4863,"0.00"))</f>
        <v/>
      </c>
      <c r="V4863" s="35" t="str">
        <f aca="false">IF($A4863="","",COUNTIF($U$8:$U$5007,$U4863))</f>
        <v/>
      </c>
    </row>
    <row r="4864" customFormat="false" ht="15" hidden="false" customHeight="false" outlineLevel="0" collapsed="false">
      <c r="A4864" s="31"/>
      <c r="B4864" s="32"/>
      <c r="C4864" s="32"/>
      <c r="D4864" s="32"/>
      <c r="E4864" s="32"/>
      <c r="F4864" s="32"/>
      <c r="G4864" s="33"/>
      <c r="H4864" s="33"/>
      <c r="I4864" s="34" t="str">
        <f aca="false">IF($A4864="","",$G4864-$H4864)</f>
        <v/>
      </c>
      <c r="J4864" s="35" t="str">
        <f aca="false">IF($A4864="","",IF(Setup!$B$6=1,YEAR($A4864),YEAR($A4864)+IF(MONTH($A4864)&gt;=Setup!$B$6,1,0)))</f>
        <v/>
      </c>
      <c r="K4864" s="35" t="str">
        <f aca="false">IF($A4864="","",MOD(MONTH($A4864)-Setup!$B$6+12,12)+1)</f>
        <v/>
      </c>
      <c r="L4864" s="36" t="str">
        <f aca="false">IF($A4864="","",TEXT($A4864,"MMM-YY"))</f>
        <v/>
      </c>
      <c r="M4864" s="37" t="str">
        <f aca="false">IF($A4864="","",IF($Q4864=0,"UNMAPPED",INDEX(COA_Mapping!$C$7:$C$256,$Q4864)))</f>
        <v/>
      </c>
      <c r="N4864" s="38" t="str">
        <f aca="false">IF($A4864="","",IF($Q4864=0,"",INDEX(COA_Mapping!$E$7:$E$256,$Q4864)))</f>
        <v/>
      </c>
      <c r="O4864" s="38" t="n">
        <f aca="false">IF($A4864="",1,IF($Q4864=0,1,INDEX(COA_Mapping!$F$7:$F$256,$Q4864)))</f>
        <v>1</v>
      </c>
      <c r="P4864" s="34" t="str">
        <f aca="false">IF($A4864="","",$I4864*$O4864)</f>
        <v/>
      </c>
      <c r="Q4864" s="39" t="n">
        <f aca="false">IF($B4864="",0,IFERROR(MATCH($B4864,COA_Mapping!$A$7:$A$256,0),0))</f>
        <v>0</v>
      </c>
      <c r="R4864" s="39" t="n">
        <f aca="false">IF($A4864="",-1,IF($J4864=Setup!$B$7,1,IF($J4864=Setup!$B$9,0,-1)))</f>
        <v>-1</v>
      </c>
      <c r="S4864" s="35" t="n">
        <f aca="false">IF(OR($A4864="",$Q4864=0,$R4864=-1),0,$Q4864*1000+$R4864*100+$K4864)</f>
        <v>0</v>
      </c>
      <c r="T4864" s="37" t="str">
        <f aca="false">IF($A4864="","",IF($B4864="","NO ACCOUNT",IF($Q4864=0,"UNMAPPED",IF($R4864=-1,"OUTSIDE FY RANGE","OK"))))</f>
        <v/>
      </c>
      <c r="U4864" s="40" t="str">
        <f aca="false">IF($A4864="","",$B4864&amp;"|"&amp;TEXT($A4864,"yyyymmdd")&amp;"|"&amp;TEXT($I4864,"0.00"))</f>
        <v/>
      </c>
      <c r="V4864" s="35" t="str">
        <f aca="false">IF($A4864="","",COUNTIF($U$8:$U$5007,$U4864))</f>
        <v/>
      </c>
    </row>
    <row r="4865" customFormat="false" ht="15" hidden="false" customHeight="false" outlineLevel="0" collapsed="false">
      <c r="A4865" s="31"/>
      <c r="B4865" s="32"/>
      <c r="C4865" s="32"/>
      <c r="D4865" s="32"/>
      <c r="E4865" s="32"/>
      <c r="F4865" s="32"/>
      <c r="G4865" s="33"/>
      <c r="H4865" s="33"/>
      <c r="I4865" s="34" t="str">
        <f aca="false">IF($A4865="","",$G4865-$H4865)</f>
        <v/>
      </c>
      <c r="J4865" s="35" t="str">
        <f aca="false">IF($A4865="","",IF(Setup!$B$6=1,YEAR($A4865),YEAR($A4865)+IF(MONTH($A4865)&gt;=Setup!$B$6,1,0)))</f>
        <v/>
      </c>
      <c r="K4865" s="35" t="str">
        <f aca="false">IF($A4865="","",MOD(MONTH($A4865)-Setup!$B$6+12,12)+1)</f>
        <v/>
      </c>
      <c r="L4865" s="36" t="str">
        <f aca="false">IF($A4865="","",TEXT($A4865,"MMM-YY"))</f>
        <v/>
      </c>
      <c r="M4865" s="37" t="str">
        <f aca="false">IF($A4865="","",IF($Q4865=0,"UNMAPPED",INDEX(COA_Mapping!$C$7:$C$256,$Q4865)))</f>
        <v/>
      </c>
      <c r="N4865" s="38" t="str">
        <f aca="false">IF($A4865="","",IF($Q4865=0,"",INDEX(COA_Mapping!$E$7:$E$256,$Q4865)))</f>
        <v/>
      </c>
      <c r="O4865" s="38" t="n">
        <f aca="false">IF($A4865="",1,IF($Q4865=0,1,INDEX(COA_Mapping!$F$7:$F$256,$Q4865)))</f>
        <v>1</v>
      </c>
      <c r="P4865" s="34" t="str">
        <f aca="false">IF($A4865="","",$I4865*$O4865)</f>
        <v/>
      </c>
      <c r="Q4865" s="39" t="n">
        <f aca="false">IF($B4865="",0,IFERROR(MATCH($B4865,COA_Mapping!$A$7:$A$256,0),0))</f>
        <v>0</v>
      </c>
      <c r="R4865" s="39" t="n">
        <f aca="false">IF($A4865="",-1,IF($J4865=Setup!$B$7,1,IF($J4865=Setup!$B$9,0,-1)))</f>
        <v>-1</v>
      </c>
      <c r="S4865" s="35" t="n">
        <f aca="false">IF(OR($A4865="",$Q4865=0,$R4865=-1),0,$Q4865*1000+$R4865*100+$K4865)</f>
        <v>0</v>
      </c>
      <c r="T4865" s="37" t="str">
        <f aca="false">IF($A4865="","",IF($B4865="","NO ACCOUNT",IF($Q4865=0,"UNMAPPED",IF($R4865=-1,"OUTSIDE FY RANGE","OK"))))</f>
        <v/>
      </c>
      <c r="U4865" s="40" t="str">
        <f aca="false">IF($A4865="","",$B4865&amp;"|"&amp;TEXT($A4865,"yyyymmdd")&amp;"|"&amp;TEXT($I4865,"0.00"))</f>
        <v/>
      </c>
      <c r="V4865" s="35" t="str">
        <f aca="false">IF($A4865="","",COUNTIF($U$8:$U$5007,$U4865))</f>
        <v/>
      </c>
    </row>
    <row r="4866" customFormat="false" ht="15" hidden="false" customHeight="false" outlineLevel="0" collapsed="false">
      <c r="A4866" s="31"/>
      <c r="B4866" s="32"/>
      <c r="C4866" s="32"/>
      <c r="D4866" s="32"/>
      <c r="E4866" s="32"/>
      <c r="F4866" s="32"/>
      <c r="G4866" s="33"/>
      <c r="H4866" s="33"/>
      <c r="I4866" s="34" t="str">
        <f aca="false">IF($A4866="","",$G4866-$H4866)</f>
        <v/>
      </c>
      <c r="J4866" s="35" t="str">
        <f aca="false">IF($A4866="","",IF(Setup!$B$6=1,YEAR($A4866),YEAR($A4866)+IF(MONTH($A4866)&gt;=Setup!$B$6,1,0)))</f>
        <v/>
      </c>
      <c r="K4866" s="35" t="str">
        <f aca="false">IF($A4866="","",MOD(MONTH($A4866)-Setup!$B$6+12,12)+1)</f>
        <v/>
      </c>
      <c r="L4866" s="36" t="str">
        <f aca="false">IF($A4866="","",TEXT($A4866,"MMM-YY"))</f>
        <v/>
      </c>
      <c r="M4866" s="37" t="str">
        <f aca="false">IF($A4866="","",IF($Q4866=0,"UNMAPPED",INDEX(COA_Mapping!$C$7:$C$256,$Q4866)))</f>
        <v/>
      </c>
      <c r="N4866" s="38" t="str">
        <f aca="false">IF($A4866="","",IF($Q4866=0,"",INDEX(COA_Mapping!$E$7:$E$256,$Q4866)))</f>
        <v/>
      </c>
      <c r="O4866" s="38" t="n">
        <f aca="false">IF($A4866="",1,IF($Q4866=0,1,INDEX(COA_Mapping!$F$7:$F$256,$Q4866)))</f>
        <v>1</v>
      </c>
      <c r="P4866" s="34" t="str">
        <f aca="false">IF($A4866="","",$I4866*$O4866)</f>
        <v/>
      </c>
      <c r="Q4866" s="39" t="n">
        <f aca="false">IF($B4866="",0,IFERROR(MATCH($B4866,COA_Mapping!$A$7:$A$256,0),0))</f>
        <v>0</v>
      </c>
      <c r="R4866" s="39" t="n">
        <f aca="false">IF($A4866="",-1,IF($J4866=Setup!$B$7,1,IF($J4866=Setup!$B$9,0,-1)))</f>
        <v>-1</v>
      </c>
      <c r="S4866" s="35" t="n">
        <f aca="false">IF(OR($A4866="",$Q4866=0,$R4866=-1),0,$Q4866*1000+$R4866*100+$K4866)</f>
        <v>0</v>
      </c>
      <c r="T4866" s="37" t="str">
        <f aca="false">IF($A4866="","",IF($B4866="","NO ACCOUNT",IF($Q4866=0,"UNMAPPED",IF($R4866=-1,"OUTSIDE FY RANGE","OK"))))</f>
        <v/>
      </c>
      <c r="U4866" s="40" t="str">
        <f aca="false">IF($A4866="","",$B4866&amp;"|"&amp;TEXT($A4866,"yyyymmdd")&amp;"|"&amp;TEXT($I4866,"0.00"))</f>
        <v/>
      </c>
      <c r="V4866" s="35" t="str">
        <f aca="false">IF($A4866="","",COUNTIF($U$8:$U$5007,$U4866))</f>
        <v/>
      </c>
    </row>
    <row r="4867" customFormat="false" ht="15" hidden="false" customHeight="false" outlineLevel="0" collapsed="false">
      <c r="A4867" s="31"/>
      <c r="B4867" s="32"/>
      <c r="C4867" s="32"/>
      <c r="D4867" s="32"/>
      <c r="E4867" s="32"/>
      <c r="F4867" s="32"/>
      <c r="G4867" s="33"/>
      <c r="H4867" s="33"/>
      <c r="I4867" s="34" t="str">
        <f aca="false">IF($A4867="","",$G4867-$H4867)</f>
        <v/>
      </c>
      <c r="J4867" s="35" t="str">
        <f aca="false">IF($A4867="","",IF(Setup!$B$6=1,YEAR($A4867),YEAR($A4867)+IF(MONTH($A4867)&gt;=Setup!$B$6,1,0)))</f>
        <v/>
      </c>
      <c r="K4867" s="35" t="str">
        <f aca="false">IF($A4867="","",MOD(MONTH($A4867)-Setup!$B$6+12,12)+1)</f>
        <v/>
      </c>
      <c r="L4867" s="36" t="str">
        <f aca="false">IF($A4867="","",TEXT($A4867,"MMM-YY"))</f>
        <v/>
      </c>
      <c r="M4867" s="37" t="str">
        <f aca="false">IF($A4867="","",IF($Q4867=0,"UNMAPPED",INDEX(COA_Mapping!$C$7:$C$256,$Q4867)))</f>
        <v/>
      </c>
      <c r="N4867" s="38" t="str">
        <f aca="false">IF($A4867="","",IF($Q4867=0,"",INDEX(COA_Mapping!$E$7:$E$256,$Q4867)))</f>
        <v/>
      </c>
      <c r="O4867" s="38" t="n">
        <f aca="false">IF($A4867="",1,IF($Q4867=0,1,INDEX(COA_Mapping!$F$7:$F$256,$Q4867)))</f>
        <v>1</v>
      </c>
      <c r="P4867" s="34" t="str">
        <f aca="false">IF($A4867="","",$I4867*$O4867)</f>
        <v/>
      </c>
      <c r="Q4867" s="39" t="n">
        <f aca="false">IF($B4867="",0,IFERROR(MATCH($B4867,COA_Mapping!$A$7:$A$256,0),0))</f>
        <v>0</v>
      </c>
      <c r="R4867" s="39" t="n">
        <f aca="false">IF($A4867="",-1,IF($J4867=Setup!$B$7,1,IF($J4867=Setup!$B$9,0,-1)))</f>
        <v>-1</v>
      </c>
      <c r="S4867" s="35" t="n">
        <f aca="false">IF(OR($A4867="",$Q4867=0,$R4867=-1),0,$Q4867*1000+$R4867*100+$K4867)</f>
        <v>0</v>
      </c>
      <c r="T4867" s="37" t="str">
        <f aca="false">IF($A4867="","",IF($B4867="","NO ACCOUNT",IF($Q4867=0,"UNMAPPED",IF($R4867=-1,"OUTSIDE FY RANGE","OK"))))</f>
        <v/>
      </c>
      <c r="U4867" s="40" t="str">
        <f aca="false">IF($A4867="","",$B4867&amp;"|"&amp;TEXT($A4867,"yyyymmdd")&amp;"|"&amp;TEXT($I4867,"0.00"))</f>
        <v/>
      </c>
      <c r="V4867" s="35" t="str">
        <f aca="false">IF($A4867="","",COUNTIF($U$8:$U$5007,$U4867))</f>
        <v/>
      </c>
    </row>
    <row r="4868" customFormat="false" ht="15" hidden="false" customHeight="false" outlineLevel="0" collapsed="false">
      <c r="A4868" s="31"/>
      <c r="B4868" s="32"/>
      <c r="C4868" s="32"/>
      <c r="D4868" s="32"/>
      <c r="E4868" s="32"/>
      <c r="F4868" s="32"/>
      <c r="G4868" s="33"/>
      <c r="H4868" s="33"/>
      <c r="I4868" s="34" t="str">
        <f aca="false">IF($A4868="","",$G4868-$H4868)</f>
        <v/>
      </c>
      <c r="J4868" s="35" t="str">
        <f aca="false">IF($A4868="","",IF(Setup!$B$6=1,YEAR($A4868),YEAR($A4868)+IF(MONTH($A4868)&gt;=Setup!$B$6,1,0)))</f>
        <v/>
      </c>
      <c r="K4868" s="35" t="str">
        <f aca="false">IF($A4868="","",MOD(MONTH($A4868)-Setup!$B$6+12,12)+1)</f>
        <v/>
      </c>
      <c r="L4868" s="36" t="str">
        <f aca="false">IF($A4868="","",TEXT($A4868,"MMM-YY"))</f>
        <v/>
      </c>
      <c r="M4868" s="37" t="str">
        <f aca="false">IF($A4868="","",IF($Q4868=0,"UNMAPPED",INDEX(COA_Mapping!$C$7:$C$256,$Q4868)))</f>
        <v/>
      </c>
      <c r="N4868" s="38" t="str">
        <f aca="false">IF($A4868="","",IF($Q4868=0,"",INDEX(COA_Mapping!$E$7:$E$256,$Q4868)))</f>
        <v/>
      </c>
      <c r="O4868" s="38" t="n">
        <f aca="false">IF($A4868="",1,IF($Q4868=0,1,INDEX(COA_Mapping!$F$7:$F$256,$Q4868)))</f>
        <v>1</v>
      </c>
      <c r="P4868" s="34" t="str">
        <f aca="false">IF($A4868="","",$I4868*$O4868)</f>
        <v/>
      </c>
      <c r="Q4868" s="39" t="n">
        <f aca="false">IF($B4868="",0,IFERROR(MATCH($B4868,COA_Mapping!$A$7:$A$256,0),0))</f>
        <v>0</v>
      </c>
      <c r="R4868" s="39" t="n">
        <f aca="false">IF($A4868="",-1,IF($J4868=Setup!$B$7,1,IF($J4868=Setup!$B$9,0,-1)))</f>
        <v>-1</v>
      </c>
      <c r="S4868" s="35" t="n">
        <f aca="false">IF(OR($A4868="",$Q4868=0,$R4868=-1),0,$Q4868*1000+$R4868*100+$K4868)</f>
        <v>0</v>
      </c>
      <c r="T4868" s="37" t="str">
        <f aca="false">IF($A4868="","",IF($B4868="","NO ACCOUNT",IF($Q4868=0,"UNMAPPED",IF($R4868=-1,"OUTSIDE FY RANGE","OK"))))</f>
        <v/>
      </c>
      <c r="U4868" s="40" t="str">
        <f aca="false">IF($A4868="","",$B4868&amp;"|"&amp;TEXT($A4868,"yyyymmdd")&amp;"|"&amp;TEXT($I4868,"0.00"))</f>
        <v/>
      </c>
      <c r="V4868" s="35" t="str">
        <f aca="false">IF($A4868="","",COUNTIF($U$8:$U$5007,$U4868))</f>
        <v/>
      </c>
    </row>
    <row r="4869" customFormat="false" ht="15" hidden="false" customHeight="false" outlineLevel="0" collapsed="false">
      <c r="A4869" s="31"/>
      <c r="B4869" s="32"/>
      <c r="C4869" s="32"/>
      <c r="D4869" s="32"/>
      <c r="E4869" s="32"/>
      <c r="F4869" s="32"/>
      <c r="G4869" s="33"/>
      <c r="H4869" s="33"/>
      <c r="I4869" s="34" t="str">
        <f aca="false">IF($A4869="","",$G4869-$H4869)</f>
        <v/>
      </c>
      <c r="J4869" s="35" t="str">
        <f aca="false">IF($A4869="","",IF(Setup!$B$6=1,YEAR($A4869),YEAR($A4869)+IF(MONTH($A4869)&gt;=Setup!$B$6,1,0)))</f>
        <v/>
      </c>
      <c r="K4869" s="35" t="str">
        <f aca="false">IF($A4869="","",MOD(MONTH($A4869)-Setup!$B$6+12,12)+1)</f>
        <v/>
      </c>
      <c r="L4869" s="36" t="str">
        <f aca="false">IF($A4869="","",TEXT($A4869,"MMM-YY"))</f>
        <v/>
      </c>
      <c r="M4869" s="37" t="str">
        <f aca="false">IF($A4869="","",IF($Q4869=0,"UNMAPPED",INDEX(COA_Mapping!$C$7:$C$256,$Q4869)))</f>
        <v/>
      </c>
      <c r="N4869" s="38" t="str">
        <f aca="false">IF($A4869="","",IF($Q4869=0,"",INDEX(COA_Mapping!$E$7:$E$256,$Q4869)))</f>
        <v/>
      </c>
      <c r="O4869" s="38" t="n">
        <f aca="false">IF($A4869="",1,IF($Q4869=0,1,INDEX(COA_Mapping!$F$7:$F$256,$Q4869)))</f>
        <v>1</v>
      </c>
      <c r="P4869" s="34" t="str">
        <f aca="false">IF($A4869="","",$I4869*$O4869)</f>
        <v/>
      </c>
      <c r="Q4869" s="39" t="n">
        <f aca="false">IF($B4869="",0,IFERROR(MATCH($B4869,COA_Mapping!$A$7:$A$256,0),0))</f>
        <v>0</v>
      </c>
      <c r="R4869" s="39" t="n">
        <f aca="false">IF($A4869="",-1,IF($J4869=Setup!$B$7,1,IF($J4869=Setup!$B$9,0,-1)))</f>
        <v>-1</v>
      </c>
      <c r="S4869" s="35" t="n">
        <f aca="false">IF(OR($A4869="",$Q4869=0,$R4869=-1),0,$Q4869*1000+$R4869*100+$K4869)</f>
        <v>0</v>
      </c>
      <c r="T4869" s="37" t="str">
        <f aca="false">IF($A4869="","",IF($B4869="","NO ACCOUNT",IF($Q4869=0,"UNMAPPED",IF($R4869=-1,"OUTSIDE FY RANGE","OK"))))</f>
        <v/>
      </c>
      <c r="U4869" s="40" t="str">
        <f aca="false">IF($A4869="","",$B4869&amp;"|"&amp;TEXT($A4869,"yyyymmdd")&amp;"|"&amp;TEXT($I4869,"0.00"))</f>
        <v/>
      </c>
      <c r="V4869" s="35" t="str">
        <f aca="false">IF($A4869="","",COUNTIF($U$8:$U$5007,$U4869))</f>
        <v/>
      </c>
    </row>
    <row r="4870" customFormat="false" ht="15" hidden="false" customHeight="false" outlineLevel="0" collapsed="false">
      <c r="A4870" s="31"/>
      <c r="B4870" s="32"/>
      <c r="C4870" s="32"/>
      <c r="D4870" s="32"/>
      <c r="E4870" s="32"/>
      <c r="F4870" s="32"/>
      <c r="G4870" s="33"/>
      <c r="H4870" s="33"/>
      <c r="I4870" s="34" t="str">
        <f aca="false">IF($A4870="","",$G4870-$H4870)</f>
        <v/>
      </c>
      <c r="J4870" s="35" t="str">
        <f aca="false">IF($A4870="","",IF(Setup!$B$6=1,YEAR($A4870),YEAR($A4870)+IF(MONTH($A4870)&gt;=Setup!$B$6,1,0)))</f>
        <v/>
      </c>
      <c r="K4870" s="35" t="str">
        <f aca="false">IF($A4870="","",MOD(MONTH($A4870)-Setup!$B$6+12,12)+1)</f>
        <v/>
      </c>
      <c r="L4870" s="36" t="str">
        <f aca="false">IF($A4870="","",TEXT($A4870,"MMM-YY"))</f>
        <v/>
      </c>
      <c r="M4870" s="37" t="str">
        <f aca="false">IF($A4870="","",IF($Q4870=0,"UNMAPPED",INDEX(COA_Mapping!$C$7:$C$256,$Q4870)))</f>
        <v/>
      </c>
      <c r="N4870" s="38" t="str">
        <f aca="false">IF($A4870="","",IF($Q4870=0,"",INDEX(COA_Mapping!$E$7:$E$256,$Q4870)))</f>
        <v/>
      </c>
      <c r="O4870" s="38" t="n">
        <f aca="false">IF($A4870="",1,IF($Q4870=0,1,INDEX(COA_Mapping!$F$7:$F$256,$Q4870)))</f>
        <v>1</v>
      </c>
      <c r="P4870" s="34" t="str">
        <f aca="false">IF($A4870="","",$I4870*$O4870)</f>
        <v/>
      </c>
      <c r="Q4870" s="39" t="n">
        <f aca="false">IF($B4870="",0,IFERROR(MATCH($B4870,COA_Mapping!$A$7:$A$256,0),0))</f>
        <v>0</v>
      </c>
      <c r="R4870" s="39" t="n">
        <f aca="false">IF($A4870="",-1,IF($J4870=Setup!$B$7,1,IF($J4870=Setup!$B$9,0,-1)))</f>
        <v>-1</v>
      </c>
      <c r="S4870" s="35" t="n">
        <f aca="false">IF(OR($A4870="",$Q4870=0,$R4870=-1),0,$Q4870*1000+$R4870*100+$K4870)</f>
        <v>0</v>
      </c>
      <c r="T4870" s="37" t="str">
        <f aca="false">IF($A4870="","",IF($B4870="","NO ACCOUNT",IF($Q4870=0,"UNMAPPED",IF($R4870=-1,"OUTSIDE FY RANGE","OK"))))</f>
        <v/>
      </c>
      <c r="U4870" s="40" t="str">
        <f aca="false">IF($A4870="","",$B4870&amp;"|"&amp;TEXT($A4870,"yyyymmdd")&amp;"|"&amp;TEXT($I4870,"0.00"))</f>
        <v/>
      </c>
      <c r="V4870" s="35" t="str">
        <f aca="false">IF($A4870="","",COUNTIF($U$8:$U$5007,$U4870))</f>
        <v/>
      </c>
    </row>
    <row r="4871" customFormat="false" ht="15" hidden="false" customHeight="false" outlineLevel="0" collapsed="false">
      <c r="A4871" s="31"/>
      <c r="B4871" s="32"/>
      <c r="C4871" s="32"/>
      <c r="D4871" s="32"/>
      <c r="E4871" s="32"/>
      <c r="F4871" s="32"/>
      <c r="G4871" s="33"/>
      <c r="H4871" s="33"/>
      <c r="I4871" s="34" t="str">
        <f aca="false">IF($A4871="","",$G4871-$H4871)</f>
        <v/>
      </c>
      <c r="J4871" s="35" t="str">
        <f aca="false">IF($A4871="","",IF(Setup!$B$6=1,YEAR($A4871),YEAR($A4871)+IF(MONTH($A4871)&gt;=Setup!$B$6,1,0)))</f>
        <v/>
      </c>
      <c r="K4871" s="35" t="str">
        <f aca="false">IF($A4871="","",MOD(MONTH($A4871)-Setup!$B$6+12,12)+1)</f>
        <v/>
      </c>
      <c r="L4871" s="36" t="str">
        <f aca="false">IF($A4871="","",TEXT($A4871,"MMM-YY"))</f>
        <v/>
      </c>
      <c r="M4871" s="37" t="str">
        <f aca="false">IF($A4871="","",IF($Q4871=0,"UNMAPPED",INDEX(COA_Mapping!$C$7:$C$256,$Q4871)))</f>
        <v/>
      </c>
      <c r="N4871" s="38" t="str">
        <f aca="false">IF($A4871="","",IF($Q4871=0,"",INDEX(COA_Mapping!$E$7:$E$256,$Q4871)))</f>
        <v/>
      </c>
      <c r="O4871" s="38" t="n">
        <f aca="false">IF($A4871="",1,IF($Q4871=0,1,INDEX(COA_Mapping!$F$7:$F$256,$Q4871)))</f>
        <v>1</v>
      </c>
      <c r="P4871" s="34" t="str">
        <f aca="false">IF($A4871="","",$I4871*$O4871)</f>
        <v/>
      </c>
      <c r="Q4871" s="39" t="n">
        <f aca="false">IF($B4871="",0,IFERROR(MATCH($B4871,COA_Mapping!$A$7:$A$256,0),0))</f>
        <v>0</v>
      </c>
      <c r="R4871" s="39" t="n">
        <f aca="false">IF($A4871="",-1,IF($J4871=Setup!$B$7,1,IF($J4871=Setup!$B$9,0,-1)))</f>
        <v>-1</v>
      </c>
      <c r="S4871" s="35" t="n">
        <f aca="false">IF(OR($A4871="",$Q4871=0,$R4871=-1),0,$Q4871*1000+$R4871*100+$K4871)</f>
        <v>0</v>
      </c>
      <c r="T4871" s="37" t="str">
        <f aca="false">IF($A4871="","",IF($B4871="","NO ACCOUNT",IF($Q4871=0,"UNMAPPED",IF($R4871=-1,"OUTSIDE FY RANGE","OK"))))</f>
        <v/>
      </c>
      <c r="U4871" s="40" t="str">
        <f aca="false">IF($A4871="","",$B4871&amp;"|"&amp;TEXT($A4871,"yyyymmdd")&amp;"|"&amp;TEXT($I4871,"0.00"))</f>
        <v/>
      </c>
      <c r="V4871" s="35" t="str">
        <f aca="false">IF($A4871="","",COUNTIF($U$8:$U$5007,$U4871))</f>
        <v/>
      </c>
    </row>
    <row r="4872" customFormat="false" ht="15" hidden="false" customHeight="false" outlineLevel="0" collapsed="false">
      <c r="A4872" s="31"/>
      <c r="B4872" s="32"/>
      <c r="C4872" s="32"/>
      <c r="D4872" s="32"/>
      <c r="E4872" s="32"/>
      <c r="F4872" s="32"/>
      <c r="G4872" s="33"/>
      <c r="H4872" s="33"/>
      <c r="I4872" s="34" t="str">
        <f aca="false">IF($A4872="","",$G4872-$H4872)</f>
        <v/>
      </c>
      <c r="J4872" s="35" t="str">
        <f aca="false">IF($A4872="","",IF(Setup!$B$6=1,YEAR($A4872),YEAR($A4872)+IF(MONTH($A4872)&gt;=Setup!$B$6,1,0)))</f>
        <v/>
      </c>
      <c r="K4872" s="35" t="str">
        <f aca="false">IF($A4872="","",MOD(MONTH($A4872)-Setup!$B$6+12,12)+1)</f>
        <v/>
      </c>
      <c r="L4872" s="36" t="str">
        <f aca="false">IF($A4872="","",TEXT($A4872,"MMM-YY"))</f>
        <v/>
      </c>
      <c r="M4872" s="37" t="str">
        <f aca="false">IF($A4872="","",IF($Q4872=0,"UNMAPPED",INDEX(COA_Mapping!$C$7:$C$256,$Q4872)))</f>
        <v/>
      </c>
      <c r="N4872" s="38" t="str">
        <f aca="false">IF($A4872="","",IF($Q4872=0,"",INDEX(COA_Mapping!$E$7:$E$256,$Q4872)))</f>
        <v/>
      </c>
      <c r="O4872" s="38" t="n">
        <f aca="false">IF($A4872="",1,IF($Q4872=0,1,INDEX(COA_Mapping!$F$7:$F$256,$Q4872)))</f>
        <v>1</v>
      </c>
      <c r="P4872" s="34" t="str">
        <f aca="false">IF($A4872="","",$I4872*$O4872)</f>
        <v/>
      </c>
      <c r="Q4872" s="39" t="n">
        <f aca="false">IF($B4872="",0,IFERROR(MATCH($B4872,COA_Mapping!$A$7:$A$256,0),0))</f>
        <v>0</v>
      </c>
      <c r="R4872" s="39" t="n">
        <f aca="false">IF($A4872="",-1,IF($J4872=Setup!$B$7,1,IF($J4872=Setup!$B$9,0,-1)))</f>
        <v>-1</v>
      </c>
      <c r="S4872" s="35" t="n">
        <f aca="false">IF(OR($A4872="",$Q4872=0,$R4872=-1),0,$Q4872*1000+$R4872*100+$K4872)</f>
        <v>0</v>
      </c>
      <c r="T4872" s="37" t="str">
        <f aca="false">IF($A4872="","",IF($B4872="","NO ACCOUNT",IF($Q4872=0,"UNMAPPED",IF($R4872=-1,"OUTSIDE FY RANGE","OK"))))</f>
        <v/>
      </c>
      <c r="U4872" s="40" t="str">
        <f aca="false">IF($A4872="","",$B4872&amp;"|"&amp;TEXT($A4872,"yyyymmdd")&amp;"|"&amp;TEXT($I4872,"0.00"))</f>
        <v/>
      </c>
      <c r="V4872" s="35" t="str">
        <f aca="false">IF($A4872="","",COUNTIF($U$8:$U$5007,$U4872))</f>
        <v/>
      </c>
    </row>
    <row r="4873" customFormat="false" ht="15" hidden="false" customHeight="false" outlineLevel="0" collapsed="false">
      <c r="A4873" s="31"/>
      <c r="B4873" s="32"/>
      <c r="C4873" s="32"/>
      <c r="D4873" s="32"/>
      <c r="E4873" s="32"/>
      <c r="F4873" s="32"/>
      <c r="G4873" s="33"/>
      <c r="H4873" s="33"/>
      <c r="I4873" s="34" t="str">
        <f aca="false">IF($A4873="","",$G4873-$H4873)</f>
        <v/>
      </c>
      <c r="J4873" s="35" t="str">
        <f aca="false">IF($A4873="","",IF(Setup!$B$6=1,YEAR($A4873),YEAR($A4873)+IF(MONTH($A4873)&gt;=Setup!$B$6,1,0)))</f>
        <v/>
      </c>
      <c r="K4873" s="35" t="str">
        <f aca="false">IF($A4873="","",MOD(MONTH($A4873)-Setup!$B$6+12,12)+1)</f>
        <v/>
      </c>
      <c r="L4873" s="36" t="str">
        <f aca="false">IF($A4873="","",TEXT($A4873,"MMM-YY"))</f>
        <v/>
      </c>
      <c r="M4873" s="37" t="str">
        <f aca="false">IF($A4873="","",IF($Q4873=0,"UNMAPPED",INDEX(COA_Mapping!$C$7:$C$256,$Q4873)))</f>
        <v/>
      </c>
      <c r="N4873" s="38" t="str">
        <f aca="false">IF($A4873="","",IF($Q4873=0,"",INDEX(COA_Mapping!$E$7:$E$256,$Q4873)))</f>
        <v/>
      </c>
      <c r="O4873" s="38" t="n">
        <f aca="false">IF($A4873="",1,IF($Q4873=0,1,INDEX(COA_Mapping!$F$7:$F$256,$Q4873)))</f>
        <v>1</v>
      </c>
      <c r="P4873" s="34" t="str">
        <f aca="false">IF($A4873="","",$I4873*$O4873)</f>
        <v/>
      </c>
      <c r="Q4873" s="39" t="n">
        <f aca="false">IF($B4873="",0,IFERROR(MATCH($B4873,COA_Mapping!$A$7:$A$256,0),0))</f>
        <v>0</v>
      </c>
      <c r="R4873" s="39" t="n">
        <f aca="false">IF($A4873="",-1,IF($J4873=Setup!$B$7,1,IF($J4873=Setup!$B$9,0,-1)))</f>
        <v>-1</v>
      </c>
      <c r="S4873" s="35" t="n">
        <f aca="false">IF(OR($A4873="",$Q4873=0,$R4873=-1),0,$Q4873*1000+$R4873*100+$K4873)</f>
        <v>0</v>
      </c>
      <c r="T4873" s="37" t="str">
        <f aca="false">IF($A4873="","",IF($B4873="","NO ACCOUNT",IF($Q4873=0,"UNMAPPED",IF($R4873=-1,"OUTSIDE FY RANGE","OK"))))</f>
        <v/>
      </c>
      <c r="U4873" s="40" t="str">
        <f aca="false">IF($A4873="","",$B4873&amp;"|"&amp;TEXT($A4873,"yyyymmdd")&amp;"|"&amp;TEXT($I4873,"0.00"))</f>
        <v/>
      </c>
      <c r="V4873" s="35" t="str">
        <f aca="false">IF($A4873="","",COUNTIF($U$8:$U$5007,$U4873))</f>
        <v/>
      </c>
    </row>
    <row r="4874" customFormat="false" ht="15" hidden="false" customHeight="false" outlineLevel="0" collapsed="false">
      <c r="A4874" s="31"/>
      <c r="B4874" s="32"/>
      <c r="C4874" s="32"/>
      <c r="D4874" s="32"/>
      <c r="E4874" s="32"/>
      <c r="F4874" s="32"/>
      <c r="G4874" s="33"/>
      <c r="H4874" s="33"/>
      <c r="I4874" s="34" t="str">
        <f aca="false">IF($A4874="","",$G4874-$H4874)</f>
        <v/>
      </c>
      <c r="J4874" s="35" t="str">
        <f aca="false">IF($A4874="","",IF(Setup!$B$6=1,YEAR($A4874),YEAR($A4874)+IF(MONTH($A4874)&gt;=Setup!$B$6,1,0)))</f>
        <v/>
      </c>
      <c r="K4874" s="35" t="str">
        <f aca="false">IF($A4874="","",MOD(MONTH($A4874)-Setup!$B$6+12,12)+1)</f>
        <v/>
      </c>
      <c r="L4874" s="36" t="str">
        <f aca="false">IF($A4874="","",TEXT($A4874,"MMM-YY"))</f>
        <v/>
      </c>
      <c r="M4874" s="37" t="str">
        <f aca="false">IF($A4874="","",IF($Q4874=0,"UNMAPPED",INDEX(COA_Mapping!$C$7:$C$256,$Q4874)))</f>
        <v/>
      </c>
      <c r="N4874" s="38" t="str">
        <f aca="false">IF($A4874="","",IF($Q4874=0,"",INDEX(COA_Mapping!$E$7:$E$256,$Q4874)))</f>
        <v/>
      </c>
      <c r="O4874" s="38" t="n">
        <f aca="false">IF($A4874="",1,IF($Q4874=0,1,INDEX(COA_Mapping!$F$7:$F$256,$Q4874)))</f>
        <v>1</v>
      </c>
      <c r="P4874" s="34" t="str">
        <f aca="false">IF($A4874="","",$I4874*$O4874)</f>
        <v/>
      </c>
      <c r="Q4874" s="39" t="n">
        <f aca="false">IF($B4874="",0,IFERROR(MATCH($B4874,COA_Mapping!$A$7:$A$256,0),0))</f>
        <v>0</v>
      </c>
      <c r="R4874" s="39" t="n">
        <f aca="false">IF($A4874="",-1,IF($J4874=Setup!$B$7,1,IF($J4874=Setup!$B$9,0,-1)))</f>
        <v>-1</v>
      </c>
      <c r="S4874" s="35" t="n">
        <f aca="false">IF(OR($A4874="",$Q4874=0,$R4874=-1),0,$Q4874*1000+$R4874*100+$K4874)</f>
        <v>0</v>
      </c>
      <c r="T4874" s="37" t="str">
        <f aca="false">IF($A4874="","",IF($B4874="","NO ACCOUNT",IF($Q4874=0,"UNMAPPED",IF($R4874=-1,"OUTSIDE FY RANGE","OK"))))</f>
        <v/>
      </c>
      <c r="U4874" s="40" t="str">
        <f aca="false">IF($A4874="","",$B4874&amp;"|"&amp;TEXT($A4874,"yyyymmdd")&amp;"|"&amp;TEXT($I4874,"0.00"))</f>
        <v/>
      </c>
      <c r="V4874" s="35" t="str">
        <f aca="false">IF($A4874="","",COUNTIF($U$8:$U$5007,$U4874))</f>
        <v/>
      </c>
    </row>
    <row r="4875" customFormat="false" ht="15" hidden="false" customHeight="false" outlineLevel="0" collapsed="false">
      <c r="A4875" s="31"/>
      <c r="B4875" s="32"/>
      <c r="C4875" s="32"/>
      <c r="D4875" s="32"/>
      <c r="E4875" s="32"/>
      <c r="F4875" s="32"/>
      <c r="G4875" s="33"/>
      <c r="H4875" s="33"/>
      <c r="I4875" s="34" t="str">
        <f aca="false">IF($A4875="","",$G4875-$H4875)</f>
        <v/>
      </c>
      <c r="J4875" s="35" t="str">
        <f aca="false">IF($A4875="","",IF(Setup!$B$6=1,YEAR($A4875),YEAR($A4875)+IF(MONTH($A4875)&gt;=Setup!$B$6,1,0)))</f>
        <v/>
      </c>
      <c r="K4875" s="35" t="str">
        <f aca="false">IF($A4875="","",MOD(MONTH($A4875)-Setup!$B$6+12,12)+1)</f>
        <v/>
      </c>
      <c r="L4875" s="36" t="str">
        <f aca="false">IF($A4875="","",TEXT($A4875,"MMM-YY"))</f>
        <v/>
      </c>
      <c r="M4875" s="37" t="str">
        <f aca="false">IF($A4875="","",IF($Q4875=0,"UNMAPPED",INDEX(COA_Mapping!$C$7:$C$256,$Q4875)))</f>
        <v/>
      </c>
      <c r="N4875" s="38" t="str">
        <f aca="false">IF($A4875="","",IF($Q4875=0,"",INDEX(COA_Mapping!$E$7:$E$256,$Q4875)))</f>
        <v/>
      </c>
      <c r="O4875" s="38" t="n">
        <f aca="false">IF($A4875="",1,IF($Q4875=0,1,INDEX(COA_Mapping!$F$7:$F$256,$Q4875)))</f>
        <v>1</v>
      </c>
      <c r="P4875" s="34" t="str">
        <f aca="false">IF($A4875="","",$I4875*$O4875)</f>
        <v/>
      </c>
      <c r="Q4875" s="39" t="n">
        <f aca="false">IF($B4875="",0,IFERROR(MATCH($B4875,COA_Mapping!$A$7:$A$256,0),0))</f>
        <v>0</v>
      </c>
      <c r="R4875" s="39" t="n">
        <f aca="false">IF($A4875="",-1,IF($J4875=Setup!$B$7,1,IF($J4875=Setup!$B$9,0,-1)))</f>
        <v>-1</v>
      </c>
      <c r="S4875" s="35" t="n">
        <f aca="false">IF(OR($A4875="",$Q4875=0,$R4875=-1),0,$Q4875*1000+$R4875*100+$K4875)</f>
        <v>0</v>
      </c>
      <c r="T4875" s="37" t="str">
        <f aca="false">IF($A4875="","",IF($B4875="","NO ACCOUNT",IF($Q4875=0,"UNMAPPED",IF($R4875=-1,"OUTSIDE FY RANGE","OK"))))</f>
        <v/>
      </c>
      <c r="U4875" s="40" t="str">
        <f aca="false">IF($A4875="","",$B4875&amp;"|"&amp;TEXT($A4875,"yyyymmdd")&amp;"|"&amp;TEXT($I4875,"0.00"))</f>
        <v/>
      </c>
      <c r="V4875" s="35" t="str">
        <f aca="false">IF($A4875="","",COUNTIF($U$8:$U$5007,$U4875))</f>
        <v/>
      </c>
    </row>
    <row r="4876" customFormat="false" ht="15" hidden="false" customHeight="false" outlineLevel="0" collapsed="false">
      <c r="A4876" s="31"/>
      <c r="B4876" s="32"/>
      <c r="C4876" s="32"/>
      <c r="D4876" s="32"/>
      <c r="E4876" s="32"/>
      <c r="F4876" s="32"/>
      <c r="G4876" s="33"/>
      <c r="H4876" s="33"/>
      <c r="I4876" s="34" t="str">
        <f aca="false">IF($A4876="","",$G4876-$H4876)</f>
        <v/>
      </c>
      <c r="J4876" s="35" t="str">
        <f aca="false">IF($A4876="","",IF(Setup!$B$6=1,YEAR($A4876),YEAR($A4876)+IF(MONTH($A4876)&gt;=Setup!$B$6,1,0)))</f>
        <v/>
      </c>
      <c r="K4876" s="35" t="str">
        <f aca="false">IF($A4876="","",MOD(MONTH($A4876)-Setup!$B$6+12,12)+1)</f>
        <v/>
      </c>
      <c r="L4876" s="36" t="str">
        <f aca="false">IF($A4876="","",TEXT($A4876,"MMM-YY"))</f>
        <v/>
      </c>
      <c r="M4876" s="37" t="str">
        <f aca="false">IF($A4876="","",IF($Q4876=0,"UNMAPPED",INDEX(COA_Mapping!$C$7:$C$256,$Q4876)))</f>
        <v/>
      </c>
      <c r="N4876" s="38" t="str">
        <f aca="false">IF($A4876="","",IF($Q4876=0,"",INDEX(COA_Mapping!$E$7:$E$256,$Q4876)))</f>
        <v/>
      </c>
      <c r="O4876" s="38" t="n">
        <f aca="false">IF($A4876="",1,IF($Q4876=0,1,INDEX(COA_Mapping!$F$7:$F$256,$Q4876)))</f>
        <v>1</v>
      </c>
      <c r="P4876" s="34" t="str">
        <f aca="false">IF($A4876="","",$I4876*$O4876)</f>
        <v/>
      </c>
      <c r="Q4876" s="39" t="n">
        <f aca="false">IF($B4876="",0,IFERROR(MATCH($B4876,COA_Mapping!$A$7:$A$256,0),0))</f>
        <v>0</v>
      </c>
      <c r="R4876" s="39" t="n">
        <f aca="false">IF($A4876="",-1,IF($J4876=Setup!$B$7,1,IF($J4876=Setup!$B$9,0,-1)))</f>
        <v>-1</v>
      </c>
      <c r="S4876" s="35" t="n">
        <f aca="false">IF(OR($A4876="",$Q4876=0,$R4876=-1),0,$Q4876*1000+$R4876*100+$K4876)</f>
        <v>0</v>
      </c>
      <c r="T4876" s="37" t="str">
        <f aca="false">IF($A4876="","",IF($B4876="","NO ACCOUNT",IF($Q4876=0,"UNMAPPED",IF($R4876=-1,"OUTSIDE FY RANGE","OK"))))</f>
        <v/>
      </c>
      <c r="U4876" s="40" t="str">
        <f aca="false">IF($A4876="","",$B4876&amp;"|"&amp;TEXT($A4876,"yyyymmdd")&amp;"|"&amp;TEXT($I4876,"0.00"))</f>
        <v/>
      </c>
      <c r="V4876" s="35" t="str">
        <f aca="false">IF($A4876="","",COUNTIF($U$8:$U$5007,$U4876))</f>
        <v/>
      </c>
    </row>
    <row r="4877" customFormat="false" ht="15" hidden="false" customHeight="false" outlineLevel="0" collapsed="false">
      <c r="A4877" s="31"/>
      <c r="B4877" s="32"/>
      <c r="C4877" s="32"/>
      <c r="D4877" s="32"/>
      <c r="E4877" s="32"/>
      <c r="F4877" s="32"/>
      <c r="G4877" s="33"/>
      <c r="H4877" s="33"/>
      <c r="I4877" s="34" t="str">
        <f aca="false">IF($A4877="","",$G4877-$H4877)</f>
        <v/>
      </c>
      <c r="J4877" s="35" t="str">
        <f aca="false">IF($A4877="","",IF(Setup!$B$6=1,YEAR($A4877),YEAR($A4877)+IF(MONTH($A4877)&gt;=Setup!$B$6,1,0)))</f>
        <v/>
      </c>
      <c r="K4877" s="35" t="str">
        <f aca="false">IF($A4877="","",MOD(MONTH($A4877)-Setup!$B$6+12,12)+1)</f>
        <v/>
      </c>
      <c r="L4877" s="36" t="str">
        <f aca="false">IF($A4877="","",TEXT($A4877,"MMM-YY"))</f>
        <v/>
      </c>
      <c r="M4877" s="37" t="str">
        <f aca="false">IF($A4877="","",IF($Q4877=0,"UNMAPPED",INDEX(COA_Mapping!$C$7:$C$256,$Q4877)))</f>
        <v/>
      </c>
      <c r="N4877" s="38" t="str">
        <f aca="false">IF($A4877="","",IF($Q4877=0,"",INDEX(COA_Mapping!$E$7:$E$256,$Q4877)))</f>
        <v/>
      </c>
      <c r="O4877" s="38" t="n">
        <f aca="false">IF($A4877="",1,IF($Q4877=0,1,INDEX(COA_Mapping!$F$7:$F$256,$Q4877)))</f>
        <v>1</v>
      </c>
      <c r="P4877" s="34" t="str">
        <f aca="false">IF($A4877="","",$I4877*$O4877)</f>
        <v/>
      </c>
      <c r="Q4877" s="39" t="n">
        <f aca="false">IF($B4877="",0,IFERROR(MATCH($B4877,COA_Mapping!$A$7:$A$256,0),0))</f>
        <v>0</v>
      </c>
      <c r="R4877" s="39" t="n">
        <f aca="false">IF($A4877="",-1,IF($J4877=Setup!$B$7,1,IF($J4877=Setup!$B$9,0,-1)))</f>
        <v>-1</v>
      </c>
      <c r="S4877" s="35" t="n">
        <f aca="false">IF(OR($A4877="",$Q4877=0,$R4877=-1),0,$Q4877*1000+$R4877*100+$K4877)</f>
        <v>0</v>
      </c>
      <c r="T4877" s="37" t="str">
        <f aca="false">IF($A4877="","",IF($B4877="","NO ACCOUNT",IF($Q4877=0,"UNMAPPED",IF($R4877=-1,"OUTSIDE FY RANGE","OK"))))</f>
        <v/>
      </c>
      <c r="U4877" s="40" t="str">
        <f aca="false">IF($A4877="","",$B4877&amp;"|"&amp;TEXT($A4877,"yyyymmdd")&amp;"|"&amp;TEXT($I4877,"0.00"))</f>
        <v/>
      </c>
      <c r="V4877" s="35" t="str">
        <f aca="false">IF($A4877="","",COUNTIF($U$8:$U$5007,$U4877))</f>
        <v/>
      </c>
    </row>
    <row r="4878" customFormat="false" ht="15" hidden="false" customHeight="false" outlineLevel="0" collapsed="false">
      <c r="A4878" s="31"/>
      <c r="B4878" s="32"/>
      <c r="C4878" s="32"/>
      <c r="D4878" s="32"/>
      <c r="E4878" s="32"/>
      <c r="F4878" s="32"/>
      <c r="G4878" s="33"/>
      <c r="H4878" s="33"/>
      <c r="I4878" s="34" t="str">
        <f aca="false">IF($A4878="","",$G4878-$H4878)</f>
        <v/>
      </c>
      <c r="J4878" s="35" t="str">
        <f aca="false">IF($A4878="","",IF(Setup!$B$6=1,YEAR($A4878),YEAR($A4878)+IF(MONTH($A4878)&gt;=Setup!$B$6,1,0)))</f>
        <v/>
      </c>
      <c r="K4878" s="35" t="str">
        <f aca="false">IF($A4878="","",MOD(MONTH($A4878)-Setup!$B$6+12,12)+1)</f>
        <v/>
      </c>
      <c r="L4878" s="36" t="str">
        <f aca="false">IF($A4878="","",TEXT($A4878,"MMM-YY"))</f>
        <v/>
      </c>
      <c r="M4878" s="37" t="str">
        <f aca="false">IF($A4878="","",IF($Q4878=0,"UNMAPPED",INDEX(COA_Mapping!$C$7:$C$256,$Q4878)))</f>
        <v/>
      </c>
      <c r="N4878" s="38" t="str">
        <f aca="false">IF($A4878="","",IF($Q4878=0,"",INDEX(COA_Mapping!$E$7:$E$256,$Q4878)))</f>
        <v/>
      </c>
      <c r="O4878" s="38" t="n">
        <f aca="false">IF($A4878="",1,IF($Q4878=0,1,INDEX(COA_Mapping!$F$7:$F$256,$Q4878)))</f>
        <v>1</v>
      </c>
      <c r="P4878" s="34" t="str">
        <f aca="false">IF($A4878="","",$I4878*$O4878)</f>
        <v/>
      </c>
      <c r="Q4878" s="39" t="n">
        <f aca="false">IF($B4878="",0,IFERROR(MATCH($B4878,COA_Mapping!$A$7:$A$256,0),0))</f>
        <v>0</v>
      </c>
      <c r="R4878" s="39" t="n">
        <f aca="false">IF($A4878="",-1,IF($J4878=Setup!$B$7,1,IF($J4878=Setup!$B$9,0,-1)))</f>
        <v>-1</v>
      </c>
      <c r="S4878" s="35" t="n">
        <f aca="false">IF(OR($A4878="",$Q4878=0,$R4878=-1),0,$Q4878*1000+$R4878*100+$K4878)</f>
        <v>0</v>
      </c>
      <c r="T4878" s="37" t="str">
        <f aca="false">IF($A4878="","",IF($B4878="","NO ACCOUNT",IF($Q4878=0,"UNMAPPED",IF($R4878=-1,"OUTSIDE FY RANGE","OK"))))</f>
        <v/>
      </c>
      <c r="U4878" s="40" t="str">
        <f aca="false">IF($A4878="","",$B4878&amp;"|"&amp;TEXT($A4878,"yyyymmdd")&amp;"|"&amp;TEXT($I4878,"0.00"))</f>
        <v/>
      </c>
      <c r="V4878" s="35" t="str">
        <f aca="false">IF($A4878="","",COUNTIF($U$8:$U$5007,$U4878))</f>
        <v/>
      </c>
    </row>
    <row r="4879" customFormat="false" ht="15" hidden="false" customHeight="false" outlineLevel="0" collapsed="false">
      <c r="A4879" s="31"/>
      <c r="B4879" s="32"/>
      <c r="C4879" s="32"/>
      <c r="D4879" s="32"/>
      <c r="E4879" s="32"/>
      <c r="F4879" s="32"/>
      <c r="G4879" s="33"/>
      <c r="H4879" s="33"/>
      <c r="I4879" s="34" t="str">
        <f aca="false">IF($A4879="","",$G4879-$H4879)</f>
        <v/>
      </c>
      <c r="J4879" s="35" t="str">
        <f aca="false">IF($A4879="","",IF(Setup!$B$6=1,YEAR($A4879),YEAR($A4879)+IF(MONTH($A4879)&gt;=Setup!$B$6,1,0)))</f>
        <v/>
      </c>
      <c r="K4879" s="35" t="str">
        <f aca="false">IF($A4879="","",MOD(MONTH($A4879)-Setup!$B$6+12,12)+1)</f>
        <v/>
      </c>
      <c r="L4879" s="36" t="str">
        <f aca="false">IF($A4879="","",TEXT($A4879,"MMM-YY"))</f>
        <v/>
      </c>
      <c r="M4879" s="37" t="str">
        <f aca="false">IF($A4879="","",IF($Q4879=0,"UNMAPPED",INDEX(COA_Mapping!$C$7:$C$256,$Q4879)))</f>
        <v/>
      </c>
      <c r="N4879" s="38" t="str">
        <f aca="false">IF($A4879="","",IF($Q4879=0,"",INDEX(COA_Mapping!$E$7:$E$256,$Q4879)))</f>
        <v/>
      </c>
      <c r="O4879" s="38" t="n">
        <f aca="false">IF($A4879="",1,IF($Q4879=0,1,INDEX(COA_Mapping!$F$7:$F$256,$Q4879)))</f>
        <v>1</v>
      </c>
      <c r="P4879" s="34" t="str">
        <f aca="false">IF($A4879="","",$I4879*$O4879)</f>
        <v/>
      </c>
      <c r="Q4879" s="39" t="n">
        <f aca="false">IF($B4879="",0,IFERROR(MATCH($B4879,COA_Mapping!$A$7:$A$256,0),0))</f>
        <v>0</v>
      </c>
      <c r="R4879" s="39" t="n">
        <f aca="false">IF($A4879="",-1,IF($J4879=Setup!$B$7,1,IF($J4879=Setup!$B$9,0,-1)))</f>
        <v>-1</v>
      </c>
      <c r="S4879" s="35" t="n">
        <f aca="false">IF(OR($A4879="",$Q4879=0,$R4879=-1),0,$Q4879*1000+$R4879*100+$K4879)</f>
        <v>0</v>
      </c>
      <c r="T4879" s="37" t="str">
        <f aca="false">IF($A4879="","",IF($B4879="","NO ACCOUNT",IF($Q4879=0,"UNMAPPED",IF($R4879=-1,"OUTSIDE FY RANGE","OK"))))</f>
        <v/>
      </c>
      <c r="U4879" s="40" t="str">
        <f aca="false">IF($A4879="","",$B4879&amp;"|"&amp;TEXT($A4879,"yyyymmdd")&amp;"|"&amp;TEXT($I4879,"0.00"))</f>
        <v/>
      </c>
      <c r="V4879" s="35" t="str">
        <f aca="false">IF($A4879="","",COUNTIF($U$8:$U$5007,$U4879))</f>
        <v/>
      </c>
    </row>
    <row r="4880" customFormat="false" ht="15" hidden="false" customHeight="false" outlineLevel="0" collapsed="false">
      <c r="A4880" s="31"/>
      <c r="B4880" s="32"/>
      <c r="C4880" s="32"/>
      <c r="D4880" s="32"/>
      <c r="E4880" s="32"/>
      <c r="F4880" s="32"/>
      <c r="G4880" s="33"/>
      <c r="H4880" s="33"/>
      <c r="I4880" s="34" t="str">
        <f aca="false">IF($A4880="","",$G4880-$H4880)</f>
        <v/>
      </c>
      <c r="J4880" s="35" t="str">
        <f aca="false">IF($A4880="","",IF(Setup!$B$6=1,YEAR($A4880),YEAR($A4880)+IF(MONTH($A4880)&gt;=Setup!$B$6,1,0)))</f>
        <v/>
      </c>
      <c r="K4880" s="35" t="str">
        <f aca="false">IF($A4880="","",MOD(MONTH($A4880)-Setup!$B$6+12,12)+1)</f>
        <v/>
      </c>
      <c r="L4880" s="36" t="str">
        <f aca="false">IF($A4880="","",TEXT($A4880,"MMM-YY"))</f>
        <v/>
      </c>
      <c r="M4880" s="37" t="str">
        <f aca="false">IF($A4880="","",IF($Q4880=0,"UNMAPPED",INDEX(COA_Mapping!$C$7:$C$256,$Q4880)))</f>
        <v/>
      </c>
      <c r="N4880" s="38" t="str">
        <f aca="false">IF($A4880="","",IF($Q4880=0,"",INDEX(COA_Mapping!$E$7:$E$256,$Q4880)))</f>
        <v/>
      </c>
      <c r="O4880" s="38" t="n">
        <f aca="false">IF($A4880="",1,IF($Q4880=0,1,INDEX(COA_Mapping!$F$7:$F$256,$Q4880)))</f>
        <v>1</v>
      </c>
      <c r="P4880" s="34" t="str">
        <f aca="false">IF($A4880="","",$I4880*$O4880)</f>
        <v/>
      </c>
      <c r="Q4880" s="39" t="n">
        <f aca="false">IF($B4880="",0,IFERROR(MATCH($B4880,COA_Mapping!$A$7:$A$256,0),0))</f>
        <v>0</v>
      </c>
      <c r="R4880" s="39" t="n">
        <f aca="false">IF($A4880="",-1,IF($J4880=Setup!$B$7,1,IF($J4880=Setup!$B$9,0,-1)))</f>
        <v>-1</v>
      </c>
      <c r="S4880" s="35" t="n">
        <f aca="false">IF(OR($A4880="",$Q4880=0,$R4880=-1),0,$Q4880*1000+$R4880*100+$K4880)</f>
        <v>0</v>
      </c>
      <c r="T4880" s="37" t="str">
        <f aca="false">IF($A4880="","",IF($B4880="","NO ACCOUNT",IF($Q4880=0,"UNMAPPED",IF($R4880=-1,"OUTSIDE FY RANGE","OK"))))</f>
        <v/>
      </c>
      <c r="U4880" s="40" t="str">
        <f aca="false">IF($A4880="","",$B4880&amp;"|"&amp;TEXT($A4880,"yyyymmdd")&amp;"|"&amp;TEXT($I4880,"0.00"))</f>
        <v/>
      </c>
      <c r="V4880" s="35" t="str">
        <f aca="false">IF($A4880="","",COUNTIF($U$8:$U$5007,$U4880))</f>
        <v/>
      </c>
    </row>
    <row r="4881" customFormat="false" ht="15" hidden="false" customHeight="false" outlineLevel="0" collapsed="false">
      <c r="A4881" s="31"/>
      <c r="B4881" s="32"/>
      <c r="C4881" s="32"/>
      <c r="D4881" s="32"/>
      <c r="E4881" s="32"/>
      <c r="F4881" s="32"/>
      <c r="G4881" s="33"/>
      <c r="H4881" s="33"/>
      <c r="I4881" s="34" t="str">
        <f aca="false">IF($A4881="","",$G4881-$H4881)</f>
        <v/>
      </c>
      <c r="J4881" s="35" t="str">
        <f aca="false">IF($A4881="","",IF(Setup!$B$6=1,YEAR($A4881),YEAR($A4881)+IF(MONTH($A4881)&gt;=Setup!$B$6,1,0)))</f>
        <v/>
      </c>
      <c r="K4881" s="35" t="str">
        <f aca="false">IF($A4881="","",MOD(MONTH($A4881)-Setup!$B$6+12,12)+1)</f>
        <v/>
      </c>
      <c r="L4881" s="36" t="str">
        <f aca="false">IF($A4881="","",TEXT($A4881,"MMM-YY"))</f>
        <v/>
      </c>
      <c r="M4881" s="37" t="str">
        <f aca="false">IF($A4881="","",IF($Q4881=0,"UNMAPPED",INDEX(COA_Mapping!$C$7:$C$256,$Q4881)))</f>
        <v/>
      </c>
      <c r="N4881" s="38" t="str">
        <f aca="false">IF($A4881="","",IF($Q4881=0,"",INDEX(COA_Mapping!$E$7:$E$256,$Q4881)))</f>
        <v/>
      </c>
      <c r="O4881" s="38" t="n">
        <f aca="false">IF($A4881="",1,IF($Q4881=0,1,INDEX(COA_Mapping!$F$7:$F$256,$Q4881)))</f>
        <v>1</v>
      </c>
      <c r="P4881" s="34" t="str">
        <f aca="false">IF($A4881="","",$I4881*$O4881)</f>
        <v/>
      </c>
      <c r="Q4881" s="39" t="n">
        <f aca="false">IF($B4881="",0,IFERROR(MATCH($B4881,COA_Mapping!$A$7:$A$256,0),0))</f>
        <v>0</v>
      </c>
      <c r="R4881" s="39" t="n">
        <f aca="false">IF($A4881="",-1,IF($J4881=Setup!$B$7,1,IF($J4881=Setup!$B$9,0,-1)))</f>
        <v>-1</v>
      </c>
      <c r="S4881" s="35" t="n">
        <f aca="false">IF(OR($A4881="",$Q4881=0,$R4881=-1),0,$Q4881*1000+$R4881*100+$K4881)</f>
        <v>0</v>
      </c>
      <c r="T4881" s="37" t="str">
        <f aca="false">IF($A4881="","",IF($B4881="","NO ACCOUNT",IF($Q4881=0,"UNMAPPED",IF($R4881=-1,"OUTSIDE FY RANGE","OK"))))</f>
        <v/>
      </c>
      <c r="U4881" s="40" t="str">
        <f aca="false">IF($A4881="","",$B4881&amp;"|"&amp;TEXT($A4881,"yyyymmdd")&amp;"|"&amp;TEXT($I4881,"0.00"))</f>
        <v/>
      </c>
      <c r="V4881" s="35" t="str">
        <f aca="false">IF($A4881="","",COUNTIF($U$8:$U$5007,$U4881))</f>
        <v/>
      </c>
    </row>
    <row r="4882" customFormat="false" ht="15" hidden="false" customHeight="false" outlineLevel="0" collapsed="false">
      <c r="A4882" s="31"/>
      <c r="B4882" s="32"/>
      <c r="C4882" s="32"/>
      <c r="D4882" s="32"/>
      <c r="E4882" s="32"/>
      <c r="F4882" s="32"/>
      <c r="G4882" s="33"/>
      <c r="H4882" s="33"/>
      <c r="I4882" s="34" t="str">
        <f aca="false">IF($A4882="","",$G4882-$H4882)</f>
        <v/>
      </c>
      <c r="J4882" s="35" t="str">
        <f aca="false">IF($A4882="","",IF(Setup!$B$6=1,YEAR($A4882),YEAR($A4882)+IF(MONTH($A4882)&gt;=Setup!$B$6,1,0)))</f>
        <v/>
      </c>
      <c r="K4882" s="35" t="str">
        <f aca="false">IF($A4882="","",MOD(MONTH($A4882)-Setup!$B$6+12,12)+1)</f>
        <v/>
      </c>
      <c r="L4882" s="36" t="str">
        <f aca="false">IF($A4882="","",TEXT($A4882,"MMM-YY"))</f>
        <v/>
      </c>
      <c r="M4882" s="37" t="str">
        <f aca="false">IF($A4882="","",IF($Q4882=0,"UNMAPPED",INDEX(COA_Mapping!$C$7:$C$256,$Q4882)))</f>
        <v/>
      </c>
      <c r="N4882" s="38" t="str">
        <f aca="false">IF($A4882="","",IF($Q4882=0,"",INDEX(COA_Mapping!$E$7:$E$256,$Q4882)))</f>
        <v/>
      </c>
      <c r="O4882" s="38" t="n">
        <f aca="false">IF($A4882="",1,IF($Q4882=0,1,INDEX(COA_Mapping!$F$7:$F$256,$Q4882)))</f>
        <v>1</v>
      </c>
      <c r="P4882" s="34" t="str">
        <f aca="false">IF($A4882="","",$I4882*$O4882)</f>
        <v/>
      </c>
      <c r="Q4882" s="39" t="n">
        <f aca="false">IF($B4882="",0,IFERROR(MATCH($B4882,COA_Mapping!$A$7:$A$256,0),0))</f>
        <v>0</v>
      </c>
      <c r="R4882" s="39" t="n">
        <f aca="false">IF($A4882="",-1,IF($J4882=Setup!$B$7,1,IF($J4882=Setup!$B$9,0,-1)))</f>
        <v>-1</v>
      </c>
      <c r="S4882" s="35" t="n">
        <f aca="false">IF(OR($A4882="",$Q4882=0,$R4882=-1),0,$Q4882*1000+$R4882*100+$K4882)</f>
        <v>0</v>
      </c>
      <c r="T4882" s="37" t="str">
        <f aca="false">IF($A4882="","",IF($B4882="","NO ACCOUNT",IF($Q4882=0,"UNMAPPED",IF($R4882=-1,"OUTSIDE FY RANGE","OK"))))</f>
        <v/>
      </c>
      <c r="U4882" s="40" t="str">
        <f aca="false">IF($A4882="","",$B4882&amp;"|"&amp;TEXT($A4882,"yyyymmdd")&amp;"|"&amp;TEXT($I4882,"0.00"))</f>
        <v/>
      </c>
      <c r="V4882" s="35" t="str">
        <f aca="false">IF($A4882="","",COUNTIF($U$8:$U$5007,$U4882))</f>
        <v/>
      </c>
    </row>
    <row r="4883" customFormat="false" ht="15" hidden="false" customHeight="false" outlineLevel="0" collapsed="false">
      <c r="A4883" s="31"/>
      <c r="B4883" s="32"/>
      <c r="C4883" s="32"/>
      <c r="D4883" s="32"/>
      <c r="E4883" s="32"/>
      <c r="F4883" s="32"/>
      <c r="G4883" s="33"/>
      <c r="H4883" s="33"/>
      <c r="I4883" s="34" t="str">
        <f aca="false">IF($A4883="","",$G4883-$H4883)</f>
        <v/>
      </c>
      <c r="J4883" s="35" t="str">
        <f aca="false">IF($A4883="","",IF(Setup!$B$6=1,YEAR($A4883),YEAR($A4883)+IF(MONTH($A4883)&gt;=Setup!$B$6,1,0)))</f>
        <v/>
      </c>
      <c r="K4883" s="35" t="str">
        <f aca="false">IF($A4883="","",MOD(MONTH($A4883)-Setup!$B$6+12,12)+1)</f>
        <v/>
      </c>
      <c r="L4883" s="36" t="str">
        <f aca="false">IF($A4883="","",TEXT($A4883,"MMM-YY"))</f>
        <v/>
      </c>
      <c r="M4883" s="37" t="str">
        <f aca="false">IF($A4883="","",IF($Q4883=0,"UNMAPPED",INDEX(COA_Mapping!$C$7:$C$256,$Q4883)))</f>
        <v/>
      </c>
      <c r="N4883" s="38" t="str">
        <f aca="false">IF($A4883="","",IF($Q4883=0,"",INDEX(COA_Mapping!$E$7:$E$256,$Q4883)))</f>
        <v/>
      </c>
      <c r="O4883" s="38" t="n">
        <f aca="false">IF($A4883="",1,IF($Q4883=0,1,INDEX(COA_Mapping!$F$7:$F$256,$Q4883)))</f>
        <v>1</v>
      </c>
      <c r="P4883" s="34" t="str">
        <f aca="false">IF($A4883="","",$I4883*$O4883)</f>
        <v/>
      </c>
      <c r="Q4883" s="39" t="n">
        <f aca="false">IF($B4883="",0,IFERROR(MATCH($B4883,COA_Mapping!$A$7:$A$256,0),0))</f>
        <v>0</v>
      </c>
      <c r="R4883" s="39" t="n">
        <f aca="false">IF($A4883="",-1,IF($J4883=Setup!$B$7,1,IF($J4883=Setup!$B$9,0,-1)))</f>
        <v>-1</v>
      </c>
      <c r="S4883" s="35" t="n">
        <f aca="false">IF(OR($A4883="",$Q4883=0,$R4883=-1),0,$Q4883*1000+$R4883*100+$K4883)</f>
        <v>0</v>
      </c>
      <c r="T4883" s="37" t="str">
        <f aca="false">IF($A4883="","",IF($B4883="","NO ACCOUNT",IF($Q4883=0,"UNMAPPED",IF($R4883=-1,"OUTSIDE FY RANGE","OK"))))</f>
        <v/>
      </c>
      <c r="U4883" s="40" t="str">
        <f aca="false">IF($A4883="","",$B4883&amp;"|"&amp;TEXT($A4883,"yyyymmdd")&amp;"|"&amp;TEXT($I4883,"0.00"))</f>
        <v/>
      </c>
      <c r="V4883" s="35" t="str">
        <f aca="false">IF($A4883="","",COUNTIF($U$8:$U$5007,$U4883))</f>
        <v/>
      </c>
    </row>
    <row r="4884" customFormat="false" ht="15" hidden="false" customHeight="false" outlineLevel="0" collapsed="false">
      <c r="A4884" s="31"/>
      <c r="B4884" s="32"/>
      <c r="C4884" s="32"/>
      <c r="D4884" s="32"/>
      <c r="E4884" s="32"/>
      <c r="F4884" s="32"/>
      <c r="G4884" s="33"/>
      <c r="H4884" s="33"/>
      <c r="I4884" s="34" t="str">
        <f aca="false">IF($A4884="","",$G4884-$H4884)</f>
        <v/>
      </c>
      <c r="J4884" s="35" t="str">
        <f aca="false">IF($A4884="","",IF(Setup!$B$6=1,YEAR($A4884),YEAR($A4884)+IF(MONTH($A4884)&gt;=Setup!$B$6,1,0)))</f>
        <v/>
      </c>
      <c r="K4884" s="35" t="str">
        <f aca="false">IF($A4884="","",MOD(MONTH($A4884)-Setup!$B$6+12,12)+1)</f>
        <v/>
      </c>
      <c r="L4884" s="36" t="str">
        <f aca="false">IF($A4884="","",TEXT($A4884,"MMM-YY"))</f>
        <v/>
      </c>
      <c r="M4884" s="37" t="str">
        <f aca="false">IF($A4884="","",IF($Q4884=0,"UNMAPPED",INDEX(COA_Mapping!$C$7:$C$256,$Q4884)))</f>
        <v/>
      </c>
      <c r="N4884" s="38" t="str">
        <f aca="false">IF($A4884="","",IF($Q4884=0,"",INDEX(COA_Mapping!$E$7:$E$256,$Q4884)))</f>
        <v/>
      </c>
      <c r="O4884" s="38" t="n">
        <f aca="false">IF($A4884="",1,IF($Q4884=0,1,INDEX(COA_Mapping!$F$7:$F$256,$Q4884)))</f>
        <v>1</v>
      </c>
      <c r="P4884" s="34" t="str">
        <f aca="false">IF($A4884="","",$I4884*$O4884)</f>
        <v/>
      </c>
      <c r="Q4884" s="39" t="n">
        <f aca="false">IF($B4884="",0,IFERROR(MATCH($B4884,COA_Mapping!$A$7:$A$256,0),0))</f>
        <v>0</v>
      </c>
      <c r="R4884" s="39" t="n">
        <f aca="false">IF($A4884="",-1,IF($J4884=Setup!$B$7,1,IF($J4884=Setup!$B$9,0,-1)))</f>
        <v>-1</v>
      </c>
      <c r="S4884" s="35" t="n">
        <f aca="false">IF(OR($A4884="",$Q4884=0,$R4884=-1),0,$Q4884*1000+$R4884*100+$K4884)</f>
        <v>0</v>
      </c>
      <c r="T4884" s="37" t="str">
        <f aca="false">IF($A4884="","",IF($B4884="","NO ACCOUNT",IF($Q4884=0,"UNMAPPED",IF($R4884=-1,"OUTSIDE FY RANGE","OK"))))</f>
        <v/>
      </c>
      <c r="U4884" s="40" t="str">
        <f aca="false">IF($A4884="","",$B4884&amp;"|"&amp;TEXT($A4884,"yyyymmdd")&amp;"|"&amp;TEXT($I4884,"0.00"))</f>
        <v/>
      </c>
      <c r="V4884" s="35" t="str">
        <f aca="false">IF($A4884="","",COUNTIF($U$8:$U$5007,$U4884))</f>
        <v/>
      </c>
    </row>
    <row r="4885" customFormat="false" ht="15" hidden="false" customHeight="false" outlineLevel="0" collapsed="false">
      <c r="A4885" s="31"/>
      <c r="B4885" s="32"/>
      <c r="C4885" s="32"/>
      <c r="D4885" s="32"/>
      <c r="E4885" s="32"/>
      <c r="F4885" s="32"/>
      <c r="G4885" s="33"/>
      <c r="H4885" s="33"/>
      <c r="I4885" s="34" t="str">
        <f aca="false">IF($A4885="","",$G4885-$H4885)</f>
        <v/>
      </c>
      <c r="J4885" s="35" t="str">
        <f aca="false">IF($A4885="","",IF(Setup!$B$6=1,YEAR($A4885),YEAR($A4885)+IF(MONTH($A4885)&gt;=Setup!$B$6,1,0)))</f>
        <v/>
      </c>
      <c r="K4885" s="35" t="str">
        <f aca="false">IF($A4885="","",MOD(MONTH($A4885)-Setup!$B$6+12,12)+1)</f>
        <v/>
      </c>
      <c r="L4885" s="36" t="str">
        <f aca="false">IF($A4885="","",TEXT($A4885,"MMM-YY"))</f>
        <v/>
      </c>
      <c r="M4885" s="37" t="str">
        <f aca="false">IF($A4885="","",IF($Q4885=0,"UNMAPPED",INDEX(COA_Mapping!$C$7:$C$256,$Q4885)))</f>
        <v/>
      </c>
      <c r="N4885" s="38" t="str">
        <f aca="false">IF($A4885="","",IF($Q4885=0,"",INDEX(COA_Mapping!$E$7:$E$256,$Q4885)))</f>
        <v/>
      </c>
      <c r="O4885" s="38" t="n">
        <f aca="false">IF($A4885="",1,IF($Q4885=0,1,INDEX(COA_Mapping!$F$7:$F$256,$Q4885)))</f>
        <v>1</v>
      </c>
      <c r="P4885" s="34" t="str">
        <f aca="false">IF($A4885="","",$I4885*$O4885)</f>
        <v/>
      </c>
      <c r="Q4885" s="39" t="n">
        <f aca="false">IF($B4885="",0,IFERROR(MATCH($B4885,COA_Mapping!$A$7:$A$256,0),0))</f>
        <v>0</v>
      </c>
      <c r="R4885" s="39" t="n">
        <f aca="false">IF($A4885="",-1,IF($J4885=Setup!$B$7,1,IF($J4885=Setup!$B$9,0,-1)))</f>
        <v>-1</v>
      </c>
      <c r="S4885" s="35" t="n">
        <f aca="false">IF(OR($A4885="",$Q4885=0,$R4885=-1),0,$Q4885*1000+$R4885*100+$K4885)</f>
        <v>0</v>
      </c>
      <c r="T4885" s="37" t="str">
        <f aca="false">IF($A4885="","",IF($B4885="","NO ACCOUNT",IF($Q4885=0,"UNMAPPED",IF($R4885=-1,"OUTSIDE FY RANGE","OK"))))</f>
        <v/>
      </c>
      <c r="U4885" s="40" t="str">
        <f aca="false">IF($A4885="","",$B4885&amp;"|"&amp;TEXT($A4885,"yyyymmdd")&amp;"|"&amp;TEXT($I4885,"0.00"))</f>
        <v/>
      </c>
      <c r="V4885" s="35" t="str">
        <f aca="false">IF($A4885="","",COUNTIF($U$8:$U$5007,$U4885))</f>
        <v/>
      </c>
    </row>
    <row r="4886" customFormat="false" ht="15" hidden="false" customHeight="false" outlineLevel="0" collapsed="false">
      <c r="A4886" s="31"/>
      <c r="B4886" s="32"/>
      <c r="C4886" s="32"/>
      <c r="D4886" s="32"/>
      <c r="E4886" s="32"/>
      <c r="F4886" s="32"/>
      <c r="G4886" s="33"/>
      <c r="H4886" s="33"/>
      <c r="I4886" s="34" t="str">
        <f aca="false">IF($A4886="","",$G4886-$H4886)</f>
        <v/>
      </c>
      <c r="J4886" s="35" t="str">
        <f aca="false">IF($A4886="","",IF(Setup!$B$6=1,YEAR($A4886),YEAR($A4886)+IF(MONTH($A4886)&gt;=Setup!$B$6,1,0)))</f>
        <v/>
      </c>
      <c r="K4886" s="35" t="str">
        <f aca="false">IF($A4886="","",MOD(MONTH($A4886)-Setup!$B$6+12,12)+1)</f>
        <v/>
      </c>
      <c r="L4886" s="36" t="str">
        <f aca="false">IF($A4886="","",TEXT($A4886,"MMM-YY"))</f>
        <v/>
      </c>
      <c r="M4886" s="37" t="str">
        <f aca="false">IF($A4886="","",IF($Q4886=0,"UNMAPPED",INDEX(COA_Mapping!$C$7:$C$256,$Q4886)))</f>
        <v/>
      </c>
      <c r="N4886" s="38" t="str">
        <f aca="false">IF($A4886="","",IF($Q4886=0,"",INDEX(COA_Mapping!$E$7:$E$256,$Q4886)))</f>
        <v/>
      </c>
      <c r="O4886" s="38" t="n">
        <f aca="false">IF($A4886="",1,IF($Q4886=0,1,INDEX(COA_Mapping!$F$7:$F$256,$Q4886)))</f>
        <v>1</v>
      </c>
      <c r="P4886" s="34" t="str">
        <f aca="false">IF($A4886="","",$I4886*$O4886)</f>
        <v/>
      </c>
      <c r="Q4886" s="39" t="n">
        <f aca="false">IF($B4886="",0,IFERROR(MATCH($B4886,COA_Mapping!$A$7:$A$256,0),0))</f>
        <v>0</v>
      </c>
      <c r="R4886" s="39" t="n">
        <f aca="false">IF($A4886="",-1,IF($J4886=Setup!$B$7,1,IF($J4886=Setup!$B$9,0,-1)))</f>
        <v>-1</v>
      </c>
      <c r="S4886" s="35" t="n">
        <f aca="false">IF(OR($A4886="",$Q4886=0,$R4886=-1),0,$Q4886*1000+$R4886*100+$K4886)</f>
        <v>0</v>
      </c>
      <c r="T4886" s="37" t="str">
        <f aca="false">IF($A4886="","",IF($B4886="","NO ACCOUNT",IF($Q4886=0,"UNMAPPED",IF($R4886=-1,"OUTSIDE FY RANGE","OK"))))</f>
        <v/>
      </c>
      <c r="U4886" s="40" t="str">
        <f aca="false">IF($A4886="","",$B4886&amp;"|"&amp;TEXT($A4886,"yyyymmdd")&amp;"|"&amp;TEXT($I4886,"0.00"))</f>
        <v/>
      </c>
      <c r="V4886" s="35" t="str">
        <f aca="false">IF($A4886="","",COUNTIF($U$8:$U$5007,$U4886))</f>
        <v/>
      </c>
    </row>
    <row r="4887" customFormat="false" ht="15" hidden="false" customHeight="false" outlineLevel="0" collapsed="false">
      <c r="A4887" s="31"/>
      <c r="B4887" s="32"/>
      <c r="C4887" s="32"/>
      <c r="D4887" s="32"/>
      <c r="E4887" s="32"/>
      <c r="F4887" s="32"/>
      <c r="G4887" s="33"/>
      <c r="H4887" s="33"/>
      <c r="I4887" s="34" t="str">
        <f aca="false">IF($A4887="","",$G4887-$H4887)</f>
        <v/>
      </c>
      <c r="J4887" s="35" t="str">
        <f aca="false">IF($A4887="","",IF(Setup!$B$6=1,YEAR($A4887),YEAR($A4887)+IF(MONTH($A4887)&gt;=Setup!$B$6,1,0)))</f>
        <v/>
      </c>
      <c r="K4887" s="35" t="str">
        <f aca="false">IF($A4887="","",MOD(MONTH($A4887)-Setup!$B$6+12,12)+1)</f>
        <v/>
      </c>
      <c r="L4887" s="36" t="str">
        <f aca="false">IF($A4887="","",TEXT($A4887,"MMM-YY"))</f>
        <v/>
      </c>
      <c r="M4887" s="37" t="str">
        <f aca="false">IF($A4887="","",IF($Q4887=0,"UNMAPPED",INDEX(COA_Mapping!$C$7:$C$256,$Q4887)))</f>
        <v/>
      </c>
      <c r="N4887" s="38" t="str">
        <f aca="false">IF($A4887="","",IF($Q4887=0,"",INDEX(COA_Mapping!$E$7:$E$256,$Q4887)))</f>
        <v/>
      </c>
      <c r="O4887" s="38" t="n">
        <f aca="false">IF($A4887="",1,IF($Q4887=0,1,INDEX(COA_Mapping!$F$7:$F$256,$Q4887)))</f>
        <v>1</v>
      </c>
      <c r="P4887" s="34" t="str">
        <f aca="false">IF($A4887="","",$I4887*$O4887)</f>
        <v/>
      </c>
      <c r="Q4887" s="39" t="n">
        <f aca="false">IF($B4887="",0,IFERROR(MATCH($B4887,COA_Mapping!$A$7:$A$256,0),0))</f>
        <v>0</v>
      </c>
      <c r="R4887" s="39" t="n">
        <f aca="false">IF($A4887="",-1,IF($J4887=Setup!$B$7,1,IF($J4887=Setup!$B$9,0,-1)))</f>
        <v>-1</v>
      </c>
      <c r="S4887" s="35" t="n">
        <f aca="false">IF(OR($A4887="",$Q4887=0,$R4887=-1),0,$Q4887*1000+$R4887*100+$K4887)</f>
        <v>0</v>
      </c>
      <c r="T4887" s="37" t="str">
        <f aca="false">IF($A4887="","",IF($B4887="","NO ACCOUNT",IF($Q4887=0,"UNMAPPED",IF($R4887=-1,"OUTSIDE FY RANGE","OK"))))</f>
        <v/>
      </c>
      <c r="U4887" s="40" t="str">
        <f aca="false">IF($A4887="","",$B4887&amp;"|"&amp;TEXT($A4887,"yyyymmdd")&amp;"|"&amp;TEXT($I4887,"0.00"))</f>
        <v/>
      </c>
      <c r="V4887" s="35" t="str">
        <f aca="false">IF($A4887="","",COUNTIF($U$8:$U$5007,$U4887))</f>
        <v/>
      </c>
    </row>
    <row r="4888" customFormat="false" ht="15" hidden="false" customHeight="false" outlineLevel="0" collapsed="false">
      <c r="A4888" s="31"/>
      <c r="B4888" s="32"/>
      <c r="C4888" s="32"/>
      <c r="D4888" s="32"/>
      <c r="E4888" s="32"/>
      <c r="F4888" s="32"/>
      <c r="G4888" s="33"/>
      <c r="H4888" s="33"/>
      <c r="I4888" s="34" t="str">
        <f aca="false">IF($A4888="","",$G4888-$H4888)</f>
        <v/>
      </c>
      <c r="J4888" s="35" t="str">
        <f aca="false">IF($A4888="","",IF(Setup!$B$6=1,YEAR($A4888),YEAR($A4888)+IF(MONTH($A4888)&gt;=Setup!$B$6,1,0)))</f>
        <v/>
      </c>
      <c r="K4888" s="35" t="str">
        <f aca="false">IF($A4888="","",MOD(MONTH($A4888)-Setup!$B$6+12,12)+1)</f>
        <v/>
      </c>
      <c r="L4888" s="36" t="str">
        <f aca="false">IF($A4888="","",TEXT($A4888,"MMM-YY"))</f>
        <v/>
      </c>
      <c r="M4888" s="37" t="str">
        <f aca="false">IF($A4888="","",IF($Q4888=0,"UNMAPPED",INDEX(COA_Mapping!$C$7:$C$256,$Q4888)))</f>
        <v/>
      </c>
      <c r="N4888" s="38" t="str">
        <f aca="false">IF($A4888="","",IF($Q4888=0,"",INDEX(COA_Mapping!$E$7:$E$256,$Q4888)))</f>
        <v/>
      </c>
      <c r="O4888" s="38" t="n">
        <f aca="false">IF($A4888="",1,IF($Q4888=0,1,INDEX(COA_Mapping!$F$7:$F$256,$Q4888)))</f>
        <v>1</v>
      </c>
      <c r="P4888" s="34" t="str">
        <f aca="false">IF($A4888="","",$I4888*$O4888)</f>
        <v/>
      </c>
      <c r="Q4888" s="39" t="n">
        <f aca="false">IF($B4888="",0,IFERROR(MATCH($B4888,COA_Mapping!$A$7:$A$256,0),0))</f>
        <v>0</v>
      </c>
      <c r="R4888" s="39" t="n">
        <f aca="false">IF($A4888="",-1,IF($J4888=Setup!$B$7,1,IF($J4888=Setup!$B$9,0,-1)))</f>
        <v>-1</v>
      </c>
      <c r="S4888" s="35" t="n">
        <f aca="false">IF(OR($A4888="",$Q4888=0,$R4888=-1),0,$Q4888*1000+$R4888*100+$K4888)</f>
        <v>0</v>
      </c>
      <c r="T4888" s="37" t="str">
        <f aca="false">IF($A4888="","",IF($B4888="","NO ACCOUNT",IF($Q4888=0,"UNMAPPED",IF($R4888=-1,"OUTSIDE FY RANGE","OK"))))</f>
        <v/>
      </c>
      <c r="U4888" s="40" t="str">
        <f aca="false">IF($A4888="","",$B4888&amp;"|"&amp;TEXT($A4888,"yyyymmdd")&amp;"|"&amp;TEXT($I4888,"0.00"))</f>
        <v/>
      </c>
      <c r="V4888" s="35" t="str">
        <f aca="false">IF($A4888="","",COUNTIF($U$8:$U$5007,$U4888))</f>
        <v/>
      </c>
    </row>
    <row r="4889" customFormat="false" ht="15" hidden="false" customHeight="false" outlineLevel="0" collapsed="false">
      <c r="A4889" s="31"/>
      <c r="B4889" s="32"/>
      <c r="C4889" s="32"/>
      <c r="D4889" s="32"/>
      <c r="E4889" s="32"/>
      <c r="F4889" s="32"/>
      <c r="G4889" s="33"/>
      <c r="H4889" s="33"/>
      <c r="I4889" s="34" t="str">
        <f aca="false">IF($A4889="","",$G4889-$H4889)</f>
        <v/>
      </c>
      <c r="J4889" s="35" t="str">
        <f aca="false">IF($A4889="","",IF(Setup!$B$6=1,YEAR($A4889),YEAR($A4889)+IF(MONTH($A4889)&gt;=Setup!$B$6,1,0)))</f>
        <v/>
      </c>
      <c r="K4889" s="35" t="str">
        <f aca="false">IF($A4889="","",MOD(MONTH($A4889)-Setup!$B$6+12,12)+1)</f>
        <v/>
      </c>
      <c r="L4889" s="36" t="str">
        <f aca="false">IF($A4889="","",TEXT($A4889,"MMM-YY"))</f>
        <v/>
      </c>
      <c r="M4889" s="37" t="str">
        <f aca="false">IF($A4889="","",IF($Q4889=0,"UNMAPPED",INDEX(COA_Mapping!$C$7:$C$256,$Q4889)))</f>
        <v/>
      </c>
      <c r="N4889" s="38" t="str">
        <f aca="false">IF($A4889="","",IF($Q4889=0,"",INDEX(COA_Mapping!$E$7:$E$256,$Q4889)))</f>
        <v/>
      </c>
      <c r="O4889" s="38" t="n">
        <f aca="false">IF($A4889="",1,IF($Q4889=0,1,INDEX(COA_Mapping!$F$7:$F$256,$Q4889)))</f>
        <v>1</v>
      </c>
      <c r="P4889" s="34" t="str">
        <f aca="false">IF($A4889="","",$I4889*$O4889)</f>
        <v/>
      </c>
      <c r="Q4889" s="39" t="n">
        <f aca="false">IF($B4889="",0,IFERROR(MATCH($B4889,COA_Mapping!$A$7:$A$256,0),0))</f>
        <v>0</v>
      </c>
      <c r="R4889" s="39" t="n">
        <f aca="false">IF($A4889="",-1,IF($J4889=Setup!$B$7,1,IF($J4889=Setup!$B$9,0,-1)))</f>
        <v>-1</v>
      </c>
      <c r="S4889" s="35" t="n">
        <f aca="false">IF(OR($A4889="",$Q4889=0,$R4889=-1),0,$Q4889*1000+$R4889*100+$K4889)</f>
        <v>0</v>
      </c>
      <c r="T4889" s="37" t="str">
        <f aca="false">IF($A4889="","",IF($B4889="","NO ACCOUNT",IF($Q4889=0,"UNMAPPED",IF($R4889=-1,"OUTSIDE FY RANGE","OK"))))</f>
        <v/>
      </c>
      <c r="U4889" s="40" t="str">
        <f aca="false">IF($A4889="","",$B4889&amp;"|"&amp;TEXT($A4889,"yyyymmdd")&amp;"|"&amp;TEXT($I4889,"0.00"))</f>
        <v/>
      </c>
      <c r="V4889" s="35" t="str">
        <f aca="false">IF($A4889="","",COUNTIF($U$8:$U$5007,$U4889))</f>
        <v/>
      </c>
    </row>
    <row r="4890" customFormat="false" ht="15" hidden="false" customHeight="false" outlineLevel="0" collapsed="false">
      <c r="A4890" s="31"/>
      <c r="B4890" s="32"/>
      <c r="C4890" s="32"/>
      <c r="D4890" s="32"/>
      <c r="E4890" s="32"/>
      <c r="F4890" s="32"/>
      <c r="G4890" s="33"/>
      <c r="H4890" s="33"/>
      <c r="I4890" s="34" t="str">
        <f aca="false">IF($A4890="","",$G4890-$H4890)</f>
        <v/>
      </c>
      <c r="J4890" s="35" t="str">
        <f aca="false">IF($A4890="","",IF(Setup!$B$6=1,YEAR($A4890),YEAR($A4890)+IF(MONTH($A4890)&gt;=Setup!$B$6,1,0)))</f>
        <v/>
      </c>
      <c r="K4890" s="35" t="str">
        <f aca="false">IF($A4890="","",MOD(MONTH($A4890)-Setup!$B$6+12,12)+1)</f>
        <v/>
      </c>
      <c r="L4890" s="36" t="str">
        <f aca="false">IF($A4890="","",TEXT($A4890,"MMM-YY"))</f>
        <v/>
      </c>
      <c r="M4890" s="37" t="str">
        <f aca="false">IF($A4890="","",IF($Q4890=0,"UNMAPPED",INDEX(COA_Mapping!$C$7:$C$256,$Q4890)))</f>
        <v/>
      </c>
      <c r="N4890" s="38" t="str">
        <f aca="false">IF($A4890="","",IF($Q4890=0,"",INDEX(COA_Mapping!$E$7:$E$256,$Q4890)))</f>
        <v/>
      </c>
      <c r="O4890" s="38" t="n">
        <f aca="false">IF($A4890="",1,IF($Q4890=0,1,INDEX(COA_Mapping!$F$7:$F$256,$Q4890)))</f>
        <v>1</v>
      </c>
      <c r="P4890" s="34" t="str">
        <f aca="false">IF($A4890="","",$I4890*$O4890)</f>
        <v/>
      </c>
      <c r="Q4890" s="39" t="n">
        <f aca="false">IF($B4890="",0,IFERROR(MATCH($B4890,COA_Mapping!$A$7:$A$256,0),0))</f>
        <v>0</v>
      </c>
      <c r="R4890" s="39" t="n">
        <f aca="false">IF($A4890="",-1,IF($J4890=Setup!$B$7,1,IF($J4890=Setup!$B$9,0,-1)))</f>
        <v>-1</v>
      </c>
      <c r="S4890" s="35" t="n">
        <f aca="false">IF(OR($A4890="",$Q4890=0,$R4890=-1),0,$Q4890*1000+$R4890*100+$K4890)</f>
        <v>0</v>
      </c>
      <c r="T4890" s="37" t="str">
        <f aca="false">IF($A4890="","",IF($B4890="","NO ACCOUNT",IF($Q4890=0,"UNMAPPED",IF($R4890=-1,"OUTSIDE FY RANGE","OK"))))</f>
        <v/>
      </c>
      <c r="U4890" s="40" t="str">
        <f aca="false">IF($A4890="","",$B4890&amp;"|"&amp;TEXT($A4890,"yyyymmdd")&amp;"|"&amp;TEXT($I4890,"0.00"))</f>
        <v/>
      </c>
      <c r="V4890" s="35" t="str">
        <f aca="false">IF($A4890="","",COUNTIF($U$8:$U$5007,$U4890))</f>
        <v/>
      </c>
    </row>
    <row r="4891" customFormat="false" ht="15" hidden="false" customHeight="false" outlineLevel="0" collapsed="false">
      <c r="A4891" s="31"/>
      <c r="B4891" s="32"/>
      <c r="C4891" s="32"/>
      <c r="D4891" s="32"/>
      <c r="E4891" s="32"/>
      <c r="F4891" s="32"/>
      <c r="G4891" s="33"/>
      <c r="H4891" s="33"/>
      <c r="I4891" s="34" t="str">
        <f aca="false">IF($A4891="","",$G4891-$H4891)</f>
        <v/>
      </c>
      <c r="J4891" s="35" t="str">
        <f aca="false">IF($A4891="","",IF(Setup!$B$6=1,YEAR($A4891),YEAR($A4891)+IF(MONTH($A4891)&gt;=Setup!$B$6,1,0)))</f>
        <v/>
      </c>
      <c r="K4891" s="35" t="str">
        <f aca="false">IF($A4891="","",MOD(MONTH($A4891)-Setup!$B$6+12,12)+1)</f>
        <v/>
      </c>
      <c r="L4891" s="36" t="str">
        <f aca="false">IF($A4891="","",TEXT($A4891,"MMM-YY"))</f>
        <v/>
      </c>
      <c r="M4891" s="37" t="str">
        <f aca="false">IF($A4891="","",IF($Q4891=0,"UNMAPPED",INDEX(COA_Mapping!$C$7:$C$256,$Q4891)))</f>
        <v/>
      </c>
      <c r="N4891" s="38" t="str">
        <f aca="false">IF($A4891="","",IF($Q4891=0,"",INDEX(COA_Mapping!$E$7:$E$256,$Q4891)))</f>
        <v/>
      </c>
      <c r="O4891" s="38" t="n">
        <f aca="false">IF($A4891="",1,IF($Q4891=0,1,INDEX(COA_Mapping!$F$7:$F$256,$Q4891)))</f>
        <v>1</v>
      </c>
      <c r="P4891" s="34" t="str">
        <f aca="false">IF($A4891="","",$I4891*$O4891)</f>
        <v/>
      </c>
      <c r="Q4891" s="39" t="n">
        <f aca="false">IF($B4891="",0,IFERROR(MATCH($B4891,COA_Mapping!$A$7:$A$256,0),0))</f>
        <v>0</v>
      </c>
      <c r="R4891" s="39" t="n">
        <f aca="false">IF($A4891="",-1,IF($J4891=Setup!$B$7,1,IF($J4891=Setup!$B$9,0,-1)))</f>
        <v>-1</v>
      </c>
      <c r="S4891" s="35" t="n">
        <f aca="false">IF(OR($A4891="",$Q4891=0,$R4891=-1),0,$Q4891*1000+$R4891*100+$K4891)</f>
        <v>0</v>
      </c>
      <c r="T4891" s="37" t="str">
        <f aca="false">IF($A4891="","",IF($B4891="","NO ACCOUNT",IF($Q4891=0,"UNMAPPED",IF($R4891=-1,"OUTSIDE FY RANGE","OK"))))</f>
        <v/>
      </c>
      <c r="U4891" s="40" t="str">
        <f aca="false">IF($A4891="","",$B4891&amp;"|"&amp;TEXT($A4891,"yyyymmdd")&amp;"|"&amp;TEXT($I4891,"0.00"))</f>
        <v/>
      </c>
      <c r="V4891" s="35" t="str">
        <f aca="false">IF($A4891="","",COUNTIF($U$8:$U$5007,$U4891))</f>
        <v/>
      </c>
    </row>
    <row r="4892" customFormat="false" ht="15" hidden="false" customHeight="false" outlineLevel="0" collapsed="false">
      <c r="A4892" s="31"/>
      <c r="B4892" s="32"/>
      <c r="C4892" s="32"/>
      <c r="D4892" s="32"/>
      <c r="E4892" s="32"/>
      <c r="F4892" s="32"/>
      <c r="G4892" s="33"/>
      <c r="H4892" s="33"/>
      <c r="I4892" s="34" t="str">
        <f aca="false">IF($A4892="","",$G4892-$H4892)</f>
        <v/>
      </c>
      <c r="J4892" s="35" t="str">
        <f aca="false">IF($A4892="","",IF(Setup!$B$6=1,YEAR($A4892),YEAR($A4892)+IF(MONTH($A4892)&gt;=Setup!$B$6,1,0)))</f>
        <v/>
      </c>
      <c r="K4892" s="35" t="str">
        <f aca="false">IF($A4892="","",MOD(MONTH($A4892)-Setup!$B$6+12,12)+1)</f>
        <v/>
      </c>
      <c r="L4892" s="36" t="str">
        <f aca="false">IF($A4892="","",TEXT($A4892,"MMM-YY"))</f>
        <v/>
      </c>
      <c r="M4892" s="37" t="str">
        <f aca="false">IF($A4892="","",IF($Q4892=0,"UNMAPPED",INDEX(COA_Mapping!$C$7:$C$256,$Q4892)))</f>
        <v/>
      </c>
      <c r="N4892" s="38" t="str">
        <f aca="false">IF($A4892="","",IF($Q4892=0,"",INDEX(COA_Mapping!$E$7:$E$256,$Q4892)))</f>
        <v/>
      </c>
      <c r="O4892" s="38" t="n">
        <f aca="false">IF($A4892="",1,IF($Q4892=0,1,INDEX(COA_Mapping!$F$7:$F$256,$Q4892)))</f>
        <v>1</v>
      </c>
      <c r="P4892" s="34" t="str">
        <f aca="false">IF($A4892="","",$I4892*$O4892)</f>
        <v/>
      </c>
      <c r="Q4892" s="39" t="n">
        <f aca="false">IF($B4892="",0,IFERROR(MATCH($B4892,COA_Mapping!$A$7:$A$256,0),0))</f>
        <v>0</v>
      </c>
      <c r="R4892" s="39" t="n">
        <f aca="false">IF($A4892="",-1,IF($J4892=Setup!$B$7,1,IF($J4892=Setup!$B$9,0,-1)))</f>
        <v>-1</v>
      </c>
      <c r="S4892" s="35" t="n">
        <f aca="false">IF(OR($A4892="",$Q4892=0,$R4892=-1),0,$Q4892*1000+$R4892*100+$K4892)</f>
        <v>0</v>
      </c>
      <c r="T4892" s="37" t="str">
        <f aca="false">IF($A4892="","",IF($B4892="","NO ACCOUNT",IF($Q4892=0,"UNMAPPED",IF($R4892=-1,"OUTSIDE FY RANGE","OK"))))</f>
        <v/>
      </c>
      <c r="U4892" s="40" t="str">
        <f aca="false">IF($A4892="","",$B4892&amp;"|"&amp;TEXT($A4892,"yyyymmdd")&amp;"|"&amp;TEXT($I4892,"0.00"))</f>
        <v/>
      </c>
      <c r="V4892" s="35" t="str">
        <f aca="false">IF($A4892="","",COUNTIF($U$8:$U$5007,$U4892))</f>
        <v/>
      </c>
    </row>
    <row r="4893" customFormat="false" ht="15" hidden="false" customHeight="false" outlineLevel="0" collapsed="false">
      <c r="A4893" s="31"/>
      <c r="B4893" s="32"/>
      <c r="C4893" s="32"/>
      <c r="D4893" s="32"/>
      <c r="E4893" s="32"/>
      <c r="F4893" s="32"/>
      <c r="G4893" s="33"/>
      <c r="H4893" s="33"/>
      <c r="I4893" s="34" t="str">
        <f aca="false">IF($A4893="","",$G4893-$H4893)</f>
        <v/>
      </c>
      <c r="J4893" s="35" t="str">
        <f aca="false">IF($A4893="","",IF(Setup!$B$6=1,YEAR($A4893),YEAR($A4893)+IF(MONTH($A4893)&gt;=Setup!$B$6,1,0)))</f>
        <v/>
      </c>
      <c r="K4893" s="35" t="str">
        <f aca="false">IF($A4893="","",MOD(MONTH($A4893)-Setup!$B$6+12,12)+1)</f>
        <v/>
      </c>
      <c r="L4893" s="36" t="str">
        <f aca="false">IF($A4893="","",TEXT($A4893,"MMM-YY"))</f>
        <v/>
      </c>
      <c r="M4893" s="37" t="str">
        <f aca="false">IF($A4893="","",IF($Q4893=0,"UNMAPPED",INDEX(COA_Mapping!$C$7:$C$256,$Q4893)))</f>
        <v/>
      </c>
      <c r="N4893" s="38" t="str">
        <f aca="false">IF($A4893="","",IF($Q4893=0,"",INDEX(COA_Mapping!$E$7:$E$256,$Q4893)))</f>
        <v/>
      </c>
      <c r="O4893" s="38" t="n">
        <f aca="false">IF($A4893="",1,IF($Q4893=0,1,INDEX(COA_Mapping!$F$7:$F$256,$Q4893)))</f>
        <v>1</v>
      </c>
      <c r="P4893" s="34" t="str">
        <f aca="false">IF($A4893="","",$I4893*$O4893)</f>
        <v/>
      </c>
      <c r="Q4893" s="39" t="n">
        <f aca="false">IF($B4893="",0,IFERROR(MATCH($B4893,COA_Mapping!$A$7:$A$256,0),0))</f>
        <v>0</v>
      </c>
      <c r="R4893" s="39" t="n">
        <f aca="false">IF($A4893="",-1,IF($J4893=Setup!$B$7,1,IF($J4893=Setup!$B$9,0,-1)))</f>
        <v>-1</v>
      </c>
      <c r="S4893" s="35" t="n">
        <f aca="false">IF(OR($A4893="",$Q4893=0,$R4893=-1),0,$Q4893*1000+$R4893*100+$K4893)</f>
        <v>0</v>
      </c>
      <c r="T4893" s="37" t="str">
        <f aca="false">IF($A4893="","",IF($B4893="","NO ACCOUNT",IF($Q4893=0,"UNMAPPED",IF($R4893=-1,"OUTSIDE FY RANGE","OK"))))</f>
        <v/>
      </c>
      <c r="U4893" s="40" t="str">
        <f aca="false">IF($A4893="","",$B4893&amp;"|"&amp;TEXT($A4893,"yyyymmdd")&amp;"|"&amp;TEXT($I4893,"0.00"))</f>
        <v/>
      </c>
      <c r="V4893" s="35" t="str">
        <f aca="false">IF($A4893="","",COUNTIF($U$8:$U$5007,$U4893))</f>
        <v/>
      </c>
    </row>
    <row r="4894" customFormat="false" ht="15" hidden="false" customHeight="false" outlineLevel="0" collapsed="false">
      <c r="A4894" s="31"/>
      <c r="B4894" s="32"/>
      <c r="C4894" s="32"/>
      <c r="D4894" s="32"/>
      <c r="E4894" s="32"/>
      <c r="F4894" s="32"/>
      <c r="G4894" s="33"/>
      <c r="H4894" s="33"/>
      <c r="I4894" s="34" t="str">
        <f aca="false">IF($A4894="","",$G4894-$H4894)</f>
        <v/>
      </c>
      <c r="J4894" s="35" t="str">
        <f aca="false">IF($A4894="","",IF(Setup!$B$6=1,YEAR($A4894),YEAR($A4894)+IF(MONTH($A4894)&gt;=Setup!$B$6,1,0)))</f>
        <v/>
      </c>
      <c r="K4894" s="35" t="str">
        <f aca="false">IF($A4894="","",MOD(MONTH($A4894)-Setup!$B$6+12,12)+1)</f>
        <v/>
      </c>
      <c r="L4894" s="36" t="str">
        <f aca="false">IF($A4894="","",TEXT($A4894,"MMM-YY"))</f>
        <v/>
      </c>
      <c r="M4894" s="37" t="str">
        <f aca="false">IF($A4894="","",IF($Q4894=0,"UNMAPPED",INDEX(COA_Mapping!$C$7:$C$256,$Q4894)))</f>
        <v/>
      </c>
      <c r="N4894" s="38" t="str">
        <f aca="false">IF($A4894="","",IF($Q4894=0,"",INDEX(COA_Mapping!$E$7:$E$256,$Q4894)))</f>
        <v/>
      </c>
      <c r="O4894" s="38" t="n">
        <f aca="false">IF($A4894="",1,IF($Q4894=0,1,INDEX(COA_Mapping!$F$7:$F$256,$Q4894)))</f>
        <v>1</v>
      </c>
      <c r="P4894" s="34" t="str">
        <f aca="false">IF($A4894="","",$I4894*$O4894)</f>
        <v/>
      </c>
      <c r="Q4894" s="39" t="n">
        <f aca="false">IF($B4894="",0,IFERROR(MATCH($B4894,COA_Mapping!$A$7:$A$256,0),0))</f>
        <v>0</v>
      </c>
      <c r="R4894" s="39" t="n">
        <f aca="false">IF($A4894="",-1,IF($J4894=Setup!$B$7,1,IF($J4894=Setup!$B$9,0,-1)))</f>
        <v>-1</v>
      </c>
      <c r="S4894" s="35" t="n">
        <f aca="false">IF(OR($A4894="",$Q4894=0,$R4894=-1),0,$Q4894*1000+$R4894*100+$K4894)</f>
        <v>0</v>
      </c>
      <c r="T4894" s="37" t="str">
        <f aca="false">IF($A4894="","",IF($B4894="","NO ACCOUNT",IF($Q4894=0,"UNMAPPED",IF($R4894=-1,"OUTSIDE FY RANGE","OK"))))</f>
        <v/>
      </c>
      <c r="U4894" s="40" t="str">
        <f aca="false">IF($A4894="","",$B4894&amp;"|"&amp;TEXT($A4894,"yyyymmdd")&amp;"|"&amp;TEXT($I4894,"0.00"))</f>
        <v/>
      </c>
      <c r="V4894" s="35" t="str">
        <f aca="false">IF($A4894="","",COUNTIF($U$8:$U$5007,$U4894))</f>
        <v/>
      </c>
    </row>
    <row r="4895" customFormat="false" ht="15" hidden="false" customHeight="false" outlineLevel="0" collapsed="false">
      <c r="A4895" s="31"/>
      <c r="B4895" s="32"/>
      <c r="C4895" s="32"/>
      <c r="D4895" s="32"/>
      <c r="E4895" s="32"/>
      <c r="F4895" s="32"/>
      <c r="G4895" s="33"/>
      <c r="H4895" s="33"/>
      <c r="I4895" s="34" t="str">
        <f aca="false">IF($A4895="","",$G4895-$H4895)</f>
        <v/>
      </c>
      <c r="J4895" s="35" t="str">
        <f aca="false">IF($A4895="","",IF(Setup!$B$6=1,YEAR($A4895),YEAR($A4895)+IF(MONTH($A4895)&gt;=Setup!$B$6,1,0)))</f>
        <v/>
      </c>
      <c r="K4895" s="35" t="str">
        <f aca="false">IF($A4895="","",MOD(MONTH($A4895)-Setup!$B$6+12,12)+1)</f>
        <v/>
      </c>
      <c r="L4895" s="36" t="str">
        <f aca="false">IF($A4895="","",TEXT($A4895,"MMM-YY"))</f>
        <v/>
      </c>
      <c r="M4895" s="37" t="str">
        <f aca="false">IF($A4895="","",IF($Q4895=0,"UNMAPPED",INDEX(COA_Mapping!$C$7:$C$256,$Q4895)))</f>
        <v/>
      </c>
      <c r="N4895" s="38" t="str">
        <f aca="false">IF($A4895="","",IF($Q4895=0,"",INDEX(COA_Mapping!$E$7:$E$256,$Q4895)))</f>
        <v/>
      </c>
      <c r="O4895" s="38" t="n">
        <f aca="false">IF($A4895="",1,IF($Q4895=0,1,INDEX(COA_Mapping!$F$7:$F$256,$Q4895)))</f>
        <v>1</v>
      </c>
      <c r="P4895" s="34" t="str">
        <f aca="false">IF($A4895="","",$I4895*$O4895)</f>
        <v/>
      </c>
      <c r="Q4895" s="39" t="n">
        <f aca="false">IF($B4895="",0,IFERROR(MATCH($B4895,COA_Mapping!$A$7:$A$256,0),0))</f>
        <v>0</v>
      </c>
      <c r="R4895" s="39" t="n">
        <f aca="false">IF($A4895="",-1,IF($J4895=Setup!$B$7,1,IF($J4895=Setup!$B$9,0,-1)))</f>
        <v>-1</v>
      </c>
      <c r="S4895" s="35" t="n">
        <f aca="false">IF(OR($A4895="",$Q4895=0,$R4895=-1),0,$Q4895*1000+$R4895*100+$K4895)</f>
        <v>0</v>
      </c>
      <c r="T4895" s="37" t="str">
        <f aca="false">IF($A4895="","",IF($B4895="","NO ACCOUNT",IF($Q4895=0,"UNMAPPED",IF($R4895=-1,"OUTSIDE FY RANGE","OK"))))</f>
        <v/>
      </c>
      <c r="U4895" s="40" t="str">
        <f aca="false">IF($A4895="","",$B4895&amp;"|"&amp;TEXT($A4895,"yyyymmdd")&amp;"|"&amp;TEXT($I4895,"0.00"))</f>
        <v/>
      </c>
      <c r="V4895" s="35" t="str">
        <f aca="false">IF($A4895="","",COUNTIF($U$8:$U$5007,$U4895))</f>
        <v/>
      </c>
    </row>
    <row r="4896" customFormat="false" ht="15" hidden="false" customHeight="false" outlineLevel="0" collapsed="false">
      <c r="A4896" s="31"/>
      <c r="B4896" s="32"/>
      <c r="C4896" s="32"/>
      <c r="D4896" s="32"/>
      <c r="E4896" s="32"/>
      <c r="F4896" s="32"/>
      <c r="G4896" s="33"/>
      <c r="H4896" s="33"/>
      <c r="I4896" s="34" t="str">
        <f aca="false">IF($A4896="","",$G4896-$H4896)</f>
        <v/>
      </c>
      <c r="J4896" s="35" t="str">
        <f aca="false">IF($A4896="","",IF(Setup!$B$6=1,YEAR($A4896),YEAR($A4896)+IF(MONTH($A4896)&gt;=Setup!$B$6,1,0)))</f>
        <v/>
      </c>
      <c r="K4896" s="35" t="str">
        <f aca="false">IF($A4896="","",MOD(MONTH($A4896)-Setup!$B$6+12,12)+1)</f>
        <v/>
      </c>
      <c r="L4896" s="36" t="str">
        <f aca="false">IF($A4896="","",TEXT($A4896,"MMM-YY"))</f>
        <v/>
      </c>
      <c r="M4896" s="37" t="str">
        <f aca="false">IF($A4896="","",IF($Q4896=0,"UNMAPPED",INDEX(COA_Mapping!$C$7:$C$256,$Q4896)))</f>
        <v/>
      </c>
      <c r="N4896" s="38" t="str">
        <f aca="false">IF($A4896="","",IF($Q4896=0,"",INDEX(COA_Mapping!$E$7:$E$256,$Q4896)))</f>
        <v/>
      </c>
      <c r="O4896" s="38" t="n">
        <f aca="false">IF($A4896="",1,IF($Q4896=0,1,INDEX(COA_Mapping!$F$7:$F$256,$Q4896)))</f>
        <v>1</v>
      </c>
      <c r="P4896" s="34" t="str">
        <f aca="false">IF($A4896="","",$I4896*$O4896)</f>
        <v/>
      </c>
      <c r="Q4896" s="39" t="n">
        <f aca="false">IF($B4896="",0,IFERROR(MATCH($B4896,COA_Mapping!$A$7:$A$256,0),0))</f>
        <v>0</v>
      </c>
      <c r="R4896" s="39" t="n">
        <f aca="false">IF($A4896="",-1,IF($J4896=Setup!$B$7,1,IF($J4896=Setup!$B$9,0,-1)))</f>
        <v>-1</v>
      </c>
      <c r="S4896" s="35" t="n">
        <f aca="false">IF(OR($A4896="",$Q4896=0,$R4896=-1),0,$Q4896*1000+$R4896*100+$K4896)</f>
        <v>0</v>
      </c>
      <c r="T4896" s="37" t="str">
        <f aca="false">IF($A4896="","",IF($B4896="","NO ACCOUNT",IF($Q4896=0,"UNMAPPED",IF($R4896=-1,"OUTSIDE FY RANGE","OK"))))</f>
        <v/>
      </c>
      <c r="U4896" s="40" t="str">
        <f aca="false">IF($A4896="","",$B4896&amp;"|"&amp;TEXT($A4896,"yyyymmdd")&amp;"|"&amp;TEXT($I4896,"0.00"))</f>
        <v/>
      </c>
      <c r="V4896" s="35" t="str">
        <f aca="false">IF($A4896="","",COUNTIF($U$8:$U$5007,$U4896))</f>
        <v/>
      </c>
    </row>
    <row r="4897" customFormat="false" ht="15" hidden="false" customHeight="false" outlineLevel="0" collapsed="false">
      <c r="A4897" s="31"/>
      <c r="B4897" s="32"/>
      <c r="C4897" s="32"/>
      <c r="D4897" s="32"/>
      <c r="E4897" s="32"/>
      <c r="F4897" s="32"/>
      <c r="G4897" s="33"/>
      <c r="H4897" s="33"/>
      <c r="I4897" s="34" t="str">
        <f aca="false">IF($A4897="","",$G4897-$H4897)</f>
        <v/>
      </c>
      <c r="J4897" s="35" t="str">
        <f aca="false">IF($A4897="","",IF(Setup!$B$6=1,YEAR($A4897),YEAR($A4897)+IF(MONTH($A4897)&gt;=Setup!$B$6,1,0)))</f>
        <v/>
      </c>
      <c r="K4897" s="35" t="str">
        <f aca="false">IF($A4897="","",MOD(MONTH($A4897)-Setup!$B$6+12,12)+1)</f>
        <v/>
      </c>
      <c r="L4897" s="36" t="str">
        <f aca="false">IF($A4897="","",TEXT($A4897,"MMM-YY"))</f>
        <v/>
      </c>
      <c r="M4897" s="37" t="str">
        <f aca="false">IF($A4897="","",IF($Q4897=0,"UNMAPPED",INDEX(COA_Mapping!$C$7:$C$256,$Q4897)))</f>
        <v/>
      </c>
      <c r="N4897" s="38" t="str">
        <f aca="false">IF($A4897="","",IF($Q4897=0,"",INDEX(COA_Mapping!$E$7:$E$256,$Q4897)))</f>
        <v/>
      </c>
      <c r="O4897" s="38" t="n">
        <f aca="false">IF($A4897="",1,IF($Q4897=0,1,INDEX(COA_Mapping!$F$7:$F$256,$Q4897)))</f>
        <v>1</v>
      </c>
      <c r="P4897" s="34" t="str">
        <f aca="false">IF($A4897="","",$I4897*$O4897)</f>
        <v/>
      </c>
      <c r="Q4897" s="39" t="n">
        <f aca="false">IF($B4897="",0,IFERROR(MATCH($B4897,COA_Mapping!$A$7:$A$256,0),0))</f>
        <v>0</v>
      </c>
      <c r="R4897" s="39" t="n">
        <f aca="false">IF($A4897="",-1,IF($J4897=Setup!$B$7,1,IF($J4897=Setup!$B$9,0,-1)))</f>
        <v>-1</v>
      </c>
      <c r="S4897" s="35" t="n">
        <f aca="false">IF(OR($A4897="",$Q4897=0,$R4897=-1),0,$Q4897*1000+$R4897*100+$K4897)</f>
        <v>0</v>
      </c>
      <c r="T4897" s="37" t="str">
        <f aca="false">IF($A4897="","",IF($B4897="","NO ACCOUNT",IF($Q4897=0,"UNMAPPED",IF($R4897=-1,"OUTSIDE FY RANGE","OK"))))</f>
        <v/>
      </c>
      <c r="U4897" s="40" t="str">
        <f aca="false">IF($A4897="","",$B4897&amp;"|"&amp;TEXT($A4897,"yyyymmdd")&amp;"|"&amp;TEXT($I4897,"0.00"))</f>
        <v/>
      </c>
      <c r="V4897" s="35" t="str">
        <f aca="false">IF($A4897="","",COUNTIF($U$8:$U$5007,$U4897))</f>
        <v/>
      </c>
    </row>
    <row r="4898" customFormat="false" ht="15" hidden="false" customHeight="false" outlineLevel="0" collapsed="false">
      <c r="A4898" s="31"/>
      <c r="B4898" s="32"/>
      <c r="C4898" s="32"/>
      <c r="D4898" s="32"/>
      <c r="E4898" s="32"/>
      <c r="F4898" s="32"/>
      <c r="G4898" s="33"/>
      <c r="H4898" s="33"/>
      <c r="I4898" s="34" t="str">
        <f aca="false">IF($A4898="","",$G4898-$H4898)</f>
        <v/>
      </c>
      <c r="J4898" s="35" t="str">
        <f aca="false">IF($A4898="","",IF(Setup!$B$6=1,YEAR($A4898),YEAR($A4898)+IF(MONTH($A4898)&gt;=Setup!$B$6,1,0)))</f>
        <v/>
      </c>
      <c r="K4898" s="35" t="str">
        <f aca="false">IF($A4898="","",MOD(MONTH($A4898)-Setup!$B$6+12,12)+1)</f>
        <v/>
      </c>
      <c r="L4898" s="36" t="str">
        <f aca="false">IF($A4898="","",TEXT($A4898,"MMM-YY"))</f>
        <v/>
      </c>
      <c r="M4898" s="37" t="str">
        <f aca="false">IF($A4898="","",IF($Q4898=0,"UNMAPPED",INDEX(COA_Mapping!$C$7:$C$256,$Q4898)))</f>
        <v/>
      </c>
      <c r="N4898" s="38" t="str">
        <f aca="false">IF($A4898="","",IF($Q4898=0,"",INDEX(COA_Mapping!$E$7:$E$256,$Q4898)))</f>
        <v/>
      </c>
      <c r="O4898" s="38" t="n">
        <f aca="false">IF($A4898="",1,IF($Q4898=0,1,INDEX(COA_Mapping!$F$7:$F$256,$Q4898)))</f>
        <v>1</v>
      </c>
      <c r="P4898" s="34" t="str">
        <f aca="false">IF($A4898="","",$I4898*$O4898)</f>
        <v/>
      </c>
      <c r="Q4898" s="39" t="n">
        <f aca="false">IF($B4898="",0,IFERROR(MATCH($B4898,COA_Mapping!$A$7:$A$256,0),0))</f>
        <v>0</v>
      </c>
      <c r="R4898" s="39" t="n">
        <f aca="false">IF($A4898="",-1,IF($J4898=Setup!$B$7,1,IF($J4898=Setup!$B$9,0,-1)))</f>
        <v>-1</v>
      </c>
      <c r="S4898" s="35" t="n">
        <f aca="false">IF(OR($A4898="",$Q4898=0,$R4898=-1),0,$Q4898*1000+$R4898*100+$K4898)</f>
        <v>0</v>
      </c>
      <c r="T4898" s="37" t="str">
        <f aca="false">IF($A4898="","",IF($B4898="","NO ACCOUNT",IF($Q4898=0,"UNMAPPED",IF($R4898=-1,"OUTSIDE FY RANGE","OK"))))</f>
        <v/>
      </c>
      <c r="U4898" s="40" t="str">
        <f aca="false">IF($A4898="","",$B4898&amp;"|"&amp;TEXT($A4898,"yyyymmdd")&amp;"|"&amp;TEXT($I4898,"0.00"))</f>
        <v/>
      </c>
      <c r="V4898" s="35" t="str">
        <f aca="false">IF($A4898="","",COUNTIF($U$8:$U$5007,$U4898))</f>
        <v/>
      </c>
    </row>
    <row r="4899" customFormat="false" ht="15" hidden="false" customHeight="false" outlineLevel="0" collapsed="false">
      <c r="A4899" s="31"/>
      <c r="B4899" s="32"/>
      <c r="C4899" s="32"/>
      <c r="D4899" s="32"/>
      <c r="E4899" s="32"/>
      <c r="F4899" s="32"/>
      <c r="G4899" s="33"/>
      <c r="H4899" s="33"/>
      <c r="I4899" s="34" t="str">
        <f aca="false">IF($A4899="","",$G4899-$H4899)</f>
        <v/>
      </c>
      <c r="J4899" s="35" t="str">
        <f aca="false">IF($A4899="","",IF(Setup!$B$6=1,YEAR($A4899),YEAR($A4899)+IF(MONTH($A4899)&gt;=Setup!$B$6,1,0)))</f>
        <v/>
      </c>
      <c r="K4899" s="35" t="str">
        <f aca="false">IF($A4899="","",MOD(MONTH($A4899)-Setup!$B$6+12,12)+1)</f>
        <v/>
      </c>
      <c r="L4899" s="36" t="str">
        <f aca="false">IF($A4899="","",TEXT($A4899,"MMM-YY"))</f>
        <v/>
      </c>
      <c r="M4899" s="37" t="str">
        <f aca="false">IF($A4899="","",IF($Q4899=0,"UNMAPPED",INDEX(COA_Mapping!$C$7:$C$256,$Q4899)))</f>
        <v/>
      </c>
      <c r="N4899" s="38" t="str">
        <f aca="false">IF($A4899="","",IF($Q4899=0,"",INDEX(COA_Mapping!$E$7:$E$256,$Q4899)))</f>
        <v/>
      </c>
      <c r="O4899" s="38" t="n">
        <f aca="false">IF($A4899="",1,IF($Q4899=0,1,INDEX(COA_Mapping!$F$7:$F$256,$Q4899)))</f>
        <v>1</v>
      </c>
      <c r="P4899" s="34" t="str">
        <f aca="false">IF($A4899="","",$I4899*$O4899)</f>
        <v/>
      </c>
      <c r="Q4899" s="39" t="n">
        <f aca="false">IF($B4899="",0,IFERROR(MATCH($B4899,COA_Mapping!$A$7:$A$256,0),0))</f>
        <v>0</v>
      </c>
      <c r="R4899" s="39" t="n">
        <f aca="false">IF($A4899="",-1,IF($J4899=Setup!$B$7,1,IF($J4899=Setup!$B$9,0,-1)))</f>
        <v>-1</v>
      </c>
      <c r="S4899" s="35" t="n">
        <f aca="false">IF(OR($A4899="",$Q4899=0,$R4899=-1),0,$Q4899*1000+$R4899*100+$K4899)</f>
        <v>0</v>
      </c>
      <c r="T4899" s="37" t="str">
        <f aca="false">IF($A4899="","",IF($B4899="","NO ACCOUNT",IF($Q4899=0,"UNMAPPED",IF($R4899=-1,"OUTSIDE FY RANGE","OK"))))</f>
        <v/>
      </c>
      <c r="U4899" s="40" t="str">
        <f aca="false">IF($A4899="","",$B4899&amp;"|"&amp;TEXT($A4899,"yyyymmdd")&amp;"|"&amp;TEXT($I4899,"0.00"))</f>
        <v/>
      </c>
      <c r="V4899" s="35" t="str">
        <f aca="false">IF($A4899="","",COUNTIF($U$8:$U$5007,$U4899))</f>
        <v/>
      </c>
    </row>
    <row r="4900" customFormat="false" ht="15" hidden="false" customHeight="false" outlineLevel="0" collapsed="false">
      <c r="A4900" s="31"/>
      <c r="B4900" s="32"/>
      <c r="C4900" s="32"/>
      <c r="D4900" s="32"/>
      <c r="E4900" s="32"/>
      <c r="F4900" s="32"/>
      <c r="G4900" s="33"/>
      <c r="H4900" s="33"/>
      <c r="I4900" s="34" t="str">
        <f aca="false">IF($A4900="","",$G4900-$H4900)</f>
        <v/>
      </c>
      <c r="J4900" s="35" t="str">
        <f aca="false">IF($A4900="","",IF(Setup!$B$6=1,YEAR($A4900),YEAR($A4900)+IF(MONTH($A4900)&gt;=Setup!$B$6,1,0)))</f>
        <v/>
      </c>
      <c r="K4900" s="35" t="str">
        <f aca="false">IF($A4900="","",MOD(MONTH($A4900)-Setup!$B$6+12,12)+1)</f>
        <v/>
      </c>
      <c r="L4900" s="36" t="str">
        <f aca="false">IF($A4900="","",TEXT($A4900,"MMM-YY"))</f>
        <v/>
      </c>
      <c r="M4900" s="37" t="str">
        <f aca="false">IF($A4900="","",IF($Q4900=0,"UNMAPPED",INDEX(COA_Mapping!$C$7:$C$256,$Q4900)))</f>
        <v/>
      </c>
      <c r="N4900" s="38" t="str">
        <f aca="false">IF($A4900="","",IF($Q4900=0,"",INDEX(COA_Mapping!$E$7:$E$256,$Q4900)))</f>
        <v/>
      </c>
      <c r="O4900" s="38" t="n">
        <f aca="false">IF($A4900="",1,IF($Q4900=0,1,INDEX(COA_Mapping!$F$7:$F$256,$Q4900)))</f>
        <v>1</v>
      </c>
      <c r="P4900" s="34" t="str">
        <f aca="false">IF($A4900="","",$I4900*$O4900)</f>
        <v/>
      </c>
      <c r="Q4900" s="39" t="n">
        <f aca="false">IF($B4900="",0,IFERROR(MATCH($B4900,COA_Mapping!$A$7:$A$256,0),0))</f>
        <v>0</v>
      </c>
      <c r="R4900" s="39" t="n">
        <f aca="false">IF($A4900="",-1,IF($J4900=Setup!$B$7,1,IF($J4900=Setup!$B$9,0,-1)))</f>
        <v>-1</v>
      </c>
      <c r="S4900" s="35" t="n">
        <f aca="false">IF(OR($A4900="",$Q4900=0,$R4900=-1),0,$Q4900*1000+$R4900*100+$K4900)</f>
        <v>0</v>
      </c>
      <c r="T4900" s="37" t="str">
        <f aca="false">IF($A4900="","",IF($B4900="","NO ACCOUNT",IF($Q4900=0,"UNMAPPED",IF($R4900=-1,"OUTSIDE FY RANGE","OK"))))</f>
        <v/>
      </c>
      <c r="U4900" s="40" t="str">
        <f aca="false">IF($A4900="","",$B4900&amp;"|"&amp;TEXT($A4900,"yyyymmdd")&amp;"|"&amp;TEXT($I4900,"0.00"))</f>
        <v/>
      </c>
      <c r="V4900" s="35" t="str">
        <f aca="false">IF($A4900="","",COUNTIF($U$8:$U$5007,$U4900))</f>
        <v/>
      </c>
    </row>
    <row r="4901" customFormat="false" ht="15" hidden="false" customHeight="false" outlineLevel="0" collapsed="false">
      <c r="A4901" s="31"/>
      <c r="B4901" s="32"/>
      <c r="C4901" s="32"/>
      <c r="D4901" s="32"/>
      <c r="E4901" s="32"/>
      <c r="F4901" s="32"/>
      <c r="G4901" s="33"/>
      <c r="H4901" s="33"/>
      <c r="I4901" s="34" t="str">
        <f aca="false">IF($A4901="","",$G4901-$H4901)</f>
        <v/>
      </c>
      <c r="J4901" s="35" t="str">
        <f aca="false">IF($A4901="","",IF(Setup!$B$6=1,YEAR($A4901),YEAR($A4901)+IF(MONTH($A4901)&gt;=Setup!$B$6,1,0)))</f>
        <v/>
      </c>
      <c r="K4901" s="35" t="str">
        <f aca="false">IF($A4901="","",MOD(MONTH($A4901)-Setup!$B$6+12,12)+1)</f>
        <v/>
      </c>
      <c r="L4901" s="36" t="str">
        <f aca="false">IF($A4901="","",TEXT($A4901,"MMM-YY"))</f>
        <v/>
      </c>
      <c r="M4901" s="37" t="str">
        <f aca="false">IF($A4901="","",IF($Q4901=0,"UNMAPPED",INDEX(COA_Mapping!$C$7:$C$256,$Q4901)))</f>
        <v/>
      </c>
      <c r="N4901" s="38" t="str">
        <f aca="false">IF($A4901="","",IF($Q4901=0,"",INDEX(COA_Mapping!$E$7:$E$256,$Q4901)))</f>
        <v/>
      </c>
      <c r="O4901" s="38" t="n">
        <f aca="false">IF($A4901="",1,IF($Q4901=0,1,INDEX(COA_Mapping!$F$7:$F$256,$Q4901)))</f>
        <v>1</v>
      </c>
      <c r="P4901" s="34" t="str">
        <f aca="false">IF($A4901="","",$I4901*$O4901)</f>
        <v/>
      </c>
      <c r="Q4901" s="39" t="n">
        <f aca="false">IF($B4901="",0,IFERROR(MATCH($B4901,COA_Mapping!$A$7:$A$256,0),0))</f>
        <v>0</v>
      </c>
      <c r="R4901" s="39" t="n">
        <f aca="false">IF($A4901="",-1,IF($J4901=Setup!$B$7,1,IF($J4901=Setup!$B$9,0,-1)))</f>
        <v>-1</v>
      </c>
      <c r="S4901" s="35" t="n">
        <f aca="false">IF(OR($A4901="",$Q4901=0,$R4901=-1),0,$Q4901*1000+$R4901*100+$K4901)</f>
        <v>0</v>
      </c>
      <c r="T4901" s="37" t="str">
        <f aca="false">IF($A4901="","",IF($B4901="","NO ACCOUNT",IF($Q4901=0,"UNMAPPED",IF($R4901=-1,"OUTSIDE FY RANGE","OK"))))</f>
        <v/>
      </c>
      <c r="U4901" s="40" t="str">
        <f aca="false">IF($A4901="","",$B4901&amp;"|"&amp;TEXT($A4901,"yyyymmdd")&amp;"|"&amp;TEXT($I4901,"0.00"))</f>
        <v/>
      </c>
      <c r="V4901" s="35" t="str">
        <f aca="false">IF($A4901="","",COUNTIF($U$8:$U$5007,$U4901))</f>
        <v/>
      </c>
    </row>
    <row r="4902" customFormat="false" ht="15" hidden="false" customHeight="false" outlineLevel="0" collapsed="false">
      <c r="A4902" s="31"/>
      <c r="B4902" s="32"/>
      <c r="C4902" s="32"/>
      <c r="D4902" s="32"/>
      <c r="E4902" s="32"/>
      <c r="F4902" s="32"/>
      <c r="G4902" s="33"/>
      <c r="H4902" s="33"/>
      <c r="I4902" s="34" t="str">
        <f aca="false">IF($A4902="","",$G4902-$H4902)</f>
        <v/>
      </c>
      <c r="J4902" s="35" t="str">
        <f aca="false">IF($A4902="","",IF(Setup!$B$6=1,YEAR($A4902),YEAR($A4902)+IF(MONTH($A4902)&gt;=Setup!$B$6,1,0)))</f>
        <v/>
      </c>
      <c r="K4902" s="35" t="str">
        <f aca="false">IF($A4902="","",MOD(MONTH($A4902)-Setup!$B$6+12,12)+1)</f>
        <v/>
      </c>
      <c r="L4902" s="36" t="str">
        <f aca="false">IF($A4902="","",TEXT($A4902,"MMM-YY"))</f>
        <v/>
      </c>
      <c r="M4902" s="37" t="str">
        <f aca="false">IF($A4902="","",IF($Q4902=0,"UNMAPPED",INDEX(COA_Mapping!$C$7:$C$256,$Q4902)))</f>
        <v/>
      </c>
      <c r="N4902" s="38" t="str">
        <f aca="false">IF($A4902="","",IF($Q4902=0,"",INDEX(COA_Mapping!$E$7:$E$256,$Q4902)))</f>
        <v/>
      </c>
      <c r="O4902" s="38" t="n">
        <f aca="false">IF($A4902="",1,IF($Q4902=0,1,INDEX(COA_Mapping!$F$7:$F$256,$Q4902)))</f>
        <v>1</v>
      </c>
      <c r="P4902" s="34" t="str">
        <f aca="false">IF($A4902="","",$I4902*$O4902)</f>
        <v/>
      </c>
      <c r="Q4902" s="39" t="n">
        <f aca="false">IF($B4902="",0,IFERROR(MATCH($B4902,COA_Mapping!$A$7:$A$256,0),0))</f>
        <v>0</v>
      </c>
      <c r="R4902" s="39" t="n">
        <f aca="false">IF($A4902="",-1,IF($J4902=Setup!$B$7,1,IF($J4902=Setup!$B$9,0,-1)))</f>
        <v>-1</v>
      </c>
      <c r="S4902" s="35" t="n">
        <f aca="false">IF(OR($A4902="",$Q4902=0,$R4902=-1),0,$Q4902*1000+$R4902*100+$K4902)</f>
        <v>0</v>
      </c>
      <c r="T4902" s="37" t="str">
        <f aca="false">IF($A4902="","",IF($B4902="","NO ACCOUNT",IF($Q4902=0,"UNMAPPED",IF($R4902=-1,"OUTSIDE FY RANGE","OK"))))</f>
        <v/>
      </c>
      <c r="U4902" s="40" t="str">
        <f aca="false">IF($A4902="","",$B4902&amp;"|"&amp;TEXT($A4902,"yyyymmdd")&amp;"|"&amp;TEXT($I4902,"0.00"))</f>
        <v/>
      </c>
      <c r="V4902" s="35" t="str">
        <f aca="false">IF($A4902="","",COUNTIF($U$8:$U$5007,$U4902))</f>
        <v/>
      </c>
    </row>
    <row r="4903" customFormat="false" ht="15" hidden="false" customHeight="false" outlineLevel="0" collapsed="false">
      <c r="A4903" s="31"/>
      <c r="B4903" s="32"/>
      <c r="C4903" s="32"/>
      <c r="D4903" s="32"/>
      <c r="E4903" s="32"/>
      <c r="F4903" s="32"/>
      <c r="G4903" s="33"/>
      <c r="H4903" s="33"/>
      <c r="I4903" s="34" t="str">
        <f aca="false">IF($A4903="","",$G4903-$H4903)</f>
        <v/>
      </c>
      <c r="J4903" s="35" t="str">
        <f aca="false">IF($A4903="","",IF(Setup!$B$6=1,YEAR($A4903),YEAR($A4903)+IF(MONTH($A4903)&gt;=Setup!$B$6,1,0)))</f>
        <v/>
      </c>
      <c r="K4903" s="35" t="str">
        <f aca="false">IF($A4903="","",MOD(MONTH($A4903)-Setup!$B$6+12,12)+1)</f>
        <v/>
      </c>
      <c r="L4903" s="36" t="str">
        <f aca="false">IF($A4903="","",TEXT($A4903,"MMM-YY"))</f>
        <v/>
      </c>
      <c r="M4903" s="37" t="str">
        <f aca="false">IF($A4903="","",IF($Q4903=0,"UNMAPPED",INDEX(COA_Mapping!$C$7:$C$256,$Q4903)))</f>
        <v/>
      </c>
      <c r="N4903" s="38" t="str">
        <f aca="false">IF($A4903="","",IF($Q4903=0,"",INDEX(COA_Mapping!$E$7:$E$256,$Q4903)))</f>
        <v/>
      </c>
      <c r="O4903" s="38" t="n">
        <f aca="false">IF($A4903="",1,IF($Q4903=0,1,INDEX(COA_Mapping!$F$7:$F$256,$Q4903)))</f>
        <v>1</v>
      </c>
      <c r="P4903" s="34" t="str">
        <f aca="false">IF($A4903="","",$I4903*$O4903)</f>
        <v/>
      </c>
      <c r="Q4903" s="39" t="n">
        <f aca="false">IF($B4903="",0,IFERROR(MATCH($B4903,COA_Mapping!$A$7:$A$256,0),0))</f>
        <v>0</v>
      </c>
      <c r="R4903" s="39" t="n">
        <f aca="false">IF($A4903="",-1,IF($J4903=Setup!$B$7,1,IF($J4903=Setup!$B$9,0,-1)))</f>
        <v>-1</v>
      </c>
      <c r="S4903" s="35" t="n">
        <f aca="false">IF(OR($A4903="",$Q4903=0,$R4903=-1),0,$Q4903*1000+$R4903*100+$K4903)</f>
        <v>0</v>
      </c>
      <c r="T4903" s="37" t="str">
        <f aca="false">IF($A4903="","",IF($B4903="","NO ACCOUNT",IF($Q4903=0,"UNMAPPED",IF($R4903=-1,"OUTSIDE FY RANGE","OK"))))</f>
        <v/>
      </c>
      <c r="U4903" s="40" t="str">
        <f aca="false">IF($A4903="","",$B4903&amp;"|"&amp;TEXT($A4903,"yyyymmdd")&amp;"|"&amp;TEXT($I4903,"0.00"))</f>
        <v/>
      </c>
      <c r="V4903" s="35" t="str">
        <f aca="false">IF($A4903="","",COUNTIF($U$8:$U$5007,$U4903))</f>
        <v/>
      </c>
    </row>
    <row r="4904" customFormat="false" ht="15" hidden="false" customHeight="false" outlineLevel="0" collapsed="false">
      <c r="A4904" s="31"/>
      <c r="B4904" s="32"/>
      <c r="C4904" s="32"/>
      <c r="D4904" s="32"/>
      <c r="E4904" s="32"/>
      <c r="F4904" s="32"/>
      <c r="G4904" s="33"/>
      <c r="H4904" s="33"/>
      <c r="I4904" s="34" t="str">
        <f aca="false">IF($A4904="","",$G4904-$H4904)</f>
        <v/>
      </c>
      <c r="J4904" s="35" t="str">
        <f aca="false">IF($A4904="","",IF(Setup!$B$6=1,YEAR($A4904),YEAR($A4904)+IF(MONTH($A4904)&gt;=Setup!$B$6,1,0)))</f>
        <v/>
      </c>
      <c r="K4904" s="35" t="str">
        <f aca="false">IF($A4904="","",MOD(MONTH($A4904)-Setup!$B$6+12,12)+1)</f>
        <v/>
      </c>
      <c r="L4904" s="36" t="str">
        <f aca="false">IF($A4904="","",TEXT($A4904,"MMM-YY"))</f>
        <v/>
      </c>
      <c r="M4904" s="37" t="str">
        <f aca="false">IF($A4904="","",IF($Q4904=0,"UNMAPPED",INDEX(COA_Mapping!$C$7:$C$256,$Q4904)))</f>
        <v/>
      </c>
      <c r="N4904" s="38" t="str">
        <f aca="false">IF($A4904="","",IF($Q4904=0,"",INDEX(COA_Mapping!$E$7:$E$256,$Q4904)))</f>
        <v/>
      </c>
      <c r="O4904" s="38" t="n">
        <f aca="false">IF($A4904="",1,IF($Q4904=0,1,INDEX(COA_Mapping!$F$7:$F$256,$Q4904)))</f>
        <v>1</v>
      </c>
      <c r="P4904" s="34" t="str">
        <f aca="false">IF($A4904="","",$I4904*$O4904)</f>
        <v/>
      </c>
      <c r="Q4904" s="39" t="n">
        <f aca="false">IF($B4904="",0,IFERROR(MATCH($B4904,COA_Mapping!$A$7:$A$256,0),0))</f>
        <v>0</v>
      </c>
      <c r="R4904" s="39" t="n">
        <f aca="false">IF($A4904="",-1,IF($J4904=Setup!$B$7,1,IF($J4904=Setup!$B$9,0,-1)))</f>
        <v>-1</v>
      </c>
      <c r="S4904" s="35" t="n">
        <f aca="false">IF(OR($A4904="",$Q4904=0,$R4904=-1),0,$Q4904*1000+$R4904*100+$K4904)</f>
        <v>0</v>
      </c>
      <c r="T4904" s="37" t="str">
        <f aca="false">IF($A4904="","",IF($B4904="","NO ACCOUNT",IF($Q4904=0,"UNMAPPED",IF($R4904=-1,"OUTSIDE FY RANGE","OK"))))</f>
        <v/>
      </c>
      <c r="U4904" s="40" t="str">
        <f aca="false">IF($A4904="","",$B4904&amp;"|"&amp;TEXT($A4904,"yyyymmdd")&amp;"|"&amp;TEXT($I4904,"0.00"))</f>
        <v/>
      </c>
      <c r="V4904" s="35" t="str">
        <f aca="false">IF($A4904="","",COUNTIF($U$8:$U$5007,$U4904))</f>
        <v/>
      </c>
    </row>
    <row r="4905" customFormat="false" ht="15" hidden="false" customHeight="false" outlineLevel="0" collapsed="false">
      <c r="A4905" s="31"/>
      <c r="B4905" s="32"/>
      <c r="C4905" s="32"/>
      <c r="D4905" s="32"/>
      <c r="E4905" s="32"/>
      <c r="F4905" s="32"/>
      <c r="G4905" s="33"/>
      <c r="H4905" s="33"/>
      <c r="I4905" s="34" t="str">
        <f aca="false">IF($A4905="","",$G4905-$H4905)</f>
        <v/>
      </c>
      <c r="J4905" s="35" t="str">
        <f aca="false">IF($A4905="","",IF(Setup!$B$6=1,YEAR($A4905),YEAR($A4905)+IF(MONTH($A4905)&gt;=Setup!$B$6,1,0)))</f>
        <v/>
      </c>
      <c r="K4905" s="35" t="str">
        <f aca="false">IF($A4905="","",MOD(MONTH($A4905)-Setup!$B$6+12,12)+1)</f>
        <v/>
      </c>
      <c r="L4905" s="36" t="str">
        <f aca="false">IF($A4905="","",TEXT($A4905,"MMM-YY"))</f>
        <v/>
      </c>
      <c r="M4905" s="37" t="str">
        <f aca="false">IF($A4905="","",IF($Q4905=0,"UNMAPPED",INDEX(COA_Mapping!$C$7:$C$256,$Q4905)))</f>
        <v/>
      </c>
      <c r="N4905" s="38" t="str">
        <f aca="false">IF($A4905="","",IF($Q4905=0,"",INDEX(COA_Mapping!$E$7:$E$256,$Q4905)))</f>
        <v/>
      </c>
      <c r="O4905" s="38" t="n">
        <f aca="false">IF($A4905="",1,IF($Q4905=0,1,INDEX(COA_Mapping!$F$7:$F$256,$Q4905)))</f>
        <v>1</v>
      </c>
      <c r="P4905" s="34" t="str">
        <f aca="false">IF($A4905="","",$I4905*$O4905)</f>
        <v/>
      </c>
      <c r="Q4905" s="39" t="n">
        <f aca="false">IF($B4905="",0,IFERROR(MATCH($B4905,COA_Mapping!$A$7:$A$256,0),0))</f>
        <v>0</v>
      </c>
      <c r="R4905" s="39" t="n">
        <f aca="false">IF($A4905="",-1,IF($J4905=Setup!$B$7,1,IF($J4905=Setup!$B$9,0,-1)))</f>
        <v>-1</v>
      </c>
      <c r="S4905" s="35" t="n">
        <f aca="false">IF(OR($A4905="",$Q4905=0,$R4905=-1),0,$Q4905*1000+$R4905*100+$K4905)</f>
        <v>0</v>
      </c>
      <c r="T4905" s="37" t="str">
        <f aca="false">IF($A4905="","",IF($B4905="","NO ACCOUNT",IF($Q4905=0,"UNMAPPED",IF($R4905=-1,"OUTSIDE FY RANGE","OK"))))</f>
        <v/>
      </c>
      <c r="U4905" s="40" t="str">
        <f aca="false">IF($A4905="","",$B4905&amp;"|"&amp;TEXT($A4905,"yyyymmdd")&amp;"|"&amp;TEXT($I4905,"0.00"))</f>
        <v/>
      </c>
      <c r="V4905" s="35" t="str">
        <f aca="false">IF($A4905="","",COUNTIF($U$8:$U$5007,$U4905))</f>
        <v/>
      </c>
    </row>
    <row r="4906" customFormat="false" ht="15" hidden="false" customHeight="false" outlineLevel="0" collapsed="false">
      <c r="A4906" s="31"/>
      <c r="B4906" s="32"/>
      <c r="C4906" s="32"/>
      <c r="D4906" s="32"/>
      <c r="E4906" s="32"/>
      <c r="F4906" s="32"/>
      <c r="G4906" s="33"/>
      <c r="H4906" s="33"/>
      <c r="I4906" s="34" t="str">
        <f aca="false">IF($A4906="","",$G4906-$H4906)</f>
        <v/>
      </c>
      <c r="J4906" s="35" t="str">
        <f aca="false">IF($A4906="","",IF(Setup!$B$6=1,YEAR($A4906),YEAR($A4906)+IF(MONTH($A4906)&gt;=Setup!$B$6,1,0)))</f>
        <v/>
      </c>
      <c r="K4906" s="35" t="str">
        <f aca="false">IF($A4906="","",MOD(MONTH($A4906)-Setup!$B$6+12,12)+1)</f>
        <v/>
      </c>
      <c r="L4906" s="36" t="str">
        <f aca="false">IF($A4906="","",TEXT($A4906,"MMM-YY"))</f>
        <v/>
      </c>
      <c r="M4906" s="37" t="str">
        <f aca="false">IF($A4906="","",IF($Q4906=0,"UNMAPPED",INDEX(COA_Mapping!$C$7:$C$256,$Q4906)))</f>
        <v/>
      </c>
      <c r="N4906" s="38" t="str">
        <f aca="false">IF($A4906="","",IF($Q4906=0,"",INDEX(COA_Mapping!$E$7:$E$256,$Q4906)))</f>
        <v/>
      </c>
      <c r="O4906" s="38" t="n">
        <f aca="false">IF($A4906="",1,IF($Q4906=0,1,INDEX(COA_Mapping!$F$7:$F$256,$Q4906)))</f>
        <v>1</v>
      </c>
      <c r="P4906" s="34" t="str">
        <f aca="false">IF($A4906="","",$I4906*$O4906)</f>
        <v/>
      </c>
      <c r="Q4906" s="39" t="n">
        <f aca="false">IF($B4906="",0,IFERROR(MATCH($B4906,COA_Mapping!$A$7:$A$256,0),0))</f>
        <v>0</v>
      </c>
      <c r="R4906" s="39" t="n">
        <f aca="false">IF($A4906="",-1,IF($J4906=Setup!$B$7,1,IF($J4906=Setup!$B$9,0,-1)))</f>
        <v>-1</v>
      </c>
      <c r="S4906" s="35" t="n">
        <f aca="false">IF(OR($A4906="",$Q4906=0,$R4906=-1),0,$Q4906*1000+$R4906*100+$K4906)</f>
        <v>0</v>
      </c>
      <c r="T4906" s="37" t="str">
        <f aca="false">IF($A4906="","",IF($B4906="","NO ACCOUNT",IF($Q4906=0,"UNMAPPED",IF($R4906=-1,"OUTSIDE FY RANGE","OK"))))</f>
        <v/>
      </c>
      <c r="U4906" s="40" t="str">
        <f aca="false">IF($A4906="","",$B4906&amp;"|"&amp;TEXT($A4906,"yyyymmdd")&amp;"|"&amp;TEXT($I4906,"0.00"))</f>
        <v/>
      </c>
      <c r="V4906" s="35" t="str">
        <f aca="false">IF($A4906="","",COUNTIF($U$8:$U$5007,$U4906))</f>
        <v/>
      </c>
    </row>
    <row r="4907" customFormat="false" ht="15" hidden="false" customHeight="false" outlineLevel="0" collapsed="false">
      <c r="A4907" s="31"/>
      <c r="B4907" s="32"/>
      <c r="C4907" s="32"/>
      <c r="D4907" s="32"/>
      <c r="E4907" s="32"/>
      <c r="F4907" s="32"/>
      <c r="G4907" s="33"/>
      <c r="H4907" s="33"/>
      <c r="I4907" s="34" t="str">
        <f aca="false">IF($A4907="","",$G4907-$H4907)</f>
        <v/>
      </c>
      <c r="J4907" s="35" t="str">
        <f aca="false">IF($A4907="","",IF(Setup!$B$6=1,YEAR($A4907),YEAR($A4907)+IF(MONTH($A4907)&gt;=Setup!$B$6,1,0)))</f>
        <v/>
      </c>
      <c r="K4907" s="35" t="str">
        <f aca="false">IF($A4907="","",MOD(MONTH($A4907)-Setup!$B$6+12,12)+1)</f>
        <v/>
      </c>
      <c r="L4907" s="36" t="str">
        <f aca="false">IF($A4907="","",TEXT($A4907,"MMM-YY"))</f>
        <v/>
      </c>
      <c r="M4907" s="37" t="str">
        <f aca="false">IF($A4907="","",IF($Q4907=0,"UNMAPPED",INDEX(COA_Mapping!$C$7:$C$256,$Q4907)))</f>
        <v/>
      </c>
      <c r="N4907" s="38" t="str">
        <f aca="false">IF($A4907="","",IF($Q4907=0,"",INDEX(COA_Mapping!$E$7:$E$256,$Q4907)))</f>
        <v/>
      </c>
      <c r="O4907" s="38" t="n">
        <f aca="false">IF($A4907="",1,IF($Q4907=0,1,INDEX(COA_Mapping!$F$7:$F$256,$Q4907)))</f>
        <v>1</v>
      </c>
      <c r="P4907" s="34" t="str">
        <f aca="false">IF($A4907="","",$I4907*$O4907)</f>
        <v/>
      </c>
      <c r="Q4907" s="39" t="n">
        <f aca="false">IF($B4907="",0,IFERROR(MATCH($B4907,COA_Mapping!$A$7:$A$256,0),0))</f>
        <v>0</v>
      </c>
      <c r="R4907" s="39" t="n">
        <f aca="false">IF($A4907="",-1,IF($J4907=Setup!$B$7,1,IF($J4907=Setup!$B$9,0,-1)))</f>
        <v>-1</v>
      </c>
      <c r="S4907" s="35" t="n">
        <f aca="false">IF(OR($A4907="",$Q4907=0,$R4907=-1),0,$Q4907*1000+$R4907*100+$K4907)</f>
        <v>0</v>
      </c>
      <c r="T4907" s="37" t="str">
        <f aca="false">IF($A4907="","",IF($B4907="","NO ACCOUNT",IF($Q4907=0,"UNMAPPED",IF($R4907=-1,"OUTSIDE FY RANGE","OK"))))</f>
        <v/>
      </c>
      <c r="U4907" s="40" t="str">
        <f aca="false">IF($A4907="","",$B4907&amp;"|"&amp;TEXT($A4907,"yyyymmdd")&amp;"|"&amp;TEXT($I4907,"0.00"))</f>
        <v/>
      </c>
      <c r="V4907" s="35" t="str">
        <f aca="false">IF($A4907="","",COUNTIF($U$8:$U$5007,$U4907))</f>
        <v/>
      </c>
    </row>
    <row r="4908" customFormat="false" ht="15" hidden="false" customHeight="false" outlineLevel="0" collapsed="false">
      <c r="A4908" s="31"/>
      <c r="B4908" s="32"/>
      <c r="C4908" s="32"/>
      <c r="D4908" s="32"/>
      <c r="E4908" s="32"/>
      <c r="F4908" s="32"/>
      <c r="G4908" s="33"/>
      <c r="H4908" s="33"/>
      <c r="I4908" s="34" t="str">
        <f aca="false">IF($A4908="","",$G4908-$H4908)</f>
        <v/>
      </c>
      <c r="J4908" s="35" t="str">
        <f aca="false">IF($A4908="","",IF(Setup!$B$6=1,YEAR($A4908),YEAR($A4908)+IF(MONTH($A4908)&gt;=Setup!$B$6,1,0)))</f>
        <v/>
      </c>
      <c r="K4908" s="35" t="str">
        <f aca="false">IF($A4908="","",MOD(MONTH($A4908)-Setup!$B$6+12,12)+1)</f>
        <v/>
      </c>
      <c r="L4908" s="36" t="str">
        <f aca="false">IF($A4908="","",TEXT($A4908,"MMM-YY"))</f>
        <v/>
      </c>
      <c r="M4908" s="37" t="str">
        <f aca="false">IF($A4908="","",IF($Q4908=0,"UNMAPPED",INDEX(COA_Mapping!$C$7:$C$256,$Q4908)))</f>
        <v/>
      </c>
      <c r="N4908" s="38" t="str">
        <f aca="false">IF($A4908="","",IF($Q4908=0,"",INDEX(COA_Mapping!$E$7:$E$256,$Q4908)))</f>
        <v/>
      </c>
      <c r="O4908" s="38" t="n">
        <f aca="false">IF($A4908="",1,IF($Q4908=0,1,INDEX(COA_Mapping!$F$7:$F$256,$Q4908)))</f>
        <v>1</v>
      </c>
      <c r="P4908" s="34" t="str">
        <f aca="false">IF($A4908="","",$I4908*$O4908)</f>
        <v/>
      </c>
      <c r="Q4908" s="39" t="n">
        <f aca="false">IF($B4908="",0,IFERROR(MATCH($B4908,COA_Mapping!$A$7:$A$256,0),0))</f>
        <v>0</v>
      </c>
      <c r="R4908" s="39" t="n">
        <f aca="false">IF($A4908="",-1,IF($J4908=Setup!$B$7,1,IF($J4908=Setup!$B$9,0,-1)))</f>
        <v>-1</v>
      </c>
      <c r="S4908" s="35" t="n">
        <f aca="false">IF(OR($A4908="",$Q4908=0,$R4908=-1),0,$Q4908*1000+$R4908*100+$K4908)</f>
        <v>0</v>
      </c>
      <c r="T4908" s="37" t="str">
        <f aca="false">IF($A4908="","",IF($B4908="","NO ACCOUNT",IF($Q4908=0,"UNMAPPED",IF($R4908=-1,"OUTSIDE FY RANGE","OK"))))</f>
        <v/>
      </c>
      <c r="U4908" s="40" t="str">
        <f aca="false">IF($A4908="","",$B4908&amp;"|"&amp;TEXT($A4908,"yyyymmdd")&amp;"|"&amp;TEXT($I4908,"0.00"))</f>
        <v/>
      </c>
      <c r="V4908" s="35" t="str">
        <f aca="false">IF($A4908="","",COUNTIF($U$8:$U$5007,$U4908))</f>
        <v/>
      </c>
    </row>
    <row r="4909" customFormat="false" ht="15" hidden="false" customHeight="false" outlineLevel="0" collapsed="false">
      <c r="A4909" s="31"/>
      <c r="B4909" s="32"/>
      <c r="C4909" s="32"/>
      <c r="D4909" s="32"/>
      <c r="E4909" s="32"/>
      <c r="F4909" s="32"/>
      <c r="G4909" s="33"/>
      <c r="H4909" s="33"/>
      <c r="I4909" s="34" t="str">
        <f aca="false">IF($A4909="","",$G4909-$H4909)</f>
        <v/>
      </c>
      <c r="J4909" s="35" t="str">
        <f aca="false">IF($A4909="","",IF(Setup!$B$6=1,YEAR($A4909),YEAR($A4909)+IF(MONTH($A4909)&gt;=Setup!$B$6,1,0)))</f>
        <v/>
      </c>
      <c r="K4909" s="35" t="str">
        <f aca="false">IF($A4909="","",MOD(MONTH($A4909)-Setup!$B$6+12,12)+1)</f>
        <v/>
      </c>
      <c r="L4909" s="36" t="str">
        <f aca="false">IF($A4909="","",TEXT($A4909,"MMM-YY"))</f>
        <v/>
      </c>
      <c r="M4909" s="37" t="str">
        <f aca="false">IF($A4909="","",IF($Q4909=0,"UNMAPPED",INDEX(COA_Mapping!$C$7:$C$256,$Q4909)))</f>
        <v/>
      </c>
      <c r="N4909" s="38" t="str">
        <f aca="false">IF($A4909="","",IF($Q4909=0,"",INDEX(COA_Mapping!$E$7:$E$256,$Q4909)))</f>
        <v/>
      </c>
      <c r="O4909" s="38" t="n">
        <f aca="false">IF($A4909="",1,IF($Q4909=0,1,INDEX(COA_Mapping!$F$7:$F$256,$Q4909)))</f>
        <v>1</v>
      </c>
      <c r="P4909" s="34" t="str">
        <f aca="false">IF($A4909="","",$I4909*$O4909)</f>
        <v/>
      </c>
      <c r="Q4909" s="39" t="n">
        <f aca="false">IF($B4909="",0,IFERROR(MATCH($B4909,COA_Mapping!$A$7:$A$256,0),0))</f>
        <v>0</v>
      </c>
      <c r="R4909" s="39" t="n">
        <f aca="false">IF($A4909="",-1,IF($J4909=Setup!$B$7,1,IF($J4909=Setup!$B$9,0,-1)))</f>
        <v>-1</v>
      </c>
      <c r="S4909" s="35" t="n">
        <f aca="false">IF(OR($A4909="",$Q4909=0,$R4909=-1),0,$Q4909*1000+$R4909*100+$K4909)</f>
        <v>0</v>
      </c>
      <c r="T4909" s="37" t="str">
        <f aca="false">IF($A4909="","",IF($B4909="","NO ACCOUNT",IF($Q4909=0,"UNMAPPED",IF($R4909=-1,"OUTSIDE FY RANGE","OK"))))</f>
        <v/>
      </c>
      <c r="U4909" s="40" t="str">
        <f aca="false">IF($A4909="","",$B4909&amp;"|"&amp;TEXT($A4909,"yyyymmdd")&amp;"|"&amp;TEXT($I4909,"0.00"))</f>
        <v/>
      </c>
      <c r="V4909" s="35" t="str">
        <f aca="false">IF($A4909="","",COUNTIF($U$8:$U$5007,$U4909))</f>
        <v/>
      </c>
    </row>
    <row r="4910" customFormat="false" ht="15" hidden="false" customHeight="false" outlineLevel="0" collapsed="false">
      <c r="A4910" s="31"/>
      <c r="B4910" s="32"/>
      <c r="C4910" s="32"/>
      <c r="D4910" s="32"/>
      <c r="E4910" s="32"/>
      <c r="F4910" s="32"/>
      <c r="G4910" s="33"/>
      <c r="H4910" s="33"/>
      <c r="I4910" s="34" t="str">
        <f aca="false">IF($A4910="","",$G4910-$H4910)</f>
        <v/>
      </c>
      <c r="J4910" s="35" t="str">
        <f aca="false">IF($A4910="","",IF(Setup!$B$6=1,YEAR($A4910),YEAR($A4910)+IF(MONTH($A4910)&gt;=Setup!$B$6,1,0)))</f>
        <v/>
      </c>
      <c r="K4910" s="35" t="str">
        <f aca="false">IF($A4910="","",MOD(MONTH($A4910)-Setup!$B$6+12,12)+1)</f>
        <v/>
      </c>
      <c r="L4910" s="36" t="str">
        <f aca="false">IF($A4910="","",TEXT($A4910,"MMM-YY"))</f>
        <v/>
      </c>
      <c r="M4910" s="37" t="str">
        <f aca="false">IF($A4910="","",IF($Q4910=0,"UNMAPPED",INDEX(COA_Mapping!$C$7:$C$256,$Q4910)))</f>
        <v/>
      </c>
      <c r="N4910" s="38" t="str">
        <f aca="false">IF($A4910="","",IF($Q4910=0,"",INDEX(COA_Mapping!$E$7:$E$256,$Q4910)))</f>
        <v/>
      </c>
      <c r="O4910" s="38" t="n">
        <f aca="false">IF($A4910="",1,IF($Q4910=0,1,INDEX(COA_Mapping!$F$7:$F$256,$Q4910)))</f>
        <v>1</v>
      </c>
      <c r="P4910" s="34" t="str">
        <f aca="false">IF($A4910="","",$I4910*$O4910)</f>
        <v/>
      </c>
      <c r="Q4910" s="39" t="n">
        <f aca="false">IF($B4910="",0,IFERROR(MATCH($B4910,COA_Mapping!$A$7:$A$256,0),0))</f>
        <v>0</v>
      </c>
      <c r="R4910" s="39" t="n">
        <f aca="false">IF($A4910="",-1,IF($J4910=Setup!$B$7,1,IF($J4910=Setup!$B$9,0,-1)))</f>
        <v>-1</v>
      </c>
      <c r="S4910" s="35" t="n">
        <f aca="false">IF(OR($A4910="",$Q4910=0,$R4910=-1),0,$Q4910*1000+$R4910*100+$K4910)</f>
        <v>0</v>
      </c>
      <c r="T4910" s="37" t="str">
        <f aca="false">IF($A4910="","",IF($B4910="","NO ACCOUNT",IF($Q4910=0,"UNMAPPED",IF($R4910=-1,"OUTSIDE FY RANGE","OK"))))</f>
        <v/>
      </c>
      <c r="U4910" s="40" t="str">
        <f aca="false">IF($A4910="","",$B4910&amp;"|"&amp;TEXT($A4910,"yyyymmdd")&amp;"|"&amp;TEXT($I4910,"0.00"))</f>
        <v/>
      </c>
      <c r="V4910" s="35" t="str">
        <f aca="false">IF($A4910="","",COUNTIF($U$8:$U$5007,$U4910))</f>
        <v/>
      </c>
    </row>
    <row r="4911" customFormat="false" ht="15" hidden="false" customHeight="false" outlineLevel="0" collapsed="false">
      <c r="A4911" s="31"/>
      <c r="B4911" s="32"/>
      <c r="C4911" s="32"/>
      <c r="D4911" s="32"/>
      <c r="E4911" s="32"/>
      <c r="F4911" s="32"/>
      <c r="G4911" s="33"/>
      <c r="H4911" s="33"/>
      <c r="I4911" s="34" t="str">
        <f aca="false">IF($A4911="","",$G4911-$H4911)</f>
        <v/>
      </c>
      <c r="J4911" s="35" t="str">
        <f aca="false">IF($A4911="","",IF(Setup!$B$6=1,YEAR($A4911),YEAR($A4911)+IF(MONTH($A4911)&gt;=Setup!$B$6,1,0)))</f>
        <v/>
      </c>
      <c r="K4911" s="35" t="str">
        <f aca="false">IF($A4911="","",MOD(MONTH($A4911)-Setup!$B$6+12,12)+1)</f>
        <v/>
      </c>
      <c r="L4911" s="36" t="str">
        <f aca="false">IF($A4911="","",TEXT($A4911,"MMM-YY"))</f>
        <v/>
      </c>
      <c r="M4911" s="37" t="str">
        <f aca="false">IF($A4911="","",IF($Q4911=0,"UNMAPPED",INDEX(COA_Mapping!$C$7:$C$256,$Q4911)))</f>
        <v/>
      </c>
      <c r="N4911" s="38" t="str">
        <f aca="false">IF($A4911="","",IF($Q4911=0,"",INDEX(COA_Mapping!$E$7:$E$256,$Q4911)))</f>
        <v/>
      </c>
      <c r="O4911" s="38" t="n">
        <f aca="false">IF($A4911="",1,IF($Q4911=0,1,INDEX(COA_Mapping!$F$7:$F$256,$Q4911)))</f>
        <v>1</v>
      </c>
      <c r="P4911" s="34" t="str">
        <f aca="false">IF($A4911="","",$I4911*$O4911)</f>
        <v/>
      </c>
      <c r="Q4911" s="39" t="n">
        <f aca="false">IF($B4911="",0,IFERROR(MATCH($B4911,COA_Mapping!$A$7:$A$256,0),0))</f>
        <v>0</v>
      </c>
      <c r="R4911" s="39" t="n">
        <f aca="false">IF($A4911="",-1,IF($J4911=Setup!$B$7,1,IF($J4911=Setup!$B$9,0,-1)))</f>
        <v>-1</v>
      </c>
      <c r="S4911" s="35" t="n">
        <f aca="false">IF(OR($A4911="",$Q4911=0,$R4911=-1),0,$Q4911*1000+$R4911*100+$K4911)</f>
        <v>0</v>
      </c>
      <c r="T4911" s="37" t="str">
        <f aca="false">IF($A4911="","",IF($B4911="","NO ACCOUNT",IF($Q4911=0,"UNMAPPED",IF($R4911=-1,"OUTSIDE FY RANGE","OK"))))</f>
        <v/>
      </c>
      <c r="U4911" s="40" t="str">
        <f aca="false">IF($A4911="","",$B4911&amp;"|"&amp;TEXT($A4911,"yyyymmdd")&amp;"|"&amp;TEXT($I4911,"0.00"))</f>
        <v/>
      </c>
      <c r="V4911" s="35" t="str">
        <f aca="false">IF($A4911="","",COUNTIF($U$8:$U$5007,$U4911))</f>
        <v/>
      </c>
    </row>
    <row r="4912" customFormat="false" ht="15" hidden="false" customHeight="false" outlineLevel="0" collapsed="false">
      <c r="A4912" s="31"/>
      <c r="B4912" s="32"/>
      <c r="C4912" s="32"/>
      <c r="D4912" s="32"/>
      <c r="E4912" s="32"/>
      <c r="F4912" s="32"/>
      <c r="G4912" s="33"/>
      <c r="H4912" s="33"/>
      <c r="I4912" s="34" t="str">
        <f aca="false">IF($A4912="","",$G4912-$H4912)</f>
        <v/>
      </c>
      <c r="J4912" s="35" t="str">
        <f aca="false">IF($A4912="","",IF(Setup!$B$6=1,YEAR($A4912),YEAR($A4912)+IF(MONTH($A4912)&gt;=Setup!$B$6,1,0)))</f>
        <v/>
      </c>
      <c r="K4912" s="35" t="str">
        <f aca="false">IF($A4912="","",MOD(MONTH($A4912)-Setup!$B$6+12,12)+1)</f>
        <v/>
      </c>
      <c r="L4912" s="36" t="str">
        <f aca="false">IF($A4912="","",TEXT($A4912,"MMM-YY"))</f>
        <v/>
      </c>
      <c r="M4912" s="37" t="str">
        <f aca="false">IF($A4912="","",IF($Q4912=0,"UNMAPPED",INDEX(COA_Mapping!$C$7:$C$256,$Q4912)))</f>
        <v/>
      </c>
      <c r="N4912" s="38" t="str">
        <f aca="false">IF($A4912="","",IF($Q4912=0,"",INDEX(COA_Mapping!$E$7:$E$256,$Q4912)))</f>
        <v/>
      </c>
      <c r="O4912" s="38" t="n">
        <f aca="false">IF($A4912="",1,IF($Q4912=0,1,INDEX(COA_Mapping!$F$7:$F$256,$Q4912)))</f>
        <v>1</v>
      </c>
      <c r="P4912" s="34" t="str">
        <f aca="false">IF($A4912="","",$I4912*$O4912)</f>
        <v/>
      </c>
      <c r="Q4912" s="39" t="n">
        <f aca="false">IF($B4912="",0,IFERROR(MATCH($B4912,COA_Mapping!$A$7:$A$256,0),0))</f>
        <v>0</v>
      </c>
      <c r="R4912" s="39" t="n">
        <f aca="false">IF($A4912="",-1,IF($J4912=Setup!$B$7,1,IF($J4912=Setup!$B$9,0,-1)))</f>
        <v>-1</v>
      </c>
      <c r="S4912" s="35" t="n">
        <f aca="false">IF(OR($A4912="",$Q4912=0,$R4912=-1),0,$Q4912*1000+$R4912*100+$K4912)</f>
        <v>0</v>
      </c>
      <c r="T4912" s="37" t="str">
        <f aca="false">IF($A4912="","",IF($B4912="","NO ACCOUNT",IF($Q4912=0,"UNMAPPED",IF($R4912=-1,"OUTSIDE FY RANGE","OK"))))</f>
        <v/>
      </c>
      <c r="U4912" s="40" t="str">
        <f aca="false">IF($A4912="","",$B4912&amp;"|"&amp;TEXT($A4912,"yyyymmdd")&amp;"|"&amp;TEXT($I4912,"0.00"))</f>
        <v/>
      </c>
      <c r="V4912" s="35" t="str">
        <f aca="false">IF($A4912="","",COUNTIF($U$8:$U$5007,$U4912))</f>
        <v/>
      </c>
    </row>
    <row r="4913" customFormat="false" ht="15" hidden="false" customHeight="false" outlineLevel="0" collapsed="false">
      <c r="A4913" s="31"/>
      <c r="B4913" s="32"/>
      <c r="C4913" s="32"/>
      <c r="D4913" s="32"/>
      <c r="E4913" s="32"/>
      <c r="F4913" s="32"/>
      <c r="G4913" s="33"/>
      <c r="H4913" s="33"/>
      <c r="I4913" s="34" t="str">
        <f aca="false">IF($A4913="","",$G4913-$H4913)</f>
        <v/>
      </c>
      <c r="J4913" s="35" t="str">
        <f aca="false">IF($A4913="","",IF(Setup!$B$6=1,YEAR($A4913),YEAR($A4913)+IF(MONTH($A4913)&gt;=Setup!$B$6,1,0)))</f>
        <v/>
      </c>
      <c r="K4913" s="35" t="str">
        <f aca="false">IF($A4913="","",MOD(MONTH($A4913)-Setup!$B$6+12,12)+1)</f>
        <v/>
      </c>
      <c r="L4913" s="36" t="str">
        <f aca="false">IF($A4913="","",TEXT($A4913,"MMM-YY"))</f>
        <v/>
      </c>
      <c r="M4913" s="37" t="str">
        <f aca="false">IF($A4913="","",IF($Q4913=0,"UNMAPPED",INDEX(COA_Mapping!$C$7:$C$256,$Q4913)))</f>
        <v/>
      </c>
      <c r="N4913" s="38" t="str">
        <f aca="false">IF($A4913="","",IF($Q4913=0,"",INDEX(COA_Mapping!$E$7:$E$256,$Q4913)))</f>
        <v/>
      </c>
      <c r="O4913" s="38" t="n">
        <f aca="false">IF($A4913="",1,IF($Q4913=0,1,INDEX(COA_Mapping!$F$7:$F$256,$Q4913)))</f>
        <v>1</v>
      </c>
      <c r="P4913" s="34" t="str">
        <f aca="false">IF($A4913="","",$I4913*$O4913)</f>
        <v/>
      </c>
      <c r="Q4913" s="39" t="n">
        <f aca="false">IF($B4913="",0,IFERROR(MATCH($B4913,COA_Mapping!$A$7:$A$256,0),0))</f>
        <v>0</v>
      </c>
      <c r="R4913" s="39" t="n">
        <f aca="false">IF($A4913="",-1,IF($J4913=Setup!$B$7,1,IF($J4913=Setup!$B$9,0,-1)))</f>
        <v>-1</v>
      </c>
      <c r="S4913" s="35" t="n">
        <f aca="false">IF(OR($A4913="",$Q4913=0,$R4913=-1),0,$Q4913*1000+$R4913*100+$K4913)</f>
        <v>0</v>
      </c>
      <c r="T4913" s="37" t="str">
        <f aca="false">IF($A4913="","",IF($B4913="","NO ACCOUNT",IF($Q4913=0,"UNMAPPED",IF($R4913=-1,"OUTSIDE FY RANGE","OK"))))</f>
        <v/>
      </c>
      <c r="U4913" s="40" t="str">
        <f aca="false">IF($A4913="","",$B4913&amp;"|"&amp;TEXT($A4913,"yyyymmdd")&amp;"|"&amp;TEXT($I4913,"0.00"))</f>
        <v/>
      </c>
      <c r="V4913" s="35" t="str">
        <f aca="false">IF($A4913="","",COUNTIF($U$8:$U$5007,$U4913))</f>
        <v/>
      </c>
    </row>
    <row r="4914" customFormat="false" ht="15" hidden="false" customHeight="false" outlineLevel="0" collapsed="false">
      <c r="A4914" s="31"/>
      <c r="B4914" s="32"/>
      <c r="C4914" s="32"/>
      <c r="D4914" s="32"/>
      <c r="E4914" s="32"/>
      <c r="F4914" s="32"/>
      <c r="G4914" s="33"/>
      <c r="H4914" s="33"/>
      <c r="I4914" s="34" t="str">
        <f aca="false">IF($A4914="","",$G4914-$H4914)</f>
        <v/>
      </c>
      <c r="J4914" s="35" t="str">
        <f aca="false">IF($A4914="","",IF(Setup!$B$6=1,YEAR($A4914),YEAR($A4914)+IF(MONTH($A4914)&gt;=Setup!$B$6,1,0)))</f>
        <v/>
      </c>
      <c r="K4914" s="35" t="str">
        <f aca="false">IF($A4914="","",MOD(MONTH($A4914)-Setup!$B$6+12,12)+1)</f>
        <v/>
      </c>
      <c r="L4914" s="36" t="str">
        <f aca="false">IF($A4914="","",TEXT($A4914,"MMM-YY"))</f>
        <v/>
      </c>
      <c r="M4914" s="37" t="str">
        <f aca="false">IF($A4914="","",IF($Q4914=0,"UNMAPPED",INDEX(COA_Mapping!$C$7:$C$256,$Q4914)))</f>
        <v/>
      </c>
      <c r="N4914" s="38" t="str">
        <f aca="false">IF($A4914="","",IF($Q4914=0,"",INDEX(COA_Mapping!$E$7:$E$256,$Q4914)))</f>
        <v/>
      </c>
      <c r="O4914" s="38" t="n">
        <f aca="false">IF($A4914="",1,IF($Q4914=0,1,INDEX(COA_Mapping!$F$7:$F$256,$Q4914)))</f>
        <v>1</v>
      </c>
      <c r="P4914" s="34" t="str">
        <f aca="false">IF($A4914="","",$I4914*$O4914)</f>
        <v/>
      </c>
      <c r="Q4914" s="39" t="n">
        <f aca="false">IF($B4914="",0,IFERROR(MATCH($B4914,COA_Mapping!$A$7:$A$256,0),0))</f>
        <v>0</v>
      </c>
      <c r="R4914" s="39" t="n">
        <f aca="false">IF($A4914="",-1,IF($J4914=Setup!$B$7,1,IF($J4914=Setup!$B$9,0,-1)))</f>
        <v>-1</v>
      </c>
      <c r="S4914" s="35" t="n">
        <f aca="false">IF(OR($A4914="",$Q4914=0,$R4914=-1),0,$Q4914*1000+$R4914*100+$K4914)</f>
        <v>0</v>
      </c>
      <c r="T4914" s="37" t="str">
        <f aca="false">IF($A4914="","",IF($B4914="","NO ACCOUNT",IF($Q4914=0,"UNMAPPED",IF($R4914=-1,"OUTSIDE FY RANGE","OK"))))</f>
        <v/>
      </c>
      <c r="U4914" s="40" t="str">
        <f aca="false">IF($A4914="","",$B4914&amp;"|"&amp;TEXT($A4914,"yyyymmdd")&amp;"|"&amp;TEXT($I4914,"0.00"))</f>
        <v/>
      </c>
      <c r="V4914" s="35" t="str">
        <f aca="false">IF($A4914="","",COUNTIF($U$8:$U$5007,$U4914))</f>
        <v/>
      </c>
    </row>
    <row r="4915" customFormat="false" ht="15" hidden="false" customHeight="false" outlineLevel="0" collapsed="false">
      <c r="A4915" s="31"/>
      <c r="B4915" s="32"/>
      <c r="C4915" s="32"/>
      <c r="D4915" s="32"/>
      <c r="E4915" s="32"/>
      <c r="F4915" s="32"/>
      <c r="G4915" s="33"/>
      <c r="H4915" s="33"/>
      <c r="I4915" s="34" t="str">
        <f aca="false">IF($A4915="","",$G4915-$H4915)</f>
        <v/>
      </c>
      <c r="J4915" s="35" t="str">
        <f aca="false">IF($A4915="","",IF(Setup!$B$6=1,YEAR($A4915),YEAR($A4915)+IF(MONTH($A4915)&gt;=Setup!$B$6,1,0)))</f>
        <v/>
      </c>
      <c r="K4915" s="35" t="str">
        <f aca="false">IF($A4915="","",MOD(MONTH($A4915)-Setup!$B$6+12,12)+1)</f>
        <v/>
      </c>
      <c r="L4915" s="36" t="str">
        <f aca="false">IF($A4915="","",TEXT($A4915,"MMM-YY"))</f>
        <v/>
      </c>
      <c r="M4915" s="37" t="str">
        <f aca="false">IF($A4915="","",IF($Q4915=0,"UNMAPPED",INDEX(COA_Mapping!$C$7:$C$256,$Q4915)))</f>
        <v/>
      </c>
      <c r="N4915" s="38" t="str">
        <f aca="false">IF($A4915="","",IF($Q4915=0,"",INDEX(COA_Mapping!$E$7:$E$256,$Q4915)))</f>
        <v/>
      </c>
      <c r="O4915" s="38" t="n">
        <f aca="false">IF($A4915="",1,IF($Q4915=0,1,INDEX(COA_Mapping!$F$7:$F$256,$Q4915)))</f>
        <v>1</v>
      </c>
      <c r="P4915" s="34" t="str">
        <f aca="false">IF($A4915="","",$I4915*$O4915)</f>
        <v/>
      </c>
      <c r="Q4915" s="39" t="n">
        <f aca="false">IF($B4915="",0,IFERROR(MATCH($B4915,COA_Mapping!$A$7:$A$256,0),0))</f>
        <v>0</v>
      </c>
      <c r="R4915" s="39" t="n">
        <f aca="false">IF($A4915="",-1,IF($J4915=Setup!$B$7,1,IF($J4915=Setup!$B$9,0,-1)))</f>
        <v>-1</v>
      </c>
      <c r="S4915" s="35" t="n">
        <f aca="false">IF(OR($A4915="",$Q4915=0,$R4915=-1),0,$Q4915*1000+$R4915*100+$K4915)</f>
        <v>0</v>
      </c>
      <c r="T4915" s="37" t="str">
        <f aca="false">IF($A4915="","",IF($B4915="","NO ACCOUNT",IF($Q4915=0,"UNMAPPED",IF($R4915=-1,"OUTSIDE FY RANGE","OK"))))</f>
        <v/>
      </c>
      <c r="U4915" s="40" t="str">
        <f aca="false">IF($A4915="","",$B4915&amp;"|"&amp;TEXT($A4915,"yyyymmdd")&amp;"|"&amp;TEXT($I4915,"0.00"))</f>
        <v/>
      </c>
      <c r="V4915" s="35" t="str">
        <f aca="false">IF($A4915="","",COUNTIF($U$8:$U$5007,$U4915))</f>
        <v/>
      </c>
    </row>
    <row r="4916" customFormat="false" ht="15" hidden="false" customHeight="false" outlineLevel="0" collapsed="false">
      <c r="A4916" s="31"/>
      <c r="B4916" s="32"/>
      <c r="C4916" s="32"/>
      <c r="D4916" s="32"/>
      <c r="E4916" s="32"/>
      <c r="F4916" s="32"/>
      <c r="G4916" s="33"/>
      <c r="H4916" s="33"/>
      <c r="I4916" s="34" t="str">
        <f aca="false">IF($A4916="","",$G4916-$H4916)</f>
        <v/>
      </c>
      <c r="J4916" s="35" t="str">
        <f aca="false">IF($A4916="","",IF(Setup!$B$6=1,YEAR($A4916),YEAR($A4916)+IF(MONTH($A4916)&gt;=Setup!$B$6,1,0)))</f>
        <v/>
      </c>
      <c r="K4916" s="35" t="str">
        <f aca="false">IF($A4916="","",MOD(MONTH($A4916)-Setup!$B$6+12,12)+1)</f>
        <v/>
      </c>
      <c r="L4916" s="36" t="str">
        <f aca="false">IF($A4916="","",TEXT($A4916,"MMM-YY"))</f>
        <v/>
      </c>
      <c r="M4916" s="37" t="str">
        <f aca="false">IF($A4916="","",IF($Q4916=0,"UNMAPPED",INDEX(COA_Mapping!$C$7:$C$256,$Q4916)))</f>
        <v/>
      </c>
      <c r="N4916" s="38" t="str">
        <f aca="false">IF($A4916="","",IF($Q4916=0,"",INDEX(COA_Mapping!$E$7:$E$256,$Q4916)))</f>
        <v/>
      </c>
      <c r="O4916" s="38" t="n">
        <f aca="false">IF($A4916="",1,IF($Q4916=0,1,INDEX(COA_Mapping!$F$7:$F$256,$Q4916)))</f>
        <v>1</v>
      </c>
      <c r="P4916" s="34" t="str">
        <f aca="false">IF($A4916="","",$I4916*$O4916)</f>
        <v/>
      </c>
      <c r="Q4916" s="39" t="n">
        <f aca="false">IF($B4916="",0,IFERROR(MATCH($B4916,COA_Mapping!$A$7:$A$256,0),0))</f>
        <v>0</v>
      </c>
      <c r="R4916" s="39" t="n">
        <f aca="false">IF($A4916="",-1,IF($J4916=Setup!$B$7,1,IF($J4916=Setup!$B$9,0,-1)))</f>
        <v>-1</v>
      </c>
      <c r="S4916" s="35" t="n">
        <f aca="false">IF(OR($A4916="",$Q4916=0,$R4916=-1),0,$Q4916*1000+$R4916*100+$K4916)</f>
        <v>0</v>
      </c>
      <c r="T4916" s="37" t="str">
        <f aca="false">IF($A4916="","",IF($B4916="","NO ACCOUNT",IF($Q4916=0,"UNMAPPED",IF($R4916=-1,"OUTSIDE FY RANGE","OK"))))</f>
        <v/>
      </c>
      <c r="U4916" s="40" t="str">
        <f aca="false">IF($A4916="","",$B4916&amp;"|"&amp;TEXT($A4916,"yyyymmdd")&amp;"|"&amp;TEXT($I4916,"0.00"))</f>
        <v/>
      </c>
      <c r="V4916" s="35" t="str">
        <f aca="false">IF($A4916="","",COUNTIF($U$8:$U$5007,$U4916))</f>
        <v/>
      </c>
    </row>
    <row r="4917" customFormat="false" ht="15" hidden="false" customHeight="false" outlineLevel="0" collapsed="false">
      <c r="A4917" s="31"/>
      <c r="B4917" s="32"/>
      <c r="C4917" s="32"/>
      <c r="D4917" s="32"/>
      <c r="E4917" s="32"/>
      <c r="F4917" s="32"/>
      <c r="G4917" s="33"/>
      <c r="H4917" s="33"/>
      <c r="I4917" s="34" t="str">
        <f aca="false">IF($A4917="","",$G4917-$H4917)</f>
        <v/>
      </c>
      <c r="J4917" s="35" t="str">
        <f aca="false">IF($A4917="","",IF(Setup!$B$6=1,YEAR($A4917),YEAR($A4917)+IF(MONTH($A4917)&gt;=Setup!$B$6,1,0)))</f>
        <v/>
      </c>
      <c r="K4917" s="35" t="str">
        <f aca="false">IF($A4917="","",MOD(MONTH($A4917)-Setup!$B$6+12,12)+1)</f>
        <v/>
      </c>
      <c r="L4917" s="36" t="str">
        <f aca="false">IF($A4917="","",TEXT($A4917,"MMM-YY"))</f>
        <v/>
      </c>
      <c r="M4917" s="37" t="str">
        <f aca="false">IF($A4917="","",IF($Q4917=0,"UNMAPPED",INDEX(COA_Mapping!$C$7:$C$256,$Q4917)))</f>
        <v/>
      </c>
      <c r="N4917" s="38" t="str">
        <f aca="false">IF($A4917="","",IF($Q4917=0,"",INDEX(COA_Mapping!$E$7:$E$256,$Q4917)))</f>
        <v/>
      </c>
      <c r="O4917" s="38" t="n">
        <f aca="false">IF($A4917="",1,IF($Q4917=0,1,INDEX(COA_Mapping!$F$7:$F$256,$Q4917)))</f>
        <v>1</v>
      </c>
      <c r="P4917" s="34" t="str">
        <f aca="false">IF($A4917="","",$I4917*$O4917)</f>
        <v/>
      </c>
      <c r="Q4917" s="39" t="n">
        <f aca="false">IF($B4917="",0,IFERROR(MATCH($B4917,COA_Mapping!$A$7:$A$256,0),0))</f>
        <v>0</v>
      </c>
      <c r="R4917" s="39" t="n">
        <f aca="false">IF($A4917="",-1,IF($J4917=Setup!$B$7,1,IF($J4917=Setup!$B$9,0,-1)))</f>
        <v>-1</v>
      </c>
      <c r="S4917" s="35" t="n">
        <f aca="false">IF(OR($A4917="",$Q4917=0,$R4917=-1),0,$Q4917*1000+$R4917*100+$K4917)</f>
        <v>0</v>
      </c>
      <c r="T4917" s="37" t="str">
        <f aca="false">IF($A4917="","",IF($B4917="","NO ACCOUNT",IF($Q4917=0,"UNMAPPED",IF($R4917=-1,"OUTSIDE FY RANGE","OK"))))</f>
        <v/>
      </c>
      <c r="U4917" s="40" t="str">
        <f aca="false">IF($A4917="","",$B4917&amp;"|"&amp;TEXT($A4917,"yyyymmdd")&amp;"|"&amp;TEXT($I4917,"0.00"))</f>
        <v/>
      </c>
      <c r="V4917" s="35" t="str">
        <f aca="false">IF($A4917="","",COUNTIF($U$8:$U$5007,$U4917))</f>
        <v/>
      </c>
    </row>
    <row r="4918" customFormat="false" ht="15" hidden="false" customHeight="false" outlineLevel="0" collapsed="false">
      <c r="A4918" s="31"/>
      <c r="B4918" s="32"/>
      <c r="C4918" s="32"/>
      <c r="D4918" s="32"/>
      <c r="E4918" s="32"/>
      <c r="F4918" s="32"/>
      <c r="G4918" s="33"/>
      <c r="H4918" s="33"/>
      <c r="I4918" s="34" t="str">
        <f aca="false">IF($A4918="","",$G4918-$H4918)</f>
        <v/>
      </c>
      <c r="J4918" s="35" t="str">
        <f aca="false">IF($A4918="","",IF(Setup!$B$6=1,YEAR($A4918),YEAR($A4918)+IF(MONTH($A4918)&gt;=Setup!$B$6,1,0)))</f>
        <v/>
      </c>
      <c r="K4918" s="35" t="str">
        <f aca="false">IF($A4918="","",MOD(MONTH($A4918)-Setup!$B$6+12,12)+1)</f>
        <v/>
      </c>
      <c r="L4918" s="36" t="str">
        <f aca="false">IF($A4918="","",TEXT($A4918,"MMM-YY"))</f>
        <v/>
      </c>
      <c r="M4918" s="37" t="str">
        <f aca="false">IF($A4918="","",IF($Q4918=0,"UNMAPPED",INDEX(COA_Mapping!$C$7:$C$256,$Q4918)))</f>
        <v/>
      </c>
      <c r="N4918" s="38" t="str">
        <f aca="false">IF($A4918="","",IF($Q4918=0,"",INDEX(COA_Mapping!$E$7:$E$256,$Q4918)))</f>
        <v/>
      </c>
      <c r="O4918" s="38" t="n">
        <f aca="false">IF($A4918="",1,IF($Q4918=0,1,INDEX(COA_Mapping!$F$7:$F$256,$Q4918)))</f>
        <v>1</v>
      </c>
      <c r="P4918" s="34" t="str">
        <f aca="false">IF($A4918="","",$I4918*$O4918)</f>
        <v/>
      </c>
      <c r="Q4918" s="39" t="n">
        <f aca="false">IF($B4918="",0,IFERROR(MATCH($B4918,COA_Mapping!$A$7:$A$256,0),0))</f>
        <v>0</v>
      </c>
      <c r="R4918" s="39" t="n">
        <f aca="false">IF($A4918="",-1,IF($J4918=Setup!$B$7,1,IF($J4918=Setup!$B$9,0,-1)))</f>
        <v>-1</v>
      </c>
      <c r="S4918" s="35" t="n">
        <f aca="false">IF(OR($A4918="",$Q4918=0,$R4918=-1),0,$Q4918*1000+$R4918*100+$K4918)</f>
        <v>0</v>
      </c>
      <c r="T4918" s="37" t="str">
        <f aca="false">IF($A4918="","",IF($B4918="","NO ACCOUNT",IF($Q4918=0,"UNMAPPED",IF($R4918=-1,"OUTSIDE FY RANGE","OK"))))</f>
        <v/>
      </c>
      <c r="U4918" s="40" t="str">
        <f aca="false">IF($A4918="","",$B4918&amp;"|"&amp;TEXT($A4918,"yyyymmdd")&amp;"|"&amp;TEXT($I4918,"0.00"))</f>
        <v/>
      </c>
      <c r="V4918" s="35" t="str">
        <f aca="false">IF($A4918="","",COUNTIF($U$8:$U$5007,$U4918))</f>
        <v/>
      </c>
    </row>
    <row r="4919" customFormat="false" ht="15" hidden="false" customHeight="false" outlineLevel="0" collapsed="false">
      <c r="A4919" s="31"/>
      <c r="B4919" s="32"/>
      <c r="C4919" s="32"/>
      <c r="D4919" s="32"/>
      <c r="E4919" s="32"/>
      <c r="F4919" s="32"/>
      <c r="G4919" s="33"/>
      <c r="H4919" s="33"/>
      <c r="I4919" s="34" t="str">
        <f aca="false">IF($A4919="","",$G4919-$H4919)</f>
        <v/>
      </c>
      <c r="J4919" s="35" t="str">
        <f aca="false">IF($A4919="","",IF(Setup!$B$6=1,YEAR($A4919),YEAR($A4919)+IF(MONTH($A4919)&gt;=Setup!$B$6,1,0)))</f>
        <v/>
      </c>
      <c r="K4919" s="35" t="str">
        <f aca="false">IF($A4919="","",MOD(MONTH($A4919)-Setup!$B$6+12,12)+1)</f>
        <v/>
      </c>
      <c r="L4919" s="36" t="str">
        <f aca="false">IF($A4919="","",TEXT($A4919,"MMM-YY"))</f>
        <v/>
      </c>
      <c r="M4919" s="37" t="str">
        <f aca="false">IF($A4919="","",IF($Q4919=0,"UNMAPPED",INDEX(COA_Mapping!$C$7:$C$256,$Q4919)))</f>
        <v/>
      </c>
      <c r="N4919" s="38" t="str">
        <f aca="false">IF($A4919="","",IF($Q4919=0,"",INDEX(COA_Mapping!$E$7:$E$256,$Q4919)))</f>
        <v/>
      </c>
      <c r="O4919" s="38" t="n">
        <f aca="false">IF($A4919="",1,IF($Q4919=0,1,INDEX(COA_Mapping!$F$7:$F$256,$Q4919)))</f>
        <v>1</v>
      </c>
      <c r="P4919" s="34" t="str">
        <f aca="false">IF($A4919="","",$I4919*$O4919)</f>
        <v/>
      </c>
      <c r="Q4919" s="39" t="n">
        <f aca="false">IF($B4919="",0,IFERROR(MATCH($B4919,COA_Mapping!$A$7:$A$256,0),0))</f>
        <v>0</v>
      </c>
      <c r="R4919" s="39" t="n">
        <f aca="false">IF($A4919="",-1,IF($J4919=Setup!$B$7,1,IF($J4919=Setup!$B$9,0,-1)))</f>
        <v>-1</v>
      </c>
      <c r="S4919" s="35" t="n">
        <f aca="false">IF(OR($A4919="",$Q4919=0,$R4919=-1),0,$Q4919*1000+$R4919*100+$K4919)</f>
        <v>0</v>
      </c>
      <c r="T4919" s="37" t="str">
        <f aca="false">IF($A4919="","",IF($B4919="","NO ACCOUNT",IF($Q4919=0,"UNMAPPED",IF($R4919=-1,"OUTSIDE FY RANGE","OK"))))</f>
        <v/>
      </c>
      <c r="U4919" s="40" t="str">
        <f aca="false">IF($A4919="","",$B4919&amp;"|"&amp;TEXT($A4919,"yyyymmdd")&amp;"|"&amp;TEXT($I4919,"0.00"))</f>
        <v/>
      </c>
      <c r="V4919" s="35" t="str">
        <f aca="false">IF($A4919="","",COUNTIF($U$8:$U$5007,$U4919))</f>
        <v/>
      </c>
    </row>
    <row r="4920" customFormat="false" ht="15" hidden="false" customHeight="false" outlineLevel="0" collapsed="false">
      <c r="A4920" s="31"/>
      <c r="B4920" s="32"/>
      <c r="C4920" s="32"/>
      <c r="D4920" s="32"/>
      <c r="E4920" s="32"/>
      <c r="F4920" s="32"/>
      <c r="G4920" s="33"/>
      <c r="H4920" s="33"/>
      <c r="I4920" s="34" t="str">
        <f aca="false">IF($A4920="","",$G4920-$H4920)</f>
        <v/>
      </c>
      <c r="J4920" s="35" t="str">
        <f aca="false">IF($A4920="","",IF(Setup!$B$6=1,YEAR($A4920),YEAR($A4920)+IF(MONTH($A4920)&gt;=Setup!$B$6,1,0)))</f>
        <v/>
      </c>
      <c r="K4920" s="35" t="str">
        <f aca="false">IF($A4920="","",MOD(MONTH($A4920)-Setup!$B$6+12,12)+1)</f>
        <v/>
      </c>
      <c r="L4920" s="36" t="str">
        <f aca="false">IF($A4920="","",TEXT($A4920,"MMM-YY"))</f>
        <v/>
      </c>
      <c r="M4920" s="37" t="str">
        <f aca="false">IF($A4920="","",IF($Q4920=0,"UNMAPPED",INDEX(COA_Mapping!$C$7:$C$256,$Q4920)))</f>
        <v/>
      </c>
      <c r="N4920" s="38" t="str">
        <f aca="false">IF($A4920="","",IF($Q4920=0,"",INDEX(COA_Mapping!$E$7:$E$256,$Q4920)))</f>
        <v/>
      </c>
      <c r="O4920" s="38" t="n">
        <f aca="false">IF($A4920="",1,IF($Q4920=0,1,INDEX(COA_Mapping!$F$7:$F$256,$Q4920)))</f>
        <v>1</v>
      </c>
      <c r="P4920" s="34" t="str">
        <f aca="false">IF($A4920="","",$I4920*$O4920)</f>
        <v/>
      </c>
      <c r="Q4920" s="39" t="n">
        <f aca="false">IF($B4920="",0,IFERROR(MATCH($B4920,COA_Mapping!$A$7:$A$256,0),0))</f>
        <v>0</v>
      </c>
      <c r="R4920" s="39" t="n">
        <f aca="false">IF($A4920="",-1,IF($J4920=Setup!$B$7,1,IF($J4920=Setup!$B$9,0,-1)))</f>
        <v>-1</v>
      </c>
      <c r="S4920" s="35" t="n">
        <f aca="false">IF(OR($A4920="",$Q4920=0,$R4920=-1),0,$Q4920*1000+$R4920*100+$K4920)</f>
        <v>0</v>
      </c>
      <c r="T4920" s="37" t="str">
        <f aca="false">IF($A4920="","",IF($B4920="","NO ACCOUNT",IF($Q4920=0,"UNMAPPED",IF($R4920=-1,"OUTSIDE FY RANGE","OK"))))</f>
        <v/>
      </c>
      <c r="U4920" s="40" t="str">
        <f aca="false">IF($A4920="","",$B4920&amp;"|"&amp;TEXT($A4920,"yyyymmdd")&amp;"|"&amp;TEXT($I4920,"0.00"))</f>
        <v/>
      </c>
      <c r="V4920" s="35" t="str">
        <f aca="false">IF($A4920="","",COUNTIF($U$8:$U$5007,$U4920))</f>
        <v/>
      </c>
    </row>
    <row r="4921" customFormat="false" ht="15" hidden="false" customHeight="false" outlineLevel="0" collapsed="false">
      <c r="A4921" s="31"/>
      <c r="B4921" s="32"/>
      <c r="C4921" s="32"/>
      <c r="D4921" s="32"/>
      <c r="E4921" s="32"/>
      <c r="F4921" s="32"/>
      <c r="G4921" s="33"/>
      <c r="H4921" s="33"/>
      <c r="I4921" s="34" t="str">
        <f aca="false">IF($A4921="","",$G4921-$H4921)</f>
        <v/>
      </c>
      <c r="J4921" s="35" t="str">
        <f aca="false">IF($A4921="","",IF(Setup!$B$6=1,YEAR($A4921),YEAR($A4921)+IF(MONTH($A4921)&gt;=Setup!$B$6,1,0)))</f>
        <v/>
      </c>
      <c r="K4921" s="35" t="str">
        <f aca="false">IF($A4921="","",MOD(MONTH($A4921)-Setup!$B$6+12,12)+1)</f>
        <v/>
      </c>
      <c r="L4921" s="36" t="str">
        <f aca="false">IF($A4921="","",TEXT($A4921,"MMM-YY"))</f>
        <v/>
      </c>
      <c r="M4921" s="37" t="str">
        <f aca="false">IF($A4921="","",IF($Q4921=0,"UNMAPPED",INDEX(COA_Mapping!$C$7:$C$256,$Q4921)))</f>
        <v/>
      </c>
      <c r="N4921" s="38" t="str">
        <f aca="false">IF($A4921="","",IF($Q4921=0,"",INDEX(COA_Mapping!$E$7:$E$256,$Q4921)))</f>
        <v/>
      </c>
      <c r="O4921" s="38" t="n">
        <f aca="false">IF($A4921="",1,IF($Q4921=0,1,INDEX(COA_Mapping!$F$7:$F$256,$Q4921)))</f>
        <v>1</v>
      </c>
      <c r="P4921" s="34" t="str">
        <f aca="false">IF($A4921="","",$I4921*$O4921)</f>
        <v/>
      </c>
      <c r="Q4921" s="39" t="n">
        <f aca="false">IF($B4921="",0,IFERROR(MATCH($B4921,COA_Mapping!$A$7:$A$256,0),0))</f>
        <v>0</v>
      </c>
      <c r="R4921" s="39" t="n">
        <f aca="false">IF($A4921="",-1,IF($J4921=Setup!$B$7,1,IF($J4921=Setup!$B$9,0,-1)))</f>
        <v>-1</v>
      </c>
      <c r="S4921" s="35" t="n">
        <f aca="false">IF(OR($A4921="",$Q4921=0,$R4921=-1),0,$Q4921*1000+$R4921*100+$K4921)</f>
        <v>0</v>
      </c>
      <c r="T4921" s="37" t="str">
        <f aca="false">IF($A4921="","",IF($B4921="","NO ACCOUNT",IF($Q4921=0,"UNMAPPED",IF($R4921=-1,"OUTSIDE FY RANGE","OK"))))</f>
        <v/>
      </c>
      <c r="U4921" s="40" t="str">
        <f aca="false">IF($A4921="","",$B4921&amp;"|"&amp;TEXT($A4921,"yyyymmdd")&amp;"|"&amp;TEXT($I4921,"0.00"))</f>
        <v/>
      </c>
      <c r="V4921" s="35" t="str">
        <f aca="false">IF($A4921="","",COUNTIF($U$8:$U$5007,$U4921))</f>
        <v/>
      </c>
    </row>
    <row r="4922" customFormat="false" ht="15" hidden="false" customHeight="false" outlineLevel="0" collapsed="false">
      <c r="A4922" s="31"/>
      <c r="B4922" s="32"/>
      <c r="C4922" s="32"/>
      <c r="D4922" s="32"/>
      <c r="E4922" s="32"/>
      <c r="F4922" s="32"/>
      <c r="G4922" s="33"/>
      <c r="H4922" s="33"/>
      <c r="I4922" s="34" t="str">
        <f aca="false">IF($A4922="","",$G4922-$H4922)</f>
        <v/>
      </c>
      <c r="J4922" s="35" t="str">
        <f aca="false">IF($A4922="","",IF(Setup!$B$6=1,YEAR($A4922),YEAR($A4922)+IF(MONTH($A4922)&gt;=Setup!$B$6,1,0)))</f>
        <v/>
      </c>
      <c r="K4922" s="35" t="str">
        <f aca="false">IF($A4922="","",MOD(MONTH($A4922)-Setup!$B$6+12,12)+1)</f>
        <v/>
      </c>
      <c r="L4922" s="36" t="str">
        <f aca="false">IF($A4922="","",TEXT($A4922,"MMM-YY"))</f>
        <v/>
      </c>
      <c r="M4922" s="37" t="str">
        <f aca="false">IF($A4922="","",IF($Q4922=0,"UNMAPPED",INDEX(COA_Mapping!$C$7:$C$256,$Q4922)))</f>
        <v/>
      </c>
      <c r="N4922" s="38" t="str">
        <f aca="false">IF($A4922="","",IF($Q4922=0,"",INDEX(COA_Mapping!$E$7:$E$256,$Q4922)))</f>
        <v/>
      </c>
      <c r="O4922" s="38" t="n">
        <f aca="false">IF($A4922="",1,IF($Q4922=0,1,INDEX(COA_Mapping!$F$7:$F$256,$Q4922)))</f>
        <v>1</v>
      </c>
      <c r="P4922" s="34" t="str">
        <f aca="false">IF($A4922="","",$I4922*$O4922)</f>
        <v/>
      </c>
      <c r="Q4922" s="39" t="n">
        <f aca="false">IF($B4922="",0,IFERROR(MATCH($B4922,COA_Mapping!$A$7:$A$256,0),0))</f>
        <v>0</v>
      </c>
      <c r="R4922" s="39" t="n">
        <f aca="false">IF($A4922="",-1,IF($J4922=Setup!$B$7,1,IF($J4922=Setup!$B$9,0,-1)))</f>
        <v>-1</v>
      </c>
      <c r="S4922" s="35" t="n">
        <f aca="false">IF(OR($A4922="",$Q4922=0,$R4922=-1),0,$Q4922*1000+$R4922*100+$K4922)</f>
        <v>0</v>
      </c>
      <c r="T4922" s="37" t="str">
        <f aca="false">IF($A4922="","",IF($B4922="","NO ACCOUNT",IF($Q4922=0,"UNMAPPED",IF($R4922=-1,"OUTSIDE FY RANGE","OK"))))</f>
        <v/>
      </c>
      <c r="U4922" s="40" t="str">
        <f aca="false">IF($A4922="","",$B4922&amp;"|"&amp;TEXT($A4922,"yyyymmdd")&amp;"|"&amp;TEXT($I4922,"0.00"))</f>
        <v/>
      </c>
      <c r="V4922" s="35" t="str">
        <f aca="false">IF($A4922="","",COUNTIF($U$8:$U$5007,$U4922))</f>
        <v/>
      </c>
    </row>
    <row r="4923" customFormat="false" ht="15" hidden="false" customHeight="false" outlineLevel="0" collapsed="false">
      <c r="A4923" s="31"/>
      <c r="B4923" s="32"/>
      <c r="C4923" s="32"/>
      <c r="D4923" s="32"/>
      <c r="E4923" s="32"/>
      <c r="F4923" s="32"/>
      <c r="G4923" s="33"/>
      <c r="H4923" s="33"/>
      <c r="I4923" s="34" t="str">
        <f aca="false">IF($A4923="","",$G4923-$H4923)</f>
        <v/>
      </c>
      <c r="J4923" s="35" t="str">
        <f aca="false">IF($A4923="","",IF(Setup!$B$6=1,YEAR($A4923),YEAR($A4923)+IF(MONTH($A4923)&gt;=Setup!$B$6,1,0)))</f>
        <v/>
      </c>
      <c r="K4923" s="35" t="str">
        <f aca="false">IF($A4923="","",MOD(MONTH($A4923)-Setup!$B$6+12,12)+1)</f>
        <v/>
      </c>
      <c r="L4923" s="36" t="str">
        <f aca="false">IF($A4923="","",TEXT($A4923,"MMM-YY"))</f>
        <v/>
      </c>
      <c r="M4923" s="37" t="str">
        <f aca="false">IF($A4923="","",IF($Q4923=0,"UNMAPPED",INDEX(COA_Mapping!$C$7:$C$256,$Q4923)))</f>
        <v/>
      </c>
      <c r="N4923" s="38" t="str">
        <f aca="false">IF($A4923="","",IF($Q4923=0,"",INDEX(COA_Mapping!$E$7:$E$256,$Q4923)))</f>
        <v/>
      </c>
      <c r="O4923" s="38" t="n">
        <f aca="false">IF($A4923="",1,IF($Q4923=0,1,INDEX(COA_Mapping!$F$7:$F$256,$Q4923)))</f>
        <v>1</v>
      </c>
      <c r="P4923" s="34" t="str">
        <f aca="false">IF($A4923="","",$I4923*$O4923)</f>
        <v/>
      </c>
      <c r="Q4923" s="39" t="n">
        <f aca="false">IF($B4923="",0,IFERROR(MATCH($B4923,COA_Mapping!$A$7:$A$256,0),0))</f>
        <v>0</v>
      </c>
      <c r="R4923" s="39" t="n">
        <f aca="false">IF($A4923="",-1,IF($J4923=Setup!$B$7,1,IF($J4923=Setup!$B$9,0,-1)))</f>
        <v>-1</v>
      </c>
      <c r="S4923" s="35" t="n">
        <f aca="false">IF(OR($A4923="",$Q4923=0,$R4923=-1),0,$Q4923*1000+$R4923*100+$K4923)</f>
        <v>0</v>
      </c>
      <c r="T4923" s="37" t="str">
        <f aca="false">IF($A4923="","",IF($B4923="","NO ACCOUNT",IF($Q4923=0,"UNMAPPED",IF($R4923=-1,"OUTSIDE FY RANGE","OK"))))</f>
        <v/>
      </c>
      <c r="U4923" s="40" t="str">
        <f aca="false">IF($A4923="","",$B4923&amp;"|"&amp;TEXT($A4923,"yyyymmdd")&amp;"|"&amp;TEXT($I4923,"0.00"))</f>
        <v/>
      </c>
      <c r="V4923" s="35" t="str">
        <f aca="false">IF($A4923="","",COUNTIF($U$8:$U$5007,$U4923))</f>
        <v/>
      </c>
    </row>
    <row r="4924" customFormat="false" ht="15" hidden="false" customHeight="false" outlineLevel="0" collapsed="false">
      <c r="A4924" s="31"/>
      <c r="B4924" s="32"/>
      <c r="C4924" s="32"/>
      <c r="D4924" s="32"/>
      <c r="E4924" s="32"/>
      <c r="F4924" s="32"/>
      <c r="G4924" s="33"/>
      <c r="H4924" s="33"/>
      <c r="I4924" s="34" t="str">
        <f aca="false">IF($A4924="","",$G4924-$H4924)</f>
        <v/>
      </c>
      <c r="J4924" s="35" t="str">
        <f aca="false">IF($A4924="","",IF(Setup!$B$6=1,YEAR($A4924),YEAR($A4924)+IF(MONTH($A4924)&gt;=Setup!$B$6,1,0)))</f>
        <v/>
      </c>
      <c r="K4924" s="35" t="str">
        <f aca="false">IF($A4924="","",MOD(MONTH($A4924)-Setup!$B$6+12,12)+1)</f>
        <v/>
      </c>
      <c r="L4924" s="36" t="str">
        <f aca="false">IF($A4924="","",TEXT($A4924,"MMM-YY"))</f>
        <v/>
      </c>
      <c r="M4924" s="37" t="str">
        <f aca="false">IF($A4924="","",IF($Q4924=0,"UNMAPPED",INDEX(COA_Mapping!$C$7:$C$256,$Q4924)))</f>
        <v/>
      </c>
      <c r="N4924" s="38" t="str">
        <f aca="false">IF($A4924="","",IF($Q4924=0,"",INDEX(COA_Mapping!$E$7:$E$256,$Q4924)))</f>
        <v/>
      </c>
      <c r="O4924" s="38" t="n">
        <f aca="false">IF($A4924="",1,IF($Q4924=0,1,INDEX(COA_Mapping!$F$7:$F$256,$Q4924)))</f>
        <v>1</v>
      </c>
      <c r="P4924" s="34" t="str">
        <f aca="false">IF($A4924="","",$I4924*$O4924)</f>
        <v/>
      </c>
      <c r="Q4924" s="39" t="n">
        <f aca="false">IF($B4924="",0,IFERROR(MATCH($B4924,COA_Mapping!$A$7:$A$256,0),0))</f>
        <v>0</v>
      </c>
      <c r="R4924" s="39" t="n">
        <f aca="false">IF($A4924="",-1,IF($J4924=Setup!$B$7,1,IF($J4924=Setup!$B$9,0,-1)))</f>
        <v>-1</v>
      </c>
      <c r="S4924" s="35" t="n">
        <f aca="false">IF(OR($A4924="",$Q4924=0,$R4924=-1),0,$Q4924*1000+$R4924*100+$K4924)</f>
        <v>0</v>
      </c>
      <c r="T4924" s="37" t="str">
        <f aca="false">IF($A4924="","",IF($B4924="","NO ACCOUNT",IF($Q4924=0,"UNMAPPED",IF($R4924=-1,"OUTSIDE FY RANGE","OK"))))</f>
        <v/>
      </c>
      <c r="U4924" s="40" t="str">
        <f aca="false">IF($A4924="","",$B4924&amp;"|"&amp;TEXT($A4924,"yyyymmdd")&amp;"|"&amp;TEXT($I4924,"0.00"))</f>
        <v/>
      </c>
      <c r="V4924" s="35" t="str">
        <f aca="false">IF($A4924="","",COUNTIF($U$8:$U$5007,$U4924))</f>
        <v/>
      </c>
    </row>
    <row r="4925" customFormat="false" ht="15" hidden="false" customHeight="false" outlineLevel="0" collapsed="false">
      <c r="A4925" s="31"/>
      <c r="B4925" s="32"/>
      <c r="C4925" s="32"/>
      <c r="D4925" s="32"/>
      <c r="E4925" s="32"/>
      <c r="F4925" s="32"/>
      <c r="G4925" s="33"/>
      <c r="H4925" s="33"/>
      <c r="I4925" s="34" t="str">
        <f aca="false">IF($A4925="","",$G4925-$H4925)</f>
        <v/>
      </c>
      <c r="J4925" s="35" t="str">
        <f aca="false">IF($A4925="","",IF(Setup!$B$6=1,YEAR($A4925),YEAR($A4925)+IF(MONTH($A4925)&gt;=Setup!$B$6,1,0)))</f>
        <v/>
      </c>
      <c r="K4925" s="35" t="str">
        <f aca="false">IF($A4925="","",MOD(MONTH($A4925)-Setup!$B$6+12,12)+1)</f>
        <v/>
      </c>
      <c r="L4925" s="36" t="str">
        <f aca="false">IF($A4925="","",TEXT($A4925,"MMM-YY"))</f>
        <v/>
      </c>
      <c r="M4925" s="37" t="str">
        <f aca="false">IF($A4925="","",IF($Q4925=0,"UNMAPPED",INDEX(COA_Mapping!$C$7:$C$256,$Q4925)))</f>
        <v/>
      </c>
      <c r="N4925" s="38" t="str">
        <f aca="false">IF($A4925="","",IF($Q4925=0,"",INDEX(COA_Mapping!$E$7:$E$256,$Q4925)))</f>
        <v/>
      </c>
      <c r="O4925" s="38" t="n">
        <f aca="false">IF($A4925="",1,IF($Q4925=0,1,INDEX(COA_Mapping!$F$7:$F$256,$Q4925)))</f>
        <v>1</v>
      </c>
      <c r="P4925" s="34" t="str">
        <f aca="false">IF($A4925="","",$I4925*$O4925)</f>
        <v/>
      </c>
      <c r="Q4925" s="39" t="n">
        <f aca="false">IF($B4925="",0,IFERROR(MATCH($B4925,COA_Mapping!$A$7:$A$256,0),0))</f>
        <v>0</v>
      </c>
      <c r="R4925" s="39" t="n">
        <f aca="false">IF($A4925="",-1,IF($J4925=Setup!$B$7,1,IF($J4925=Setup!$B$9,0,-1)))</f>
        <v>-1</v>
      </c>
      <c r="S4925" s="35" t="n">
        <f aca="false">IF(OR($A4925="",$Q4925=0,$R4925=-1),0,$Q4925*1000+$R4925*100+$K4925)</f>
        <v>0</v>
      </c>
      <c r="T4925" s="37" t="str">
        <f aca="false">IF($A4925="","",IF($B4925="","NO ACCOUNT",IF($Q4925=0,"UNMAPPED",IF($R4925=-1,"OUTSIDE FY RANGE","OK"))))</f>
        <v/>
      </c>
      <c r="U4925" s="40" t="str">
        <f aca="false">IF($A4925="","",$B4925&amp;"|"&amp;TEXT($A4925,"yyyymmdd")&amp;"|"&amp;TEXT($I4925,"0.00"))</f>
        <v/>
      </c>
      <c r="V4925" s="35" t="str">
        <f aca="false">IF($A4925="","",COUNTIF($U$8:$U$5007,$U4925))</f>
        <v/>
      </c>
    </row>
    <row r="4926" customFormat="false" ht="15" hidden="false" customHeight="false" outlineLevel="0" collapsed="false">
      <c r="A4926" s="31"/>
      <c r="B4926" s="32"/>
      <c r="C4926" s="32"/>
      <c r="D4926" s="32"/>
      <c r="E4926" s="32"/>
      <c r="F4926" s="32"/>
      <c r="G4926" s="33"/>
      <c r="H4926" s="33"/>
      <c r="I4926" s="34" t="str">
        <f aca="false">IF($A4926="","",$G4926-$H4926)</f>
        <v/>
      </c>
      <c r="J4926" s="35" t="str">
        <f aca="false">IF($A4926="","",IF(Setup!$B$6=1,YEAR($A4926),YEAR($A4926)+IF(MONTH($A4926)&gt;=Setup!$B$6,1,0)))</f>
        <v/>
      </c>
      <c r="K4926" s="35" t="str">
        <f aca="false">IF($A4926="","",MOD(MONTH($A4926)-Setup!$B$6+12,12)+1)</f>
        <v/>
      </c>
      <c r="L4926" s="36" t="str">
        <f aca="false">IF($A4926="","",TEXT($A4926,"MMM-YY"))</f>
        <v/>
      </c>
      <c r="M4926" s="37" t="str">
        <f aca="false">IF($A4926="","",IF($Q4926=0,"UNMAPPED",INDEX(COA_Mapping!$C$7:$C$256,$Q4926)))</f>
        <v/>
      </c>
      <c r="N4926" s="38" t="str">
        <f aca="false">IF($A4926="","",IF($Q4926=0,"",INDEX(COA_Mapping!$E$7:$E$256,$Q4926)))</f>
        <v/>
      </c>
      <c r="O4926" s="38" t="n">
        <f aca="false">IF($A4926="",1,IF($Q4926=0,1,INDEX(COA_Mapping!$F$7:$F$256,$Q4926)))</f>
        <v>1</v>
      </c>
      <c r="P4926" s="34" t="str">
        <f aca="false">IF($A4926="","",$I4926*$O4926)</f>
        <v/>
      </c>
      <c r="Q4926" s="39" t="n">
        <f aca="false">IF($B4926="",0,IFERROR(MATCH($B4926,COA_Mapping!$A$7:$A$256,0),0))</f>
        <v>0</v>
      </c>
      <c r="R4926" s="39" t="n">
        <f aca="false">IF($A4926="",-1,IF($J4926=Setup!$B$7,1,IF($J4926=Setup!$B$9,0,-1)))</f>
        <v>-1</v>
      </c>
      <c r="S4926" s="35" t="n">
        <f aca="false">IF(OR($A4926="",$Q4926=0,$R4926=-1),0,$Q4926*1000+$R4926*100+$K4926)</f>
        <v>0</v>
      </c>
      <c r="T4926" s="37" t="str">
        <f aca="false">IF($A4926="","",IF($B4926="","NO ACCOUNT",IF($Q4926=0,"UNMAPPED",IF($R4926=-1,"OUTSIDE FY RANGE","OK"))))</f>
        <v/>
      </c>
      <c r="U4926" s="40" t="str">
        <f aca="false">IF($A4926="","",$B4926&amp;"|"&amp;TEXT($A4926,"yyyymmdd")&amp;"|"&amp;TEXT($I4926,"0.00"))</f>
        <v/>
      </c>
      <c r="V4926" s="35" t="str">
        <f aca="false">IF($A4926="","",COUNTIF($U$8:$U$5007,$U4926))</f>
        <v/>
      </c>
    </row>
    <row r="4927" customFormat="false" ht="15" hidden="false" customHeight="false" outlineLevel="0" collapsed="false">
      <c r="A4927" s="31"/>
      <c r="B4927" s="32"/>
      <c r="C4927" s="32"/>
      <c r="D4927" s="32"/>
      <c r="E4927" s="32"/>
      <c r="F4927" s="32"/>
      <c r="G4927" s="33"/>
      <c r="H4927" s="33"/>
      <c r="I4927" s="34" t="str">
        <f aca="false">IF($A4927="","",$G4927-$H4927)</f>
        <v/>
      </c>
      <c r="J4927" s="35" t="str">
        <f aca="false">IF($A4927="","",IF(Setup!$B$6=1,YEAR($A4927),YEAR($A4927)+IF(MONTH($A4927)&gt;=Setup!$B$6,1,0)))</f>
        <v/>
      </c>
      <c r="K4927" s="35" t="str">
        <f aca="false">IF($A4927="","",MOD(MONTH($A4927)-Setup!$B$6+12,12)+1)</f>
        <v/>
      </c>
      <c r="L4927" s="36" t="str">
        <f aca="false">IF($A4927="","",TEXT($A4927,"MMM-YY"))</f>
        <v/>
      </c>
      <c r="M4927" s="37" t="str">
        <f aca="false">IF($A4927="","",IF($Q4927=0,"UNMAPPED",INDEX(COA_Mapping!$C$7:$C$256,$Q4927)))</f>
        <v/>
      </c>
      <c r="N4927" s="38" t="str">
        <f aca="false">IF($A4927="","",IF($Q4927=0,"",INDEX(COA_Mapping!$E$7:$E$256,$Q4927)))</f>
        <v/>
      </c>
      <c r="O4927" s="38" t="n">
        <f aca="false">IF($A4927="",1,IF($Q4927=0,1,INDEX(COA_Mapping!$F$7:$F$256,$Q4927)))</f>
        <v>1</v>
      </c>
      <c r="P4927" s="34" t="str">
        <f aca="false">IF($A4927="","",$I4927*$O4927)</f>
        <v/>
      </c>
      <c r="Q4927" s="39" t="n">
        <f aca="false">IF($B4927="",0,IFERROR(MATCH($B4927,COA_Mapping!$A$7:$A$256,0),0))</f>
        <v>0</v>
      </c>
      <c r="R4927" s="39" t="n">
        <f aca="false">IF($A4927="",-1,IF($J4927=Setup!$B$7,1,IF($J4927=Setup!$B$9,0,-1)))</f>
        <v>-1</v>
      </c>
      <c r="S4927" s="35" t="n">
        <f aca="false">IF(OR($A4927="",$Q4927=0,$R4927=-1),0,$Q4927*1000+$R4927*100+$K4927)</f>
        <v>0</v>
      </c>
      <c r="T4927" s="37" t="str">
        <f aca="false">IF($A4927="","",IF($B4927="","NO ACCOUNT",IF($Q4927=0,"UNMAPPED",IF($R4927=-1,"OUTSIDE FY RANGE","OK"))))</f>
        <v/>
      </c>
      <c r="U4927" s="40" t="str">
        <f aca="false">IF($A4927="","",$B4927&amp;"|"&amp;TEXT($A4927,"yyyymmdd")&amp;"|"&amp;TEXT($I4927,"0.00"))</f>
        <v/>
      </c>
      <c r="V4927" s="35" t="str">
        <f aca="false">IF($A4927="","",COUNTIF($U$8:$U$5007,$U4927))</f>
        <v/>
      </c>
    </row>
    <row r="4928" customFormat="false" ht="15" hidden="false" customHeight="false" outlineLevel="0" collapsed="false">
      <c r="A4928" s="31"/>
      <c r="B4928" s="32"/>
      <c r="C4928" s="32"/>
      <c r="D4928" s="32"/>
      <c r="E4928" s="32"/>
      <c r="F4928" s="32"/>
      <c r="G4928" s="33"/>
      <c r="H4928" s="33"/>
      <c r="I4928" s="34" t="str">
        <f aca="false">IF($A4928="","",$G4928-$H4928)</f>
        <v/>
      </c>
      <c r="J4928" s="35" t="str">
        <f aca="false">IF($A4928="","",IF(Setup!$B$6=1,YEAR($A4928),YEAR($A4928)+IF(MONTH($A4928)&gt;=Setup!$B$6,1,0)))</f>
        <v/>
      </c>
      <c r="K4928" s="35" t="str">
        <f aca="false">IF($A4928="","",MOD(MONTH($A4928)-Setup!$B$6+12,12)+1)</f>
        <v/>
      </c>
      <c r="L4928" s="36" t="str">
        <f aca="false">IF($A4928="","",TEXT($A4928,"MMM-YY"))</f>
        <v/>
      </c>
      <c r="M4928" s="37" t="str">
        <f aca="false">IF($A4928="","",IF($Q4928=0,"UNMAPPED",INDEX(COA_Mapping!$C$7:$C$256,$Q4928)))</f>
        <v/>
      </c>
      <c r="N4928" s="38" t="str">
        <f aca="false">IF($A4928="","",IF($Q4928=0,"",INDEX(COA_Mapping!$E$7:$E$256,$Q4928)))</f>
        <v/>
      </c>
      <c r="O4928" s="38" t="n">
        <f aca="false">IF($A4928="",1,IF($Q4928=0,1,INDEX(COA_Mapping!$F$7:$F$256,$Q4928)))</f>
        <v>1</v>
      </c>
      <c r="P4928" s="34" t="str">
        <f aca="false">IF($A4928="","",$I4928*$O4928)</f>
        <v/>
      </c>
      <c r="Q4928" s="39" t="n">
        <f aca="false">IF($B4928="",0,IFERROR(MATCH($B4928,COA_Mapping!$A$7:$A$256,0),0))</f>
        <v>0</v>
      </c>
      <c r="R4928" s="39" t="n">
        <f aca="false">IF($A4928="",-1,IF($J4928=Setup!$B$7,1,IF($J4928=Setup!$B$9,0,-1)))</f>
        <v>-1</v>
      </c>
      <c r="S4928" s="35" t="n">
        <f aca="false">IF(OR($A4928="",$Q4928=0,$R4928=-1),0,$Q4928*1000+$R4928*100+$K4928)</f>
        <v>0</v>
      </c>
      <c r="T4928" s="37" t="str">
        <f aca="false">IF($A4928="","",IF($B4928="","NO ACCOUNT",IF($Q4928=0,"UNMAPPED",IF($R4928=-1,"OUTSIDE FY RANGE","OK"))))</f>
        <v/>
      </c>
      <c r="U4928" s="40" t="str">
        <f aca="false">IF($A4928="","",$B4928&amp;"|"&amp;TEXT($A4928,"yyyymmdd")&amp;"|"&amp;TEXT($I4928,"0.00"))</f>
        <v/>
      </c>
      <c r="V4928" s="35" t="str">
        <f aca="false">IF($A4928="","",COUNTIF($U$8:$U$5007,$U4928))</f>
        <v/>
      </c>
    </row>
    <row r="4929" customFormat="false" ht="15" hidden="false" customHeight="false" outlineLevel="0" collapsed="false">
      <c r="A4929" s="31"/>
      <c r="B4929" s="32"/>
      <c r="C4929" s="32"/>
      <c r="D4929" s="32"/>
      <c r="E4929" s="32"/>
      <c r="F4929" s="32"/>
      <c r="G4929" s="33"/>
      <c r="H4929" s="33"/>
      <c r="I4929" s="34" t="str">
        <f aca="false">IF($A4929="","",$G4929-$H4929)</f>
        <v/>
      </c>
      <c r="J4929" s="35" t="str">
        <f aca="false">IF($A4929="","",IF(Setup!$B$6=1,YEAR($A4929),YEAR($A4929)+IF(MONTH($A4929)&gt;=Setup!$B$6,1,0)))</f>
        <v/>
      </c>
      <c r="K4929" s="35" t="str">
        <f aca="false">IF($A4929="","",MOD(MONTH($A4929)-Setup!$B$6+12,12)+1)</f>
        <v/>
      </c>
      <c r="L4929" s="36" t="str">
        <f aca="false">IF($A4929="","",TEXT($A4929,"MMM-YY"))</f>
        <v/>
      </c>
      <c r="M4929" s="37" t="str">
        <f aca="false">IF($A4929="","",IF($Q4929=0,"UNMAPPED",INDEX(COA_Mapping!$C$7:$C$256,$Q4929)))</f>
        <v/>
      </c>
      <c r="N4929" s="38" t="str">
        <f aca="false">IF($A4929="","",IF($Q4929=0,"",INDEX(COA_Mapping!$E$7:$E$256,$Q4929)))</f>
        <v/>
      </c>
      <c r="O4929" s="38" t="n">
        <f aca="false">IF($A4929="",1,IF($Q4929=0,1,INDEX(COA_Mapping!$F$7:$F$256,$Q4929)))</f>
        <v>1</v>
      </c>
      <c r="P4929" s="34" t="str">
        <f aca="false">IF($A4929="","",$I4929*$O4929)</f>
        <v/>
      </c>
      <c r="Q4929" s="39" t="n">
        <f aca="false">IF($B4929="",0,IFERROR(MATCH($B4929,COA_Mapping!$A$7:$A$256,0),0))</f>
        <v>0</v>
      </c>
      <c r="R4929" s="39" t="n">
        <f aca="false">IF($A4929="",-1,IF($J4929=Setup!$B$7,1,IF($J4929=Setup!$B$9,0,-1)))</f>
        <v>-1</v>
      </c>
      <c r="S4929" s="35" t="n">
        <f aca="false">IF(OR($A4929="",$Q4929=0,$R4929=-1),0,$Q4929*1000+$R4929*100+$K4929)</f>
        <v>0</v>
      </c>
      <c r="T4929" s="37" t="str">
        <f aca="false">IF($A4929="","",IF($B4929="","NO ACCOUNT",IF($Q4929=0,"UNMAPPED",IF($R4929=-1,"OUTSIDE FY RANGE","OK"))))</f>
        <v/>
      </c>
      <c r="U4929" s="40" t="str">
        <f aca="false">IF($A4929="","",$B4929&amp;"|"&amp;TEXT($A4929,"yyyymmdd")&amp;"|"&amp;TEXT($I4929,"0.00"))</f>
        <v/>
      </c>
      <c r="V4929" s="35" t="str">
        <f aca="false">IF($A4929="","",COUNTIF($U$8:$U$5007,$U4929))</f>
        <v/>
      </c>
    </row>
    <row r="4930" customFormat="false" ht="15" hidden="false" customHeight="false" outlineLevel="0" collapsed="false">
      <c r="A4930" s="31"/>
      <c r="B4930" s="32"/>
      <c r="C4930" s="32"/>
      <c r="D4930" s="32"/>
      <c r="E4930" s="32"/>
      <c r="F4930" s="32"/>
      <c r="G4930" s="33"/>
      <c r="H4930" s="33"/>
      <c r="I4930" s="34" t="str">
        <f aca="false">IF($A4930="","",$G4930-$H4930)</f>
        <v/>
      </c>
      <c r="J4930" s="35" t="str">
        <f aca="false">IF($A4930="","",IF(Setup!$B$6=1,YEAR($A4930),YEAR($A4930)+IF(MONTH($A4930)&gt;=Setup!$B$6,1,0)))</f>
        <v/>
      </c>
      <c r="K4930" s="35" t="str">
        <f aca="false">IF($A4930="","",MOD(MONTH($A4930)-Setup!$B$6+12,12)+1)</f>
        <v/>
      </c>
      <c r="L4930" s="36" t="str">
        <f aca="false">IF($A4930="","",TEXT($A4930,"MMM-YY"))</f>
        <v/>
      </c>
      <c r="M4930" s="37" t="str">
        <f aca="false">IF($A4930="","",IF($Q4930=0,"UNMAPPED",INDEX(COA_Mapping!$C$7:$C$256,$Q4930)))</f>
        <v/>
      </c>
      <c r="N4930" s="38" t="str">
        <f aca="false">IF($A4930="","",IF($Q4930=0,"",INDEX(COA_Mapping!$E$7:$E$256,$Q4930)))</f>
        <v/>
      </c>
      <c r="O4930" s="38" t="n">
        <f aca="false">IF($A4930="",1,IF($Q4930=0,1,INDEX(COA_Mapping!$F$7:$F$256,$Q4930)))</f>
        <v>1</v>
      </c>
      <c r="P4930" s="34" t="str">
        <f aca="false">IF($A4930="","",$I4930*$O4930)</f>
        <v/>
      </c>
      <c r="Q4930" s="39" t="n">
        <f aca="false">IF($B4930="",0,IFERROR(MATCH($B4930,COA_Mapping!$A$7:$A$256,0),0))</f>
        <v>0</v>
      </c>
      <c r="R4930" s="39" t="n">
        <f aca="false">IF($A4930="",-1,IF($J4930=Setup!$B$7,1,IF($J4930=Setup!$B$9,0,-1)))</f>
        <v>-1</v>
      </c>
      <c r="S4930" s="35" t="n">
        <f aca="false">IF(OR($A4930="",$Q4930=0,$R4930=-1),0,$Q4930*1000+$R4930*100+$K4930)</f>
        <v>0</v>
      </c>
      <c r="T4930" s="37" t="str">
        <f aca="false">IF($A4930="","",IF($B4930="","NO ACCOUNT",IF($Q4930=0,"UNMAPPED",IF($R4930=-1,"OUTSIDE FY RANGE","OK"))))</f>
        <v/>
      </c>
      <c r="U4930" s="40" t="str">
        <f aca="false">IF($A4930="","",$B4930&amp;"|"&amp;TEXT($A4930,"yyyymmdd")&amp;"|"&amp;TEXT($I4930,"0.00"))</f>
        <v/>
      </c>
      <c r="V4930" s="35" t="str">
        <f aca="false">IF($A4930="","",COUNTIF($U$8:$U$5007,$U4930))</f>
        <v/>
      </c>
    </row>
    <row r="4931" customFormat="false" ht="15" hidden="false" customHeight="false" outlineLevel="0" collapsed="false">
      <c r="A4931" s="31"/>
      <c r="B4931" s="32"/>
      <c r="C4931" s="32"/>
      <c r="D4931" s="32"/>
      <c r="E4931" s="32"/>
      <c r="F4931" s="32"/>
      <c r="G4931" s="33"/>
      <c r="H4931" s="33"/>
      <c r="I4931" s="34" t="str">
        <f aca="false">IF($A4931="","",$G4931-$H4931)</f>
        <v/>
      </c>
      <c r="J4931" s="35" t="str">
        <f aca="false">IF($A4931="","",IF(Setup!$B$6=1,YEAR($A4931),YEAR($A4931)+IF(MONTH($A4931)&gt;=Setup!$B$6,1,0)))</f>
        <v/>
      </c>
      <c r="K4931" s="35" t="str">
        <f aca="false">IF($A4931="","",MOD(MONTH($A4931)-Setup!$B$6+12,12)+1)</f>
        <v/>
      </c>
      <c r="L4931" s="36" t="str">
        <f aca="false">IF($A4931="","",TEXT($A4931,"MMM-YY"))</f>
        <v/>
      </c>
      <c r="M4931" s="37" t="str">
        <f aca="false">IF($A4931="","",IF($Q4931=0,"UNMAPPED",INDEX(COA_Mapping!$C$7:$C$256,$Q4931)))</f>
        <v/>
      </c>
      <c r="N4931" s="38" t="str">
        <f aca="false">IF($A4931="","",IF($Q4931=0,"",INDEX(COA_Mapping!$E$7:$E$256,$Q4931)))</f>
        <v/>
      </c>
      <c r="O4931" s="38" t="n">
        <f aca="false">IF($A4931="",1,IF($Q4931=0,1,INDEX(COA_Mapping!$F$7:$F$256,$Q4931)))</f>
        <v>1</v>
      </c>
      <c r="P4931" s="34" t="str">
        <f aca="false">IF($A4931="","",$I4931*$O4931)</f>
        <v/>
      </c>
      <c r="Q4931" s="39" t="n">
        <f aca="false">IF($B4931="",0,IFERROR(MATCH($B4931,COA_Mapping!$A$7:$A$256,0),0))</f>
        <v>0</v>
      </c>
      <c r="R4931" s="39" t="n">
        <f aca="false">IF($A4931="",-1,IF($J4931=Setup!$B$7,1,IF($J4931=Setup!$B$9,0,-1)))</f>
        <v>-1</v>
      </c>
      <c r="S4931" s="35" t="n">
        <f aca="false">IF(OR($A4931="",$Q4931=0,$R4931=-1),0,$Q4931*1000+$R4931*100+$K4931)</f>
        <v>0</v>
      </c>
      <c r="T4931" s="37" t="str">
        <f aca="false">IF($A4931="","",IF($B4931="","NO ACCOUNT",IF($Q4931=0,"UNMAPPED",IF($R4931=-1,"OUTSIDE FY RANGE","OK"))))</f>
        <v/>
      </c>
      <c r="U4931" s="40" t="str">
        <f aca="false">IF($A4931="","",$B4931&amp;"|"&amp;TEXT($A4931,"yyyymmdd")&amp;"|"&amp;TEXT($I4931,"0.00"))</f>
        <v/>
      </c>
      <c r="V4931" s="35" t="str">
        <f aca="false">IF($A4931="","",COUNTIF($U$8:$U$5007,$U4931))</f>
        <v/>
      </c>
    </row>
    <row r="4932" customFormat="false" ht="15" hidden="false" customHeight="false" outlineLevel="0" collapsed="false">
      <c r="A4932" s="31"/>
      <c r="B4932" s="32"/>
      <c r="C4932" s="32"/>
      <c r="D4932" s="32"/>
      <c r="E4932" s="32"/>
      <c r="F4932" s="32"/>
      <c r="G4932" s="33"/>
      <c r="H4932" s="33"/>
      <c r="I4932" s="34" t="str">
        <f aca="false">IF($A4932="","",$G4932-$H4932)</f>
        <v/>
      </c>
      <c r="J4932" s="35" t="str">
        <f aca="false">IF($A4932="","",IF(Setup!$B$6=1,YEAR($A4932),YEAR($A4932)+IF(MONTH($A4932)&gt;=Setup!$B$6,1,0)))</f>
        <v/>
      </c>
      <c r="K4932" s="35" t="str">
        <f aca="false">IF($A4932="","",MOD(MONTH($A4932)-Setup!$B$6+12,12)+1)</f>
        <v/>
      </c>
      <c r="L4932" s="36" t="str">
        <f aca="false">IF($A4932="","",TEXT($A4932,"MMM-YY"))</f>
        <v/>
      </c>
      <c r="M4932" s="37" t="str">
        <f aca="false">IF($A4932="","",IF($Q4932=0,"UNMAPPED",INDEX(COA_Mapping!$C$7:$C$256,$Q4932)))</f>
        <v/>
      </c>
      <c r="N4932" s="38" t="str">
        <f aca="false">IF($A4932="","",IF($Q4932=0,"",INDEX(COA_Mapping!$E$7:$E$256,$Q4932)))</f>
        <v/>
      </c>
      <c r="O4932" s="38" t="n">
        <f aca="false">IF($A4932="",1,IF($Q4932=0,1,INDEX(COA_Mapping!$F$7:$F$256,$Q4932)))</f>
        <v>1</v>
      </c>
      <c r="P4932" s="34" t="str">
        <f aca="false">IF($A4932="","",$I4932*$O4932)</f>
        <v/>
      </c>
      <c r="Q4932" s="39" t="n">
        <f aca="false">IF($B4932="",0,IFERROR(MATCH($B4932,COA_Mapping!$A$7:$A$256,0),0))</f>
        <v>0</v>
      </c>
      <c r="R4932" s="39" t="n">
        <f aca="false">IF($A4932="",-1,IF($J4932=Setup!$B$7,1,IF($J4932=Setup!$B$9,0,-1)))</f>
        <v>-1</v>
      </c>
      <c r="S4932" s="35" t="n">
        <f aca="false">IF(OR($A4932="",$Q4932=0,$R4932=-1),0,$Q4932*1000+$R4932*100+$K4932)</f>
        <v>0</v>
      </c>
      <c r="T4932" s="37" t="str">
        <f aca="false">IF($A4932="","",IF($B4932="","NO ACCOUNT",IF($Q4932=0,"UNMAPPED",IF($R4932=-1,"OUTSIDE FY RANGE","OK"))))</f>
        <v/>
      </c>
      <c r="U4932" s="40" t="str">
        <f aca="false">IF($A4932="","",$B4932&amp;"|"&amp;TEXT($A4932,"yyyymmdd")&amp;"|"&amp;TEXT($I4932,"0.00"))</f>
        <v/>
      </c>
      <c r="V4932" s="35" t="str">
        <f aca="false">IF($A4932="","",COUNTIF($U$8:$U$5007,$U4932))</f>
        <v/>
      </c>
    </row>
    <row r="4933" customFormat="false" ht="15" hidden="false" customHeight="false" outlineLevel="0" collapsed="false">
      <c r="A4933" s="31"/>
      <c r="B4933" s="32"/>
      <c r="C4933" s="32"/>
      <c r="D4933" s="32"/>
      <c r="E4933" s="32"/>
      <c r="F4933" s="32"/>
      <c r="G4933" s="33"/>
      <c r="H4933" s="33"/>
      <c r="I4933" s="34" t="str">
        <f aca="false">IF($A4933="","",$G4933-$H4933)</f>
        <v/>
      </c>
      <c r="J4933" s="35" t="str">
        <f aca="false">IF($A4933="","",IF(Setup!$B$6=1,YEAR($A4933),YEAR($A4933)+IF(MONTH($A4933)&gt;=Setup!$B$6,1,0)))</f>
        <v/>
      </c>
      <c r="K4933" s="35" t="str">
        <f aca="false">IF($A4933="","",MOD(MONTH($A4933)-Setup!$B$6+12,12)+1)</f>
        <v/>
      </c>
      <c r="L4933" s="36" t="str">
        <f aca="false">IF($A4933="","",TEXT($A4933,"MMM-YY"))</f>
        <v/>
      </c>
      <c r="M4933" s="37" t="str">
        <f aca="false">IF($A4933="","",IF($Q4933=0,"UNMAPPED",INDEX(COA_Mapping!$C$7:$C$256,$Q4933)))</f>
        <v/>
      </c>
      <c r="N4933" s="38" t="str">
        <f aca="false">IF($A4933="","",IF($Q4933=0,"",INDEX(COA_Mapping!$E$7:$E$256,$Q4933)))</f>
        <v/>
      </c>
      <c r="O4933" s="38" t="n">
        <f aca="false">IF($A4933="",1,IF($Q4933=0,1,INDEX(COA_Mapping!$F$7:$F$256,$Q4933)))</f>
        <v>1</v>
      </c>
      <c r="P4933" s="34" t="str">
        <f aca="false">IF($A4933="","",$I4933*$O4933)</f>
        <v/>
      </c>
      <c r="Q4933" s="39" t="n">
        <f aca="false">IF($B4933="",0,IFERROR(MATCH($B4933,COA_Mapping!$A$7:$A$256,0),0))</f>
        <v>0</v>
      </c>
      <c r="R4933" s="39" t="n">
        <f aca="false">IF($A4933="",-1,IF($J4933=Setup!$B$7,1,IF($J4933=Setup!$B$9,0,-1)))</f>
        <v>-1</v>
      </c>
      <c r="S4933" s="35" t="n">
        <f aca="false">IF(OR($A4933="",$Q4933=0,$R4933=-1),0,$Q4933*1000+$R4933*100+$K4933)</f>
        <v>0</v>
      </c>
      <c r="T4933" s="37" t="str">
        <f aca="false">IF($A4933="","",IF($B4933="","NO ACCOUNT",IF($Q4933=0,"UNMAPPED",IF($R4933=-1,"OUTSIDE FY RANGE","OK"))))</f>
        <v/>
      </c>
      <c r="U4933" s="40" t="str">
        <f aca="false">IF($A4933="","",$B4933&amp;"|"&amp;TEXT($A4933,"yyyymmdd")&amp;"|"&amp;TEXT($I4933,"0.00"))</f>
        <v/>
      </c>
      <c r="V4933" s="35" t="str">
        <f aca="false">IF($A4933="","",COUNTIF($U$8:$U$5007,$U4933))</f>
        <v/>
      </c>
    </row>
    <row r="4934" customFormat="false" ht="15" hidden="false" customHeight="false" outlineLevel="0" collapsed="false">
      <c r="A4934" s="31"/>
      <c r="B4934" s="32"/>
      <c r="C4934" s="32"/>
      <c r="D4934" s="32"/>
      <c r="E4934" s="32"/>
      <c r="F4934" s="32"/>
      <c r="G4934" s="33"/>
      <c r="H4934" s="33"/>
      <c r="I4934" s="34" t="str">
        <f aca="false">IF($A4934="","",$G4934-$H4934)</f>
        <v/>
      </c>
      <c r="J4934" s="35" t="str">
        <f aca="false">IF($A4934="","",IF(Setup!$B$6=1,YEAR($A4934),YEAR($A4934)+IF(MONTH($A4934)&gt;=Setup!$B$6,1,0)))</f>
        <v/>
      </c>
      <c r="K4934" s="35" t="str">
        <f aca="false">IF($A4934="","",MOD(MONTH($A4934)-Setup!$B$6+12,12)+1)</f>
        <v/>
      </c>
      <c r="L4934" s="36" t="str">
        <f aca="false">IF($A4934="","",TEXT($A4934,"MMM-YY"))</f>
        <v/>
      </c>
      <c r="M4934" s="37" t="str">
        <f aca="false">IF($A4934="","",IF($Q4934=0,"UNMAPPED",INDEX(COA_Mapping!$C$7:$C$256,$Q4934)))</f>
        <v/>
      </c>
      <c r="N4934" s="38" t="str">
        <f aca="false">IF($A4934="","",IF($Q4934=0,"",INDEX(COA_Mapping!$E$7:$E$256,$Q4934)))</f>
        <v/>
      </c>
      <c r="O4934" s="38" t="n">
        <f aca="false">IF($A4934="",1,IF($Q4934=0,1,INDEX(COA_Mapping!$F$7:$F$256,$Q4934)))</f>
        <v>1</v>
      </c>
      <c r="P4934" s="34" t="str">
        <f aca="false">IF($A4934="","",$I4934*$O4934)</f>
        <v/>
      </c>
      <c r="Q4934" s="39" t="n">
        <f aca="false">IF($B4934="",0,IFERROR(MATCH($B4934,COA_Mapping!$A$7:$A$256,0),0))</f>
        <v>0</v>
      </c>
      <c r="R4934" s="39" t="n">
        <f aca="false">IF($A4934="",-1,IF($J4934=Setup!$B$7,1,IF($J4934=Setup!$B$9,0,-1)))</f>
        <v>-1</v>
      </c>
      <c r="S4934" s="35" t="n">
        <f aca="false">IF(OR($A4934="",$Q4934=0,$R4934=-1),0,$Q4934*1000+$R4934*100+$K4934)</f>
        <v>0</v>
      </c>
      <c r="T4934" s="37" t="str">
        <f aca="false">IF($A4934="","",IF($B4934="","NO ACCOUNT",IF($Q4934=0,"UNMAPPED",IF($R4934=-1,"OUTSIDE FY RANGE","OK"))))</f>
        <v/>
      </c>
      <c r="U4934" s="40" t="str">
        <f aca="false">IF($A4934="","",$B4934&amp;"|"&amp;TEXT($A4934,"yyyymmdd")&amp;"|"&amp;TEXT($I4934,"0.00"))</f>
        <v/>
      </c>
      <c r="V4934" s="35" t="str">
        <f aca="false">IF($A4934="","",COUNTIF($U$8:$U$5007,$U4934))</f>
        <v/>
      </c>
    </row>
    <row r="4935" customFormat="false" ht="15" hidden="false" customHeight="false" outlineLevel="0" collapsed="false">
      <c r="A4935" s="31"/>
      <c r="B4935" s="32"/>
      <c r="C4935" s="32"/>
      <c r="D4935" s="32"/>
      <c r="E4935" s="32"/>
      <c r="F4935" s="32"/>
      <c r="G4935" s="33"/>
      <c r="H4935" s="33"/>
      <c r="I4935" s="34" t="str">
        <f aca="false">IF($A4935="","",$G4935-$H4935)</f>
        <v/>
      </c>
      <c r="J4935" s="35" t="str">
        <f aca="false">IF($A4935="","",IF(Setup!$B$6=1,YEAR($A4935),YEAR($A4935)+IF(MONTH($A4935)&gt;=Setup!$B$6,1,0)))</f>
        <v/>
      </c>
      <c r="K4935" s="35" t="str">
        <f aca="false">IF($A4935="","",MOD(MONTH($A4935)-Setup!$B$6+12,12)+1)</f>
        <v/>
      </c>
      <c r="L4935" s="36" t="str">
        <f aca="false">IF($A4935="","",TEXT($A4935,"MMM-YY"))</f>
        <v/>
      </c>
      <c r="M4935" s="37" t="str">
        <f aca="false">IF($A4935="","",IF($Q4935=0,"UNMAPPED",INDEX(COA_Mapping!$C$7:$C$256,$Q4935)))</f>
        <v/>
      </c>
      <c r="N4935" s="38" t="str">
        <f aca="false">IF($A4935="","",IF($Q4935=0,"",INDEX(COA_Mapping!$E$7:$E$256,$Q4935)))</f>
        <v/>
      </c>
      <c r="O4935" s="38" t="n">
        <f aca="false">IF($A4935="",1,IF($Q4935=0,1,INDEX(COA_Mapping!$F$7:$F$256,$Q4935)))</f>
        <v>1</v>
      </c>
      <c r="P4935" s="34" t="str">
        <f aca="false">IF($A4935="","",$I4935*$O4935)</f>
        <v/>
      </c>
      <c r="Q4935" s="39" t="n">
        <f aca="false">IF($B4935="",0,IFERROR(MATCH($B4935,COA_Mapping!$A$7:$A$256,0),0))</f>
        <v>0</v>
      </c>
      <c r="R4935" s="39" t="n">
        <f aca="false">IF($A4935="",-1,IF($J4935=Setup!$B$7,1,IF($J4935=Setup!$B$9,0,-1)))</f>
        <v>-1</v>
      </c>
      <c r="S4935" s="35" t="n">
        <f aca="false">IF(OR($A4935="",$Q4935=0,$R4935=-1),0,$Q4935*1000+$R4935*100+$K4935)</f>
        <v>0</v>
      </c>
      <c r="T4935" s="37" t="str">
        <f aca="false">IF($A4935="","",IF($B4935="","NO ACCOUNT",IF($Q4935=0,"UNMAPPED",IF($R4935=-1,"OUTSIDE FY RANGE","OK"))))</f>
        <v/>
      </c>
      <c r="U4935" s="40" t="str">
        <f aca="false">IF($A4935="","",$B4935&amp;"|"&amp;TEXT($A4935,"yyyymmdd")&amp;"|"&amp;TEXT($I4935,"0.00"))</f>
        <v/>
      </c>
      <c r="V4935" s="35" t="str">
        <f aca="false">IF($A4935="","",COUNTIF($U$8:$U$5007,$U4935))</f>
        <v/>
      </c>
    </row>
    <row r="4936" customFormat="false" ht="15" hidden="false" customHeight="false" outlineLevel="0" collapsed="false">
      <c r="A4936" s="31"/>
      <c r="B4936" s="32"/>
      <c r="C4936" s="32"/>
      <c r="D4936" s="32"/>
      <c r="E4936" s="32"/>
      <c r="F4936" s="32"/>
      <c r="G4936" s="33"/>
      <c r="H4936" s="33"/>
      <c r="I4936" s="34" t="str">
        <f aca="false">IF($A4936="","",$G4936-$H4936)</f>
        <v/>
      </c>
      <c r="J4936" s="35" t="str">
        <f aca="false">IF($A4936="","",IF(Setup!$B$6=1,YEAR($A4936),YEAR($A4936)+IF(MONTH($A4936)&gt;=Setup!$B$6,1,0)))</f>
        <v/>
      </c>
      <c r="K4936" s="35" t="str">
        <f aca="false">IF($A4936="","",MOD(MONTH($A4936)-Setup!$B$6+12,12)+1)</f>
        <v/>
      </c>
      <c r="L4936" s="36" t="str">
        <f aca="false">IF($A4936="","",TEXT($A4936,"MMM-YY"))</f>
        <v/>
      </c>
      <c r="M4936" s="37" t="str">
        <f aca="false">IF($A4936="","",IF($Q4936=0,"UNMAPPED",INDEX(COA_Mapping!$C$7:$C$256,$Q4936)))</f>
        <v/>
      </c>
      <c r="N4936" s="38" t="str">
        <f aca="false">IF($A4936="","",IF($Q4936=0,"",INDEX(COA_Mapping!$E$7:$E$256,$Q4936)))</f>
        <v/>
      </c>
      <c r="O4936" s="38" t="n">
        <f aca="false">IF($A4936="",1,IF($Q4936=0,1,INDEX(COA_Mapping!$F$7:$F$256,$Q4936)))</f>
        <v>1</v>
      </c>
      <c r="P4936" s="34" t="str">
        <f aca="false">IF($A4936="","",$I4936*$O4936)</f>
        <v/>
      </c>
      <c r="Q4936" s="39" t="n">
        <f aca="false">IF($B4936="",0,IFERROR(MATCH($B4936,COA_Mapping!$A$7:$A$256,0),0))</f>
        <v>0</v>
      </c>
      <c r="R4936" s="39" t="n">
        <f aca="false">IF($A4936="",-1,IF($J4936=Setup!$B$7,1,IF($J4936=Setup!$B$9,0,-1)))</f>
        <v>-1</v>
      </c>
      <c r="S4936" s="35" t="n">
        <f aca="false">IF(OR($A4936="",$Q4936=0,$R4936=-1),0,$Q4936*1000+$R4936*100+$K4936)</f>
        <v>0</v>
      </c>
      <c r="T4936" s="37" t="str">
        <f aca="false">IF($A4936="","",IF($B4936="","NO ACCOUNT",IF($Q4936=0,"UNMAPPED",IF($R4936=-1,"OUTSIDE FY RANGE","OK"))))</f>
        <v/>
      </c>
      <c r="U4936" s="40" t="str">
        <f aca="false">IF($A4936="","",$B4936&amp;"|"&amp;TEXT($A4936,"yyyymmdd")&amp;"|"&amp;TEXT($I4936,"0.00"))</f>
        <v/>
      </c>
      <c r="V4936" s="35" t="str">
        <f aca="false">IF($A4936="","",COUNTIF($U$8:$U$5007,$U4936))</f>
        <v/>
      </c>
    </row>
    <row r="4937" customFormat="false" ht="15" hidden="false" customHeight="false" outlineLevel="0" collapsed="false">
      <c r="A4937" s="31"/>
      <c r="B4937" s="32"/>
      <c r="C4937" s="32"/>
      <c r="D4937" s="32"/>
      <c r="E4937" s="32"/>
      <c r="F4937" s="32"/>
      <c r="G4937" s="33"/>
      <c r="H4937" s="33"/>
      <c r="I4937" s="34" t="str">
        <f aca="false">IF($A4937="","",$G4937-$H4937)</f>
        <v/>
      </c>
      <c r="J4937" s="35" t="str">
        <f aca="false">IF($A4937="","",IF(Setup!$B$6=1,YEAR($A4937),YEAR($A4937)+IF(MONTH($A4937)&gt;=Setup!$B$6,1,0)))</f>
        <v/>
      </c>
      <c r="K4937" s="35" t="str">
        <f aca="false">IF($A4937="","",MOD(MONTH($A4937)-Setup!$B$6+12,12)+1)</f>
        <v/>
      </c>
      <c r="L4937" s="36" t="str">
        <f aca="false">IF($A4937="","",TEXT($A4937,"MMM-YY"))</f>
        <v/>
      </c>
      <c r="M4937" s="37" t="str">
        <f aca="false">IF($A4937="","",IF($Q4937=0,"UNMAPPED",INDEX(COA_Mapping!$C$7:$C$256,$Q4937)))</f>
        <v/>
      </c>
      <c r="N4937" s="38" t="str">
        <f aca="false">IF($A4937="","",IF($Q4937=0,"",INDEX(COA_Mapping!$E$7:$E$256,$Q4937)))</f>
        <v/>
      </c>
      <c r="O4937" s="38" t="n">
        <f aca="false">IF($A4937="",1,IF($Q4937=0,1,INDEX(COA_Mapping!$F$7:$F$256,$Q4937)))</f>
        <v>1</v>
      </c>
      <c r="P4937" s="34" t="str">
        <f aca="false">IF($A4937="","",$I4937*$O4937)</f>
        <v/>
      </c>
      <c r="Q4937" s="39" t="n">
        <f aca="false">IF($B4937="",0,IFERROR(MATCH($B4937,COA_Mapping!$A$7:$A$256,0),0))</f>
        <v>0</v>
      </c>
      <c r="R4937" s="39" t="n">
        <f aca="false">IF($A4937="",-1,IF($J4937=Setup!$B$7,1,IF($J4937=Setup!$B$9,0,-1)))</f>
        <v>-1</v>
      </c>
      <c r="S4937" s="35" t="n">
        <f aca="false">IF(OR($A4937="",$Q4937=0,$R4937=-1),0,$Q4937*1000+$R4937*100+$K4937)</f>
        <v>0</v>
      </c>
      <c r="T4937" s="37" t="str">
        <f aca="false">IF($A4937="","",IF($B4937="","NO ACCOUNT",IF($Q4937=0,"UNMAPPED",IF($R4937=-1,"OUTSIDE FY RANGE","OK"))))</f>
        <v/>
      </c>
      <c r="U4937" s="40" t="str">
        <f aca="false">IF($A4937="","",$B4937&amp;"|"&amp;TEXT($A4937,"yyyymmdd")&amp;"|"&amp;TEXT($I4937,"0.00"))</f>
        <v/>
      </c>
      <c r="V4937" s="35" t="str">
        <f aca="false">IF($A4937="","",COUNTIF($U$8:$U$5007,$U4937))</f>
        <v/>
      </c>
    </row>
    <row r="4938" customFormat="false" ht="15" hidden="false" customHeight="false" outlineLevel="0" collapsed="false">
      <c r="A4938" s="31"/>
      <c r="B4938" s="32"/>
      <c r="C4938" s="32"/>
      <c r="D4938" s="32"/>
      <c r="E4938" s="32"/>
      <c r="F4938" s="32"/>
      <c r="G4938" s="33"/>
      <c r="H4938" s="33"/>
      <c r="I4938" s="34" t="str">
        <f aca="false">IF($A4938="","",$G4938-$H4938)</f>
        <v/>
      </c>
      <c r="J4938" s="35" t="str">
        <f aca="false">IF($A4938="","",IF(Setup!$B$6=1,YEAR($A4938),YEAR($A4938)+IF(MONTH($A4938)&gt;=Setup!$B$6,1,0)))</f>
        <v/>
      </c>
      <c r="K4938" s="35" t="str">
        <f aca="false">IF($A4938="","",MOD(MONTH($A4938)-Setup!$B$6+12,12)+1)</f>
        <v/>
      </c>
      <c r="L4938" s="36" t="str">
        <f aca="false">IF($A4938="","",TEXT($A4938,"MMM-YY"))</f>
        <v/>
      </c>
      <c r="M4938" s="37" t="str">
        <f aca="false">IF($A4938="","",IF($Q4938=0,"UNMAPPED",INDEX(COA_Mapping!$C$7:$C$256,$Q4938)))</f>
        <v/>
      </c>
      <c r="N4938" s="38" t="str">
        <f aca="false">IF($A4938="","",IF($Q4938=0,"",INDEX(COA_Mapping!$E$7:$E$256,$Q4938)))</f>
        <v/>
      </c>
      <c r="O4938" s="38" t="n">
        <f aca="false">IF($A4938="",1,IF($Q4938=0,1,INDEX(COA_Mapping!$F$7:$F$256,$Q4938)))</f>
        <v>1</v>
      </c>
      <c r="P4938" s="34" t="str">
        <f aca="false">IF($A4938="","",$I4938*$O4938)</f>
        <v/>
      </c>
      <c r="Q4938" s="39" t="n">
        <f aca="false">IF($B4938="",0,IFERROR(MATCH($B4938,COA_Mapping!$A$7:$A$256,0),0))</f>
        <v>0</v>
      </c>
      <c r="R4938" s="39" t="n">
        <f aca="false">IF($A4938="",-1,IF($J4938=Setup!$B$7,1,IF($J4938=Setup!$B$9,0,-1)))</f>
        <v>-1</v>
      </c>
      <c r="S4938" s="35" t="n">
        <f aca="false">IF(OR($A4938="",$Q4938=0,$R4938=-1),0,$Q4938*1000+$R4938*100+$K4938)</f>
        <v>0</v>
      </c>
      <c r="T4938" s="37" t="str">
        <f aca="false">IF($A4938="","",IF($B4938="","NO ACCOUNT",IF($Q4938=0,"UNMAPPED",IF($R4938=-1,"OUTSIDE FY RANGE","OK"))))</f>
        <v/>
      </c>
      <c r="U4938" s="40" t="str">
        <f aca="false">IF($A4938="","",$B4938&amp;"|"&amp;TEXT($A4938,"yyyymmdd")&amp;"|"&amp;TEXT($I4938,"0.00"))</f>
        <v/>
      </c>
      <c r="V4938" s="35" t="str">
        <f aca="false">IF($A4938="","",COUNTIF($U$8:$U$5007,$U4938))</f>
        <v/>
      </c>
    </row>
    <row r="4939" customFormat="false" ht="15" hidden="false" customHeight="false" outlineLevel="0" collapsed="false">
      <c r="A4939" s="31"/>
      <c r="B4939" s="32"/>
      <c r="C4939" s="32"/>
      <c r="D4939" s="32"/>
      <c r="E4939" s="32"/>
      <c r="F4939" s="32"/>
      <c r="G4939" s="33"/>
      <c r="H4939" s="33"/>
      <c r="I4939" s="34" t="str">
        <f aca="false">IF($A4939="","",$G4939-$H4939)</f>
        <v/>
      </c>
      <c r="J4939" s="35" t="str">
        <f aca="false">IF($A4939="","",IF(Setup!$B$6=1,YEAR($A4939),YEAR($A4939)+IF(MONTH($A4939)&gt;=Setup!$B$6,1,0)))</f>
        <v/>
      </c>
      <c r="K4939" s="35" t="str">
        <f aca="false">IF($A4939="","",MOD(MONTH($A4939)-Setup!$B$6+12,12)+1)</f>
        <v/>
      </c>
      <c r="L4939" s="36" t="str">
        <f aca="false">IF($A4939="","",TEXT($A4939,"MMM-YY"))</f>
        <v/>
      </c>
      <c r="M4939" s="37" t="str">
        <f aca="false">IF($A4939="","",IF($Q4939=0,"UNMAPPED",INDEX(COA_Mapping!$C$7:$C$256,$Q4939)))</f>
        <v/>
      </c>
      <c r="N4939" s="38" t="str">
        <f aca="false">IF($A4939="","",IF($Q4939=0,"",INDEX(COA_Mapping!$E$7:$E$256,$Q4939)))</f>
        <v/>
      </c>
      <c r="O4939" s="38" t="n">
        <f aca="false">IF($A4939="",1,IF($Q4939=0,1,INDEX(COA_Mapping!$F$7:$F$256,$Q4939)))</f>
        <v>1</v>
      </c>
      <c r="P4939" s="34" t="str">
        <f aca="false">IF($A4939="","",$I4939*$O4939)</f>
        <v/>
      </c>
      <c r="Q4939" s="39" t="n">
        <f aca="false">IF($B4939="",0,IFERROR(MATCH($B4939,COA_Mapping!$A$7:$A$256,0),0))</f>
        <v>0</v>
      </c>
      <c r="R4939" s="39" t="n">
        <f aca="false">IF($A4939="",-1,IF($J4939=Setup!$B$7,1,IF($J4939=Setup!$B$9,0,-1)))</f>
        <v>-1</v>
      </c>
      <c r="S4939" s="35" t="n">
        <f aca="false">IF(OR($A4939="",$Q4939=0,$R4939=-1),0,$Q4939*1000+$R4939*100+$K4939)</f>
        <v>0</v>
      </c>
      <c r="T4939" s="37" t="str">
        <f aca="false">IF($A4939="","",IF($B4939="","NO ACCOUNT",IF($Q4939=0,"UNMAPPED",IF($R4939=-1,"OUTSIDE FY RANGE","OK"))))</f>
        <v/>
      </c>
      <c r="U4939" s="40" t="str">
        <f aca="false">IF($A4939="","",$B4939&amp;"|"&amp;TEXT($A4939,"yyyymmdd")&amp;"|"&amp;TEXT($I4939,"0.00"))</f>
        <v/>
      </c>
      <c r="V4939" s="35" t="str">
        <f aca="false">IF($A4939="","",COUNTIF($U$8:$U$5007,$U4939))</f>
        <v/>
      </c>
    </row>
    <row r="4940" customFormat="false" ht="15" hidden="false" customHeight="false" outlineLevel="0" collapsed="false">
      <c r="A4940" s="31"/>
      <c r="B4940" s="32"/>
      <c r="C4940" s="32"/>
      <c r="D4940" s="32"/>
      <c r="E4940" s="32"/>
      <c r="F4940" s="32"/>
      <c r="G4940" s="33"/>
      <c r="H4940" s="33"/>
      <c r="I4940" s="34" t="str">
        <f aca="false">IF($A4940="","",$G4940-$H4940)</f>
        <v/>
      </c>
      <c r="J4940" s="35" t="str">
        <f aca="false">IF($A4940="","",IF(Setup!$B$6=1,YEAR($A4940),YEAR($A4940)+IF(MONTH($A4940)&gt;=Setup!$B$6,1,0)))</f>
        <v/>
      </c>
      <c r="K4940" s="35" t="str">
        <f aca="false">IF($A4940="","",MOD(MONTH($A4940)-Setup!$B$6+12,12)+1)</f>
        <v/>
      </c>
      <c r="L4940" s="36" t="str">
        <f aca="false">IF($A4940="","",TEXT($A4940,"MMM-YY"))</f>
        <v/>
      </c>
      <c r="M4940" s="37" t="str">
        <f aca="false">IF($A4940="","",IF($Q4940=0,"UNMAPPED",INDEX(COA_Mapping!$C$7:$C$256,$Q4940)))</f>
        <v/>
      </c>
      <c r="N4940" s="38" t="str">
        <f aca="false">IF($A4940="","",IF($Q4940=0,"",INDEX(COA_Mapping!$E$7:$E$256,$Q4940)))</f>
        <v/>
      </c>
      <c r="O4940" s="38" t="n">
        <f aca="false">IF($A4940="",1,IF($Q4940=0,1,INDEX(COA_Mapping!$F$7:$F$256,$Q4940)))</f>
        <v>1</v>
      </c>
      <c r="P4940" s="34" t="str">
        <f aca="false">IF($A4940="","",$I4940*$O4940)</f>
        <v/>
      </c>
      <c r="Q4940" s="39" t="n">
        <f aca="false">IF($B4940="",0,IFERROR(MATCH($B4940,COA_Mapping!$A$7:$A$256,0),0))</f>
        <v>0</v>
      </c>
      <c r="R4940" s="39" t="n">
        <f aca="false">IF($A4940="",-1,IF($J4940=Setup!$B$7,1,IF($J4940=Setup!$B$9,0,-1)))</f>
        <v>-1</v>
      </c>
      <c r="S4940" s="35" t="n">
        <f aca="false">IF(OR($A4940="",$Q4940=0,$R4940=-1),0,$Q4940*1000+$R4940*100+$K4940)</f>
        <v>0</v>
      </c>
      <c r="T4940" s="37" t="str">
        <f aca="false">IF($A4940="","",IF($B4940="","NO ACCOUNT",IF($Q4940=0,"UNMAPPED",IF($R4940=-1,"OUTSIDE FY RANGE","OK"))))</f>
        <v/>
      </c>
      <c r="U4940" s="40" t="str">
        <f aca="false">IF($A4940="","",$B4940&amp;"|"&amp;TEXT($A4940,"yyyymmdd")&amp;"|"&amp;TEXT($I4940,"0.00"))</f>
        <v/>
      </c>
      <c r="V4940" s="35" t="str">
        <f aca="false">IF($A4940="","",COUNTIF($U$8:$U$5007,$U4940))</f>
        <v/>
      </c>
    </row>
    <row r="4941" customFormat="false" ht="15" hidden="false" customHeight="false" outlineLevel="0" collapsed="false">
      <c r="A4941" s="31"/>
      <c r="B4941" s="32"/>
      <c r="C4941" s="32"/>
      <c r="D4941" s="32"/>
      <c r="E4941" s="32"/>
      <c r="F4941" s="32"/>
      <c r="G4941" s="33"/>
      <c r="H4941" s="33"/>
      <c r="I4941" s="34" t="str">
        <f aca="false">IF($A4941="","",$G4941-$H4941)</f>
        <v/>
      </c>
      <c r="J4941" s="35" t="str">
        <f aca="false">IF($A4941="","",IF(Setup!$B$6=1,YEAR($A4941),YEAR($A4941)+IF(MONTH($A4941)&gt;=Setup!$B$6,1,0)))</f>
        <v/>
      </c>
      <c r="K4941" s="35" t="str">
        <f aca="false">IF($A4941="","",MOD(MONTH($A4941)-Setup!$B$6+12,12)+1)</f>
        <v/>
      </c>
      <c r="L4941" s="36" t="str">
        <f aca="false">IF($A4941="","",TEXT($A4941,"MMM-YY"))</f>
        <v/>
      </c>
      <c r="M4941" s="37" t="str">
        <f aca="false">IF($A4941="","",IF($Q4941=0,"UNMAPPED",INDEX(COA_Mapping!$C$7:$C$256,$Q4941)))</f>
        <v/>
      </c>
      <c r="N4941" s="38" t="str">
        <f aca="false">IF($A4941="","",IF($Q4941=0,"",INDEX(COA_Mapping!$E$7:$E$256,$Q4941)))</f>
        <v/>
      </c>
      <c r="O4941" s="38" t="n">
        <f aca="false">IF($A4941="",1,IF($Q4941=0,1,INDEX(COA_Mapping!$F$7:$F$256,$Q4941)))</f>
        <v>1</v>
      </c>
      <c r="P4941" s="34" t="str">
        <f aca="false">IF($A4941="","",$I4941*$O4941)</f>
        <v/>
      </c>
      <c r="Q4941" s="39" t="n">
        <f aca="false">IF($B4941="",0,IFERROR(MATCH($B4941,COA_Mapping!$A$7:$A$256,0),0))</f>
        <v>0</v>
      </c>
      <c r="R4941" s="39" t="n">
        <f aca="false">IF($A4941="",-1,IF($J4941=Setup!$B$7,1,IF($J4941=Setup!$B$9,0,-1)))</f>
        <v>-1</v>
      </c>
      <c r="S4941" s="35" t="n">
        <f aca="false">IF(OR($A4941="",$Q4941=0,$R4941=-1),0,$Q4941*1000+$R4941*100+$K4941)</f>
        <v>0</v>
      </c>
      <c r="T4941" s="37" t="str">
        <f aca="false">IF($A4941="","",IF($B4941="","NO ACCOUNT",IF($Q4941=0,"UNMAPPED",IF($R4941=-1,"OUTSIDE FY RANGE","OK"))))</f>
        <v/>
      </c>
      <c r="U4941" s="40" t="str">
        <f aca="false">IF($A4941="","",$B4941&amp;"|"&amp;TEXT($A4941,"yyyymmdd")&amp;"|"&amp;TEXT($I4941,"0.00"))</f>
        <v/>
      </c>
      <c r="V4941" s="35" t="str">
        <f aca="false">IF($A4941="","",COUNTIF($U$8:$U$5007,$U4941))</f>
        <v/>
      </c>
    </row>
    <row r="4942" customFormat="false" ht="15" hidden="false" customHeight="false" outlineLevel="0" collapsed="false">
      <c r="A4942" s="31"/>
      <c r="B4942" s="32"/>
      <c r="C4942" s="32"/>
      <c r="D4942" s="32"/>
      <c r="E4942" s="32"/>
      <c r="F4942" s="32"/>
      <c r="G4942" s="33"/>
      <c r="H4942" s="33"/>
      <c r="I4942" s="34" t="str">
        <f aca="false">IF($A4942="","",$G4942-$H4942)</f>
        <v/>
      </c>
      <c r="J4942" s="35" t="str">
        <f aca="false">IF($A4942="","",IF(Setup!$B$6=1,YEAR($A4942),YEAR($A4942)+IF(MONTH($A4942)&gt;=Setup!$B$6,1,0)))</f>
        <v/>
      </c>
      <c r="K4942" s="35" t="str">
        <f aca="false">IF($A4942="","",MOD(MONTH($A4942)-Setup!$B$6+12,12)+1)</f>
        <v/>
      </c>
      <c r="L4942" s="36" t="str">
        <f aca="false">IF($A4942="","",TEXT($A4942,"MMM-YY"))</f>
        <v/>
      </c>
      <c r="M4942" s="37" t="str">
        <f aca="false">IF($A4942="","",IF($Q4942=0,"UNMAPPED",INDEX(COA_Mapping!$C$7:$C$256,$Q4942)))</f>
        <v/>
      </c>
      <c r="N4942" s="38" t="str">
        <f aca="false">IF($A4942="","",IF($Q4942=0,"",INDEX(COA_Mapping!$E$7:$E$256,$Q4942)))</f>
        <v/>
      </c>
      <c r="O4942" s="38" t="n">
        <f aca="false">IF($A4942="",1,IF($Q4942=0,1,INDEX(COA_Mapping!$F$7:$F$256,$Q4942)))</f>
        <v>1</v>
      </c>
      <c r="P4942" s="34" t="str">
        <f aca="false">IF($A4942="","",$I4942*$O4942)</f>
        <v/>
      </c>
      <c r="Q4942" s="39" t="n">
        <f aca="false">IF($B4942="",0,IFERROR(MATCH($B4942,COA_Mapping!$A$7:$A$256,0),0))</f>
        <v>0</v>
      </c>
      <c r="R4942" s="39" t="n">
        <f aca="false">IF($A4942="",-1,IF($J4942=Setup!$B$7,1,IF($J4942=Setup!$B$9,0,-1)))</f>
        <v>-1</v>
      </c>
      <c r="S4942" s="35" t="n">
        <f aca="false">IF(OR($A4942="",$Q4942=0,$R4942=-1),0,$Q4942*1000+$R4942*100+$K4942)</f>
        <v>0</v>
      </c>
      <c r="T4942" s="37" t="str">
        <f aca="false">IF($A4942="","",IF($B4942="","NO ACCOUNT",IF($Q4942=0,"UNMAPPED",IF($R4942=-1,"OUTSIDE FY RANGE","OK"))))</f>
        <v/>
      </c>
      <c r="U4942" s="40" t="str">
        <f aca="false">IF($A4942="","",$B4942&amp;"|"&amp;TEXT($A4942,"yyyymmdd")&amp;"|"&amp;TEXT($I4942,"0.00"))</f>
        <v/>
      </c>
      <c r="V4942" s="35" t="str">
        <f aca="false">IF($A4942="","",COUNTIF($U$8:$U$5007,$U4942))</f>
        <v/>
      </c>
    </row>
    <row r="4943" customFormat="false" ht="15" hidden="false" customHeight="false" outlineLevel="0" collapsed="false">
      <c r="A4943" s="31"/>
      <c r="B4943" s="32"/>
      <c r="C4943" s="32"/>
      <c r="D4943" s="32"/>
      <c r="E4943" s="32"/>
      <c r="F4943" s="32"/>
      <c r="G4943" s="33"/>
      <c r="H4943" s="33"/>
      <c r="I4943" s="34" t="str">
        <f aca="false">IF($A4943="","",$G4943-$H4943)</f>
        <v/>
      </c>
      <c r="J4943" s="35" t="str">
        <f aca="false">IF($A4943="","",IF(Setup!$B$6=1,YEAR($A4943),YEAR($A4943)+IF(MONTH($A4943)&gt;=Setup!$B$6,1,0)))</f>
        <v/>
      </c>
      <c r="K4943" s="35" t="str">
        <f aca="false">IF($A4943="","",MOD(MONTH($A4943)-Setup!$B$6+12,12)+1)</f>
        <v/>
      </c>
      <c r="L4943" s="36" t="str">
        <f aca="false">IF($A4943="","",TEXT($A4943,"MMM-YY"))</f>
        <v/>
      </c>
      <c r="M4943" s="37" t="str">
        <f aca="false">IF($A4943="","",IF($Q4943=0,"UNMAPPED",INDEX(COA_Mapping!$C$7:$C$256,$Q4943)))</f>
        <v/>
      </c>
      <c r="N4943" s="38" t="str">
        <f aca="false">IF($A4943="","",IF($Q4943=0,"",INDEX(COA_Mapping!$E$7:$E$256,$Q4943)))</f>
        <v/>
      </c>
      <c r="O4943" s="38" t="n">
        <f aca="false">IF($A4943="",1,IF($Q4943=0,1,INDEX(COA_Mapping!$F$7:$F$256,$Q4943)))</f>
        <v>1</v>
      </c>
      <c r="P4943" s="34" t="str">
        <f aca="false">IF($A4943="","",$I4943*$O4943)</f>
        <v/>
      </c>
      <c r="Q4943" s="39" t="n">
        <f aca="false">IF($B4943="",0,IFERROR(MATCH($B4943,COA_Mapping!$A$7:$A$256,0),0))</f>
        <v>0</v>
      </c>
      <c r="R4943" s="39" t="n">
        <f aca="false">IF($A4943="",-1,IF($J4943=Setup!$B$7,1,IF($J4943=Setup!$B$9,0,-1)))</f>
        <v>-1</v>
      </c>
      <c r="S4943" s="35" t="n">
        <f aca="false">IF(OR($A4943="",$Q4943=0,$R4943=-1),0,$Q4943*1000+$R4943*100+$K4943)</f>
        <v>0</v>
      </c>
      <c r="T4943" s="37" t="str">
        <f aca="false">IF($A4943="","",IF($B4943="","NO ACCOUNT",IF($Q4943=0,"UNMAPPED",IF($R4943=-1,"OUTSIDE FY RANGE","OK"))))</f>
        <v/>
      </c>
      <c r="U4943" s="40" t="str">
        <f aca="false">IF($A4943="","",$B4943&amp;"|"&amp;TEXT($A4943,"yyyymmdd")&amp;"|"&amp;TEXT($I4943,"0.00"))</f>
        <v/>
      </c>
      <c r="V4943" s="35" t="str">
        <f aca="false">IF($A4943="","",COUNTIF($U$8:$U$5007,$U4943))</f>
        <v/>
      </c>
    </row>
    <row r="4944" customFormat="false" ht="15" hidden="false" customHeight="false" outlineLevel="0" collapsed="false">
      <c r="A4944" s="31"/>
      <c r="B4944" s="32"/>
      <c r="C4944" s="32"/>
      <c r="D4944" s="32"/>
      <c r="E4944" s="32"/>
      <c r="F4944" s="32"/>
      <c r="G4944" s="33"/>
      <c r="H4944" s="33"/>
      <c r="I4944" s="34" t="str">
        <f aca="false">IF($A4944="","",$G4944-$H4944)</f>
        <v/>
      </c>
      <c r="J4944" s="35" t="str">
        <f aca="false">IF($A4944="","",IF(Setup!$B$6=1,YEAR($A4944),YEAR($A4944)+IF(MONTH($A4944)&gt;=Setup!$B$6,1,0)))</f>
        <v/>
      </c>
      <c r="K4944" s="35" t="str">
        <f aca="false">IF($A4944="","",MOD(MONTH($A4944)-Setup!$B$6+12,12)+1)</f>
        <v/>
      </c>
      <c r="L4944" s="36" t="str">
        <f aca="false">IF($A4944="","",TEXT($A4944,"MMM-YY"))</f>
        <v/>
      </c>
      <c r="M4944" s="37" t="str">
        <f aca="false">IF($A4944="","",IF($Q4944=0,"UNMAPPED",INDEX(COA_Mapping!$C$7:$C$256,$Q4944)))</f>
        <v/>
      </c>
      <c r="N4944" s="38" t="str">
        <f aca="false">IF($A4944="","",IF($Q4944=0,"",INDEX(COA_Mapping!$E$7:$E$256,$Q4944)))</f>
        <v/>
      </c>
      <c r="O4944" s="38" t="n">
        <f aca="false">IF($A4944="",1,IF($Q4944=0,1,INDEX(COA_Mapping!$F$7:$F$256,$Q4944)))</f>
        <v>1</v>
      </c>
      <c r="P4944" s="34" t="str">
        <f aca="false">IF($A4944="","",$I4944*$O4944)</f>
        <v/>
      </c>
      <c r="Q4944" s="39" t="n">
        <f aca="false">IF($B4944="",0,IFERROR(MATCH($B4944,COA_Mapping!$A$7:$A$256,0),0))</f>
        <v>0</v>
      </c>
      <c r="R4944" s="39" t="n">
        <f aca="false">IF($A4944="",-1,IF($J4944=Setup!$B$7,1,IF($J4944=Setup!$B$9,0,-1)))</f>
        <v>-1</v>
      </c>
      <c r="S4944" s="35" t="n">
        <f aca="false">IF(OR($A4944="",$Q4944=0,$R4944=-1),0,$Q4944*1000+$R4944*100+$K4944)</f>
        <v>0</v>
      </c>
      <c r="T4944" s="37" t="str">
        <f aca="false">IF($A4944="","",IF($B4944="","NO ACCOUNT",IF($Q4944=0,"UNMAPPED",IF($R4944=-1,"OUTSIDE FY RANGE","OK"))))</f>
        <v/>
      </c>
      <c r="U4944" s="40" t="str">
        <f aca="false">IF($A4944="","",$B4944&amp;"|"&amp;TEXT($A4944,"yyyymmdd")&amp;"|"&amp;TEXT($I4944,"0.00"))</f>
        <v/>
      </c>
      <c r="V4944" s="35" t="str">
        <f aca="false">IF($A4944="","",COUNTIF($U$8:$U$5007,$U4944))</f>
        <v/>
      </c>
    </row>
    <row r="4945" customFormat="false" ht="15" hidden="false" customHeight="false" outlineLevel="0" collapsed="false">
      <c r="A4945" s="31"/>
      <c r="B4945" s="32"/>
      <c r="C4945" s="32"/>
      <c r="D4945" s="32"/>
      <c r="E4945" s="32"/>
      <c r="F4945" s="32"/>
      <c r="G4945" s="33"/>
      <c r="H4945" s="33"/>
      <c r="I4945" s="34" t="str">
        <f aca="false">IF($A4945="","",$G4945-$H4945)</f>
        <v/>
      </c>
      <c r="J4945" s="35" t="str">
        <f aca="false">IF($A4945="","",IF(Setup!$B$6=1,YEAR($A4945),YEAR($A4945)+IF(MONTH($A4945)&gt;=Setup!$B$6,1,0)))</f>
        <v/>
      </c>
      <c r="K4945" s="35" t="str">
        <f aca="false">IF($A4945="","",MOD(MONTH($A4945)-Setup!$B$6+12,12)+1)</f>
        <v/>
      </c>
      <c r="L4945" s="36" t="str">
        <f aca="false">IF($A4945="","",TEXT($A4945,"MMM-YY"))</f>
        <v/>
      </c>
      <c r="M4945" s="37" t="str">
        <f aca="false">IF($A4945="","",IF($Q4945=0,"UNMAPPED",INDEX(COA_Mapping!$C$7:$C$256,$Q4945)))</f>
        <v/>
      </c>
      <c r="N4945" s="38" t="str">
        <f aca="false">IF($A4945="","",IF($Q4945=0,"",INDEX(COA_Mapping!$E$7:$E$256,$Q4945)))</f>
        <v/>
      </c>
      <c r="O4945" s="38" t="n">
        <f aca="false">IF($A4945="",1,IF($Q4945=0,1,INDEX(COA_Mapping!$F$7:$F$256,$Q4945)))</f>
        <v>1</v>
      </c>
      <c r="P4945" s="34" t="str">
        <f aca="false">IF($A4945="","",$I4945*$O4945)</f>
        <v/>
      </c>
      <c r="Q4945" s="39" t="n">
        <f aca="false">IF($B4945="",0,IFERROR(MATCH($B4945,COA_Mapping!$A$7:$A$256,0),0))</f>
        <v>0</v>
      </c>
      <c r="R4945" s="39" t="n">
        <f aca="false">IF($A4945="",-1,IF($J4945=Setup!$B$7,1,IF($J4945=Setup!$B$9,0,-1)))</f>
        <v>-1</v>
      </c>
      <c r="S4945" s="35" t="n">
        <f aca="false">IF(OR($A4945="",$Q4945=0,$R4945=-1),0,$Q4945*1000+$R4945*100+$K4945)</f>
        <v>0</v>
      </c>
      <c r="T4945" s="37" t="str">
        <f aca="false">IF($A4945="","",IF($B4945="","NO ACCOUNT",IF($Q4945=0,"UNMAPPED",IF($R4945=-1,"OUTSIDE FY RANGE","OK"))))</f>
        <v/>
      </c>
      <c r="U4945" s="40" t="str">
        <f aca="false">IF($A4945="","",$B4945&amp;"|"&amp;TEXT($A4945,"yyyymmdd")&amp;"|"&amp;TEXT($I4945,"0.00"))</f>
        <v/>
      </c>
      <c r="V4945" s="35" t="str">
        <f aca="false">IF($A4945="","",COUNTIF($U$8:$U$5007,$U4945))</f>
        <v/>
      </c>
    </row>
    <row r="4946" customFormat="false" ht="15" hidden="false" customHeight="false" outlineLevel="0" collapsed="false">
      <c r="A4946" s="31"/>
      <c r="B4946" s="32"/>
      <c r="C4946" s="32"/>
      <c r="D4946" s="32"/>
      <c r="E4946" s="32"/>
      <c r="F4946" s="32"/>
      <c r="G4946" s="33"/>
      <c r="H4946" s="33"/>
      <c r="I4946" s="34" t="str">
        <f aca="false">IF($A4946="","",$G4946-$H4946)</f>
        <v/>
      </c>
      <c r="J4946" s="35" t="str">
        <f aca="false">IF($A4946="","",IF(Setup!$B$6=1,YEAR($A4946),YEAR($A4946)+IF(MONTH($A4946)&gt;=Setup!$B$6,1,0)))</f>
        <v/>
      </c>
      <c r="K4946" s="35" t="str">
        <f aca="false">IF($A4946="","",MOD(MONTH($A4946)-Setup!$B$6+12,12)+1)</f>
        <v/>
      </c>
      <c r="L4946" s="36" t="str">
        <f aca="false">IF($A4946="","",TEXT($A4946,"MMM-YY"))</f>
        <v/>
      </c>
      <c r="M4946" s="37" t="str">
        <f aca="false">IF($A4946="","",IF($Q4946=0,"UNMAPPED",INDEX(COA_Mapping!$C$7:$C$256,$Q4946)))</f>
        <v/>
      </c>
      <c r="N4946" s="38" t="str">
        <f aca="false">IF($A4946="","",IF($Q4946=0,"",INDEX(COA_Mapping!$E$7:$E$256,$Q4946)))</f>
        <v/>
      </c>
      <c r="O4946" s="38" t="n">
        <f aca="false">IF($A4946="",1,IF($Q4946=0,1,INDEX(COA_Mapping!$F$7:$F$256,$Q4946)))</f>
        <v>1</v>
      </c>
      <c r="P4946" s="34" t="str">
        <f aca="false">IF($A4946="","",$I4946*$O4946)</f>
        <v/>
      </c>
      <c r="Q4946" s="39" t="n">
        <f aca="false">IF($B4946="",0,IFERROR(MATCH($B4946,COA_Mapping!$A$7:$A$256,0),0))</f>
        <v>0</v>
      </c>
      <c r="R4946" s="39" t="n">
        <f aca="false">IF($A4946="",-1,IF($J4946=Setup!$B$7,1,IF($J4946=Setup!$B$9,0,-1)))</f>
        <v>-1</v>
      </c>
      <c r="S4946" s="35" t="n">
        <f aca="false">IF(OR($A4946="",$Q4946=0,$R4946=-1),0,$Q4946*1000+$R4946*100+$K4946)</f>
        <v>0</v>
      </c>
      <c r="T4946" s="37" t="str">
        <f aca="false">IF($A4946="","",IF($B4946="","NO ACCOUNT",IF($Q4946=0,"UNMAPPED",IF($R4946=-1,"OUTSIDE FY RANGE","OK"))))</f>
        <v/>
      </c>
      <c r="U4946" s="40" t="str">
        <f aca="false">IF($A4946="","",$B4946&amp;"|"&amp;TEXT($A4946,"yyyymmdd")&amp;"|"&amp;TEXT($I4946,"0.00"))</f>
        <v/>
      </c>
      <c r="V4946" s="35" t="str">
        <f aca="false">IF($A4946="","",COUNTIF($U$8:$U$5007,$U4946))</f>
        <v/>
      </c>
    </row>
    <row r="4947" customFormat="false" ht="15" hidden="false" customHeight="false" outlineLevel="0" collapsed="false">
      <c r="A4947" s="31"/>
      <c r="B4947" s="32"/>
      <c r="C4947" s="32"/>
      <c r="D4947" s="32"/>
      <c r="E4947" s="32"/>
      <c r="F4947" s="32"/>
      <c r="G4947" s="33"/>
      <c r="H4947" s="33"/>
      <c r="I4947" s="34" t="str">
        <f aca="false">IF($A4947="","",$G4947-$H4947)</f>
        <v/>
      </c>
      <c r="J4947" s="35" t="str">
        <f aca="false">IF($A4947="","",IF(Setup!$B$6=1,YEAR($A4947),YEAR($A4947)+IF(MONTH($A4947)&gt;=Setup!$B$6,1,0)))</f>
        <v/>
      </c>
      <c r="K4947" s="35" t="str">
        <f aca="false">IF($A4947="","",MOD(MONTH($A4947)-Setup!$B$6+12,12)+1)</f>
        <v/>
      </c>
      <c r="L4947" s="36" t="str">
        <f aca="false">IF($A4947="","",TEXT($A4947,"MMM-YY"))</f>
        <v/>
      </c>
      <c r="M4947" s="37" t="str">
        <f aca="false">IF($A4947="","",IF($Q4947=0,"UNMAPPED",INDEX(COA_Mapping!$C$7:$C$256,$Q4947)))</f>
        <v/>
      </c>
      <c r="N4947" s="38" t="str">
        <f aca="false">IF($A4947="","",IF($Q4947=0,"",INDEX(COA_Mapping!$E$7:$E$256,$Q4947)))</f>
        <v/>
      </c>
      <c r="O4947" s="38" t="n">
        <f aca="false">IF($A4947="",1,IF($Q4947=0,1,INDEX(COA_Mapping!$F$7:$F$256,$Q4947)))</f>
        <v>1</v>
      </c>
      <c r="P4947" s="34" t="str">
        <f aca="false">IF($A4947="","",$I4947*$O4947)</f>
        <v/>
      </c>
      <c r="Q4947" s="39" t="n">
        <f aca="false">IF($B4947="",0,IFERROR(MATCH($B4947,COA_Mapping!$A$7:$A$256,0),0))</f>
        <v>0</v>
      </c>
      <c r="R4947" s="39" t="n">
        <f aca="false">IF($A4947="",-1,IF($J4947=Setup!$B$7,1,IF($J4947=Setup!$B$9,0,-1)))</f>
        <v>-1</v>
      </c>
      <c r="S4947" s="35" t="n">
        <f aca="false">IF(OR($A4947="",$Q4947=0,$R4947=-1),0,$Q4947*1000+$R4947*100+$K4947)</f>
        <v>0</v>
      </c>
      <c r="T4947" s="37" t="str">
        <f aca="false">IF($A4947="","",IF($B4947="","NO ACCOUNT",IF($Q4947=0,"UNMAPPED",IF($R4947=-1,"OUTSIDE FY RANGE","OK"))))</f>
        <v/>
      </c>
      <c r="U4947" s="40" t="str">
        <f aca="false">IF($A4947="","",$B4947&amp;"|"&amp;TEXT($A4947,"yyyymmdd")&amp;"|"&amp;TEXT($I4947,"0.00"))</f>
        <v/>
      </c>
      <c r="V4947" s="35" t="str">
        <f aca="false">IF($A4947="","",COUNTIF($U$8:$U$5007,$U4947))</f>
        <v/>
      </c>
    </row>
    <row r="4948" customFormat="false" ht="15" hidden="false" customHeight="false" outlineLevel="0" collapsed="false">
      <c r="A4948" s="31"/>
      <c r="B4948" s="32"/>
      <c r="C4948" s="32"/>
      <c r="D4948" s="32"/>
      <c r="E4948" s="32"/>
      <c r="F4948" s="32"/>
      <c r="G4948" s="33"/>
      <c r="H4948" s="33"/>
      <c r="I4948" s="34" t="str">
        <f aca="false">IF($A4948="","",$G4948-$H4948)</f>
        <v/>
      </c>
      <c r="J4948" s="35" t="str">
        <f aca="false">IF($A4948="","",IF(Setup!$B$6=1,YEAR($A4948),YEAR($A4948)+IF(MONTH($A4948)&gt;=Setup!$B$6,1,0)))</f>
        <v/>
      </c>
      <c r="K4948" s="35" t="str">
        <f aca="false">IF($A4948="","",MOD(MONTH($A4948)-Setup!$B$6+12,12)+1)</f>
        <v/>
      </c>
      <c r="L4948" s="36" t="str">
        <f aca="false">IF($A4948="","",TEXT($A4948,"MMM-YY"))</f>
        <v/>
      </c>
      <c r="M4948" s="37" t="str">
        <f aca="false">IF($A4948="","",IF($Q4948=0,"UNMAPPED",INDEX(COA_Mapping!$C$7:$C$256,$Q4948)))</f>
        <v/>
      </c>
      <c r="N4948" s="38" t="str">
        <f aca="false">IF($A4948="","",IF($Q4948=0,"",INDEX(COA_Mapping!$E$7:$E$256,$Q4948)))</f>
        <v/>
      </c>
      <c r="O4948" s="38" t="n">
        <f aca="false">IF($A4948="",1,IF($Q4948=0,1,INDEX(COA_Mapping!$F$7:$F$256,$Q4948)))</f>
        <v>1</v>
      </c>
      <c r="P4948" s="34" t="str">
        <f aca="false">IF($A4948="","",$I4948*$O4948)</f>
        <v/>
      </c>
      <c r="Q4948" s="39" t="n">
        <f aca="false">IF($B4948="",0,IFERROR(MATCH($B4948,COA_Mapping!$A$7:$A$256,0),0))</f>
        <v>0</v>
      </c>
      <c r="R4948" s="39" t="n">
        <f aca="false">IF($A4948="",-1,IF($J4948=Setup!$B$7,1,IF($J4948=Setup!$B$9,0,-1)))</f>
        <v>-1</v>
      </c>
      <c r="S4948" s="35" t="n">
        <f aca="false">IF(OR($A4948="",$Q4948=0,$R4948=-1),0,$Q4948*1000+$R4948*100+$K4948)</f>
        <v>0</v>
      </c>
      <c r="T4948" s="37" t="str">
        <f aca="false">IF($A4948="","",IF($B4948="","NO ACCOUNT",IF($Q4948=0,"UNMAPPED",IF($R4948=-1,"OUTSIDE FY RANGE","OK"))))</f>
        <v/>
      </c>
      <c r="U4948" s="40" t="str">
        <f aca="false">IF($A4948="","",$B4948&amp;"|"&amp;TEXT($A4948,"yyyymmdd")&amp;"|"&amp;TEXT($I4948,"0.00"))</f>
        <v/>
      </c>
      <c r="V4948" s="35" t="str">
        <f aca="false">IF($A4948="","",COUNTIF($U$8:$U$5007,$U4948))</f>
        <v/>
      </c>
    </row>
    <row r="4949" customFormat="false" ht="15" hidden="false" customHeight="false" outlineLevel="0" collapsed="false">
      <c r="A4949" s="31"/>
      <c r="B4949" s="32"/>
      <c r="C4949" s="32"/>
      <c r="D4949" s="32"/>
      <c r="E4949" s="32"/>
      <c r="F4949" s="32"/>
      <c r="G4949" s="33"/>
      <c r="H4949" s="33"/>
      <c r="I4949" s="34" t="str">
        <f aca="false">IF($A4949="","",$G4949-$H4949)</f>
        <v/>
      </c>
      <c r="J4949" s="35" t="str">
        <f aca="false">IF($A4949="","",IF(Setup!$B$6=1,YEAR($A4949),YEAR($A4949)+IF(MONTH($A4949)&gt;=Setup!$B$6,1,0)))</f>
        <v/>
      </c>
      <c r="K4949" s="35" t="str">
        <f aca="false">IF($A4949="","",MOD(MONTH($A4949)-Setup!$B$6+12,12)+1)</f>
        <v/>
      </c>
      <c r="L4949" s="36" t="str">
        <f aca="false">IF($A4949="","",TEXT($A4949,"MMM-YY"))</f>
        <v/>
      </c>
      <c r="M4949" s="37" t="str">
        <f aca="false">IF($A4949="","",IF($Q4949=0,"UNMAPPED",INDEX(COA_Mapping!$C$7:$C$256,$Q4949)))</f>
        <v/>
      </c>
      <c r="N4949" s="38" t="str">
        <f aca="false">IF($A4949="","",IF($Q4949=0,"",INDEX(COA_Mapping!$E$7:$E$256,$Q4949)))</f>
        <v/>
      </c>
      <c r="O4949" s="38" t="n">
        <f aca="false">IF($A4949="",1,IF($Q4949=0,1,INDEX(COA_Mapping!$F$7:$F$256,$Q4949)))</f>
        <v>1</v>
      </c>
      <c r="P4949" s="34" t="str">
        <f aca="false">IF($A4949="","",$I4949*$O4949)</f>
        <v/>
      </c>
      <c r="Q4949" s="39" t="n">
        <f aca="false">IF($B4949="",0,IFERROR(MATCH($B4949,COA_Mapping!$A$7:$A$256,0),0))</f>
        <v>0</v>
      </c>
      <c r="R4949" s="39" t="n">
        <f aca="false">IF($A4949="",-1,IF($J4949=Setup!$B$7,1,IF($J4949=Setup!$B$9,0,-1)))</f>
        <v>-1</v>
      </c>
      <c r="S4949" s="35" t="n">
        <f aca="false">IF(OR($A4949="",$Q4949=0,$R4949=-1),0,$Q4949*1000+$R4949*100+$K4949)</f>
        <v>0</v>
      </c>
      <c r="T4949" s="37" t="str">
        <f aca="false">IF($A4949="","",IF($B4949="","NO ACCOUNT",IF($Q4949=0,"UNMAPPED",IF($R4949=-1,"OUTSIDE FY RANGE","OK"))))</f>
        <v/>
      </c>
      <c r="U4949" s="40" t="str">
        <f aca="false">IF($A4949="","",$B4949&amp;"|"&amp;TEXT($A4949,"yyyymmdd")&amp;"|"&amp;TEXT($I4949,"0.00"))</f>
        <v/>
      </c>
      <c r="V4949" s="35" t="str">
        <f aca="false">IF($A4949="","",COUNTIF($U$8:$U$5007,$U4949))</f>
        <v/>
      </c>
    </row>
    <row r="4950" customFormat="false" ht="15" hidden="false" customHeight="false" outlineLevel="0" collapsed="false">
      <c r="A4950" s="31"/>
      <c r="B4950" s="32"/>
      <c r="C4950" s="32"/>
      <c r="D4950" s="32"/>
      <c r="E4950" s="32"/>
      <c r="F4950" s="32"/>
      <c r="G4950" s="33"/>
      <c r="H4950" s="33"/>
      <c r="I4950" s="34" t="str">
        <f aca="false">IF($A4950="","",$G4950-$H4950)</f>
        <v/>
      </c>
      <c r="J4950" s="35" t="str">
        <f aca="false">IF($A4950="","",IF(Setup!$B$6=1,YEAR($A4950),YEAR($A4950)+IF(MONTH($A4950)&gt;=Setup!$B$6,1,0)))</f>
        <v/>
      </c>
      <c r="K4950" s="35" t="str">
        <f aca="false">IF($A4950="","",MOD(MONTH($A4950)-Setup!$B$6+12,12)+1)</f>
        <v/>
      </c>
      <c r="L4950" s="36" t="str">
        <f aca="false">IF($A4950="","",TEXT($A4950,"MMM-YY"))</f>
        <v/>
      </c>
      <c r="M4950" s="37" t="str">
        <f aca="false">IF($A4950="","",IF($Q4950=0,"UNMAPPED",INDEX(COA_Mapping!$C$7:$C$256,$Q4950)))</f>
        <v/>
      </c>
      <c r="N4950" s="38" t="str">
        <f aca="false">IF($A4950="","",IF($Q4950=0,"",INDEX(COA_Mapping!$E$7:$E$256,$Q4950)))</f>
        <v/>
      </c>
      <c r="O4950" s="38" t="n">
        <f aca="false">IF($A4950="",1,IF($Q4950=0,1,INDEX(COA_Mapping!$F$7:$F$256,$Q4950)))</f>
        <v>1</v>
      </c>
      <c r="P4950" s="34" t="str">
        <f aca="false">IF($A4950="","",$I4950*$O4950)</f>
        <v/>
      </c>
      <c r="Q4950" s="39" t="n">
        <f aca="false">IF($B4950="",0,IFERROR(MATCH($B4950,COA_Mapping!$A$7:$A$256,0),0))</f>
        <v>0</v>
      </c>
      <c r="R4950" s="39" t="n">
        <f aca="false">IF($A4950="",-1,IF($J4950=Setup!$B$7,1,IF($J4950=Setup!$B$9,0,-1)))</f>
        <v>-1</v>
      </c>
      <c r="S4950" s="35" t="n">
        <f aca="false">IF(OR($A4950="",$Q4950=0,$R4950=-1),0,$Q4950*1000+$R4950*100+$K4950)</f>
        <v>0</v>
      </c>
      <c r="T4950" s="37" t="str">
        <f aca="false">IF($A4950="","",IF($B4950="","NO ACCOUNT",IF($Q4950=0,"UNMAPPED",IF($R4950=-1,"OUTSIDE FY RANGE","OK"))))</f>
        <v/>
      </c>
      <c r="U4950" s="40" t="str">
        <f aca="false">IF($A4950="","",$B4950&amp;"|"&amp;TEXT($A4950,"yyyymmdd")&amp;"|"&amp;TEXT($I4950,"0.00"))</f>
        <v/>
      </c>
      <c r="V4950" s="35" t="str">
        <f aca="false">IF($A4950="","",COUNTIF($U$8:$U$5007,$U4950))</f>
        <v/>
      </c>
    </row>
    <row r="4951" customFormat="false" ht="15" hidden="false" customHeight="false" outlineLevel="0" collapsed="false">
      <c r="A4951" s="31"/>
      <c r="B4951" s="32"/>
      <c r="C4951" s="32"/>
      <c r="D4951" s="32"/>
      <c r="E4951" s="32"/>
      <c r="F4951" s="32"/>
      <c r="G4951" s="33"/>
      <c r="H4951" s="33"/>
      <c r="I4951" s="34" t="str">
        <f aca="false">IF($A4951="","",$G4951-$H4951)</f>
        <v/>
      </c>
      <c r="J4951" s="35" t="str">
        <f aca="false">IF($A4951="","",IF(Setup!$B$6=1,YEAR($A4951),YEAR($A4951)+IF(MONTH($A4951)&gt;=Setup!$B$6,1,0)))</f>
        <v/>
      </c>
      <c r="K4951" s="35" t="str">
        <f aca="false">IF($A4951="","",MOD(MONTH($A4951)-Setup!$B$6+12,12)+1)</f>
        <v/>
      </c>
      <c r="L4951" s="36" t="str">
        <f aca="false">IF($A4951="","",TEXT($A4951,"MMM-YY"))</f>
        <v/>
      </c>
      <c r="M4951" s="37" t="str">
        <f aca="false">IF($A4951="","",IF($Q4951=0,"UNMAPPED",INDEX(COA_Mapping!$C$7:$C$256,$Q4951)))</f>
        <v/>
      </c>
      <c r="N4951" s="38" t="str">
        <f aca="false">IF($A4951="","",IF($Q4951=0,"",INDEX(COA_Mapping!$E$7:$E$256,$Q4951)))</f>
        <v/>
      </c>
      <c r="O4951" s="38" t="n">
        <f aca="false">IF($A4951="",1,IF($Q4951=0,1,INDEX(COA_Mapping!$F$7:$F$256,$Q4951)))</f>
        <v>1</v>
      </c>
      <c r="P4951" s="34" t="str">
        <f aca="false">IF($A4951="","",$I4951*$O4951)</f>
        <v/>
      </c>
      <c r="Q4951" s="39" t="n">
        <f aca="false">IF($B4951="",0,IFERROR(MATCH($B4951,COA_Mapping!$A$7:$A$256,0),0))</f>
        <v>0</v>
      </c>
      <c r="R4951" s="39" t="n">
        <f aca="false">IF($A4951="",-1,IF($J4951=Setup!$B$7,1,IF($J4951=Setup!$B$9,0,-1)))</f>
        <v>-1</v>
      </c>
      <c r="S4951" s="35" t="n">
        <f aca="false">IF(OR($A4951="",$Q4951=0,$R4951=-1),0,$Q4951*1000+$R4951*100+$K4951)</f>
        <v>0</v>
      </c>
      <c r="T4951" s="37" t="str">
        <f aca="false">IF($A4951="","",IF($B4951="","NO ACCOUNT",IF($Q4951=0,"UNMAPPED",IF($R4951=-1,"OUTSIDE FY RANGE","OK"))))</f>
        <v/>
      </c>
      <c r="U4951" s="40" t="str">
        <f aca="false">IF($A4951="","",$B4951&amp;"|"&amp;TEXT($A4951,"yyyymmdd")&amp;"|"&amp;TEXT($I4951,"0.00"))</f>
        <v/>
      </c>
      <c r="V4951" s="35" t="str">
        <f aca="false">IF($A4951="","",COUNTIF($U$8:$U$5007,$U4951))</f>
        <v/>
      </c>
    </row>
    <row r="4952" customFormat="false" ht="15" hidden="false" customHeight="false" outlineLevel="0" collapsed="false">
      <c r="A4952" s="31"/>
      <c r="B4952" s="32"/>
      <c r="C4952" s="32"/>
      <c r="D4952" s="32"/>
      <c r="E4952" s="32"/>
      <c r="F4952" s="32"/>
      <c r="G4952" s="33"/>
      <c r="H4952" s="33"/>
      <c r="I4952" s="34" t="str">
        <f aca="false">IF($A4952="","",$G4952-$H4952)</f>
        <v/>
      </c>
      <c r="J4952" s="35" t="str">
        <f aca="false">IF($A4952="","",IF(Setup!$B$6=1,YEAR($A4952),YEAR($A4952)+IF(MONTH($A4952)&gt;=Setup!$B$6,1,0)))</f>
        <v/>
      </c>
      <c r="K4952" s="35" t="str">
        <f aca="false">IF($A4952="","",MOD(MONTH($A4952)-Setup!$B$6+12,12)+1)</f>
        <v/>
      </c>
      <c r="L4952" s="36" t="str">
        <f aca="false">IF($A4952="","",TEXT($A4952,"MMM-YY"))</f>
        <v/>
      </c>
      <c r="M4952" s="37" t="str">
        <f aca="false">IF($A4952="","",IF($Q4952=0,"UNMAPPED",INDEX(COA_Mapping!$C$7:$C$256,$Q4952)))</f>
        <v/>
      </c>
      <c r="N4952" s="38" t="str">
        <f aca="false">IF($A4952="","",IF($Q4952=0,"",INDEX(COA_Mapping!$E$7:$E$256,$Q4952)))</f>
        <v/>
      </c>
      <c r="O4952" s="38" t="n">
        <f aca="false">IF($A4952="",1,IF($Q4952=0,1,INDEX(COA_Mapping!$F$7:$F$256,$Q4952)))</f>
        <v>1</v>
      </c>
      <c r="P4952" s="34" t="str">
        <f aca="false">IF($A4952="","",$I4952*$O4952)</f>
        <v/>
      </c>
      <c r="Q4952" s="39" t="n">
        <f aca="false">IF($B4952="",0,IFERROR(MATCH($B4952,COA_Mapping!$A$7:$A$256,0),0))</f>
        <v>0</v>
      </c>
      <c r="R4952" s="39" t="n">
        <f aca="false">IF($A4952="",-1,IF($J4952=Setup!$B$7,1,IF($J4952=Setup!$B$9,0,-1)))</f>
        <v>-1</v>
      </c>
      <c r="S4952" s="35" t="n">
        <f aca="false">IF(OR($A4952="",$Q4952=0,$R4952=-1),0,$Q4952*1000+$R4952*100+$K4952)</f>
        <v>0</v>
      </c>
      <c r="T4952" s="37" t="str">
        <f aca="false">IF($A4952="","",IF($B4952="","NO ACCOUNT",IF($Q4952=0,"UNMAPPED",IF($R4952=-1,"OUTSIDE FY RANGE","OK"))))</f>
        <v/>
      </c>
      <c r="U4952" s="40" t="str">
        <f aca="false">IF($A4952="","",$B4952&amp;"|"&amp;TEXT($A4952,"yyyymmdd")&amp;"|"&amp;TEXT($I4952,"0.00"))</f>
        <v/>
      </c>
      <c r="V4952" s="35" t="str">
        <f aca="false">IF($A4952="","",COUNTIF($U$8:$U$5007,$U4952))</f>
        <v/>
      </c>
    </row>
    <row r="4953" customFormat="false" ht="15" hidden="false" customHeight="false" outlineLevel="0" collapsed="false">
      <c r="A4953" s="31"/>
      <c r="B4953" s="32"/>
      <c r="C4953" s="32"/>
      <c r="D4953" s="32"/>
      <c r="E4953" s="32"/>
      <c r="F4953" s="32"/>
      <c r="G4953" s="33"/>
      <c r="H4953" s="33"/>
      <c r="I4953" s="34" t="str">
        <f aca="false">IF($A4953="","",$G4953-$H4953)</f>
        <v/>
      </c>
      <c r="J4953" s="35" t="str">
        <f aca="false">IF($A4953="","",IF(Setup!$B$6=1,YEAR($A4953),YEAR($A4953)+IF(MONTH($A4953)&gt;=Setup!$B$6,1,0)))</f>
        <v/>
      </c>
      <c r="K4953" s="35" t="str">
        <f aca="false">IF($A4953="","",MOD(MONTH($A4953)-Setup!$B$6+12,12)+1)</f>
        <v/>
      </c>
      <c r="L4953" s="36" t="str">
        <f aca="false">IF($A4953="","",TEXT($A4953,"MMM-YY"))</f>
        <v/>
      </c>
      <c r="M4953" s="37" t="str">
        <f aca="false">IF($A4953="","",IF($Q4953=0,"UNMAPPED",INDEX(COA_Mapping!$C$7:$C$256,$Q4953)))</f>
        <v/>
      </c>
      <c r="N4953" s="38" t="str">
        <f aca="false">IF($A4953="","",IF($Q4953=0,"",INDEX(COA_Mapping!$E$7:$E$256,$Q4953)))</f>
        <v/>
      </c>
      <c r="O4953" s="38" t="n">
        <f aca="false">IF($A4953="",1,IF($Q4953=0,1,INDEX(COA_Mapping!$F$7:$F$256,$Q4953)))</f>
        <v>1</v>
      </c>
      <c r="P4953" s="34" t="str">
        <f aca="false">IF($A4953="","",$I4953*$O4953)</f>
        <v/>
      </c>
      <c r="Q4953" s="39" t="n">
        <f aca="false">IF($B4953="",0,IFERROR(MATCH($B4953,COA_Mapping!$A$7:$A$256,0),0))</f>
        <v>0</v>
      </c>
      <c r="R4953" s="39" t="n">
        <f aca="false">IF($A4953="",-1,IF($J4953=Setup!$B$7,1,IF($J4953=Setup!$B$9,0,-1)))</f>
        <v>-1</v>
      </c>
      <c r="S4953" s="35" t="n">
        <f aca="false">IF(OR($A4953="",$Q4953=0,$R4953=-1),0,$Q4953*1000+$R4953*100+$K4953)</f>
        <v>0</v>
      </c>
      <c r="T4953" s="37" t="str">
        <f aca="false">IF($A4953="","",IF($B4953="","NO ACCOUNT",IF($Q4953=0,"UNMAPPED",IF($R4953=-1,"OUTSIDE FY RANGE","OK"))))</f>
        <v/>
      </c>
      <c r="U4953" s="40" t="str">
        <f aca="false">IF($A4953="","",$B4953&amp;"|"&amp;TEXT($A4953,"yyyymmdd")&amp;"|"&amp;TEXT($I4953,"0.00"))</f>
        <v/>
      </c>
      <c r="V4953" s="35" t="str">
        <f aca="false">IF($A4953="","",COUNTIF($U$8:$U$5007,$U4953))</f>
        <v/>
      </c>
    </row>
    <row r="4954" customFormat="false" ht="15" hidden="false" customHeight="false" outlineLevel="0" collapsed="false">
      <c r="A4954" s="31"/>
      <c r="B4954" s="32"/>
      <c r="C4954" s="32"/>
      <c r="D4954" s="32"/>
      <c r="E4954" s="32"/>
      <c r="F4954" s="32"/>
      <c r="G4954" s="33"/>
      <c r="H4954" s="33"/>
      <c r="I4954" s="34" t="str">
        <f aca="false">IF($A4954="","",$G4954-$H4954)</f>
        <v/>
      </c>
      <c r="J4954" s="35" t="str">
        <f aca="false">IF($A4954="","",IF(Setup!$B$6=1,YEAR($A4954),YEAR($A4954)+IF(MONTH($A4954)&gt;=Setup!$B$6,1,0)))</f>
        <v/>
      </c>
      <c r="K4954" s="35" t="str">
        <f aca="false">IF($A4954="","",MOD(MONTH($A4954)-Setup!$B$6+12,12)+1)</f>
        <v/>
      </c>
      <c r="L4954" s="36" t="str">
        <f aca="false">IF($A4954="","",TEXT($A4954,"MMM-YY"))</f>
        <v/>
      </c>
      <c r="M4954" s="37" t="str">
        <f aca="false">IF($A4954="","",IF($Q4954=0,"UNMAPPED",INDEX(COA_Mapping!$C$7:$C$256,$Q4954)))</f>
        <v/>
      </c>
      <c r="N4954" s="38" t="str">
        <f aca="false">IF($A4954="","",IF($Q4954=0,"",INDEX(COA_Mapping!$E$7:$E$256,$Q4954)))</f>
        <v/>
      </c>
      <c r="O4954" s="38" t="n">
        <f aca="false">IF($A4954="",1,IF($Q4954=0,1,INDEX(COA_Mapping!$F$7:$F$256,$Q4954)))</f>
        <v>1</v>
      </c>
      <c r="P4954" s="34" t="str">
        <f aca="false">IF($A4954="","",$I4954*$O4954)</f>
        <v/>
      </c>
      <c r="Q4954" s="39" t="n">
        <f aca="false">IF($B4954="",0,IFERROR(MATCH($B4954,COA_Mapping!$A$7:$A$256,0),0))</f>
        <v>0</v>
      </c>
      <c r="R4954" s="39" t="n">
        <f aca="false">IF($A4954="",-1,IF($J4954=Setup!$B$7,1,IF($J4954=Setup!$B$9,0,-1)))</f>
        <v>-1</v>
      </c>
      <c r="S4954" s="35" t="n">
        <f aca="false">IF(OR($A4954="",$Q4954=0,$R4954=-1),0,$Q4954*1000+$R4954*100+$K4954)</f>
        <v>0</v>
      </c>
      <c r="T4954" s="37" t="str">
        <f aca="false">IF($A4954="","",IF($B4954="","NO ACCOUNT",IF($Q4954=0,"UNMAPPED",IF($R4954=-1,"OUTSIDE FY RANGE","OK"))))</f>
        <v/>
      </c>
      <c r="U4954" s="40" t="str">
        <f aca="false">IF($A4954="","",$B4954&amp;"|"&amp;TEXT($A4954,"yyyymmdd")&amp;"|"&amp;TEXT($I4954,"0.00"))</f>
        <v/>
      </c>
      <c r="V4954" s="35" t="str">
        <f aca="false">IF($A4954="","",COUNTIF($U$8:$U$5007,$U4954))</f>
        <v/>
      </c>
    </row>
    <row r="4955" customFormat="false" ht="15" hidden="false" customHeight="false" outlineLevel="0" collapsed="false">
      <c r="A4955" s="31"/>
      <c r="B4955" s="32"/>
      <c r="C4955" s="32"/>
      <c r="D4955" s="32"/>
      <c r="E4955" s="32"/>
      <c r="F4955" s="32"/>
      <c r="G4955" s="33"/>
      <c r="H4955" s="33"/>
      <c r="I4955" s="34" t="str">
        <f aca="false">IF($A4955="","",$G4955-$H4955)</f>
        <v/>
      </c>
      <c r="J4955" s="35" t="str">
        <f aca="false">IF($A4955="","",IF(Setup!$B$6=1,YEAR($A4955),YEAR($A4955)+IF(MONTH($A4955)&gt;=Setup!$B$6,1,0)))</f>
        <v/>
      </c>
      <c r="K4955" s="35" t="str">
        <f aca="false">IF($A4955="","",MOD(MONTH($A4955)-Setup!$B$6+12,12)+1)</f>
        <v/>
      </c>
      <c r="L4955" s="36" t="str">
        <f aca="false">IF($A4955="","",TEXT($A4955,"MMM-YY"))</f>
        <v/>
      </c>
      <c r="M4955" s="37" t="str">
        <f aca="false">IF($A4955="","",IF($Q4955=0,"UNMAPPED",INDEX(COA_Mapping!$C$7:$C$256,$Q4955)))</f>
        <v/>
      </c>
      <c r="N4955" s="38" t="str">
        <f aca="false">IF($A4955="","",IF($Q4955=0,"",INDEX(COA_Mapping!$E$7:$E$256,$Q4955)))</f>
        <v/>
      </c>
      <c r="O4955" s="38" t="n">
        <f aca="false">IF($A4955="",1,IF($Q4955=0,1,INDEX(COA_Mapping!$F$7:$F$256,$Q4955)))</f>
        <v>1</v>
      </c>
      <c r="P4955" s="34" t="str">
        <f aca="false">IF($A4955="","",$I4955*$O4955)</f>
        <v/>
      </c>
      <c r="Q4955" s="39" t="n">
        <f aca="false">IF($B4955="",0,IFERROR(MATCH($B4955,COA_Mapping!$A$7:$A$256,0),0))</f>
        <v>0</v>
      </c>
      <c r="R4955" s="39" t="n">
        <f aca="false">IF($A4955="",-1,IF($J4955=Setup!$B$7,1,IF($J4955=Setup!$B$9,0,-1)))</f>
        <v>-1</v>
      </c>
      <c r="S4955" s="35" t="n">
        <f aca="false">IF(OR($A4955="",$Q4955=0,$R4955=-1),0,$Q4955*1000+$R4955*100+$K4955)</f>
        <v>0</v>
      </c>
      <c r="T4955" s="37" t="str">
        <f aca="false">IF($A4955="","",IF($B4955="","NO ACCOUNT",IF($Q4955=0,"UNMAPPED",IF($R4955=-1,"OUTSIDE FY RANGE","OK"))))</f>
        <v/>
      </c>
      <c r="U4955" s="40" t="str">
        <f aca="false">IF($A4955="","",$B4955&amp;"|"&amp;TEXT($A4955,"yyyymmdd")&amp;"|"&amp;TEXT($I4955,"0.00"))</f>
        <v/>
      </c>
      <c r="V4955" s="35" t="str">
        <f aca="false">IF($A4955="","",COUNTIF($U$8:$U$5007,$U4955))</f>
        <v/>
      </c>
    </row>
    <row r="4956" customFormat="false" ht="15" hidden="false" customHeight="false" outlineLevel="0" collapsed="false">
      <c r="A4956" s="31"/>
      <c r="B4956" s="32"/>
      <c r="C4956" s="32"/>
      <c r="D4956" s="32"/>
      <c r="E4956" s="32"/>
      <c r="F4956" s="32"/>
      <c r="G4956" s="33"/>
      <c r="H4956" s="33"/>
      <c r="I4956" s="34" t="str">
        <f aca="false">IF($A4956="","",$G4956-$H4956)</f>
        <v/>
      </c>
      <c r="J4956" s="35" t="str">
        <f aca="false">IF($A4956="","",IF(Setup!$B$6=1,YEAR($A4956),YEAR($A4956)+IF(MONTH($A4956)&gt;=Setup!$B$6,1,0)))</f>
        <v/>
      </c>
      <c r="K4956" s="35" t="str">
        <f aca="false">IF($A4956="","",MOD(MONTH($A4956)-Setup!$B$6+12,12)+1)</f>
        <v/>
      </c>
      <c r="L4956" s="36" t="str">
        <f aca="false">IF($A4956="","",TEXT($A4956,"MMM-YY"))</f>
        <v/>
      </c>
      <c r="M4956" s="37" t="str">
        <f aca="false">IF($A4956="","",IF($Q4956=0,"UNMAPPED",INDEX(COA_Mapping!$C$7:$C$256,$Q4956)))</f>
        <v/>
      </c>
      <c r="N4956" s="38" t="str">
        <f aca="false">IF($A4956="","",IF($Q4956=0,"",INDEX(COA_Mapping!$E$7:$E$256,$Q4956)))</f>
        <v/>
      </c>
      <c r="O4956" s="38" t="n">
        <f aca="false">IF($A4956="",1,IF($Q4956=0,1,INDEX(COA_Mapping!$F$7:$F$256,$Q4956)))</f>
        <v>1</v>
      </c>
      <c r="P4956" s="34" t="str">
        <f aca="false">IF($A4956="","",$I4956*$O4956)</f>
        <v/>
      </c>
      <c r="Q4956" s="39" t="n">
        <f aca="false">IF($B4956="",0,IFERROR(MATCH($B4956,COA_Mapping!$A$7:$A$256,0),0))</f>
        <v>0</v>
      </c>
      <c r="R4956" s="39" t="n">
        <f aca="false">IF($A4956="",-1,IF($J4956=Setup!$B$7,1,IF($J4956=Setup!$B$9,0,-1)))</f>
        <v>-1</v>
      </c>
      <c r="S4956" s="35" t="n">
        <f aca="false">IF(OR($A4956="",$Q4956=0,$R4956=-1),0,$Q4956*1000+$R4956*100+$K4956)</f>
        <v>0</v>
      </c>
      <c r="T4956" s="37" t="str">
        <f aca="false">IF($A4956="","",IF($B4956="","NO ACCOUNT",IF($Q4956=0,"UNMAPPED",IF($R4956=-1,"OUTSIDE FY RANGE","OK"))))</f>
        <v/>
      </c>
      <c r="U4956" s="40" t="str">
        <f aca="false">IF($A4956="","",$B4956&amp;"|"&amp;TEXT($A4956,"yyyymmdd")&amp;"|"&amp;TEXT($I4956,"0.00"))</f>
        <v/>
      </c>
      <c r="V4956" s="35" t="str">
        <f aca="false">IF($A4956="","",COUNTIF($U$8:$U$5007,$U4956))</f>
        <v/>
      </c>
    </row>
    <row r="4957" customFormat="false" ht="15" hidden="false" customHeight="false" outlineLevel="0" collapsed="false">
      <c r="A4957" s="31"/>
      <c r="B4957" s="32"/>
      <c r="C4957" s="32"/>
      <c r="D4957" s="32"/>
      <c r="E4957" s="32"/>
      <c r="F4957" s="32"/>
      <c r="G4957" s="33"/>
      <c r="H4957" s="33"/>
      <c r="I4957" s="34" t="str">
        <f aca="false">IF($A4957="","",$G4957-$H4957)</f>
        <v/>
      </c>
      <c r="J4957" s="35" t="str">
        <f aca="false">IF($A4957="","",IF(Setup!$B$6=1,YEAR($A4957),YEAR($A4957)+IF(MONTH($A4957)&gt;=Setup!$B$6,1,0)))</f>
        <v/>
      </c>
      <c r="K4957" s="35" t="str">
        <f aca="false">IF($A4957="","",MOD(MONTH($A4957)-Setup!$B$6+12,12)+1)</f>
        <v/>
      </c>
      <c r="L4957" s="36" t="str">
        <f aca="false">IF($A4957="","",TEXT($A4957,"MMM-YY"))</f>
        <v/>
      </c>
      <c r="M4957" s="37" t="str">
        <f aca="false">IF($A4957="","",IF($Q4957=0,"UNMAPPED",INDEX(COA_Mapping!$C$7:$C$256,$Q4957)))</f>
        <v/>
      </c>
      <c r="N4957" s="38" t="str">
        <f aca="false">IF($A4957="","",IF($Q4957=0,"",INDEX(COA_Mapping!$E$7:$E$256,$Q4957)))</f>
        <v/>
      </c>
      <c r="O4957" s="38" t="n">
        <f aca="false">IF($A4957="",1,IF($Q4957=0,1,INDEX(COA_Mapping!$F$7:$F$256,$Q4957)))</f>
        <v>1</v>
      </c>
      <c r="P4957" s="34" t="str">
        <f aca="false">IF($A4957="","",$I4957*$O4957)</f>
        <v/>
      </c>
      <c r="Q4957" s="39" t="n">
        <f aca="false">IF($B4957="",0,IFERROR(MATCH($B4957,COA_Mapping!$A$7:$A$256,0),0))</f>
        <v>0</v>
      </c>
      <c r="R4957" s="39" t="n">
        <f aca="false">IF($A4957="",-1,IF($J4957=Setup!$B$7,1,IF($J4957=Setup!$B$9,0,-1)))</f>
        <v>-1</v>
      </c>
      <c r="S4957" s="35" t="n">
        <f aca="false">IF(OR($A4957="",$Q4957=0,$R4957=-1),0,$Q4957*1000+$R4957*100+$K4957)</f>
        <v>0</v>
      </c>
      <c r="T4957" s="37" t="str">
        <f aca="false">IF($A4957="","",IF($B4957="","NO ACCOUNT",IF($Q4957=0,"UNMAPPED",IF($R4957=-1,"OUTSIDE FY RANGE","OK"))))</f>
        <v/>
      </c>
      <c r="U4957" s="40" t="str">
        <f aca="false">IF($A4957="","",$B4957&amp;"|"&amp;TEXT($A4957,"yyyymmdd")&amp;"|"&amp;TEXT($I4957,"0.00"))</f>
        <v/>
      </c>
      <c r="V4957" s="35" t="str">
        <f aca="false">IF($A4957="","",COUNTIF($U$8:$U$5007,$U4957))</f>
        <v/>
      </c>
    </row>
    <row r="4958" customFormat="false" ht="15" hidden="false" customHeight="false" outlineLevel="0" collapsed="false">
      <c r="A4958" s="31"/>
      <c r="B4958" s="32"/>
      <c r="C4958" s="32"/>
      <c r="D4958" s="32"/>
      <c r="E4958" s="32"/>
      <c r="F4958" s="32"/>
      <c r="G4958" s="33"/>
      <c r="H4958" s="33"/>
      <c r="I4958" s="34" t="str">
        <f aca="false">IF($A4958="","",$G4958-$H4958)</f>
        <v/>
      </c>
      <c r="J4958" s="35" t="str">
        <f aca="false">IF($A4958="","",IF(Setup!$B$6=1,YEAR($A4958),YEAR($A4958)+IF(MONTH($A4958)&gt;=Setup!$B$6,1,0)))</f>
        <v/>
      </c>
      <c r="K4958" s="35" t="str">
        <f aca="false">IF($A4958="","",MOD(MONTH($A4958)-Setup!$B$6+12,12)+1)</f>
        <v/>
      </c>
      <c r="L4958" s="36" t="str">
        <f aca="false">IF($A4958="","",TEXT($A4958,"MMM-YY"))</f>
        <v/>
      </c>
      <c r="M4958" s="37" t="str">
        <f aca="false">IF($A4958="","",IF($Q4958=0,"UNMAPPED",INDEX(COA_Mapping!$C$7:$C$256,$Q4958)))</f>
        <v/>
      </c>
      <c r="N4958" s="38" t="str">
        <f aca="false">IF($A4958="","",IF($Q4958=0,"",INDEX(COA_Mapping!$E$7:$E$256,$Q4958)))</f>
        <v/>
      </c>
      <c r="O4958" s="38" t="n">
        <f aca="false">IF($A4958="",1,IF($Q4958=0,1,INDEX(COA_Mapping!$F$7:$F$256,$Q4958)))</f>
        <v>1</v>
      </c>
      <c r="P4958" s="34" t="str">
        <f aca="false">IF($A4958="","",$I4958*$O4958)</f>
        <v/>
      </c>
      <c r="Q4958" s="39" t="n">
        <f aca="false">IF($B4958="",0,IFERROR(MATCH($B4958,COA_Mapping!$A$7:$A$256,0),0))</f>
        <v>0</v>
      </c>
      <c r="R4958" s="39" t="n">
        <f aca="false">IF($A4958="",-1,IF($J4958=Setup!$B$7,1,IF($J4958=Setup!$B$9,0,-1)))</f>
        <v>-1</v>
      </c>
      <c r="S4958" s="35" t="n">
        <f aca="false">IF(OR($A4958="",$Q4958=0,$R4958=-1),0,$Q4958*1000+$R4958*100+$K4958)</f>
        <v>0</v>
      </c>
      <c r="T4958" s="37" t="str">
        <f aca="false">IF($A4958="","",IF($B4958="","NO ACCOUNT",IF($Q4958=0,"UNMAPPED",IF($R4958=-1,"OUTSIDE FY RANGE","OK"))))</f>
        <v/>
      </c>
      <c r="U4958" s="40" t="str">
        <f aca="false">IF($A4958="","",$B4958&amp;"|"&amp;TEXT($A4958,"yyyymmdd")&amp;"|"&amp;TEXT($I4958,"0.00"))</f>
        <v/>
      </c>
      <c r="V4958" s="35" t="str">
        <f aca="false">IF($A4958="","",COUNTIF($U$8:$U$5007,$U4958))</f>
        <v/>
      </c>
    </row>
    <row r="4959" customFormat="false" ht="15" hidden="false" customHeight="false" outlineLevel="0" collapsed="false">
      <c r="A4959" s="31"/>
      <c r="B4959" s="32"/>
      <c r="C4959" s="32"/>
      <c r="D4959" s="32"/>
      <c r="E4959" s="32"/>
      <c r="F4959" s="32"/>
      <c r="G4959" s="33"/>
      <c r="H4959" s="33"/>
      <c r="I4959" s="34" t="str">
        <f aca="false">IF($A4959="","",$G4959-$H4959)</f>
        <v/>
      </c>
      <c r="J4959" s="35" t="str">
        <f aca="false">IF($A4959="","",IF(Setup!$B$6=1,YEAR($A4959),YEAR($A4959)+IF(MONTH($A4959)&gt;=Setup!$B$6,1,0)))</f>
        <v/>
      </c>
      <c r="K4959" s="35" t="str">
        <f aca="false">IF($A4959="","",MOD(MONTH($A4959)-Setup!$B$6+12,12)+1)</f>
        <v/>
      </c>
      <c r="L4959" s="36" t="str">
        <f aca="false">IF($A4959="","",TEXT($A4959,"MMM-YY"))</f>
        <v/>
      </c>
      <c r="M4959" s="37" t="str">
        <f aca="false">IF($A4959="","",IF($Q4959=0,"UNMAPPED",INDEX(COA_Mapping!$C$7:$C$256,$Q4959)))</f>
        <v/>
      </c>
      <c r="N4959" s="38" t="str">
        <f aca="false">IF($A4959="","",IF($Q4959=0,"",INDEX(COA_Mapping!$E$7:$E$256,$Q4959)))</f>
        <v/>
      </c>
      <c r="O4959" s="38" t="n">
        <f aca="false">IF($A4959="",1,IF($Q4959=0,1,INDEX(COA_Mapping!$F$7:$F$256,$Q4959)))</f>
        <v>1</v>
      </c>
      <c r="P4959" s="34" t="str">
        <f aca="false">IF($A4959="","",$I4959*$O4959)</f>
        <v/>
      </c>
      <c r="Q4959" s="39" t="n">
        <f aca="false">IF($B4959="",0,IFERROR(MATCH($B4959,COA_Mapping!$A$7:$A$256,0),0))</f>
        <v>0</v>
      </c>
      <c r="R4959" s="39" t="n">
        <f aca="false">IF($A4959="",-1,IF($J4959=Setup!$B$7,1,IF($J4959=Setup!$B$9,0,-1)))</f>
        <v>-1</v>
      </c>
      <c r="S4959" s="35" t="n">
        <f aca="false">IF(OR($A4959="",$Q4959=0,$R4959=-1),0,$Q4959*1000+$R4959*100+$K4959)</f>
        <v>0</v>
      </c>
      <c r="T4959" s="37" t="str">
        <f aca="false">IF($A4959="","",IF($B4959="","NO ACCOUNT",IF($Q4959=0,"UNMAPPED",IF($R4959=-1,"OUTSIDE FY RANGE","OK"))))</f>
        <v/>
      </c>
      <c r="U4959" s="40" t="str">
        <f aca="false">IF($A4959="","",$B4959&amp;"|"&amp;TEXT($A4959,"yyyymmdd")&amp;"|"&amp;TEXT($I4959,"0.00"))</f>
        <v/>
      </c>
      <c r="V4959" s="35" t="str">
        <f aca="false">IF($A4959="","",COUNTIF($U$8:$U$5007,$U4959))</f>
        <v/>
      </c>
    </row>
    <row r="4960" customFormat="false" ht="15" hidden="false" customHeight="false" outlineLevel="0" collapsed="false">
      <c r="A4960" s="31"/>
      <c r="B4960" s="32"/>
      <c r="C4960" s="32"/>
      <c r="D4960" s="32"/>
      <c r="E4960" s="32"/>
      <c r="F4960" s="32"/>
      <c r="G4960" s="33"/>
      <c r="H4960" s="33"/>
      <c r="I4960" s="34" t="str">
        <f aca="false">IF($A4960="","",$G4960-$H4960)</f>
        <v/>
      </c>
      <c r="J4960" s="35" t="str">
        <f aca="false">IF($A4960="","",IF(Setup!$B$6=1,YEAR($A4960),YEAR($A4960)+IF(MONTH($A4960)&gt;=Setup!$B$6,1,0)))</f>
        <v/>
      </c>
      <c r="K4960" s="35" t="str">
        <f aca="false">IF($A4960="","",MOD(MONTH($A4960)-Setup!$B$6+12,12)+1)</f>
        <v/>
      </c>
      <c r="L4960" s="36" t="str">
        <f aca="false">IF($A4960="","",TEXT($A4960,"MMM-YY"))</f>
        <v/>
      </c>
      <c r="M4960" s="37" t="str">
        <f aca="false">IF($A4960="","",IF($Q4960=0,"UNMAPPED",INDEX(COA_Mapping!$C$7:$C$256,$Q4960)))</f>
        <v/>
      </c>
      <c r="N4960" s="38" t="str">
        <f aca="false">IF($A4960="","",IF($Q4960=0,"",INDEX(COA_Mapping!$E$7:$E$256,$Q4960)))</f>
        <v/>
      </c>
      <c r="O4960" s="38" t="n">
        <f aca="false">IF($A4960="",1,IF($Q4960=0,1,INDEX(COA_Mapping!$F$7:$F$256,$Q4960)))</f>
        <v>1</v>
      </c>
      <c r="P4960" s="34" t="str">
        <f aca="false">IF($A4960="","",$I4960*$O4960)</f>
        <v/>
      </c>
      <c r="Q4960" s="39" t="n">
        <f aca="false">IF($B4960="",0,IFERROR(MATCH($B4960,COA_Mapping!$A$7:$A$256,0),0))</f>
        <v>0</v>
      </c>
      <c r="R4960" s="39" t="n">
        <f aca="false">IF($A4960="",-1,IF($J4960=Setup!$B$7,1,IF($J4960=Setup!$B$9,0,-1)))</f>
        <v>-1</v>
      </c>
      <c r="S4960" s="35" t="n">
        <f aca="false">IF(OR($A4960="",$Q4960=0,$R4960=-1),0,$Q4960*1000+$R4960*100+$K4960)</f>
        <v>0</v>
      </c>
      <c r="T4960" s="37" t="str">
        <f aca="false">IF($A4960="","",IF($B4960="","NO ACCOUNT",IF($Q4960=0,"UNMAPPED",IF($R4960=-1,"OUTSIDE FY RANGE","OK"))))</f>
        <v/>
      </c>
      <c r="U4960" s="40" t="str">
        <f aca="false">IF($A4960="","",$B4960&amp;"|"&amp;TEXT($A4960,"yyyymmdd")&amp;"|"&amp;TEXT($I4960,"0.00"))</f>
        <v/>
      </c>
      <c r="V4960" s="35" t="str">
        <f aca="false">IF($A4960="","",COUNTIF($U$8:$U$5007,$U4960))</f>
        <v/>
      </c>
    </row>
    <row r="4961" customFormat="false" ht="15" hidden="false" customHeight="false" outlineLevel="0" collapsed="false">
      <c r="A4961" s="31"/>
      <c r="B4961" s="32"/>
      <c r="C4961" s="32"/>
      <c r="D4961" s="32"/>
      <c r="E4961" s="32"/>
      <c r="F4961" s="32"/>
      <c r="G4961" s="33"/>
      <c r="H4961" s="33"/>
      <c r="I4961" s="34" t="str">
        <f aca="false">IF($A4961="","",$G4961-$H4961)</f>
        <v/>
      </c>
      <c r="J4961" s="35" t="str">
        <f aca="false">IF($A4961="","",IF(Setup!$B$6=1,YEAR($A4961),YEAR($A4961)+IF(MONTH($A4961)&gt;=Setup!$B$6,1,0)))</f>
        <v/>
      </c>
      <c r="K4961" s="35" t="str">
        <f aca="false">IF($A4961="","",MOD(MONTH($A4961)-Setup!$B$6+12,12)+1)</f>
        <v/>
      </c>
      <c r="L4961" s="36" t="str">
        <f aca="false">IF($A4961="","",TEXT($A4961,"MMM-YY"))</f>
        <v/>
      </c>
      <c r="M4961" s="37" t="str">
        <f aca="false">IF($A4961="","",IF($Q4961=0,"UNMAPPED",INDEX(COA_Mapping!$C$7:$C$256,$Q4961)))</f>
        <v/>
      </c>
      <c r="N4961" s="38" t="str">
        <f aca="false">IF($A4961="","",IF($Q4961=0,"",INDEX(COA_Mapping!$E$7:$E$256,$Q4961)))</f>
        <v/>
      </c>
      <c r="O4961" s="38" t="n">
        <f aca="false">IF($A4961="",1,IF($Q4961=0,1,INDEX(COA_Mapping!$F$7:$F$256,$Q4961)))</f>
        <v>1</v>
      </c>
      <c r="P4961" s="34" t="str">
        <f aca="false">IF($A4961="","",$I4961*$O4961)</f>
        <v/>
      </c>
      <c r="Q4961" s="39" t="n">
        <f aca="false">IF($B4961="",0,IFERROR(MATCH($B4961,COA_Mapping!$A$7:$A$256,0),0))</f>
        <v>0</v>
      </c>
      <c r="R4961" s="39" t="n">
        <f aca="false">IF($A4961="",-1,IF($J4961=Setup!$B$7,1,IF($J4961=Setup!$B$9,0,-1)))</f>
        <v>-1</v>
      </c>
      <c r="S4961" s="35" t="n">
        <f aca="false">IF(OR($A4961="",$Q4961=0,$R4961=-1),0,$Q4961*1000+$R4961*100+$K4961)</f>
        <v>0</v>
      </c>
      <c r="T4961" s="37" t="str">
        <f aca="false">IF($A4961="","",IF($B4961="","NO ACCOUNT",IF($Q4961=0,"UNMAPPED",IF($R4961=-1,"OUTSIDE FY RANGE","OK"))))</f>
        <v/>
      </c>
      <c r="U4961" s="40" t="str">
        <f aca="false">IF($A4961="","",$B4961&amp;"|"&amp;TEXT($A4961,"yyyymmdd")&amp;"|"&amp;TEXT($I4961,"0.00"))</f>
        <v/>
      </c>
      <c r="V4961" s="35" t="str">
        <f aca="false">IF($A4961="","",COUNTIF($U$8:$U$5007,$U4961))</f>
        <v/>
      </c>
    </row>
    <row r="4962" customFormat="false" ht="15" hidden="false" customHeight="false" outlineLevel="0" collapsed="false">
      <c r="A4962" s="31"/>
      <c r="B4962" s="32"/>
      <c r="C4962" s="32"/>
      <c r="D4962" s="32"/>
      <c r="E4962" s="32"/>
      <c r="F4962" s="32"/>
      <c r="G4962" s="33"/>
      <c r="H4962" s="33"/>
      <c r="I4962" s="34" t="str">
        <f aca="false">IF($A4962="","",$G4962-$H4962)</f>
        <v/>
      </c>
      <c r="J4962" s="35" t="str">
        <f aca="false">IF($A4962="","",IF(Setup!$B$6=1,YEAR($A4962),YEAR($A4962)+IF(MONTH($A4962)&gt;=Setup!$B$6,1,0)))</f>
        <v/>
      </c>
      <c r="K4962" s="35" t="str">
        <f aca="false">IF($A4962="","",MOD(MONTH($A4962)-Setup!$B$6+12,12)+1)</f>
        <v/>
      </c>
      <c r="L4962" s="36" t="str">
        <f aca="false">IF($A4962="","",TEXT($A4962,"MMM-YY"))</f>
        <v/>
      </c>
      <c r="M4962" s="37" t="str">
        <f aca="false">IF($A4962="","",IF($Q4962=0,"UNMAPPED",INDEX(COA_Mapping!$C$7:$C$256,$Q4962)))</f>
        <v/>
      </c>
      <c r="N4962" s="38" t="str">
        <f aca="false">IF($A4962="","",IF($Q4962=0,"",INDEX(COA_Mapping!$E$7:$E$256,$Q4962)))</f>
        <v/>
      </c>
      <c r="O4962" s="38" t="n">
        <f aca="false">IF($A4962="",1,IF($Q4962=0,1,INDEX(COA_Mapping!$F$7:$F$256,$Q4962)))</f>
        <v>1</v>
      </c>
      <c r="P4962" s="34" t="str">
        <f aca="false">IF($A4962="","",$I4962*$O4962)</f>
        <v/>
      </c>
      <c r="Q4962" s="39" t="n">
        <f aca="false">IF($B4962="",0,IFERROR(MATCH($B4962,COA_Mapping!$A$7:$A$256,0),0))</f>
        <v>0</v>
      </c>
      <c r="R4962" s="39" t="n">
        <f aca="false">IF($A4962="",-1,IF($J4962=Setup!$B$7,1,IF($J4962=Setup!$B$9,0,-1)))</f>
        <v>-1</v>
      </c>
      <c r="S4962" s="35" t="n">
        <f aca="false">IF(OR($A4962="",$Q4962=0,$R4962=-1),0,$Q4962*1000+$R4962*100+$K4962)</f>
        <v>0</v>
      </c>
      <c r="T4962" s="37" t="str">
        <f aca="false">IF($A4962="","",IF($B4962="","NO ACCOUNT",IF($Q4962=0,"UNMAPPED",IF($R4962=-1,"OUTSIDE FY RANGE","OK"))))</f>
        <v/>
      </c>
      <c r="U4962" s="40" t="str">
        <f aca="false">IF($A4962="","",$B4962&amp;"|"&amp;TEXT($A4962,"yyyymmdd")&amp;"|"&amp;TEXT($I4962,"0.00"))</f>
        <v/>
      </c>
      <c r="V4962" s="35" t="str">
        <f aca="false">IF($A4962="","",COUNTIF($U$8:$U$5007,$U4962))</f>
        <v/>
      </c>
    </row>
    <row r="4963" customFormat="false" ht="15" hidden="false" customHeight="false" outlineLevel="0" collapsed="false">
      <c r="A4963" s="31"/>
      <c r="B4963" s="32"/>
      <c r="C4963" s="32"/>
      <c r="D4963" s="32"/>
      <c r="E4963" s="32"/>
      <c r="F4963" s="32"/>
      <c r="G4963" s="33"/>
      <c r="H4963" s="33"/>
      <c r="I4963" s="34" t="str">
        <f aca="false">IF($A4963="","",$G4963-$H4963)</f>
        <v/>
      </c>
      <c r="J4963" s="35" t="str">
        <f aca="false">IF($A4963="","",IF(Setup!$B$6=1,YEAR($A4963),YEAR($A4963)+IF(MONTH($A4963)&gt;=Setup!$B$6,1,0)))</f>
        <v/>
      </c>
      <c r="K4963" s="35" t="str">
        <f aca="false">IF($A4963="","",MOD(MONTH($A4963)-Setup!$B$6+12,12)+1)</f>
        <v/>
      </c>
      <c r="L4963" s="36" t="str">
        <f aca="false">IF($A4963="","",TEXT($A4963,"MMM-YY"))</f>
        <v/>
      </c>
      <c r="M4963" s="37" t="str">
        <f aca="false">IF($A4963="","",IF($Q4963=0,"UNMAPPED",INDEX(COA_Mapping!$C$7:$C$256,$Q4963)))</f>
        <v/>
      </c>
      <c r="N4963" s="38" t="str">
        <f aca="false">IF($A4963="","",IF($Q4963=0,"",INDEX(COA_Mapping!$E$7:$E$256,$Q4963)))</f>
        <v/>
      </c>
      <c r="O4963" s="38" t="n">
        <f aca="false">IF($A4963="",1,IF($Q4963=0,1,INDEX(COA_Mapping!$F$7:$F$256,$Q4963)))</f>
        <v>1</v>
      </c>
      <c r="P4963" s="34" t="str">
        <f aca="false">IF($A4963="","",$I4963*$O4963)</f>
        <v/>
      </c>
      <c r="Q4963" s="39" t="n">
        <f aca="false">IF($B4963="",0,IFERROR(MATCH($B4963,COA_Mapping!$A$7:$A$256,0),0))</f>
        <v>0</v>
      </c>
      <c r="R4963" s="39" t="n">
        <f aca="false">IF($A4963="",-1,IF($J4963=Setup!$B$7,1,IF($J4963=Setup!$B$9,0,-1)))</f>
        <v>-1</v>
      </c>
      <c r="S4963" s="35" t="n">
        <f aca="false">IF(OR($A4963="",$Q4963=0,$R4963=-1),0,$Q4963*1000+$R4963*100+$K4963)</f>
        <v>0</v>
      </c>
      <c r="T4963" s="37" t="str">
        <f aca="false">IF($A4963="","",IF($B4963="","NO ACCOUNT",IF($Q4963=0,"UNMAPPED",IF($R4963=-1,"OUTSIDE FY RANGE","OK"))))</f>
        <v/>
      </c>
      <c r="U4963" s="40" t="str">
        <f aca="false">IF($A4963="","",$B4963&amp;"|"&amp;TEXT($A4963,"yyyymmdd")&amp;"|"&amp;TEXT($I4963,"0.00"))</f>
        <v/>
      </c>
      <c r="V4963" s="35" t="str">
        <f aca="false">IF($A4963="","",COUNTIF($U$8:$U$5007,$U4963))</f>
        <v/>
      </c>
    </row>
    <row r="4964" customFormat="false" ht="15" hidden="false" customHeight="false" outlineLevel="0" collapsed="false">
      <c r="A4964" s="31"/>
      <c r="B4964" s="32"/>
      <c r="C4964" s="32"/>
      <c r="D4964" s="32"/>
      <c r="E4964" s="32"/>
      <c r="F4964" s="32"/>
      <c r="G4964" s="33"/>
      <c r="H4964" s="33"/>
      <c r="I4964" s="34" t="str">
        <f aca="false">IF($A4964="","",$G4964-$H4964)</f>
        <v/>
      </c>
      <c r="J4964" s="35" t="str">
        <f aca="false">IF($A4964="","",IF(Setup!$B$6=1,YEAR($A4964),YEAR($A4964)+IF(MONTH($A4964)&gt;=Setup!$B$6,1,0)))</f>
        <v/>
      </c>
      <c r="K4964" s="35" t="str">
        <f aca="false">IF($A4964="","",MOD(MONTH($A4964)-Setup!$B$6+12,12)+1)</f>
        <v/>
      </c>
      <c r="L4964" s="36" t="str">
        <f aca="false">IF($A4964="","",TEXT($A4964,"MMM-YY"))</f>
        <v/>
      </c>
      <c r="M4964" s="37" t="str">
        <f aca="false">IF($A4964="","",IF($Q4964=0,"UNMAPPED",INDEX(COA_Mapping!$C$7:$C$256,$Q4964)))</f>
        <v/>
      </c>
      <c r="N4964" s="38" t="str">
        <f aca="false">IF($A4964="","",IF($Q4964=0,"",INDEX(COA_Mapping!$E$7:$E$256,$Q4964)))</f>
        <v/>
      </c>
      <c r="O4964" s="38" t="n">
        <f aca="false">IF($A4964="",1,IF($Q4964=0,1,INDEX(COA_Mapping!$F$7:$F$256,$Q4964)))</f>
        <v>1</v>
      </c>
      <c r="P4964" s="34" t="str">
        <f aca="false">IF($A4964="","",$I4964*$O4964)</f>
        <v/>
      </c>
      <c r="Q4964" s="39" t="n">
        <f aca="false">IF($B4964="",0,IFERROR(MATCH($B4964,COA_Mapping!$A$7:$A$256,0),0))</f>
        <v>0</v>
      </c>
      <c r="R4964" s="39" t="n">
        <f aca="false">IF($A4964="",-1,IF($J4964=Setup!$B$7,1,IF($J4964=Setup!$B$9,0,-1)))</f>
        <v>-1</v>
      </c>
      <c r="S4964" s="35" t="n">
        <f aca="false">IF(OR($A4964="",$Q4964=0,$R4964=-1),0,$Q4964*1000+$R4964*100+$K4964)</f>
        <v>0</v>
      </c>
      <c r="T4964" s="37" t="str">
        <f aca="false">IF($A4964="","",IF($B4964="","NO ACCOUNT",IF($Q4964=0,"UNMAPPED",IF($R4964=-1,"OUTSIDE FY RANGE","OK"))))</f>
        <v/>
      </c>
      <c r="U4964" s="40" t="str">
        <f aca="false">IF($A4964="","",$B4964&amp;"|"&amp;TEXT($A4964,"yyyymmdd")&amp;"|"&amp;TEXT($I4964,"0.00"))</f>
        <v/>
      </c>
      <c r="V4964" s="35" t="str">
        <f aca="false">IF($A4964="","",COUNTIF($U$8:$U$5007,$U4964))</f>
        <v/>
      </c>
    </row>
    <row r="4965" customFormat="false" ht="15" hidden="false" customHeight="false" outlineLevel="0" collapsed="false">
      <c r="A4965" s="31"/>
      <c r="B4965" s="32"/>
      <c r="C4965" s="32"/>
      <c r="D4965" s="32"/>
      <c r="E4965" s="32"/>
      <c r="F4965" s="32"/>
      <c r="G4965" s="33"/>
      <c r="H4965" s="33"/>
      <c r="I4965" s="34" t="str">
        <f aca="false">IF($A4965="","",$G4965-$H4965)</f>
        <v/>
      </c>
      <c r="J4965" s="35" t="str">
        <f aca="false">IF($A4965="","",IF(Setup!$B$6=1,YEAR($A4965),YEAR($A4965)+IF(MONTH($A4965)&gt;=Setup!$B$6,1,0)))</f>
        <v/>
      </c>
      <c r="K4965" s="35" t="str">
        <f aca="false">IF($A4965="","",MOD(MONTH($A4965)-Setup!$B$6+12,12)+1)</f>
        <v/>
      </c>
      <c r="L4965" s="36" t="str">
        <f aca="false">IF($A4965="","",TEXT($A4965,"MMM-YY"))</f>
        <v/>
      </c>
      <c r="M4965" s="37" t="str">
        <f aca="false">IF($A4965="","",IF($Q4965=0,"UNMAPPED",INDEX(COA_Mapping!$C$7:$C$256,$Q4965)))</f>
        <v/>
      </c>
      <c r="N4965" s="38" t="str">
        <f aca="false">IF($A4965="","",IF($Q4965=0,"",INDEX(COA_Mapping!$E$7:$E$256,$Q4965)))</f>
        <v/>
      </c>
      <c r="O4965" s="38" t="n">
        <f aca="false">IF($A4965="",1,IF($Q4965=0,1,INDEX(COA_Mapping!$F$7:$F$256,$Q4965)))</f>
        <v>1</v>
      </c>
      <c r="P4965" s="34" t="str">
        <f aca="false">IF($A4965="","",$I4965*$O4965)</f>
        <v/>
      </c>
      <c r="Q4965" s="39" t="n">
        <f aca="false">IF($B4965="",0,IFERROR(MATCH($B4965,COA_Mapping!$A$7:$A$256,0),0))</f>
        <v>0</v>
      </c>
      <c r="R4965" s="39" t="n">
        <f aca="false">IF($A4965="",-1,IF($J4965=Setup!$B$7,1,IF($J4965=Setup!$B$9,0,-1)))</f>
        <v>-1</v>
      </c>
      <c r="S4965" s="35" t="n">
        <f aca="false">IF(OR($A4965="",$Q4965=0,$R4965=-1),0,$Q4965*1000+$R4965*100+$K4965)</f>
        <v>0</v>
      </c>
      <c r="T4965" s="37" t="str">
        <f aca="false">IF($A4965="","",IF($B4965="","NO ACCOUNT",IF($Q4965=0,"UNMAPPED",IF($R4965=-1,"OUTSIDE FY RANGE","OK"))))</f>
        <v/>
      </c>
      <c r="U4965" s="40" t="str">
        <f aca="false">IF($A4965="","",$B4965&amp;"|"&amp;TEXT($A4965,"yyyymmdd")&amp;"|"&amp;TEXT($I4965,"0.00"))</f>
        <v/>
      </c>
      <c r="V4965" s="35" t="str">
        <f aca="false">IF($A4965="","",COUNTIF($U$8:$U$5007,$U4965))</f>
        <v/>
      </c>
    </row>
    <row r="4966" customFormat="false" ht="15" hidden="false" customHeight="false" outlineLevel="0" collapsed="false">
      <c r="A4966" s="31"/>
      <c r="B4966" s="32"/>
      <c r="C4966" s="32"/>
      <c r="D4966" s="32"/>
      <c r="E4966" s="32"/>
      <c r="F4966" s="32"/>
      <c r="G4966" s="33"/>
      <c r="H4966" s="33"/>
      <c r="I4966" s="34" t="str">
        <f aca="false">IF($A4966="","",$G4966-$H4966)</f>
        <v/>
      </c>
      <c r="J4966" s="35" t="str">
        <f aca="false">IF($A4966="","",IF(Setup!$B$6=1,YEAR($A4966),YEAR($A4966)+IF(MONTH($A4966)&gt;=Setup!$B$6,1,0)))</f>
        <v/>
      </c>
      <c r="K4966" s="35" t="str">
        <f aca="false">IF($A4966="","",MOD(MONTH($A4966)-Setup!$B$6+12,12)+1)</f>
        <v/>
      </c>
      <c r="L4966" s="36" t="str">
        <f aca="false">IF($A4966="","",TEXT($A4966,"MMM-YY"))</f>
        <v/>
      </c>
      <c r="M4966" s="37" t="str">
        <f aca="false">IF($A4966="","",IF($Q4966=0,"UNMAPPED",INDEX(COA_Mapping!$C$7:$C$256,$Q4966)))</f>
        <v/>
      </c>
      <c r="N4966" s="38" t="str">
        <f aca="false">IF($A4966="","",IF($Q4966=0,"",INDEX(COA_Mapping!$E$7:$E$256,$Q4966)))</f>
        <v/>
      </c>
      <c r="O4966" s="38" t="n">
        <f aca="false">IF($A4966="",1,IF($Q4966=0,1,INDEX(COA_Mapping!$F$7:$F$256,$Q4966)))</f>
        <v>1</v>
      </c>
      <c r="P4966" s="34" t="str">
        <f aca="false">IF($A4966="","",$I4966*$O4966)</f>
        <v/>
      </c>
      <c r="Q4966" s="39" t="n">
        <f aca="false">IF($B4966="",0,IFERROR(MATCH($B4966,COA_Mapping!$A$7:$A$256,0),0))</f>
        <v>0</v>
      </c>
      <c r="R4966" s="39" t="n">
        <f aca="false">IF($A4966="",-1,IF($J4966=Setup!$B$7,1,IF($J4966=Setup!$B$9,0,-1)))</f>
        <v>-1</v>
      </c>
      <c r="S4966" s="35" t="n">
        <f aca="false">IF(OR($A4966="",$Q4966=0,$R4966=-1),0,$Q4966*1000+$R4966*100+$K4966)</f>
        <v>0</v>
      </c>
      <c r="T4966" s="37" t="str">
        <f aca="false">IF($A4966="","",IF($B4966="","NO ACCOUNT",IF($Q4966=0,"UNMAPPED",IF($R4966=-1,"OUTSIDE FY RANGE","OK"))))</f>
        <v/>
      </c>
      <c r="U4966" s="40" t="str">
        <f aca="false">IF($A4966="","",$B4966&amp;"|"&amp;TEXT($A4966,"yyyymmdd")&amp;"|"&amp;TEXT($I4966,"0.00"))</f>
        <v/>
      </c>
      <c r="V4966" s="35" t="str">
        <f aca="false">IF($A4966="","",COUNTIF($U$8:$U$5007,$U4966))</f>
        <v/>
      </c>
    </row>
    <row r="4967" customFormat="false" ht="15" hidden="false" customHeight="false" outlineLevel="0" collapsed="false">
      <c r="A4967" s="31"/>
      <c r="B4967" s="32"/>
      <c r="C4967" s="32"/>
      <c r="D4967" s="32"/>
      <c r="E4967" s="32"/>
      <c r="F4967" s="32"/>
      <c r="G4967" s="33"/>
      <c r="H4967" s="33"/>
      <c r="I4967" s="34" t="str">
        <f aca="false">IF($A4967="","",$G4967-$H4967)</f>
        <v/>
      </c>
      <c r="J4967" s="35" t="str">
        <f aca="false">IF($A4967="","",IF(Setup!$B$6=1,YEAR($A4967),YEAR($A4967)+IF(MONTH($A4967)&gt;=Setup!$B$6,1,0)))</f>
        <v/>
      </c>
      <c r="K4967" s="35" t="str">
        <f aca="false">IF($A4967="","",MOD(MONTH($A4967)-Setup!$B$6+12,12)+1)</f>
        <v/>
      </c>
      <c r="L4967" s="36" t="str">
        <f aca="false">IF($A4967="","",TEXT($A4967,"MMM-YY"))</f>
        <v/>
      </c>
      <c r="M4967" s="37" t="str">
        <f aca="false">IF($A4967="","",IF($Q4967=0,"UNMAPPED",INDEX(COA_Mapping!$C$7:$C$256,$Q4967)))</f>
        <v/>
      </c>
      <c r="N4967" s="38" t="str">
        <f aca="false">IF($A4967="","",IF($Q4967=0,"",INDEX(COA_Mapping!$E$7:$E$256,$Q4967)))</f>
        <v/>
      </c>
      <c r="O4967" s="38" t="n">
        <f aca="false">IF($A4967="",1,IF($Q4967=0,1,INDEX(COA_Mapping!$F$7:$F$256,$Q4967)))</f>
        <v>1</v>
      </c>
      <c r="P4967" s="34" t="str">
        <f aca="false">IF($A4967="","",$I4967*$O4967)</f>
        <v/>
      </c>
      <c r="Q4967" s="39" t="n">
        <f aca="false">IF($B4967="",0,IFERROR(MATCH($B4967,COA_Mapping!$A$7:$A$256,0),0))</f>
        <v>0</v>
      </c>
      <c r="R4967" s="39" t="n">
        <f aca="false">IF($A4967="",-1,IF($J4967=Setup!$B$7,1,IF($J4967=Setup!$B$9,0,-1)))</f>
        <v>-1</v>
      </c>
      <c r="S4967" s="35" t="n">
        <f aca="false">IF(OR($A4967="",$Q4967=0,$R4967=-1),0,$Q4967*1000+$R4967*100+$K4967)</f>
        <v>0</v>
      </c>
      <c r="T4967" s="37" t="str">
        <f aca="false">IF($A4967="","",IF($B4967="","NO ACCOUNT",IF($Q4967=0,"UNMAPPED",IF($R4967=-1,"OUTSIDE FY RANGE","OK"))))</f>
        <v/>
      </c>
      <c r="U4967" s="40" t="str">
        <f aca="false">IF($A4967="","",$B4967&amp;"|"&amp;TEXT($A4967,"yyyymmdd")&amp;"|"&amp;TEXT($I4967,"0.00"))</f>
        <v/>
      </c>
      <c r="V4967" s="35" t="str">
        <f aca="false">IF($A4967="","",COUNTIF($U$8:$U$5007,$U4967))</f>
        <v/>
      </c>
    </row>
    <row r="4968" customFormat="false" ht="15" hidden="false" customHeight="false" outlineLevel="0" collapsed="false">
      <c r="A4968" s="31"/>
      <c r="B4968" s="32"/>
      <c r="C4968" s="32"/>
      <c r="D4968" s="32"/>
      <c r="E4968" s="32"/>
      <c r="F4968" s="32"/>
      <c r="G4968" s="33"/>
      <c r="H4968" s="33"/>
      <c r="I4968" s="34" t="str">
        <f aca="false">IF($A4968="","",$G4968-$H4968)</f>
        <v/>
      </c>
      <c r="J4968" s="35" t="str">
        <f aca="false">IF($A4968="","",IF(Setup!$B$6=1,YEAR($A4968),YEAR($A4968)+IF(MONTH($A4968)&gt;=Setup!$B$6,1,0)))</f>
        <v/>
      </c>
      <c r="K4968" s="35" t="str">
        <f aca="false">IF($A4968="","",MOD(MONTH($A4968)-Setup!$B$6+12,12)+1)</f>
        <v/>
      </c>
      <c r="L4968" s="36" t="str">
        <f aca="false">IF($A4968="","",TEXT($A4968,"MMM-YY"))</f>
        <v/>
      </c>
      <c r="M4968" s="37" t="str">
        <f aca="false">IF($A4968="","",IF($Q4968=0,"UNMAPPED",INDEX(COA_Mapping!$C$7:$C$256,$Q4968)))</f>
        <v/>
      </c>
      <c r="N4968" s="38" t="str">
        <f aca="false">IF($A4968="","",IF($Q4968=0,"",INDEX(COA_Mapping!$E$7:$E$256,$Q4968)))</f>
        <v/>
      </c>
      <c r="O4968" s="38" t="n">
        <f aca="false">IF($A4968="",1,IF($Q4968=0,1,INDEX(COA_Mapping!$F$7:$F$256,$Q4968)))</f>
        <v>1</v>
      </c>
      <c r="P4968" s="34" t="str">
        <f aca="false">IF($A4968="","",$I4968*$O4968)</f>
        <v/>
      </c>
      <c r="Q4968" s="39" t="n">
        <f aca="false">IF($B4968="",0,IFERROR(MATCH($B4968,COA_Mapping!$A$7:$A$256,0),0))</f>
        <v>0</v>
      </c>
      <c r="R4968" s="39" t="n">
        <f aca="false">IF($A4968="",-1,IF($J4968=Setup!$B$7,1,IF($J4968=Setup!$B$9,0,-1)))</f>
        <v>-1</v>
      </c>
      <c r="S4968" s="35" t="n">
        <f aca="false">IF(OR($A4968="",$Q4968=0,$R4968=-1),0,$Q4968*1000+$R4968*100+$K4968)</f>
        <v>0</v>
      </c>
      <c r="T4968" s="37" t="str">
        <f aca="false">IF($A4968="","",IF($B4968="","NO ACCOUNT",IF($Q4968=0,"UNMAPPED",IF($R4968=-1,"OUTSIDE FY RANGE","OK"))))</f>
        <v/>
      </c>
      <c r="U4968" s="40" t="str">
        <f aca="false">IF($A4968="","",$B4968&amp;"|"&amp;TEXT($A4968,"yyyymmdd")&amp;"|"&amp;TEXT($I4968,"0.00"))</f>
        <v/>
      </c>
      <c r="V4968" s="35" t="str">
        <f aca="false">IF($A4968="","",COUNTIF($U$8:$U$5007,$U4968))</f>
        <v/>
      </c>
    </row>
    <row r="4969" customFormat="false" ht="15" hidden="false" customHeight="false" outlineLevel="0" collapsed="false">
      <c r="A4969" s="31"/>
      <c r="B4969" s="32"/>
      <c r="C4969" s="32"/>
      <c r="D4969" s="32"/>
      <c r="E4969" s="32"/>
      <c r="F4969" s="32"/>
      <c r="G4969" s="33"/>
      <c r="H4969" s="33"/>
      <c r="I4969" s="34" t="str">
        <f aca="false">IF($A4969="","",$G4969-$H4969)</f>
        <v/>
      </c>
      <c r="J4969" s="35" t="str">
        <f aca="false">IF($A4969="","",IF(Setup!$B$6=1,YEAR($A4969),YEAR($A4969)+IF(MONTH($A4969)&gt;=Setup!$B$6,1,0)))</f>
        <v/>
      </c>
      <c r="K4969" s="35" t="str">
        <f aca="false">IF($A4969="","",MOD(MONTH($A4969)-Setup!$B$6+12,12)+1)</f>
        <v/>
      </c>
      <c r="L4969" s="36" t="str">
        <f aca="false">IF($A4969="","",TEXT($A4969,"MMM-YY"))</f>
        <v/>
      </c>
      <c r="M4969" s="37" t="str">
        <f aca="false">IF($A4969="","",IF($Q4969=0,"UNMAPPED",INDEX(COA_Mapping!$C$7:$C$256,$Q4969)))</f>
        <v/>
      </c>
      <c r="N4969" s="38" t="str">
        <f aca="false">IF($A4969="","",IF($Q4969=0,"",INDEX(COA_Mapping!$E$7:$E$256,$Q4969)))</f>
        <v/>
      </c>
      <c r="O4969" s="38" t="n">
        <f aca="false">IF($A4969="",1,IF($Q4969=0,1,INDEX(COA_Mapping!$F$7:$F$256,$Q4969)))</f>
        <v>1</v>
      </c>
      <c r="P4969" s="34" t="str">
        <f aca="false">IF($A4969="","",$I4969*$O4969)</f>
        <v/>
      </c>
      <c r="Q4969" s="39" t="n">
        <f aca="false">IF($B4969="",0,IFERROR(MATCH($B4969,COA_Mapping!$A$7:$A$256,0),0))</f>
        <v>0</v>
      </c>
      <c r="R4969" s="39" t="n">
        <f aca="false">IF($A4969="",-1,IF($J4969=Setup!$B$7,1,IF($J4969=Setup!$B$9,0,-1)))</f>
        <v>-1</v>
      </c>
      <c r="S4969" s="35" t="n">
        <f aca="false">IF(OR($A4969="",$Q4969=0,$R4969=-1),0,$Q4969*1000+$R4969*100+$K4969)</f>
        <v>0</v>
      </c>
      <c r="T4969" s="37" t="str">
        <f aca="false">IF($A4969="","",IF($B4969="","NO ACCOUNT",IF($Q4969=0,"UNMAPPED",IF($R4969=-1,"OUTSIDE FY RANGE","OK"))))</f>
        <v/>
      </c>
      <c r="U4969" s="40" t="str">
        <f aca="false">IF($A4969="","",$B4969&amp;"|"&amp;TEXT($A4969,"yyyymmdd")&amp;"|"&amp;TEXT($I4969,"0.00"))</f>
        <v/>
      </c>
      <c r="V4969" s="35" t="str">
        <f aca="false">IF($A4969="","",COUNTIF($U$8:$U$5007,$U4969))</f>
        <v/>
      </c>
    </row>
    <row r="4970" customFormat="false" ht="15" hidden="false" customHeight="false" outlineLevel="0" collapsed="false">
      <c r="A4970" s="31"/>
      <c r="B4970" s="32"/>
      <c r="C4970" s="32"/>
      <c r="D4970" s="32"/>
      <c r="E4970" s="32"/>
      <c r="F4970" s="32"/>
      <c r="G4970" s="33"/>
      <c r="H4970" s="33"/>
      <c r="I4970" s="34" t="str">
        <f aca="false">IF($A4970="","",$G4970-$H4970)</f>
        <v/>
      </c>
      <c r="J4970" s="35" t="str">
        <f aca="false">IF($A4970="","",IF(Setup!$B$6=1,YEAR($A4970),YEAR($A4970)+IF(MONTH($A4970)&gt;=Setup!$B$6,1,0)))</f>
        <v/>
      </c>
      <c r="K4970" s="35" t="str">
        <f aca="false">IF($A4970="","",MOD(MONTH($A4970)-Setup!$B$6+12,12)+1)</f>
        <v/>
      </c>
      <c r="L4970" s="36" t="str">
        <f aca="false">IF($A4970="","",TEXT($A4970,"MMM-YY"))</f>
        <v/>
      </c>
      <c r="M4970" s="37" t="str">
        <f aca="false">IF($A4970="","",IF($Q4970=0,"UNMAPPED",INDEX(COA_Mapping!$C$7:$C$256,$Q4970)))</f>
        <v/>
      </c>
      <c r="N4970" s="38" t="str">
        <f aca="false">IF($A4970="","",IF($Q4970=0,"",INDEX(COA_Mapping!$E$7:$E$256,$Q4970)))</f>
        <v/>
      </c>
      <c r="O4970" s="38" t="n">
        <f aca="false">IF($A4970="",1,IF($Q4970=0,1,INDEX(COA_Mapping!$F$7:$F$256,$Q4970)))</f>
        <v>1</v>
      </c>
      <c r="P4970" s="34" t="str">
        <f aca="false">IF($A4970="","",$I4970*$O4970)</f>
        <v/>
      </c>
      <c r="Q4970" s="39" t="n">
        <f aca="false">IF($B4970="",0,IFERROR(MATCH($B4970,COA_Mapping!$A$7:$A$256,0),0))</f>
        <v>0</v>
      </c>
      <c r="R4970" s="39" t="n">
        <f aca="false">IF($A4970="",-1,IF($J4970=Setup!$B$7,1,IF($J4970=Setup!$B$9,0,-1)))</f>
        <v>-1</v>
      </c>
      <c r="S4970" s="35" t="n">
        <f aca="false">IF(OR($A4970="",$Q4970=0,$R4970=-1),0,$Q4970*1000+$R4970*100+$K4970)</f>
        <v>0</v>
      </c>
      <c r="T4970" s="37" t="str">
        <f aca="false">IF($A4970="","",IF($B4970="","NO ACCOUNT",IF($Q4970=0,"UNMAPPED",IF($R4970=-1,"OUTSIDE FY RANGE","OK"))))</f>
        <v/>
      </c>
      <c r="U4970" s="40" t="str">
        <f aca="false">IF($A4970="","",$B4970&amp;"|"&amp;TEXT($A4970,"yyyymmdd")&amp;"|"&amp;TEXT($I4970,"0.00"))</f>
        <v/>
      </c>
      <c r="V4970" s="35" t="str">
        <f aca="false">IF($A4970="","",COUNTIF($U$8:$U$5007,$U4970))</f>
        <v/>
      </c>
    </row>
    <row r="4971" customFormat="false" ht="15" hidden="false" customHeight="false" outlineLevel="0" collapsed="false">
      <c r="A4971" s="31"/>
      <c r="B4971" s="32"/>
      <c r="C4971" s="32"/>
      <c r="D4971" s="32"/>
      <c r="E4971" s="32"/>
      <c r="F4971" s="32"/>
      <c r="G4971" s="33"/>
      <c r="H4971" s="33"/>
      <c r="I4971" s="34" t="str">
        <f aca="false">IF($A4971="","",$G4971-$H4971)</f>
        <v/>
      </c>
      <c r="J4971" s="35" t="str">
        <f aca="false">IF($A4971="","",IF(Setup!$B$6=1,YEAR($A4971),YEAR($A4971)+IF(MONTH($A4971)&gt;=Setup!$B$6,1,0)))</f>
        <v/>
      </c>
      <c r="K4971" s="35" t="str">
        <f aca="false">IF($A4971="","",MOD(MONTH($A4971)-Setup!$B$6+12,12)+1)</f>
        <v/>
      </c>
      <c r="L4971" s="36" t="str">
        <f aca="false">IF($A4971="","",TEXT($A4971,"MMM-YY"))</f>
        <v/>
      </c>
      <c r="M4971" s="37" t="str">
        <f aca="false">IF($A4971="","",IF($Q4971=0,"UNMAPPED",INDEX(COA_Mapping!$C$7:$C$256,$Q4971)))</f>
        <v/>
      </c>
      <c r="N4971" s="38" t="str">
        <f aca="false">IF($A4971="","",IF($Q4971=0,"",INDEX(COA_Mapping!$E$7:$E$256,$Q4971)))</f>
        <v/>
      </c>
      <c r="O4971" s="38" t="n">
        <f aca="false">IF($A4971="",1,IF($Q4971=0,1,INDEX(COA_Mapping!$F$7:$F$256,$Q4971)))</f>
        <v>1</v>
      </c>
      <c r="P4971" s="34" t="str">
        <f aca="false">IF($A4971="","",$I4971*$O4971)</f>
        <v/>
      </c>
      <c r="Q4971" s="39" t="n">
        <f aca="false">IF($B4971="",0,IFERROR(MATCH($B4971,COA_Mapping!$A$7:$A$256,0),0))</f>
        <v>0</v>
      </c>
      <c r="R4971" s="39" t="n">
        <f aca="false">IF($A4971="",-1,IF($J4971=Setup!$B$7,1,IF($J4971=Setup!$B$9,0,-1)))</f>
        <v>-1</v>
      </c>
      <c r="S4971" s="35" t="n">
        <f aca="false">IF(OR($A4971="",$Q4971=0,$R4971=-1),0,$Q4971*1000+$R4971*100+$K4971)</f>
        <v>0</v>
      </c>
      <c r="T4971" s="37" t="str">
        <f aca="false">IF($A4971="","",IF($B4971="","NO ACCOUNT",IF($Q4971=0,"UNMAPPED",IF($R4971=-1,"OUTSIDE FY RANGE","OK"))))</f>
        <v/>
      </c>
      <c r="U4971" s="40" t="str">
        <f aca="false">IF($A4971="","",$B4971&amp;"|"&amp;TEXT($A4971,"yyyymmdd")&amp;"|"&amp;TEXT($I4971,"0.00"))</f>
        <v/>
      </c>
      <c r="V4971" s="35" t="str">
        <f aca="false">IF($A4971="","",COUNTIF($U$8:$U$5007,$U4971))</f>
        <v/>
      </c>
    </row>
    <row r="4972" customFormat="false" ht="15" hidden="false" customHeight="false" outlineLevel="0" collapsed="false">
      <c r="A4972" s="31"/>
      <c r="B4972" s="32"/>
      <c r="C4972" s="32"/>
      <c r="D4972" s="32"/>
      <c r="E4972" s="32"/>
      <c r="F4972" s="32"/>
      <c r="G4972" s="33"/>
      <c r="H4972" s="33"/>
      <c r="I4972" s="34" t="str">
        <f aca="false">IF($A4972="","",$G4972-$H4972)</f>
        <v/>
      </c>
      <c r="J4972" s="35" t="str">
        <f aca="false">IF($A4972="","",IF(Setup!$B$6=1,YEAR($A4972),YEAR($A4972)+IF(MONTH($A4972)&gt;=Setup!$B$6,1,0)))</f>
        <v/>
      </c>
      <c r="K4972" s="35" t="str">
        <f aca="false">IF($A4972="","",MOD(MONTH($A4972)-Setup!$B$6+12,12)+1)</f>
        <v/>
      </c>
      <c r="L4972" s="36" t="str">
        <f aca="false">IF($A4972="","",TEXT($A4972,"MMM-YY"))</f>
        <v/>
      </c>
      <c r="M4972" s="37" t="str">
        <f aca="false">IF($A4972="","",IF($Q4972=0,"UNMAPPED",INDEX(COA_Mapping!$C$7:$C$256,$Q4972)))</f>
        <v/>
      </c>
      <c r="N4972" s="38" t="str">
        <f aca="false">IF($A4972="","",IF($Q4972=0,"",INDEX(COA_Mapping!$E$7:$E$256,$Q4972)))</f>
        <v/>
      </c>
      <c r="O4972" s="38" t="n">
        <f aca="false">IF($A4972="",1,IF($Q4972=0,1,INDEX(COA_Mapping!$F$7:$F$256,$Q4972)))</f>
        <v>1</v>
      </c>
      <c r="P4972" s="34" t="str">
        <f aca="false">IF($A4972="","",$I4972*$O4972)</f>
        <v/>
      </c>
      <c r="Q4972" s="39" t="n">
        <f aca="false">IF($B4972="",0,IFERROR(MATCH($B4972,COA_Mapping!$A$7:$A$256,0),0))</f>
        <v>0</v>
      </c>
      <c r="R4972" s="39" t="n">
        <f aca="false">IF($A4972="",-1,IF($J4972=Setup!$B$7,1,IF($J4972=Setup!$B$9,0,-1)))</f>
        <v>-1</v>
      </c>
      <c r="S4972" s="35" t="n">
        <f aca="false">IF(OR($A4972="",$Q4972=0,$R4972=-1),0,$Q4972*1000+$R4972*100+$K4972)</f>
        <v>0</v>
      </c>
      <c r="T4972" s="37" t="str">
        <f aca="false">IF($A4972="","",IF($B4972="","NO ACCOUNT",IF($Q4972=0,"UNMAPPED",IF($R4972=-1,"OUTSIDE FY RANGE","OK"))))</f>
        <v/>
      </c>
      <c r="U4972" s="40" t="str">
        <f aca="false">IF($A4972="","",$B4972&amp;"|"&amp;TEXT($A4972,"yyyymmdd")&amp;"|"&amp;TEXT($I4972,"0.00"))</f>
        <v/>
      </c>
      <c r="V4972" s="35" t="str">
        <f aca="false">IF($A4972="","",COUNTIF($U$8:$U$5007,$U4972))</f>
        <v/>
      </c>
    </row>
    <row r="4973" customFormat="false" ht="15" hidden="false" customHeight="false" outlineLevel="0" collapsed="false">
      <c r="A4973" s="31"/>
      <c r="B4973" s="32"/>
      <c r="C4973" s="32"/>
      <c r="D4973" s="32"/>
      <c r="E4973" s="32"/>
      <c r="F4973" s="32"/>
      <c r="G4973" s="33"/>
      <c r="H4973" s="33"/>
      <c r="I4973" s="34" t="str">
        <f aca="false">IF($A4973="","",$G4973-$H4973)</f>
        <v/>
      </c>
      <c r="J4973" s="35" t="str">
        <f aca="false">IF($A4973="","",IF(Setup!$B$6=1,YEAR($A4973),YEAR($A4973)+IF(MONTH($A4973)&gt;=Setup!$B$6,1,0)))</f>
        <v/>
      </c>
      <c r="K4973" s="35" t="str">
        <f aca="false">IF($A4973="","",MOD(MONTH($A4973)-Setup!$B$6+12,12)+1)</f>
        <v/>
      </c>
      <c r="L4973" s="36" t="str">
        <f aca="false">IF($A4973="","",TEXT($A4973,"MMM-YY"))</f>
        <v/>
      </c>
      <c r="M4973" s="37" t="str">
        <f aca="false">IF($A4973="","",IF($Q4973=0,"UNMAPPED",INDEX(COA_Mapping!$C$7:$C$256,$Q4973)))</f>
        <v/>
      </c>
      <c r="N4973" s="38" t="str">
        <f aca="false">IF($A4973="","",IF($Q4973=0,"",INDEX(COA_Mapping!$E$7:$E$256,$Q4973)))</f>
        <v/>
      </c>
      <c r="O4973" s="38" t="n">
        <f aca="false">IF($A4973="",1,IF($Q4973=0,1,INDEX(COA_Mapping!$F$7:$F$256,$Q4973)))</f>
        <v>1</v>
      </c>
      <c r="P4973" s="34" t="str">
        <f aca="false">IF($A4973="","",$I4973*$O4973)</f>
        <v/>
      </c>
      <c r="Q4973" s="39" t="n">
        <f aca="false">IF($B4973="",0,IFERROR(MATCH($B4973,COA_Mapping!$A$7:$A$256,0),0))</f>
        <v>0</v>
      </c>
      <c r="R4973" s="39" t="n">
        <f aca="false">IF($A4973="",-1,IF($J4973=Setup!$B$7,1,IF($J4973=Setup!$B$9,0,-1)))</f>
        <v>-1</v>
      </c>
      <c r="S4973" s="35" t="n">
        <f aca="false">IF(OR($A4973="",$Q4973=0,$R4973=-1),0,$Q4973*1000+$R4973*100+$K4973)</f>
        <v>0</v>
      </c>
      <c r="T4973" s="37" t="str">
        <f aca="false">IF($A4973="","",IF($B4973="","NO ACCOUNT",IF($Q4973=0,"UNMAPPED",IF($R4973=-1,"OUTSIDE FY RANGE","OK"))))</f>
        <v/>
      </c>
      <c r="U4973" s="40" t="str">
        <f aca="false">IF($A4973="","",$B4973&amp;"|"&amp;TEXT($A4973,"yyyymmdd")&amp;"|"&amp;TEXT($I4973,"0.00"))</f>
        <v/>
      </c>
      <c r="V4973" s="35" t="str">
        <f aca="false">IF($A4973="","",COUNTIF($U$8:$U$5007,$U4973))</f>
        <v/>
      </c>
    </row>
    <row r="4974" customFormat="false" ht="15" hidden="false" customHeight="false" outlineLevel="0" collapsed="false">
      <c r="A4974" s="31"/>
      <c r="B4974" s="32"/>
      <c r="C4974" s="32"/>
      <c r="D4974" s="32"/>
      <c r="E4974" s="32"/>
      <c r="F4974" s="32"/>
      <c r="G4974" s="33"/>
      <c r="H4974" s="33"/>
      <c r="I4974" s="34" t="str">
        <f aca="false">IF($A4974="","",$G4974-$H4974)</f>
        <v/>
      </c>
      <c r="J4974" s="35" t="str">
        <f aca="false">IF($A4974="","",IF(Setup!$B$6=1,YEAR($A4974),YEAR($A4974)+IF(MONTH($A4974)&gt;=Setup!$B$6,1,0)))</f>
        <v/>
      </c>
      <c r="K4974" s="35" t="str">
        <f aca="false">IF($A4974="","",MOD(MONTH($A4974)-Setup!$B$6+12,12)+1)</f>
        <v/>
      </c>
      <c r="L4974" s="36" t="str">
        <f aca="false">IF($A4974="","",TEXT($A4974,"MMM-YY"))</f>
        <v/>
      </c>
      <c r="M4974" s="37" t="str">
        <f aca="false">IF($A4974="","",IF($Q4974=0,"UNMAPPED",INDEX(COA_Mapping!$C$7:$C$256,$Q4974)))</f>
        <v/>
      </c>
      <c r="N4974" s="38" t="str">
        <f aca="false">IF($A4974="","",IF($Q4974=0,"",INDEX(COA_Mapping!$E$7:$E$256,$Q4974)))</f>
        <v/>
      </c>
      <c r="O4974" s="38" t="n">
        <f aca="false">IF($A4974="",1,IF($Q4974=0,1,INDEX(COA_Mapping!$F$7:$F$256,$Q4974)))</f>
        <v>1</v>
      </c>
      <c r="P4974" s="34" t="str">
        <f aca="false">IF($A4974="","",$I4974*$O4974)</f>
        <v/>
      </c>
      <c r="Q4974" s="39" t="n">
        <f aca="false">IF($B4974="",0,IFERROR(MATCH($B4974,COA_Mapping!$A$7:$A$256,0),0))</f>
        <v>0</v>
      </c>
      <c r="R4974" s="39" t="n">
        <f aca="false">IF($A4974="",-1,IF($J4974=Setup!$B$7,1,IF($J4974=Setup!$B$9,0,-1)))</f>
        <v>-1</v>
      </c>
      <c r="S4974" s="35" t="n">
        <f aca="false">IF(OR($A4974="",$Q4974=0,$R4974=-1),0,$Q4974*1000+$R4974*100+$K4974)</f>
        <v>0</v>
      </c>
      <c r="T4974" s="37" t="str">
        <f aca="false">IF($A4974="","",IF($B4974="","NO ACCOUNT",IF($Q4974=0,"UNMAPPED",IF($R4974=-1,"OUTSIDE FY RANGE","OK"))))</f>
        <v/>
      </c>
      <c r="U4974" s="40" t="str">
        <f aca="false">IF($A4974="","",$B4974&amp;"|"&amp;TEXT($A4974,"yyyymmdd")&amp;"|"&amp;TEXT($I4974,"0.00"))</f>
        <v/>
      </c>
      <c r="V4974" s="35" t="str">
        <f aca="false">IF($A4974="","",COUNTIF($U$8:$U$5007,$U4974))</f>
        <v/>
      </c>
    </row>
    <row r="4975" customFormat="false" ht="15" hidden="false" customHeight="false" outlineLevel="0" collapsed="false">
      <c r="A4975" s="31"/>
      <c r="B4975" s="32"/>
      <c r="C4975" s="32"/>
      <c r="D4975" s="32"/>
      <c r="E4975" s="32"/>
      <c r="F4975" s="32"/>
      <c r="G4975" s="33"/>
      <c r="H4975" s="33"/>
      <c r="I4975" s="34" t="str">
        <f aca="false">IF($A4975="","",$G4975-$H4975)</f>
        <v/>
      </c>
      <c r="J4975" s="35" t="str">
        <f aca="false">IF($A4975="","",IF(Setup!$B$6=1,YEAR($A4975),YEAR($A4975)+IF(MONTH($A4975)&gt;=Setup!$B$6,1,0)))</f>
        <v/>
      </c>
      <c r="K4975" s="35" t="str">
        <f aca="false">IF($A4975="","",MOD(MONTH($A4975)-Setup!$B$6+12,12)+1)</f>
        <v/>
      </c>
      <c r="L4975" s="36" t="str">
        <f aca="false">IF($A4975="","",TEXT($A4975,"MMM-YY"))</f>
        <v/>
      </c>
      <c r="M4975" s="37" t="str">
        <f aca="false">IF($A4975="","",IF($Q4975=0,"UNMAPPED",INDEX(COA_Mapping!$C$7:$C$256,$Q4975)))</f>
        <v/>
      </c>
      <c r="N4975" s="38" t="str">
        <f aca="false">IF($A4975="","",IF($Q4975=0,"",INDEX(COA_Mapping!$E$7:$E$256,$Q4975)))</f>
        <v/>
      </c>
      <c r="O4975" s="38" t="n">
        <f aca="false">IF($A4975="",1,IF($Q4975=0,1,INDEX(COA_Mapping!$F$7:$F$256,$Q4975)))</f>
        <v>1</v>
      </c>
      <c r="P4975" s="34" t="str">
        <f aca="false">IF($A4975="","",$I4975*$O4975)</f>
        <v/>
      </c>
      <c r="Q4975" s="39" t="n">
        <f aca="false">IF($B4975="",0,IFERROR(MATCH($B4975,COA_Mapping!$A$7:$A$256,0),0))</f>
        <v>0</v>
      </c>
      <c r="R4975" s="39" t="n">
        <f aca="false">IF($A4975="",-1,IF($J4975=Setup!$B$7,1,IF($J4975=Setup!$B$9,0,-1)))</f>
        <v>-1</v>
      </c>
      <c r="S4975" s="35" t="n">
        <f aca="false">IF(OR($A4975="",$Q4975=0,$R4975=-1),0,$Q4975*1000+$R4975*100+$K4975)</f>
        <v>0</v>
      </c>
      <c r="T4975" s="37" t="str">
        <f aca="false">IF($A4975="","",IF($B4975="","NO ACCOUNT",IF($Q4975=0,"UNMAPPED",IF($R4975=-1,"OUTSIDE FY RANGE","OK"))))</f>
        <v/>
      </c>
      <c r="U4975" s="40" t="str">
        <f aca="false">IF($A4975="","",$B4975&amp;"|"&amp;TEXT($A4975,"yyyymmdd")&amp;"|"&amp;TEXT($I4975,"0.00"))</f>
        <v/>
      </c>
      <c r="V4975" s="35" t="str">
        <f aca="false">IF($A4975="","",COUNTIF($U$8:$U$5007,$U4975))</f>
        <v/>
      </c>
    </row>
    <row r="4976" customFormat="false" ht="15" hidden="false" customHeight="false" outlineLevel="0" collapsed="false">
      <c r="A4976" s="31"/>
      <c r="B4976" s="32"/>
      <c r="C4976" s="32"/>
      <c r="D4976" s="32"/>
      <c r="E4976" s="32"/>
      <c r="F4976" s="32"/>
      <c r="G4976" s="33"/>
      <c r="H4976" s="33"/>
      <c r="I4976" s="34" t="str">
        <f aca="false">IF($A4976="","",$G4976-$H4976)</f>
        <v/>
      </c>
      <c r="J4976" s="35" t="str">
        <f aca="false">IF($A4976="","",IF(Setup!$B$6=1,YEAR($A4976),YEAR($A4976)+IF(MONTH($A4976)&gt;=Setup!$B$6,1,0)))</f>
        <v/>
      </c>
      <c r="K4976" s="35" t="str">
        <f aca="false">IF($A4976="","",MOD(MONTH($A4976)-Setup!$B$6+12,12)+1)</f>
        <v/>
      </c>
      <c r="L4976" s="36" t="str">
        <f aca="false">IF($A4976="","",TEXT($A4976,"MMM-YY"))</f>
        <v/>
      </c>
      <c r="M4976" s="37" t="str">
        <f aca="false">IF($A4976="","",IF($Q4976=0,"UNMAPPED",INDEX(COA_Mapping!$C$7:$C$256,$Q4976)))</f>
        <v/>
      </c>
      <c r="N4976" s="38" t="str">
        <f aca="false">IF($A4976="","",IF($Q4976=0,"",INDEX(COA_Mapping!$E$7:$E$256,$Q4976)))</f>
        <v/>
      </c>
      <c r="O4976" s="38" t="n">
        <f aca="false">IF($A4976="",1,IF($Q4976=0,1,INDEX(COA_Mapping!$F$7:$F$256,$Q4976)))</f>
        <v>1</v>
      </c>
      <c r="P4976" s="34" t="str">
        <f aca="false">IF($A4976="","",$I4976*$O4976)</f>
        <v/>
      </c>
      <c r="Q4976" s="39" t="n">
        <f aca="false">IF($B4976="",0,IFERROR(MATCH($B4976,COA_Mapping!$A$7:$A$256,0),0))</f>
        <v>0</v>
      </c>
      <c r="R4976" s="39" t="n">
        <f aca="false">IF($A4976="",-1,IF($J4976=Setup!$B$7,1,IF($J4976=Setup!$B$9,0,-1)))</f>
        <v>-1</v>
      </c>
      <c r="S4976" s="35" t="n">
        <f aca="false">IF(OR($A4976="",$Q4976=0,$R4976=-1),0,$Q4976*1000+$R4976*100+$K4976)</f>
        <v>0</v>
      </c>
      <c r="T4976" s="37" t="str">
        <f aca="false">IF($A4976="","",IF($B4976="","NO ACCOUNT",IF($Q4976=0,"UNMAPPED",IF($R4976=-1,"OUTSIDE FY RANGE","OK"))))</f>
        <v/>
      </c>
      <c r="U4976" s="40" t="str">
        <f aca="false">IF($A4976="","",$B4976&amp;"|"&amp;TEXT($A4976,"yyyymmdd")&amp;"|"&amp;TEXT($I4976,"0.00"))</f>
        <v/>
      </c>
      <c r="V4976" s="35" t="str">
        <f aca="false">IF($A4976="","",COUNTIF($U$8:$U$5007,$U4976))</f>
        <v/>
      </c>
    </row>
    <row r="4977" customFormat="false" ht="15" hidden="false" customHeight="false" outlineLevel="0" collapsed="false">
      <c r="A4977" s="31"/>
      <c r="B4977" s="32"/>
      <c r="C4977" s="32"/>
      <c r="D4977" s="32"/>
      <c r="E4977" s="32"/>
      <c r="F4977" s="32"/>
      <c r="G4977" s="33"/>
      <c r="H4977" s="33"/>
      <c r="I4977" s="34" t="str">
        <f aca="false">IF($A4977="","",$G4977-$H4977)</f>
        <v/>
      </c>
      <c r="J4977" s="35" t="str">
        <f aca="false">IF($A4977="","",IF(Setup!$B$6=1,YEAR($A4977),YEAR($A4977)+IF(MONTH($A4977)&gt;=Setup!$B$6,1,0)))</f>
        <v/>
      </c>
      <c r="K4977" s="35" t="str">
        <f aca="false">IF($A4977="","",MOD(MONTH($A4977)-Setup!$B$6+12,12)+1)</f>
        <v/>
      </c>
      <c r="L4977" s="36" t="str">
        <f aca="false">IF($A4977="","",TEXT($A4977,"MMM-YY"))</f>
        <v/>
      </c>
      <c r="M4977" s="37" t="str">
        <f aca="false">IF($A4977="","",IF($Q4977=0,"UNMAPPED",INDEX(COA_Mapping!$C$7:$C$256,$Q4977)))</f>
        <v/>
      </c>
      <c r="N4977" s="38" t="str">
        <f aca="false">IF($A4977="","",IF($Q4977=0,"",INDEX(COA_Mapping!$E$7:$E$256,$Q4977)))</f>
        <v/>
      </c>
      <c r="O4977" s="38" t="n">
        <f aca="false">IF($A4977="",1,IF($Q4977=0,1,INDEX(COA_Mapping!$F$7:$F$256,$Q4977)))</f>
        <v>1</v>
      </c>
      <c r="P4977" s="34" t="str">
        <f aca="false">IF($A4977="","",$I4977*$O4977)</f>
        <v/>
      </c>
      <c r="Q4977" s="39" t="n">
        <f aca="false">IF($B4977="",0,IFERROR(MATCH($B4977,COA_Mapping!$A$7:$A$256,0),0))</f>
        <v>0</v>
      </c>
      <c r="R4977" s="39" t="n">
        <f aca="false">IF($A4977="",-1,IF($J4977=Setup!$B$7,1,IF($J4977=Setup!$B$9,0,-1)))</f>
        <v>-1</v>
      </c>
      <c r="S4977" s="35" t="n">
        <f aca="false">IF(OR($A4977="",$Q4977=0,$R4977=-1),0,$Q4977*1000+$R4977*100+$K4977)</f>
        <v>0</v>
      </c>
      <c r="T4977" s="37" t="str">
        <f aca="false">IF($A4977="","",IF($B4977="","NO ACCOUNT",IF($Q4977=0,"UNMAPPED",IF($R4977=-1,"OUTSIDE FY RANGE","OK"))))</f>
        <v/>
      </c>
      <c r="U4977" s="40" t="str">
        <f aca="false">IF($A4977="","",$B4977&amp;"|"&amp;TEXT($A4977,"yyyymmdd")&amp;"|"&amp;TEXT($I4977,"0.00"))</f>
        <v/>
      </c>
      <c r="V4977" s="35" t="str">
        <f aca="false">IF($A4977="","",COUNTIF($U$8:$U$5007,$U4977))</f>
        <v/>
      </c>
    </row>
    <row r="4978" customFormat="false" ht="15" hidden="false" customHeight="false" outlineLevel="0" collapsed="false">
      <c r="A4978" s="31"/>
      <c r="B4978" s="32"/>
      <c r="C4978" s="32"/>
      <c r="D4978" s="32"/>
      <c r="E4978" s="32"/>
      <c r="F4978" s="32"/>
      <c r="G4978" s="33"/>
      <c r="H4978" s="33"/>
      <c r="I4978" s="34" t="str">
        <f aca="false">IF($A4978="","",$G4978-$H4978)</f>
        <v/>
      </c>
      <c r="J4978" s="35" t="str">
        <f aca="false">IF($A4978="","",IF(Setup!$B$6=1,YEAR($A4978),YEAR($A4978)+IF(MONTH($A4978)&gt;=Setup!$B$6,1,0)))</f>
        <v/>
      </c>
      <c r="K4978" s="35" t="str">
        <f aca="false">IF($A4978="","",MOD(MONTH($A4978)-Setup!$B$6+12,12)+1)</f>
        <v/>
      </c>
      <c r="L4978" s="36" t="str">
        <f aca="false">IF($A4978="","",TEXT($A4978,"MMM-YY"))</f>
        <v/>
      </c>
      <c r="M4978" s="37" t="str">
        <f aca="false">IF($A4978="","",IF($Q4978=0,"UNMAPPED",INDEX(COA_Mapping!$C$7:$C$256,$Q4978)))</f>
        <v/>
      </c>
      <c r="N4978" s="38" t="str">
        <f aca="false">IF($A4978="","",IF($Q4978=0,"",INDEX(COA_Mapping!$E$7:$E$256,$Q4978)))</f>
        <v/>
      </c>
      <c r="O4978" s="38" t="n">
        <f aca="false">IF($A4978="",1,IF($Q4978=0,1,INDEX(COA_Mapping!$F$7:$F$256,$Q4978)))</f>
        <v>1</v>
      </c>
      <c r="P4978" s="34" t="str">
        <f aca="false">IF($A4978="","",$I4978*$O4978)</f>
        <v/>
      </c>
      <c r="Q4978" s="39" t="n">
        <f aca="false">IF($B4978="",0,IFERROR(MATCH($B4978,COA_Mapping!$A$7:$A$256,0),0))</f>
        <v>0</v>
      </c>
      <c r="R4978" s="39" t="n">
        <f aca="false">IF($A4978="",-1,IF($J4978=Setup!$B$7,1,IF($J4978=Setup!$B$9,0,-1)))</f>
        <v>-1</v>
      </c>
      <c r="S4978" s="35" t="n">
        <f aca="false">IF(OR($A4978="",$Q4978=0,$R4978=-1),0,$Q4978*1000+$R4978*100+$K4978)</f>
        <v>0</v>
      </c>
      <c r="T4978" s="37" t="str">
        <f aca="false">IF($A4978="","",IF($B4978="","NO ACCOUNT",IF($Q4978=0,"UNMAPPED",IF($R4978=-1,"OUTSIDE FY RANGE","OK"))))</f>
        <v/>
      </c>
      <c r="U4978" s="40" t="str">
        <f aca="false">IF($A4978="","",$B4978&amp;"|"&amp;TEXT($A4978,"yyyymmdd")&amp;"|"&amp;TEXT($I4978,"0.00"))</f>
        <v/>
      </c>
      <c r="V4978" s="35" t="str">
        <f aca="false">IF($A4978="","",COUNTIF($U$8:$U$5007,$U4978))</f>
        <v/>
      </c>
    </row>
    <row r="4979" customFormat="false" ht="15" hidden="false" customHeight="false" outlineLevel="0" collapsed="false">
      <c r="A4979" s="31"/>
      <c r="B4979" s="32"/>
      <c r="C4979" s="32"/>
      <c r="D4979" s="32"/>
      <c r="E4979" s="32"/>
      <c r="F4979" s="32"/>
      <c r="G4979" s="33"/>
      <c r="H4979" s="33"/>
      <c r="I4979" s="34" t="str">
        <f aca="false">IF($A4979="","",$G4979-$H4979)</f>
        <v/>
      </c>
      <c r="J4979" s="35" t="str">
        <f aca="false">IF($A4979="","",IF(Setup!$B$6=1,YEAR($A4979),YEAR($A4979)+IF(MONTH($A4979)&gt;=Setup!$B$6,1,0)))</f>
        <v/>
      </c>
      <c r="K4979" s="35" t="str">
        <f aca="false">IF($A4979="","",MOD(MONTH($A4979)-Setup!$B$6+12,12)+1)</f>
        <v/>
      </c>
      <c r="L4979" s="36" t="str">
        <f aca="false">IF($A4979="","",TEXT($A4979,"MMM-YY"))</f>
        <v/>
      </c>
      <c r="M4979" s="37" t="str">
        <f aca="false">IF($A4979="","",IF($Q4979=0,"UNMAPPED",INDEX(COA_Mapping!$C$7:$C$256,$Q4979)))</f>
        <v/>
      </c>
      <c r="N4979" s="38" t="str">
        <f aca="false">IF($A4979="","",IF($Q4979=0,"",INDEX(COA_Mapping!$E$7:$E$256,$Q4979)))</f>
        <v/>
      </c>
      <c r="O4979" s="38" t="n">
        <f aca="false">IF($A4979="",1,IF($Q4979=0,1,INDEX(COA_Mapping!$F$7:$F$256,$Q4979)))</f>
        <v>1</v>
      </c>
      <c r="P4979" s="34" t="str">
        <f aca="false">IF($A4979="","",$I4979*$O4979)</f>
        <v/>
      </c>
      <c r="Q4979" s="39" t="n">
        <f aca="false">IF($B4979="",0,IFERROR(MATCH($B4979,COA_Mapping!$A$7:$A$256,0),0))</f>
        <v>0</v>
      </c>
      <c r="R4979" s="39" t="n">
        <f aca="false">IF($A4979="",-1,IF($J4979=Setup!$B$7,1,IF($J4979=Setup!$B$9,0,-1)))</f>
        <v>-1</v>
      </c>
      <c r="S4979" s="35" t="n">
        <f aca="false">IF(OR($A4979="",$Q4979=0,$R4979=-1),0,$Q4979*1000+$R4979*100+$K4979)</f>
        <v>0</v>
      </c>
      <c r="T4979" s="37" t="str">
        <f aca="false">IF($A4979="","",IF($B4979="","NO ACCOUNT",IF($Q4979=0,"UNMAPPED",IF($R4979=-1,"OUTSIDE FY RANGE","OK"))))</f>
        <v/>
      </c>
      <c r="U4979" s="40" t="str">
        <f aca="false">IF($A4979="","",$B4979&amp;"|"&amp;TEXT($A4979,"yyyymmdd")&amp;"|"&amp;TEXT($I4979,"0.00"))</f>
        <v/>
      </c>
      <c r="V4979" s="35" t="str">
        <f aca="false">IF($A4979="","",COUNTIF($U$8:$U$5007,$U4979))</f>
        <v/>
      </c>
    </row>
    <row r="4980" customFormat="false" ht="15" hidden="false" customHeight="false" outlineLevel="0" collapsed="false">
      <c r="A4980" s="31"/>
      <c r="B4980" s="32"/>
      <c r="C4980" s="32"/>
      <c r="D4980" s="32"/>
      <c r="E4980" s="32"/>
      <c r="F4980" s="32"/>
      <c r="G4980" s="33"/>
      <c r="H4980" s="33"/>
      <c r="I4980" s="34" t="str">
        <f aca="false">IF($A4980="","",$G4980-$H4980)</f>
        <v/>
      </c>
      <c r="J4980" s="35" t="str">
        <f aca="false">IF($A4980="","",IF(Setup!$B$6=1,YEAR($A4980),YEAR($A4980)+IF(MONTH($A4980)&gt;=Setup!$B$6,1,0)))</f>
        <v/>
      </c>
      <c r="K4980" s="35" t="str">
        <f aca="false">IF($A4980="","",MOD(MONTH($A4980)-Setup!$B$6+12,12)+1)</f>
        <v/>
      </c>
      <c r="L4980" s="36" t="str">
        <f aca="false">IF($A4980="","",TEXT($A4980,"MMM-YY"))</f>
        <v/>
      </c>
      <c r="M4980" s="37" t="str">
        <f aca="false">IF($A4980="","",IF($Q4980=0,"UNMAPPED",INDEX(COA_Mapping!$C$7:$C$256,$Q4980)))</f>
        <v/>
      </c>
      <c r="N4980" s="38" t="str">
        <f aca="false">IF($A4980="","",IF($Q4980=0,"",INDEX(COA_Mapping!$E$7:$E$256,$Q4980)))</f>
        <v/>
      </c>
      <c r="O4980" s="38" t="n">
        <f aca="false">IF($A4980="",1,IF($Q4980=0,1,INDEX(COA_Mapping!$F$7:$F$256,$Q4980)))</f>
        <v>1</v>
      </c>
      <c r="P4980" s="34" t="str">
        <f aca="false">IF($A4980="","",$I4980*$O4980)</f>
        <v/>
      </c>
      <c r="Q4980" s="39" t="n">
        <f aca="false">IF($B4980="",0,IFERROR(MATCH($B4980,COA_Mapping!$A$7:$A$256,0),0))</f>
        <v>0</v>
      </c>
      <c r="R4980" s="39" t="n">
        <f aca="false">IF($A4980="",-1,IF($J4980=Setup!$B$7,1,IF($J4980=Setup!$B$9,0,-1)))</f>
        <v>-1</v>
      </c>
      <c r="S4980" s="35" t="n">
        <f aca="false">IF(OR($A4980="",$Q4980=0,$R4980=-1),0,$Q4980*1000+$R4980*100+$K4980)</f>
        <v>0</v>
      </c>
      <c r="T4980" s="37" t="str">
        <f aca="false">IF($A4980="","",IF($B4980="","NO ACCOUNT",IF($Q4980=0,"UNMAPPED",IF($R4980=-1,"OUTSIDE FY RANGE","OK"))))</f>
        <v/>
      </c>
      <c r="U4980" s="40" t="str">
        <f aca="false">IF($A4980="","",$B4980&amp;"|"&amp;TEXT($A4980,"yyyymmdd")&amp;"|"&amp;TEXT($I4980,"0.00"))</f>
        <v/>
      </c>
      <c r="V4980" s="35" t="str">
        <f aca="false">IF($A4980="","",COUNTIF($U$8:$U$5007,$U4980))</f>
        <v/>
      </c>
    </row>
    <row r="4981" customFormat="false" ht="15" hidden="false" customHeight="false" outlineLevel="0" collapsed="false">
      <c r="A4981" s="31"/>
      <c r="B4981" s="32"/>
      <c r="C4981" s="32"/>
      <c r="D4981" s="32"/>
      <c r="E4981" s="32"/>
      <c r="F4981" s="32"/>
      <c r="G4981" s="33"/>
      <c r="H4981" s="33"/>
      <c r="I4981" s="34" t="str">
        <f aca="false">IF($A4981="","",$G4981-$H4981)</f>
        <v/>
      </c>
      <c r="J4981" s="35" t="str">
        <f aca="false">IF($A4981="","",IF(Setup!$B$6=1,YEAR($A4981),YEAR($A4981)+IF(MONTH($A4981)&gt;=Setup!$B$6,1,0)))</f>
        <v/>
      </c>
      <c r="K4981" s="35" t="str">
        <f aca="false">IF($A4981="","",MOD(MONTH($A4981)-Setup!$B$6+12,12)+1)</f>
        <v/>
      </c>
      <c r="L4981" s="36" t="str">
        <f aca="false">IF($A4981="","",TEXT($A4981,"MMM-YY"))</f>
        <v/>
      </c>
      <c r="M4981" s="37" t="str">
        <f aca="false">IF($A4981="","",IF($Q4981=0,"UNMAPPED",INDEX(COA_Mapping!$C$7:$C$256,$Q4981)))</f>
        <v/>
      </c>
      <c r="N4981" s="38" t="str">
        <f aca="false">IF($A4981="","",IF($Q4981=0,"",INDEX(COA_Mapping!$E$7:$E$256,$Q4981)))</f>
        <v/>
      </c>
      <c r="O4981" s="38" t="n">
        <f aca="false">IF($A4981="",1,IF($Q4981=0,1,INDEX(COA_Mapping!$F$7:$F$256,$Q4981)))</f>
        <v>1</v>
      </c>
      <c r="P4981" s="34" t="str">
        <f aca="false">IF($A4981="","",$I4981*$O4981)</f>
        <v/>
      </c>
      <c r="Q4981" s="39" t="n">
        <f aca="false">IF($B4981="",0,IFERROR(MATCH($B4981,COA_Mapping!$A$7:$A$256,0),0))</f>
        <v>0</v>
      </c>
      <c r="R4981" s="39" t="n">
        <f aca="false">IF($A4981="",-1,IF($J4981=Setup!$B$7,1,IF($J4981=Setup!$B$9,0,-1)))</f>
        <v>-1</v>
      </c>
      <c r="S4981" s="35" t="n">
        <f aca="false">IF(OR($A4981="",$Q4981=0,$R4981=-1),0,$Q4981*1000+$R4981*100+$K4981)</f>
        <v>0</v>
      </c>
      <c r="T4981" s="37" t="str">
        <f aca="false">IF($A4981="","",IF($B4981="","NO ACCOUNT",IF($Q4981=0,"UNMAPPED",IF($R4981=-1,"OUTSIDE FY RANGE","OK"))))</f>
        <v/>
      </c>
      <c r="U4981" s="40" t="str">
        <f aca="false">IF($A4981="","",$B4981&amp;"|"&amp;TEXT($A4981,"yyyymmdd")&amp;"|"&amp;TEXT($I4981,"0.00"))</f>
        <v/>
      </c>
      <c r="V4981" s="35" t="str">
        <f aca="false">IF($A4981="","",COUNTIF($U$8:$U$5007,$U4981))</f>
        <v/>
      </c>
    </row>
    <row r="4982" customFormat="false" ht="15" hidden="false" customHeight="false" outlineLevel="0" collapsed="false">
      <c r="A4982" s="31"/>
      <c r="B4982" s="32"/>
      <c r="C4982" s="32"/>
      <c r="D4982" s="32"/>
      <c r="E4982" s="32"/>
      <c r="F4982" s="32"/>
      <c r="G4982" s="33"/>
      <c r="H4982" s="33"/>
      <c r="I4982" s="34" t="str">
        <f aca="false">IF($A4982="","",$G4982-$H4982)</f>
        <v/>
      </c>
      <c r="J4982" s="35" t="str">
        <f aca="false">IF($A4982="","",IF(Setup!$B$6=1,YEAR($A4982),YEAR($A4982)+IF(MONTH($A4982)&gt;=Setup!$B$6,1,0)))</f>
        <v/>
      </c>
      <c r="K4982" s="35" t="str">
        <f aca="false">IF($A4982="","",MOD(MONTH($A4982)-Setup!$B$6+12,12)+1)</f>
        <v/>
      </c>
      <c r="L4982" s="36" t="str">
        <f aca="false">IF($A4982="","",TEXT($A4982,"MMM-YY"))</f>
        <v/>
      </c>
      <c r="M4982" s="37" t="str">
        <f aca="false">IF($A4982="","",IF($Q4982=0,"UNMAPPED",INDEX(COA_Mapping!$C$7:$C$256,$Q4982)))</f>
        <v/>
      </c>
      <c r="N4982" s="38" t="str">
        <f aca="false">IF($A4982="","",IF($Q4982=0,"",INDEX(COA_Mapping!$E$7:$E$256,$Q4982)))</f>
        <v/>
      </c>
      <c r="O4982" s="38" t="n">
        <f aca="false">IF($A4982="",1,IF($Q4982=0,1,INDEX(COA_Mapping!$F$7:$F$256,$Q4982)))</f>
        <v>1</v>
      </c>
      <c r="P4982" s="34" t="str">
        <f aca="false">IF($A4982="","",$I4982*$O4982)</f>
        <v/>
      </c>
      <c r="Q4982" s="39" t="n">
        <f aca="false">IF($B4982="",0,IFERROR(MATCH($B4982,COA_Mapping!$A$7:$A$256,0),0))</f>
        <v>0</v>
      </c>
      <c r="R4982" s="39" t="n">
        <f aca="false">IF($A4982="",-1,IF($J4982=Setup!$B$7,1,IF($J4982=Setup!$B$9,0,-1)))</f>
        <v>-1</v>
      </c>
      <c r="S4982" s="35" t="n">
        <f aca="false">IF(OR($A4982="",$Q4982=0,$R4982=-1),0,$Q4982*1000+$R4982*100+$K4982)</f>
        <v>0</v>
      </c>
      <c r="T4982" s="37" t="str">
        <f aca="false">IF($A4982="","",IF($B4982="","NO ACCOUNT",IF($Q4982=0,"UNMAPPED",IF($R4982=-1,"OUTSIDE FY RANGE","OK"))))</f>
        <v/>
      </c>
      <c r="U4982" s="40" t="str">
        <f aca="false">IF($A4982="","",$B4982&amp;"|"&amp;TEXT($A4982,"yyyymmdd")&amp;"|"&amp;TEXT($I4982,"0.00"))</f>
        <v/>
      </c>
      <c r="V4982" s="35" t="str">
        <f aca="false">IF($A4982="","",COUNTIF($U$8:$U$5007,$U4982))</f>
        <v/>
      </c>
    </row>
    <row r="4983" customFormat="false" ht="15" hidden="false" customHeight="false" outlineLevel="0" collapsed="false">
      <c r="A4983" s="31"/>
      <c r="B4983" s="32"/>
      <c r="C4983" s="32"/>
      <c r="D4983" s="32"/>
      <c r="E4983" s="32"/>
      <c r="F4983" s="32"/>
      <c r="G4983" s="33"/>
      <c r="H4983" s="33"/>
      <c r="I4983" s="34" t="str">
        <f aca="false">IF($A4983="","",$G4983-$H4983)</f>
        <v/>
      </c>
      <c r="J4983" s="35" t="str">
        <f aca="false">IF($A4983="","",IF(Setup!$B$6=1,YEAR($A4983),YEAR($A4983)+IF(MONTH($A4983)&gt;=Setup!$B$6,1,0)))</f>
        <v/>
      </c>
      <c r="K4983" s="35" t="str">
        <f aca="false">IF($A4983="","",MOD(MONTH($A4983)-Setup!$B$6+12,12)+1)</f>
        <v/>
      </c>
      <c r="L4983" s="36" t="str">
        <f aca="false">IF($A4983="","",TEXT($A4983,"MMM-YY"))</f>
        <v/>
      </c>
      <c r="M4983" s="37" t="str">
        <f aca="false">IF($A4983="","",IF($Q4983=0,"UNMAPPED",INDEX(COA_Mapping!$C$7:$C$256,$Q4983)))</f>
        <v/>
      </c>
      <c r="N4983" s="38" t="str">
        <f aca="false">IF($A4983="","",IF($Q4983=0,"",INDEX(COA_Mapping!$E$7:$E$256,$Q4983)))</f>
        <v/>
      </c>
      <c r="O4983" s="38" t="n">
        <f aca="false">IF($A4983="",1,IF($Q4983=0,1,INDEX(COA_Mapping!$F$7:$F$256,$Q4983)))</f>
        <v>1</v>
      </c>
      <c r="P4983" s="34" t="str">
        <f aca="false">IF($A4983="","",$I4983*$O4983)</f>
        <v/>
      </c>
      <c r="Q4983" s="39" t="n">
        <f aca="false">IF($B4983="",0,IFERROR(MATCH($B4983,COA_Mapping!$A$7:$A$256,0),0))</f>
        <v>0</v>
      </c>
      <c r="R4983" s="39" t="n">
        <f aca="false">IF($A4983="",-1,IF($J4983=Setup!$B$7,1,IF($J4983=Setup!$B$9,0,-1)))</f>
        <v>-1</v>
      </c>
      <c r="S4983" s="35" t="n">
        <f aca="false">IF(OR($A4983="",$Q4983=0,$R4983=-1),0,$Q4983*1000+$R4983*100+$K4983)</f>
        <v>0</v>
      </c>
      <c r="T4983" s="37" t="str">
        <f aca="false">IF($A4983="","",IF($B4983="","NO ACCOUNT",IF($Q4983=0,"UNMAPPED",IF($R4983=-1,"OUTSIDE FY RANGE","OK"))))</f>
        <v/>
      </c>
      <c r="U4983" s="40" t="str">
        <f aca="false">IF($A4983="","",$B4983&amp;"|"&amp;TEXT($A4983,"yyyymmdd")&amp;"|"&amp;TEXT($I4983,"0.00"))</f>
        <v/>
      </c>
      <c r="V4983" s="35" t="str">
        <f aca="false">IF($A4983="","",COUNTIF($U$8:$U$5007,$U4983))</f>
        <v/>
      </c>
    </row>
    <row r="4984" customFormat="false" ht="15" hidden="false" customHeight="false" outlineLevel="0" collapsed="false">
      <c r="A4984" s="31"/>
      <c r="B4984" s="32"/>
      <c r="C4984" s="32"/>
      <c r="D4984" s="32"/>
      <c r="E4984" s="32"/>
      <c r="F4984" s="32"/>
      <c r="G4984" s="33"/>
      <c r="H4984" s="33"/>
      <c r="I4984" s="34" t="str">
        <f aca="false">IF($A4984="","",$G4984-$H4984)</f>
        <v/>
      </c>
      <c r="J4984" s="35" t="str">
        <f aca="false">IF($A4984="","",IF(Setup!$B$6=1,YEAR($A4984),YEAR($A4984)+IF(MONTH($A4984)&gt;=Setup!$B$6,1,0)))</f>
        <v/>
      </c>
      <c r="K4984" s="35" t="str">
        <f aca="false">IF($A4984="","",MOD(MONTH($A4984)-Setup!$B$6+12,12)+1)</f>
        <v/>
      </c>
      <c r="L4984" s="36" t="str">
        <f aca="false">IF($A4984="","",TEXT($A4984,"MMM-YY"))</f>
        <v/>
      </c>
      <c r="M4984" s="37" t="str">
        <f aca="false">IF($A4984="","",IF($Q4984=0,"UNMAPPED",INDEX(COA_Mapping!$C$7:$C$256,$Q4984)))</f>
        <v/>
      </c>
      <c r="N4984" s="38" t="str">
        <f aca="false">IF($A4984="","",IF($Q4984=0,"",INDEX(COA_Mapping!$E$7:$E$256,$Q4984)))</f>
        <v/>
      </c>
      <c r="O4984" s="38" t="n">
        <f aca="false">IF($A4984="",1,IF($Q4984=0,1,INDEX(COA_Mapping!$F$7:$F$256,$Q4984)))</f>
        <v>1</v>
      </c>
      <c r="P4984" s="34" t="str">
        <f aca="false">IF($A4984="","",$I4984*$O4984)</f>
        <v/>
      </c>
      <c r="Q4984" s="39" t="n">
        <f aca="false">IF($B4984="",0,IFERROR(MATCH($B4984,COA_Mapping!$A$7:$A$256,0),0))</f>
        <v>0</v>
      </c>
      <c r="R4984" s="39" t="n">
        <f aca="false">IF($A4984="",-1,IF($J4984=Setup!$B$7,1,IF($J4984=Setup!$B$9,0,-1)))</f>
        <v>-1</v>
      </c>
      <c r="S4984" s="35" t="n">
        <f aca="false">IF(OR($A4984="",$Q4984=0,$R4984=-1),0,$Q4984*1000+$R4984*100+$K4984)</f>
        <v>0</v>
      </c>
      <c r="T4984" s="37" t="str">
        <f aca="false">IF($A4984="","",IF($B4984="","NO ACCOUNT",IF($Q4984=0,"UNMAPPED",IF($R4984=-1,"OUTSIDE FY RANGE","OK"))))</f>
        <v/>
      </c>
      <c r="U4984" s="40" t="str">
        <f aca="false">IF($A4984="","",$B4984&amp;"|"&amp;TEXT($A4984,"yyyymmdd")&amp;"|"&amp;TEXT($I4984,"0.00"))</f>
        <v/>
      </c>
      <c r="V4984" s="35" t="str">
        <f aca="false">IF($A4984="","",COUNTIF($U$8:$U$5007,$U4984))</f>
        <v/>
      </c>
    </row>
    <row r="4985" customFormat="false" ht="15" hidden="false" customHeight="false" outlineLevel="0" collapsed="false">
      <c r="A4985" s="31"/>
      <c r="B4985" s="32"/>
      <c r="C4985" s="32"/>
      <c r="D4985" s="32"/>
      <c r="E4985" s="32"/>
      <c r="F4985" s="32"/>
      <c r="G4985" s="33"/>
      <c r="H4985" s="33"/>
      <c r="I4985" s="34" t="str">
        <f aca="false">IF($A4985="","",$G4985-$H4985)</f>
        <v/>
      </c>
      <c r="J4985" s="35" t="str">
        <f aca="false">IF($A4985="","",IF(Setup!$B$6=1,YEAR($A4985),YEAR($A4985)+IF(MONTH($A4985)&gt;=Setup!$B$6,1,0)))</f>
        <v/>
      </c>
      <c r="K4985" s="35" t="str">
        <f aca="false">IF($A4985="","",MOD(MONTH($A4985)-Setup!$B$6+12,12)+1)</f>
        <v/>
      </c>
      <c r="L4985" s="36" t="str">
        <f aca="false">IF($A4985="","",TEXT($A4985,"MMM-YY"))</f>
        <v/>
      </c>
      <c r="M4985" s="37" t="str">
        <f aca="false">IF($A4985="","",IF($Q4985=0,"UNMAPPED",INDEX(COA_Mapping!$C$7:$C$256,$Q4985)))</f>
        <v/>
      </c>
      <c r="N4985" s="38" t="str">
        <f aca="false">IF($A4985="","",IF($Q4985=0,"",INDEX(COA_Mapping!$E$7:$E$256,$Q4985)))</f>
        <v/>
      </c>
      <c r="O4985" s="38" t="n">
        <f aca="false">IF($A4985="",1,IF($Q4985=0,1,INDEX(COA_Mapping!$F$7:$F$256,$Q4985)))</f>
        <v>1</v>
      </c>
      <c r="P4985" s="34" t="str">
        <f aca="false">IF($A4985="","",$I4985*$O4985)</f>
        <v/>
      </c>
      <c r="Q4985" s="39" t="n">
        <f aca="false">IF($B4985="",0,IFERROR(MATCH($B4985,COA_Mapping!$A$7:$A$256,0),0))</f>
        <v>0</v>
      </c>
      <c r="R4985" s="39" t="n">
        <f aca="false">IF($A4985="",-1,IF($J4985=Setup!$B$7,1,IF($J4985=Setup!$B$9,0,-1)))</f>
        <v>-1</v>
      </c>
      <c r="S4985" s="35" t="n">
        <f aca="false">IF(OR($A4985="",$Q4985=0,$R4985=-1),0,$Q4985*1000+$R4985*100+$K4985)</f>
        <v>0</v>
      </c>
      <c r="T4985" s="37" t="str">
        <f aca="false">IF($A4985="","",IF($B4985="","NO ACCOUNT",IF($Q4985=0,"UNMAPPED",IF($R4985=-1,"OUTSIDE FY RANGE","OK"))))</f>
        <v/>
      </c>
      <c r="U4985" s="40" t="str">
        <f aca="false">IF($A4985="","",$B4985&amp;"|"&amp;TEXT($A4985,"yyyymmdd")&amp;"|"&amp;TEXT($I4985,"0.00"))</f>
        <v/>
      </c>
      <c r="V4985" s="35" t="str">
        <f aca="false">IF($A4985="","",COUNTIF($U$8:$U$5007,$U4985))</f>
        <v/>
      </c>
    </row>
    <row r="4986" customFormat="false" ht="15" hidden="false" customHeight="false" outlineLevel="0" collapsed="false">
      <c r="A4986" s="31"/>
      <c r="B4986" s="32"/>
      <c r="C4986" s="32"/>
      <c r="D4986" s="32"/>
      <c r="E4986" s="32"/>
      <c r="F4986" s="32"/>
      <c r="G4986" s="33"/>
      <c r="H4986" s="33"/>
      <c r="I4986" s="34" t="str">
        <f aca="false">IF($A4986="","",$G4986-$H4986)</f>
        <v/>
      </c>
      <c r="J4986" s="35" t="str">
        <f aca="false">IF($A4986="","",IF(Setup!$B$6=1,YEAR($A4986),YEAR($A4986)+IF(MONTH($A4986)&gt;=Setup!$B$6,1,0)))</f>
        <v/>
      </c>
      <c r="K4986" s="35" t="str">
        <f aca="false">IF($A4986="","",MOD(MONTH($A4986)-Setup!$B$6+12,12)+1)</f>
        <v/>
      </c>
      <c r="L4986" s="36" t="str">
        <f aca="false">IF($A4986="","",TEXT($A4986,"MMM-YY"))</f>
        <v/>
      </c>
      <c r="M4986" s="37" t="str">
        <f aca="false">IF($A4986="","",IF($Q4986=0,"UNMAPPED",INDEX(COA_Mapping!$C$7:$C$256,$Q4986)))</f>
        <v/>
      </c>
      <c r="N4986" s="38" t="str">
        <f aca="false">IF($A4986="","",IF($Q4986=0,"",INDEX(COA_Mapping!$E$7:$E$256,$Q4986)))</f>
        <v/>
      </c>
      <c r="O4986" s="38" t="n">
        <f aca="false">IF($A4986="",1,IF($Q4986=0,1,INDEX(COA_Mapping!$F$7:$F$256,$Q4986)))</f>
        <v>1</v>
      </c>
      <c r="P4986" s="34" t="str">
        <f aca="false">IF($A4986="","",$I4986*$O4986)</f>
        <v/>
      </c>
      <c r="Q4986" s="39" t="n">
        <f aca="false">IF($B4986="",0,IFERROR(MATCH($B4986,COA_Mapping!$A$7:$A$256,0),0))</f>
        <v>0</v>
      </c>
      <c r="R4986" s="39" t="n">
        <f aca="false">IF($A4986="",-1,IF($J4986=Setup!$B$7,1,IF($J4986=Setup!$B$9,0,-1)))</f>
        <v>-1</v>
      </c>
      <c r="S4986" s="35" t="n">
        <f aca="false">IF(OR($A4986="",$Q4986=0,$R4986=-1),0,$Q4986*1000+$R4986*100+$K4986)</f>
        <v>0</v>
      </c>
      <c r="T4986" s="37" t="str">
        <f aca="false">IF($A4986="","",IF($B4986="","NO ACCOUNT",IF($Q4986=0,"UNMAPPED",IF($R4986=-1,"OUTSIDE FY RANGE","OK"))))</f>
        <v/>
      </c>
      <c r="U4986" s="40" t="str">
        <f aca="false">IF($A4986="","",$B4986&amp;"|"&amp;TEXT($A4986,"yyyymmdd")&amp;"|"&amp;TEXT($I4986,"0.00"))</f>
        <v/>
      </c>
      <c r="V4986" s="35" t="str">
        <f aca="false">IF($A4986="","",COUNTIF($U$8:$U$5007,$U4986))</f>
        <v/>
      </c>
    </row>
    <row r="4987" customFormat="false" ht="15" hidden="false" customHeight="false" outlineLevel="0" collapsed="false">
      <c r="A4987" s="31"/>
      <c r="B4987" s="32"/>
      <c r="C4987" s="32"/>
      <c r="D4987" s="32"/>
      <c r="E4987" s="32"/>
      <c r="F4987" s="32"/>
      <c r="G4987" s="33"/>
      <c r="H4987" s="33"/>
      <c r="I4987" s="34" t="str">
        <f aca="false">IF($A4987="","",$G4987-$H4987)</f>
        <v/>
      </c>
      <c r="J4987" s="35" t="str">
        <f aca="false">IF($A4987="","",IF(Setup!$B$6=1,YEAR($A4987),YEAR($A4987)+IF(MONTH($A4987)&gt;=Setup!$B$6,1,0)))</f>
        <v/>
      </c>
      <c r="K4987" s="35" t="str">
        <f aca="false">IF($A4987="","",MOD(MONTH($A4987)-Setup!$B$6+12,12)+1)</f>
        <v/>
      </c>
      <c r="L4987" s="36" t="str">
        <f aca="false">IF($A4987="","",TEXT($A4987,"MMM-YY"))</f>
        <v/>
      </c>
      <c r="M4987" s="37" t="str">
        <f aca="false">IF($A4987="","",IF($Q4987=0,"UNMAPPED",INDEX(COA_Mapping!$C$7:$C$256,$Q4987)))</f>
        <v/>
      </c>
      <c r="N4987" s="38" t="str">
        <f aca="false">IF($A4987="","",IF($Q4987=0,"",INDEX(COA_Mapping!$E$7:$E$256,$Q4987)))</f>
        <v/>
      </c>
      <c r="O4987" s="38" t="n">
        <f aca="false">IF($A4987="",1,IF($Q4987=0,1,INDEX(COA_Mapping!$F$7:$F$256,$Q4987)))</f>
        <v>1</v>
      </c>
      <c r="P4987" s="34" t="str">
        <f aca="false">IF($A4987="","",$I4987*$O4987)</f>
        <v/>
      </c>
      <c r="Q4987" s="39" t="n">
        <f aca="false">IF($B4987="",0,IFERROR(MATCH($B4987,COA_Mapping!$A$7:$A$256,0),0))</f>
        <v>0</v>
      </c>
      <c r="R4987" s="39" t="n">
        <f aca="false">IF($A4987="",-1,IF($J4987=Setup!$B$7,1,IF($J4987=Setup!$B$9,0,-1)))</f>
        <v>-1</v>
      </c>
      <c r="S4987" s="35" t="n">
        <f aca="false">IF(OR($A4987="",$Q4987=0,$R4987=-1),0,$Q4987*1000+$R4987*100+$K4987)</f>
        <v>0</v>
      </c>
      <c r="T4987" s="37" t="str">
        <f aca="false">IF($A4987="","",IF($B4987="","NO ACCOUNT",IF($Q4987=0,"UNMAPPED",IF($R4987=-1,"OUTSIDE FY RANGE","OK"))))</f>
        <v/>
      </c>
      <c r="U4987" s="40" t="str">
        <f aca="false">IF($A4987="","",$B4987&amp;"|"&amp;TEXT($A4987,"yyyymmdd")&amp;"|"&amp;TEXT($I4987,"0.00"))</f>
        <v/>
      </c>
      <c r="V4987" s="35" t="str">
        <f aca="false">IF($A4987="","",COUNTIF($U$8:$U$5007,$U4987))</f>
        <v/>
      </c>
    </row>
    <row r="4988" customFormat="false" ht="15" hidden="false" customHeight="false" outlineLevel="0" collapsed="false">
      <c r="A4988" s="31"/>
      <c r="B4988" s="32"/>
      <c r="C4988" s="32"/>
      <c r="D4988" s="32"/>
      <c r="E4988" s="32"/>
      <c r="F4988" s="32"/>
      <c r="G4988" s="33"/>
      <c r="H4988" s="33"/>
      <c r="I4988" s="34" t="str">
        <f aca="false">IF($A4988="","",$G4988-$H4988)</f>
        <v/>
      </c>
      <c r="J4988" s="35" t="str">
        <f aca="false">IF($A4988="","",IF(Setup!$B$6=1,YEAR($A4988),YEAR($A4988)+IF(MONTH($A4988)&gt;=Setup!$B$6,1,0)))</f>
        <v/>
      </c>
      <c r="K4988" s="35" t="str">
        <f aca="false">IF($A4988="","",MOD(MONTH($A4988)-Setup!$B$6+12,12)+1)</f>
        <v/>
      </c>
      <c r="L4988" s="36" t="str">
        <f aca="false">IF($A4988="","",TEXT($A4988,"MMM-YY"))</f>
        <v/>
      </c>
      <c r="M4988" s="37" t="str">
        <f aca="false">IF($A4988="","",IF($Q4988=0,"UNMAPPED",INDEX(COA_Mapping!$C$7:$C$256,$Q4988)))</f>
        <v/>
      </c>
      <c r="N4988" s="38" t="str">
        <f aca="false">IF($A4988="","",IF($Q4988=0,"",INDEX(COA_Mapping!$E$7:$E$256,$Q4988)))</f>
        <v/>
      </c>
      <c r="O4988" s="38" t="n">
        <f aca="false">IF($A4988="",1,IF($Q4988=0,1,INDEX(COA_Mapping!$F$7:$F$256,$Q4988)))</f>
        <v>1</v>
      </c>
      <c r="P4988" s="34" t="str">
        <f aca="false">IF($A4988="","",$I4988*$O4988)</f>
        <v/>
      </c>
      <c r="Q4988" s="39" t="n">
        <f aca="false">IF($B4988="",0,IFERROR(MATCH($B4988,COA_Mapping!$A$7:$A$256,0),0))</f>
        <v>0</v>
      </c>
      <c r="R4988" s="39" t="n">
        <f aca="false">IF($A4988="",-1,IF($J4988=Setup!$B$7,1,IF($J4988=Setup!$B$9,0,-1)))</f>
        <v>-1</v>
      </c>
      <c r="S4988" s="35" t="n">
        <f aca="false">IF(OR($A4988="",$Q4988=0,$R4988=-1),0,$Q4988*1000+$R4988*100+$K4988)</f>
        <v>0</v>
      </c>
      <c r="T4988" s="37" t="str">
        <f aca="false">IF($A4988="","",IF($B4988="","NO ACCOUNT",IF($Q4988=0,"UNMAPPED",IF($R4988=-1,"OUTSIDE FY RANGE","OK"))))</f>
        <v/>
      </c>
      <c r="U4988" s="40" t="str">
        <f aca="false">IF($A4988="","",$B4988&amp;"|"&amp;TEXT($A4988,"yyyymmdd")&amp;"|"&amp;TEXT($I4988,"0.00"))</f>
        <v/>
      </c>
      <c r="V4988" s="35" t="str">
        <f aca="false">IF($A4988="","",COUNTIF($U$8:$U$5007,$U4988))</f>
        <v/>
      </c>
    </row>
    <row r="4989" customFormat="false" ht="15" hidden="false" customHeight="false" outlineLevel="0" collapsed="false">
      <c r="A4989" s="31"/>
      <c r="B4989" s="32"/>
      <c r="C4989" s="32"/>
      <c r="D4989" s="32"/>
      <c r="E4989" s="32"/>
      <c r="F4989" s="32"/>
      <c r="G4989" s="33"/>
      <c r="H4989" s="33"/>
      <c r="I4989" s="34" t="str">
        <f aca="false">IF($A4989="","",$G4989-$H4989)</f>
        <v/>
      </c>
      <c r="J4989" s="35" t="str">
        <f aca="false">IF($A4989="","",IF(Setup!$B$6=1,YEAR($A4989),YEAR($A4989)+IF(MONTH($A4989)&gt;=Setup!$B$6,1,0)))</f>
        <v/>
      </c>
      <c r="K4989" s="35" t="str">
        <f aca="false">IF($A4989="","",MOD(MONTH($A4989)-Setup!$B$6+12,12)+1)</f>
        <v/>
      </c>
      <c r="L4989" s="36" t="str">
        <f aca="false">IF($A4989="","",TEXT($A4989,"MMM-YY"))</f>
        <v/>
      </c>
      <c r="M4989" s="37" t="str">
        <f aca="false">IF($A4989="","",IF($Q4989=0,"UNMAPPED",INDEX(COA_Mapping!$C$7:$C$256,$Q4989)))</f>
        <v/>
      </c>
      <c r="N4989" s="38" t="str">
        <f aca="false">IF($A4989="","",IF($Q4989=0,"",INDEX(COA_Mapping!$E$7:$E$256,$Q4989)))</f>
        <v/>
      </c>
      <c r="O4989" s="38" t="n">
        <f aca="false">IF($A4989="",1,IF($Q4989=0,1,INDEX(COA_Mapping!$F$7:$F$256,$Q4989)))</f>
        <v>1</v>
      </c>
      <c r="P4989" s="34" t="str">
        <f aca="false">IF($A4989="","",$I4989*$O4989)</f>
        <v/>
      </c>
      <c r="Q4989" s="39" t="n">
        <f aca="false">IF($B4989="",0,IFERROR(MATCH($B4989,COA_Mapping!$A$7:$A$256,0),0))</f>
        <v>0</v>
      </c>
      <c r="R4989" s="39" t="n">
        <f aca="false">IF($A4989="",-1,IF($J4989=Setup!$B$7,1,IF($J4989=Setup!$B$9,0,-1)))</f>
        <v>-1</v>
      </c>
      <c r="S4989" s="35" t="n">
        <f aca="false">IF(OR($A4989="",$Q4989=0,$R4989=-1),0,$Q4989*1000+$R4989*100+$K4989)</f>
        <v>0</v>
      </c>
      <c r="T4989" s="37" t="str">
        <f aca="false">IF($A4989="","",IF($B4989="","NO ACCOUNT",IF($Q4989=0,"UNMAPPED",IF($R4989=-1,"OUTSIDE FY RANGE","OK"))))</f>
        <v/>
      </c>
      <c r="U4989" s="40" t="str">
        <f aca="false">IF($A4989="","",$B4989&amp;"|"&amp;TEXT($A4989,"yyyymmdd")&amp;"|"&amp;TEXT($I4989,"0.00"))</f>
        <v/>
      </c>
      <c r="V4989" s="35" t="str">
        <f aca="false">IF($A4989="","",COUNTIF($U$8:$U$5007,$U4989))</f>
        <v/>
      </c>
    </row>
    <row r="4990" customFormat="false" ht="15" hidden="false" customHeight="false" outlineLevel="0" collapsed="false">
      <c r="A4990" s="31"/>
      <c r="B4990" s="32"/>
      <c r="C4990" s="32"/>
      <c r="D4990" s="32"/>
      <c r="E4990" s="32"/>
      <c r="F4990" s="32"/>
      <c r="G4990" s="33"/>
      <c r="H4990" s="33"/>
      <c r="I4990" s="34" t="str">
        <f aca="false">IF($A4990="","",$G4990-$H4990)</f>
        <v/>
      </c>
      <c r="J4990" s="35" t="str">
        <f aca="false">IF($A4990="","",IF(Setup!$B$6=1,YEAR($A4990),YEAR($A4990)+IF(MONTH($A4990)&gt;=Setup!$B$6,1,0)))</f>
        <v/>
      </c>
      <c r="K4990" s="35" t="str">
        <f aca="false">IF($A4990="","",MOD(MONTH($A4990)-Setup!$B$6+12,12)+1)</f>
        <v/>
      </c>
      <c r="L4990" s="36" t="str">
        <f aca="false">IF($A4990="","",TEXT($A4990,"MMM-YY"))</f>
        <v/>
      </c>
      <c r="M4990" s="37" t="str">
        <f aca="false">IF($A4990="","",IF($Q4990=0,"UNMAPPED",INDEX(COA_Mapping!$C$7:$C$256,$Q4990)))</f>
        <v/>
      </c>
      <c r="N4990" s="38" t="str">
        <f aca="false">IF($A4990="","",IF($Q4990=0,"",INDEX(COA_Mapping!$E$7:$E$256,$Q4990)))</f>
        <v/>
      </c>
      <c r="O4990" s="38" t="n">
        <f aca="false">IF($A4990="",1,IF($Q4990=0,1,INDEX(COA_Mapping!$F$7:$F$256,$Q4990)))</f>
        <v>1</v>
      </c>
      <c r="P4990" s="34" t="str">
        <f aca="false">IF($A4990="","",$I4990*$O4990)</f>
        <v/>
      </c>
      <c r="Q4990" s="39" t="n">
        <f aca="false">IF($B4990="",0,IFERROR(MATCH($B4990,COA_Mapping!$A$7:$A$256,0),0))</f>
        <v>0</v>
      </c>
      <c r="R4990" s="39" t="n">
        <f aca="false">IF($A4990="",-1,IF($J4990=Setup!$B$7,1,IF($J4990=Setup!$B$9,0,-1)))</f>
        <v>-1</v>
      </c>
      <c r="S4990" s="35" t="n">
        <f aca="false">IF(OR($A4990="",$Q4990=0,$R4990=-1),0,$Q4990*1000+$R4990*100+$K4990)</f>
        <v>0</v>
      </c>
      <c r="T4990" s="37" t="str">
        <f aca="false">IF($A4990="","",IF($B4990="","NO ACCOUNT",IF($Q4990=0,"UNMAPPED",IF($R4990=-1,"OUTSIDE FY RANGE","OK"))))</f>
        <v/>
      </c>
      <c r="U4990" s="40" t="str">
        <f aca="false">IF($A4990="","",$B4990&amp;"|"&amp;TEXT($A4990,"yyyymmdd")&amp;"|"&amp;TEXT($I4990,"0.00"))</f>
        <v/>
      </c>
      <c r="V4990" s="35" t="str">
        <f aca="false">IF($A4990="","",COUNTIF($U$8:$U$5007,$U4990))</f>
        <v/>
      </c>
    </row>
    <row r="4991" customFormat="false" ht="15" hidden="false" customHeight="false" outlineLevel="0" collapsed="false">
      <c r="A4991" s="31"/>
      <c r="B4991" s="32"/>
      <c r="C4991" s="32"/>
      <c r="D4991" s="32"/>
      <c r="E4991" s="32"/>
      <c r="F4991" s="32"/>
      <c r="G4991" s="33"/>
      <c r="H4991" s="33"/>
      <c r="I4991" s="34" t="str">
        <f aca="false">IF($A4991="","",$G4991-$H4991)</f>
        <v/>
      </c>
      <c r="J4991" s="35" t="str">
        <f aca="false">IF($A4991="","",IF(Setup!$B$6=1,YEAR($A4991),YEAR($A4991)+IF(MONTH($A4991)&gt;=Setup!$B$6,1,0)))</f>
        <v/>
      </c>
      <c r="K4991" s="35" t="str">
        <f aca="false">IF($A4991="","",MOD(MONTH($A4991)-Setup!$B$6+12,12)+1)</f>
        <v/>
      </c>
      <c r="L4991" s="36" t="str">
        <f aca="false">IF($A4991="","",TEXT($A4991,"MMM-YY"))</f>
        <v/>
      </c>
      <c r="M4991" s="37" t="str">
        <f aca="false">IF($A4991="","",IF($Q4991=0,"UNMAPPED",INDEX(COA_Mapping!$C$7:$C$256,$Q4991)))</f>
        <v/>
      </c>
      <c r="N4991" s="38" t="str">
        <f aca="false">IF($A4991="","",IF($Q4991=0,"",INDEX(COA_Mapping!$E$7:$E$256,$Q4991)))</f>
        <v/>
      </c>
      <c r="O4991" s="38" t="n">
        <f aca="false">IF($A4991="",1,IF($Q4991=0,1,INDEX(COA_Mapping!$F$7:$F$256,$Q4991)))</f>
        <v>1</v>
      </c>
      <c r="P4991" s="34" t="str">
        <f aca="false">IF($A4991="","",$I4991*$O4991)</f>
        <v/>
      </c>
      <c r="Q4991" s="39" t="n">
        <f aca="false">IF($B4991="",0,IFERROR(MATCH($B4991,COA_Mapping!$A$7:$A$256,0),0))</f>
        <v>0</v>
      </c>
      <c r="R4991" s="39" t="n">
        <f aca="false">IF($A4991="",-1,IF($J4991=Setup!$B$7,1,IF($J4991=Setup!$B$9,0,-1)))</f>
        <v>-1</v>
      </c>
      <c r="S4991" s="35" t="n">
        <f aca="false">IF(OR($A4991="",$Q4991=0,$R4991=-1),0,$Q4991*1000+$R4991*100+$K4991)</f>
        <v>0</v>
      </c>
      <c r="T4991" s="37" t="str">
        <f aca="false">IF($A4991="","",IF($B4991="","NO ACCOUNT",IF($Q4991=0,"UNMAPPED",IF($R4991=-1,"OUTSIDE FY RANGE","OK"))))</f>
        <v/>
      </c>
      <c r="U4991" s="40" t="str">
        <f aca="false">IF($A4991="","",$B4991&amp;"|"&amp;TEXT($A4991,"yyyymmdd")&amp;"|"&amp;TEXT($I4991,"0.00"))</f>
        <v/>
      </c>
      <c r="V4991" s="35" t="str">
        <f aca="false">IF($A4991="","",COUNTIF($U$8:$U$5007,$U4991))</f>
        <v/>
      </c>
    </row>
    <row r="4992" customFormat="false" ht="15" hidden="false" customHeight="false" outlineLevel="0" collapsed="false">
      <c r="A4992" s="31"/>
      <c r="B4992" s="32"/>
      <c r="C4992" s="32"/>
      <c r="D4992" s="32"/>
      <c r="E4992" s="32"/>
      <c r="F4992" s="32"/>
      <c r="G4992" s="33"/>
      <c r="H4992" s="33"/>
      <c r="I4992" s="34" t="str">
        <f aca="false">IF($A4992="","",$G4992-$H4992)</f>
        <v/>
      </c>
      <c r="J4992" s="35" t="str">
        <f aca="false">IF($A4992="","",IF(Setup!$B$6=1,YEAR($A4992),YEAR($A4992)+IF(MONTH($A4992)&gt;=Setup!$B$6,1,0)))</f>
        <v/>
      </c>
      <c r="K4992" s="35" t="str">
        <f aca="false">IF($A4992="","",MOD(MONTH($A4992)-Setup!$B$6+12,12)+1)</f>
        <v/>
      </c>
      <c r="L4992" s="36" t="str">
        <f aca="false">IF($A4992="","",TEXT($A4992,"MMM-YY"))</f>
        <v/>
      </c>
      <c r="M4992" s="37" t="str">
        <f aca="false">IF($A4992="","",IF($Q4992=0,"UNMAPPED",INDEX(COA_Mapping!$C$7:$C$256,$Q4992)))</f>
        <v/>
      </c>
      <c r="N4992" s="38" t="str">
        <f aca="false">IF($A4992="","",IF($Q4992=0,"",INDEX(COA_Mapping!$E$7:$E$256,$Q4992)))</f>
        <v/>
      </c>
      <c r="O4992" s="38" t="n">
        <f aca="false">IF($A4992="",1,IF($Q4992=0,1,INDEX(COA_Mapping!$F$7:$F$256,$Q4992)))</f>
        <v>1</v>
      </c>
      <c r="P4992" s="34" t="str">
        <f aca="false">IF($A4992="","",$I4992*$O4992)</f>
        <v/>
      </c>
      <c r="Q4992" s="39" t="n">
        <f aca="false">IF($B4992="",0,IFERROR(MATCH($B4992,COA_Mapping!$A$7:$A$256,0),0))</f>
        <v>0</v>
      </c>
      <c r="R4992" s="39" t="n">
        <f aca="false">IF($A4992="",-1,IF($J4992=Setup!$B$7,1,IF($J4992=Setup!$B$9,0,-1)))</f>
        <v>-1</v>
      </c>
      <c r="S4992" s="35" t="n">
        <f aca="false">IF(OR($A4992="",$Q4992=0,$R4992=-1),0,$Q4992*1000+$R4992*100+$K4992)</f>
        <v>0</v>
      </c>
      <c r="T4992" s="37" t="str">
        <f aca="false">IF($A4992="","",IF($B4992="","NO ACCOUNT",IF($Q4992=0,"UNMAPPED",IF($R4992=-1,"OUTSIDE FY RANGE","OK"))))</f>
        <v/>
      </c>
      <c r="U4992" s="40" t="str">
        <f aca="false">IF($A4992="","",$B4992&amp;"|"&amp;TEXT($A4992,"yyyymmdd")&amp;"|"&amp;TEXT($I4992,"0.00"))</f>
        <v/>
      </c>
      <c r="V4992" s="35" t="str">
        <f aca="false">IF($A4992="","",COUNTIF($U$8:$U$5007,$U4992))</f>
        <v/>
      </c>
    </row>
    <row r="4993" customFormat="false" ht="15" hidden="false" customHeight="false" outlineLevel="0" collapsed="false">
      <c r="A4993" s="31"/>
      <c r="B4993" s="32"/>
      <c r="C4993" s="32"/>
      <c r="D4993" s="32"/>
      <c r="E4993" s="32"/>
      <c r="F4993" s="32"/>
      <c r="G4993" s="33"/>
      <c r="H4993" s="33"/>
      <c r="I4993" s="34" t="str">
        <f aca="false">IF($A4993="","",$G4993-$H4993)</f>
        <v/>
      </c>
      <c r="J4993" s="35" t="str">
        <f aca="false">IF($A4993="","",IF(Setup!$B$6=1,YEAR($A4993),YEAR($A4993)+IF(MONTH($A4993)&gt;=Setup!$B$6,1,0)))</f>
        <v/>
      </c>
      <c r="K4993" s="35" t="str">
        <f aca="false">IF($A4993="","",MOD(MONTH($A4993)-Setup!$B$6+12,12)+1)</f>
        <v/>
      </c>
      <c r="L4993" s="36" t="str">
        <f aca="false">IF($A4993="","",TEXT($A4993,"MMM-YY"))</f>
        <v/>
      </c>
      <c r="M4993" s="37" t="str">
        <f aca="false">IF($A4993="","",IF($Q4993=0,"UNMAPPED",INDEX(COA_Mapping!$C$7:$C$256,$Q4993)))</f>
        <v/>
      </c>
      <c r="N4993" s="38" t="str">
        <f aca="false">IF($A4993="","",IF($Q4993=0,"",INDEX(COA_Mapping!$E$7:$E$256,$Q4993)))</f>
        <v/>
      </c>
      <c r="O4993" s="38" t="n">
        <f aca="false">IF($A4993="",1,IF($Q4993=0,1,INDEX(COA_Mapping!$F$7:$F$256,$Q4993)))</f>
        <v>1</v>
      </c>
      <c r="P4993" s="34" t="str">
        <f aca="false">IF($A4993="","",$I4993*$O4993)</f>
        <v/>
      </c>
      <c r="Q4993" s="39" t="n">
        <f aca="false">IF($B4993="",0,IFERROR(MATCH($B4993,COA_Mapping!$A$7:$A$256,0),0))</f>
        <v>0</v>
      </c>
      <c r="R4993" s="39" t="n">
        <f aca="false">IF($A4993="",-1,IF($J4993=Setup!$B$7,1,IF($J4993=Setup!$B$9,0,-1)))</f>
        <v>-1</v>
      </c>
      <c r="S4993" s="35" t="n">
        <f aca="false">IF(OR($A4993="",$Q4993=0,$R4993=-1),0,$Q4993*1000+$R4993*100+$K4993)</f>
        <v>0</v>
      </c>
      <c r="T4993" s="37" t="str">
        <f aca="false">IF($A4993="","",IF($B4993="","NO ACCOUNT",IF($Q4993=0,"UNMAPPED",IF($R4993=-1,"OUTSIDE FY RANGE","OK"))))</f>
        <v/>
      </c>
      <c r="U4993" s="40" t="str">
        <f aca="false">IF($A4993="","",$B4993&amp;"|"&amp;TEXT($A4993,"yyyymmdd")&amp;"|"&amp;TEXT($I4993,"0.00"))</f>
        <v/>
      </c>
      <c r="V4993" s="35" t="str">
        <f aca="false">IF($A4993="","",COUNTIF($U$8:$U$5007,$U4993))</f>
        <v/>
      </c>
    </row>
    <row r="4994" customFormat="false" ht="15" hidden="false" customHeight="false" outlineLevel="0" collapsed="false">
      <c r="A4994" s="31"/>
      <c r="B4994" s="32"/>
      <c r="C4994" s="32"/>
      <c r="D4994" s="32"/>
      <c r="E4994" s="32"/>
      <c r="F4994" s="32"/>
      <c r="G4994" s="33"/>
      <c r="H4994" s="33"/>
      <c r="I4994" s="34" t="str">
        <f aca="false">IF($A4994="","",$G4994-$H4994)</f>
        <v/>
      </c>
      <c r="J4994" s="35" t="str">
        <f aca="false">IF($A4994="","",IF(Setup!$B$6=1,YEAR($A4994),YEAR($A4994)+IF(MONTH($A4994)&gt;=Setup!$B$6,1,0)))</f>
        <v/>
      </c>
      <c r="K4994" s="35" t="str">
        <f aca="false">IF($A4994="","",MOD(MONTH($A4994)-Setup!$B$6+12,12)+1)</f>
        <v/>
      </c>
      <c r="L4994" s="36" t="str">
        <f aca="false">IF($A4994="","",TEXT($A4994,"MMM-YY"))</f>
        <v/>
      </c>
      <c r="M4994" s="37" t="str">
        <f aca="false">IF($A4994="","",IF($Q4994=0,"UNMAPPED",INDEX(COA_Mapping!$C$7:$C$256,$Q4994)))</f>
        <v/>
      </c>
      <c r="N4994" s="38" t="str">
        <f aca="false">IF($A4994="","",IF($Q4994=0,"",INDEX(COA_Mapping!$E$7:$E$256,$Q4994)))</f>
        <v/>
      </c>
      <c r="O4994" s="38" t="n">
        <f aca="false">IF($A4994="",1,IF($Q4994=0,1,INDEX(COA_Mapping!$F$7:$F$256,$Q4994)))</f>
        <v>1</v>
      </c>
      <c r="P4994" s="34" t="str">
        <f aca="false">IF($A4994="","",$I4994*$O4994)</f>
        <v/>
      </c>
      <c r="Q4994" s="39" t="n">
        <f aca="false">IF($B4994="",0,IFERROR(MATCH($B4994,COA_Mapping!$A$7:$A$256,0),0))</f>
        <v>0</v>
      </c>
      <c r="R4994" s="39" t="n">
        <f aca="false">IF($A4994="",-1,IF($J4994=Setup!$B$7,1,IF($J4994=Setup!$B$9,0,-1)))</f>
        <v>-1</v>
      </c>
      <c r="S4994" s="35" t="n">
        <f aca="false">IF(OR($A4994="",$Q4994=0,$R4994=-1),0,$Q4994*1000+$R4994*100+$K4994)</f>
        <v>0</v>
      </c>
      <c r="T4994" s="37" t="str">
        <f aca="false">IF($A4994="","",IF($B4994="","NO ACCOUNT",IF($Q4994=0,"UNMAPPED",IF($R4994=-1,"OUTSIDE FY RANGE","OK"))))</f>
        <v/>
      </c>
      <c r="U4994" s="40" t="str">
        <f aca="false">IF($A4994="","",$B4994&amp;"|"&amp;TEXT($A4994,"yyyymmdd")&amp;"|"&amp;TEXT($I4994,"0.00"))</f>
        <v/>
      </c>
      <c r="V4994" s="35" t="str">
        <f aca="false">IF($A4994="","",COUNTIF($U$8:$U$5007,$U4994))</f>
        <v/>
      </c>
    </row>
    <row r="4995" customFormat="false" ht="15" hidden="false" customHeight="false" outlineLevel="0" collapsed="false">
      <c r="A4995" s="31"/>
      <c r="B4995" s="32"/>
      <c r="C4995" s="32"/>
      <c r="D4995" s="32"/>
      <c r="E4995" s="32"/>
      <c r="F4995" s="32"/>
      <c r="G4995" s="33"/>
      <c r="H4995" s="33"/>
      <c r="I4995" s="34" t="str">
        <f aca="false">IF($A4995="","",$G4995-$H4995)</f>
        <v/>
      </c>
      <c r="J4995" s="35" t="str">
        <f aca="false">IF($A4995="","",IF(Setup!$B$6=1,YEAR($A4995),YEAR($A4995)+IF(MONTH($A4995)&gt;=Setup!$B$6,1,0)))</f>
        <v/>
      </c>
      <c r="K4995" s="35" t="str">
        <f aca="false">IF($A4995="","",MOD(MONTH($A4995)-Setup!$B$6+12,12)+1)</f>
        <v/>
      </c>
      <c r="L4995" s="36" t="str">
        <f aca="false">IF($A4995="","",TEXT($A4995,"MMM-YY"))</f>
        <v/>
      </c>
      <c r="M4995" s="37" t="str">
        <f aca="false">IF($A4995="","",IF($Q4995=0,"UNMAPPED",INDEX(COA_Mapping!$C$7:$C$256,$Q4995)))</f>
        <v/>
      </c>
      <c r="N4995" s="38" t="str">
        <f aca="false">IF($A4995="","",IF($Q4995=0,"",INDEX(COA_Mapping!$E$7:$E$256,$Q4995)))</f>
        <v/>
      </c>
      <c r="O4995" s="38" t="n">
        <f aca="false">IF($A4995="",1,IF($Q4995=0,1,INDEX(COA_Mapping!$F$7:$F$256,$Q4995)))</f>
        <v>1</v>
      </c>
      <c r="P4995" s="34" t="str">
        <f aca="false">IF($A4995="","",$I4995*$O4995)</f>
        <v/>
      </c>
      <c r="Q4995" s="39" t="n">
        <f aca="false">IF($B4995="",0,IFERROR(MATCH($B4995,COA_Mapping!$A$7:$A$256,0),0))</f>
        <v>0</v>
      </c>
      <c r="R4995" s="39" t="n">
        <f aca="false">IF($A4995="",-1,IF($J4995=Setup!$B$7,1,IF($J4995=Setup!$B$9,0,-1)))</f>
        <v>-1</v>
      </c>
      <c r="S4995" s="35" t="n">
        <f aca="false">IF(OR($A4995="",$Q4995=0,$R4995=-1),0,$Q4995*1000+$R4995*100+$K4995)</f>
        <v>0</v>
      </c>
      <c r="T4995" s="37" t="str">
        <f aca="false">IF($A4995="","",IF($B4995="","NO ACCOUNT",IF($Q4995=0,"UNMAPPED",IF($R4995=-1,"OUTSIDE FY RANGE","OK"))))</f>
        <v/>
      </c>
      <c r="U4995" s="40" t="str">
        <f aca="false">IF($A4995="","",$B4995&amp;"|"&amp;TEXT($A4995,"yyyymmdd")&amp;"|"&amp;TEXT($I4995,"0.00"))</f>
        <v/>
      </c>
      <c r="V4995" s="35" t="str">
        <f aca="false">IF($A4995="","",COUNTIF($U$8:$U$5007,$U4995))</f>
        <v/>
      </c>
    </row>
    <row r="4996" customFormat="false" ht="15" hidden="false" customHeight="false" outlineLevel="0" collapsed="false">
      <c r="A4996" s="31"/>
      <c r="B4996" s="32"/>
      <c r="C4996" s="32"/>
      <c r="D4996" s="32"/>
      <c r="E4996" s="32"/>
      <c r="F4996" s="32"/>
      <c r="G4996" s="33"/>
      <c r="H4996" s="33"/>
      <c r="I4996" s="34" t="str">
        <f aca="false">IF($A4996="","",$G4996-$H4996)</f>
        <v/>
      </c>
      <c r="J4996" s="35" t="str">
        <f aca="false">IF($A4996="","",IF(Setup!$B$6=1,YEAR($A4996),YEAR($A4996)+IF(MONTH($A4996)&gt;=Setup!$B$6,1,0)))</f>
        <v/>
      </c>
      <c r="K4996" s="35" t="str">
        <f aca="false">IF($A4996="","",MOD(MONTH($A4996)-Setup!$B$6+12,12)+1)</f>
        <v/>
      </c>
      <c r="L4996" s="36" t="str">
        <f aca="false">IF($A4996="","",TEXT($A4996,"MMM-YY"))</f>
        <v/>
      </c>
      <c r="M4996" s="37" t="str">
        <f aca="false">IF($A4996="","",IF($Q4996=0,"UNMAPPED",INDEX(COA_Mapping!$C$7:$C$256,$Q4996)))</f>
        <v/>
      </c>
      <c r="N4996" s="38" t="str">
        <f aca="false">IF($A4996="","",IF($Q4996=0,"",INDEX(COA_Mapping!$E$7:$E$256,$Q4996)))</f>
        <v/>
      </c>
      <c r="O4996" s="38" t="n">
        <f aca="false">IF($A4996="",1,IF($Q4996=0,1,INDEX(COA_Mapping!$F$7:$F$256,$Q4996)))</f>
        <v>1</v>
      </c>
      <c r="P4996" s="34" t="str">
        <f aca="false">IF($A4996="","",$I4996*$O4996)</f>
        <v/>
      </c>
      <c r="Q4996" s="39" t="n">
        <f aca="false">IF($B4996="",0,IFERROR(MATCH($B4996,COA_Mapping!$A$7:$A$256,0),0))</f>
        <v>0</v>
      </c>
      <c r="R4996" s="39" t="n">
        <f aca="false">IF($A4996="",-1,IF($J4996=Setup!$B$7,1,IF($J4996=Setup!$B$9,0,-1)))</f>
        <v>-1</v>
      </c>
      <c r="S4996" s="35" t="n">
        <f aca="false">IF(OR($A4996="",$Q4996=0,$R4996=-1),0,$Q4996*1000+$R4996*100+$K4996)</f>
        <v>0</v>
      </c>
      <c r="T4996" s="37" t="str">
        <f aca="false">IF($A4996="","",IF($B4996="","NO ACCOUNT",IF($Q4996=0,"UNMAPPED",IF($R4996=-1,"OUTSIDE FY RANGE","OK"))))</f>
        <v/>
      </c>
      <c r="U4996" s="40" t="str">
        <f aca="false">IF($A4996="","",$B4996&amp;"|"&amp;TEXT($A4996,"yyyymmdd")&amp;"|"&amp;TEXT($I4996,"0.00"))</f>
        <v/>
      </c>
      <c r="V4996" s="35" t="str">
        <f aca="false">IF($A4996="","",COUNTIF($U$8:$U$5007,$U4996))</f>
        <v/>
      </c>
    </row>
    <row r="4997" customFormat="false" ht="15" hidden="false" customHeight="false" outlineLevel="0" collapsed="false">
      <c r="A4997" s="31"/>
      <c r="B4997" s="32"/>
      <c r="C4997" s="32"/>
      <c r="D4997" s="32"/>
      <c r="E4997" s="32"/>
      <c r="F4997" s="32"/>
      <c r="G4997" s="33"/>
      <c r="H4997" s="33"/>
      <c r="I4997" s="34" t="str">
        <f aca="false">IF($A4997="","",$G4997-$H4997)</f>
        <v/>
      </c>
      <c r="J4997" s="35" t="str">
        <f aca="false">IF($A4997="","",IF(Setup!$B$6=1,YEAR($A4997),YEAR($A4997)+IF(MONTH($A4997)&gt;=Setup!$B$6,1,0)))</f>
        <v/>
      </c>
      <c r="K4997" s="35" t="str">
        <f aca="false">IF($A4997="","",MOD(MONTH($A4997)-Setup!$B$6+12,12)+1)</f>
        <v/>
      </c>
      <c r="L4997" s="36" t="str">
        <f aca="false">IF($A4997="","",TEXT($A4997,"MMM-YY"))</f>
        <v/>
      </c>
      <c r="M4997" s="37" t="str">
        <f aca="false">IF($A4997="","",IF($Q4997=0,"UNMAPPED",INDEX(COA_Mapping!$C$7:$C$256,$Q4997)))</f>
        <v/>
      </c>
      <c r="N4997" s="38" t="str">
        <f aca="false">IF($A4997="","",IF($Q4997=0,"",INDEX(COA_Mapping!$E$7:$E$256,$Q4997)))</f>
        <v/>
      </c>
      <c r="O4997" s="38" t="n">
        <f aca="false">IF($A4997="",1,IF($Q4997=0,1,INDEX(COA_Mapping!$F$7:$F$256,$Q4997)))</f>
        <v>1</v>
      </c>
      <c r="P4997" s="34" t="str">
        <f aca="false">IF($A4997="","",$I4997*$O4997)</f>
        <v/>
      </c>
      <c r="Q4997" s="39" t="n">
        <f aca="false">IF($B4997="",0,IFERROR(MATCH($B4997,COA_Mapping!$A$7:$A$256,0),0))</f>
        <v>0</v>
      </c>
      <c r="R4997" s="39" t="n">
        <f aca="false">IF($A4997="",-1,IF($J4997=Setup!$B$7,1,IF($J4997=Setup!$B$9,0,-1)))</f>
        <v>-1</v>
      </c>
      <c r="S4997" s="35" t="n">
        <f aca="false">IF(OR($A4997="",$Q4997=0,$R4997=-1),0,$Q4997*1000+$R4997*100+$K4997)</f>
        <v>0</v>
      </c>
      <c r="T4997" s="37" t="str">
        <f aca="false">IF($A4997="","",IF($B4997="","NO ACCOUNT",IF($Q4997=0,"UNMAPPED",IF($R4997=-1,"OUTSIDE FY RANGE","OK"))))</f>
        <v/>
      </c>
      <c r="U4997" s="40" t="str">
        <f aca="false">IF($A4997="","",$B4997&amp;"|"&amp;TEXT($A4997,"yyyymmdd")&amp;"|"&amp;TEXT($I4997,"0.00"))</f>
        <v/>
      </c>
      <c r="V4997" s="35" t="str">
        <f aca="false">IF($A4997="","",COUNTIF($U$8:$U$5007,$U4997))</f>
        <v/>
      </c>
    </row>
    <row r="4998" customFormat="false" ht="15" hidden="false" customHeight="false" outlineLevel="0" collapsed="false">
      <c r="A4998" s="31"/>
      <c r="B4998" s="32"/>
      <c r="C4998" s="32"/>
      <c r="D4998" s="32"/>
      <c r="E4998" s="32"/>
      <c r="F4998" s="32"/>
      <c r="G4998" s="33"/>
      <c r="H4998" s="33"/>
      <c r="I4998" s="34" t="str">
        <f aca="false">IF($A4998="","",$G4998-$H4998)</f>
        <v/>
      </c>
      <c r="J4998" s="35" t="str">
        <f aca="false">IF($A4998="","",IF(Setup!$B$6=1,YEAR($A4998),YEAR($A4998)+IF(MONTH($A4998)&gt;=Setup!$B$6,1,0)))</f>
        <v/>
      </c>
      <c r="K4998" s="35" t="str">
        <f aca="false">IF($A4998="","",MOD(MONTH($A4998)-Setup!$B$6+12,12)+1)</f>
        <v/>
      </c>
      <c r="L4998" s="36" t="str">
        <f aca="false">IF($A4998="","",TEXT($A4998,"MMM-YY"))</f>
        <v/>
      </c>
      <c r="M4998" s="37" t="str">
        <f aca="false">IF($A4998="","",IF($Q4998=0,"UNMAPPED",INDEX(COA_Mapping!$C$7:$C$256,$Q4998)))</f>
        <v/>
      </c>
      <c r="N4998" s="38" t="str">
        <f aca="false">IF($A4998="","",IF($Q4998=0,"",INDEX(COA_Mapping!$E$7:$E$256,$Q4998)))</f>
        <v/>
      </c>
      <c r="O4998" s="38" t="n">
        <f aca="false">IF($A4998="",1,IF($Q4998=0,1,INDEX(COA_Mapping!$F$7:$F$256,$Q4998)))</f>
        <v>1</v>
      </c>
      <c r="P4998" s="34" t="str">
        <f aca="false">IF($A4998="","",$I4998*$O4998)</f>
        <v/>
      </c>
      <c r="Q4998" s="39" t="n">
        <f aca="false">IF($B4998="",0,IFERROR(MATCH($B4998,COA_Mapping!$A$7:$A$256,0),0))</f>
        <v>0</v>
      </c>
      <c r="R4998" s="39" t="n">
        <f aca="false">IF($A4998="",-1,IF($J4998=Setup!$B$7,1,IF($J4998=Setup!$B$9,0,-1)))</f>
        <v>-1</v>
      </c>
      <c r="S4998" s="35" t="n">
        <f aca="false">IF(OR($A4998="",$Q4998=0,$R4998=-1),0,$Q4998*1000+$R4998*100+$K4998)</f>
        <v>0</v>
      </c>
      <c r="T4998" s="37" t="str">
        <f aca="false">IF($A4998="","",IF($B4998="","NO ACCOUNT",IF($Q4998=0,"UNMAPPED",IF($R4998=-1,"OUTSIDE FY RANGE","OK"))))</f>
        <v/>
      </c>
      <c r="U4998" s="40" t="str">
        <f aca="false">IF($A4998="","",$B4998&amp;"|"&amp;TEXT($A4998,"yyyymmdd")&amp;"|"&amp;TEXT($I4998,"0.00"))</f>
        <v/>
      </c>
      <c r="V4998" s="35" t="str">
        <f aca="false">IF($A4998="","",COUNTIF($U$8:$U$5007,$U4998))</f>
        <v/>
      </c>
    </row>
    <row r="4999" customFormat="false" ht="15" hidden="false" customHeight="false" outlineLevel="0" collapsed="false">
      <c r="A4999" s="31"/>
      <c r="B4999" s="32"/>
      <c r="C4999" s="32"/>
      <c r="D4999" s="32"/>
      <c r="E4999" s="32"/>
      <c r="F4999" s="32"/>
      <c r="G4999" s="33"/>
      <c r="H4999" s="33"/>
      <c r="I4999" s="34" t="str">
        <f aca="false">IF($A4999="","",$G4999-$H4999)</f>
        <v/>
      </c>
      <c r="J4999" s="35" t="str">
        <f aca="false">IF($A4999="","",IF(Setup!$B$6=1,YEAR($A4999),YEAR($A4999)+IF(MONTH($A4999)&gt;=Setup!$B$6,1,0)))</f>
        <v/>
      </c>
      <c r="K4999" s="35" t="str">
        <f aca="false">IF($A4999="","",MOD(MONTH($A4999)-Setup!$B$6+12,12)+1)</f>
        <v/>
      </c>
      <c r="L4999" s="36" t="str">
        <f aca="false">IF($A4999="","",TEXT($A4999,"MMM-YY"))</f>
        <v/>
      </c>
      <c r="M4999" s="37" t="str">
        <f aca="false">IF($A4999="","",IF($Q4999=0,"UNMAPPED",INDEX(COA_Mapping!$C$7:$C$256,$Q4999)))</f>
        <v/>
      </c>
      <c r="N4999" s="38" t="str">
        <f aca="false">IF($A4999="","",IF($Q4999=0,"",INDEX(COA_Mapping!$E$7:$E$256,$Q4999)))</f>
        <v/>
      </c>
      <c r="O4999" s="38" t="n">
        <f aca="false">IF($A4999="",1,IF($Q4999=0,1,INDEX(COA_Mapping!$F$7:$F$256,$Q4999)))</f>
        <v>1</v>
      </c>
      <c r="P4999" s="34" t="str">
        <f aca="false">IF($A4999="","",$I4999*$O4999)</f>
        <v/>
      </c>
      <c r="Q4999" s="39" t="n">
        <f aca="false">IF($B4999="",0,IFERROR(MATCH($B4999,COA_Mapping!$A$7:$A$256,0),0))</f>
        <v>0</v>
      </c>
      <c r="R4999" s="39" t="n">
        <f aca="false">IF($A4999="",-1,IF($J4999=Setup!$B$7,1,IF($J4999=Setup!$B$9,0,-1)))</f>
        <v>-1</v>
      </c>
      <c r="S4999" s="35" t="n">
        <f aca="false">IF(OR($A4999="",$Q4999=0,$R4999=-1),0,$Q4999*1000+$R4999*100+$K4999)</f>
        <v>0</v>
      </c>
      <c r="T4999" s="37" t="str">
        <f aca="false">IF($A4999="","",IF($B4999="","NO ACCOUNT",IF($Q4999=0,"UNMAPPED",IF($R4999=-1,"OUTSIDE FY RANGE","OK"))))</f>
        <v/>
      </c>
      <c r="U4999" s="40" t="str">
        <f aca="false">IF($A4999="","",$B4999&amp;"|"&amp;TEXT($A4999,"yyyymmdd")&amp;"|"&amp;TEXT($I4999,"0.00"))</f>
        <v/>
      </c>
      <c r="V4999" s="35" t="str">
        <f aca="false">IF($A4999="","",COUNTIF($U$8:$U$5007,$U4999))</f>
        <v/>
      </c>
    </row>
    <row r="5000" customFormat="false" ht="15" hidden="false" customHeight="false" outlineLevel="0" collapsed="false">
      <c r="A5000" s="31"/>
      <c r="B5000" s="32"/>
      <c r="C5000" s="32"/>
      <c r="D5000" s="32"/>
      <c r="E5000" s="32"/>
      <c r="F5000" s="32"/>
      <c r="G5000" s="33"/>
      <c r="H5000" s="33"/>
      <c r="I5000" s="34" t="str">
        <f aca="false">IF($A5000="","",$G5000-$H5000)</f>
        <v/>
      </c>
      <c r="J5000" s="35" t="str">
        <f aca="false">IF($A5000="","",IF(Setup!$B$6=1,YEAR($A5000),YEAR($A5000)+IF(MONTH($A5000)&gt;=Setup!$B$6,1,0)))</f>
        <v/>
      </c>
      <c r="K5000" s="35" t="str">
        <f aca="false">IF($A5000="","",MOD(MONTH($A5000)-Setup!$B$6+12,12)+1)</f>
        <v/>
      </c>
      <c r="L5000" s="36" t="str">
        <f aca="false">IF($A5000="","",TEXT($A5000,"MMM-YY"))</f>
        <v/>
      </c>
      <c r="M5000" s="37" t="str">
        <f aca="false">IF($A5000="","",IF($Q5000=0,"UNMAPPED",INDEX(COA_Mapping!$C$7:$C$256,$Q5000)))</f>
        <v/>
      </c>
      <c r="N5000" s="38" t="str">
        <f aca="false">IF($A5000="","",IF($Q5000=0,"",INDEX(COA_Mapping!$E$7:$E$256,$Q5000)))</f>
        <v/>
      </c>
      <c r="O5000" s="38" t="n">
        <f aca="false">IF($A5000="",1,IF($Q5000=0,1,INDEX(COA_Mapping!$F$7:$F$256,$Q5000)))</f>
        <v>1</v>
      </c>
      <c r="P5000" s="34" t="str">
        <f aca="false">IF($A5000="","",$I5000*$O5000)</f>
        <v/>
      </c>
      <c r="Q5000" s="39" t="n">
        <f aca="false">IF($B5000="",0,IFERROR(MATCH($B5000,COA_Mapping!$A$7:$A$256,0),0))</f>
        <v>0</v>
      </c>
      <c r="R5000" s="39" t="n">
        <f aca="false">IF($A5000="",-1,IF($J5000=Setup!$B$7,1,IF($J5000=Setup!$B$9,0,-1)))</f>
        <v>-1</v>
      </c>
      <c r="S5000" s="35" t="n">
        <f aca="false">IF(OR($A5000="",$Q5000=0,$R5000=-1),0,$Q5000*1000+$R5000*100+$K5000)</f>
        <v>0</v>
      </c>
      <c r="T5000" s="37" t="str">
        <f aca="false">IF($A5000="","",IF($B5000="","NO ACCOUNT",IF($Q5000=0,"UNMAPPED",IF($R5000=-1,"OUTSIDE FY RANGE","OK"))))</f>
        <v/>
      </c>
      <c r="U5000" s="40" t="str">
        <f aca="false">IF($A5000="","",$B5000&amp;"|"&amp;TEXT($A5000,"yyyymmdd")&amp;"|"&amp;TEXT($I5000,"0.00"))</f>
        <v/>
      </c>
      <c r="V5000" s="35" t="str">
        <f aca="false">IF($A5000="","",COUNTIF($U$8:$U$5007,$U5000))</f>
        <v/>
      </c>
    </row>
    <row r="5001" customFormat="false" ht="15" hidden="false" customHeight="false" outlineLevel="0" collapsed="false">
      <c r="A5001" s="31"/>
      <c r="B5001" s="32"/>
      <c r="C5001" s="32"/>
      <c r="D5001" s="32"/>
      <c r="E5001" s="32"/>
      <c r="F5001" s="32"/>
      <c r="G5001" s="33"/>
      <c r="H5001" s="33"/>
      <c r="I5001" s="34" t="str">
        <f aca="false">IF($A5001="","",$G5001-$H5001)</f>
        <v/>
      </c>
      <c r="J5001" s="35" t="str">
        <f aca="false">IF($A5001="","",IF(Setup!$B$6=1,YEAR($A5001),YEAR($A5001)+IF(MONTH($A5001)&gt;=Setup!$B$6,1,0)))</f>
        <v/>
      </c>
      <c r="K5001" s="35" t="str">
        <f aca="false">IF($A5001="","",MOD(MONTH($A5001)-Setup!$B$6+12,12)+1)</f>
        <v/>
      </c>
      <c r="L5001" s="36" t="str">
        <f aca="false">IF($A5001="","",TEXT($A5001,"MMM-YY"))</f>
        <v/>
      </c>
      <c r="M5001" s="37" t="str">
        <f aca="false">IF($A5001="","",IF($Q5001=0,"UNMAPPED",INDEX(COA_Mapping!$C$7:$C$256,$Q5001)))</f>
        <v/>
      </c>
      <c r="N5001" s="38" t="str">
        <f aca="false">IF($A5001="","",IF($Q5001=0,"",INDEX(COA_Mapping!$E$7:$E$256,$Q5001)))</f>
        <v/>
      </c>
      <c r="O5001" s="38" t="n">
        <f aca="false">IF($A5001="",1,IF($Q5001=0,1,INDEX(COA_Mapping!$F$7:$F$256,$Q5001)))</f>
        <v>1</v>
      </c>
      <c r="P5001" s="34" t="str">
        <f aca="false">IF($A5001="","",$I5001*$O5001)</f>
        <v/>
      </c>
      <c r="Q5001" s="39" t="n">
        <f aca="false">IF($B5001="",0,IFERROR(MATCH($B5001,COA_Mapping!$A$7:$A$256,0),0))</f>
        <v>0</v>
      </c>
      <c r="R5001" s="39" t="n">
        <f aca="false">IF($A5001="",-1,IF($J5001=Setup!$B$7,1,IF($J5001=Setup!$B$9,0,-1)))</f>
        <v>-1</v>
      </c>
      <c r="S5001" s="35" t="n">
        <f aca="false">IF(OR($A5001="",$Q5001=0,$R5001=-1),0,$Q5001*1000+$R5001*100+$K5001)</f>
        <v>0</v>
      </c>
      <c r="T5001" s="37" t="str">
        <f aca="false">IF($A5001="","",IF($B5001="","NO ACCOUNT",IF($Q5001=0,"UNMAPPED",IF($R5001=-1,"OUTSIDE FY RANGE","OK"))))</f>
        <v/>
      </c>
      <c r="U5001" s="40" t="str">
        <f aca="false">IF($A5001="","",$B5001&amp;"|"&amp;TEXT($A5001,"yyyymmdd")&amp;"|"&amp;TEXT($I5001,"0.00"))</f>
        <v/>
      </c>
      <c r="V5001" s="35" t="str">
        <f aca="false">IF($A5001="","",COUNTIF($U$8:$U$5007,$U5001))</f>
        <v/>
      </c>
    </row>
    <row r="5002" customFormat="false" ht="15" hidden="false" customHeight="false" outlineLevel="0" collapsed="false">
      <c r="A5002" s="31"/>
      <c r="B5002" s="32"/>
      <c r="C5002" s="32"/>
      <c r="D5002" s="32"/>
      <c r="E5002" s="32"/>
      <c r="F5002" s="32"/>
      <c r="G5002" s="33"/>
      <c r="H5002" s="33"/>
      <c r="I5002" s="34" t="str">
        <f aca="false">IF($A5002="","",$G5002-$H5002)</f>
        <v/>
      </c>
      <c r="J5002" s="35" t="str">
        <f aca="false">IF($A5002="","",IF(Setup!$B$6=1,YEAR($A5002),YEAR($A5002)+IF(MONTH($A5002)&gt;=Setup!$B$6,1,0)))</f>
        <v/>
      </c>
      <c r="K5002" s="35" t="str">
        <f aca="false">IF($A5002="","",MOD(MONTH($A5002)-Setup!$B$6+12,12)+1)</f>
        <v/>
      </c>
      <c r="L5002" s="36" t="str">
        <f aca="false">IF($A5002="","",TEXT($A5002,"MMM-YY"))</f>
        <v/>
      </c>
      <c r="M5002" s="37" t="str">
        <f aca="false">IF($A5002="","",IF($Q5002=0,"UNMAPPED",INDEX(COA_Mapping!$C$7:$C$256,$Q5002)))</f>
        <v/>
      </c>
      <c r="N5002" s="38" t="str">
        <f aca="false">IF($A5002="","",IF($Q5002=0,"",INDEX(COA_Mapping!$E$7:$E$256,$Q5002)))</f>
        <v/>
      </c>
      <c r="O5002" s="38" t="n">
        <f aca="false">IF($A5002="",1,IF($Q5002=0,1,INDEX(COA_Mapping!$F$7:$F$256,$Q5002)))</f>
        <v>1</v>
      </c>
      <c r="P5002" s="34" t="str">
        <f aca="false">IF($A5002="","",$I5002*$O5002)</f>
        <v/>
      </c>
      <c r="Q5002" s="39" t="n">
        <f aca="false">IF($B5002="",0,IFERROR(MATCH($B5002,COA_Mapping!$A$7:$A$256,0),0))</f>
        <v>0</v>
      </c>
      <c r="R5002" s="39" t="n">
        <f aca="false">IF($A5002="",-1,IF($J5002=Setup!$B$7,1,IF($J5002=Setup!$B$9,0,-1)))</f>
        <v>-1</v>
      </c>
      <c r="S5002" s="35" t="n">
        <f aca="false">IF(OR($A5002="",$Q5002=0,$R5002=-1),0,$Q5002*1000+$R5002*100+$K5002)</f>
        <v>0</v>
      </c>
      <c r="T5002" s="37" t="str">
        <f aca="false">IF($A5002="","",IF($B5002="","NO ACCOUNT",IF($Q5002=0,"UNMAPPED",IF($R5002=-1,"OUTSIDE FY RANGE","OK"))))</f>
        <v/>
      </c>
      <c r="U5002" s="40" t="str">
        <f aca="false">IF($A5002="","",$B5002&amp;"|"&amp;TEXT($A5002,"yyyymmdd")&amp;"|"&amp;TEXT($I5002,"0.00"))</f>
        <v/>
      </c>
      <c r="V5002" s="35" t="str">
        <f aca="false">IF($A5002="","",COUNTIF($U$8:$U$5007,$U5002))</f>
        <v/>
      </c>
    </row>
    <row r="5003" customFormat="false" ht="15" hidden="false" customHeight="false" outlineLevel="0" collapsed="false">
      <c r="A5003" s="31"/>
      <c r="B5003" s="32"/>
      <c r="C5003" s="32"/>
      <c r="D5003" s="32"/>
      <c r="E5003" s="32"/>
      <c r="F5003" s="32"/>
      <c r="G5003" s="33"/>
      <c r="H5003" s="33"/>
      <c r="I5003" s="34" t="str">
        <f aca="false">IF($A5003="","",$G5003-$H5003)</f>
        <v/>
      </c>
      <c r="J5003" s="35" t="str">
        <f aca="false">IF($A5003="","",IF(Setup!$B$6=1,YEAR($A5003),YEAR($A5003)+IF(MONTH($A5003)&gt;=Setup!$B$6,1,0)))</f>
        <v/>
      </c>
      <c r="K5003" s="35" t="str">
        <f aca="false">IF($A5003="","",MOD(MONTH($A5003)-Setup!$B$6+12,12)+1)</f>
        <v/>
      </c>
      <c r="L5003" s="36" t="str">
        <f aca="false">IF($A5003="","",TEXT($A5003,"MMM-YY"))</f>
        <v/>
      </c>
      <c r="M5003" s="37" t="str">
        <f aca="false">IF($A5003="","",IF($Q5003=0,"UNMAPPED",INDEX(COA_Mapping!$C$7:$C$256,$Q5003)))</f>
        <v/>
      </c>
      <c r="N5003" s="38" t="str">
        <f aca="false">IF($A5003="","",IF($Q5003=0,"",INDEX(COA_Mapping!$E$7:$E$256,$Q5003)))</f>
        <v/>
      </c>
      <c r="O5003" s="38" t="n">
        <f aca="false">IF($A5003="",1,IF($Q5003=0,1,INDEX(COA_Mapping!$F$7:$F$256,$Q5003)))</f>
        <v>1</v>
      </c>
      <c r="P5003" s="34" t="str">
        <f aca="false">IF($A5003="","",$I5003*$O5003)</f>
        <v/>
      </c>
      <c r="Q5003" s="39" t="n">
        <f aca="false">IF($B5003="",0,IFERROR(MATCH($B5003,COA_Mapping!$A$7:$A$256,0),0))</f>
        <v>0</v>
      </c>
      <c r="R5003" s="39" t="n">
        <f aca="false">IF($A5003="",-1,IF($J5003=Setup!$B$7,1,IF($J5003=Setup!$B$9,0,-1)))</f>
        <v>-1</v>
      </c>
      <c r="S5003" s="35" t="n">
        <f aca="false">IF(OR($A5003="",$Q5003=0,$R5003=-1),0,$Q5003*1000+$R5003*100+$K5003)</f>
        <v>0</v>
      </c>
      <c r="T5003" s="37" t="str">
        <f aca="false">IF($A5003="","",IF($B5003="","NO ACCOUNT",IF($Q5003=0,"UNMAPPED",IF($R5003=-1,"OUTSIDE FY RANGE","OK"))))</f>
        <v/>
      </c>
      <c r="U5003" s="40" t="str">
        <f aca="false">IF($A5003="","",$B5003&amp;"|"&amp;TEXT($A5003,"yyyymmdd")&amp;"|"&amp;TEXT($I5003,"0.00"))</f>
        <v/>
      </c>
      <c r="V5003" s="35" t="str">
        <f aca="false">IF($A5003="","",COUNTIF($U$8:$U$5007,$U5003))</f>
        <v/>
      </c>
    </row>
    <row r="5004" customFormat="false" ht="15" hidden="false" customHeight="false" outlineLevel="0" collapsed="false">
      <c r="A5004" s="31"/>
      <c r="B5004" s="32"/>
      <c r="C5004" s="32"/>
      <c r="D5004" s="32"/>
      <c r="E5004" s="32"/>
      <c r="F5004" s="32"/>
      <c r="G5004" s="33"/>
      <c r="H5004" s="33"/>
      <c r="I5004" s="34" t="str">
        <f aca="false">IF($A5004="","",$G5004-$H5004)</f>
        <v/>
      </c>
      <c r="J5004" s="35" t="str">
        <f aca="false">IF($A5004="","",IF(Setup!$B$6=1,YEAR($A5004),YEAR($A5004)+IF(MONTH($A5004)&gt;=Setup!$B$6,1,0)))</f>
        <v/>
      </c>
      <c r="K5004" s="35" t="str">
        <f aca="false">IF($A5004="","",MOD(MONTH($A5004)-Setup!$B$6+12,12)+1)</f>
        <v/>
      </c>
      <c r="L5004" s="36" t="str">
        <f aca="false">IF($A5004="","",TEXT($A5004,"MMM-YY"))</f>
        <v/>
      </c>
      <c r="M5004" s="37" t="str">
        <f aca="false">IF($A5004="","",IF($Q5004=0,"UNMAPPED",INDEX(COA_Mapping!$C$7:$C$256,$Q5004)))</f>
        <v/>
      </c>
      <c r="N5004" s="38" t="str">
        <f aca="false">IF($A5004="","",IF($Q5004=0,"",INDEX(COA_Mapping!$E$7:$E$256,$Q5004)))</f>
        <v/>
      </c>
      <c r="O5004" s="38" t="n">
        <f aca="false">IF($A5004="",1,IF($Q5004=0,1,INDEX(COA_Mapping!$F$7:$F$256,$Q5004)))</f>
        <v>1</v>
      </c>
      <c r="P5004" s="34" t="str">
        <f aca="false">IF($A5004="","",$I5004*$O5004)</f>
        <v/>
      </c>
      <c r="Q5004" s="39" t="n">
        <f aca="false">IF($B5004="",0,IFERROR(MATCH($B5004,COA_Mapping!$A$7:$A$256,0),0))</f>
        <v>0</v>
      </c>
      <c r="R5004" s="39" t="n">
        <f aca="false">IF($A5004="",-1,IF($J5004=Setup!$B$7,1,IF($J5004=Setup!$B$9,0,-1)))</f>
        <v>-1</v>
      </c>
      <c r="S5004" s="35" t="n">
        <f aca="false">IF(OR($A5004="",$Q5004=0,$R5004=-1),0,$Q5004*1000+$R5004*100+$K5004)</f>
        <v>0</v>
      </c>
      <c r="T5004" s="37" t="str">
        <f aca="false">IF($A5004="","",IF($B5004="","NO ACCOUNT",IF($Q5004=0,"UNMAPPED",IF($R5004=-1,"OUTSIDE FY RANGE","OK"))))</f>
        <v/>
      </c>
      <c r="U5004" s="40" t="str">
        <f aca="false">IF($A5004="","",$B5004&amp;"|"&amp;TEXT($A5004,"yyyymmdd")&amp;"|"&amp;TEXT($I5004,"0.00"))</f>
        <v/>
      </c>
      <c r="V5004" s="35" t="str">
        <f aca="false">IF($A5004="","",COUNTIF($U$8:$U$5007,$U5004))</f>
        <v/>
      </c>
    </row>
    <row r="5005" customFormat="false" ht="15" hidden="false" customHeight="false" outlineLevel="0" collapsed="false">
      <c r="A5005" s="31"/>
      <c r="B5005" s="32"/>
      <c r="C5005" s="32"/>
      <c r="D5005" s="32"/>
      <c r="E5005" s="32"/>
      <c r="F5005" s="32"/>
      <c r="G5005" s="33"/>
      <c r="H5005" s="33"/>
      <c r="I5005" s="34" t="str">
        <f aca="false">IF($A5005="","",$G5005-$H5005)</f>
        <v/>
      </c>
      <c r="J5005" s="35" t="str">
        <f aca="false">IF($A5005="","",IF(Setup!$B$6=1,YEAR($A5005),YEAR($A5005)+IF(MONTH($A5005)&gt;=Setup!$B$6,1,0)))</f>
        <v/>
      </c>
      <c r="K5005" s="35" t="str">
        <f aca="false">IF($A5005="","",MOD(MONTH($A5005)-Setup!$B$6+12,12)+1)</f>
        <v/>
      </c>
      <c r="L5005" s="36" t="str">
        <f aca="false">IF($A5005="","",TEXT($A5005,"MMM-YY"))</f>
        <v/>
      </c>
      <c r="M5005" s="37" t="str">
        <f aca="false">IF($A5005="","",IF($Q5005=0,"UNMAPPED",INDEX(COA_Mapping!$C$7:$C$256,$Q5005)))</f>
        <v/>
      </c>
      <c r="N5005" s="38" t="str">
        <f aca="false">IF($A5005="","",IF($Q5005=0,"",INDEX(COA_Mapping!$E$7:$E$256,$Q5005)))</f>
        <v/>
      </c>
      <c r="O5005" s="38" t="n">
        <f aca="false">IF($A5005="",1,IF($Q5005=0,1,INDEX(COA_Mapping!$F$7:$F$256,$Q5005)))</f>
        <v>1</v>
      </c>
      <c r="P5005" s="34" t="str">
        <f aca="false">IF($A5005="","",$I5005*$O5005)</f>
        <v/>
      </c>
      <c r="Q5005" s="39" t="n">
        <f aca="false">IF($B5005="",0,IFERROR(MATCH($B5005,COA_Mapping!$A$7:$A$256,0),0))</f>
        <v>0</v>
      </c>
      <c r="R5005" s="39" t="n">
        <f aca="false">IF($A5005="",-1,IF($J5005=Setup!$B$7,1,IF($J5005=Setup!$B$9,0,-1)))</f>
        <v>-1</v>
      </c>
      <c r="S5005" s="35" t="n">
        <f aca="false">IF(OR($A5005="",$Q5005=0,$R5005=-1),0,$Q5005*1000+$R5005*100+$K5005)</f>
        <v>0</v>
      </c>
      <c r="T5005" s="37" t="str">
        <f aca="false">IF($A5005="","",IF($B5005="","NO ACCOUNT",IF($Q5005=0,"UNMAPPED",IF($R5005=-1,"OUTSIDE FY RANGE","OK"))))</f>
        <v/>
      </c>
      <c r="U5005" s="40" t="str">
        <f aca="false">IF($A5005="","",$B5005&amp;"|"&amp;TEXT($A5005,"yyyymmdd")&amp;"|"&amp;TEXT($I5005,"0.00"))</f>
        <v/>
      </c>
      <c r="V5005" s="35" t="str">
        <f aca="false">IF($A5005="","",COUNTIF($U$8:$U$5007,$U5005))</f>
        <v/>
      </c>
    </row>
    <row r="5006" customFormat="false" ht="15" hidden="false" customHeight="false" outlineLevel="0" collapsed="false">
      <c r="A5006" s="31"/>
      <c r="B5006" s="32"/>
      <c r="C5006" s="32"/>
      <c r="D5006" s="32"/>
      <c r="E5006" s="32"/>
      <c r="F5006" s="32"/>
      <c r="G5006" s="33"/>
      <c r="H5006" s="33"/>
      <c r="I5006" s="34" t="str">
        <f aca="false">IF($A5006="","",$G5006-$H5006)</f>
        <v/>
      </c>
      <c r="J5006" s="35" t="str">
        <f aca="false">IF($A5006="","",IF(Setup!$B$6=1,YEAR($A5006),YEAR($A5006)+IF(MONTH($A5006)&gt;=Setup!$B$6,1,0)))</f>
        <v/>
      </c>
      <c r="K5006" s="35" t="str">
        <f aca="false">IF($A5006="","",MOD(MONTH($A5006)-Setup!$B$6+12,12)+1)</f>
        <v/>
      </c>
      <c r="L5006" s="36" t="str">
        <f aca="false">IF($A5006="","",TEXT($A5006,"MMM-YY"))</f>
        <v/>
      </c>
      <c r="M5006" s="37" t="str">
        <f aca="false">IF($A5006="","",IF($Q5006=0,"UNMAPPED",INDEX(COA_Mapping!$C$7:$C$256,$Q5006)))</f>
        <v/>
      </c>
      <c r="N5006" s="38" t="str">
        <f aca="false">IF($A5006="","",IF($Q5006=0,"",INDEX(COA_Mapping!$E$7:$E$256,$Q5006)))</f>
        <v/>
      </c>
      <c r="O5006" s="38" t="n">
        <f aca="false">IF($A5006="",1,IF($Q5006=0,1,INDEX(COA_Mapping!$F$7:$F$256,$Q5006)))</f>
        <v>1</v>
      </c>
      <c r="P5006" s="34" t="str">
        <f aca="false">IF($A5006="","",$I5006*$O5006)</f>
        <v/>
      </c>
      <c r="Q5006" s="39" t="n">
        <f aca="false">IF($B5006="",0,IFERROR(MATCH($B5006,COA_Mapping!$A$7:$A$256,0),0))</f>
        <v>0</v>
      </c>
      <c r="R5006" s="39" t="n">
        <f aca="false">IF($A5006="",-1,IF($J5006=Setup!$B$7,1,IF($J5006=Setup!$B$9,0,-1)))</f>
        <v>-1</v>
      </c>
      <c r="S5006" s="35" t="n">
        <f aca="false">IF(OR($A5006="",$Q5006=0,$R5006=-1),0,$Q5006*1000+$R5006*100+$K5006)</f>
        <v>0</v>
      </c>
      <c r="T5006" s="37" t="str">
        <f aca="false">IF($A5006="","",IF($B5006="","NO ACCOUNT",IF($Q5006=0,"UNMAPPED",IF($R5006=-1,"OUTSIDE FY RANGE","OK"))))</f>
        <v/>
      </c>
      <c r="U5006" s="40" t="str">
        <f aca="false">IF($A5006="","",$B5006&amp;"|"&amp;TEXT($A5006,"yyyymmdd")&amp;"|"&amp;TEXT($I5006,"0.00"))</f>
        <v/>
      </c>
      <c r="V5006" s="35" t="str">
        <f aca="false">IF($A5006="","",COUNTIF($U$8:$U$5007,$U5006))</f>
        <v/>
      </c>
    </row>
    <row r="5007" customFormat="false" ht="15" hidden="false" customHeight="false" outlineLevel="0" collapsed="false">
      <c r="A5007" s="31"/>
      <c r="B5007" s="32"/>
      <c r="C5007" s="32"/>
      <c r="D5007" s="32"/>
      <c r="E5007" s="32"/>
      <c r="F5007" s="32"/>
      <c r="G5007" s="33"/>
      <c r="H5007" s="33"/>
      <c r="I5007" s="34" t="str">
        <f aca="false">IF($A5007="","",$G5007-$H5007)</f>
        <v/>
      </c>
      <c r="J5007" s="35" t="str">
        <f aca="false">IF($A5007="","",IF(Setup!$B$6=1,YEAR($A5007),YEAR($A5007)+IF(MONTH($A5007)&gt;=Setup!$B$6,1,0)))</f>
        <v/>
      </c>
      <c r="K5007" s="35" t="str">
        <f aca="false">IF($A5007="","",MOD(MONTH($A5007)-Setup!$B$6+12,12)+1)</f>
        <v/>
      </c>
      <c r="L5007" s="36" t="str">
        <f aca="false">IF($A5007="","",TEXT($A5007,"MMM-YY"))</f>
        <v/>
      </c>
      <c r="M5007" s="37" t="str">
        <f aca="false">IF($A5007="","",IF($Q5007=0,"UNMAPPED",INDEX(COA_Mapping!$C$7:$C$256,$Q5007)))</f>
        <v/>
      </c>
      <c r="N5007" s="38" t="str">
        <f aca="false">IF($A5007="","",IF($Q5007=0,"",INDEX(COA_Mapping!$E$7:$E$256,$Q5007)))</f>
        <v/>
      </c>
      <c r="O5007" s="38" t="n">
        <f aca="false">IF($A5007="",1,IF($Q5007=0,1,INDEX(COA_Mapping!$F$7:$F$256,$Q5007)))</f>
        <v>1</v>
      </c>
      <c r="P5007" s="34" t="str">
        <f aca="false">IF($A5007="","",$I5007*$O5007)</f>
        <v/>
      </c>
      <c r="Q5007" s="39" t="n">
        <f aca="false">IF($B5007="",0,IFERROR(MATCH($B5007,COA_Mapping!$A$7:$A$256,0),0))</f>
        <v>0</v>
      </c>
      <c r="R5007" s="39" t="n">
        <f aca="false">IF($A5007="",-1,IF($J5007=Setup!$B$7,1,IF($J5007=Setup!$B$9,0,-1)))</f>
        <v>-1</v>
      </c>
      <c r="S5007" s="35" t="n">
        <f aca="false">IF(OR($A5007="",$Q5007=0,$R5007=-1),0,$Q5007*1000+$R5007*100+$K5007)</f>
        <v>0</v>
      </c>
      <c r="T5007" s="37" t="str">
        <f aca="false">IF($A5007="","",IF($B5007="","NO ACCOUNT",IF($Q5007=0,"UNMAPPED",IF($R5007=-1,"OUTSIDE FY RANGE","OK"))))</f>
        <v/>
      </c>
      <c r="U5007" s="40" t="str">
        <f aca="false">IF($A5007="","",$B5007&amp;"|"&amp;TEXT($A5007,"yyyymmdd")&amp;"|"&amp;TEXT($I5007,"0.00"))</f>
        <v/>
      </c>
      <c r="V5007" s="35" t="str">
        <f aca="false">IF($A5007="","",COUNTIF($U$8:$U$5007,$U5007))</f>
        <v/>
      </c>
    </row>
  </sheetData>
  <conditionalFormatting sqref="A8:V5007">
    <cfRule type="expression" priority="2" aboveAverage="0" equalAverage="0" bottom="0" percent="0" rank="0" text="" dxfId="2">
      <formula>AND($A8&lt;&gt;"",OR($T8="UNMAPPED",$T8="NO ACCOUNT"))</formula>
    </cfRule>
    <cfRule type="expression" priority="3" aboveAverage="0" equalAverage="0" bottom="0" percent="0" rank="0" text="" dxfId="3">
      <formula>AND($A8&lt;&gt;"",$T8="OUTSIDE FY RANGE")</formula>
    </cfRule>
  </conditionalFormatting>
  <conditionalFormatting sqref="V8:V5007">
    <cfRule type="expression" priority="4" aboveAverage="0" equalAverage="0" bottom="0" percent="0" rank="0" text="" dxfId="4">
      <formula>AND($A8&lt;&gt;"",$V8&gt;1)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2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6"/>
  </cols>
  <sheetData>
    <row r="1" customFormat="false" ht="18.55" hidden="false" customHeight="false" outlineLevel="0" collapsed="false">
      <c r="A1" s="1" t="s">
        <v>137</v>
      </c>
    </row>
    <row r="2" customFormat="false" ht="15" hidden="false" customHeight="false" outlineLevel="0" collapsed="false">
      <c r="A2" s="2" t="s">
        <v>138</v>
      </c>
    </row>
    <row r="6" customFormat="false" ht="31.5" hidden="false" customHeight="true" outlineLevel="0" collapsed="false">
      <c r="A6" s="30" t="s">
        <v>139</v>
      </c>
      <c r="B6" s="30" t="s">
        <v>140</v>
      </c>
      <c r="C6" s="30" t="s">
        <v>127</v>
      </c>
      <c r="D6" s="30" t="s">
        <v>141</v>
      </c>
      <c r="E6" s="30" t="s">
        <v>142</v>
      </c>
      <c r="F6" s="30" t="s">
        <v>129</v>
      </c>
      <c r="G6" s="30" t="s">
        <v>143</v>
      </c>
      <c r="H6" s="30" t="s">
        <v>144</v>
      </c>
      <c r="I6" s="30" t="s">
        <v>145</v>
      </c>
    </row>
    <row r="7" customFormat="false" ht="15" hidden="false" customHeight="false" outlineLevel="0" collapsed="false">
      <c r="A7" s="41" t="s">
        <v>146</v>
      </c>
      <c r="B7" s="41"/>
      <c r="C7" s="41" t="s">
        <v>147</v>
      </c>
      <c r="D7" s="41" t="s">
        <v>148</v>
      </c>
      <c r="E7" s="42" t="str">
        <f aca="false">IF($A7="","",IFERROR(INDEX(Lists!$C$5:$C$16,MATCH($C7,Lists!$B$5:$B$16,0)),"?"))</f>
        <v>P&amp;L</v>
      </c>
      <c r="F7" s="42" t="n">
        <f aca="false">IF($A7="","",IFERROR(INDEX(Lists!$D$5:$D$16,MATCH($C7,Lists!$B$5:$B$16,0)),1))</f>
        <v>-1</v>
      </c>
      <c r="G7" s="42" t="n">
        <f aca="false">IF($A7="","",IFERROR(INDEX(Lists!$A$5:$A$16,MATCH($C7,Lists!$B$5:$B$16,0)),999))</f>
        <v>10</v>
      </c>
      <c r="H7" s="43" t="n">
        <f aca="false">IF($A7="","",COUNTIF(GL_Data!$B$8:$B$5007,$A7))</f>
        <v>0</v>
      </c>
      <c r="I7" s="44" t="str">
        <f aca="false">IF($A7="","",IF($C7="","NO GROUP",IF($E7="?","BAD GROUP",IF($H7=0,"No GL activity","Mapped"))))</f>
        <v>No GL activity</v>
      </c>
    </row>
    <row r="8" customFormat="false" ht="15" hidden="false" customHeight="false" outlineLevel="0" collapsed="false">
      <c r="A8" s="41" t="s">
        <v>149</v>
      </c>
      <c r="B8" s="41"/>
      <c r="C8" s="41" t="s">
        <v>147</v>
      </c>
      <c r="D8" s="41" t="s">
        <v>148</v>
      </c>
      <c r="E8" s="42" t="str">
        <f aca="false">IF($A8="","",IFERROR(INDEX(Lists!$C$5:$C$16,MATCH($C8,Lists!$B$5:$B$16,0)),"?"))</f>
        <v>P&amp;L</v>
      </c>
      <c r="F8" s="42" t="n">
        <f aca="false">IF($A8="","",IFERROR(INDEX(Lists!$D$5:$D$16,MATCH($C8,Lists!$B$5:$B$16,0)),1))</f>
        <v>-1</v>
      </c>
      <c r="G8" s="42" t="n">
        <f aca="false">IF($A8="","",IFERROR(INDEX(Lists!$A$5:$A$16,MATCH($C8,Lists!$B$5:$B$16,0)),999))</f>
        <v>10</v>
      </c>
      <c r="H8" s="43" t="n">
        <f aca="false">IF($A8="","",COUNTIF(GL_Data!$B$8:$B$5007,$A8))</f>
        <v>0</v>
      </c>
      <c r="I8" s="44" t="str">
        <f aca="false">IF($A8="","",IF($C8="","NO GROUP",IF($E8="?","BAD GROUP",IF($H8=0,"No GL activity","Mapped"))))</f>
        <v>No GL activity</v>
      </c>
    </row>
    <row r="9" customFormat="false" ht="15" hidden="false" customHeight="false" outlineLevel="0" collapsed="false">
      <c r="A9" s="41" t="s">
        <v>150</v>
      </c>
      <c r="B9" s="41"/>
      <c r="C9" s="41" t="s">
        <v>147</v>
      </c>
      <c r="D9" s="41" t="s">
        <v>148</v>
      </c>
      <c r="E9" s="42" t="str">
        <f aca="false">IF($A9="","",IFERROR(INDEX(Lists!$C$5:$C$16,MATCH($C9,Lists!$B$5:$B$16,0)),"?"))</f>
        <v>P&amp;L</v>
      </c>
      <c r="F9" s="42" t="n">
        <f aca="false">IF($A9="","",IFERROR(INDEX(Lists!$D$5:$D$16,MATCH($C9,Lists!$B$5:$B$16,0)),1))</f>
        <v>-1</v>
      </c>
      <c r="G9" s="42" t="n">
        <f aca="false">IF($A9="","",IFERROR(INDEX(Lists!$A$5:$A$16,MATCH($C9,Lists!$B$5:$B$16,0)),999))</f>
        <v>10</v>
      </c>
      <c r="H9" s="43" t="n">
        <f aca="false">IF($A9="","",COUNTIF(GL_Data!$B$8:$B$5007,$A9))</f>
        <v>0</v>
      </c>
      <c r="I9" s="44" t="str">
        <f aca="false">IF($A9="","",IF($C9="","NO GROUP",IF($E9="?","BAD GROUP",IF($H9=0,"No GL activity","Mapped"))))</f>
        <v>No GL activity</v>
      </c>
    </row>
    <row r="10" customFormat="false" ht="15" hidden="false" customHeight="false" outlineLevel="0" collapsed="false">
      <c r="A10" s="41" t="s">
        <v>151</v>
      </c>
      <c r="B10" s="41"/>
      <c r="C10" s="41" t="s">
        <v>147</v>
      </c>
      <c r="D10" s="41" t="s">
        <v>148</v>
      </c>
      <c r="E10" s="42" t="str">
        <f aca="false">IF($A10="","",IFERROR(INDEX(Lists!$C$5:$C$16,MATCH($C10,Lists!$B$5:$B$16,0)),"?"))</f>
        <v>P&amp;L</v>
      </c>
      <c r="F10" s="42" t="n">
        <f aca="false">IF($A10="","",IFERROR(INDEX(Lists!$D$5:$D$16,MATCH($C10,Lists!$B$5:$B$16,0)),1))</f>
        <v>-1</v>
      </c>
      <c r="G10" s="42" t="n">
        <f aca="false">IF($A10="","",IFERROR(INDEX(Lists!$A$5:$A$16,MATCH($C10,Lists!$B$5:$B$16,0)),999))</f>
        <v>10</v>
      </c>
      <c r="H10" s="43" t="n">
        <f aca="false">IF($A10="","",COUNTIF(GL_Data!$B$8:$B$5007,$A10))</f>
        <v>0</v>
      </c>
      <c r="I10" s="44" t="str">
        <f aca="false">IF($A10="","",IF($C10="","NO GROUP",IF($E10="?","BAD GROUP",IF($H10=0,"No GL activity","Mapped"))))</f>
        <v>No GL activity</v>
      </c>
    </row>
    <row r="11" customFormat="false" ht="15" hidden="false" customHeight="false" outlineLevel="0" collapsed="false">
      <c r="A11" s="41" t="s">
        <v>152</v>
      </c>
      <c r="B11" s="41"/>
      <c r="C11" s="41" t="s">
        <v>147</v>
      </c>
      <c r="D11" s="41" t="s">
        <v>148</v>
      </c>
      <c r="E11" s="42" t="str">
        <f aca="false">IF($A11="","",IFERROR(INDEX(Lists!$C$5:$C$16,MATCH($C11,Lists!$B$5:$B$16,0)),"?"))</f>
        <v>P&amp;L</v>
      </c>
      <c r="F11" s="42" t="n">
        <f aca="false">IF($A11="","",IFERROR(INDEX(Lists!$D$5:$D$16,MATCH($C11,Lists!$B$5:$B$16,0)),1))</f>
        <v>-1</v>
      </c>
      <c r="G11" s="42" t="n">
        <f aca="false">IF($A11="","",IFERROR(INDEX(Lists!$A$5:$A$16,MATCH($C11,Lists!$B$5:$B$16,0)),999))</f>
        <v>10</v>
      </c>
      <c r="H11" s="43" t="n">
        <f aca="false">IF($A11="","",COUNTIF(GL_Data!$B$8:$B$5007,$A11))</f>
        <v>0</v>
      </c>
      <c r="I11" s="44" t="str">
        <f aca="false">IF($A11="","",IF($C11="","NO GROUP",IF($E11="?","BAD GROUP",IF($H11=0,"No GL activity","Mapped"))))</f>
        <v>No GL activity</v>
      </c>
    </row>
    <row r="12" customFormat="false" ht="15" hidden="false" customHeight="false" outlineLevel="0" collapsed="false">
      <c r="A12" s="41" t="s">
        <v>153</v>
      </c>
      <c r="B12" s="41"/>
      <c r="C12" s="41" t="s">
        <v>147</v>
      </c>
      <c r="D12" s="41" t="s">
        <v>148</v>
      </c>
      <c r="E12" s="42" t="str">
        <f aca="false">IF($A12="","",IFERROR(INDEX(Lists!$C$5:$C$16,MATCH($C12,Lists!$B$5:$B$16,0)),"?"))</f>
        <v>P&amp;L</v>
      </c>
      <c r="F12" s="42" t="n">
        <f aca="false">IF($A12="","",IFERROR(INDEX(Lists!$D$5:$D$16,MATCH($C12,Lists!$B$5:$B$16,0)),1))</f>
        <v>-1</v>
      </c>
      <c r="G12" s="42" t="n">
        <f aca="false">IF($A12="","",IFERROR(INDEX(Lists!$A$5:$A$16,MATCH($C12,Lists!$B$5:$B$16,0)),999))</f>
        <v>10</v>
      </c>
      <c r="H12" s="43" t="n">
        <f aca="false">IF($A12="","",COUNTIF(GL_Data!$B$8:$B$5007,$A12))</f>
        <v>0</v>
      </c>
      <c r="I12" s="44" t="str">
        <f aca="false">IF($A12="","",IF($C12="","NO GROUP",IF($E12="?","BAD GROUP",IF($H12=0,"No GL activity","Mapped"))))</f>
        <v>No GL activity</v>
      </c>
    </row>
    <row r="13" customFormat="false" ht="15" hidden="false" customHeight="false" outlineLevel="0" collapsed="false">
      <c r="A13" s="41" t="s">
        <v>154</v>
      </c>
      <c r="B13" s="41"/>
      <c r="C13" s="41" t="s">
        <v>147</v>
      </c>
      <c r="D13" s="41" t="s">
        <v>155</v>
      </c>
      <c r="E13" s="42" t="str">
        <f aca="false">IF($A13="","",IFERROR(INDEX(Lists!$C$5:$C$16,MATCH($C13,Lists!$B$5:$B$16,0)),"?"))</f>
        <v>P&amp;L</v>
      </c>
      <c r="F13" s="42" t="n">
        <f aca="false">IF($A13="","",IFERROR(INDEX(Lists!$D$5:$D$16,MATCH($C13,Lists!$B$5:$B$16,0)),1))</f>
        <v>-1</v>
      </c>
      <c r="G13" s="42" t="n">
        <f aca="false">IF($A13="","",IFERROR(INDEX(Lists!$A$5:$A$16,MATCH($C13,Lists!$B$5:$B$16,0)),999))</f>
        <v>10</v>
      </c>
      <c r="H13" s="43" t="n">
        <f aca="false">IF($A13="","",COUNTIF(GL_Data!$B$8:$B$5007,$A13))</f>
        <v>0</v>
      </c>
      <c r="I13" s="44" t="str">
        <f aca="false">IF($A13="","",IF($C13="","NO GROUP",IF($E13="?","BAD GROUP",IF($H13=0,"No GL activity","Mapped"))))</f>
        <v>No GL activity</v>
      </c>
    </row>
    <row r="14" customFormat="false" ht="15" hidden="false" customHeight="false" outlineLevel="0" collapsed="false">
      <c r="A14" s="41" t="s">
        <v>156</v>
      </c>
      <c r="B14" s="41"/>
      <c r="C14" s="41" t="s">
        <v>147</v>
      </c>
      <c r="D14" s="41" t="s">
        <v>157</v>
      </c>
      <c r="E14" s="42" t="str">
        <f aca="false">IF($A14="","",IFERROR(INDEX(Lists!$C$5:$C$16,MATCH($C14,Lists!$B$5:$B$16,0)),"?"))</f>
        <v>P&amp;L</v>
      </c>
      <c r="F14" s="42" t="n">
        <f aca="false">IF($A14="","",IFERROR(INDEX(Lists!$D$5:$D$16,MATCH($C14,Lists!$B$5:$B$16,0)),1))</f>
        <v>-1</v>
      </c>
      <c r="G14" s="42" t="n">
        <f aca="false">IF($A14="","",IFERROR(INDEX(Lists!$A$5:$A$16,MATCH($C14,Lists!$B$5:$B$16,0)),999))</f>
        <v>10</v>
      </c>
      <c r="H14" s="43" t="n">
        <f aca="false">IF($A14="","",COUNTIF(GL_Data!$B$8:$B$5007,$A14))</f>
        <v>0</v>
      </c>
      <c r="I14" s="44" t="str">
        <f aca="false">IF($A14="","",IF($C14="","NO GROUP",IF($E14="?","BAD GROUP",IF($H14=0,"No GL activity","Mapped"))))</f>
        <v>No GL activity</v>
      </c>
    </row>
    <row r="15" customFormat="false" ht="15" hidden="false" customHeight="false" outlineLevel="0" collapsed="false">
      <c r="A15" s="41" t="s">
        <v>158</v>
      </c>
      <c r="B15" s="41"/>
      <c r="C15" s="41" t="s">
        <v>147</v>
      </c>
      <c r="D15" s="41" t="s">
        <v>159</v>
      </c>
      <c r="E15" s="42" t="str">
        <f aca="false">IF($A15="","",IFERROR(INDEX(Lists!$C$5:$C$16,MATCH($C15,Lists!$B$5:$B$16,0)),"?"))</f>
        <v>P&amp;L</v>
      </c>
      <c r="F15" s="42" t="n">
        <f aca="false">IF($A15="","",IFERROR(INDEX(Lists!$D$5:$D$16,MATCH($C15,Lists!$B$5:$B$16,0)),1))</f>
        <v>-1</v>
      </c>
      <c r="G15" s="42" t="n">
        <f aca="false">IF($A15="","",IFERROR(INDEX(Lists!$A$5:$A$16,MATCH($C15,Lists!$B$5:$B$16,0)),999))</f>
        <v>10</v>
      </c>
      <c r="H15" s="43" t="n">
        <f aca="false">IF($A15="","",COUNTIF(GL_Data!$B$8:$B$5007,$A15))</f>
        <v>0</v>
      </c>
      <c r="I15" s="44" t="str">
        <f aca="false">IF($A15="","",IF($C15="","NO GROUP",IF($E15="?","BAD GROUP",IF($H15=0,"No GL activity","Mapped"))))</f>
        <v>No GL activity</v>
      </c>
    </row>
    <row r="16" customFormat="false" ht="15" hidden="false" customHeight="false" outlineLevel="0" collapsed="false">
      <c r="A16" s="41" t="s">
        <v>160</v>
      </c>
      <c r="B16" s="41"/>
      <c r="C16" s="41" t="s">
        <v>147</v>
      </c>
      <c r="D16" s="41" t="s">
        <v>161</v>
      </c>
      <c r="E16" s="42" t="str">
        <f aca="false">IF($A16="","",IFERROR(INDEX(Lists!$C$5:$C$16,MATCH($C16,Lists!$B$5:$B$16,0)),"?"))</f>
        <v>P&amp;L</v>
      </c>
      <c r="F16" s="42" t="n">
        <f aca="false">IF($A16="","",IFERROR(INDEX(Lists!$D$5:$D$16,MATCH($C16,Lists!$B$5:$B$16,0)),1))</f>
        <v>-1</v>
      </c>
      <c r="G16" s="42" t="n">
        <f aca="false">IF($A16="","",IFERROR(INDEX(Lists!$A$5:$A$16,MATCH($C16,Lists!$B$5:$B$16,0)),999))</f>
        <v>10</v>
      </c>
      <c r="H16" s="43" t="n">
        <f aca="false">IF($A16="","",COUNTIF(GL_Data!$B$8:$B$5007,$A16))</f>
        <v>0</v>
      </c>
      <c r="I16" s="44" t="str">
        <f aca="false">IF($A16="","",IF($C16="","NO GROUP",IF($E16="?","BAD GROUP",IF($H16=0,"No GL activity","Mapped"))))</f>
        <v>No GL activity</v>
      </c>
    </row>
    <row r="17" customFormat="false" ht="15" hidden="false" customHeight="false" outlineLevel="0" collapsed="false">
      <c r="A17" s="41" t="s">
        <v>162</v>
      </c>
      <c r="B17" s="41"/>
      <c r="C17" s="41" t="s">
        <v>147</v>
      </c>
      <c r="D17" s="41" t="s">
        <v>163</v>
      </c>
      <c r="E17" s="42" t="str">
        <f aca="false">IF($A17="","",IFERROR(INDEX(Lists!$C$5:$C$16,MATCH($C17,Lists!$B$5:$B$16,0)),"?"))</f>
        <v>P&amp;L</v>
      </c>
      <c r="F17" s="42" t="n">
        <f aca="false">IF($A17="","",IFERROR(INDEX(Lists!$D$5:$D$16,MATCH($C17,Lists!$B$5:$B$16,0)),1))</f>
        <v>-1</v>
      </c>
      <c r="G17" s="42" t="n">
        <f aca="false">IF($A17="","",IFERROR(INDEX(Lists!$A$5:$A$16,MATCH($C17,Lists!$B$5:$B$16,0)),999))</f>
        <v>10</v>
      </c>
      <c r="H17" s="43" t="n">
        <f aca="false">IF($A17="","",COUNTIF(GL_Data!$B$8:$B$5007,$A17))</f>
        <v>0</v>
      </c>
      <c r="I17" s="44" t="str">
        <f aca="false">IF($A17="","",IF($C17="","NO GROUP",IF($E17="?","BAD GROUP",IF($H17=0,"No GL activity","Mapped"))))</f>
        <v>No GL activity</v>
      </c>
    </row>
    <row r="18" customFormat="false" ht="15" hidden="false" customHeight="false" outlineLevel="0" collapsed="false">
      <c r="A18" s="41" t="s">
        <v>164</v>
      </c>
      <c r="B18" s="41"/>
      <c r="C18" s="41" t="s">
        <v>147</v>
      </c>
      <c r="D18" s="41" t="s">
        <v>165</v>
      </c>
      <c r="E18" s="42" t="str">
        <f aca="false">IF($A18="","",IFERROR(INDEX(Lists!$C$5:$C$16,MATCH($C18,Lists!$B$5:$B$16,0)),"?"))</f>
        <v>P&amp;L</v>
      </c>
      <c r="F18" s="42" t="n">
        <f aca="false">IF($A18="","",IFERROR(INDEX(Lists!$D$5:$D$16,MATCH($C18,Lists!$B$5:$B$16,0)),1))</f>
        <v>-1</v>
      </c>
      <c r="G18" s="42" t="n">
        <f aca="false">IF($A18="","",IFERROR(INDEX(Lists!$A$5:$A$16,MATCH($C18,Lists!$B$5:$B$16,0)),999))</f>
        <v>10</v>
      </c>
      <c r="H18" s="43" t="n">
        <f aca="false">IF($A18="","",COUNTIF(GL_Data!$B$8:$B$5007,$A18))</f>
        <v>0</v>
      </c>
      <c r="I18" s="44" t="str">
        <f aca="false">IF($A18="","",IF($C18="","NO GROUP",IF($E18="?","BAD GROUP",IF($H18=0,"No GL activity","Mapped"))))</f>
        <v>No GL activity</v>
      </c>
    </row>
    <row r="19" customFormat="false" ht="15" hidden="false" customHeight="false" outlineLevel="0" collapsed="false">
      <c r="A19" s="41" t="s">
        <v>166</v>
      </c>
      <c r="B19" s="41"/>
      <c r="C19" s="41" t="s">
        <v>147</v>
      </c>
      <c r="D19" s="41" t="s">
        <v>148</v>
      </c>
      <c r="E19" s="42" t="str">
        <f aca="false">IF($A19="","",IFERROR(INDEX(Lists!$C$5:$C$16,MATCH($C19,Lists!$B$5:$B$16,0)),"?"))</f>
        <v>P&amp;L</v>
      </c>
      <c r="F19" s="42" t="n">
        <f aca="false">IF($A19="","",IFERROR(INDEX(Lists!$D$5:$D$16,MATCH($C19,Lists!$B$5:$B$16,0)),1))</f>
        <v>-1</v>
      </c>
      <c r="G19" s="42" t="n">
        <f aca="false">IF($A19="","",IFERROR(INDEX(Lists!$A$5:$A$16,MATCH($C19,Lists!$B$5:$B$16,0)),999))</f>
        <v>10</v>
      </c>
      <c r="H19" s="43" t="n">
        <f aca="false">IF($A19="","",COUNTIF(GL_Data!$B$8:$B$5007,$A19))</f>
        <v>0</v>
      </c>
      <c r="I19" s="44" t="str">
        <f aca="false">IF($A19="","",IF($C19="","NO GROUP",IF($E19="?","BAD GROUP",IF($H19=0,"No GL activity","Mapped"))))</f>
        <v>No GL activity</v>
      </c>
    </row>
    <row r="20" customFormat="false" ht="15" hidden="false" customHeight="false" outlineLevel="0" collapsed="false">
      <c r="A20" s="41" t="s">
        <v>167</v>
      </c>
      <c r="B20" s="41"/>
      <c r="C20" s="41" t="s">
        <v>147</v>
      </c>
      <c r="D20" s="41" t="s">
        <v>148</v>
      </c>
      <c r="E20" s="42" t="str">
        <f aca="false">IF($A20="","",IFERROR(INDEX(Lists!$C$5:$C$16,MATCH($C20,Lists!$B$5:$B$16,0)),"?"))</f>
        <v>P&amp;L</v>
      </c>
      <c r="F20" s="42" t="n">
        <f aca="false">IF($A20="","",IFERROR(INDEX(Lists!$D$5:$D$16,MATCH($C20,Lists!$B$5:$B$16,0)),1))</f>
        <v>-1</v>
      </c>
      <c r="G20" s="42" t="n">
        <f aca="false">IF($A20="","",IFERROR(INDEX(Lists!$A$5:$A$16,MATCH($C20,Lists!$B$5:$B$16,0)),999))</f>
        <v>10</v>
      </c>
      <c r="H20" s="43" t="n">
        <f aca="false">IF($A20="","",COUNTIF(GL_Data!$B$8:$B$5007,$A20))</f>
        <v>0</v>
      </c>
      <c r="I20" s="44" t="str">
        <f aca="false">IF($A20="","",IF($C20="","NO GROUP",IF($E20="?","BAD GROUP",IF($H20=0,"No GL activity","Mapped"))))</f>
        <v>No GL activity</v>
      </c>
    </row>
    <row r="21" customFormat="false" ht="15" hidden="false" customHeight="false" outlineLevel="0" collapsed="false">
      <c r="A21" s="41" t="s">
        <v>168</v>
      </c>
      <c r="B21" s="41"/>
      <c r="C21" s="41" t="s">
        <v>147</v>
      </c>
      <c r="D21" s="41" t="s">
        <v>165</v>
      </c>
      <c r="E21" s="42" t="str">
        <f aca="false">IF($A21="","",IFERROR(INDEX(Lists!$C$5:$C$16,MATCH($C21,Lists!$B$5:$B$16,0)),"?"))</f>
        <v>P&amp;L</v>
      </c>
      <c r="F21" s="42" t="n">
        <f aca="false">IF($A21="","",IFERROR(INDEX(Lists!$D$5:$D$16,MATCH($C21,Lists!$B$5:$B$16,0)),1))</f>
        <v>-1</v>
      </c>
      <c r="G21" s="42" t="n">
        <f aca="false">IF($A21="","",IFERROR(INDEX(Lists!$A$5:$A$16,MATCH($C21,Lists!$B$5:$B$16,0)),999))</f>
        <v>10</v>
      </c>
      <c r="H21" s="43" t="n">
        <f aca="false">IF($A21="","",COUNTIF(GL_Data!$B$8:$B$5007,$A21))</f>
        <v>0</v>
      </c>
      <c r="I21" s="44" t="str">
        <f aca="false">IF($A21="","",IF($C21="","NO GROUP",IF($E21="?","BAD GROUP",IF($H21=0,"No GL activity","Mapped"))))</f>
        <v>No GL activity</v>
      </c>
    </row>
    <row r="22" customFormat="false" ht="15" hidden="false" customHeight="false" outlineLevel="0" collapsed="false">
      <c r="A22" s="41" t="s">
        <v>169</v>
      </c>
      <c r="B22" s="41"/>
      <c r="C22" s="41" t="s">
        <v>147</v>
      </c>
      <c r="D22" s="41" t="s">
        <v>155</v>
      </c>
      <c r="E22" s="42" t="str">
        <f aca="false">IF($A22="","",IFERROR(INDEX(Lists!$C$5:$C$16,MATCH($C22,Lists!$B$5:$B$16,0)),"?"))</f>
        <v>P&amp;L</v>
      </c>
      <c r="F22" s="42" t="n">
        <f aca="false">IF($A22="","",IFERROR(INDEX(Lists!$D$5:$D$16,MATCH($C22,Lists!$B$5:$B$16,0)),1))</f>
        <v>-1</v>
      </c>
      <c r="G22" s="42" t="n">
        <f aca="false">IF($A22="","",IFERROR(INDEX(Lists!$A$5:$A$16,MATCH($C22,Lists!$B$5:$B$16,0)),999))</f>
        <v>10</v>
      </c>
      <c r="H22" s="43" t="n">
        <f aca="false">IF($A22="","",COUNTIF(GL_Data!$B$8:$B$5007,$A22))</f>
        <v>0</v>
      </c>
      <c r="I22" s="44" t="str">
        <f aca="false">IF($A22="","",IF($C22="","NO GROUP",IF($E22="?","BAD GROUP",IF($H22=0,"No GL activity","Mapped"))))</f>
        <v>No GL activity</v>
      </c>
    </row>
    <row r="23" customFormat="false" ht="15" hidden="false" customHeight="false" outlineLevel="0" collapsed="false">
      <c r="A23" s="41" t="s">
        <v>170</v>
      </c>
      <c r="B23" s="41"/>
      <c r="C23" s="41" t="s">
        <v>147</v>
      </c>
      <c r="D23" s="41" t="s">
        <v>163</v>
      </c>
      <c r="E23" s="42" t="str">
        <f aca="false">IF($A23="","",IFERROR(INDEX(Lists!$C$5:$C$16,MATCH($C23,Lists!$B$5:$B$16,0)),"?"))</f>
        <v>P&amp;L</v>
      </c>
      <c r="F23" s="42" t="n">
        <f aca="false">IF($A23="","",IFERROR(INDEX(Lists!$D$5:$D$16,MATCH($C23,Lists!$B$5:$B$16,0)),1))</f>
        <v>-1</v>
      </c>
      <c r="G23" s="42" t="n">
        <f aca="false">IF($A23="","",IFERROR(INDEX(Lists!$A$5:$A$16,MATCH($C23,Lists!$B$5:$B$16,0)),999))</f>
        <v>10</v>
      </c>
      <c r="H23" s="43" t="n">
        <f aca="false">IF($A23="","",COUNTIF(GL_Data!$B$8:$B$5007,$A23))</f>
        <v>0</v>
      </c>
      <c r="I23" s="44" t="str">
        <f aca="false">IF($A23="","",IF($C23="","NO GROUP",IF($E23="?","BAD GROUP",IF($H23=0,"No GL activity","Mapped"))))</f>
        <v>No GL activity</v>
      </c>
    </row>
    <row r="24" customFormat="false" ht="15" hidden="false" customHeight="false" outlineLevel="0" collapsed="false">
      <c r="A24" s="41" t="s">
        <v>171</v>
      </c>
      <c r="B24" s="41"/>
      <c r="C24" s="41" t="s">
        <v>147</v>
      </c>
      <c r="D24" s="41" t="s">
        <v>157</v>
      </c>
      <c r="E24" s="42" t="str">
        <f aca="false">IF($A24="","",IFERROR(INDEX(Lists!$C$5:$C$16,MATCH($C24,Lists!$B$5:$B$16,0)),"?"))</f>
        <v>P&amp;L</v>
      </c>
      <c r="F24" s="42" t="n">
        <f aca="false">IF($A24="","",IFERROR(INDEX(Lists!$D$5:$D$16,MATCH($C24,Lists!$B$5:$B$16,0)),1))</f>
        <v>-1</v>
      </c>
      <c r="G24" s="42" t="n">
        <f aca="false">IF($A24="","",IFERROR(INDEX(Lists!$A$5:$A$16,MATCH($C24,Lists!$B$5:$B$16,0)),999))</f>
        <v>10</v>
      </c>
      <c r="H24" s="43" t="n">
        <f aca="false">IF($A24="","",COUNTIF(GL_Data!$B$8:$B$5007,$A24))</f>
        <v>0</v>
      </c>
      <c r="I24" s="44" t="str">
        <f aca="false">IF($A24="","",IF($C24="","NO GROUP",IF($E24="?","BAD GROUP",IF($H24=0,"No GL activity","Mapped"))))</f>
        <v>No GL activity</v>
      </c>
    </row>
    <row r="25" customFormat="false" ht="15" hidden="false" customHeight="false" outlineLevel="0" collapsed="false">
      <c r="A25" s="41" t="s">
        <v>172</v>
      </c>
      <c r="B25" s="41"/>
      <c r="C25" s="41" t="s">
        <v>147</v>
      </c>
      <c r="D25" s="41" t="s">
        <v>159</v>
      </c>
      <c r="E25" s="42" t="str">
        <f aca="false">IF($A25="","",IFERROR(INDEX(Lists!$C$5:$C$16,MATCH($C25,Lists!$B$5:$B$16,0)),"?"))</f>
        <v>P&amp;L</v>
      </c>
      <c r="F25" s="42" t="n">
        <f aca="false">IF($A25="","",IFERROR(INDEX(Lists!$D$5:$D$16,MATCH($C25,Lists!$B$5:$B$16,0)),1))</f>
        <v>-1</v>
      </c>
      <c r="G25" s="42" t="n">
        <f aca="false">IF($A25="","",IFERROR(INDEX(Lists!$A$5:$A$16,MATCH($C25,Lists!$B$5:$B$16,0)),999))</f>
        <v>10</v>
      </c>
      <c r="H25" s="43" t="n">
        <f aca="false">IF($A25="","",COUNTIF(GL_Data!$B$8:$B$5007,$A25))</f>
        <v>0</v>
      </c>
      <c r="I25" s="44" t="str">
        <f aca="false">IF($A25="","",IF($C25="","NO GROUP",IF($E25="?","BAD GROUP",IF($H25=0,"No GL activity","Mapped"))))</f>
        <v>No GL activity</v>
      </c>
    </row>
    <row r="26" customFormat="false" ht="15" hidden="false" customHeight="false" outlineLevel="0" collapsed="false">
      <c r="A26" s="41" t="s">
        <v>173</v>
      </c>
      <c r="B26" s="41"/>
      <c r="C26" s="41" t="s">
        <v>147</v>
      </c>
      <c r="D26" s="41" t="s">
        <v>161</v>
      </c>
      <c r="E26" s="42" t="str">
        <f aca="false">IF($A26="","",IFERROR(INDEX(Lists!$C$5:$C$16,MATCH($C26,Lists!$B$5:$B$16,0)),"?"))</f>
        <v>P&amp;L</v>
      </c>
      <c r="F26" s="42" t="n">
        <f aca="false">IF($A26="","",IFERROR(INDEX(Lists!$D$5:$D$16,MATCH($C26,Lists!$B$5:$B$16,0)),1))</f>
        <v>-1</v>
      </c>
      <c r="G26" s="42" t="n">
        <f aca="false">IF($A26="","",IFERROR(INDEX(Lists!$A$5:$A$16,MATCH($C26,Lists!$B$5:$B$16,0)),999))</f>
        <v>10</v>
      </c>
      <c r="H26" s="43" t="n">
        <f aca="false">IF($A26="","",COUNTIF(GL_Data!$B$8:$B$5007,$A26))</f>
        <v>0</v>
      </c>
      <c r="I26" s="44" t="str">
        <f aca="false">IF($A26="","",IF($C26="","NO GROUP",IF($E26="?","BAD GROUP",IF($H26=0,"No GL activity","Mapped"))))</f>
        <v>No GL activity</v>
      </c>
    </row>
    <row r="27" customFormat="false" ht="15" hidden="false" customHeight="false" outlineLevel="0" collapsed="false">
      <c r="A27" s="41" t="s">
        <v>174</v>
      </c>
      <c r="B27" s="41"/>
      <c r="C27" s="41" t="s">
        <v>147</v>
      </c>
      <c r="D27" s="41" t="s">
        <v>148</v>
      </c>
      <c r="E27" s="42" t="str">
        <f aca="false">IF($A27="","",IFERROR(INDEX(Lists!$C$5:$C$16,MATCH($C27,Lists!$B$5:$B$16,0)),"?"))</f>
        <v>P&amp;L</v>
      </c>
      <c r="F27" s="42" t="n">
        <f aca="false">IF($A27="","",IFERROR(INDEX(Lists!$D$5:$D$16,MATCH($C27,Lists!$B$5:$B$16,0)),1))</f>
        <v>-1</v>
      </c>
      <c r="G27" s="42" t="n">
        <f aca="false">IF($A27="","",IFERROR(INDEX(Lists!$A$5:$A$16,MATCH($C27,Lists!$B$5:$B$16,0)),999))</f>
        <v>10</v>
      </c>
      <c r="H27" s="43" t="n">
        <f aca="false">IF($A27="","",COUNTIF(GL_Data!$B$8:$B$5007,$A27))</f>
        <v>0</v>
      </c>
      <c r="I27" s="44" t="str">
        <f aca="false">IF($A27="","",IF($C27="","NO GROUP",IF($E27="?","BAD GROUP",IF($H27=0,"No GL activity","Mapped"))))</f>
        <v>No GL activity</v>
      </c>
    </row>
    <row r="28" customFormat="false" ht="15" hidden="false" customHeight="false" outlineLevel="0" collapsed="false">
      <c r="A28" s="41" t="s">
        <v>175</v>
      </c>
      <c r="B28" s="41"/>
      <c r="C28" s="41" t="s">
        <v>147</v>
      </c>
      <c r="D28" s="41" t="s">
        <v>165</v>
      </c>
      <c r="E28" s="42" t="str">
        <f aca="false">IF($A28="","",IFERROR(INDEX(Lists!$C$5:$C$16,MATCH($C28,Lists!$B$5:$B$16,0)),"?"))</f>
        <v>P&amp;L</v>
      </c>
      <c r="F28" s="42" t="n">
        <f aca="false">IF($A28="","",IFERROR(INDEX(Lists!$D$5:$D$16,MATCH($C28,Lists!$B$5:$B$16,0)),1))</f>
        <v>-1</v>
      </c>
      <c r="G28" s="42" t="n">
        <f aca="false">IF($A28="","",IFERROR(INDEX(Lists!$A$5:$A$16,MATCH($C28,Lists!$B$5:$B$16,0)),999))</f>
        <v>10</v>
      </c>
      <c r="H28" s="43" t="n">
        <f aca="false">IF($A28="","",COUNTIF(GL_Data!$B$8:$B$5007,$A28))</f>
        <v>0</v>
      </c>
      <c r="I28" s="44" t="str">
        <f aca="false">IF($A28="","",IF($C28="","NO GROUP",IF($E28="?","BAD GROUP",IF($H28=0,"No GL activity","Mapped"))))</f>
        <v>No GL activity</v>
      </c>
    </row>
    <row r="29" customFormat="false" ht="15" hidden="false" customHeight="false" outlineLevel="0" collapsed="false">
      <c r="A29" s="41" t="s">
        <v>176</v>
      </c>
      <c r="B29" s="41"/>
      <c r="C29" s="41" t="s">
        <v>147</v>
      </c>
      <c r="D29" s="41" t="s">
        <v>155</v>
      </c>
      <c r="E29" s="42" t="str">
        <f aca="false">IF($A29="","",IFERROR(INDEX(Lists!$C$5:$C$16,MATCH($C29,Lists!$B$5:$B$16,0)),"?"))</f>
        <v>P&amp;L</v>
      </c>
      <c r="F29" s="42" t="n">
        <f aca="false">IF($A29="","",IFERROR(INDEX(Lists!$D$5:$D$16,MATCH($C29,Lists!$B$5:$B$16,0)),1))</f>
        <v>-1</v>
      </c>
      <c r="G29" s="42" t="n">
        <f aca="false">IF($A29="","",IFERROR(INDEX(Lists!$A$5:$A$16,MATCH($C29,Lists!$B$5:$B$16,0)),999))</f>
        <v>10</v>
      </c>
      <c r="H29" s="43" t="n">
        <f aca="false">IF($A29="","",COUNTIF(GL_Data!$B$8:$B$5007,$A29))</f>
        <v>0</v>
      </c>
      <c r="I29" s="44" t="str">
        <f aca="false">IF($A29="","",IF($C29="","NO GROUP",IF($E29="?","BAD GROUP",IF($H29=0,"No GL activity","Mapped"))))</f>
        <v>No GL activity</v>
      </c>
    </row>
    <row r="30" customFormat="false" ht="15" hidden="false" customHeight="false" outlineLevel="0" collapsed="false">
      <c r="A30" s="41" t="s">
        <v>177</v>
      </c>
      <c r="B30" s="41"/>
      <c r="C30" s="41" t="s">
        <v>147</v>
      </c>
      <c r="D30" s="41" t="s">
        <v>163</v>
      </c>
      <c r="E30" s="42" t="str">
        <f aca="false">IF($A30="","",IFERROR(INDEX(Lists!$C$5:$C$16,MATCH($C30,Lists!$B$5:$B$16,0)),"?"))</f>
        <v>P&amp;L</v>
      </c>
      <c r="F30" s="42" t="n">
        <f aca="false">IF($A30="","",IFERROR(INDEX(Lists!$D$5:$D$16,MATCH($C30,Lists!$B$5:$B$16,0)),1))</f>
        <v>-1</v>
      </c>
      <c r="G30" s="42" t="n">
        <f aca="false">IF($A30="","",IFERROR(INDEX(Lists!$A$5:$A$16,MATCH($C30,Lists!$B$5:$B$16,0)),999))</f>
        <v>10</v>
      </c>
      <c r="H30" s="43" t="n">
        <f aca="false">IF($A30="","",COUNTIF(GL_Data!$B$8:$B$5007,$A30))</f>
        <v>0</v>
      </c>
      <c r="I30" s="44" t="str">
        <f aca="false">IF($A30="","",IF($C30="","NO GROUP",IF($E30="?","BAD GROUP",IF($H30=0,"No GL activity","Mapped"))))</f>
        <v>No GL activity</v>
      </c>
    </row>
    <row r="31" customFormat="false" ht="15" hidden="false" customHeight="false" outlineLevel="0" collapsed="false">
      <c r="A31" s="41" t="s">
        <v>178</v>
      </c>
      <c r="B31" s="41"/>
      <c r="C31" s="41" t="s">
        <v>147</v>
      </c>
      <c r="D31" s="41" t="s">
        <v>157</v>
      </c>
      <c r="E31" s="42" t="str">
        <f aca="false">IF($A31="","",IFERROR(INDEX(Lists!$C$5:$C$16,MATCH($C31,Lists!$B$5:$B$16,0)),"?"))</f>
        <v>P&amp;L</v>
      </c>
      <c r="F31" s="42" t="n">
        <f aca="false">IF($A31="","",IFERROR(INDEX(Lists!$D$5:$D$16,MATCH($C31,Lists!$B$5:$B$16,0)),1))</f>
        <v>-1</v>
      </c>
      <c r="G31" s="42" t="n">
        <f aca="false">IF($A31="","",IFERROR(INDEX(Lists!$A$5:$A$16,MATCH($C31,Lists!$B$5:$B$16,0)),999))</f>
        <v>10</v>
      </c>
      <c r="H31" s="43" t="n">
        <f aca="false">IF($A31="","",COUNTIF(GL_Data!$B$8:$B$5007,$A31))</f>
        <v>0</v>
      </c>
      <c r="I31" s="44" t="str">
        <f aca="false">IF($A31="","",IF($C31="","NO GROUP",IF($E31="?","BAD GROUP",IF($H31=0,"No GL activity","Mapped"))))</f>
        <v>No GL activity</v>
      </c>
    </row>
    <row r="32" customFormat="false" ht="15" hidden="false" customHeight="false" outlineLevel="0" collapsed="false">
      <c r="A32" s="41" t="s">
        <v>179</v>
      </c>
      <c r="B32" s="41"/>
      <c r="C32" s="41" t="s">
        <v>147</v>
      </c>
      <c r="D32" s="41" t="s">
        <v>159</v>
      </c>
      <c r="E32" s="42" t="str">
        <f aca="false">IF($A32="","",IFERROR(INDEX(Lists!$C$5:$C$16,MATCH($C32,Lists!$B$5:$B$16,0)),"?"))</f>
        <v>P&amp;L</v>
      </c>
      <c r="F32" s="42" t="n">
        <f aca="false">IF($A32="","",IFERROR(INDEX(Lists!$D$5:$D$16,MATCH($C32,Lists!$B$5:$B$16,0)),1))</f>
        <v>-1</v>
      </c>
      <c r="G32" s="42" t="n">
        <f aca="false">IF($A32="","",IFERROR(INDEX(Lists!$A$5:$A$16,MATCH($C32,Lists!$B$5:$B$16,0)),999))</f>
        <v>10</v>
      </c>
      <c r="H32" s="43" t="n">
        <f aca="false">IF($A32="","",COUNTIF(GL_Data!$B$8:$B$5007,$A32))</f>
        <v>0</v>
      </c>
      <c r="I32" s="44" t="str">
        <f aca="false">IF($A32="","",IF($C32="","NO GROUP",IF($E32="?","BAD GROUP",IF($H32=0,"No GL activity","Mapped"))))</f>
        <v>No GL activity</v>
      </c>
    </row>
    <row r="33" customFormat="false" ht="15" hidden="false" customHeight="false" outlineLevel="0" collapsed="false">
      <c r="A33" s="41" t="s">
        <v>180</v>
      </c>
      <c r="B33" s="41"/>
      <c r="C33" s="41" t="s">
        <v>147</v>
      </c>
      <c r="D33" s="41" t="s">
        <v>161</v>
      </c>
      <c r="E33" s="42" t="str">
        <f aca="false">IF($A33="","",IFERROR(INDEX(Lists!$C$5:$C$16,MATCH($C33,Lists!$B$5:$B$16,0)),"?"))</f>
        <v>P&amp;L</v>
      </c>
      <c r="F33" s="42" t="n">
        <f aca="false">IF($A33="","",IFERROR(INDEX(Lists!$D$5:$D$16,MATCH($C33,Lists!$B$5:$B$16,0)),1))</f>
        <v>-1</v>
      </c>
      <c r="G33" s="42" t="n">
        <f aca="false">IF($A33="","",IFERROR(INDEX(Lists!$A$5:$A$16,MATCH($C33,Lists!$B$5:$B$16,0)),999))</f>
        <v>10</v>
      </c>
      <c r="H33" s="43" t="n">
        <f aca="false">IF($A33="","",COUNTIF(GL_Data!$B$8:$B$5007,$A33))</f>
        <v>0</v>
      </c>
      <c r="I33" s="44" t="str">
        <f aca="false">IF($A33="","",IF($C33="","NO GROUP",IF($E33="?","BAD GROUP",IF($H33=0,"No GL activity","Mapped"))))</f>
        <v>No GL activity</v>
      </c>
    </row>
    <row r="34" customFormat="false" ht="15" hidden="false" customHeight="false" outlineLevel="0" collapsed="false">
      <c r="A34" s="41" t="s">
        <v>181</v>
      </c>
      <c r="B34" s="41"/>
      <c r="C34" s="41" t="s">
        <v>147</v>
      </c>
      <c r="D34" s="41" t="s">
        <v>148</v>
      </c>
      <c r="E34" s="42" t="str">
        <f aca="false">IF($A34="","",IFERROR(INDEX(Lists!$C$5:$C$16,MATCH($C34,Lists!$B$5:$B$16,0)),"?"))</f>
        <v>P&amp;L</v>
      </c>
      <c r="F34" s="42" t="n">
        <f aca="false">IF($A34="","",IFERROR(INDEX(Lists!$D$5:$D$16,MATCH($C34,Lists!$B$5:$B$16,0)),1))</f>
        <v>-1</v>
      </c>
      <c r="G34" s="42" t="n">
        <f aca="false">IF($A34="","",IFERROR(INDEX(Lists!$A$5:$A$16,MATCH($C34,Lists!$B$5:$B$16,0)),999))</f>
        <v>10</v>
      </c>
      <c r="H34" s="43" t="n">
        <f aca="false">IF($A34="","",COUNTIF(GL_Data!$B$8:$B$5007,$A34))</f>
        <v>0</v>
      </c>
      <c r="I34" s="44" t="str">
        <f aca="false">IF($A34="","",IF($C34="","NO GROUP",IF($E34="?","BAD GROUP",IF($H34=0,"No GL activity","Mapped"))))</f>
        <v>No GL activity</v>
      </c>
    </row>
    <row r="35" customFormat="false" ht="15" hidden="false" customHeight="false" outlineLevel="0" collapsed="false">
      <c r="A35" s="41" t="s">
        <v>182</v>
      </c>
      <c r="B35" s="41"/>
      <c r="C35" s="41" t="s">
        <v>147</v>
      </c>
      <c r="D35" s="41" t="s">
        <v>148</v>
      </c>
      <c r="E35" s="42" t="str">
        <f aca="false">IF($A35="","",IFERROR(INDEX(Lists!$C$5:$C$16,MATCH($C35,Lists!$B$5:$B$16,0)),"?"))</f>
        <v>P&amp;L</v>
      </c>
      <c r="F35" s="42" t="n">
        <f aca="false">IF($A35="","",IFERROR(INDEX(Lists!$D$5:$D$16,MATCH($C35,Lists!$B$5:$B$16,0)),1))</f>
        <v>-1</v>
      </c>
      <c r="G35" s="42" t="n">
        <f aca="false">IF($A35="","",IFERROR(INDEX(Lists!$A$5:$A$16,MATCH($C35,Lists!$B$5:$B$16,0)),999))</f>
        <v>10</v>
      </c>
      <c r="H35" s="43" t="n">
        <f aca="false">IF($A35="","",COUNTIF(GL_Data!$B$8:$B$5007,$A35))</f>
        <v>0</v>
      </c>
      <c r="I35" s="44" t="str">
        <f aca="false">IF($A35="","",IF($C35="","NO GROUP",IF($E35="?","BAD GROUP",IF($H35=0,"No GL activity","Mapped"))))</f>
        <v>No GL activity</v>
      </c>
    </row>
    <row r="36" customFormat="false" ht="15" hidden="false" customHeight="false" outlineLevel="0" collapsed="false">
      <c r="A36" s="41" t="s">
        <v>183</v>
      </c>
      <c r="B36" s="41"/>
      <c r="C36" s="41" t="s">
        <v>147</v>
      </c>
      <c r="D36" s="41" t="s">
        <v>148</v>
      </c>
      <c r="E36" s="42" t="str">
        <f aca="false">IF($A36="","",IFERROR(INDEX(Lists!$C$5:$C$16,MATCH($C36,Lists!$B$5:$B$16,0)),"?"))</f>
        <v>P&amp;L</v>
      </c>
      <c r="F36" s="42" t="n">
        <f aca="false">IF($A36="","",IFERROR(INDEX(Lists!$D$5:$D$16,MATCH($C36,Lists!$B$5:$B$16,0)),1))</f>
        <v>-1</v>
      </c>
      <c r="G36" s="42" t="n">
        <f aca="false">IF($A36="","",IFERROR(INDEX(Lists!$A$5:$A$16,MATCH($C36,Lists!$B$5:$B$16,0)),999))</f>
        <v>10</v>
      </c>
      <c r="H36" s="43" t="n">
        <f aca="false">IF($A36="","",COUNTIF(GL_Data!$B$8:$B$5007,$A36))</f>
        <v>0</v>
      </c>
      <c r="I36" s="44" t="str">
        <f aca="false">IF($A36="","",IF($C36="","NO GROUP",IF($E36="?","BAD GROUP",IF($H36=0,"No GL activity","Mapped"))))</f>
        <v>No GL activity</v>
      </c>
    </row>
    <row r="37" customFormat="false" ht="15" hidden="false" customHeight="false" outlineLevel="0" collapsed="false">
      <c r="A37" s="41" t="s">
        <v>184</v>
      </c>
      <c r="B37" s="41"/>
      <c r="C37" s="41" t="s">
        <v>147</v>
      </c>
      <c r="D37" s="41" t="s">
        <v>148</v>
      </c>
      <c r="E37" s="42" t="str">
        <f aca="false">IF($A37="","",IFERROR(INDEX(Lists!$C$5:$C$16,MATCH($C37,Lists!$B$5:$B$16,0)),"?"))</f>
        <v>P&amp;L</v>
      </c>
      <c r="F37" s="42" t="n">
        <f aca="false">IF($A37="","",IFERROR(INDEX(Lists!$D$5:$D$16,MATCH($C37,Lists!$B$5:$B$16,0)),1))</f>
        <v>-1</v>
      </c>
      <c r="G37" s="42" t="n">
        <f aca="false">IF($A37="","",IFERROR(INDEX(Lists!$A$5:$A$16,MATCH($C37,Lists!$B$5:$B$16,0)),999))</f>
        <v>10</v>
      </c>
      <c r="H37" s="43" t="n">
        <f aca="false">IF($A37="","",COUNTIF(GL_Data!$B$8:$B$5007,$A37))</f>
        <v>0</v>
      </c>
      <c r="I37" s="44" t="str">
        <f aca="false">IF($A37="","",IF($C37="","NO GROUP",IF($E37="?","BAD GROUP",IF($H37=0,"No GL activity","Mapped"))))</f>
        <v>No GL activity</v>
      </c>
    </row>
    <row r="38" customFormat="false" ht="15" hidden="false" customHeight="false" outlineLevel="0" collapsed="false">
      <c r="A38" s="41" t="s">
        <v>185</v>
      </c>
      <c r="B38" s="41"/>
      <c r="C38" s="41" t="s">
        <v>147</v>
      </c>
      <c r="D38" s="41" t="s">
        <v>148</v>
      </c>
      <c r="E38" s="42" t="str">
        <f aca="false">IF($A38="","",IFERROR(INDEX(Lists!$C$5:$C$16,MATCH($C38,Lists!$B$5:$B$16,0)),"?"))</f>
        <v>P&amp;L</v>
      </c>
      <c r="F38" s="42" t="n">
        <f aca="false">IF($A38="","",IFERROR(INDEX(Lists!$D$5:$D$16,MATCH($C38,Lists!$B$5:$B$16,0)),1))</f>
        <v>-1</v>
      </c>
      <c r="G38" s="42" t="n">
        <f aca="false">IF($A38="","",IFERROR(INDEX(Lists!$A$5:$A$16,MATCH($C38,Lists!$B$5:$B$16,0)),999))</f>
        <v>10</v>
      </c>
      <c r="H38" s="43" t="n">
        <f aca="false">IF($A38="","",COUNTIF(GL_Data!$B$8:$B$5007,$A38))</f>
        <v>0</v>
      </c>
      <c r="I38" s="44" t="str">
        <f aca="false">IF($A38="","",IF($C38="","NO GROUP",IF($E38="?","BAD GROUP",IF($H38=0,"No GL activity","Mapped"))))</f>
        <v>No GL activity</v>
      </c>
    </row>
    <row r="39" customFormat="false" ht="15" hidden="false" customHeight="false" outlineLevel="0" collapsed="false">
      <c r="A39" s="41" t="s">
        <v>186</v>
      </c>
      <c r="B39" s="41"/>
      <c r="C39" s="41" t="s">
        <v>147</v>
      </c>
      <c r="D39" s="41" t="s">
        <v>148</v>
      </c>
      <c r="E39" s="42" t="str">
        <f aca="false">IF($A39="","",IFERROR(INDEX(Lists!$C$5:$C$16,MATCH($C39,Lists!$B$5:$B$16,0)),"?"))</f>
        <v>P&amp;L</v>
      </c>
      <c r="F39" s="42" t="n">
        <f aca="false">IF($A39="","",IFERROR(INDEX(Lists!$D$5:$D$16,MATCH($C39,Lists!$B$5:$B$16,0)),1))</f>
        <v>-1</v>
      </c>
      <c r="G39" s="42" t="n">
        <f aca="false">IF($A39="","",IFERROR(INDEX(Lists!$A$5:$A$16,MATCH($C39,Lists!$B$5:$B$16,0)),999))</f>
        <v>10</v>
      </c>
      <c r="H39" s="43" t="n">
        <f aca="false">IF($A39="","",COUNTIF(GL_Data!$B$8:$B$5007,$A39))</f>
        <v>0</v>
      </c>
      <c r="I39" s="44" t="str">
        <f aca="false">IF($A39="","",IF($C39="","NO GROUP",IF($E39="?","BAD GROUP",IF($H39=0,"No GL activity","Mapped"))))</f>
        <v>No GL activity</v>
      </c>
    </row>
    <row r="40" customFormat="false" ht="15" hidden="false" customHeight="false" outlineLevel="0" collapsed="false">
      <c r="A40" s="41" t="s">
        <v>187</v>
      </c>
      <c r="B40" s="41"/>
      <c r="C40" s="41" t="s">
        <v>147</v>
      </c>
      <c r="D40" s="41" t="s">
        <v>148</v>
      </c>
      <c r="E40" s="42" t="str">
        <f aca="false">IF($A40="","",IFERROR(INDEX(Lists!$C$5:$C$16,MATCH($C40,Lists!$B$5:$B$16,0)),"?"))</f>
        <v>P&amp;L</v>
      </c>
      <c r="F40" s="42" t="n">
        <f aca="false">IF($A40="","",IFERROR(INDEX(Lists!$D$5:$D$16,MATCH($C40,Lists!$B$5:$B$16,0)),1))</f>
        <v>-1</v>
      </c>
      <c r="G40" s="42" t="n">
        <f aca="false">IF($A40="","",IFERROR(INDEX(Lists!$A$5:$A$16,MATCH($C40,Lists!$B$5:$B$16,0)),999))</f>
        <v>10</v>
      </c>
      <c r="H40" s="43" t="n">
        <f aca="false">IF($A40="","",COUNTIF(GL_Data!$B$8:$B$5007,$A40))</f>
        <v>0</v>
      </c>
      <c r="I40" s="44" t="str">
        <f aca="false">IF($A40="","",IF($C40="","NO GROUP",IF($E40="?","BAD GROUP",IF($H40=0,"No GL activity","Mapped"))))</f>
        <v>No GL activity</v>
      </c>
    </row>
    <row r="41" customFormat="false" ht="15" hidden="false" customHeight="false" outlineLevel="0" collapsed="false">
      <c r="A41" s="41" t="s">
        <v>188</v>
      </c>
      <c r="B41" s="41"/>
      <c r="C41" s="41" t="s">
        <v>147</v>
      </c>
      <c r="D41" s="41" t="s">
        <v>148</v>
      </c>
      <c r="E41" s="42" t="str">
        <f aca="false">IF($A41="","",IFERROR(INDEX(Lists!$C$5:$C$16,MATCH($C41,Lists!$B$5:$B$16,0)),"?"))</f>
        <v>P&amp;L</v>
      </c>
      <c r="F41" s="42" t="n">
        <f aca="false">IF($A41="","",IFERROR(INDEX(Lists!$D$5:$D$16,MATCH($C41,Lists!$B$5:$B$16,0)),1))</f>
        <v>-1</v>
      </c>
      <c r="G41" s="42" t="n">
        <f aca="false">IF($A41="","",IFERROR(INDEX(Lists!$A$5:$A$16,MATCH($C41,Lists!$B$5:$B$16,0)),999))</f>
        <v>10</v>
      </c>
      <c r="H41" s="43" t="n">
        <f aca="false">IF($A41="","",COUNTIF(GL_Data!$B$8:$B$5007,$A41))</f>
        <v>0</v>
      </c>
      <c r="I41" s="44" t="str">
        <f aca="false">IF($A41="","",IF($C41="","NO GROUP",IF($E41="?","BAD GROUP",IF($H41=0,"No GL activity","Mapped"))))</f>
        <v>No GL activity</v>
      </c>
    </row>
    <row r="42" customFormat="false" ht="15" hidden="false" customHeight="false" outlineLevel="0" collapsed="false">
      <c r="A42" s="41" t="s">
        <v>189</v>
      </c>
      <c r="B42" s="41"/>
      <c r="C42" s="41" t="s">
        <v>190</v>
      </c>
      <c r="D42" s="41" t="s">
        <v>165</v>
      </c>
      <c r="E42" s="42" t="str">
        <f aca="false">IF($A42="","",IFERROR(INDEX(Lists!$C$5:$C$16,MATCH($C42,Lists!$B$5:$B$16,0)),"?"))</f>
        <v>P&amp;L</v>
      </c>
      <c r="F42" s="42" t="n">
        <f aca="false">IF($A42="","",IFERROR(INDEX(Lists!$D$5:$D$16,MATCH($C42,Lists!$B$5:$B$16,0)),1))</f>
        <v>1</v>
      </c>
      <c r="G42" s="42" t="n">
        <f aca="false">IF($A42="","",IFERROR(INDEX(Lists!$A$5:$A$16,MATCH($C42,Lists!$B$5:$B$16,0)),999))</f>
        <v>20</v>
      </c>
      <c r="H42" s="43" t="n">
        <f aca="false">IF($A42="","",COUNTIF(GL_Data!$B$8:$B$5007,$A42))</f>
        <v>0</v>
      </c>
      <c r="I42" s="44" t="str">
        <f aca="false">IF($A42="","",IF($C42="","NO GROUP",IF($E42="?","BAD GROUP",IF($H42=0,"No GL activity","Mapped"))))</f>
        <v>No GL activity</v>
      </c>
    </row>
    <row r="43" customFormat="false" ht="15" hidden="false" customHeight="false" outlineLevel="0" collapsed="false">
      <c r="A43" s="41" t="s">
        <v>191</v>
      </c>
      <c r="B43" s="41"/>
      <c r="C43" s="41" t="s">
        <v>190</v>
      </c>
      <c r="D43" s="41" t="s">
        <v>155</v>
      </c>
      <c r="E43" s="42" t="str">
        <f aca="false">IF($A43="","",IFERROR(INDEX(Lists!$C$5:$C$16,MATCH($C43,Lists!$B$5:$B$16,0)),"?"))</f>
        <v>P&amp;L</v>
      </c>
      <c r="F43" s="42" t="n">
        <f aca="false">IF($A43="","",IFERROR(INDEX(Lists!$D$5:$D$16,MATCH($C43,Lists!$B$5:$B$16,0)),1))</f>
        <v>1</v>
      </c>
      <c r="G43" s="42" t="n">
        <f aca="false">IF($A43="","",IFERROR(INDEX(Lists!$A$5:$A$16,MATCH($C43,Lists!$B$5:$B$16,0)),999))</f>
        <v>20</v>
      </c>
      <c r="H43" s="43" t="n">
        <f aca="false">IF($A43="","",COUNTIF(GL_Data!$B$8:$B$5007,$A43))</f>
        <v>0</v>
      </c>
      <c r="I43" s="44" t="str">
        <f aca="false">IF($A43="","",IF($C43="","NO GROUP",IF($E43="?","BAD GROUP",IF($H43=0,"No GL activity","Mapped"))))</f>
        <v>No GL activity</v>
      </c>
    </row>
    <row r="44" customFormat="false" ht="15" hidden="false" customHeight="false" outlineLevel="0" collapsed="false">
      <c r="A44" s="41" t="s">
        <v>192</v>
      </c>
      <c r="B44" s="41"/>
      <c r="C44" s="41" t="s">
        <v>190</v>
      </c>
      <c r="D44" s="41" t="s">
        <v>163</v>
      </c>
      <c r="E44" s="42" t="str">
        <f aca="false">IF($A44="","",IFERROR(INDEX(Lists!$C$5:$C$16,MATCH($C44,Lists!$B$5:$B$16,0)),"?"))</f>
        <v>P&amp;L</v>
      </c>
      <c r="F44" s="42" t="n">
        <f aca="false">IF($A44="","",IFERROR(INDEX(Lists!$D$5:$D$16,MATCH($C44,Lists!$B$5:$B$16,0)),1))</f>
        <v>1</v>
      </c>
      <c r="G44" s="42" t="n">
        <f aca="false">IF($A44="","",IFERROR(INDEX(Lists!$A$5:$A$16,MATCH($C44,Lists!$B$5:$B$16,0)),999))</f>
        <v>20</v>
      </c>
      <c r="H44" s="43" t="n">
        <f aca="false">IF($A44="","",COUNTIF(GL_Data!$B$8:$B$5007,$A44))</f>
        <v>0</v>
      </c>
      <c r="I44" s="44" t="str">
        <f aca="false">IF($A44="","",IF($C44="","NO GROUP",IF($E44="?","BAD GROUP",IF($H44=0,"No GL activity","Mapped"))))</f>
        <v>No GL activity</v>
      </c>
    </row>
    <row r="45" customFormat="false" ht="15" hidden="false" customHeight="false" outlineLevel="0" collapsed="false">
      <c r="A45" s="41" t="s">
        <v>193</v>
      </c>
      <c r="B45" s="41"/>
      <c r="C45" s="41" t="s">
        <v>190</v>
      </c>
      <c r="D45" s="41" t="s">
        <v>157</v>
      </c>
      <c r="E45" s="42" t="str">
        <f aca="false">IF($A45="","",IFERROR(INDEX(Lists!$C$5:$C$16,MATCH($C45,Lists!$B$5:$B$16,0)),"?"))</f>
        <v>P&amp;L</v>
      </c>
      <c r="F45" s="42" t="n">
        <f aca="false">IF($A45="","",IFERROR(INDEX(Lists!$D$5:$D$16,MATCH($C45,Lists!$B$5:$B$16,0)),1))</f>
        <v>1</v>
      </c>
      <c r="G45" s="42" t="n">
        <f aca="false">IF($A45="","",IFERROR(INDEX(Lists!$A$5:$A$16,MATCH($C45,Lists!$B$5:$B$16,0)),999))</f>
        <v>20</v>
      </c>
      <c r="H45" s="43" t="n">
        <f aca="false">IF($A45="","",COUNTIF(GL_Data!$B$8:$B$5007,$A45))</f>
        <v>0</v>
      </c>
      <c r="I45" s="44" t="str">
        <f aca="false">IF($A45="","",IF($C45="","NO GROUP",IF($E45="?","BAD GROUP",IF($H45=0,"No GL activity","Mapped"))))</f>
        <v>No GL activity</v>
      </c>
    </row>
    <row r="46" customFormat="false" ht="15" hidden="false" customHeight="false" outlineLevel="0" collapsed="false">
      <c r="A46" s="41" t="s">
        <v>194</v>
      </c>
      <c r="B46" s="41"/>
      <c r="C46" s="41" t="s">
        <v>190</v>
      </c>
      <c r="D46" s="41" t="s">
        <v>159</v>
      </c>
      <c r="E46" s="42" t="str">
        <f aca="false">IF($A46="","",IFERROR(INDEX(Lists!$C$5:$C$16,MATCH($C46,Lists!$B$5:$B$16,0)),"?"))</f>
        <v>P&amp;L</v>
      </c>
      <c r="F46" s="42" t="n">
        <f aca="false">IF($A46="","",IFERROR(INDEX(Lists!$D$5:$D$16,MATCH($C46,Lists!$B$5:$B$16,0)),1))</f>
        <v>1</v>
      </c>
      <c r="G46" s="42" t="n">
        <f aca="false">IF($A46="","",IFERROR(INDEX(Lists!$A$5:$A$16,MATCH($C46,Lists!$B$5:$B$16,0)),999))</f>
        <v>20</v>
      </c>
      <c r="H46" s="43" t="n">
        <f aca="false">IF($A46="","",COUNTIF(GL_Data!$B$8:$B$5007,$A46))</f>
        <v>0</v>
      </c>
      <c r="I46" s="44" t="str">
        <f aca="false">IF($A46="","",IF($C46="","NO GROUP",IF($E46="?","BAD GROUP",IF($H46=0,"No GL activity","Mapped"))))</f>
        <v>No GL activity</v>
      </c>
    </row>
    <row r="47" customFormat="false" ht="15" hidden="false" customHeight="false" outlineLevel="0" collapsed="false">
      <c r="A47" s="41" t="s">
        <v>195</v>
      </c>
      <c r="B47" s="41"/>
      <c r="C47" s="41" t="s">
        <v>190</v>
      </c>
      <c r="D47" s="41" t="s">
        <v>161</v>
      </c>
      <c r="E47" s="42" t="str">
        <f aca="false">IF($A47="","",IFERROR(INDEX(Lists!$C$5:$C$16,MATCH($C47,Lists!$B$5:$B$16,0)),"?"))</f>
        <v>P&amp;L</v>
      </c>
      <c r="F47" s="42" t="n">
        <f aca="false">IF($A47="","",IFERROR(INDEX(Lists!$D$5:$D$16,MATCH($C47,Lists!$B$5:$B$16,0)),1))</f>
        <v>1</v>
      </c>
      <c r="G47" s="42" t="n">
        <f aca="false">IF($A47="","",IFERROR(INDEX(Lists!$A$5:$A$16,MATCH($C47,Lists!$B$5:$B$16,0)),999))</f>
        <v>20</v>
      </c>
      <c r="H47" s="43" t="n">
        <f aca="false">IF($A47="","",COUNTIF(GL_Data!$B$8:$B$5007,$A47))</f>
        <v>0</v>
      </c>
      <c r="I47" s="44" t="str">
        <f aca="false">IF($A47="","",IF($C47="","NO GROUP",IF($E47="?","BAD GROUP",IF($H47=0,"No GL activity","Mapped"))))</f>
        <v>No GL activity</v>
      </c>
    </row>
    <row r="48" customFormat="false" ht="15" hidden="false" customHeight="false" outlineLevel="0" collapsed="false">
      <c r="A48" s="41" t="s">
        <v>196</v>
      </c>
      <c r="B48" s="41"/>
      <c r="C48" s="41" t="s">
        <v>190</v>
      </c>
      <c r="D48" s="41" t="s">
        <v>148</v>
      </c>
      <c r="E48" s="42" t="str">
        <f aca="false">IF($A48="","",IFERROR(INDEX(Lists!$C$5:$C$16,MATCH($C48,Lists!$B$5:$B$16,0)),"?"))</f>
        <v>P&amp;L</v>
      </c>
      <c r="F48" s="42" t="n">
        <f aca="false">IF($A48="","",IFERROR(INDEX(Lists!$D$5:$D$16,MATCH($C48,Lists!$B$5:$B$16,0)),1))</f>
        <v>1</v>
      </c>
      <c r="G48" s="42" t="n">
        <f aca="false">IF($A48="","",IFERROR(INDEX(Lists!$A$5:$A$16,MATCH($C48,Lists!$B$5:$B$16,0)),999))</f>
        <v>20</v>
      </c>
      <c r="H48" s="43" t="n">
        <f aca="false">IF($A48="","",COUNTIF(GL_Data!$B$8:$B$5007,$A48))</f>
        <v>0</v>
      </c>
      <c r="I48" s="44" t="str">
        <f aca="false">IF($A48="","",IF($C48="","NO GROUP",IF($E48="?","BAD GROUP",IF($H48=0,"No GL activity","Mapped"))))</f>
        <v>No GL activity</v>
      </c>
    </row>
    <row r="49" customFormat="false" ht="15" hidden="false" customHeight="false" outlineLevel="0" collapsed="false">
      <c r="A49" s="41" t="s">
        <v>197</v>
      </c>
      <c r="B49" s="41"/>
      <c r="C49" s="41" t="s">
        <v>190</v>
      </c>
      <c r="D49" s="41" t="s">
        <v>165</v>
      </c>
      <c r="E49" s="42" t="str">
        <f aca="false">IF($A49="","",IFERROR(INDEX(Lists!$C$5:$C$16,MATCH($C49,Lists!$B$5:$B$16,0)),"?"))</f>
        <v>P&amp;L</v>
      </c>
      <c r="F49" s="42" t="n">
        <f aca="false">IF($A49="","",IFERROR(INDEX(Lists!$D$5:$D$16,MATCH($C49,Lists!$B$5:$B$16,0)),1))</f>
        <v>1</v>
      </c>
      <c r="G49" s="42" t="n">
        <f aca="false">IF($A49="","",IFERROR(INDEX(Lists!$A$5:$A$16,MATCH($C49,Lists!$B$5:$B$16,0)),999))</f>
        <v>20</v>
      </c>
      <c r="H49" s="43" t="n">
        <f aca="false">IF($A49="","",COUNTIF(GL_Data!$B$8:$B$5007,$A49))</f>
        <v>0</v>
      </c>
      <c r="I49" s="44" t="str">
        <f aca="false">IF($A49="","",IF($C49="","NO GROUP",IF($E49="?","BAD GROUP",IF($H49=0,"No GL activity","Mapped"))))</f>
        <v>No GL activity</v>
      </c>
    </row>
    <row r="50" customFormat="false" ht="15" hidden="false" customHeight="false" outlineLevel="0" collapsed="false">
      <c r="A50" s="41" t="s">
        <v>198</v>
      </c>
      <c r="B50" s="41"/>
      <c r="C50" s="41" t="s">
        <v>190</v>
      </c>
      <c r="D50" s="41" t="s">
        <v>155</v>
      </c>
      <c r="E50" s="42" t="str">
        <f aca="false">IF($A50="","",IFERROR(INDEX(Lists!$C$5:$C$16,MATCH($C50,Lists!$B$5:$B$16,0)),"?"))</f>
        <v>P&amp;L</v>
      </c>
      <c r="F50" s="42" t="n">
        <f aca="false">IF($A50="","",IFERROR(INDEX(Lists!$D$5:$D$16,MATCH($C50,Lists!$B$5:$B$16,0)),1))</f>
        <v>1</v>
      </c>
      <c r="G50" s="42" t="n">
        <f aca="false">IF($A50="","",IFERROR(INDEX(Lists!$A$5:$A$16,MATCH($C50,Lists!$B$5:$B$16,0)),999))</f>
        <v>20</v>
      </c>
      <c r="H50" s="43" t="n">
        <f aca="false">IF($A50="","",COUNTIF(GL_Data!$B$8:$B$5007,$A50))</f>
        <v>0</v>
      </c>
      <c r="I50" s="44" t="str">
        <f aca="false">IF($A50="","",IF($C50="","NO GROUP",IF($E50="?","BAD GROUP",IF($H50=0,"No GL activity","Mapped"))))</f>
        <v>No GL activity</v>
      </c>
    </row>
    <row r="51" customFormat="false" ht="15" hidden="false" customHeight="false" outlineLevel="0" collapsed="false">
      <c r="A51" s="41" t="s">
        <v>199</v>
      </c>
      <c r="B51" s="41"/>
      <c r="C51" s="41" t="s">
        <v>190</v>
      </c>
      <c r="D51" s="41" t="s">
        <v>163</v>
      </c>
      <c r="E51" s="42" t="str">
        <f aca="false">IF($A51="","",IFERROR(INDEX(Lists!$C$5:$C$16,MATCH($C51,Lists!$B$5:$B$16,0)),"?"))</f>
        <v>P&amp;L</v>
      </c>
      <c r="F51" s="42" t="n">
        <f aca="false">IF($A51="","",IFERROR(INDEX(Lists!$D$5:$D$16,MATCH($C51,Lists!$B$5:$B$16,0)),1))</f>
        <v>1</v>
      </c>
      <c r="G51" s="42" t="n">
        <f aca="false">IF($A51="","",IFERROR(INDEX(Lists!$A$5:$A$16,MATCH($C51,Lists!$B$5:$B$16,0)),999))</f>
        <v>20</v>
      </c>
      <c r="H51" s="43" t="n">
        <f aca="false">IF($A51="","",COUNTIF(GL_Data!$B$8:$B$5007,$A51))</f>
        <v>0</v>
      </c>
      <c r="I51" s="44" t="str">
        <f aca="false">IF($A51="","",IF($C51="","NO GROUP",IF($E51="?","BAD GROUP",IF($H51=0,"No GL activity","Mapped"))))</f>
        <v>No GL activity</v>
      </c>
    </row>
    <row r="52" customFormat="false" ht="15" hidden="false" customHeight="false" outlineLevel="0" collapsed="false">
      <c r="A52" s="41" t="s">
        <v>200</v>
      </c>
      <c r="B52" s="41"/>
      <c r="C52" s="41" t="s">
        <v>190</v>
      </c>
      <c r="D52" s="41" t="s">
        <v>157</v>
      </c>
      <c r="E52" s="42" t="str">
        <f aca="false">IF($A52="","",IFERROR(INDEX(Lists!$C$5:$C$16,MATCH($C52,Lists!$B$5:$B$16,0)),"?"))</f>
        <v>P&amp;L</v>
      </c>
      <c r="F52" s="42" t="n">
        <f aca="false">IF($A52="","",IFERROR(INDEX(Lists!$D$5:$D$16,MATCH($C52,Lists!$B$5:$B$16,0)),1))</f>
        <v>1</v>
      </c>
      <c r="G52" s="42" t="n">
        <f aca="false">IF($A52="","",IFERROR(INDEX(Lists!$A$5:$A$16,MATCH($C52,Lists!$B$5:$B$16,0)),999))</f>
        <v>20</v>
      </c>
      <c r="H52" s="43" t="n">
        <f aca="false">IF($A52="","",COUNTIF(GL_Data!$B$8:$B$5007,$A52))</f>
        <v>0</v>
      </c>
      <c r="I52" s="44" t="str">
        <f aca="false">IF($A52="","",IF($C52="","NO GROUP",IF($E52="?","BAD GROUP",IF($H52=0,"No GL activity","Mapped"))))</f>
        <v>No GL activity</v>
      </c>
    </row>
    <row r="53" customFormat="false" ht="15" hidden="false" customHeight="false" outlineLevel="0" collapsed="false">
      <c r="A53" s="41" t="s">
        <v>201</v>
      </c>
      <c r="B53" s="41"/>
      <c r="C53" s="41" t="s">
        <v>190</v>
      </c>
      <c r="D53" s="41" t="s">
        <v>159</v>
      </c>
      <c r="E53" s="42" t="str">
        <f aca="false">IF($A53="","",IFERROR(INDEX(Lists!$C$5:$C$16,MATCH($C53,Lists!$B$5:$B$16,0)),"?"))</f>
        <v>P&amp;L</v>
      </c>
      <c r="F53" s="42" t="n">
        <f aca="false">IF($A53="","",IFERROR(INDEX(Lists!$D$5:$D$16,MATCH($C53,Lists!$B$5:$B$16,0)),1))</f>
        <v>1</v>
      </c>
      <c r="G53" s="42" t="n">
        <f aca="false">IF($A53="","",IFERROR(INDEX(Lists!$A$5:$A$16,MATCH($C53,Lists!$B$5:$B$16,0)),999))</f>
        <v>20</v>
      </c>
      <c r="H53" s="43" t="n">
        <f aca="false">IF($A53="","",COUNTIF(GL_Data!$B$8:$B$5007,$A53))</f>
        <v>0</v>
      </c>
      <c r="I53" s="44" t="str">
        <f aca="false">IF($A53="","",IF($C53="","NO GROUP",IF($E53="?","BAD GROUP",IF($H53=0,"No GL activity","Mapped"))))</f>
        <v>No GL activity</v>
      </c>
    </row>
    <row r="54" customFormat="false" ht="15" hidden="false" customHeight="false" outlineLevel="0" collapsed="false">
      <c r="A54" s="41" t="s">
        <v>202</v>
      </c>
      <c r="B54" s="41"/>
      <c r="C54" s="41" t="s">
        <v>190</v>
      </c>
      <c r="D54" s="41" t="s">
        <v>161</v>
      </c>
      <c r="E54" s="42" t="str">
        <f aca="false">IF($A54="","",IFERROR(INDEX(Lists!$C$5:$C$16,MATCH($C54,Lists!$B$5:$B$16,0)),"?"))</f>
        <v>P&amp;L</v>
      </c>
      <c r="F54" s="42" t="n">
        <f aca="false">IF($A54="","",IFERROR(INDEX(Lists!$D$5:$D$16,MATCH($C54,Lists!$B$5:$B$16,0)),1))</f>
        <v>1</v>
      </c>
      <c r="G54" s="42" t="n">
        <f aca="false">IF($A54="","",IFERROR(INDEX(Lists!$A$5:$A$16,MATCH($C54,Lists!$B$5:$B$16,0)),999))</f>
        <v>20</v>
      </c>
      <c r="H54" s="43" t="n">
        <f aca="false">IF($A54="","",COUNTIF(GL_Data!$B$8:$B$5007,$A54))</f>
        <v>0</v>
      </c>
      <c r="I54" s="44" t="str">
        <f aca="false">IF($A54="","",IF($C54="","NO GROUP",IF($E54="?","BAD GROUP",IF($H54=0,"No GL activity","Mapped"))))</f>
        <v>No GL activity</v>
      </c>
    </row>
    <row r="55" customFormat="false" ht="15" hidden="false" customHeight="false" outlineLevel="0" collapsed="false">
      <c r="A55" s="41" t="s">
        <v>203</v>
      </c>
      <c r="B55" s="41"/>
      <c r="C55" s="41" t="s">
        <v>190</v>
      </c>
      <c r="D55" s="41" t="s">
        <v>155</v>
      </c>
      <c r="E55" s="42" t="str">
        <f aca="false">IF($A55="","",IFERROR(INDEX(Lists!$C$5:$C$16,MATCH($C55,Lists!$B$5:$B$16,0)),"?"))</f>
        <v>P&amp;L</v>
      </c>
      <c r="F55" s="42" t="n">
        <f aca="false">IF($A55="","",IFERROR(INDEX(Lists!$D$5:$D$16,MATCH($C55,Lists!$B$5:$B$16,0)),1))</f>
        <v>1</v>
      </c>
      <c r="G55" s="42" t="n">
        <f aca="false">IF($A55="","",IFERROR(INDEX(Lists!$A$5:$A$16,MATCH($C55,Lists!$B$5:$B$16,0)),999))</f>
        <v>20</v>
      </c>
      <c r="H55" s="43" t="n">
        <f aca="false">IF($A55="","",COUNTIF(GL_Data!$B$8:$B$5007,$A55))</f>
        <v>0</v>
      </c>
      <c r="I55" s="44" t="str">
        <f aca="false">IF($A55="","",IF($C55="","NO GROUP",IF($E55="?","BAD GROUP",IF($H55=0,"No GL activity","Mapped"))))</f>
        <v>No GL activity</v>
      </c>
    </row>
    <row r="56" customFormat="false" ht="15" hidden="false" customHeight="false" outlineLevel="0" collapsed="false">
      <c r="A56" s="41" t="s">
        <v>204</v>
      </c>
      <c r="B56" s="41"/>
      <c r="C56" s="41" t="s">
        <v>190</v>
      </c>
      <c r="D56" s="41" t="s">
        <v>163</v>
      </c>
      <c r="E56" s="42" t="str">
        <f aca="false">IF($A56="","",IFERROR(INDEX(Lists!$C$5:$C$16,MATCH($C56,Lists!$B$5:$B$16,0)),"?"))</f>
        <v>P&amp;L</v>
      </c>
      <c r="F56" s="42" t="n">
        <f aca="false">IF($A56="","",IFERROR(INDEX(Lists!$D$5:$D$16,MATCH($C56,Lists!$B$5:$B$16,0)),1))</f>
        <v>1</v>
      </c>
      <c r="G56" s="42" t="n">
        <f aca="false">IF($A56="","",IFERROR(INDEX(Lists!$A$5:$A$16,MATCH($C56,Lists!$B$5:$B$16,0)),999))</f>
        <v>20</v>
      </c>
      <c r="H56" s="43" t="n">
        <f aca="false">IF($A56="","",COUNTIF(GL_Data!$B$8:$B$5007,$A56))</f>
        <v>0</v>
      </c>
      <c r="I56" s="44" t="str">
        <f aca="false">IF($A56="","",IF($C56="","NO GROUP",IF($E56="?","BAD GROUP",IF($H56=0,"No GL activity","Mapped"))))</f>
        <v>No GL activity</v>
      </c>
    </row>
    <row r="57" customFormat="false" ht="15" hidden="false" customHeight="false" outlineLevel="0" collapsed="false">
      <c r="A57" s="41" t="s">
        <v>205</v>
      </c>
      <c r="B57" s="41"/>
      <c r="C57" s="41" t="s">
        <v>190</v>
      </c>
      <c r="D57" s="41" t="s">
        <v>157</v>
      </c>
      <c r="E57" s="42" t="str">
        <f aca="false">IF($A57="","",IFERROR(INDEX(Lists!$C$5:$C$16,MATCH($C57,Lists!$B$5:$B$16,0)),"?"))</f>
        <v>P&amp;L</v>
      </c>
      <c r="F57" s="42" t="n">
        <f aca="false">IF($A57="","",IFERROR(INDEX(Lists!$D$5:$D$16,MATCH($C57,Lists!$B$5:$B$16,0)),1))</f>
        <v>1</v>
      </c>
      <c r="G57" s="42" t="n">
        <f aca="false">IF($A57="","",IFERROR(INDEX(Lists!$A$5:$A$16,MATCH($C57,Lists!$B$5:$B$16,0)),999))</f>
        <v>20</v>
      </c>
      <c r="H57" s="43" t="n">
        <f aca="false">IF($A57="","",COUNTIF(GL_Data!$B$8:$B$5007,$A57))</f>
        <v>0</v>
      </c>
      <c r="I57" s="44" t="str">
        <f aca="false">IF($A57="","",IF($C57="","NO GROUP",IF($E57="?","BAD GROUP",IF($H57=0,"No GL activity","Mapped"))))</f>
        <v>No GL activity</v>
      </c>
    </row>
    <row r="58" customFormat="false" ht="15" hidden="false" customHeight="false" outlineLevel="0" collapsed="false">
      <c r="A58" s="41" t="s">
        <v>206</v>
      </c>
      <c r="B58" s="41"/>
      <c r="C58" s="41" t="s">
        <v>190</v>
      </c>
      <c r="D58" s="41" t="s">
        <v>159</v>
      </c>
      <c r="E58" s="42" t="str">
        <f aca="false">IF($A58="","",IFERROR(INDEX(Lists!$C$5:$C$16,MATCH($C58,Lists!$B$5:$B$16,0)),"?"))</f>
        <v>P&amp;L</v>
      </c>
      <c r="F58" s="42" t="n">
        <f aca="false">IF($A58="","",IFERROR(INDEX(Lists!$D$5:$D$16,MATCH($C58,Lists!$B$5:$B$16,0)),1))</f>
        <v>1</v>
      </c>
      <c r="G58" s="42" t="n">
        <f aca="false">IF($A58="","",IFERROR(INDEX(Lists!$A$5:$A$16,MATCH($C58,Lists!$B$5:$B$16,0)),999))</f>
        <v>20</v>
      </c>
      <c r="H58" s="43" t="n">
        <f aca="false">IF($A58="","",COUNTIF(GL_Data!$B$8:$B$5007,$A58))</f>
        <v>0</v>
      </c>
      <c r="I58" s="44" t="str">
        <f aca="false">IF($A58="","",IF($C58="","NO GROUP",IF($E58="?","BAD GROUP",IF($H58=0,"No GL activity","Mapped"))))</f>
        <v>No GL activity</v>
      </c>
    </row>
    <row r="59" customFormat="false" ht="15" hidden="false" customHeight="false" outlineLevel="0" collapsed="false">
      <c r="A59" s="41" t="s">
        <v>207</v>
      </c>
      <c r="B59" s="41"/>
      <c r="C59" s="41" t="s">
        <v>190</v>
      </c>
      <c r="D59" s="41" t="s">
        <v>161</v>
      </c>
      <c r="E59" s="42" t="str">
        <f aca="false">IF($A59="","",IFERROR(INDEX(Lists!$C$5:$C$16,MATCH($C59,Lists!$B$5:$B$16,0)),"?"))</f>
        <v>P&amp;L</v>
      </c>
      <c r="F59" s="42" t="n">
        <f aca="false">IF($A59="","",IFERROR(INDEX(Lists!$D$5:$D$16,MATCH($C59,Lists!$B$5:$B$16,0)),1))</f>
        <v>1</v>
      </c>
      <c r="G59" s="42" t="n">
        <f aca="false">IF($A59="","",IFERROR(INDEX(Lists!$A$5:$A$16,MATCH($C59,Lists!$B$5:$B$16,0)),999))</f>
        <v>20</v>
      </c>
      <c r="H59" s="43" t="n">
        <f aca="false">IF($A59="","",COUNTIF(GL_Data!$B$8:$B$5007,$A59))</f>
        <v>0</v>
      </c>
      <c r="I59" s="44" t="str">
        <f aca="false">IF($A59="","",IF($C59="","NO GROUP",IF($E59="?","BAD GROUP",IF($H59=0,"No GL activity","Mapped"))))</f>
        <v>No GL activity</v>
      </c>
    </row>
    <row r="60" customFormat="false" ht="15" hidden="false" customHeight="false" outlineLevel="0" collapsed="false">
      <c r="A60" s="41" t="s">
        <v>208</v>
      </c>
      <c r="B60" s="41"/>
      <c r="C60" s="41" t="s">
        <v>190</v>
      </c>
      <c r="D60" s="41" t="s">
        <v>165</v>
      </c>
      <c r="E60" s="42" t="str">
        <f aca="false">IF($A60="","",IFERROR(INDEX(Lists!$C$5:$C$16,MATCH($C60,Lists!$B$5:$B$16,0)),"?"))</f>
        <v>P&amp;L</v>
      </c>
      <c r="F60" s="42" t="n">
        <f aca="false">IF($A60="","",IFERROR(INDEX(Lists!$D$5:$D$16,MATCH($C60,Lists!$B$5:$B$16,0)),1))</f>
        <v>1</v>
      </c>
      <c r="G60" s="42" t="n">
        <f aca="false">IF($A60="","",IFERROR(INDEX(Lists!$A$5:$A$16,MATCH($C60,Lists!$B$5:$B$16,0)),999))</f>
        <v>20</v>
      </c>
      <c r="H60" s="43" t="n">
        <f aca="false">IF($A60="","",COUNTIF(GL_Data!$B$8:$B$5007,$A60))</f>
        <v>0</v>
      </c>
      <c r="I60" s="44" t="str">
        <f aca="false">IF($A60="","",IF($C60="","NO GROUP",IF($E60="?","BAD GROUP",IF($H60=0,"No GL activity","Mapped"))))</f>
        <v>No GL activity</v>
      </c>
    </row>
    <row r="61" customFormat="false" ht="15" hidden="false" customHeight="false" outlineLevel="0" collapsed="false">
      <c r="A61" s="41" t="s">
        <v>209</v>
      </c>
      <c r="B61" s="41"/>
      <c r="C61" s="41" t="s">
        <v>190</v>
      </c>
      <c r="D61" s="41" t="s">
        <v>155</v>
      </c>
      <c r="E61" s="42" t="str">
        <f aca="false">IF($A61="","",IFERROR(INDEX(Lists!$C$5:$C$16,MATCH($C61,Lists!$B$5:$B$16,0)),"?"))</f>
        <v>P&amp;L</v>
      </c>
      <c r="F61" s="42" t="n">
        <f aca="false">IF($A61="","",IFERROR(INDEX(Lists!$D$5:$D$16,MATCH($C61,Lists!$B$5:$B$16,0)),1))</f>
        <v>1</v>
      </c>
      <c r="G61" s="42" t="n">
        <f aca="false">IF($A61="","",IFERROR(INDEX(Lists!$A$5:$A$16,MATCH($C61,Lists!$B$5:$B$16,0)),999))</f>
        <v>20</v>
      </c>
      <c r="H61" s="43" t="n">
        <f aca="false">IF($A61="","",COUNTIF(GL_Data!$B$8:$B$5007,$A61))</f>
        <v>0</v>
      </c>
      <c r="I61" s="44" t="str">
        <f aca="false">IF($A61="","",IF($C61="","NO GROUP",IF($E61="?","BAD GROUP",IF($H61=0,"No GL activity","Mapped"))))</f>
        <v>No GL activity</v>
      </c>
    </row>
    <row r="62" customFormat="false" ht="15" hidden="false" customHeight="false" outlineLevel="0" collapsed="false">
      <c r="A62" s="41" t="s">
        <v>210</v>
      </c>
      <c r="B62" s="41"/>
      <c r="C62" s="41" t="s">
        <v>190</v>
      </c>
      <c r="D62" s="41" t="s">
        <v>163</v>
      </c>
      <c r="E62" s="42" t="str">
        <f aca="false">IF($A62="","",IFERROR(INDEX(Lists!$C$5:$C$16,MATCH($C62,Lists!$B$5:$B$16,0)),"?"))</f>
        <v>P&amp;L</v>
      </c>
      <c r="F62" s="42" t="n">
        <f aca="false">IF($A62="","",IFERROR(INDEX(Lists!$D$5:$D$16,MATCH($C62,Lists!$B$5:$B$16,0)),1))</f>
        <v>1</v>
      </c>
      <c r="G62" s="42" t="n">
        <f aca="false">IF($A62="","",IFERROR(INDEX(Lists!$A$5:$A$16,MATCH($C62,Lists!$B$5:$B$16,0)),999))</f>
        <v>20</v>
      </c>
      <c r="H62" s="43" t="n">
        <f aca="false">IF($A62="","",COUNTIF(GL_Data!$B$8:$B$5007,$A62))</f>
        <v>0</v>
      </c>
      <c r="I62" s="44" t="str">
        <f aca="false">IF($A62="","",IF($C62="","NO GROUP",IF($E62="?","BAD GROUP",IF($H62=0,"No GL activity","Mapped"))))</f>
        <v>No GL activity</v>
      </c>
    </row>
    <row r="63" customFormat="false" ht="15" hidden="false" customHeight="false" outlineLevel="0" collapsed="false">
      <c r="A63" s="41" t="s">
        <v>211</v>
      </c>
      <c r="B63" s="41"/>
      <c r="C63" s="41" t="s">
        <v>190</v>
      </c>
      <c r="D63" s="41" t="s">
        <v>157</v>
      </c>
      <c r="E63" s="42" t="str">
        <f aca="false">IF($A63="","",IFERROR(INDEX(Lists!$C$5:$C$16,MATCH($C63,Lists!$B$5:$B$16,0)),"?"))</f>
        <v>P&amp;L</v>
      </c>
      <c r="F63" s="42" t="n">
        <f aca="false">IF($A63="","",IFERROR(INDEX(Lists!$D$5:$D$16,MATCH($C63,Lists!$B$5:$B$16,0)),1))</f>
        <v>1</v>
      </c>
      <c r="G63" s="42" t="n">
        <f aca="false">IF($A63="","",IFERROR(INDEX(Lists!$A$5:$A$16,MATCH($C63,Lists!$B$5:$B$16,0)),999))</f>
        <v>20</v>
      </c>
      <c r="H63" s="43" t="n">
        <f aca="false">IF($A63="","",COUNTIF(GL_Data!$B$8:$B$5007,$A63))</f>
        <v>0</v>
      </c>
      <c r="I63" s="44" t="str">
        <f aca="false">IF($A63="","",IF($C63="","NO GROUP",IF($E63="?","BAD GROUP",IF($H63=0,"No GL activity","Mapped"))))</f>
        <v>No GL activity</v>
      </c>
    </row>
    <row r="64" customFormat="false" ht="15" hidden="false" customHeight="false" outlineLevel="0" collapsed="false">
      <c r="A64" s="41" t="s">
        <v>212</v>
      </c>
      <c r="B64" s="41"/>
      <c r="C64" s="41" t="s">
        <v>190</v>
      </c>
      <c r="D64" s="41" t="s">
        <v>159</v>
      </c>
      <c r="E64" s="42" t="str">
        <f aca="false">IF($A64="","",IFERROR(INDEX(Lists!$C$5:$C$16,MATCH($C64,Lists!$B$5:$B$16,0)),"?"))</f>
        <v>P&amp;L</v>
      </c>
      <c r="F64" s="42" t="n">
        <f aca="false">IF($A64="","",IFERROR(INDEX(Lists!$D$5:$D$16,MATCH($C64,Lists!$B$5:$B$16,0)),1))</f>
        <v>1</v>
      </c>
      <c r="G64" s="42" t="n">
        <f aca="false">IF($A64="","",IFERROR(INDEX(Lists!$A$5:$A$16,MATCH($C64,Lists!$B$5:$B$16,0)),999))</f>
        <v>20</v>
      </c>
      <c r="H64" s="43" t="n">
        <f aca="false">IF($A64="","",COUNTIF(GL_Data!$B$8:$B$5007,$A64))</f>
        <v>0</v>
      </c>
      <c r="I64" s="44" t="str">
        <f aca="false">IF($A64="","",IF($C64="","NO GROUP",IF($E64="?","BAD GROUP",IF($H64=0,"No GL activity","Mapped"))))</f>
        <v>No GL activity</v>
      </c>
    </row>
    <row r="65" customFormat="false" ht="15" hidden="false" customHeight="false" outlineLevel="0" collapsed="false">
      <c r="A65" s="41" t="s">
        <v>213</v>
      </c>
      <c r="B65" s="41"/>
      <c r="C65" s="41" t="s">
        <v>190</v>
      </c>
      <c r="D65" s="41" t="s">
        <v>161</v>
      </c>
      <c r="E65" s="42" t="str">
        <f aca="false">IF($A65="","",IFERROR(INDEX(Lists!$C$5:$C$16,MATCH($C65,Lists!$B$5:$B$16,0)),"?"))</f>
        <v>P&amp;L</v>
      </c>
      <c r="F65" s="42" t="n">
        <f aca="false">IF($A65="","",IFERROR(INDEX(Lists!$D$5:$D$16,MATCH($C65,Lists!$B$5:$B$16,0)),1))</f>
        <v>1</v>
      </c>
      <c r="G65" s="42" t="n">
        <f aca="false">IF($A65="","",IFERROR(INDEX(Lists!$A$5:$A$16,MATCH($C65,Lists!$B$5:$B$16,0)),999))</f>
        <v>20</v>
      </c>
      <c r="H65" s="43" t="n">
        <f aca="false">IF($A65="","",COUNTIF(GL_Data!$B$8:$B$5007,$A65))</f>
        <v>0</v>
      </c>
      <c r="I65" s="44" t="str">
        <f aca="false">IF($A65="","",IF($C65="","NO GROUP",IF($E65="?","BAD GROUP",IF($H65=0,"No GL activity","Mapped"))))</f>
        <v>No GL activity</v>
      </c>
    </row>
    <row r="66" customFormat="false" ht="15" hidden="false" customHeight="false" outlineLevel="0" collapsed="false">
      <c r="A66" s="41" t="s">
        <v>214</v>
      </c>
      <c r="B66" s="41"/>
      <c r="C66" s="41" t="s">
        <v>190</v>
      </c>
      <c r="D66" s="41" t="s">
        <v>165</v>
      </c>
      <c r="E66" s="42" t="str">
        <f aca="false">IF($A66="","",IFERROR(INDEX(Lists!$C$5:$C$16,MATCH($C66,Lists!$B$5:$B$16,0)),"?"))</f>
        <v>P&amp;L</v>
      </c>
      <c r="F66" s="42" t="n">
        <f aca="false">IF($A66="","",IFERROR(INDEX(Lists!$D$5:$D$16,MATCH($C66,Lists!$B$5:$B$16,0)),1))</f>
        <v>1</v>
      </c>
      <c r="G66" s="42" t="n">
        <f aca="false">IF($A66="","",IFERROR(INDEX(Lists!$A$5:$A$16,MATCH($C66,Lists!$B$5:$B$16,0)),999))</f>
        <v>20</v>
      </c>
      <c r="H66" s="43" t="n">
        <f aca="false">IF($A66="","",COUNTIF(GL_Data!$B$8:$B$5007,$A66))</f>
        <v>0</v>
      </c>
      <c r="I66" s="44" t="str">
        <f aca="false">IF($A66="","",IF($C66="","NO GROUP",IF($E66="?","BAD GROUP",IF($H66=0,"No GL activity","Mapped"))))</f>
        <v>No GL activity</v>
      </c>
    </row>
    <row r="67" customFormat="false" ht="15" hidden="false" customHeight="false" outlineLevel="0" collapsed="false">
      <c r="A67" s="41" t="s">
        <v>215</v>
      </c>
      <c r="B67" s="41"/>
      <c r="C67" s="41" t="s">
        <v>190</v>
      </c>
      <c r="D67" s="41" t="s">
        <v>155</v>
      </c>
      <c r="E67" s="42" t="str">
        <f aca="false">IF($A67="","",IFERROR(INDEX(Lists!$C$5:$C$16,MATCH($C67,Lists!$B$5:$B$16,0)),"?"))</f>
        <v>P&amp;L</v>
      </c>
      <c r="F67" s="42" t="n">
        <f aca="false">IF($A67="","",IFERROR(INDEX(Lists!$D$5:$D$16,MATCH($C67,Lists!$B$5:$B$16,0)),1))</f>
        <v>1</v>
      </c>
      <c r="G67" s="42" t="n">
        <f aca="false">IF($A67="","",IFERROR(INDEX(Lists!$A$5:$A$16,MATCH($C67,Lists!$B$5:$B$16,0)),999))</f>
        <v>20</v>
      </c>
      <c r="H67" s="43" t="n">
        <f aca="false">IF($A67="","",COUNTIF(GL_Data!$B$8:$B$5007,$A67))</f>
        <v>0</v>
      </c>
      <c r="I67" s="44" t="str">
        <f aca="false">IF($A67="","",IF($C67="","NO GROUP",IF($E67="?","BAD GROUP",IF($H67=0,"No GL activity","Mapped"))))</f>
        <v>No GL activity</v>
      </c>
    </row>
    <row r="68" customFormat="false" ht="15" hidden="false" customHeight="false" outlineLevel="0" collapsed="false">
      <c r="A68" s="41" t="s">
        <v>216</v>
      </c>
      <c r="B68" s="41"/>
      <c r="C68" s="41" t="s">
        <v>190</v>
      </c>
      <c r="D68" s="41" t="s">
        <v>157</v>
      </c>
      <c r="E68" s="42" t="str">
        <f aca="false">IF($A68="","",IFERROR(INDEX(Lists!$C$5:$C$16,MATCH($C68,Lists!$B$5:$B$16,0)),"?"))</f>
        <v>P&amp;L</v>
      </c>
      <c r="F68" s="42" t="n">
        <f aca="false">IF($A68="","",IFERROR(INDEX(Lists!$D$5:$D$16,MATCH($C68,Lists!$B$5:$B$16,0)),1))</f>
        <v>1</v>
      </c>
      <c r="G68" s="42" t="n">
        <f aca="false">IF($A68="","",IFERROR(INDEX(Lists!$A$5:$A$16,MATCH($C68,Lists!$B$5:$B$16,0)),999))</f>
        <v>20</v>
      </c>
      <c r="H68" s="43" t="n">
        <f aca="false">IF($A68="","",COUNTIF(GL_Data!$B$8:$B$5007,$A68))</f>
        <v>0</v>
      </c>
      <c r="I68" s="44" t="str">
        <f aca="false">IF($A68="","",IF($C68="","NO GROUP",IF($E68="?","BAD GROUP",IF($H68=0,"No GL activity","Mapped"))))</f>
        <v>No GL activity</v>
      </c>
    </row>
    <row r="69" customFormat="false" ht="15" hidden="false" customHeight="false" outlineLevel="0" collapsed="false">
      <c r="A69" s="41" t="s">
        <v>217</v>
      </c>
      <c r="B69" s="41"/>
      <c r="C69" s="41" t="s">
        <v>190</v>
      </c>
      <c r="D69" s="41" t="s">
        <v>159</v>
      </c>
      <c r="E69" s="42" t="str">
        <f aca="false">IF($A69="","",IFERROR(INDEX(Lists!$C$5:$C$16,MATCH($C69,Lists!$B$5:$B$16,0)),"?"))</f>
        <v>P&amp;L</v>
      </c>
      <c r="F69" s="42" t="n">
        <f aca="false">IF($A69="","",IFERROR(INDEX(Lists!$D$5:$D$16,MATCH($C69,Lists!$B$5:$B$16,0)),1))</f>
        <v>1</v>
      </c>
      <c r="G69" s="42" t="n">
        <f aca="false">IF($A69="","",IFERROR(INDEX(Lists!$A$5:$A$16,MATCH($C69,Lists!$B$5:$B$16,0)),999))</f>
        <v>20</v>
      </c>
      <c r="H69" s="43" t="n">
        <f aca="false">IF($A69="","",COUNTIF(GL_Data!$B$8:$B$5007,$A69))</f>
        <v>0</v>
      </c>
      <c r="I69" s="44" t="str">
        <f aca="false">IF($A69="","",IF($C69="","NO GROUP",IF($E69="?","BAD GROUP",IF($H69=0,"No GL activity","Mapped"))))</f>
        <v>No GL activity</v>
      </c>
    </row>
    <row r="70" customFormat="false" ht="15" hidden="false" customHeight="false" outlineLevel="0" collapsed="false">
      <c r="A70" s="41" t="s">
        <v>218</v>
      </c>
      <c r="B70" s="41"/>
      <c r="C70" s="41" t="s">
        <v>190</v>
      </c>
      <c r="D70" s="41" t="s">
        <v>161</v>
      </c>
      <c r="E70" s="42" t="str">
        <f aca="false">IF($A70="","",IFERROR(INDEX(Lists!$C$5:$C$16,MATCH($C70,Lists!$B$5:$B$16,0)),"?"))</f>
        <v>P&amp;L</v>
      </c>
      <c r="F70" s="42" t="n">
        <f aca="false">IF($A70="","",IFERROR(INDEX(Lists!$D$5:$D$16,MATCH($C70,Lists!$B$5:$B$16,0)),1))</f>
        <v>1</v>
      </c>
      <c r="G70" s="42" t="n">
        <f aca="false">IF($A70="","",IFERROR(INDEX(Lists!$A$5:$A$16,MATCH($C70,Lists!$B$5:$B$16,0)),999))</f>
        <v>20</v>
      </c>
      <c r="H70" s="43" t="n">
        <f aca="false">IF($A70="","",COUNTIF(GL_Data!$B$8:$B$5007,$A70))</f>
        <v>0</v>
      </c>
      <c r="I70" s="44" t="str">
        <f aca="false">IF($A70="","",IF($C70="","NO GROUP",IF($E70="?","BAD GROUP",IF($H70=0,"No GL activity","Mapped"))))</f>
        <v>No GL activity</v>
      </c>
    </row>
    <row r="71" customFormat="false" ht="15" hidden="false" customHeight="false" outlineLevel="0" collapsed="false">
      <c r="A71" s="41" t="s">
        <v>219</v>
      </c>
      <c r="B71" s="41"/>
      <c r="C71" s="41" t="s">
        <v>190</v>
      </c>
      <c r="D71" s="41" t="s">
        <v>163</v>
      </c>
      <c r="E71" s="42" t="str">
        <f aca="false">IF($A71="","",IFERROR(INDEX(Lists!$C$5:$C$16,MATCH($C71,Lists!$B$5:$B$16,0)),"?"))</f>
        <v>P&amp;L</v>
      </c>
      <c r="F71" s="42" t="n">
        <f aca="false">IF($A71="","",IFERROR(INDEX(Lists!$D$5:$D$16,MATCH($C71,Lists!$B$5:$B$16,0)),1))</f>
        <v>1</v>
      </c>
      <c r="G71" s="42" t="n">
        <f aca="false">IF($A71="","",IFERROR(INDEX(Lists!$A$5:$A$16,MATCH($C71,Lists!$B$5:$B$16,0)),999))</f>
        <v>20</v>
      </c>
      <c r="H71" s="43" t="n">
        <f aca="false">IF($A71="","",COUNTIF(GL_Data!$B$8:$B$5007,$A71))</f>
        <v>0</v>
      </c>
      <c r="I71" s="44" t="str">
        <f aca="false">IF($A71="","",IF($C71="","NO GROUP",IF($E71="?","BAD GROUP",IF($H71=0,"No GL activity","Mapped"))))</f>
        <v>No GL activity</v>
      </c>
    </row>
    <row r="72" customFormat="false" ht="15" hidden="false" customHeight="false" outlineLevel="0" collapsed="false">
      <c r="A72" s="41" t="s">
        <v>220</v>
      </c>
      <c r="B72" s="41"/>
      <c r="C72" s="41" t="s">
        <v>190</v>
      </c>
      <c r="D72" s="41" t="s">
        <v>165</v>
      </c>
      <c r="E72" s="42" t="str">
        <f aca="false">IF($A72="","",IFERROR(INDEX(Lists!$C$5:$C$16,MATCH($C72,Lists!$B$5:$B$16,0)),"?"))</f>
        <v>P&amp;L</v>
      </c>
      <c r="F72" s="42" t="n">
        <f aca="false">IF($A72="","",IFERROR(INDEX(Lists!$D$5:$D$16,MATCH($C72,Lists!$B$5:$B$16,0)),1))</f>
        <v>1</v>
      </c>
      <c r="G72" s="42" t="n">
        <f aca="false">IF($A72="","",IFERROR(INDEX(Lists!$A$5:$A$16,MATCH($C72,Lists!$B$5:$B$16,0)),999))</f>
        <v>20</v>
      </c>
      <c r="H72" s="43" t="n">
        <f aca="false">IF($A72="","",COUNTIF(GL_Data!$B$8:$B$5007,$A72))</f>
        <v>0</v>
      </c>
      <c r="I72" s="44" t="str">
        <f aca="false">IF($A72="","",IF($C72="","NO GROUP",IF($E72="?","BAD GROUP",IF($H72=0,"No GL activity","Mapped"))))</f>
        <v>No GL activity</v>
      </c>
    </row>
    <row r="73" customFormat="false" ht="15" hidden="false" customHeight="false" outlineLevel="0" collapsed="false">
      <c r="A73" s="41" t="s">
        <v>221</v>
      </c>
      <c r="B73" s="41"/>
      <c r="C73" s="41" t="s">
        <v>190</v>
      </c>
      <c r="D73" s="41" t="s">
        <v>155</v>
      </c>
      <c r="E73" s="42" t="str">
        <f aca="false">IF($A73="","",IFERROR(INDEX(Lists!$C$5:$C$16,MATCH($C73,Lists!$B$5:$B$16,0)),"?"))</f>
        <v>P&amp;L</v>
      </c>
      <c r="F73" s="42" t="n">
        <f aca="false">IF($A73="","",IFERROR(INDEX(Lists!$D$5:$D$16,MATCH($C73,Lists!$B$5:$B$16,0)),1))</f>
        <v>1</v>
      </c>
      <c r="G73" s="42" t="n">
        <f aca="false">IF($A73="","",IFERROR(INDEX(Lists!$A$5:$A$16,MATCH($C73,Lists!$B$5:$B$16,0)),999))</f>
        <v>20</v>
      </c>
      <c r="H73" s="43" t="n">
        <f aca="false">IF($A73="","",COUNTIF(GL_Data!$B$8:$B$5007,$A73))</f>
        <v>0</v>
      </c>
      <c r="I73" s="44" t="str">
        <f aca="false">IF($A73="","",IF($C73="","NO GROUP",IF($E73="?","BAD GROUP",IF($H73=0,"No GL activity","Mapped"))))</f>
        <v>No GL activity</v>
      </c>
    </row>
    <row r="74" customFormat="false" ht="15" hidden="false" customHeight="false" outlineLevel="0" collapsed="false">
      <c r="A74" s="41" t="s">
        <v>222</v>
      </c>
      <c r="B74" s="41"/>
      <c r="C74" s="41" t="s">
        <v>190</v>
      </c>
      <c r="D74" s="41" t="s">
        <v>163</v>
      </c>
      <c r="E74" s="42" t="str">
        <f aca="false">IF($A74="","",IFERROR(INDEX(Lists!$C$5:$C$16,MATCH($C74,Lists!$B$5:$B$16,0)),"?"))</f>
        <v>P&amp;L</v>
      </c>
      <c r="F74" s="42" t="n">
        <f aca="false">IF($A74="","",IFERROR(INDEX(Lists!$D$5:$D$16,MATCH($C74,Lists!$B$5:$B$16,0)),1))</f>
        <v>1</v>
      </c>
      <c r="G74" s="42" t="n">
        <f aca="false">IF($A74="","",IFERROR(INDEX(Lists!$A$5:$A$16,MATCH($C74,Lists!$B$5:$B$16,0)),999))</f>
        <v>20</v>
      </c>
      <c r="H74" s="43" t="n">
        <f aca="false">IF($A74="","",COUNTIF(GL_Data!$B$8:$B$5007,$A74))</f>
        <v>0</v>
      </c>
      <c r="I74" s="44" t="str">
        <f aca="false">IF($A74="","",IF($C74="","NO GROUP",IF($E74="?","BAD GROUP",IF($H74=0,"No GL activity","Mapped"))))</f>
        <v>No GL activity</v>
      </c>
    </row>
    <row r="75" customFormat="false" ht="15" hidden="false" customHeight="false" outlineLevel="0" collapsed="false">
      <c r="A75" s="41" t="s">
        <v>223</v>
      </c>
      <c r="B75" s="41"/>
      <c r="C75" s="41" t="s">
        <v>190</v>
      </c>
      <c r="D75" s="41" t="s">
        <v>157</v>
      </c>
      <c r="E75" s="42" t="str">
        <f aca="false">IF($A75="","",IFERROR(INDEX(Lists!$C$5:$C$16,MATCH($C75,Lists!$B$5:$B$16,0)),"?"))</f>
        <v>P&amp;L</v>
      </c>
      <c r="F75" s="42" t="n">
        <f aca="false">IF($A75="","",IFERROR(INDEX(Lists!$D$5:$D$16,MATCH($C75,Lists!$B$5:$B$16,0)),1))</f>
        <v>1</v>
      </c>
      <c r="G75" s="42" t="n">
        <f aca="false">IF($A75="","",IFERROR(INDEX(Lists!$A$5:$A$16,MATCH($C75,Lists!$B$5:$B$16,0)),999))</f>
        <v>20</v>
      </c>
      <c r="H75" s="43" t="n">
        <f aca="false">IF($A75="","",COUNTIF(GL_Data!$B$8:$B$5007,$A75))</f>
        <v>0</v>
      </c>
      <c r="I75" s="44" t="str">
        <f aca="false">IF($A75="","",IF($C75="","NO GROUP",IF($E75="?","BAD GROUP",IF($H75=0,"No GL activity","Mapped"))))</f>
        <v>No GL activity</v>
      </c>
    </row>
    <row r="76" customFormat="false" ht="15" hidden="false" customHeight="false" outlineLevel="0" collapsed="false">
      <c r="A76" s="41" t="s">
        <v>224</v>
      </c>
      <c r="B76" s="41"/>
      <c r="C76" s="41" t="s">
        <v>190</v>
      </c>
      <c r="D76" s="41" t="s">
        <v>159</v>
      </c>
      <c r="E76" s="42" t="str">
        <f aca="false">IF($A76="","",IFERROR(INDEX(Lists!$C$5:$C$16,MATCH($C76,Lists!$B$5:$B$16,0)),"?"))</f>
        <v>P&amp;L</v>
      </c>
      <c r="F76" s="42" t="n">
        <f aca="false">IF($A76="","",IFERROR(INDEX(Lists!$D$5:$D$16,MATCH($C76,Lists!$B$5:$B$16,0)),1))</f>
        <v>1</v>
      </c>
      <c r="G76" s="42" t="n">
        <f aca="false">IF($A76="","",IFERROR(INDEX(Lists!$A$5:$A$16,MATCH($C76,Lists!$B$5:$B$16,0)),999))</f>
        <v>20</v>
      </c>
      <c r="H76" s="43" t="n">
        <f aca="false">IF($A76="","",COUNTIF(GL_Data!$B$8:$B$5007,$A76))</f>
        <v>0</v>
      </c>
      <c r="I76" s="44" t="str">
        <f aca="false">IF($A76="","",IF($C76="","NO GROUP",IF($E76="?","BAD GROUP",IF($H76=0,"No GL activity","Mapped"))))</f>
        <v>No GL activity</v>
      </c>
    </row>
    <row r="77" customFormat="false" ht="15" hidden="false" customHeight="false" outlineLevel="0" collapsed="false">
      <c r="A77" s="41" t="s">
        <v>225</v>
      </c>
      <c r="B77" s="41"/>
      <c r="C77" s="41" t="s">
        <v>190</v>
      </c>
      <c r="D77" s="41" t="s">
        <v>161</v>
      </c>
      <c r="E77" s="42" t="str">
        <f aca="false">IF($A77="","",IFERROR(INDEX(Lists!$C$5:$C$16,MATCH($C77,Lists!$B$5:$B$16,0)),"?"))</f>
        <v>P&amp;L</v>
      </c>
      <c r="F77" s="42" t="n">
        <f aca="false">IF($A77="","",IFERROR(INDEX(Lists!$D$5:$D$16,MATCH($C77,Lists!$B$5:$B$16,0)),1))</f>
        <v>1</v>
      </c>
      <c r="G77" s="42" t="n">
        <f aca="false">IF($A77="","",IFERROR(INDEX(Lists!$A$5:$A$16,MATCH($C77,Lists!$B$5:$B$16,0)),999))</f>
        <v>20</v>
      </c>
      <c r="H77" s="43" t="n">
        <f aca="false">IF($A77="","",COUNTIF(GL_Data!$B$8:$B$5007,$A77))</f>
        <v>0</v>
      </c>
      <c r="I77" s="44" t="str">
        <f aca="false">IF($A77="","",IF($C77="","NO GROUP",IF($E77="?","BAD GROUP",IF($H77=0,"No GL activity","Mapped"))))</f>
        <v>No GL activity</v>
      </c>
    </row>
    <row r="78" customFormat="false" ht="15" hidden="false" customHeight="false" outlineLevel="0" collapsed="false">
      <c r="A78" s="41" t="s">
        <v>226</v>
      </c>
      <c r="B78" s="41"/>
      <c r="C78" s="41" t="s">
        <v>190</v>
      </c>
      <c r="D78" s="41" t="s">
        <v>155</v>
      </c>
      <c r="E78" s="42" t="str">
        <f aca="false">IF($A78="","",IFERROR(INDEX(Lists!$C$5:$C$16,MATCH($C78,Lists!$B$5:$B$16,0)),"?"))</f>
        <v>P&amp;L</v>
      </c>
      <c r="F78" s="42" t="n">
        <f aca="false">IF($A78="","",IFERROR(INDEX(Lists!$D$5:$D$16,MATCH($C78,Lists!$B$5:$B$16,0)),1))</f>
        <v>1</v>
      </c>
      <c r="G78" s="42" t="n">
        <f aca="false">IF($A78="","",IFERROR(INDEX(Lists!$A$5:$A$16,MATCH($C78,Lists!$B$5:$B$16,0)),999))</f>
        <v>20</v>
      </c>
      <c r="H78" s="43" t="n">
        <f aca="false">IF($A78="","",COUNTIF(GL_Data!$B$8:$B$5007,$A78))</f>
        <v>0</v>
      </c>
      <c r="I78" s="44" t="str">
        <f aca="false">IF($A78="","",IF($C78="","NO GROUP",IF($E78="?","BAD GROUP",IF($H78=0,"No GL activity","Mapped"))))</f>
        <v>No GL activity</v>
      </c>
    </row>
    <row r="79" customFormat="false" ht="15" hidden="false" customHeight="false" outlineLevel="0" collapsed="false">
      <c r="A79" s="41" t="s">
        <v>227</v>
      </c>
      <c r="B79" s="41"/>
      <c r="C79" s="41" t="s">
        <v>190</v>
      </c>
      <c r="D79" s="41" t="s">
        <v>163</v>
      </c>
      <c r="E79" s="42" t="str">
        <f aca="false">IF($A79="","",IFERROR(INDEX(Lists!$C$5:$C$16,MATCH($C79,Lists!$B$5:$B$16,0)),"?"))</f>
        <v>P&amp;L</v>
      </c>
      <c r="F79" s="42" t="n">
        <f aca="false">IF($A79="","",IFERROR(INDEX(Lists!$D$5:$D$16,MATCH($C79,Lists!$B$5:$B$16,0)),1))</f>
        <v>1</v>
      </c>
      <c r="G79" s="42" t="n">
        <f aca="false">IF($A79="","",IFERROR(INDEX(Lists!$A$5:$A$16,MATCH($C79,Lists!$B$5:$B$16,0)),999))</f>
        <v>20</v>
      </c>
      <c r="H79" s="43" t="n">
        <f aca="false">IF($A79="","",COUNTIF(GL_Data!$B$8:$B$5007,$A79))</f>
        <v>0</v>
      </c>
      <c r="I79" s="44" t="str">
        <f aca="false">IF($A79="","",IF($C79="","NO GROUP",IF($E79="?","BAD GROUP",IF($H79=0,"No GL activity","Mapped"))))</f>
        <v>No GL activity</v>
      </c>
    </row>
    <row r="80" customFormat="false" ht="15" hidden="false" customHeight="false" outlineLevel="0" collapsed="false">
      <c r="A80" s="41" t="s">
        <v>228</v>
      </c>
      <c r="B80" s="41"/>
      <c r="C80" s="41" t="s">
        <v>190</v>
      </c>
      <c r="D80" s="41" t="s">
        <v>157</v>
      </c>
      <c r="E80" s="42" t="str">
        <f aca="false">IF($A80="","",IFERROR(INDEX(Lists!$C$5:$C$16,MATCH($C80,Lists!$B$5:$B$16,0)),"?"))</f>
        <v>P&amp;L</v>
      </c>
      <c r="F80" s="42" t="n">
        <f aca="false">IF($A80="","",IFERROR(INDEX(Lists!$D$5:$D$16,MATCH($C80,Lists!$B$5:$B$16,0)),1))</f>
        <v>1</v>
      </c>
      <c r="G80" s="42" t="n">
        <f aca="false">IF($A80="","",IFERROR(INDEX(Lists!$A$5:$A$16,MATCH($C80,Lists!$B$5:$B$16,0)),999))</f>
        <v>20</v>
      </c>
      <c r="H80" s="43" t="n">
        <f aca="false">IF($A80="","",COUNTIF(GL_Data!$B$8:$B$5007,$A80))</f>
        <v>0</v>
      </c>
      <c r="I80" s="44" t="str">
        <f aca="false">IF($A80="","",IF($C80="","NO GROUP",IF($E80="?","BAD GROUP",IF($H80=0,"No GL activity","Mapped"))))</f>
        <v>No GL activity</v>
      </c>
    </row>
    <row r="81" customFormat="false" ht="15" hidden="false" customHeight="false" outlineLevel="0" collapsed="false">
      <c r="A81" s="41" t="s">
        <v>229</v>
      </c>
      <c r="B81" s="41"/>
      <c r="C81" s="41" t="s">
        <v>190</v>
      </c>
      <c r="D81" s="41" t="s">
        <v>159</v>
      </c>
      <c r="E81" s="42" t="str">
        <f aca="false">IF($A81="","",IFERROR(INDEX(Lists!$C$5:$C$16,MATCH($C81,Lists!$B$5:$B$16,0)),"?"))</f>
        <v>P&amp;L</v>
      </c>
      <c r="F81" s="42" t="n">
        <f aca="false">IF($A81="","",IFERROR(INDEX(Lists!$D$5:$D$16,MATCH($C81,Lists!$B$5:$B$16,0)),1))</f>
        <v>1</v>
      </c>
      <c r="G81" s="42" t="n">
        <f aca="false">IF($A81="","",IFERROR(INDEX(Lists!$A$5:$A$16,MATCH($C81,Lists!$B$5:$B$16,0)),999))</f>
        <v>20</v>
      </c>
      <c r="H81" s="43" t="n">
        <f aca="false">IF($A81="","",COUNTIF(GL_Data!$B$8:$B$5007,$A81))</f>
        <v>0</v>
      </c>
      <c r="I81" s="44" t="str">
        <f aca="false">IF($A81="","",IF($C81="","NO GROUP",IF($E81="?","BAD GROUP",IF($H81=0,"No GL activity","Mapped"))))</f>
        <v>No GL activity</v>
      </c>
    </row>
    <row r="82" customFormat="false" ht="15" hidden="false" customHeight="false" outlineLevel="0" collapsed="false">
      <c r="A82" s="41" t="s">
        <v>230</v>
      </c>
      <c r="B82" s="41"/>
      <c r="C82" s="41" t="s">
        <v>190</v>
      </c>
      <c r="D82" s="41" t="s">
        <v>161</v>
      </c>
      <c r="E82" s="42" t="str">
        <f aca="false">IF($A82="","",IFERROR(INDEX(Lists!$C$5:$C$16,MATCH($C82,Lists!$B$5:$B$16,0)),"?"))</f>
        <v>P&amp;L</v>
      </c>
      <c r="F82" s="42" t="n">
        <f aca="false">IF($A82="","",IFERROR(INDEX(Lists!$D$5:$D$16,MATCH($C82,Lists!$B$5:$B$16,0)),1))</f>
        <v>1</v>
      </c>
      <c r="G82" s="42" t="n">
        <f aca="false">IF($A82="","",IFERROR(INDEX(Lists!$A$5:$A$16,MATCH($C82,Lists!$B$5:$B$16,0)),999))</f>
        <v>20</v>
      </c>
      <c r="H82" s="43" t="n">
        <f aca="false">IF($A82="","",COUNTIF(GL_Data!$B$8:$B$5007,$A82))</f>
        <v>0</v>
      </c>
      <c r="I82" s="44" t="str">
        <f aca="false">IF($A82="","",IF($C82="","NO GROUP",IF($E82="?","BAD GROUP",IF($H82=0,"No GL activity","Mapped"))))</f>
        <v>No GL activity</v>
      </c>
    </row>
    <row r="83" customFormat="false" ht="15" hidden="false" customHeight="false" outlineLevel="0" collapsed="false">
      <c r="A83" s="41" t="s">
        <v>231</v>
      </c>
      <c r="B83" s="41"/>
      <c r="C83" s="41" t="s">
        <v>190</v>
      </c>
      <c r="D83" s="41" t="s">
        <v>165</v>
      </c>
      <c r="E83" s="42" t="str">
        <f aca="false">IF($A83="","",IFERROR(INDEX(Lists!$C$5:$C$16,MATCH($C83,Lists!$B$5:$B$16,0)),"?"))</f>
        <v>P&amp;L</v>
      </c>
      <c r="F83" s="42" t="n">
        <f aca="false">IF($A83="","",IFERROR(INDEX(Lists!$D$5:$D$16,MATCH($C83,Lists!$B$5:$B$16,0)),1))</f>
        <v>1</v>
      </c>
      <c r="G83" s="42" t="n">
        <f aca="false">IF($A83="","",IFERROR(INDEX(Lists!$A$5:$A$16,MATCH($C83,Lists!$B$5:$B$16,0)),999))</f>
        <v>20</v>
      </c>
      <c r="H83" s="43" t="n">
        <f aca="false">IF($A83="","",COUNTIF(GL_Data!$B$8:$B$5007,$A83))</f>
        <v>0</v>
      </c>
      <c r="I83" s="44" t="str">
        <f aca="false">IF($A83="","",IF($C83="","NO GROUP",IF($E83="?","BAD GROUP",IF($H83=0,"No GL activity","Mapped"))))</f>
        <v>No GL activity</v>
      </c>
    </row>
    <row r="84" customFormat="false" ht="15" hidden="false" customHeight="false" outlineLevel="0" collapsed="false">
      <c r="A84" s="41" t="s">
        <v>232</v>
      </c>
      <c r="B84" s="41"/>
      <c r="C84" s="41" t="s">
        <v>190</v>
      </c>
      <c r="D84" s="41" t="s">
        <v>155</v>
      </c>
      <c r="E84" s="42" t="str">
        <f aca="false">IF($A84="","",IFERROR(INDEX(Lists!$C$5:$C$16,MATCH($C84,Lists!$B$5:$B$16,0)),"?"))</f>
        <v>P&amp;L</v>
      </c>
      <c r="F84" s="42" t="n">
        <f aca="false">IF($A84="","",IFERROR(INDEX(Lists!$D$5:$D$16,MATCH($C84,Lists!$B$5:$B$16,0)),1))</f>
        <v>1</v>
      </c>
      <c r="G84" s="42" t="n">
        <f aca="false">IF($A84="","",IFERROR(INDEX(Lists!$A$5:$A$16,MATCH($C84,Lists!$B$5:$B$16,0)),999))</f>
        <v>20</v>
      </c>
      <c r="H84" s="43" t="n">
        <f aca="false">IF($A84="","",COUNTIF(GL_Data!$B$8:$B$5007,$A84))</f>
        <v>0</v>
      </c>
      <c r="I84" s="44" t="str">
        <f aca="false">IF($A84="","",IF($C84="","NO GROUP",IF($E84="?","BAD GROUP",IF($H84=0,"No GL activity","Mapped"))))</f>
        <v>No GL activity</v>
      </c>
    </row>
    <row r="85" customFormat="false" ht="15" hidden="false" customHeight="false" outlineLevel="0" collapsed="false">
      <c r="A85" s="41" t="s">
        <v>233</v>
      </c>
      <c r="B85" s="41"/>
      <c r="C85" s="41" t="s">
        <v>190</v>
      </c>
      <c r="D85" s="41" t="s">
        <v>163</v>
      </c>
      <c r="E85" s="42" t="str">
        <f aca="false">IF($A85="","",IFERROR(INDEX(Lists!$C$5:$C$16,MATCH($C85,Lists!$B$5:$B$16,0)),"?"))</f>
        <v>P&amp;L</v>
      </c>
      <c r="F85" s="42" t="n">
        <f aca="false">IF($A85="","",IFERROR(INDEX(Lists!$D$5:$D$16,MATCH($C85,Lists!$B$5:$B$16,0)),1))</f>
        <v>1</v>
      </c>
      <c r="G85" s="42" t="n">
        <f aca="false">IF($A85="","",IFERROR(INDEX(Lists!$A$5:$A$16,MATCH($C85,Lists!$B$5:$B$16,0)),999))</f>
        <v>20</v>
      </c>
      <c r="H85" s="43" t="n">
        <f aca="false">IF($A85="","",COUNTIF(GL_Data!$B$8:$B$5007,$A85))</f>
        <v>0</v>
      </c>
      <c r="I85" s="44" t="str">
        <f aca="false">IF($A85="","",IF($C85="","NO GROUP",IF($E85="?","BAD GROUP",IF($H85=0,"No GL activity","Mapped"))))</f>
        <v>No GL activity</v>
      </c>
    </row>
    <row r="86" customFormat="false" ht="15" hidden="false" customHeight="false" outlineLevel="0" collapsed="false">
      <c r="A86" s="41" t="s">
        <v>234</v>
      </c>
      <c r="B86" s="41"/>
      <c r="C86" s="41" t="s">
        <v>190</v>
      </c>
      <c r="D86" s="41" t="s">
        <v>157</v>
      </c>
      <c r="E86" s="42" t="str">
        <f aca="false">IF($A86="","",IFERROR(INDEX(Lists!$C$5:$C$16,MATCH($C86,Lists!$B$5:$B$16,0)),"?"))</f>
        <v>P&amp;L</v>
      </c>
      <c r="F86" s="42" t="n">
        <f aca="false">IF($A86="","",IFERROR(INDEX(Lists!$D$5:$D$16,MATCH($C86,Lists!$B$5:$B$16,0)),1))</f>
        <v>1</v>
      </c>
      <c r="G86" s="42" t="n">
        <f aca="false">IF($A86="","",IFERROR(INDEX(Lists!$A$5:$A$16,MATCH($C86,Lists!$B$5:$B$16,0)),999))</f>
        <v>20</v>
      </c>
      <c r="H86" s="43" t="n">
        <f aca="false">IF($A86="","",COUNTIF(GL_Data!$B$8:$B$5007,$A86))</f>
        <v>0</v>
      </c>
      <c r="I86" s="44" t="str">
        <f aca="false">IF($A86="","",IF($C86="","NO GROUP",IF($E86="?","BAD GROUP",IF($H86=0,"No GL activity","Mapped"))))</f>
        <v>No GL activity</v>
      </c>
    </row>
    <row r="87" customFormat="false" ht="15" hidden="false" customHeight="false" outlineLevel="0" collapsed="false">
      <c r="A87" s="41" t="s">
        <v>235</v>
      </c>
      <c r="B87" s="41"/>
      <c r="C87" s="41" t="s">
        <v>190</v>
      </c>
      <c r="D87" s="41" t="s">
        <v>159</v>
      </c>
      <c r="E87" s="42" t="str">
        <f aca="false">IF($A87="","",IFERROR(INDEX(Lists!$C$5:$C$16,MATCH($C87,Lists!$B$5:$B$16,0)),"?"))</f>
        <v>P&amp;L</v>
      </c>
      <c r="F87" s="42" t="n">
        <f aca="false">IF($A87="","",IFERROR(INDEX(Lists!$D$5:$D$16,MATCH($C87,Lists!$B$5:$B$16,0)),1))</f>
        <v>1</v>
      </c>
      <c r="G87" s="42" t="n">
        <f aca="false">IF($A87="","",IFERROR(INDEX(Lists!$A$5:$A$16,MATCH($C87,Lists!$B$5:$B$16,0)),999))</f>
        <v>20</v>
      </c>
      <c r="H87" s="43" t="n">
        <f aca="false">IF($A87="","",COUNTIF(GL_Data!$B$8:$B$5007,$A87))</f>
        <v>0</v>
      </c>
      <c r="I87" s="44" t="str">
        <f aca="false">IF($A87="","",IF($C87="","NO GROUP",IF($E87="?","BAD GROUP",IF($H87=0,"No GL activity","Mapped"))))</f>
        <v>No GL activity</v>
      </c>
    </row>
    <row r="88" customFormat="false" ht="15" hidden="false" customHeight="false" outlineLevel="0" collapsed="false">
      <c r="A88" s="41" t="s">
        <v>236</v>
      </c>
      <c r="B88" s="41"/>
      <c r="C88" s="41" t="s">
        <v>190</v>
      </c>
      <c r="D88" s="41" t="s">
        <v>161</v>
      </c>
      <c r="E88" s="42" t="str">
        <f aca="false">IF($A88="","",IFERROR(INDEX(Lists!$C$5:$C$16,MATCH($C88,Lists!$B$5:$B$16,0)),"?"))</f>
        <v>P&amp;L</v>
      </c>
      <c r="F88" s="42" t="n">
        <f aca="false">IF($A88="","",IFERROR(INDEX(Lists!$D$5:$D$16,MATCH($C88,Lists!$B$5:$B$16,0)),1))</f>
        <v>1</v>
      </c>
      <c r="G88" s="42" t="n">
        <f aca="false">IF($A88="","",IFERROR(INDEX(Lists!$A$5:$A$16,MATCH($C88,Lists!$B$5:$B$16,0)),999))</f>
        <v>20</v>
      </c>
      <c r="H88" s="43" t="n">
        <f aca="false">IF($A88="","",COUNTIF(GL_Data!$B$8:$B$5007,$A88))</f>
        <v>0</v>
      </c>
      <c r="I88" s="44" t="str">
        <f aca="false">IF($A88="","",IF($C88="","NO GROUP",IF($E88="?","BAD GROUP",IF($H88=0,"No GL activity","Mapped"))))</f>
        <v>No GL activity</v>
      </c>
    </row>
    <row r="89" customFormat="false" ht="15" hidden="false" customHeight="false" outlineLevel="0" collapsed="false">
      <c r="A89" s="41" t="s">
        <v>237</v>
      </c>
      <c r="B89" s="41"/>
      <c r="C89" s="41" t="s">
        <v>190</v>
      </c>
      <c r="D89" s="41" t="s">
        <v>148</v>
      </c>
      <c r="E89" s="42" t="str">
        <f aca="false">IF($A89="","",IFERROR(INDEX(Lists!$C$5:$C$16,MATCH($C89,Lists!$B$5:$B$16,0)),"?"))</f>
        <v>P&amp;L</v>
      </c>
      <c r="F89" s="42" t="n">
        <f aca="false">IF($A89="","",IFERROR(INDEX(Lists!$D$5:$D$16,MATCH($C89,Lists!$B$5:$B$16,0)),1))</f>
        <v>1</v>
      </c>
      <c r="G89" s="42" t="n">
        <f aca="false">IF($A89="","",IFERROR(INDEX(Lists!$A$5:$A$16,MATCH($C89,Lists!$B$5:$B$16,0)),999))</f>
        <v>20</v>
      </c>
      <c r="H89" s="43" t="n">
        <f aca="false">IF($A89="","",COUNTIF(GL_Data!$B$8:$B$5007,$A89))</f>
        <v>0</v>
      </c>
      <c r="I89" s="44" t="str">
        <f aca="false">IF($A89="","",IF($C89="","NO GROUP",IF($E89="?","BAD GROUP",IF($H89=0,"No GL activity","Mapped"))))</f>
        <v>No GL activity</v>
      </c>
    </row>
    <row r="90" customFormat="false" ht="15" hidden="false" customHeight="false" outlineLevel="0" collapsed="false">
      <c r="A90" s="41" t="s">
        <v>238</v>
      </c>
      <c r="B90" s="41"/>
      <c r="C90" s="41" t="s">
        <v>190</v>
      </c>
      <c r="D90" s="41" t="s">
        <v>148</v>
      </c>
      <c r="E90" s="42" t="str">
        <f aca="false">IF($A90="","",IFERROR(INDEX(Lists!$C$5:$C$16,MATCH($C90,Lists!$B$5:$B$16,0)),"?"))</f>
        <v>P&amp;L</v>
      </c>
      <c r="F90" s="42" t="n">
        <f aca="false">IF($A90="","",IFERROR(INDEX(Lists!$D$5:$D$16,MATCH($C90,Lists!$B$5:$B$16,0)),1))</f>
        <v>1</v>
      </c>
      <c r="G90" s="42" t="n">
        <f aca="false">IF($A90="","",IFERROR(INDEX(Lists!$A$5:$A$16,MATCH($C90,Lists!$B$5:$B$16,0)),999))</f>
        <v>20</v>
      </c>
      <c r="H90" s="43" t="n">
        <f aca="false">IF($A90="","",COUNTIF(GL_Data!$B$8:$B$5007,$A90))</f>
        <v>0</v>
      </c>
      <c r="I90" s="44" t="str">
        <f aca="false">IF($A90="","",IF($C90="","NO GROUP",IF($E90="?","BAD GROUP",IF($H90=0,"No GL activity","Mapped"))))</f>
        <v>No GL activity</v>
      </c>
    </row>
    <row r="91" customFormat="false" ht="15" hidden="false" customHeight="false" outlineLevel="0" collapsed="false">
      <c r="A91" s="41" t="s">
        <v>239</v>
      </c>
      <c r="B91" s="41"/>
      <c r="C91" s="41" t="s">
        <v>190</v>
      </c>
      <c r="D91" s="41" t="s">
        <v>148</v>
      </c>
      <c r="E91" s="42" t="str">
        <f aca="false">IF($A91="","",IFERROR(INDEX(Lists!$C$5:$C$16,MATCH($C91,Lists!$B$5:$B$16,0)),"?"))</f>
        <v>P&amp;L</v>
      </c>
      <c r="F91" s="42" t="n">
        <f aca="false">IF($A91="","",IFERROR(INDEX(Lists!$D$5:$D$16,MATCH($C91,Lists!$B$5:$B$16,0)),1))</f>
        <v>1</v>
      </c>
      <c r="G91" s="42" t="n">
        <f aca="false">IF($A91="","",IFERROR(INDEX(Lists!$A$5:$A$16,MATCH($C91,Lists!$B$5:$B$16,0)),999))</f>
        <v>20</v>
      </c>
      <c r="H91" s="43" t="n">
        <f aca="false">IF($A91="","",COUNTIF(GL_Data!$B$8:$B$5007,$A91))</f>
        <v>0</v>
      </c>
      <c r="I91" s="44" t="str">
        <f aca="false">IF($A91="","",IF($C91="","NO GROUP",IF($E91="?","BAD GROUP",IF($H91=0,"No GL activity","Mapped"))))</f>
        <v>No GL activity</v>
      </c>
    </row>
    <row r="92" customFormat="false" ht="15" hidden="false" customHeight="false" outlineLevel="0" collapsed="false">
      <c r="A92" s="41" t="s">
        <v>240</v>
      </c>
      <c r="B92" s="41"/>
      <c r="C92" s="41" t="s">
        <v>190</v>
      </c>
      <c r="D92" s="41" t="s">
        <v>148</v>
      </c>
      <c r="E92" s="42" t="str">
        <f aca="false">IF($A92="","",IFERROR(INDEX(Lists!$C$5:$C$16,MATCH($C92,Lists!$B$5:$B$16,0)),"?"))</f>
        <v>P&amp;L</v>
      </c>
      <c r="F92" s="42" t="n">
        <f aca="false">IF($A92="","",IFERROR(INDEX(Lists!$D$5:$D$16,MATCH($C92,Lists!$B$5:$B$16,0)),1))</f>
        <v>1</v>
      </c>
      <c r="G92" s="42" t="n">
        <f aca="false">IF($A92="","",IFERROR(INDEX(Lists!$A$5:$A$16,MATCH($C92,Lists!$B$5:$B$16,0)),999))</f>
        <v>20</v>
      </c>
      <c r="H92" s="43" t="n">
        <f aca="false">IF($A92="","",COUNTIF(GL_Data!$B$8:$B$5007,$A92))</f>
        <v>0</v>
      </c>
      <c r="I92" s="44" t="str">
        <f aca="false">IF($A92="","",IF($C92="","NO GROUP",IF($E92="?","BAD GROUP",IF($H92=0,"No GL activity","Mapped"))))</f>
        <v>No GL activity</v>
      </c>
    </row>
    <row r="93" customFormat="false" ht="15" hidden="false" customHeight="false" outlineLevel="0" collapsed="false">
      <c r="A93" s="41" t="s">
        <v>241</v>
      </c>
      <c r="B93" s="41"/>
      <c r="C93" s="41" t="s">
        <v>190</v>
      </c>
      <c r="D93" s="41" t="s">
        <v>148</v>
      </c>
      <c r="E93" s="42" t="str">
        <f aca="false">IF($A93="","",IFERROR(INDEX(Lists!$C$5:$C$16,MATCH($C93,Lists!$B$5:$B$16,0)),"?"))</f>
        <v>P&amp;L</v>
      </c>
      <c r="F93" s="42" t="n">
        <f aca="false">IF($A93="","",IFERROR(INDEX(Lists!$D$5:$D$16,MATCH($C93,Lists!$B$5:$B$16,0)),1))</f>
        <v>1</v>
      </c>
      <c r="G93" s="42" t="n">
        <f aca="false">IF($A93="","",IFERROR(INDEX(Lists!$A$5:$A$16,MATCH($C93,Lists!$B$5:$B$16,0)),999))</f>
        <v>20</v>
      </c>
      <c r="H93" s="43" t="n">
        <f aca="false">IF($A93="","",COUNTIF(GL_Data!$B$8:$B$5007,$A93))</f>
        <v>0</v>
      </c>
      <c r="I93" s="44" t="str">
        <f aca="false">IF($A93="","",IF($C93="","NO GROUP",IF($E93="?","BAD GROUP",IF($H93=0,"No GL activity","Mapped"))))</f>
        <v>No GL activity</v>
      </c>
    </row>
    <row r="94" customFormat="false" ht="15" hidden="false" customHeight="false" outlineLevel="0" collapsed="false">
      <c r="A94" s="41" t="s">
        <v>242</v>
      </c>
      <c r="B94" s="41"/>
      <c r="C94" s="41" t="s">
        <v>190</v>
      </c>
      <c r="D94" s="41" t="s">
        <v>148</v>
      </c>
      <c r="E94" s="42" t="str">
        <f aca="false">IF($A94="","",IFERROR(INDEX(Lists!$C$5:$C$16,MATCH($C94,Lists!$B$5:$B$16,0)),"?"))</f>
        <v>P&amp;L</v>
      </c>
      <c r="F94" s="42" t="n">
        <f aca="false">IF($A94="","",IFERROR(INDEX(Lists!$D$5:$D$16,MATCH($C94,Lists!$B$5:$B$16,0)),1))</f>
        <v>1</v>
      </c>
      <c r="G94" s="42" t="n">
        <f aca="false">IF($A94="","",IFERROR(INDEX(Lists!$A$5:$A$16,MATCH($C94,Lists!$B$5:$B$16,0)),999))</f>
        <v>20</v>
      </c>
      <c r="H94" s="43" t="n">
        <f aca="false">IF($A94="","",COUNTIF(GL_Data!$B$8:$B$5007,$A94))</f>
        <v>0</v>
      </c>
      <c r="I94" s="44" t="str">
        <f aca="false">IF($A94="","",IF($C94="","NO GROUP",IF($E94="?","BAD GROUP",IF($H94=0,"No GL activity","Mapped"))))</f>
        <v>No GL activity</v>
      </c>
    </row>
    <row r="95" customFormat="false" ht="15" hidden="false" customHeight="false" outlineLevel="0" collapsed="false">
      <c r="A95" s="41" t="s">
        <v>243</v>
      </c>
      <c r="B95" s="41"/>
      <c r="C95" s="41" t="s">
        <v>190</v>
      </c>
      <c r="D95" s="41" t="s">
        <v>165</v>
      </c>
      <c r="E95" s="42" t="str">
        <f aca="false">IF($A95="","",IFERROR(INDEX(Lists!$C$5:$C$16,MATCH($C95,Lists!$B$5:$B$16,0)),"?"))</f>
        <v>P&amp;L</v>
      </c>
      <c r="F95" s="42" t="n">
        <f aca="false">IF($A95="","",IFERROR(INDEX(Lists!$D$5:$D$16,MATCH($C95,Lists!$B$5:$B$16,0)),1))</f>
        <v>1</v>
      </c>
      <c r="G95" s="42" t="n">
        <f aca="false">IF($A95="","",IFERROR(INDEX(Lists!$A$5:$A$16,MATCH($C95,Lists!$B$5:$B$16,0)),999))</f>
        <v>20</v>
      </c>
      <c r="H95" s="43" t="n">
        <f aca="false">IF($A95="","",COUNTIF(GL_Data!$B$8:$B$5007,$A95))</f>
        <v>0</v>
      </c>
      <c r="I95" s="44" t="str">
        <f aca="false">IF($A95="","",IF($C95="","NO GROUP",IF($E95="?","BAD GROUP",IF($H95=0,"No GL activity","Mapped"))))</f>
        <v>No GL activity</v>
      </c>
    </row>
    <row r="96" customFormat="false" ht="15" hidden="false" customHeight="false" outlineLevel="0" collapsed="false">
      <c r="A96" s="41" t="s">
        <v>244</v>
      </c>
      <c r="B96" s="41"/>
      <c r="C96" s="41" t="s">
        <v>190</v>
      </c>
      <c r="D96" s="41" t="s">
        <v>155</v>
      </c>
      <c r="E96" s="42" t="str">
        <f aca="false">IF($A96="","",IFERROR(INDEX(Lists!$C$5:$C$16,MATCH($C96,Lists!$B$5:$B$16,0)),"?"))</f>
        <v>P&amp;L</v>
      </c>
      <c r="F96" s="42" t="n">
        <f aca="false">IF($A96="","",IFERROR(INDEX(Lists!$D$5:$D$16,MATCH($C96,Lists!$B$5:$B$16,0)),1))</f>
        <v>1</v>
      </c>
      <c r="G96" s="42" t="n">
        <f aca="false">IF($A96="","",IFERROR(INDEX(Lists!$A$5:$A$16,MATCH($C96,Lists!$B$5:$B$16,0)),999))</f>
        <v>20</v>
      </c>
      <c r="H96" s="43" t="n">
        <f aca="false">IF($A96="","",COUNTIF(GL_Data!$B$8:$B$5007,$A96))</f>
        <v>0</v>
      </c>
      <c r="I96" s="44" t="str">
        <f aca="false">IF($A96="","",IF($C96="","NO GROUP",IF($E96="?","BAD GROUP",IF($H96=0,"No GL activity","Mapped"))))</f>
        <v>No GL activity</v>
      </c>
    </row>
    <row r="97" customFormat="false" ht="15" hidden="false" customHeight="false" outlineLevel="0" collapsed="false">
      <c r="A97" s="41" t="s">
        <v>245</v>
      </c>
      <c r="B97" s="41"/>
      <c r="C97" s="41" t="s">
        <v>190</v>
      </c>
      <c r="D97" s="41" t="s">
        <v>163</v>
      </c>
      <c r="E97" s="42" t="str">
        <f aca="false">IF($A97="","",IFERROR(INDEX(Lists!$C$5:$C$16,MATCH($C97,Lists!$B$5:$B$16,0)),"?"))</f>
        <v>P&amp;L</v>
      </c>
      <c r="F97" s="42" t="n">
        <f aca="false">IF($A97="","",IFERROR(INDEX(Lists!$D$5:$D$16,MATCH($C97,Lists!$B$5:$B$16,0)),1))</f>
        <v>1</v>
      </c>
      <c r="G97" s="42" t="n">
        <f aca="false">IF($A97="","",IFERROR(INDEX(Lists!$A$5:$A$16,MATCH($C97,Lists!$B$5:$B$16,0)),999))</f>
        <v>20</v>
      </c>
      <c r="H97" s="43" t="n">
        <f aca="false">IF($A97="","",COUNTIF(GL_Data!$B$8:$B$5007,$A97))</f>
        <v>0</v>
      </c>
      <c r="I97" s="44" t="str">
        <f aca="false">IF($A97="","",IF($C97="","NO GROUP",IF($E97="?","BAD GROUP",IF($H97=0,"No GL activity","Mapped"))))</f>
        <v>No GL activity</v>
      </c>
    </row>
    <row r="98" customFormat="false" ht="15" hidden="false" customHeight="false" outlineLevel="0" collapsed="false">
      <c r="A98" s="41" t="s">
        <v>246</v>
      </c>
      <c r="B98" s="41"/>
      <c r="C98" s="41" t="s">
        <v>190</v>
      </c>
      <c r="D98" s="41" t="s">
        <v>157</v>
      </c>
      <c r="E98" s="42" t="str">
        <f aca="false">IF($A98="","",IFERROR(INDEX(Lists!$C$5:$C$16,MATCH($C98,Lists!$B$5:$B$16,0)),"?"))</f>
        <v>P&amp;L</v>
      </c>
      <c r="F98" s="42" t="n">
        <f aca="false">IF($A98="","",IFERROR(INDEX(Lists!$D$5:$D$16,MATCH($C98,Lists!$B$5:$B$16,0)),1))</f>
        <v>1</v>
      </c>
      <c r="G98" s="42" t="n">
        <f aca="false">IF($A98="","",IFERROR(INDEX(Lists!$A$5:$A$16,MATCH($C98,Lists!$B$5:$B$16,0)),999))</f>
        <v>20</v>
      </c>
      <c r="H98" s="43" t="n">
        <f aca="false">IF($A98="","",COUNTIF(GL_Data!$B$8:$B$5007,$A98))</f>
        <v>0</v>
      </c>
      <c r="I98" s="44" t="str">
        <f aca="false">IF($A98="","",IF($C98="","NO GROUP",IF($E98="?","BAD GROUP",IF($H98=0,"No GL activity","Mapped"))))</f>
        <v>No GL activity</v>
      </c>
    </row>
    <row r="99" customFormat="false" ht="15" hidden="false" customHeight="false" outlineLevel="0" collapsed="false">
      <c r="A99" s="41" t="s">
        <v>247</v>
      </c>
      <c r="B99" s="41"/>
      <c r="C99" s="41" t="s">
        <v>190</v>
      </c>
      <c r="D99" s="41" t="s">
        <v>159</v>
      </c>
      <c r="E99" s="42" t="str">
        <f aca="false">IF($A99="","",IFERROR(INDEX(Lists!$C$5:$C$16,MATCH($C99,Lists!$B$5:$B$16,0)),"?"))</f>
        <v>P&amp;L</v>
      </c>
      <c r="F99" s="42" t="n">
        <f aca="false">IF($A99="","",IFERROR(INDEX(Lists!$D$5:$D$16,MATCH($C99,Lists!$B$5:$B$16,0)),1))</f>
        <v>1</v>
      </c>
      <c r="G99" s="42" t="n">
        <f aca="false">IF($A99="","",IFERROR(INDEX(Lists!$A$5:$A$16,MATCH($C99,Lists!$B$5:$B$16,0)),999))</f>
        <v>20</v>
      </c>
      <c r="H99" s="43" t="n">
        <f aca="false">IF($A99="","",COUNTIF(GL_Data!$B$8:$B$5007,$A99))</f>
        <v>0</v>
      </c>
      <c r="I99" s="44" t="str">
        <f aca="false">IF($A99="","",IF($C99="","NO GROUP",IF($E99="?","BAD GROUP",IF($H99=0,"No GL activity","Mapped"))))</f>
        <v>No GL activity</v>
      </c>
    </row>
    <row r="100" customFormat="false" ht="15" hidden="false" customHeight="false" outlineLevel="0" collapsed="false">
      <c r="A100" s="41" t="s">
        <v>248</v>
      </c>
      <c r="B100" s="41"/>
      <c r="C100" s="41" t="s">
        <v>190</v>
      </c>
      <c r="D100" s="41" t="s">
        <v>161</v>
      </c>
      <c r="E100" s="42" t="str">
        <f aca="false">IF($A100="","",IFERROR(INDEX(Lists!$C$5:$C$16,MATCH($C100,Lists!$B$5:$B$16,0)),"?"))</f>
        <v>P&amp;L</v>
      </c>
      <c r="F100" s="42" t="n">
        <f aca="false">IF($A100="","",IFERROR(INDEX(Lists!$D$5:$D$16,MATCH($C100,Lists!$B$5:$B$16,0)),1))</f>
        <v>1</v>
      </c>
      <c r="G100" s="42" t="n">
        <f aca="false">IF($A100="","",IFERROR(INDEX(Lists!$A$5:$A$16,MATCH($C100,Lists!$B$5:$B$16,0)),999))</f>
        <v>20</v>
      </c>
      <c r="H100" s="43" t="n">
        <f aca="false">IF($A100="","",COUNTIF(GL_Data!$B$8:$B$5007,$A100))</f>
        <v>0</v>
      </c>
      <c r="I100" s="44" t="str">
        <f aca="false">IF($A100="","",IF($C100="","NO GROUP",IF($E100="?","BAD GROUP",IF($H100=0,"No GL activity","Mapped"))))</f>
        <v>No GL activity</v>
      </c>
    </row>
    <row r="101" customFormat="false" ht="15" hidden="false" customHeight="false" outlineLevel="0" collapsed="false">
      <c r="A101" s="41" t="s">
        <v>249</v>
      </c>
      <c r="B101" s="41"/>
      <c r="C101" s="41" t="s">
        <v>190</v>
      </c>
      <c r="D101" s="41" t="s">
        <v>148</v>
      </c>
      <c r="E101" s="42" t="str">
        <f aca="false">IF($A101="","",IFERROR(INDEX(Lists!$C$5:$C$16,MATCH($C101,Lists!$B$5:$B$16,0)),"?"))</f>
        <v>P&amp;L</v>
      </c>
      <c r="F101" s="42" t="n">
        <f aca="false">IF($A101="","",IFERROR(INDEX(Lists!$D$5:$D$16,MATCH($C101,Lists!$B$5:$B$16,0)),1))</f>
        <v>1</v>
      </c>
      <c r="G101" s="42" t="n">
        <f aca="false">IF($A101="","",IFERROR(INDEX(Lists!$A$5:$A$16,MATCH($C101,Lists!$B$5:$B$16,0)),999))</f>
        <v>20</v>
      </c>
      <c r="H101" s="43" t="n">
        <f aca="false">IF($A101="","",COUNTIF(GL_Data!$B$8:$B$5007,$A101))</f>
        <v>0</v>
      </c>
      <c r="I101" s="44" t="str">
        <f aca="false">IF($A101="","",IF($C101="","NO GROUP",IF($E101="?","BAD GROUP",IF($H101=0,"No GL activity","Mapped"))))</f>
        <v>No GL activity</v>
      </c>
    </row>
    <row r="102" customFormat="false" ht="15" hidden="false" customHeight="false" outlineLevel="0" collapsed="false">
      <c r="A102" s="41" t="s">
        <v>250</v>
      </c>
      <c r="B102" s="41"/>
      <c r="C102" s="41" t="s">
        <v>190</v>
      </c>
      <c r="D102" s="41" t="s">
        <v>165</v>
      </c>
      <c r="E102" s="42" t="str">
        <f aca="false">IF($A102="","",IFERROR(INDEX(Lists!$C$5:$C$16,MATCH($C102,Lists!$B$5:$B$16,0)),"?"))</f>
        <v>P&amp;L</v>
      </c>
      <c r="F102" s="42" t="n">
        <f aca="false">IF($A102="","",IFERROR(INDEX(Lists!$D$5:$D$16,MATCH($C102,Lists!$B$5:$B$16,0)),1))</f>
        <v>1</v>
      </c>
      <c r="G102" s="42" t="n">
        <f aca="false">IF($A102="","",IFERROR(INDEX(Lists!$A$5:$A$16,MATCH($C102,Lists!$B$5:$B$16,0)),999))</f>
        <v>20</v>
      </c>
      <c r="H102" s="43" t="n">
        <f aca="false">IF($A102="","",COUNTIF(GL_Data!$B$8:$B$5007,$A102))</f>
        <v>0</v>
      </c>
      <c r="I102" s="44" t="str">
        <f aca="false">IF($A102="","",IF($C102="","NO GROUP",IF($E102="?","BAD GROUP",IF($H102=0,"No GL activity","Mapped"))))</f>
        <v>No GL activity</v>
      </c>
    </row>
    <row r="103" customFormat="false" ht="15" hidden="false" customHeight="false" outlineLevel="0" collapsed="false">
      <c r="A103" s="41" t="s">
        <v>251</v>
      </c>
      <c r="B103" s="41"/>
      <c r="C103" s="41" t="s">
        <v>190</v>
      </c>
      <c r="D103" s="41" t="s">
        <v>155</v>
      </c>
      <c r="E103" s="42" t="str">
        <f aca="false">IF($A103="","",IFERROR(INDEX(Lists!$C$5:$C$16,MATCH($C103,Lists!$B$5:$B$16,0)),"?"))</f>
        <v>P&amp;L</v>
      </c>
      <c r="F103" s="42" t="n">
        <f aca="false">IF($A103="","",IFERROR(INDEX(Lists!$D$5:$D$16,MATCH($C103,Lists!$B$5:$B$16,0)),1))</f>
        <v>1</v>
      </c>
      <c r="G103" s="42" t="n">
        <f aca="false">IF($A103="","",IFERROR(INDEX(Lists!$A$5:$A$16,MATCH($C103,Lists!$B$5:$B$16,0)),999))</f>
        <v>20</v>
      </c>
      <c r="H103" s="43" t="n">
        <f aca="false">IF($A103="","",COUNTIF(GL_Data!$B$8:$B$5007,$A103))</f>
        <v>0</v>
      </c>
      <c r="I103" s="44" t="str">
        <f aca="false">IF($A103="","",IF($C103="","NO GROUP",IF($E103="?","BAD GROUP",IF($H103=0,"No GL activity","Mapped"))))</f>
        <v>No GL activity</v>
      </c>
    </row>
    <row r="104" customFormat="false" ht="15" hidden="false" customHeight="false" outlineLevel="0" collapsed="false">
      <c r="A104" s="41" t="s">
        <v>252</v>
      </c>
      <c r="B104" s="41"/>
      <c r="C104" s="41" t="s">
        <v>190</v>
      </c>
      <c r="D104" s="41" t="s">
        <v>163</v>
      </c>
      <c r="E104" s="42" t="str">
        <f aca="false">IF($A104="","",IFERROR(INDEX(Lists!$C$5:$C$16,MATCH($C104,Lists!$B$5:$B$16,0)),"?"))</f>
        <v>P&amp;L</v>
      </c>
      <c r="F104" s="42" t="n">
        <f aca="false">IF($A104="","",IFERROR(INDEX(Lists!$D$5:$D$16,MATCH($C104,Lists!$B$5:$B$16,0)),1))</f>
        <v>1</v>
      </c>
      <c r="G104" s="42" t="n">
        <f aca="false">IF($A104="","",IFERROR(INDEX(Lists!$A$5:$A$16,MATCH($C104,Lists!$B$5:$B$16,0)),999))</f>
        <v>20</v>
      </c>
      <c r="H104" s="43" t="n">
        <f aca="false">IF($A104="","",COUNTIF(GL_Data!$B$8:$B$5007,$A104))</f>
        <v>0</v>
      </c>
      <c r="I104" s="44" t="str">
        <f aca="false">IF($A104="","",IF($C104="","NO GROUP",IF($E104="?","BAD GROUP",IF($H104=0,"No GL activity","Mapped"))))</f>
        <v>No GL activity</v>
      </c>
    </row>
    <row r="105" customFormat="false" ht="15" hidden="false" customHeight="false" outlineLevel="0" collapsed="false">
      <c r="A105" s="41" t="s">
        <v>253</v>
      </c>
      <c r="B105" s="41"/>
      <c r="C105" s="41" t="s">
        <v>190</v>
      </c>
      <c r="D105" s="41" t="s">
        <v>157</v>
      </c>
      <c r="E105" s="42" t="str">
        <f aca="false">IF($A105="","",IFERROR(INDEX(Lists!$C$5:$C$16,MATCH($C105,Lists!$B$5:$B$16,0)),"?"))</f>
        <v>P&amp;L</v>
      </c>
      <c r="F105" s="42" t="n">
        <f aca="false">IF($A105="","",IFERROR(INDEX(Lists!$D$5:$D$16,MATCH($C105,Lists!$B$5:$B$16,0)),1))</f>
        <v>1</v>
      </c>
      <c r="G105" s="42" t="n">
        <f aca="false">IF($A105="","",IFERROR(INDEX(Lists!$A$5:$A$16,MATCH($C105,Lists!$B$5:$B$16,0)),999))</f>
        <v>20</v>
      </c>
      <c r="H105" s="43" t="n">
        <f aca="false">IF($A105="","",COUNTIF(GL_Data!$B$8:$B$5007,$A105))</f>
        <v>0</v>
      </c>
      <c r="I105" s="44" t="str">
        <f aca="false">IF($A105="","",IF($C105="","NO GROUP",IF($E105="?","BAD GROUP",IF($H105=0,"No GL activity","Mapped"))))</f>
        <v>No GL activity</v>
      </c>
    </row>
    <row r="106" customFormat="false" ht="15" hidden="false" customHeight="false" outlineLevel="0" collapsed="false">
      <c r="A106" s="41" t="s">
        <v>254</v>
      </c>
      <c r="B106" s="41"/>
      <c r="C106" s="41" t="s">
        <v>190</v>
      </c>
      <c r="D106" s="41" t="s">
        <v>159</v>
      </c>
      <c r="E106" s="42" t="str">
        <f aca="false">IF($A106="","",IFERROR(INDEX(Lists!$C$5:$C$16,MATCH($C106,Lists!$B$5:$B$16,0)),"?"))</f>
        <v>P&amp;L</v>
      </c>
      <c r="F106" s="42" t="n">
        <f aca="false">IF($A106="","",IFERROR(INDEX(Lists!$D$5:$D$16,MATCH($C106,Lists!$B$5:$B$16,0)),1))</f>
        <v>1</v>
      </c>
      <c r="G106" s="42" t="n">
        <f aca="false">IF($A106="","",IFERROR(INDEX(Lists!$A$5:$A$16,MATCH($C106,Lists!$B$5:$B$16,0)),999))</f>
        <v>20</v>
      </c>
      <c r="H106" s="43" t="n">
        <f aca="false">IF($A106="","",COUNTIF(GL_Data!$B$8:$B$5007,$A106))</f>
        <v>0</v>
      </c>
      <c r="I106" s="44" t="str">
        <f aca="false">IF($A106="","",IF($C106="","NO GROUP",IF($E106="?","BAD GROUP",IF($H106=0,"No GL activity","Mapped"))))</f>
        <v>No GL activity</v>
      </c>
    </row>
    <row r="107" customFormat="false" ht="15" hidden="false" customHeight="false" outlineLevel="0" collapsed="false">
      <c r="A107" s="41" t="s">
        <v>255</v>
      </c>
      <c r="B107" s="41"/>
      <c r="C107" s="41" t="s">
        <v>190</v>
      </c>
      <c r="D107" s="41" t="s">
        <v>161</v>
      </c>
      <c r="E107" s="42" t="str">
        <f aca="false">IF($A107="","",IFERROR(INDEX(Lists!$C$5:$C$16,MATCH($C107,Lists!$B$5:$B$16,0)),"?"))</f>
        <v>P&amp;L</v>
      </c>
      <c r="F107" s="42" t="n">
        <f aca="false">IF($A107="","",IFERROR(INDEX(Lists!$D$5:$D$16,MATCH($C107,Lists!$B$5:$B$16,0)),1))</f>
        <v>1</v>
      </c>
      <c r="G107" s="42" t="n">
        <f aca="false">IF($A107="","",IFERROR(INDEX(Lists!$A$5:$A$16,MATCH($C107,Lists!$B$5:$B$16,0)),999))</f>
        <v>20</v>
      </c>
      <c r="H107" s="43" t="n">
        <f aca="false">IF($A107="","",COUNTIF(GL_Data!$B$8:$B$5007,$A107))</f>
        <v>0</v>
      </c>
      <c r="I107" s="44" t="str">
        <f aca="false">IF($A107="","",IF($C107="","NO GROUP",IF($E107="?","BAD GROUP",IF($H107=0,"No GL activity","Mapped"))))</f>
        <v>No GL activity</v>
      </c>
    </row>
    <row r="108" customFormat="false" ht="15" hidden="false" customHeight="false" outlineLevel="0" collapsed="false">
      <c r="A108" s="41" t="s">
        <v>256</v>
      </c>
      <c r="B108" s="41"/>
      <c r="C108" s="41" t="s">
        <v>257</v>
      </c>
      <c r="D108" s="41" t="s">
        <v>148</v>
      </c>
      <c r="E108" s="42" t="str">
        <f aca="false">IF($A108="","",IFERROR(INDEX(Lists!$C$5:$C$16,MATCH($C108,Lists!$B$5:$B$16,0)),"?"))</f>
        <v>P&amp;L</v>
      </c>
      <c r="F108" s="42" t="n">
        <f aca="false">IF($A108="","",IFERROR(INDEX(Lists!$D$5:$D$16,MATCH($C108,Lists!$B$5:$B$16,0)),1))</f>
        <v>-1</v>
      </c>
      <c r="G108" s="42" t="n">
        <f aca="false">IF($A108="","",IFERROR(INDEX(Lists!$A$5:$A$16,MATCH($C108,Lists!$B$5:$B$16,0)),999))</f>
        <v>30</v>
      </c>
      <c r="H108" s="43" t="n">
        <f aca="false">IF($A108="","",COUNTIF(GL_Data!$B$8:$B$5007,$A108))</f>
        <v>0</v>
      </c>
      <c r="I108" s="44" t="str">
        <f aca="false">IF($A108="","",IF($C108="","NO GROUP",IF($E108="?","BAD GROUP",IF($H108=0,"No GL activity","Mapped"))))</f>
        <v>No GL activity</v>
      </c>
    </row>
    <row r="109" customFormat="false" ht="15" hidden="false" customHeight="false" outlineLevel="0" collapsed="false">
      <c r="A109" s="41" t="s">
        <v>258</v>
      </c>
      <c r="B109" s="41"/>
      <c r="C109" s="41" t="s">
        <v>257</v>
      </c>
      <c r="D109" s="41" t="s">
        <v>148</v>
      </c>
      <c r="E109" s="42" t="str">
        <f aca="false">IF($A109="","",IFERROR(INDEX(Lists!$C$5:$C$16,MATCH($C109,Lists!$B$5:$B$16,0)),"?"))</f>
        <v>P&amp;L</v>
      </c>
      <c r="F109" s="42" t="n">
        <f aca="false">IF($A109="","",IFERROR(INDEX(Lists!$D$5:$D$16,MATCH($C109,Lists!$B$5:$B$16,0)),1))</f>
        <v>-1</v>
      </c>
      <c r="G109" s="42" t="n">
        <f aca="false">IF($A109="","",IFERROR(INDEX(Lists!$A$5:$A$16,MATCH($C109,Lists!$B$5:$B$16,0)),999))</f>
        <v>30</v>
      </c>
      <c r="H109" s="43" t="n">
        <f aca="false">IF($A109="","",COUNTIF(GL_Data!$B$8:$B$5007,$A109))</f>
        <v>0</v>
      </c>
      <c r="I109" s="44" t="str">
        <f aca="false">IF($A109="","",IF($C109="","NO GROUP",IF($E109="?","BAD GROUP",IF($H109=0,"No GL activity","Mapped"))))</f>
        <v>No GL activity</v>
      </c>
    </row>
    <row r="110" customFormat="false" ht="15" hidden="false" customHeight="false" outlineLevel="0" collapsed="false">
      <c r="A110" s="41" t="s">
        <v>259</v>
      </c>
      <c r="B110" s="41"/>
      <c r="C110" s="41" t="s">
        <v>257</v>
      </c>
      <c r="D110" s="41" t="s">
        <v>148</v>
      </c>
      <c r="E110" s="42" t="str">
        <f aca="false">IF($A110="","",IFERROR(INDEX(Lists!$C$5:$C$16,MATCH($C110,Lists!$B$5:$B$16,0)),"?"))</f>
        <v>P&amp;L</v>
      </c>
      <c r="F110" s="42" t="n">
        <f aca="false">IF($A110="","",IFERROR(INDEX(Lists!$D$5:$D$16,MATCH($C110,Lists!$B$5:$B$16,0)),1))</f>
        <v>-1</v>
      </c>
      <c r="G110" s="42" t="n">
        <f aca="false">IF($A110="","",IFERROR(INDEX(Lists!$A$5:$A$16,MATCH($C110,Lists!$B$5:$B$16,0)),999))</f>
        <v>30</v>
      </c>
      <c r="H110" s="43" t="n">
        <f aca="false">IF($A110="","",COUNTIF(GL_Data!$B$8:$B$5007,$A110))</f>
        <v>0</v>
      </c>
      <c r="I110" s="44" t="str">
        <f aca="false">IF($A110="","",IF($C110="","NO GROUP",IF($E110="?","BAD GROUP",IF($H110=0,"No GL activity","Mapped"))))</f>
        <v>No GL activity</v>
      </c>
    </row>
    <row r="111" customFormat="false" ht="15" hidden="false" customHeight="false" outlineLevel="0" collapsed="false">
      <c r="A111" s="41" t="s">
        <v>260</v>
      </c>
      <c r="B111" s="41"/>
      <c r="C111" s="41" t="s">
        <v>257</v>
      </c>
      <c r="D111" s="41" t="s">
        <v>148</v>
      </c>
      <c r="E111" s="42" t="str">
        <f aca="false">IF($A111="","",IFERROR(INDEX(Lists!$C$5:$C$16,MATCH($C111,Lists!$B$5:$B$16,0)),"?"))</f>
        <v>P&amp;L</v>
      </c>
      <c r="F111" s="42" t="n">
        <f aca="false">IF($A111="","",IFERROR(INDEX(Lists!$D$5:$D$16,MATCH($C111,Lists!$B$5:$B$16,0)),1))</f>
        <v>-1</v>
      </c>
      <c r="G111" s="42" t="n">
        <f aca="false">IF($A111="","",IFERROR(INDEX(Lists!$A$5:$A$16,MATCH($C111,Lists!$B$5:$B$16,0)),999))</f>
        <v>30</v>
      </c>
      <c r="H111" s="43" t="n">
        <f aca="false">IF($A111="","",COUNTIF(GL_Data!$B$8:$B$5007,$A111))</f>
        <v>0</v>
      </c>
      <c r="I111" s="44" t="str">
        <f aca="false">IF($A111="","",IF($C111="","NO GROUP",IF($E111="?","BAD GROUP",IF($H111=0,"No GL activity","Mapped"))))</f>
        <v>No GL activity</v>
      </c>
    </row>
    <row r="112" customFormat="false" ht="15" hidden="false" customHeight="false" outlineLevel="0" collapsed="false">
      <c r="A112" s="41" t="s">
        <v>261</v>
      </c>
      <c r="B112" s="41"/>
      <c r="C112" s="41" t="s">
        <v>257</v>
      </c>
      <c r="D112" s="41" t="s">
        <v>148</v>
      </c>
      <c r="E112" s="42" t="str">
        <f aca="false">IF($A112="","",IFERROR(INDEX(Lists!$C$5:$C$16,MATCH($C112,Lists!$B$5:$B$16,0)),"?"))</f>
        <v>P&amp;L</v>
      </c>
      <c r="F112" s="42" t="n">
        <f aca="false">IF($A112="","",IFERROR(INDEX(Lists!$D$5:$D$16,MATCH($C112,Lists!$B$5:$B$16,0)),1))</f>
        <v>-1</v>
      </c>
      <c r="G112" s="42" t="n">
        <f aca="false">IF($A112="","",IFERROR(INDEX(Lists!$A$5:$A$16,MATCH($C112,Lists!$B$5:$B$16,0)),999))</f>
        <v>30</v>
      </c>
      <c r="H112" s="43" t="n">
        <f aca="false">IF($A112="","",COUNTIF(GL_Data!$B$8:$B$5007,$A112))</f>
        <v>0</v>
      </c>
      <c r="I112" s="44" t="str">
        <f aca="false">IF($A112="","",IF($C112="","NO GROUP",IF($E112="?","BAD GROUP",IF($H112=0,"No GL activity","Mapped"))))</f>
        <v>No GL activity</v>
      </c>
    </row>
    <row r="113" customFormat="false" ht="15" hidden="false" customHeight="false" outlineLevel="0" collapsed="false">
      <c r="A113" s="41" t="s">
        <v>262</v>
      </c>
      <c r="B113" s="41"/>
      <c r="C113" s="41" t="s">
        <v>257</v>
      </c>
      <c r="D113" s="41" t="s">
        <v>148</v>
      </c>
      <c r="E113" s="42" t="str">
        <f aca="false">IF($A113="","",IFERROR(INDEX(Lists!$C$5:$C$16,MATCH($C113,Lists!$B$5:$B$16,0)),"?"))</f>
        <v>P&amp;L</v>
      </c>
      <c r="F113" s="42" t="n">
        <f aca="false">IF($A113="","",IFERROR(INDEX(Lists!$D$5:$D$16,MATCH($C113,Lists!$B$5:$B$16,0)),1))</f>
        <v>-1</v>
      </c>
      <c r="G113" s="42" t="n">
        <f aca="false">IF($A113="","",IFERROR(INDEX(Lists!$A$5:$A$16,MATCH($C113,Lists!$B$5:$B$16,0)),999))</f>
        <v>30</v>
      </c>
      <c r="H113" s="43" t="n">
        <f aca="false">IF($A113="","",COUNTIF(GL_Data!$B$8:$B$5007,$A113))</f>
        <v>0</v>
      </c>
      <c r="I113" s="44" t="str">
        <f aca="false">IF($A113="","",IF($C113="","NO GROUP",IF($E113="?","BAD GROUP",IF($H113=0,"No GL activity","Mapped"))))</f>
        <v>No GL activity</v>
      </c>
    </row>
    <row r="114" customFormat="false" ht="15" hidden="false" customHeight="false" outlineLevel="0" collapsed="false">
      <c r="A114" s="41" t="s">
        <v>263</v>
      </c>
      <c r="B114" s="41"/>
      <c r="C114" s="41" t="s">
        <v>257</v>
      </c>
      <c r="D114" s="41" t="s">
        <v>148</v>
      </c>
      <c r="E114" s="42" t="str">
        <f aca="false">IF($A114="","",IFERROR(INDEX(Lists!$C$5:$C$16,MATCH($C114,Lists!$B$5:$B$16,0)),"?"))</f>
        <v>P&amp;L</v>
      </c>
      <c r="F114" s="42" t="n">
        <f aca="false">IF($A114="","",IFERROR(INDEX(Lists!$D$5:$D$16,MATCH($C114,Lists!$B$5:$B$16,0)),1))</f>
        <v>-1</v>
      </c>
      <c r="G114" s="42" t="n">
        <f aca="false">IF($A114="","",IFERROR(INDEX(Lists!$A$5:$A$16,MATCH($C114,Lists!$B$5:$B$16,0)),999))</f>
        <v>30</v>
      </c>
      <c r="H114" s="43" t="n">
        <f aca="false">IF($A114="","",COUNTIF(GL_Data!$B$8:$B$5007,$A114))</f>
        <v>0</v>
      </c>
      <c r="I114" s="44" t="str">
        <f aca="false">IF($A114="","",IF($C114="","NO GROUP",IF($E114="?","BAD GROUP",IF($H114=0,"No GL activity","Mapped"))))</f>
        <v>No GL activity</v>
      </c>
    </row>
    <row r="115" customFormat="false" ht="15" hidden="false" customHeight="false" outlineLevel="0" collapsed="false">
      <c r="A115" s="41" t="s">
        <v>264</v>
      </c>
      <c r="B115" s="41"/>
      <c r="C115" s="41" t="s">
        <v>257</v>
      </c>
      <c r="D115" s="41" t="s">
        <v>148</v>
      </c>
      <c r="E115" s="42" t="str">
        <f aca="false">IF($A115="","",IFERROR(INDEX(Lists!$C$5:$C$16,MATCH($C115,Lists!$B$5:$B$16,0)),"?"))</f>
        <v>P&amp;L</v>
      </c>
      <c r="F115" s="42" t="n">
        <f aca="false">IF($A115="","",IFERROR(INDEX(Lists!$D$5:$D$16,MATCH($C115,Lists!$B$5:$B$16,0)),1))</f>
        <v>-1</v>
      </c>
      <c r="G115" s="42" t="n">
        <f aca="false">IF($A115="","",IFERROR(INDEX(Lists!$A$5:$A$16,MATCH($C115,Lists!$B$5:$B$16,0)),999))</f>
        <v>30</v>
      </c>
      <c r="H115" s="43" t="n">
        <f aca="false">IF($A115="","",COUNTIF(GL_Data!$B$8:$B$5007,$A115))</f>
        <v>0</v>
      </c>
      <c r="I115" s="44" t="str">
        <f aca="false">IF($A115="","",IF($C115="","NO GROUP",IF($E115="?","BAD GROUP",IF($H115=0,"No GL activity","Mapped"))))</f>
        <v>No GL activity</v>
      </c>
    </row>
    <row r="116" customFormat="false" ht="15" hidden="false" customHeight="false" outlineLevel="0" collapsed="false">
      <c r="A116" s="41" t="s">
        <v>265</v>
      </c>
      <c r="B116" s="41"/>
      <c r="C116" s="41" t="s">
        <v>257</v>
      </c>
      <c r="D116" s="41" t="s">
        <v>148</v>
      </c>
      <c r="E116" s="42" t="str">
        <f aca="false">IF($A116="","",IFERROR(INDEX(Lists!$C$5:$C$16,MATCH($C116,Lists!$B$5:$B$16,0)),"?"))</f>
        <v>P&amp;L</v>
      </c>
      <c r="F116" s="42" t="n">
        <f aca="false">IF($A116="","",IFERROR(INDEX(Lists!$D$5:$D$16,MATCH($C116,Lists!$B$5:$B$16,0)),1))</f>
        <v>-1</v>
      </c>
      <c r="G116" s="42" t="n">
        <f aca="false">IF($A116="","",IFERROR(INDEX(Lists!$A$5:$A$16,MATCH($C116,Lists!$B$5:$B$16,0)),999))</f>
        <v>30</v>
      </c>
      <c r="H116" s="43" t="n">
        <f aca="false">IF($A116="","",COUNTIF(GL_Data!$B$8:$B$5007,$A116))</f>
        <v>0</v>
      </c>
      <c r="I116" s="44" t="str">
        <f aca="false">IF($A116="","",IF($C116="","NO GROUP",IF($E116="?","BAD GROUP",IF($H116=0,"No GL activity","Mapped"))))</f>
        <v>No GL activity</v>
      </c>
    </row>
    <row r="117" customFormat="false" ht="15" hidden="false" customHeight="false" outlineLevel="0" collapsed="false">
      <c r="A117" s="41" t="s">
        <v>266</v>
      </c>
      <c r="B117" s="41"/>
      <c r="C117" s="41" t="s">
        <v>267</v>
      </c>
      <c r="D117" s="41" t="s">
        <v>148</v>
      </c>
      <c r="E117" s="42" t="str">
        <f aca="false">IF($A117="","",IFERROR(INDEX(Lists!$C$5:$C$16,MATCH($C117,Lists!$B$5:$B$16,0)),"?"))</f>
        <v>P&amp;L</v>
      </c>
      <c r="F117" s="42" t="n">
        <f aca="false">IF($A117="","",IFERROR(INDEX(Lists!$D$5:$D$16,MATCH($C117,Lists!$B$5:$B$16,0)),1))</f>
        <v>1</v>
      </c>
      <c r="G117" s="42" t="n">
        <f aca="false">IF($A117="","",IFERROR(INDEX(Lists!$A$5:$A$16,MATCH($C117,Lists!$B$5:$B$16,0)),999))</f>
        <v>40</v>
      </c>
      <c r="H117" s="43" t="n">
        <f aca="false">IF($A117="","",COUNTIF(GL_Data!$B$8:$B$5007,$A117))</f>
        <v>0</v>
      </c>
      <c r="I117" s="44" t="str">
        <f aca="false">IF($A117="","",IF($C117="","NO GROUP",IF($E117="?","BAD GROUP",IF($H117=0,"No GL activity","Mapped"))))</f>
        <v>No GL activity</v>
      </c>
    </row>
    <row r="118" customFormat="false" ht="15" hidden="false" customHeight="false" outlineLevel="0" collapsed="false">
      <c r="A118" s="41" t="s">
        <v>268</v>
      </c>
      <c r="B118" s="41"/>
      <c r="C118" s="41" t="s">
        <v>267</v>
      </c>
      <c r="D118" s="41" t="s">
        <v>148</v>
      </c>
      <c r="E118" s="42" t="str">
        <f aca="false">IF($A118="","",IFERROR(INDEX(Lists!$C$5:$C$16,MATCH($C118,Lists!$B$5:$B$16,0)),"?"))</f>
        <v>P&amp;L</v>
      </c>
      <c r="F118" s="42" t="n">
        <f aca="false">IF($A118="","",IFERROR(INDEX(Lists!$D$5:$D$16,MATCH($C118,Lists!$B$5:$B$16,0)),1))</f>
        <v>1</v>
      </c>
      <c r="G118" s="42" t="n">
        <f aca="false">IF($A118="","",IFERROR(INDEX(Lists!$A$5:$A$16,MATCH($C118,Lists!$B$5:$B$16,0)),999))</f>
        <v>40</v>
      </c>
      <c r="H118" s="43" t="n">
        <f aca="false">IF($A118="","",COUNTIF(GL_Data!$B$8:$B$5007,$A118))</f>
        <v>0</v>
      </c>
      <c r="I118" s="44" t="str">
        <f aca="false">IF($A118="","",IF($C118="","NO GROUP",IF($E118="?","BAD GROUP",IF($H118=0,"No GL activity","Mapped"))))</f>
        <v>No GL activity</v>
      </c>
    </row>
    <row r="119" customFormat="false" ht="15" hidden="false" customHeight="false" outlineLevel="0" collapsed="false">
      <c r="A119" s="41" t="s">
        <v>269</v>
      </c>
      <c r="B119" s="41"/>
      <c r="C119" s="41" t="s">
        <v>267</v>
      </c>
      <c r="D119" s="41" t="s">
        <v>148</v>
      </c>
      <c r="E119" s="42" t="str">
        <f aca="false">IF($A119="","",IFERROR(INDEX(Lists!$C$5:$C$16,MATCH($C119,Lists!$B$5:$B$16,0)),"?"))</f>
        <v>P&amp;L</v>
      </c>
      <c r="F119" s="42" t="n">
        <f aca="false">IF($A119="","",IFERROR(INDEX(Lists!$D$5:$D$16,MATCH($C119,Lists!$B$5:$B$16,0)),1))</f>
        <v>1</v>
      </c>
      <c r="G119" s="42" t="n">
        <f aca="false">IF($A119="","",IFERROR(INDEX(Lists!$A$5:$A$16,MATCH($C119,Lists!$B$5:$B$16,0)),999))</f>
        <v>40</v>
      </c>
      <c r="H119" s="43" t="n">
        <f aca="false">IF($A119="","",COUNTIF(GL_Data!$B$8:$B$5007,$A119))</f>
        <v>0</v>
      </c>
      <c r="I119" s="44" t="str">
        <f aca="false">IF($A119="","",IF($C119="","NO GROUP",IF($E119="?","BAD GROUP",IF($H119=0,"No GL activity","Mapped"))))</f>
        <v>No GL activity</v>
      </c>
    </row>
    <row r="120" customFormat="false" ht="15" hidden="false" customHeight="false" outlineLevel="0" collapsed="false">
      <c r="A120" s="41" t="s">
        <v>270</v>
      </c>
      <c r="B120" s="41"/>
      <c r="C120" s="41" t="s">
        <v>267</v>
      </c>
      <c r="D120" s="41" t="s">
        <v>148</v>
      </c>
      <c r="E120" s="42" t="str">
        <f aca="false">IF($A120="","",IFERROR(INDEX(Lists!$C$5:$C$16,MATCH($C120,Lists!$B$5:$B$16,0)),"?"))</f>
        <v>P&amp;L</v>
      </c>
      <c r="F120" s="42" t="n">
        <f aca="false">IF($A120="","",IFERROR(INDEX(Lists!$D$5:$D$16,MATCH($C120,Lists!$B$5:$B$16,0)),1))</f>
        <v>1</v>
      </c>
      <c r="G120" s="42" t="n">
        <f aca="false">IF($A120="","",IFERROR(INDEX(Lists!$A$5:$A$16,MATCH($C120,Lists!$B$5:$B$16,0)),999))</f>
        <v>40</v>
      </c>
      <c r="H120" s="43" t="n">
        <f aca="false">IF($A120="","",COUNTIF(GL_Data!$B$8:$B$5007,$A120))</f>
        <v>0</v>
      </c>
      <c r="I120" s="44" t="str">
        <f aca="false">IF($A120="","",IF($C120="","NO GROUP",IF($E120="?","BAD GROUP",IF($H120=0,"No GL activity","Mapped"))))</f>
        <v>No GL activity</v>
      </c>
    </row>
    <row r="121" customFormat="false" ht="15" hidden="false" customHeight="false" outlineLevel="0" collapsed="false">
      <c r="A121" s="41" t="s">
        <v>271</v>
      </c>
      <c r="B121" s="41"/>
      <c r="C121" s="41" t="s">
        <v>267</v>
      </c>
      <c r="D121" s="41" t="s">
        <v>148</v>
      </c>
      <c r="E121" s="42" t="str">
        <f aca="false">IF($A121="","",IFERROR(INDEX(Lists!$C$5:$C$16,MATCH($C121,Lists!$B$5:$B$16,0)),"?"))</f>
        <v>P&amp;L</v>
      </c>
      <c r="F121" s="42" t="n">
        <f aca="false">IF($A121="","",IFERROR(INDEX(Lists!$D$5:$D$16,MATCH($C121,Lists!$B$5:$B$16,0)),1))</f>
        <v>1</v>
      </c>
      <c r="G121" s="42" t="n">
        <f aca="false">IF($A121="","",IFERROR(INDEX(Lists!$A$5:$A$16,MATCH($C121,Lists!$B$5:$B$16,0)),999))</f>
        <v>40</v>
      </c>
      <c r="H121" s="43" t="n">
        <f aca="false">IF($A121="","",COUNTIF(GL_Data!$B$8:$B$5007,$A121))</f>
        <v>0</v>
      </c>
      <c r="I121" s="44" t="str">
        <f aca="false">IF($A121="","",IF($C121="","NO GROUP",IF($E121="?","BAD GROUP",IF($H121=0,"No GL activity","Mapped"))))</f>
        <v>No GL activity</v>
      </c>
    </row>
    <row r="122" customFormat="false" ht="15" hidden="false" customHeight="false" outlineLevel="0" collapsed="false">
      <c r="A122" s="41" t="s">
        <v>272</v>
      </c>
      <c r="B122" s="41"/>
      <c r="C122" s="41" t="s">
        <v>267</v>
      </c>
      <c r="D122" s="41" t="s">
        <v>148</v>
      </c>
      <c r="E122" s="42" t="str">
        <f aca="false">IF($A122="","",IFERROR(INDEX(Lists!$C$5:$C$16,MATCH($C122,Lists!$B$5:$B$16,0)),"?"))</f>
        <v>P&amp;L</v>
      </c>
      <c r="F122" s="42" t="n">
        <f aca="false">IF($A122="","",IFERROR(INDEX(Lists!$D$5:$D$16,MATCH($C122,Lists!$B$5:$B$16,0)),1))</f>
        <v>1</v>
      </c>
      <c r="G122" s="42" t="n">
        <f aca="false">IF($A122="","",IFERROR(INDEX(Lists!$A$5:$A$16,MATCH($C122,Lists!$B$5:$B$16,0)),999))</f>
        <v>40</v>
      </c>
      <c r="H122" s="43" t="n">
        <f aca="false">IF($A122="","",COUNTIF(GL_Data!$B$8:$B$5007,$A122))</f>
        <v>0</v>
      </c>
      <c r="I122" s="44" t="str">
        <f aca="false">IF($A122="","",IF($C122="","NO GROUP",IF($E122="?","BAD GROUP",IF($H122=0,"No GL activity","Mapped"))))</f>
        <v>No GL activity</v>
      </c>
    </row>
    <row r="123" customFormat="false" ht="15" hidden="false" customHeight="false" outlineLevel="0" collapsed="false">
      <c r="A123" s="41" t="s">
        <v>273</v>
      </c>
      <c r="B123" s="41"/>
      <c r="C123" s="41" t="s">
        <v>267</v>
      </c>
      <c r="D123" s="41" t="s">
        <v>148</v>
      </c>
      <c r="E123" s="42" t="str">
        <f aca="false">IF($A123="","",IFERROR(INDEX(Lists!$C$5:$C$16,MATCH($C123,Lists!$B$5:$B$16,0)),"?"))</f>
        <v>P&amp;L</v>
      </c>
      <c r="F123" s="42" t="n">
        <f aca="false">IF($A123="","",IFERROR(INDEX(Lists!$D$5:$D$16,MATCH($C123,Lists!$B$5:$B$16,0)),1))</f>
        <v>1</v>
      </c>
      <c r="G123" s="42" t="n">
        <f aca="false">IF($A123="","",IFERROR(INDEX(Lists!$A$5:$A$16,MATCH($C123,Lists!$B$5:$B$16,0)),999))</f>
        <v>40</v>
      </c>
      <c r="H123" s="43" t="n">
        <f aca="false">IF($A123="","",COUNTIF(GL_Data!$B$8:$B$5007,$A123))</f>
        <v>0</v>
      </c>
      <c r="I123" s="44" t="str">
        <f aca="false">IF($A123="","",IF($C123="","NO GROUP",IF($E123="?","BAD GROUP",IF($H123=0,"No GL activity","Mapped"))))</f>
        <v>No GL activity</v>
      </c>
    </row>
    <row r="124" customFormat="false" ht="15" hidden="false" customHeight="false" outlineLevel="0" collapsed="false">
      <c r="A124" s="41" t="s">
        <v>274</v>
      </c>
      <c r="B124" s="41"/>
      <c r="C124" s="41" t="s">
        <v>267</v>
      </c>
      <c r="D124" s="41" t="s">
        <v>148</v>
      </c>
      <c r="E124" s="42" t="str">
        <f aca="false">IF($A124="","",IFERROR(INDEX(Lists!$C$5:$C$16,MATCH($C124,Lists!$B$5:$B$16,0)),"?"))</f>
        <v>P&amp;L</v>
      </c>
      <c r="F124" s="42" t="n">
        <f aca="false">IF($A124="","",IFERROR(INDEX(Lists!$D$5:$D$16,MATCH($C124,Lists!$B$5:$B$16,0)),1))</f>
        <v>1</v>
      </c>
      <c r="G124" s="42" t="n">
        <f aca="false">IF($A124="","",IFERROR(INDEX(Lists!$A$5:$A$16,MATCH($C124,Lists!$B$5:$B$16,0)),999))</f>
        <v>40</v>
      </c>
      <c r="H124" s="43" t="n">
        <f aca="false">IF($A124="","",COUNTIF(GL_Data!$B$8:$B$5007,$A124))</f>
        <v>0</v>
      </c>
      <c r="I124" s="44" t="str">
        <f aca="false">IF($A124="","",IF($C124="","NO GROUP",IF($E124="?","BAD GROUP",IF($H124=0,"No GL activity","Mapped"))))</f>
        <v>No GL activity</v>
      </c>
    </row>
    <row r="125" customFormat="false" ht="15" hidden="false" customHeight="false" outlineLevel="0" collapsed="false">
      <c r="A125" s="41" t="s">
        <v>275</v>
      </c>
      <c r="B125" s="41"/>
      <c r="C125" s="41" t="s">
        <v>267</v>
      </c>
      <c r="D125" s="41" t="s">
        <v>148</v>
      </c>
      <c r="E125" s="42" t="str">
        <f aca="false">IF($A125="","",IFERROR(INDEX(Lists!$C$5:$C$16,MATCH($C125,Lists!$B$5:$B$16,0)),"?"))</f>
        <v>P&amp;L</v>
      </c>
      <c r="F125" s="42" t="n">
        <f aca="false">IF($A125="","",IFERROR(INDEX(Lists!$D$5:$D$16,MATCH($C125,Lists!$B$5:$B$16,0)),1))</f>
        <v>1</v>
      </c>
      <c r="G125" s="42" t="n">
        <f aca="false">IF($A125="","",IFERROR(INDEX(Lists!$A$5:$A$16,MATCH($C125,Lists!$B$5:$B$16,0)),999))</f>
        <v>40</v>
      </c>
      <c r="H125" s="43" t="n">
        <f aca="false">IF($A125="","",COUNTIF(GL_Data!$B$8:$B$5007,$A125))</f>
        <v>0</v>
      </c>
      <c r="I125" s="44" t="str">
        <f aca="false">IF($A125="","",IF($C125="","NO GROUP",IF($E125="?","BAD GROUP",IF($H125=0,"No GL activity","Mapped"))))</f>
        <v>No GL activity</v>
      </c>
    </row>
    <row r="126" customFormat="false" ht="15" hidden="false" customHeight="false" outlineLevel="0" collapsed="false">
      <c r="A126" s="41" t="s">
        <v>276</v>
      </c>
      <c r="B126" s="41"/>
      <c r="C126" s="41" t="s">
        <v>267</v>
      </c>
      <c r="D126" s="41" t="s">
        <v>148</v>
      </c>
      <c r="E126" s="42" t="str">
        <f aca="false">IF($A126="","",IFERROR(INDEX(Lists!$C$5:$C$16,MATCH($C126,Lists!$B$5:$B$16,0)),"?"))</f>
        <v>P&amp;L</v>
      </c>
      <c r="F126" s="42" t="n">
        <f aca="false">IF($A126="","",IFERROR(INDEX(Lists!$D$5:$D$16,MATCH($C126,Lists!$B$5:$B$16,0)),1))</f>
        <v>1</v>
      </c>
      <c r="G126" s="42" t="n">
        <f aca="false">IF($A126="","",IFERROR(INDEX(Lists!$A$5:$A$16,MATCH($C126,Lists!$B$5:$B$16,0)),999))</f>
        <v>40</v>
      </c>
      <c r="H126" s="43" t="n">
        <f aca="false">IF($A126="","",COUNTIF(GL_Data!$B$8:$B$5007,$A126))</f>
        <v>0</v>
      </c>
      <c r="I126" s="44" t="str">
        <f aca="false">IF($A126="","",IF($C126="","NO GROUP",IF($E126="?","BAD GROUP",IF($H126=0,"No GL activity","Mapped"))))</f>
        <v>No GL activity</v>
      </c>
    </row>
    <row r="127" customFormat="false" ht="15" hidden="false" customHeight="false" outlineLevel="0" collapsed="false">
      <c r="A127" s="41" t="s">
        <v>277</v>
      </c>
      <c r="B127" s="41"/>
      <c r="C127" s="41" t="s">
        <v>267</v>
      </c>
      <c r="D127" s="41" t="s">
        <v>148</v>
      </c>
      <c r="E127" s="42" t="str">
        <f aca="false">IF($A127="","",IFERROR(INDEX(Lists!$C$5:$C$16,MATCH($C127,Lists!$B$5:$B$16,0)),"?"))</f>
        <v>P&amp;L</v>
      </c>
      <c r="F127" s="42" t="n">
        <f aca="false">IF($A127="","",IFERROR(INDEX(Lists!$D$5:$D$16,MATCH($C127,Lists!$B$5:$B$16,0)),1))</f>
        <v>1</v>
      </c>
      <c r="G127" s="42" t="n">
        <f aca="false">IF($A127="","",IFERROR(INDEX(Lists!$A$5:$A$16,MATCH($C127,Lists!$B$5:$B$16,0)),999))</f>
        <v>40</v>
      </c>
      <c r="H127" s="43" t="n">
        <f aca="false">IF($A127="","",COUNTIF(GL_Data!$B$8:$B$5007,$A127))</f>
        <v>0</v>
      </c>
      <c r="I127" s="44" t="str">
        <f aca="false">IF($A127="","",IF($C127="","NO GROUP",IF($E127="?","BAD GROUP",IF($H127=0,"No GL activity","Mapped"))))</f>
        <v>No GL activity</v>
      </c>
    </row>
    <row r="128" customFormat="false" ht="15" hidden="false" customHeight="false" outlineLevel="0" collapsed="false">
      <c r="A128" s="41" t="s">
        <v>278</v>
      </c>
      <c r="B128" s="41"/>
      <c r="C128" s="41" t="s">
        <v>267</v>
      </c>
      <c r="D128" s="41" t="s">
        <v>148</v>
      </c>
      <c r="E128" s="42" t="str">
        <f aca="false">IF($A128="","",IFERROR(INDEX(Lists!$C$5:$C$16,MATCH($C128,Lists!$B$5:$B$16,0)),"?"))</f>
        <v>P&amp;L</v>
      </c>
      <c r="F128" s="42" t="n">
        <f aca="false">IF($A128="","",IFERROR(INDEX(Lists!$D$5:$D$16,MATCH($C128,Lists!$B$5:$B$16,0)),1))</f>
        <v>1</v>
      </c>
      <c r="G128" s="42" t="n">
        <f aca="false">IF($A128="","",IFERROR(INDEX(Lists!$A$5:$A$16,MATCH($C128,Lists!$B$5:$B$16,0)),999))</f>
        <v>40</v>
      </c>
      <c r="H128" s="43" t="n">
        <f aca="false">IF($A128="","",COUNTIF(GL_Data!$B$8:$B$5007,$A128))</f>
        <v>0</v>
      </c>
      <c r="I128" s="44" t="str">
        <f aca="false">IF($A128="","",IF($C128="","NO GROUP",IF($E128="?","BAD GROUP",IF($H128=0,"No GL activity","Mapped"))))</f>
        <v>No GL activity</v>
      </c>
    </row>
    <row r="129" customFormat="false" ht="15" hidden="false" customHeight="false" outlineLevel="0" collapsed="false">
      <c r="A129" s="41" t="s">
        <v>279</v>
      </c>
      <c r="B129" s="41"/>
      <c r="C129" s="41" t="s">
        <v>267</v>
      </c>
      <c r="D129" s="41" t="s">
        <v>148</v>
      </c>
      <c r="E129" s="42" t="str">
        <f aca="false">IF($A129="","",IFERROR(INDEX(Lists!$C$5:$C$16,MATCH($C129,Lists!$B$5:$B$16,0)),"?"))</f>
        <v>P&amp;L</v>
      </c>
      <c r="F129" s="42" t="n">
        <f aca="false">IF($A129="","",IFERROR(INDEX(Lists!$D$5:$D$16,MATCH($C129,Lists!$B$5:$B$16,0)),1))</f>
        <v>1</v>
      </c>
      <c r="G129" s="42" t="n">
        <f aca="false">IF($A129="","",IFERROR(INDEX(Lists!$A$5:$A$16,MATCH($C129,Lists!$B$5:$B$16,0)),999))</f>
        <v>40</v>
      </c>
      <c r="H129" s="43" t="n">
        <f aca="false">IF($A129="","",COUNTIF(GL_Data!$B$8:$B$5007,$A129))</f>
        <v>0</v>
      </c>
      <c r="I129" s="44" t="str">
        <f aca="false">IF($A129="","",IF($C129="","NO GROUP",IF($E129="?","BAD GROUP",IF($H129=0,"No GL activity","Mapped"))))</f>
        <v>No GL activity</v>
      </c>
    </row>
    <row r="130" customFormat="false" ht="15" hidden="false" customHeight="false" outlineLevel="0" collapsed="false">
      <c r="A130" s="41" t="s">
        <v>280</v>
      </c>
      <c r="B130" s="41"/>
      <c r="C130" s="41" t="s">
        <v>267</v>
      </c>
      <c r="D130" s="41" t="s">
        <v>148</v>
      </c>
      <c r="E130" s="42" t="str">
        <f aca="false">IF($A130="","",IFERROR(INDEX(Lists!$C$5:$C$16,MATCH($C130,Lists!$B$5:$B$16,0)),"?"))</f>
        <v>P&amp;L</v>
      </c>
      <c r="F130" s="42" t="n">
        <f aca="false">IF($A130="","",IFERROR(INDEX(Lists!$D$5:$D$16,MATCH($C130,Lists!$B$5:$B$16,0)),1))</f>
        <v>1</v>
      </c>
      <c r="G130" s="42" t="n">
        <f aca="false">IF($A130="","",IFERROR(INDEX(Lists!$A$5:$A$16,MATCH($C130,Lists!$B$5:$B$16,0)),999))</f>
        <v>40</v>
      </c>
      <c r="H130" s="43" t="n">
        <f aca="false">IF($A130="","",COUNTIF(GL_Data!$B$8:$B$5007,$A130))</f>
        <v>0</v>
      </c>
      <c r="I130" s="44" t="str">
        <f aca="false">IF($A130="","",IF($C130="","NO GROUP",IF($E130="?","BAD GROUP",IF($H130=0,"No GL activity","Mapped"))))</f>
        <v>No GL activity</v>
      </c>
    </row>
    <row r="131" customFormat="false" ht="15" hidden="false" customHeight="false" outlineLevel="0" collapsed="false">
      <c r="A131" s="41" t="s">
        <v>281</v>
      </c>
      <c r="B131" s="41"/>
      <c r="C131" s="41" t="s">
        <v>267</v>
      </c>
      <c r="D131" s="41" t="s">
        <v>148</v>
      </c>
      <c r="E131" s="42" t="str">
        <f aca="false">IF($A131="","",IFERROR(INDEX(Lists!$C$5:$C$16,MATCH($C131,Lists!$B$5:$B$16,0)),"?"))</f>
        <v>P&amp;L</v>
      </c>
      <c r="F131" s="42" t="n">
        <f aca="false">IF($A131="","",IFERROR(INDEX(Lists!$D$5:$D$16,MATCH($C131,Lists!$B$5:$B$16,0)),1))</f>
        <v>1</v>
      </c>
      <c r="G131" s="42" t="n">
        <f aca="false">IF($A131="","",IFERROR(INDEX(Lists!$A$5:$A$16,MATCH($C131,Lists!$B$5:$B$16,0)),999))</f>
        <v>40</v>
      </c>
      <c r="H131" s="43" t="n">
        <f aca="false">IF($A131="","",COUNTIF(GL_Data!$B$8:$B$5007,$A131))</f>
        <v>0</v>
      </c>
      <c r="I131" s="44" t="str">
        <f aca="false">IF($A131="","",IF($C131="","NO GROUP",IF($E131="?","BAD GROUP",IF($H131=0,"No GL activity","Mapped"))))</f>
        <v>No GL activity</v>
      </c>
    </row>
    <row r="132" customFormat="false" ht="15" hidden="false" customHeight="false" outlineLevel="0" collapsed="false">
      <c r="A132" s="41" t="s">
        <v>282</v>
      </c>
      <c r="B132" s="41"/>
      <c r="C132" s="41" t="s">
        <v>267</v>
      </c>
      <c r="D132" s="41" t="s">
        <v>148</v>
      </c>
      <c r="E132" s="42" t="str">
        <f aca="false">IF($A132="","",IFERROR(INDEX(Lists!$C$5:$C$16,MATCH($C132,Lists!$B$5:$B$16,0)),"?"))</f>
        <v>P&amp;L</v>
      </c>
      <c r="F132" s="42" t="n">
        <f aca="false">IF($A132="","",IFERROR(INDEX(Lists!$D$5:$D$16,MATCH($C132,Lists!$B$5:$B$16,0)),1))</f>
        <v>1</v>
      </c>
      <c r="G132" s="42" t="n">
        <f aca="false">IF($A132="","",IFERROR(INDEX(Lists!$A$5:$A$16,MATCH($C132,Lists!$B$5:$B$16,0)),999))</f>
        <v>40</v>
      </c>
      <c r="H132" s="43" t="n">
        <f aca="false">IF($A132="","",COUNTIF(GL_Data!$B$8:$B$5007,$A132))</f>
        <v>0</v>
      </c>
      <c r="I132" s="44" t="str">
        <f aca="false">IF($A132="","",IF($C132="","NO GROUP",IF($E132="?","BAD GROUP",IF($H132=0,"No GL activity","Mapped"))))</f>
        <v>No GL activity</v>
      </c>
    </row>
    <row r="133" customFormat="false" ht="15" hidden="false" customHeight="false" outlineLevel="0" collapsed="false">
      <c r="A133" s="41" t="s">
        <v>283</v>
      </c>
      <c r="B133" s="41"/>
      <c r="C133" s="41" t="s">
        <v>267</v>
      </c>
      <c r="D133" s="41" t="s">
        <v>148</v>
      </c>
      <c r="E133" s="42" t="str">
        <f aca="false">IF($A133="","",IFERROR(INDEX(Lists!$C$5:$C$16,MATCH($C133,Lists!$B$5:$B$16,0)),"?"))</f>
        <v>P&amp;L</v>
      </c>
      <c r="F133" s="42" t="n">
        <f aca="false">IF($A133="","",IFERROR(INDEX(Lists!$D$5:$D$16,MATCH($C133,Lists!$B$5:$B$16,0)),1))</f>
        <v>1</v>
      </c>
      <c r="G133" s="42" t="n">
        <f aca="false">IF($A133="","",IFERROR(INDEX(Lists!$A$5:$A$16,MATCH($C133,Lists!$B$5:$B$16,0)),999))</f>
        <v>40</v>
      </c>
      <c r="H133" s="43" t="n">
        <f aca="false">IF($A133="","",COUNTIF(GL_Data!$B$8:$B$5007,$A133))</f>
        <v>0</v>
      </c>
      <c r="I133" s="44" t="str">
        <f aca="false">IF($A133="","",IF($C133="","NO GROUP",IF($E133="?","BAD GROUP",IF($H133=0,"No GL activity","Mapped"))))</f>
        <v>No GL activity</v>
      </c>
    </row>
    <row r="134" customFormat="false" ht="15" hidden="false" customHeight="false" outlineLevel="0" collapsed="false">
      <c r="A134" s="41" t="s">
        <v>284</v>
      </c>
      <c r="B134" s="41"/>
      <c r="C134" s="41" t="s">
        <v>267</v>
      </c>
      <c r="D134" s="41" t="s">
        <v>148</v>
      </c>
      <c r="E134" s="42" t="str">
        <f aca="false">IF($A134="","",IFERROR(INDEX(Lists!$C$5:$C$16,MATCH($C134,Lists!$B$5:$B$16,0)),"?"))</f>
        <v>P&amp;L</v>
      </c>
      <c r="F134" s="42" t="n">
        <f aca="false">IF($A134="","",IFERROR(INDEX(Lists!$D$5:$D$16,MATCH($C134,Lists!$B$5:$B$16,0)),1))</f>
        <v>1</v>
      </c>
      <c r="G134" s="42" t="n">
        <f aca="false">IF($A134="","",IFERROR(INDEX(Lists!$A$5:$A$16,MATCH($C134,Lists!$B$5:$B$16,0)),999))</f>
        <v>40</v>
      </c>
      <c r="H134" s="43" t="n">
        <f aca="false">IF($A134="","",COUNTIF(GL_Data!$B$8:$B$5007,$A134))</f>
        <v>0</v>
      </c>
      <c r="I134" s="44" t="str">
        <f aca="false">IF($A134="","",IF($C134="","NO GROUP",IF($E134="?","BAD GROUP",IF($H134=0,"No GL activity","Mapped"))))</f>
        <v>No GL activity</v>
      </c>
    </row>
    <row r="135" customFormat="false" ht="15" hidden="false" customHeight="false" outlineLevel="0" collapsed="false">
      <c r="A135" s="41" t="s">
        <v>285</v>
      </c>
      <c r="B135" s="41"/>
      <c r="C135" s="41" t="s">
        <v>267</v>
      </c>
      <c r="D135" s="41" t="s">
        <v>148</v>
      </c>
      <c r="E135" s="42" t="str">
        <f aca="false">IF($A135="","",IFERROR(INDEX(Lists!$C$5:$C$16,MATCH($C135,Lists!$B$5:$B$16,0)),"?"))</f>
        <v>P&amp;L</v>
      </c>
      <c r="F135" s="42" t="n">
        <f aca="false">IF($A135="","",IFERROR(INDEX(Lists!$D$5:$D$16,MATCH($C135,Lists!$B$5:$B$16,0)),1))</f>
        <v>1</v>
      </c>
      <c r="G135" s="42" t="n">
        <f aca="false">IF($A135="","",IFERROR(INDEX(Lists!$A$5:$A$16,MATCH($C135,Lists!$B$5:$B$16,0)),999))</f>
        <v>40</v>
      </c>
      <c r="H135" s="43" t="n">
        <f aca="false">IF($A135="","",COUNTIF(GL_Data!$B$8:$B$5007,$A135))</f>
        <v>0</v>
      </c>
      <c r="I135" s="44" t="str">
        <f aca="false">IF($A135="","",IF($C135="","NO GROUP",IF($E135="?","BAD GROUP",IF($H135=0,"No GL activity","Mapped"))))</f>
        <v>No GL activity</v>
      </c>
    </row>
    <row r="136" customFormat="false" ht="15" hidden="false" customHeight="false" outlineLevel="0" collapsed="false">
      <c r="A136" s="41" t="s">
        <v>286</v>
      </c>
      <c r="B136" s="41"/>
      <c r="C136" s="41" t="s">
        <v>267</v>
      </c>
      <c r="D136" s="41" t="s">
        <v>148</v>
      </c>
      <c r="E136" s="42" t="str">
        <f aca="false">IF($A136="","",IFERROR(INDEX(Lists!$C$5:$C$16,MATCH($C136,Lists!$B$5:$B$16,0)),"?"))</f>
        <v>P&amp;L</v>
      </c>
      <c r="F136" s="42" t="n">
        <f aca="false">IF($A136="","",IFERROR(INDEX(Lists!$D$5:$D$16,MATCH($C136,Lists!$B$5:$B$16,0)),1))</f>
        <v>1</v>
      </c>
      <c r="G136" s="42" t="n">
        <f aca="false">IF($A136="","",IFERROR(INDEX(Lists!$A$5:$A$16,MATCH($C136,Lists!$B$5:$B$16,0)),999))</f>
        <v>40</v>
      </c>
      <c r="H136" s="43" t="n">
        <f aca="false">IF($A136="","",COUNTIF(GL_Data!$B$8:$B$5007,$A136))</f>
        <v>0</v>
      </c>
      <c r="I136" s="44" t="str">
        <f aca="false">IF($A136="","",IF($C136="","NO GROUP",IF($E136="?","BAD GROUP",IF($H136=0,"No GL activity","Mapped"))))</f>
        <v>No GL activity</v>
      </c>
    </row>
    <row r="137" customFormat="false" ht="15" hidden="false" customHeight="false" outlineLevel="0" collapsed="false">
      <c r="A137" s="41" t="s">
        <v>287</v>
      </c>
      <c r="B137" s="41"/>
      <c r="C137" s="41" t="s">
        <v>267</v>
      </c>
      <c r="D137" s="41" t="s">
        <v>148</v>
      </c>
      <c r="E137" s="42" t="str">
        <f aca="false">IF($A137="","",IFERROR(INDEX(Lists!$C$5:$C$16,MATCH($C137,Lists!$B$5:$B$16,0)),"?"))</f>
        <v>P&amp;L</v>
      </c>
      <c r="F137" s="42" t="n">
        <f aca="false">IF($A137="","",IFERROR(INDEX(Lists!$D$5:$D$16,MATCH($C137,Lists!$B$5:$B$16,0)),1))</f>
        <v>1</v>
      </c>
      <c r="G137" s="42" t="n">
        <f aca="false">IF($A137="","",IFERROR(INDEX(Lists!$A$5:$A$16,MATCH($C137,Lists!$B$5:$B$16,0)),999))</f>
        <v>40</v>
      </c>
      <c r="H137" s="43" t="n">
        <f aca="false">IF($A137="","",COUNTIF(GL_Data!$B$8:$B$5007,$A137))</f>
        <v>0</v>
      </c>
      <c r="I137" s="44" t="str">
        <f aca="false">IF($A137="","",IF($C137="","NO GROUP",IF($E137="?","BAD GROUP",IF($H137=0,"No GL activity","Mapped"))))</f>
        <v>No GL activity</v>
      </c>
    </row>
    <row r="138" customFormat="false" ht="15" hidden="false" customHeight="false" outlineLevel="0" collapsed="false">
      <c r="A138" s="41" t="s">
        <v>288</v>
      </c>
      <c r="B138" s="41"/>
      <c r="C138" s="41" t="s">
        <v>267</v>
      </c>
      <c r="D138" s="41" t="s">
        <v>148</v>
      </c>
      <c r="E138" s="42" t="str">
        <f aca="false">IF($A138="","",IFERROR(INDEX(Lists!$C$5:$C$16,MATCH($C138,Lists!$B$5:$B$16,0)),"?"))</f>
        <v>P&amp;L</v>
      </c>
      <c r="F138" s="42" t="n">
        <f aca="false">IF($A138="","",IFERROR(INDEX(Lists!$D$5:$D$16,MATCH($C138,Lists!$B$5:$B$16,0)),1))</f>
        <v>1</v>
      </c>
      <c r="G138" s="42" t="n">
        <f aca="false">IF($A138="","",IFERROR(INDEX(Lists!$A$5:$A$16,MATCH($C138,Lists!$B$5:$B$16,0)),999))</f>
        <v>40</v>
      </c>
      <c r="H138" s="43" t="n">
        <f aca="false">IF($A138="","",COUNTIF(GL_Data!$B$8:$B$5007,$A138))</f>
        <v>0</v>
      </c>
      <c r="I138" s="44" t="str">
        <f aca="false">IF($A138="","",IF($C138="","NO GROUP",IF($E138="?","BAD GROUP",IF($H138=0,"No GL activity","Mapped"))))</f>
        <v>No GL activity</v>
      </c>
    </row>
    <row r="139" customFormat="false" ht="15" hidden="false" customHeight="false" outlineLevel="0" collapsed="false">
      <c r="A139" s="41" t="s">
        <v>289</v>
      </c>
      <c r="B139" s="41"/>
      <c r="C139" s="41" t="s">
        <v>267</v>
      </c>
      <c r="D139" s="41" t="s">
        <v>148</v>
      </c>
      <c r="E139" s="42" t="str">
        <f aca="false">IF($A139="","",IFERROR(INDEX(Lists!$C$5:$C$16,MATCH($C139,Lists!$B$5:$B$16,0)),"?"))</f>
        <v>P&amp;L</v>
      </c>
      <c r="F139" s="42" t="n">
        <f aca="false">IF($A139="","",IFERROR(INDEX(Lists!$D$5:$D$16,MATCH($C139,Lists!$B$5:$B$16,0)),1))</f>
        <v>1</v>
      </c>
      <c r="G139" s="42" t="n">
        <f aca="false">IF($A139="","",IFERROR(INDEX(Lists!$A$5:$A$16,MATCH($C139,Lists!$B$5:$B$16,0)),999))</f>
        <v>40</v>
      </c>
      <c r="H139" s="43" t="n">
        <f aca="false">IF($A139="","",COUNTIF(GL_Data!$B$8:$B$5007,$A139))</f>
        <v>0</v>
      </c>
      <c r="I139" s="44" t="str">
        <f aca="false">IF($A139="","",IF($C139="","NO GROUP",IF($E139="?","BAD GROUP",IF($H139=0,"No GL activity","Mapped"))))</f>
        <v>No GL activity</v>
      </c>
    </row>
    <row r="140" customFormat="false" ht="15" hidden="false" customHeight="false" outlineLevel="0" collapsed="false">
      <c r="A140" s="41" t="s">
        <v>290</v>
      </c>
      <c r="B140" s="41"/>
      <c r="C140" s="41" t="s">
        <v>267</v>
      </c>
      <c r="D140" s="41" t="s">
        <v>148</v>
      </c>
      <c r="E140" s="42" t="str">
        <f aca="false">IF($A140="","",IFERROR(INDEX(Lists!$C$5:$C$16,MATCH($C140,Lists!$B$5:$B$16,0)),"?"))</f>
        <v>P&amp;L</v>
      </c>
      <c r="F140" s="42" t="n">
        <f aca="false">IF($A140="","",IFERROR(INDEX(Lists!$D$5:$D$16,MATCH($C140,Lists!$B$5:$B$16,0)),1))</f>
        <v>1</v>
      </c>
      <c r="G140" s="42" t="n">
        <f aca="false">IF($A140="","",IFERROR(INDEX(Lists!$A$5:$A$16,MATCH($C140,Lists!$B$5:$B$16,0)),999))</f>
        <v>40</v>
      </c>
      <c r="H140" s="43" t="n">
        <f aca="false">IF($A140="","",COUNTIF(GL_Data!$B$8:$B$5007,$A140))</f>
        <v>0</v>
      </c>
      <c r="I140" s="44" t="str">
        <f aca="false">IF($A140="","",IF($C140="","NO GROUP",IF($E140="?","BAD GROUP",IF($H140=0,"No GL activity","Mapped"))))</f>
        <v>No GL activity</v>
      </c>
    </row>
    <row r="141" customFormat="false" ht="15" hidden="false" customHeight="false" outlineLevel="0" collapsed="false">
      <c r="A141" s="41" t="s">
        <v>291</v>
      </c>
      <c r="B141" s="41"/>
      <c r="C141" s="41" t="s">
        <v>267</v>
      </c>
      <c r="D141" s="41" t="s">
        <v>148</v>
      </c>
      <c r="E141" s="42" t="str">
        <f aca="false">IF($A141="","",IFERROR(INDEX(Lists!$C$5:$C$16,MATCH($C141,Lists!$B$5:$B$16,0)),"?"))</f>
        <v>P&amp;L</v>
      </c>
      <c r="F141" s="42" t="n">
        <f aca="false">IF($A141="","",IFERROR(INDEX(Lists!$D$5:$D$16,MATCH($C141,Lists!$B$5:$B$16,0)),1))</f>
        <v>1</v>
      </c>
      <c r="G141" s="42" t="n">
        <f aca="false">IF($A141="","",IFERROR(INDEX(Lists!$A$5:$A$16,MATCH($C141,Lists!$B$5:$B$16,0)),999))</f>
        <v>40</v>
      </c>
      <c r="H141" s="43" t="n">
        <f aca="false">IF($A141="","",COUNTIF(GL_Data!$B$8:$B$5007,$A141))</f>
        <v>0</v>
      </c>
      <c r="I141" s="44" t="str">
        <f aca="false">IF($A141="","",IF($C141="","NO GROUP",IF($E141="?","BAD GROUP",IF($H141=0,"No GL activity","Mapped"))))</f>
        <v>No GL activity</v>
      </c>
    </row>
    <row r="142" customFormat="false" ht="15" hidden="false" customHeight="false" outlineLevel="0" collapsed="false">
      <c r="A142" s="41" t="s">
        <v>292</v>
      </c>
      <c r="B142" s="41"/>
      <c r="C142" s="41" t="s">
        <v>267</v>
      </c>
      <c r="D142" s="41" t="s">
        <v>148</v>
      </c>
      <c r="E142" s="42" t="str">
        <f aca="false">IF($A142="","",IFERROR(INDEX(Lists!$C$5:$C$16,MATCH($C142,Lists!$B$5:$B$16,0)),"?"))</f>
        <v>P&amp;L</v>
      </c>
      <c r="F142" s="42" t="n">
        <f aca="false">IF($A142="","",IFERROR(INDEX(Lists!$D$5:$D$16,MATCH($C142,Lists!$B$5:$B$16,0)),1))</f>
        <v>1</v>
      </c>
      <c r="G142" s="42" t="n">
        <f aca="false">IF($A142="","",IFERROR(INDEX(Lists!$A$5:$A$16,MATCH($C142,Lists!$B$5:$B$16,0)),999))</f>
        <v>40</v>
      </c>
      <c r="H142" s="43" t="n">
        <f aca="false">IF($A142="","",COUNTIF(GL_Data!$B$8:$B$5007,$A142))</f>
        <v>0</v>
      </c>
      <c r="I142" s="44" t="str">
        <f aca="false">IF($A142="","",IF($C142="","NO GROUP",IF($E142="?","BAD GROUP",IF($H142=0,"No GL activity","Mapped"))))</f>
        <v>No GL activity</v>
      </c>
    </row>
    <row r="143" customFormat="false" ht="15" hidden="false" customHeight="false" outlineLevel="0" collapsed="false">
      <c r="A143" s="41" t="s">
        <v>293</v>
      </c>
      <c r="B143" s="41"/>
      <c r="C143" s="41" t="s">
        <v>267</v>
      </c>
      <c r="D143" s="41" t="s">
        <v>165</v>
      </c>
      <c r="E143" s="42" t="str">
        <f aca="false">IF($A143="","",IFERROR(INDEX(Lists!$C$5:$C$16,MATCH($C143,Lists!$B$5:$B$16,0)),"?"))</f>
        <v>P&amp;L</v>
      </c>
      <c r="F143" s="42" t="n">
        <f aca="false">IF($A143="","",IFERROR(INDEX(Lists!$D$5:$D$16,MATCH($C143,Lists!$B$5:$B$16,0)),1))</f>
        <v>1</v>
      </c>
      <c r="G143" s="42" t="n">
        <f aca="false">IF($A143="","",IFERROR(INDEX(Lists!$A$5:$A$16,MATCH($C143,Lists!$B$5:$B$16,0)),999))</f>
        <v>40</v>
      </c>
      <c r="H143" s="43" t="n">
        <f aca="false">IF($A143="","",COUNTIF(GL_Data!$B$8:$B$5007,$A143))</f>
        <v>0</v>
      </c>
      <c r="I143" s="44" t="str">
        <f aca="false">IF($A143="","",IF($C143="","NO GROUP",IF($E143="?","BAD GROUP",IF($H143=0,"No GL activity","Mapped"))))</f>
        <v>No GL activity</v>
      </c>
    </row>
    <row r="144" customFormat="false" ht="15" hidden="false" customHeight="false" outlineLevel="0" collapsed="false">
      <c r="A144" s="41" t="s">
        <v>294</v>
      </c>
      <c r="B144" s="41"/>
      <c r="C144" s="41" t="s">
        <v>267</v>
      </c>
      <c r="D144" s="41" t="s">
        <v>155</v>
      </c>
      <c r="E144" s="42" t="str">
        <f aca="false">IF($A144="","",IFERROR(INDEX(Lists!$C$5:$C$16,MATCH($C144,Lists!$B$5:$B$16,0)),"?"))</f>
        <v>P&amp;L</v>
      </c>
      <c r="F144" s="42" t="n">
        <f aca="false">IF($A144="","",IFERROR(INDEX(Lists!$D$5:$D$16,MATCH($C144,Lists!$B$5:$B$16,0)),1))</f>
        <v>1</v>
      </c>
      <c r="G144" s="42" t="n">
        <f aca="false">IF($A144="","",IFERROR(INDEX(Lists!$A$5:$A$16,MATCH($C144,Lists!$B$5:$B$16,0)),999))</f>
        <v>40</v>
      </c>
      <c r="H144" s="43" t="n">
        <f aca="false">IF($A144="","",COUNTIF(GL_Data!$B$8:$B$5007,$A144))</f>
        <v>0</v>
      </c>
      <c r="I144" s="44" t="str">
        <f aca="false">IF($A144="","",IF($C144="","NO GROUP",IF($E144="?","BAD GROUP",IF($H144=0,"No GL activity","Mapped"))))</f>
        <v>No GL activity</v>
      </c>
    </row>
    <row r="145" customFormat="false" ht="15" hidden="false" customHeight="false" outlineLevel="0" collapsed="false">
      <c r="A145" s="41" t="s">
        <v>295</v>
      </c>
      <c r="B145" s="41"/>
      <c r="C145" s="41" t="s">
        <v>267</v>
      </c>
      <c r="D145" s="41" t="s">
        <v>163</v>
      </c>
      <c r="E145" s="42" t="str">
        <f aca="false">IF($A145="","",IFERROR(INDEX(Lists!$C$5:$C$16,MATCH($C145,Lists!$B$5:$B$16,0)),"?"))</f>
        <v>P&amp;L</v>
      </c>
      <c r="F145" s="42" t="n">
        <f aca="false">IF($A145="","",IFERROR(INDEX(Lists!$D$5:$D$16,MATCH($C145,Lists!$B$5:$B$16,0)),1))</f>
        <v>1</v>
      </c>
      <c r="G145" s="42" t="n">
        <f aca="false">IF($A145="","",IFERROR(INDEX(Lists!$A$5:$A$16,MATCH($C145,Lists!$B$5:$B$16,0)),999))</f>
        <v>40</v>
      </c>
      <c r="H145" s="43" t="n">
        <f aca="false">IF($A145="","",COUNTIF(GL_Data!$B$8:$B$5007,$A145))</f>
        <v>0</v>
      </c>
      <c r="I145" s="44" t="str">
        <f aca="false">IF($A145="","",IF($C145="","NO GROUP",IF($E145="?","BAD GROUP",IF($H145=0,"No GL activity","Mapped"))))</f>
        <v>No GL activity</v>
      </c>
    </row>
    <row r="146" customFormat="false" ht="15" hidden="false" customHeight="false" outlineLevel="0" collapsed="false">
      <c r="A146" s="41" t="s">
        <v>296</v>
      </c>
      <c r="B146" s="41"/>
      <c r="C146" s="41" t="s">
        <v>267</v>
      </c>
      <c r="D146" s="41" t="s">
        <v>157</v>
      </c>
      <c r="E146" s="42" t="str">
        <f aca="false">IF($A146="","",IFERROR(INDEX(Lists!$C$5:$C$16,MATCH($C146,Lists!$B$5:$B$16,0)),"?"))</f>
        <v>P&amp;L</v>
      </c>
      <c r="F146" s="42" t="n">
        <f aca="false">IF($A146="","",IFERROR(INDEX(Lists!$D$5:$D$16,MATCH($C146,Lists!$B$5:$B$16,0)),1))</f>
        <v>1</v>
      </c>
      <c r="G146" s="42" t="n">
        <f aca="false">IF($A146="","",IFERROR(INDEX(Lists!$A$5:$A$16,MATCH($C146,Lists!$B$5:$B$16,0)),999))</f>
        <v>40</v>
      </c>
      <c r="H146" s="43" t="n">
        <f aca="false">IF($A146="","",COUNTIF(GL_Data!$B$8:$B$5007,$A146))</f>
        <v>0</v>
      </c>
      <c r="I146" s="44" t="str">
        <f aca="false">IF($A146="","",IF($C146="","NO GROUP",IF($E146="?","BAD GROUP",IF($H146=0,"No GL activity","Mapped"))))</f>
        <v>No GL activity</v>
      </c>
    </row>
    <row r="147" customFormat="false" ht="15" hidden="false" customHeight="false" outlineLevel="0" collapsed="false">
      <c r="A147" s="41" t="s">
        <v>297</v>
      </c>
      <c r="B147" s="41"/>
      <c r="C147" s="41" t="s">
        <v>267</v>
      </c>
      <c r="D147" s="41" t="s">
        <v>159</v>
      </c>
      <c r="E147" s="42" t="str">
        <f aca="false">IF($A147="","",IFERROR(INDEX(Lists!$C$5:$C$16,MATCH($C147,Lists!$B$5:$B$16,0)),"?"))</f>
        <v>P&amp;L</v>
      </c>
      <c r="F147" s="42" t="n">
        <f aca="false">IF($A147="","",IFERROR(INDEX(Lists!$D$5:$D$16,MATCH($C147,Lists!$B$5:$B$16,0)),1))</f>
        <v>1</v>
      </c>
      <c r="G147" s="42" t="n">
        <f aca="false">IF($A147="","",IFERROR(INDEX(Lists!$A$5:$A$16,MATCH($C147,Lists!$B$5:$B$16,0)),999))</f>
        <v>40</v>
      </c>
      <c r="H147" s="43" t="n">
        <f aca="false">IF($A147="","",COUNTIF(GL_Data!$B$8:$B$5007,$A147))</f>
        <v>0</v>
      </c>
      <c r="I147" s="44" t="str">
        <f aca="false">IF($A147="","",IF($C147="","NO GROUP",IF($E147="?","BAD GROUP",IF($H147=0,"No GL activity","Mapped"))))</f>
        <v>No GL activity</v>
      </c>
    </row>
    <row r="148" customFormat="false" ht="15" hidden="false" customHeight="false" outlineLevel="0" collapsed="false">
      <c r="A148" s="41" t="s">
        <v>298</v>
      </c>
      <c r="B148" s="41"/>
      <c r="C148" s="41" t="s">
        <v>267</v>
      </c>
      <c r="D148" s="41" t="s">
        <v>161</v>
      </c>
      <c r="E148" s="42" t="str">
        <f aca="false">IF($A148="","",IFERROR(INDEX(Lists!$C$5:$C$16,MATCH($C148,Lists!$B$5:$B$16,0)),"?"))</f>
        <v>P&amp;L</v>
      </c>
      <c r="F148" s="42" t="n">
        <f aca="false">IF($A148="","",IFERROR(INDEX(Lists!$D$5:$D$16,MATCH($C148,Lists!$B$5:$B$16,0)),1))</f>
        <v>1</v>
      </c>
      <c r="G148" s="42" t="n">
        <f aca="false">IF($A148="","",IFERROR(INDEX(Lists!$A$5:$A$16,MATCH($C148,Lists!$B$5:$B$16,0)),999))</f>
        <v>40</v>
      </c>
      <c r="H148" s="43" t="n">
        <f aca="false">IF($A148="","",COUNTIF(GL_Data!$B$8:$B$5007,$A148))</f>
        <v>0</v>
      </c>
      <c r="I148" s="44" t="str">
        <f aca="false">IF($A148="","",IF($C148="","NO GROUP",IF($E148="?","BAD GROUP",IF($H148=0,"No GL activity","Mapped"))))</f>
        <v>No GL activity</v>
      </c>
    </row>
    <row r="149" customFormat="false" ht="15" hidden="false" customHeight="false" outlineLevel="0" collapsed="false">
      <c r="A149" s="41" t="s">
        <v>299</v>
      </c>
      <c r="B149" s="41"/>
      <c r="C149" s="41" t="s">
        <v>267</v>
      </c>
      <c r="D149" s="41" t="s">
        <v>165</v>
      </c>
      <c r="E149" s="42" t="str">
        <f aca="false">IF($A149="","",IFERROR(INDEX(Lists!$C$5:$C$16,MATCH($C149,Lists!$B$5:$B$16,0)),"?"))</f>
        <v>P&amp;L</v>
      </c>
      <c r="F149" s="42" t="n">
        <f aca="false">IF($A149="","",IFERROR(INDEX(Lists!$D$5:$D$16,MATCH($C149,Lists!$B$5:$B$16,0)),1))</f>
        <v>1</v>
      </c>
      <c r="G149" s="42" t="n">
        <f aca="false">IF($A149="","",IFERROR(INDEX(Lists!$A$5:$A$16,MATCH($C149,Lists!$B$5:$B$16,0)),999))</f>
        <v>40</v>
      </c>
      <c r="H149" s="43" t="n">
        <f aca="false">IF($A149="","",COUNTIF(GL_Data!$B$8:$B$5007,$A149))</f>
        <v>0</v>
      </c>
      <c r="I149" s="44" t="str">
        <f aca="false">IF($A149="","",IF($C149="","NO GROUP",IF($E149="?","BAD GROUP",IF($H149=0,"No GL activity","Mapped"))))</f>
        <v>No GL activity</v>
      </c>
    </row>
    <row r="150" customFormat="false" ht="15" hidden="false" customHeight="false" outlineLevel="0" collapsed="false">
      <c r="A150" s="41" t="s">
        <v>300</v>
      </c>
      <c r="B150" s="41"/>
      <c r="C150" s="41" t="s">
        <v>267</v>
      </c>
      <c r="D150" s="41" t="s">
        <v>155</v>
      </c>
      <c r="E150" s="42" t="str">
        <f aca="false">IF($A150="","",IFERROR(INDEX(Lists!$C$5:$C$16,MATCH($C150,Lists!$B$5:$B$16,0)),"?"))</f>
        <v>P&amp;L</v>
      </c>
      <c r="F150" s="42" t="n">
        <f aca="false">IF($A150="","",IFERROR(INDEX(Lists!$D$5:$D$16,MATCH($C150,Lists!$B$5:$B$16,0)),1))</f>
        <v>1</v>
      </c>
      <c r="G150" s="42" t="n">
        <f aca="false">IF($A150="","",IFERROR(INDEX(Lists!$A$5:$A$16,MATCH($C150,Lists!$B$5:$B$16,0)),999))</f>
        <v>40</v>
      </c>
      <c r="H150" s="43" t="n">
        <f aca="false">IF($A150="","",COUNTIF(GL_Data!$B$8:$B$5007,$A150))</f>
        <v>0</v>
      </c>
      <c r="I150" s="44" t="str">
        <f aca="false">IF($A150="","",IF($C150="","NO GROUP",IF($E150="?","BAD GROUP",IF($H150=0,"No GL activity","Mapped"))))</f>
        <v>No GL activity</v>
      </c>
    </row>
    <row r="151" customFormat="false" ht="15" hidden="false" customHeight="false" outlineLevel="0" collapsed="false">
      <c r="A151" s="41" t="s">
        <v>301</v>
      </c>
      <c r="B151" s="41"/>
      <c r="C151" s="41" t="s">
        <v>267</v>
      </c>
      <c r="D151" s="41" t="s">
        <v>163</v>
      </c>
      <c r="E151" s="42" t="str">
        <f aca="false">IF($A151="","",IFERROR(INDEX(Lists!$C$5:$C$16,MATCH($C151,Lists!$B$5:$B$16,0)),"?"))</f>
        <v>P&amp;L</v>
      </c>
      <c r="F151" s="42" t="n">
        <f aca="false">IF($A151="","",IFERROR(INDEX(Lists!$D$5:$D$16,MATCH($C151,Lists!$B$5:$B$16,0)),1))</f>
        <v>1</v>
      </c>
      <c r="G151" s="42" t="n">
        <f aca="false">IF($A151="","",IFERROR(INDEX(Lists!$A$5:$A$16,MATCH($C151,Lists!$B$5:$B$16,0)),999))</f>
        <v>40</v>
      </c>
      <c r="H151" s="43" t="n">
        <f aca="false">IF($A151="","",COUNTIF(GL_Data!$B$8:$B$5007,$A151))</f>
        <v>0</v>
      </c>
      <c r="I151" s="44" t="str">
        <f aca="false">IF($A151="","",IF($C151="","NO GROUP",IF($E151="?","BAD GROUP",IF($H151=0,"No GL activity","Mapped"))))</f>
        <v>No GL activity</v>
      </c>
    </row>
    <row r="152" customFormat="false" ht="15" hidden="false" customHeight="false" outlineLevel="0" collapsed="false">
      <c r="A152" s="41" t="s">
        <v>302</v>
      </c>
      <c r="B152" s="41"/>
      <c r="C152" s="41" t="s">
        <v>267</v>
      </c>
      <c r="D152" s="41" t="s">
        <v>157</v>
      </c>
      <c r="E152" s="42" t="str">
        <f aca="false">IF($A152="","",IFERROR(INDEX(Lists!$C$5:$C$16,MATCH($C152,Lists!$B$5:$B$16,0)),"?"))</f>
        <v>P&amp;L</v>
      </c>
      <c r="F152" s="42" t="n">
        <f aca="false">IF($A152="","",IFERROR(INDEX(Lists!$D$5:$D$16,MATCH($C152,Lists!$B$5:$B$16,0)),1))</f>
        <v>1</v>
      </c>
      <c r="G152" s="42" t="n">
        <f aca="false">IF($A152="","",IFERROR(INDEX(Lists!$A$5:$A$16,MATCH($C152,Lists!$B$5:$B$16,0)),999))</f>
        <v>40</v>
      </c>
      <c r="H152" s="43" t="n">
        <f aca="false">IF($A152="","",COUNTIF(GL_Data!$B$8:$B$5007,$A152))</f>
        <v>0</v>
      </c>
      <c r="I152" s="44" t="str">
        <f aca="false">IF($A152="","",IF($C152="","NO GROUP",IF($E152="?","BAD GROUP",IF($H152=0,"No GL activity","Mapped"))))</f>
        <v>No GL activity</v>
      </c>
    </row>
    <row r="153" customFormat="false" ht="15" hidden="false" customHeight="false" outlineLevel="0" collapsed="false">
      <c r="A153" s="41" t="s">
        <v>303</v>
      </c>
      <c r="B153" s="41"/>
      <c r="C153" s="41" t="s">
        <v>267</v>
      </c>
      <c r="D153" s="41" t="s">
        <v>159</v>
      </c>
      <c r="E153" s="42" t="str">
        <f aca="false">IF($A153="","",IFERROR(INDEX(Lists!$C$5:$C$16,MATCH($C153,Lists!$B$5:$B$16,0)),"?"))</f>
        <v>P&amp;L</v>
      </c>
      <c r="F153" s="42" t="n">
        <f aca="false">IF($A153="","",IFERROR(INDEX(Lists!$D$5:$D$16,MATCH($C153,Lists!$B$5:$B$16,0)),1))</f>
        <v>1</v>
      </c>
      <c r="G153" s="42" t="n">
        <f aca="false">IF($A153="","",IFERROR(INDEX(Lists!$A$5:$A$16,MATCH($C153,Lists!$B$5:$B$16,0)),999))</f>
        <v>40</v>
      </c>
      <c r="H153" s="43" t="n">
        <f aca="false">IF($A153="","",COUNTIF(GL_Data!$B$8:$B$5007,$A153))</f>
        <v>0</v>
      </c>
      <c r="I153" s="44" t="str">
        <f aca="false">IF($A153="","",IF($C153="","NO GROUP",IF($E153="?","BAD GROUP",IF($H153=0,"No GL activity","Mapped"))))</f>
        <v>No GL activity</v>
      </c>
    </row>
    <row r="154" customFormat="false" ht="15" hidden="false" customHeight="false" outlineLevel="0" collapsed="false">
      <c r="A154" s="41" t="s">
        <v>304</v>
      </c>
      <c r="B154" s="41"/>
      <c r="C154" s="41" t="s">
        <v>267</v>
      </c>
      <c r="D154" s="41" t="s">
        <v>161</v>
      </c>
      <c r="E154" s="42" t="str">
        <f aca="false">IF($A154="","",IFERROR(INDEX(Lists!$C$5:$C$16,MATCH($C154,Lists!$B$5:$B$16,0)),"?"))</f>
        <v>P&amp;L</v>
      </c>
      <c r="F154" s="42" t="n">
        <f aca="false">IF($A154="","",IFERROR(INDEX(Lists!$D$5:$D$16,MATCH($C154,Lists!$B$5:$B$16,0)),1))</f>
        <v>1</v>
      </c>
      <c r="G154" s="42" t="n">
        <f aca="false">IF($A154="","",IFERROR(INDEX(Lists!$A$5:$A$16,MATCH($C154,Lists!$B$5:$B$16,0)),999))</f>
        <v>40</v>
      </c>
      <c r="H154" s="43" t="n">
        <f aca="false">IF($A154="","",COUNTIF(GL_Data!$B$8:$B$5007,$A154))</f>
        <v>0</v>
      </c>
      <c r="I154" s="44" t="str">
        <f aca="false">IF($A154="","",IF($C154="","NO GROUP",IF($E154="?","BAD GROUP",IF($H154=0,"No GL activity","Mapped"))))</f>
        <v>No GL activity</v>
      </c>
    </row>
    <row r="155" customFormat="false" ht="15" hidden="false" customHeight="false" outlineLevel="0" collapsed="false">
      <c r="A155" s="41" t="s">
        <v>305</v>
      </c>
      <c r="B155" s="41"/>
      <c r="C155" s="41" t="s">
        <v>267</v>
      </c>
      <c r="D155" s="41" t="s">
        <v>148</v>
      </c>
      <c r="E155" s="42" t="str">
        <f aca="false">IF($A155="","",IFERROR(INDEX(Lists!$C$5:$C$16,MATCH($C155,Lists!$B$5:$B$16,0)),"?"))</f>
        <v>P&amp;L</v>
      </c>
      <c r="F155" s="42" t="n">
        <f aca="false">IF($A155="","",IFERROR(INDEX(Lists!$D$5:$D$16,MATCH($C155,Lists!$B$5:$B$16,0)),1))</f>
        <v>1</v>
      </c>
      <c r="G155" s="42" t="n">
        <f aca="false">IF($A155="","",IFERROR(INDEX(Lists!$A$5:$A$16,MATCH($C155,Lists!$B$5:$B$16,0)),999))</f>
        <v>40</v>
      </c>
      <c r="H155" s="43" t="n">
        <f aca="false">IF($A155="","",COUNTIF(GL_Data!$B$8:$B$5007,$A155))</f>
        <v>0</v>
      </c>
      <c r="I155" s="44" t="str">
        <f aca="false">IF($A155="","",IF($C155="","NO GROUP",IF($E155="?","BAD GROUP",IF($H155=0,"No GL activity","Mapped"))))</f>
        <v>No GL activity</v>
      </c>
    </row>
    <row r="156" customFormat="false" ht="15" hidden="false" customHeight="false" outlineLevel="0" collapsed="false">
      <c r="A156" s="41" t="s">
        <v>306</v>
      </c>
      <c r="B156" s="41"/>
      <c r="C156" s="41" t="s">
        <v>267</v>
      </c>
      <c r="D156" s="41" t="s">
        <v>148</v>
      </c>
      <c r="E156" s="42" t="str">
        <f aca="false">IF($A156="","",IFERROR(INDEX(Lists!$C$5:$C$16,MATCH($C156,Lists!$B$5:$B$16,0)),"?"))</f>
        <v>P&amp;L</v>
      </c>
      <c r="F156" s="42" t="n">
        <f aca="false">IF($A156="","",IFERROR(INDEX(Lists!$D$5:$D$16,MATCH($C156,Lists!$B$5:$B$16,0)),1))</f>
        <v>1</v>
      </c>
      <c r="G156" s="42" t="n">
        <f aca="false">IF($A156="","",IFERROR(INDEX(Lists!$A$5:$A$16,MATCH($C156,Lists!$B$5:$B$16,0)),999))</f>
        <v>40</v>
      </c>
      <c r="H156" s="43" t="n">
        <f aca="false">IF($A156="","",COUNTIF(GL_Data!$B$8:$B$5007,$A156))</f>
        <v>0</v>
      </c>
      <c r="I156" s="44" t="str">
        <f aca="false">IF($A156="","",IF($C156="","NO GROUP",IF($E156="?","BAD GROUP",IF($H156=0,"No GL activity","Mapped"))))</f>
        <v>No GL activity</v>
      </c>
    </row>
    <row r="157" customFormat="false" ht="15" hidden="false" customHeight="false" outlineLevel="0" collapsed="false">
      <c r="A157" s="41" t="s">
        <v>307</v>
      </c>
      <c r="B157" s="41"/>
      <c r="C157" s="41" t="s">
        <v>267</v>
      </c>
      <c r="D157" s="41" t="s">
        <v>148</v>
      </c>
      <c r="E157" s="42" t="str">
        <f aca="false">IF($A157="","",IFERROR(INDEX(Lists!$C$5:$C$16,MATCH($C157,Lists!$B$5:$B$16,0)),"?"))</f>
        <v>P&amp;L</v>
      </c>
      <c r="F157" s="42" t="n">
        <f aca="false">IF($A157="","",IFERROR(INDEX(Lists!$D$5:$D$16,MATCH($C157,Lists!$B$5:$B$16,0)),1))</f>
        <v>1</v>
      </c>
      <c r="G157" s="42" t="n">
        <f aca="false">IF($A157="","",IFERROR(INDEX(Lists!$A$5:$A$16,MATCH($C157,Lists!$B$5:$B$16,0)),999))</f>
        <v>40</v>
      </c>
      <c r="H157" s="43" t="n">
        <f aca="false">IF($A157="","",COUNTIF(GL_Data!$B$8:$B$5007,$A157))</f>
        <v>0</v>
      </c>
      <c r="I157" s="44" t="str">
        <f aca="false">IF($A157="","",IF($C157="","NO GROUP",IF($E157="?","BAD GROUP",IF($H157=0,"No GL activity","Mapped"))))</f>
        <v>No GL activity</v>
      </c>
    </row>
    <row r="158" customFormat="false" ht="15" hidden="false" customHeight="false" outlineLevel="0" collapsed="false">
      <c r="A158" s="41" t="s">
        <v>308</v>
      </c>
      <c r="B158" s="41"/>
      <c r="C158" s="41" t="s">
        <v>267</v>
      </c>
      <c r="D158" s="41" t="s">
        <v>148</v>
      </c>
      <c r="E158" s="42" t="str">
        <f aca="false">IF($A158="","",IFERROR(INDEX(Lists!$C$5:$C$16,MATCH($C158,Lists!$B$5:$B$16,0)),"?"))</f>
        <v>P&amp;L</v>
      </c>
      <c r="F158" s="42" t="n">
        <f aca="false">IF($A158="","",IFERROR(INDEX(Lists!$D$5:$D$16,MATCH($C158,Lists!$B$5:$B$16,0)),1))</f>
        <v>1</v>
      </c>
      <c r="G158" s="42" t="n">
        <f aca="false">IF($A158="","",IFERROR(INDEX(Lists!$A$5:$A$16,MATCH($C158,Lists!$B$5:$B$16,0)),999))</f>
        <v>40</v>
      </c>
      <c r="H158" s="43" t="n">
        <f aca="false">IF($A158="","",COUNTIF(GL_Data!$B$8:$B$5007,$A158))</f>
        <v>0</v>
      </c>
      <c r="I158" s="44" t="str">
        <f aca="false">IF($A158="","",IF($C158="","NO GROUP",IF($E158="?","BAD GROUP",IF($H158=0,"No GL activity","Mapped"))))</f>
        <v>No GL activity</v>
      </c>
    </row>
    <row r="159" customFormat="false" ht="15" hidden="false" customHeight="false" outlineLevel="0" collapsed="false">
      <c r="A159" s="41" t="s">
        <v>309</v>
      </c>
      <c r="B159" s="41"/>
      <c r="C159" s="41" t="s">
        <v>267</v>
      </c>
      <c r="D159" s="41" t="s">
        <v>148</v>
      </c>
      <c r="E159" s="42" t="str">
        <f aca="false">IF($A159="","",IFERROR(INDEX(Lists!$C$5:$C$16,MATCH($C159,Lists!$B$5:$B$16,0)),"?"))</f>
        <v>P&amp;L</v>
      </c>
      <c r="F159" s="42" t="n">
        <f aca="false">IF($A159="","",IFERROR(INDEX(Lists!$D$5:$D$16,MATCH($C159,Lists!$B$5:$B$16,0)),1))</f>
        <v>1</v>
      </c>
      <c r="G159" s="42" t="n">
        <f aca="false">IF($A159="","",IFERROR(INDEX(Lists!$A$5:$A$16,MATCH($C159,Lists!$B$5:$B$16,0)),999))</f>
        <v>40</v>
      </c>
      <c r="H159" s="43" t="n">
        <f aca="false">IF($A159="","",COUNTIF(GL_Data!$B$8:$B$5007,$A159))</f>
        <v>0</v>
      </c>
      <c r="I159" s="44" t="str">
        <f aca="false">IF($A159="","",IF($C159="","NO GROUP",IF($E159="?","BAD GROUP",IF($H159=0,"No GL activity","Mapped"))))</f>
        <v>No GL activity</v>
      </c>
    </row>
    <row r="160" customFormat="false" ht="15" hidden="false" customHeight="false" outlineLevel="0" collapsed="false">
      <c r="A160" s="41" t="s">
        <v>310</v>
      </c>
      <c r="B160" s="41"/>
      <c r="C160" s="41" t="s">
        <v>267</v>
      </c>
      <c r="D160" s="41" t="s">
        <v>148</v>
      </c>
      <c r="E160" s="42" t="str">
        <f aca="false">IF($A160="","",IFERROR(INDEX(Lists!$C$5:$C$16,MATCH($C160,Lists!$B$5:$B$16,0)),"?"))</f>
        <v>P&amp;L</v>
      </c>
      <c r="F160" s="42" t="n">
        <f aca="false">IF($A160="","",IFERROR(INDEX(Lists!$D$5:$D$16,MATCH($C160,Lists!$B$5:$B$16,0)),1))</f>
        <v>1</v>
      </c>
      <c r="G160" s="42" t="n">
        <f aca="false">IF($A160="","",IFERROR(INDEX(Lists!$A$5:$A$16,MATCH($C160,Lists!$B$5:$B$16,0)),999))</f>
        <v>40</v>
      </c>
      <c r="H160" s="43" t="n">
        <f aca="false">IF($A160="","",COUNTIF(GL_Data!$B$8:$B$5007,$A160))</f>
        <v>0</v>
      </c>
      <c r="I160" s="44" t="str">
        <f aca="false">IF($A160="","",IF($C160="","NO GROUP",IF($E160="?","BAD GROUP",IF($H160=0,"No GL activity","Mapped"))))</f>
        <v>No GL activity</v>
      </c>
    </row>
    <row r="161" customFormat="false" ht="15" hidden="false" customHeight="false" outlineLevel="0" collapsed="false">
      <c r="A161" s="41" t="s">
        <v>311</v>
      </c>
      <c r="B161" s="41"/>
      <c r="C161" s="41" t="s">
        <v>267</v>
      </c>
      <c r="D161" s="41" t="s">
        <v>148</v>
      </c>
      <c r="E161" s="42" t="str">
        <f aca="false">IF($A161="","",IFERROR(INDEX(Lists!$C$5:$C$16,MATCH($C161,Lists!$B$5:$B$16,0)),"?"))</f>
        <v>P&amp;L</v>
      </c>
      <c r="F161" s="42" t="n">
        <f aca="false">IF($A161="","",IFERROR(INDEX(Lists!$D$5:$D$16,MATCH($C161,Lists!$B$5:$B$16,0)),1))</f>
        <v>1</v>
      </c>
      <c r="G161" s="42" t="n">
        <f aca="false">IF($A161="","",IFERROR(INDEX(Lists!$A$5:$A$16,MATCH($C161,Lists!$B$5:$B$16,0)),999))</f>
        <v>40</v>
      </c>
      <c r="H161" s="43" t="n">
        <f aca="false">IF($A161="","",COUNTIF(GL_Data!$B$8:$B$5007,$A161))</f>
        <v>0</v>
      </c>
      <c r="I161" s="44" t="str">
        <f aca="false">IF($A161="","",IF($C161="","NO GROUP",IF($E161="?","BAD GROUP",IF($H161=0,"No GL activity","Mapped"))))</f>
        <v>No GL activity</v>
      </c>
    </row>
    <row r="162" customFormat="false" ht="15" hidden="false" customHeight="false" outlineLevel="0" collapsed="false">
      <c r="A162" s="41" t="s">
        <v>312</v>
      </c>
      <c r="B162" s="41"/>
      <c r="C162" s="41" t="s">
        <v>267</v>
      </c>
      <c r="D162" s="41" t="s">
        <v>148</v>
      </c>
      <c r="E162" s="42" t="str">
        <f aca="false">IF($A162="","",IFERROR(INDEX(Lists!$C$5:$C$16,MATCH($C162,Lists!$B$5:$B$16,0)),"?"))</f>
        <v>P&amp;L</v>
      </c>
      <c r="F162" s="42" t="n">
        <f aca="false">IF($A162="","",IFERROR(INDEX(Lists!$D$5:$D$16,MATCH($C162,Lists!$B$5:$B$16,0)),1))</f>
        <v>1</v>
      </c>
      <c r="G162" s="42" t="n">
        <f aca="false">IF($A162="","",IFERROR(INDEX(Lists!$A$5:$A$16,MATCH($C162,Lists!$B$5:$B$16,0)),999))</f>
        <v>40</v>
      </c>
      <c r="H162" s="43" t="n">
        <f aca="false">IF($A162="","",COUNTIF(GL_Data!$B$8:$B$5007,$A162))</f>
        <v>0</v>
      </c>
      <c r="I162" s="44" t="str">
        <f aca="false">IF($A162="","",IF($C162="","NO GROUP",IF($E162="?","BAD GROUP",IF($H162=0,"No GL activity","Mapped"))))</f>
        <v>No GL activity</v>
      </c>
    </row>
    <row r="163" customFormat="false" ht="15" hidden="false" customHeight="false" outlineLevel="0" collapsed="false">
      <c r="A163" s="41" t="s">
        <v>313</v>
      </c>
      <c r="B163" s="41"/>
      <c r="C163" s="41" t="s">
        <v>267</v>
      </c>
      <c r="D163" s="41" t="s">
        <v>148</v>
      </c>
      <c r="E163" s="42" t="str">
        <f aca="false">IF($A163="","",IFERROR(INDEX(Lists!$C$5:$C$16,MATCH($C163,Lists!$B$5:$B$16,0)),"?"))</f>
        <v>P&amp;L</v>
      </c>
      <c r="F163" s="42" t="n">
        <f aca="false">IF($A163="","",IFERROR(INDEX(Lists!$D$5:$D$16,MATCH($C163,Lists!$B$5:$B$16,0)),1))</f>
        <v>1</v>
      </c>
      <c r="G163" s="42" t="n">
        <f aca="false">IF($A163="","",IFERROR(INDEX(Lists!$A$5:$A$16,MATCH($C163,Lists!$B$5:$B$16,0)),999))</f>
        <v>40</v>
      </c>
      <c r="H163" s="43" t="n">
        <f aca="false">IF($A163="","",COUNTIF(GL_Data!$B$8:$B$5007,$A163))</f>
        <v>0</v>
      </c>
      <c r="I163" s="44" t="str">
        <f aca="false">IF($A163="","",IF($C163="","NO GROUP",IF($E163="?","BAD GROUP",IF($H163=0,"No GL activity","Mapped"))))</f>
        <v>No GL activity</v>
      </c>
    </row>
    <row r="164" customFormat="false" ht="15" hidden="false" customHeight="false" outlineLevel="0" collapsed="false">
      <c r="A164" s="41" t="s">
        <v>314</v>
      </c>
      <c r="B164" s="41"/>
      <c r="C164" s="41" t="s">
        <v>267</v>
      </c>
      <c r="D164" s="41" t="s">
        <v>148</v>
      </c>
      <c r="E164" s="42" t="str">
        <f aca="false">IF($A164="","",IFERROR(INDEX(Lists!$C$5:$C$16,MATCH($C164,Lists!$B$5:$B$16,0)),"?"))</f>
        <v>P&amp;L</v>
      </c>
      <c r="F164" s="42" t="n">
        <f aca="false">IF($A164="","",IFERROR(INDEX(Lists!$D$5:$D$16,MATCH($C164,Lists!$B$5:$B$16,0)),1))</f>
        <v>1</v>
      </c>
      <c r="G164" s="42" t="n">
        <f aca="false">IF($A164="","",IFERROR(INDEX(Lists!$A$5:$A$16,MATCH($C164,Lists!$B$5:$B$16,0)),999))</f>
        <v>40</v>
      </c>
      <c r="H164" s="43" t="n">
        <f aca="false">IF($A164="","",COUNTIF(GL_Data!$B$8:$B$5007,$A164))</f>
        <v>0</v>
      </c>
      <c r="I164" s="44" t="str">
        <f aca="false">IF($A164="","",IF($C164="","NO GROUP",IF($E164="?","BAD GROUP",IF($H164=0,"No GL activity","Mapped"))))</f>
        <v>No GL activity</v>
      </c>
    </row>
    <row r="165" customFormat="false" ht="15" hidden="false" customHeight="false" outlineLevel="0" collapsed="false">
      <c r="A165" s="41" t="s">
        <v>315</v>
      </c>
      <c r="B165" s="41"/>
      <c r="C165" s="41" t="s">
        <v>267</v>
      </c>
      <c r="D165" s="41" t="s">
        <v>148</v>
      </c>
      <c r="E165" s="42" t="str">
        <f aca="false">IF($A165="","",IFERROR(INDEX(Lists!$C$5:$C$16,MATCH($C165,Lists!$B$5:$B$16,0)),"?"))</f>
        <v>P&amp;L</v>
      </c>
      <c r="F165" s="42" t="n">
        <f aca="false">IF($A165="","",IFERROR(INDEX(Lists!$D$5:$D$16,MATCH($C165,Lists!$B$5:$B$16,0)),1))</f>
        <v>1</v>
      </c>
      <c r="G165" s="42" t="n">
        <f aca="false">IF($A165="","",IFERROR(INDEX(Lists!$A$5:$A$16,MATCH($C165,Lists!$B$5:$B$16,0)),999))</f>
        <v>40</v>
      </c>
      <c r="H165" s="43" t="n">
        <f aca="false">IF($A165="","",COUNTIF(GL_Data!$B$8:$B$5007,$A165))</f>
        <v>0</v>
      </c>
      <c r="I165" s="44" t="str">
        <f aca="false">IF($A165="","",IF($C165="","NO GROUP",IF($E165="?","BAD GROUP",IF($H165=0,"No GL activity","Mapped"))))</f>
        <v>No GL activity</v>
      </c>
    </row>
    <row r="166" customFormat="false" ht="15" hidden="false" customHeight="false" outlineLevel="0" collapsed="false">
      <c r="A166" s="41" t="s">
        <v>316</v>
      </c>
      <c r="B166" s="41"/>
      <c r="C166" s="41" t="s">
        <v>267</v>
      </c>
      <c r="D166" s="41" t="s">
        <v>148</v>
      </c>
      <c r="E166" s="42" t="str">
        <f aca="false">IF($A166="","",IFERROR(INDEX(Lists!$C$5:$C$16,MATCH($C166,Lists!$B$5:$B$16,0)),"?"))</f>
        <v>P&amp;L</v>
      </c>
      <c r="F166" s="42" t="n">
        <f aca="false">IF($A166="","",IFERROR(INDEX(Lists!$D$5:$D$16,MATCH($C166,Lists!$B$5:$B$16,0)),1))</f>
        <v>1</v>
      </c>
      <c r="G166" s="42" t="n">
        <f aca="false">IF($A166="","",IFERROR(INDEX(Lists!$A$5:$A$16,MATCH($C166,Lists!$B$5:$B$16,0)),999))</f>
        <v>40</v>
      </c>
      <c r="H166" s="43" t="n">
        <f aca="false">IF($A166="","",COUNTIF(GL_Data!$B$8:$B$5007,$A166))</f>
        <v>0</v>
      </c>
      <c r="I166" s="44" t="str">
        <f aca="false">IF($A166="","",IF($C166="","NO GROUP",IF($E166="?","BAD GROUP",IF($H166=0,"No GL activity","Mapped"))))</f>
        <v>No GL activity</v>
      </c>
    </row>
    <row r="167" customFormat="false" ht="15" hidden="false" customHeight="false" outlineLevel="0" collapsed="false">
      <c r="A167" s="41" t="s">
        <v>317</v>
      </c>
      <c r="B167" s="41"/>
      <c r="C167" s="41" t="s">
        <v>267</v>
      </c>
      <c r="D167" s="41" t="s">
        <v>148</v>
      </c>
      <c r="E167" s="42" t="str">
        <f aca="false">IF($A167="","",IFERROR(INDEX(Lists!$C$5:$C$16,MATCH($C167,Lists!$B$5:$B$16,0)),"?"))</f>
        <v>P&amp;L</v>
      </c>
      <c r="F167" s="42" t="n">
        <f aca="false">IF($A167="","",IFERROR(INDEX(Lists!$D$5:$D$16,MATCH($C167,Lists!$B$5:$B$16,0)),1))</f>
        <v>1</v>
      </c>
      <c r="G167" s="42" t="n">
        <f aca="false">IF($A167="","",IFERROR(INDEX(Lists!$A$5:$A$16,MATCH($C167,Lists!$B$5:$B$16,0)),999))</f>
        <v>40</v>
      </c>
      <c r="H167" s="43" t="n">
        <f aca="false">IF($A167="","",COUNTIF(GL_Data!$B$8:$B$5007,$A167))</f>
        <v>0</v>
      </c>
      <c r="I167" s="44" t="str">
        <f aca="false">IF($A167="","",IF($C167="","NO GROUP",IF($E167="?","BAD GROUP",IF($H167=0,"No GL activity","Mapped"))))</f>
        <v>No GL activity</v>
      </c>
    </row>
    <row r="168" customFormat="false" ht="15" hidden="false" customHeight="false" outlineLevel="0" collapsed="false">
      <c r="A168" s="41" t="s">
        <v>318</v>
      </c>
      <c r="B168" s="41"/>
      <c r="C168" s="41" t="s">
        <v>267</v>
      </c>
      <c r="D168" s="41" t="s">
        <v>148</v>
      </c>
      <c r="E168" s="42" t="str">
        <f aca="false">IF($A168="","",IFERROR(INDEX(Lists!$C$5:$C$16,MATCH($C168,Lists!$B$5:$B$16,0)),"?"))</f>
        <v>P&amp;L</v>
      </c>
      <c r="F168" s="42" t="n">
        <f aca="false">IF($A168="","",IFERROR(INDEX(Lists!$D$5:$D$16,MATCH($C168,Lists!$B$5:$B$16,0)),1))</f>
        <v>1</v>
      </c>
      <c r="G168" s="42" t="n">
        <f aca="false">IF($A168="","",IFERROR(INDEX(Lists!$A$5:$A$16,MATCH($C168,Lists!$B$5:$B$16,0)),999))</f>
        <v>40</v>
      </c>
      <c r="H168" s="43" t="n">
        <f aca="false">IF($A168="","",COUNTIF(GL_Data!$B$8:$B$5007,$A168))</f>
        <v>0</v>
      </c>
      <c r="I168" s="44" t="str">
        <f aca="false">IF($A168="","",IF($C168="","NO GROUP",IF($E168="?","BAD GROUP",IF($H168=0,"No GL activity","Mapped"))))</f>
        <v>No GL activity</v>
      </c>
    </row>
    <row r="169" customFormat="false" ht="15" hidden="false" customHeight="false" outlineLevel="0" collapsed="false">
      <c r="A169" s="41" t="s">
        <v>319</v>
      </c>
      <c r="B169" s="41"/>
      <c r="C169" s="41" t="s">
        <v>267</v>
      </c>
      <c r="D169" s="41" t="s">
        <v>148</v>
      </c>
      <c r="E169" s="42" t="str">
        <f aca="false">IF($A169="","",IFERROR(INDEX(Lists!$C$5:$C$16,MATCH($C169,Lists!$B$5:$B$16,0)),"?"))</f>
        <v>P&amp;L</v>
      </c>
      <c r="F169" s="42" t="n">
        <f aca="false">IF($A169="","",IFERROR(INDEX(Lists!$D$5:$D$16,MATCH($C169,Lists!$B$5:$B$16,0)),1))</f>
        <v>1</v>
      </c>
      <c r="G169" s="42" t="n">
        <f aca="false">IF($A169="","",IFERROR(INDEX(Lists!$A$5:$A$16,MATCH($C169,Lists!$B$5:$B$16,0)),999))</f>
        <v>40</v>
      </c>
      <c r="H169" s="43" t="n">
        <f aca="false">IF($A169="","",COUNTIF(GL_Data!$B$8:$B$5007,$A169))</f>
        <v>0</v>
      </c>
      <c r="I169" s="44" t="str">
        <f aca="false">IF($A169="","",IF($C169="","NO GROUP",IF($E169="?","BAD GROUP",IF($H169=0,"No GL activity","Mapped"))))</f>
        <v>No GL activity</v>
      </c>
    </row>
    <row r="170" customFormat="false" ht="15" hidden="false" customHeight="false" outlineLevel="0" collapsed="false">
      <c r="A170" s="41" t="s">
        <v>320</v>
      </c>
      <c r="B170" s="41"/>
      <c r="C170" s="41" t="s">
        <v>267</v>
      </c>
      <c r="D170" s="41" t="s">
        <v>148</v>
      </c>
      <c r="E170" s="42" t="str">
        <f aca="false">IF($A170="","",IFERROR(INDEX(Lists!$C$5:$C$16,MATCH($C170,Lists!$B$5:$B$16,0)),"?"))</f>
        <v>P&amp;L</v>
      </c>
      <c r="F170" s="42" t="n">
        <f aca="false">IF($A170="","",IFERROR(INDEX(Lists!$D$5:$D$16,MATCH($C170,Lists!$B$5:$B$16,0)),1))</f>
        <v>1</v>
      </c>
      <c r="G170" s="42" t="n">
        <f aca="false">IF($A170="","",IFERROR(INDEX(Lists!$A$5:$A$16,MATCH($C170,Lists!$B$5:$B$16,0)),999))</f>
        <v>40</v>
      </c>
      <c r="H170" s="43" t="n">
        <f aca="false">IF($A170="","",COUNTIF(GL_Data!$B$8:$B$5007,$A170))</f>
        <v>0</v>
      </c>
      <c r="I170" s="44" t="str">
        <f aca="false">IF($A170="","",IF($C170="","NO GROUP",IF($E170="?","BAD GROUP",IF($H170=0,"No GL activity","Mapped"))))</f>
        <v>No GL activity</v>
      </c>
    </row>
    <row r="171" customFormat="false" ht="15" hidden="false" customHeight="false" outlineLevel="0" collapsed="false">
      <c r="A171" s="41" t="s">
        <v>321</v>
      </c>
      <c r="B171" s="41"/>
      <c r="C171" s="41" t="s">
        <v>267</v>
      </c>
      <c r="D171" s="41" t="s">
        <v>148</v>
      </c>
      <c r="E171" s="42" t="str">
        <f aca="false">IF($A171="","",IFERROR(INDEX(Lists!$C$5:$C$16,MATCH($C171,Lists!$B$5:$B$16,0)),"?"))</f>
        <v>P&amp;L</v>
      </c>
      <c r="F171" s="42" t="n">
        <f aca="false">IF($A171="","",IFERROR(INDEX(Lists!$D$5:$D$16,MATCH($C171,Lists!$B$5:$B$16,0)),1))</f>
        <v>1</v>
      </c>
      <c r="G171" s="42" t="n">
        <f aca="false">IF($A171="","",IFERROR(INDEX(Lists!$A$5:$A$16,MATCH($C171,Lists!$B$5:$B$16,0)),999))</f>
        <v>40</v>
      </c>
      <c r="H171" s="43" t="n">
        <f aca="false">IF($A171="","",COUNTIF(GL_Data!$B$8:$B$5007,$A171))</f>
        <v>0</v>
      </c>
      <c r="I171" s="44" t="str">
        <f aca="false">IF($A171="","",IF($C171="","NO GROUP",IF($E171="?","BAD GROUP",IF($H171=0,"No GL activity","Mapped"))))</f>
        <v>No GL activity</v>
      </c>
    </row>
    <row r="172" customFormat="false" ht="15" hidden="false" customHeight="false" outlineLevel="0" collapsed="false">
      <c r="A172" s="41" t="s">
        <v>322</v>
      </c>
      <c r="B172" s="41"/>
      <c r="C172" s="41" t="s">
        <v>267</v>
      </c>
      <c r="D172" s="41" t="s">
        <v>148</v>
      </c>
      <c r="E172" s="42" t="str">
        <f aca="false">IF($A172="","",IFERROR(INDEX(Lists!$C$5:$C$16,MATCH($C172,Lists!$B$5:$B$16,0)),"?"))</f>
        <v>P&amp;L</v>
      </c>
      <c r="F172" s="42" t="n">
        <f aca="false">IF($A172="","",IFERROR(INDEX(Lists!$D$5:$D$16,MATCH($C172,Lists!$B$5:$B$16,0)),1))</f>
        <v>1</v>
      </c>
      <c r="G172" s="42" t="n">
        <f aca="false">IF($A172="","",IFERROR(INDEX(Lists!$A$5:$A$16,MATCH($C172,Lists!$B$5:$B$16,0)),999))</f>
        <v>40</v>
      </c>
      <c r="H172" s="43" t="n">
        <f aca="false">IF($A172="","",COUNTIF(GL_Data!$B$8:$B$5007,$A172))</f>
        <v>0</v>
      </c>
      <c r="I172" s="44" t="str">
        <f aca="false">IF($A172="","",IF($C172="","NO GROUP",IF($E172="?","BAD GROUP",IF($H172=0,"No GL activity","Mapped"))))</f>
        <v>No GL activity</v>
      </c>
    </row>
    <row r="173" customFormat="false" ht="15" hidden="false" customHeight="false" outlineLevel="0" collapsed="false">
      <c r="A173" s="41" t="s">
        <v>323</v>
      </c>
      <c r="B173" s="41"/>
      <c r="C173" s="41" t="s">
        <v>267</v>
      </c>
      <c r="D173" s="41" t="s">
        <v>148</v>
      </c>
      <c r="E173" s="42" t="str">
        <f aca="false">IF($A173="","",IFERROR(INDEX(Lists!$C$5:$C$16,MATCH($C173,Lists!$B$5:$B$16,0)),"?"))</f>
        <v>P&amp;L</v>
      </c>
      <c r="F173" s="42" t="n">
        <f aca="false">IF($A173="","",IFERROR(INDEX(Lists!$D$5:$D$16,MATCH($C173,Lists!$B$5:$B$16,0)),1))</f>
        <v>1</v>
      </c>
      <c r="G173" s="42" t="n">
        <f aca="false">IF($A173="","",IFERROR(INDEX(Lists!$A$5:$A$16,MATCH($C173,Lists!$B$5:$B$16,0)),999))</f>
        <v>40</v>
      </c>
      <c r="H173" s="43" t="n">
        <f aca="false">IF($A173="","",COUNTIF(GL_Data!$B$8:$B$5007,$A173))</f>
        <v>0</v>
      </c>
      <c r="I173" s="44" t="str">
        <f aca="false">IF($A173="","",IF($C173="","NO GROUP",IF($E173="?","BAD GROUP",IF($H173=0,"No GL activity","Mapped"))))</f>
        <v>No GL activity</v>
      </c>
    </row>
    <row r="174" customFormat="false" ht="15" hidden="false" customHeight="false" outlineLevel="0" collapsed="false">
      <c r="A174" s="41" t="s">
        <v>324</v>
      </c>
      <c r="B174" s="41"/>
      <c r="C174" s="41" t="s">
        <v>267</v>
      </c>
      <c r="D174" s="41" t="s">
        <v>148</v>
      </c>
      <c r="E174" s="42" t="str">
        <f aca="false">IF($A174="","",IFERROR(INDEX(Lists!$C$5:$C$16,MATCH($C174,Lists!$B$5:$B$16,0)),"?"))</f>
        <v>P&amp;L</v>
      </c>
      <c r="F174" s="42" t="n">
        <f aca="false">IF($A174="","",IFERROR(INDEX(Lists!$D$5:$D$16,MATCH($C174,Lists!$B$5:$B$16,0)),1))</f>
        <v>1</v>
      </c>
      <c r="G174" s="42" t="n">
        <f aca="false">IF($A174="","",IFERROR(INDEX(Lists!$A$5:$A$16,MATCH($C174,Lists!$B$5:$B$16,0)),999))</f>
        <v>40</v>
      </c>
      <c r="H174" s="43" t="n">
        <f aca="false">IF($A174="","",COUNTIF(GL_Data!$B$8:$B$5007,$A174))</f>
        <v>0</v>
      </c>
      <c r="I174" s="44" t="str">
        <f aca="false">IF($A174="","",IF($C174="","NO GROUP",IF($E174="?","BAD GROUP",IF($H174=0,"No GL activity","Mapped"))))</f>
        <v>No GL activity</v>
      </c>
    </row>
    <row r="175" customFormat="false" ht="15" hidden="false" customHeight="false" outlineLevel="0" collapsed="false">
      <c r="A175" s="41" t="s">
        <v>325</v>
      </c>
      <c r="B175" s="41"/>
      <c r="C175" s="41" t="s">
        <v>267</v>
      </c>
      <c r="D175" s="41" t="s">
        <v>148</v>
      </c>
      <c r="E175" s="42" t="str">
        <f aca="false">IF($A175="","",IFERROR(INDEX(Lists!$C$5:$C$16,MATCH($C175,Lists!$B$5:$B$16,0)),"?"))</f>
        <v>P&amp;L</v>
      </c>
      <c r="F175" s="42" t="n">
        <f aca="false">IF($A175="","",IFERROR(INDEX(Lists!$D$5:$D$16,MATCH($C175,Lists!$B$5:$B$16,0)),1))</f>
        <v>1</v>
      </c>
      <c r="G175" s="42" t="n">
        <f aca="false">IF($A175="","",IFERROR(INDEX(Lists!$A$5:$A$16,MATCH($C175,Lists!$B$5:$B$16,0)),999))</f>
        <v>40</v>
      </c>
      <c r="H175" s="43" t="n">
        <f aca="false">IF($A175="","",COUNTIF(GL_Data!$B$8:$B$5007,$A175))</f>
        <v>0</v>
      </c>
      <c r="I175" s="44" t="str">
        <f aca="false">IF($A175="","",IF($C175="","NO GROUP",IF($E175="?","BAD GROUP",IF($H175=0,"No GL activity","Mapped"))))</f>
        <v>No GL activity</v>
      </c>
    </row>
    <row r="176" customFormat="false" ht="15" hidden="false" customHeight="false" outlineLevel="0" collapsed="false">
      <c r="A176" s="41" t="s">
        <v>326</v>
      </c>
      <c r="B176" s="41"/>
      <c r="C176" s="41" t="s">
        <v>267</v>
      </c>
      <c r="D176" s="41" t="s">
        <v>148</v>
      </c>
      <c r="E176" s="42" t="str">
        <f aca="false">IF($A176="","",IFERROR(INDEX(Lists!$C$5:$C$16,MATCH($C176,Lists!$B$5:$B$16,0)),"?"))</f>
        <v>P&amp;L</v>
      </c>
      <c r="F176" s="42" t="n">
        <f aca="false">IF($A176="","",IFERROR(INDEX(Lists!$D$5:$D$16,MATCH($C176,Lists!$B$5:$B$16,0)),1))</f>
        <v>1</v>
      </c>
      <c r="G176" s="42" t="n">
        <f aca="false">IF($A176="","",IFERROR(INDEX(Lists!$A$5:$A$16,MATCH($C176,Lists!$B$5:$B$16,0)),999))</f>
        <v>40</v>
      </c>
      <c r="H176" s="43" t="n">
        <f aca="false">IF($A176="","",COUNTIF(GL_Data!$B$8:$B$5007,$A176))</f>
        <v>0</v>
      </c>
      <c r="I176" s="44" t="str">
        <f aca="false">IF($A176="","",IF($C176="","NO GROUP",IF($E176="?","BAD GROUP",IF($H176=0,"No GL activity","Mapped"))))</f>
        <v>No GL activity</v>
      </c>
    </row>
    <row r="177" customFormat="false" ht="15" hidden="false" customHeight="false" outlineLevel="0" collapsed="false">
      <c r="A177" s="41" t="s">
        <v>327</v>
      </c>
      <c r="B177" s="41"/>
      <c r="C177" s="41" t="s">
        <v>267</v>
      </c>
      <c r="D177" s="41" t="s">
        <v>148</v>
      </c>
      <c r="E177" s="42" t="str">
        <f aca="false">IF($A177="","",IFERROR(INDEX(Lists!$C$5:$C$16,MATCH($C177,Lists!$B$5:$B$16,0)),"?"))</f>
        <v>P&amp;L</v>
      </c>
      <c r="F177" s="42" t="n">
        <f aca="false">IF($A177="","",IFERROR(INDEX(Lists!$D$5:$D$16,MATCH($C177,Lists!$B$5:$B$16,0)),1))</f>
        <v>1</v>
      </c>
      <c r="G177" s="42" t="n">
        <f aca="false">IF($A177="","",IFERROR(INDEX(Lists!$A$5:$A$16,MATCH($C177,Lists!$B$5:$B$16,0)),999))</f>
        <v>40</v>
      </c>
      <c r="H177" s="43" t="n">
        <f aca="false">IF($A177="","",COUNTIF(GL_Data!$B$8:$B$5007,$A177))</f>
        <v>0</v>
      </c>
      <c r="I177" s="44" t="str">
        <f aca="false">IF($A177="","",IF($C177="","NO GROUP",IF($E177="?","BAD GROUP",IF($H177=0,"No GL activity","Mapped"))))</f>
        <v>No GL activity</v>
      </c>
    </row>
    <row r="178" customFormat="false" ht="15" hidden="false" customHeight="false" outlineLevel="0" collapsed="false">
      <c r="A178" s="41" t="s">
        <v>328</v>
      </c>
      <c r="B178" s="41"/>
      <c r="C178" s="41" t="s">
        <v>267</v>
      </c>
      <c r="D178" s="41" t="s">
        <v>148</v>
      </c>
      <c r="E178" s="42" t="str">
        <f aca="false">IF($A178="","",IFERROR(INDEX(Lists!$C$5:$C$16,MATCH($C178,Lists!$B$5:$B$16,0)),"?"))</f>
        <v>P&amp;L</v>
      </c>
      <c r="F178" s="42" t="n">
        <f aca="false">IF($A178="","",IFERROR(INDEX(Lists!$D$5:$D$16,MATCH($C178,Lists!$B$5:$B$16,0)),1))</f>
        <v>1</v>
      </c>
      <c r="G178" s="42" t="n">
        <f aca="false">IF($A178="","",IFERROR(INDEX(Lists!$A$5:$A$16,MATCH($C178,Lists!$B$5:$B$16,0)),999))</f>
        <v>40</v>
      </c>
      <c r="H178" s="43" t="n">
        <f aca="false">IF($A178="","",COUNTIF(GL_Data!$B$8:$B$5007,$A178))</f>
        <v>0</v>
      </c>
      <c r="I178" s="44" t="str">
        <f aca="false">IF($A178="","",IF($C178="","NO GROUP",IF($E178="?","BAD GROUP",IF($H178=0,"No GL activity","Mapped"))))</f>
        <v>No GL activity</v>
      </c>
    </row>
    <row r="179" customFormat="false" ht="15" hidden="false" customHeight="false" outlineLevel="0" collapsed="false">
      <c r="A179" s="41" t="s">
        <v>329</v>
      </c>
      <c r="B179" s="41"/>
      <c r="C179" s="41" t="s">
        <v>267</v>
      </c>
      <c r="D179" s="41" t="s">
        <v>148</v>
      </c>
      <c r="E179" s="42" t="str">
        <f aca="false">IF($A179="","",IFERROR(INDEX(Lists!$C$5:$C$16,MATCH($C179,Lists!$B$5:$B$16,0)),"?"))</f>
        <v>P&amp;L</v>
      </c>
      <c r="F179" s="42" t="n">
        <f aca="false">IF($A179="","",IFERROR(INDEX(Lists!$D$5:$D$16,MATCH($C179,Lists!$B$5:$B$16,0)),1))</f>
        <v>1</v>
      </c>
      <c r="G179" s="42" t="n">
        <f aca="false">IF($A179="","",IFERROR(INDEX(Lists!$A$5:$A$16,MATCH($C179,Lists!$B$5:$B$16,0)),999))</f>
        <v>40</v>
      </c>
      <c r="H179" s="43" t="n">
        <f aca="false">IF($A179="","",COUNTIF(GL_Data!$B$8:$B$5007,$A179))</f>
        <v>0</v>
      </c>
      <c r="I179" s="44" t="str">
        <f aca="false">IF($A179="","",IF($C179="","NO GROUP",IF($E179="?","BAD GROUP",IF($H179=0,"No GL activity","Mapped"))))</f>
        <v>No GL activity</v>
      </c>
    </row>
    <row r="180" customFormat="false" ht="15" hidden="false" customHeight="false" outlineLevel="0" collapsed="false">
      <c r="A180" s="41" t="s">
        <v>330</v>
      </c>
      <c r="B180" s="41"/>
      <c r="C180" s="41" t="s">
        <v>267</v>
      </c>
      <c r="D180" s="41" t="s">
        <v>148</v>
      </c>
      <c r="E180" s="42" t="str">
        <f aca="false">IF($A180="","",IFERROR(INDEX(Lists!$C$5:$C$16,MATCH($C180,Lists!$B$5:$B$16,0)),"?"))</f>
        <v>P&amp;L</v>
      </c>
      <c r="F180" s="42" t="n">
        <f aca="false">IF($A180="","",IFERROR(INDEX(Lists!$D$5:$D$16,MATCH($C180,Lists!$B$5:$B$16,0)),1))</f>
        <v>1</v>
      </c>
      <c r="G180" s="42" t="n">
        <f aca="false">IF($A180="","",IFERROR(INDEX(Lists!$A$5:$A$16,MATCH($C180,Lists!$B$5:$B$16,0)),999))</f>
        <v>40</v>
      </c>
      <c r="H180" s="43" t="n">
        <f aca="false">IF($A180="","",COUNTIF(GL_Data!$B$8:$B$5007,$A180))</f>
        <v>0</v>
      </c>
      <c r="I180" s="44" t="str">
        <f aca="false">IF($A180="","",IF($C180="","NO GROUP",IF($E180="?","BAD GROUP",IF($H180=0,"No GL activity","Mapped"))))</f>
        <v>No GL activity</v>
      </c>
    </row>
    <row r="181" customFormat="false" ht="15" hidden="false" customHeight="false" outlineLevel="0" collapsed="false">
      <c r="A181" s="41" t="s">
        <v>331</v>
      </c>
      <c r="B181" s="41"/>
      <c r="C181" s="41" t="s">
        <v>267</v>
      </c>
      <c r="D181" s="41" t="s">
        <v>148</v>
      </c>
      <c r="E181" s="42" t="str">
        <f aca="false">IF($A181="","",IFERROR(INDEX(Lists!$C$5:$C$16,MATCH($C181,Lists!$B$5:$B$16,0)),"?"))</f>
        <v>P&amp;L</v>
      </c>
      <c r="F181" s="42" t="n">
        <f aca="false">IF($A181="","",IFERROR(INDEX(Lists!$D$5:$D$16,MATCH($C181,Lists!$B$5:$B$16,0)),1))</f>
        <v>1</v>
      </c>
      <c r="G181" s="42" t="n">
        <f aca="false">IF($A181="","",IFERROR(INDEX(Lists!$A$5:$A$16,MATCH($C181,Lists!$B$5:$B$16,0)),999))</f>
        <v>40</v>
      </c>
      <c r="H181" s="43" t="n">
        <f aca="false">IF($A181="","",COUNTIF(GL_Data!$B$8:$B$5007,$A181))</f>
        <v>0</v>
      </c>
      <c r="I181" s="44" t="str">
        <f aca="false">IF($A181="","",IF($C181="","NO GROUP",IF($E181="?","BAD GROUP",IF($H181=0,"No GL activity","Mapped"))))</f>
        <v>No GL activity</v>
      </c>
    </row>
    <row r="182" customFormat="false" ht="15" hidden="false" customHeight="false" outlineLevel="0" collapsed="false">
      <c r="A182" s="41" t="s">
        <v>332</v>
      </c>
      <c r="B182" s="41"/>
      <c r="C182" s="41" t="s">
        <v>267</v>
      </c>
      <c r="D182" s="41" t="s">
        <v>148</v>
      </c>
      <c r="E182" s="42" t="str">
        <f aca="false">IF($A182="","",IFERROR(INDEX(Lists!$C$5:$C$16,MATCH($C182,Lists!$B$5:$B$16,0)),"?"))</f>
        <v>P&amp;L</v>
      </c>
      <c r="F182" s="42" t="n">
        <f aca="false">IF($A182="","",IFERROR(INDEX(Lists!$D$5:$D$16,MATCH($C182,Lists!$B$5:$B$16,0)),1))</f>
        <v>1</v>
      </c>
      <c r="G182" s="42" t="n">
        <f aca="false">IF($A182="","",IFERROR(INDEX(Lists!$A$5:$A$16,MATCH($C182,Lists!$B$5:$B$16,0)),999))</f>
        <v>40</v>
      </c>
      <c r="H182" s="43" t="n">
        <f aca="false">IF($A182="","",COUNTIF(GL_Data!$B$8:$B$5007,$A182))</f>
        <v>0</v>
      </c>
      <c r="I182" s="44" t="str">
        <f aca="false">IF($A182="","",IF($C182="","NO GROUP",IF($E182="?","BAD GROUP",IF($H182=0,"No GL activity","Mapped"))))</f>
        <v>No GL activity</v>
      </c>
    </row>
    <row r="183" customFormat="false" ht="15" hidden="false" customHeight="false" outlineLevel="0" collapsed="false">
      <c r="A183" s="41" t="s">
        <v>333</v>
      </c>
      <c r="B183" s="41"/>
      <c r="C183" s="41" t="s">
        <v>267</v>
      </c>
      <c r="D183" s="41" t="s">
        <v>148</v>
      </c>
      <c r="E183" s="42" t="str">
        <f aca="false">IF($A183="","",IFERROR(INDEX(Lists!$C$5:$C$16,MATCH($C183,Lists!$B$5:$B$16,0)),"?"))</f>
        <v>P&amp;L</v>
      </c>
      <c r="F183" s="42" t="n">
        <f aca="false">IF($A183="","",IFERROR(INDEX(Lists!$D$5:$D$16,MATCH($C183,Lists!$B$5:$B$16,0)),1))</f>
        <v>1</v>
      </c>
      <c r="G183" s="42" t="n">
        <f aca="false">IF($A183="","",IFERROR(INDEX(Lists!$A$5:$A$16,MATCH($C183,Lists!$B$5:$B$16,0)),999))</f>
        <v>40</v>
      </c>
      <c r="H183" s="43" t="n">
        <f aca="false">IF($A183="","",COUNTIF(GL_Data!$B$8:$B$5007,$A183))</f>
        <v>0</v>
      </c>
      <c r="I183" s="44" t="str">
        <f aca="false">IF($A183="","",IF($C183="","NO GROUP",IF($E183="?","BAD GROUP",IF($H183=0,"No GL activity","Mapped"))))</f>
        <v>No GL activity</v>
      </c>
    </row>
    <row r="184" customFormat="false" ht="15" hidden="false" customHeight="false" outlineLevel="0" collapsed="false">
      <c r="A184" s="41" t="s">
        <v>334</v>
      </c>
      <c r="B184" s="41"/>
      <c r="C184" s="41" t="s">
        <v>267</v>
      </c>
      <c r="D184" s="41" t="s">
        <v>148</v>
      </c>
      <c r="E184" s="42" t="str">
        <f aca="false">IF($A184="","",IFERROR(INDEX(Lists!$C$5:$C$16,MATCH($C184,Lists!$B$5:$B$16,0)),"?"))</f>
        <v>P&amp;L</v>
      </c>
      <c r="F184" s="42" t="n">
        <f aca="false">IF($A184="","",IFERROR(INDEX(Lists!$D$5:$D$16,MATCH($C184,Lists!$B$5:$B$16,0)),1))</f>
        <v>1</v>
      </c>
      <c r="G184" s="42" t="n">
        <f aca="false">IF($A184="","",IFERROR(INDEX(Lists!$A$5:$A$16,MATCH($C184,Lists!$B$5:$B$16,0)),999))</f>
        <v>40</v>
      </c>
      <c r="H184" s="43" t="n">
        <f aca="false">IF($A184="","",COUNTIF(GL_Data!$B$8:$B$5007,$A184))</f>
        <v>0</v>
      </c>
      <c r="I184" s="44" t="str">
        <f aca="false">IF($A184="","",IF($C184="","NO GROUP",IF($E184="?","BAD GROUP",IF($H184=0,"No GL activity","Mapped"))))</f>
        <v>No GL activity</v>
      </c>
    </row>
    <row r="185" customFormat="false" ht="15" hidden="false" customHeight="false" outlineLevel="0" collapsed="false">
      <c r="A185" s="41" t="s">
        <v>335</v>
      </c>
      <c r="B185" s="41"/>
      <c r="C185" s="41" t="s">
        <v>267</v>
      </c>
      <c r="D185" s="41" t="s">
        <v>148</v>
      </c>
      <c r="E185" s="42" t="str">
        <f aca="false">IF($A185="","",IFERROR(INDEX(Lists!$C$5:$C$16,MATCH($C185,Lists!$B$5:$B$16,0)),"?"))</f>
        <v>P&amp;L</v>
      </c>
      <c r="F185" s="42" t="n">
        <f aca="false">IF($A185="","",IFERROR(INDEX(Lists!$D$5:$D$16,MATCH($C185,Lists!$B$5:$B$16,0)),1))</f>
        <v>1</v>
      </c>
      <c r="G185" s="42" t="n">
        <f aca="false">IF($A185="","",IFERROR(INDEX(Lists!$A$5:$A$16,MATCH($C185,Lists!$B$5:$B$16,0)),999))</f>
        <v>40</v>
      </c>
      <c r="H185" s="43" t="n">
        <f aca="false">IF($A185="","",COUNTIF(GL_Data!$B$8:$B$5007,$A185))</f>
        <v>0</v>
      </c>
      <c r="I185" s="44" t="str">
        <f aca="false">IF($A185="","",IF($C185="","NO GROUP",IF($E185="?","BAD GROUP",IF($H185=0,"No GL activity","Mapped"))))</f>
        <v>No GL activity</v>
      </c>
    </row>
    <row r="186" customFormat="false" ht="15" hidden="false" customHeight="false" outlineLevel="0" collapsed="false">
      <c r="A186" s="41" t="s">
        <v>336</v>
      </c>
      <c r="B186" s="41"/>
      <c r="C186" s="41" t="s">
        <v>267</v>
      </c>
      <c r="D186" s="41" t="s">
        <v>148</v>
      </c>
      <c r="E186" s="42" t="str">
        <f aca="false">IF($A186="","",IFERROR(INDEX(Lists!$C$5:$C$16,MATCH($C186,Lists!$B$5:$B$16,0)),"?"))</f>
        <v>P&amp;L</v>
      </c>
      <c r="F186" s="42" t="n">
        <f aca="false">IF($A186="","",IFERROR(INDEX(Lists!$D$5:$D$16,MATCH($C186,Lists!$B$5:$B$16,0)),1))</f>
        <v>1</v>
      </c>
      <c r="G186" s="42" t="n">
        <f aca="false">IF($A186="","",IFERROR(INDEX(Lists!$A$5:$A$16,MATCH($C186,Lists!$B$5:$B$16,0)),999))</f>
        <v>40</v>
      </c>
      <c r="H186" s="43" t="n">
        <f aca="false">IF($A186="","",COUNTIF(GL_Data!$B$8:$B$5007,$A186))</f>
        <v>0</v>
      </c>
      <c r="I186" s="44" t="str">
        <f aca="false">IF($A186="","",IF($C186="","NO GROUP",IF($E186="?","BAD GROUP",IF($H186=0,"No GL activity","Mapped"))))</f>
        <v>No GL activity</v>
      </c>
    </row>
    <row r="187" customFormat="false" ht="15" hidden="false" customHeight="false" outlineLevel="0" collapsed="false">
      <c r="A187" s="41" t="s">
        <v>337</v>
      </c>
      <c r="B187" s="41"/>
      <c r="C187" s="41" t="s">
        <v>267</v>
      </c>
      <c r="D187" s="41" t="s">
        <v>148</v>
      </c>
      <c r="E187" s="42" t="str">
        <f aca="false">IF($A187="","",IFERROR(INDEX(Lists!$C$5:$C$16,MATCH($C187,Lists!$B$5:$B$16,0)),"?"))</f>
        <v>P&amp;L</v>
      </c>
      <c r="F187" s="42" t="n">
        <f aca="false">IF($A187="","",IFERROR(INDEX(Lists!$D$5:$D$16,MATCH($C187,Lists!$B$5:$B$16,0)),1))</f>
        <v>1</v>
      </c>
      <c r="G187" s="42" t="n">
        <f aca="false">IF($A187="","",IFERROR(INDEX(Lists!$A$5:$A$16,MATCH($C187,Lists!$B$5:$B$16,0)),999))</f>
        <v>40</v>
      </c>
      <c r="H187" s="43" t="n">
        <f aca="false">IF($A187="","",COUNTIF(GL_Data!$B$8:$B$5007,$A187))</f>
        <v>0</v>
      </c>
      <c r="I187" s="44" t="str">
        <f aca="false">IF($A187="","",IF($C187="","NO GROUP",IF($E187="?","BAD GROUP",IF($H187=0,"No GL activity","Mapped"))))</f>
        <v>No GL activity</v>
      </c>
    </row>
    <row r="188" customFormat="false" ht="15" hidden="false" customHeight="false" outlineLevel="0" collapsed="false">
      <c r="A188" s="41" t="s">
        <v>338</v>
      </c>
      <c r="B188" s="41"/>
      <c r="C188" s="41" t="s">
        <v>267</v>
      </c>
      <c r="D188" s="41" t="s">
        <v>148</v>
      </c>
      <c r="E188" s="42" t="str">
        <f aca="false">IF($A188="","",IFERROR(INDEX(Lists!$C$5:$C$16,MATCH($C188,Lists!$B$5:$B$16,0)),"?"))</f>
        <v>P&amp;L</v>
      </c>
      <c r="F188" s="42" t="n">
        <f aca="false">IF($A188="","",IFERROR(INDEX(Lists!$D$5:$D$16,MATCH($C188,Lists!$B$5:$B$16,0)),1))</f>
        <v>1</v>
      </c>
      <c r="G188" s="42" t="n">
        <f aca="false">IF($A188="","",IFERROR(INDEX(Lists!$A$5:$A$16,MATCH($C188,Lists!$B$5:$B$16,0)),999))</f>
        <v>40</v>
      </c>
      <c r="H188" s="43" t="n">
        <f aca="false">IF($A188="","",COUNTIF(GL_Data!$B$8:$B$5007,$A188))</f>
        <v>0</v>
      </c>
      <c r="I188" s="44" t="str">
        <f aca="false">IF($A188="","",IF($C188="","NO GROUP",IF($E188="?","BAD GROUP",IF($H188=0,"No GL activity","Mapped"))))</f>
        <v>No GL activity</v>
      </c>
    </row>
    <row r="189" customFormat="false" ht="15" hidden="false" customHeight="false" outlineLevel="0" collapsed="false">
      <c r="A189" s="41" t="s">
        <v>339</v>
      </c>
      <c r="B189" s="41"/>
      <c r="C189" s="41" t="s">
        <v>267</v>
      </c>
      <c r="D189" s="41" t="s">
        <v>148</v>
      </c>
      <c r="E189" s="42" t="str">
        <f aca="false">IF($A189="","",IFERROR(INDEX(Lists!$C$5:$C$16,MATCH($C189,Lists!$B$5:$B$16,0)),"?"))</f>
        <v>P&amp;L</v>
      </c>
      <c r="F189" s="42" t="n">
        <f aca="false">IF($A189="","",IFERROR(INDEX(Lists!$D$5:$D$16,MATCH($C189,Lists!$B$5:$B$16,0)),1))</f>
        <v>1</v>
      </c>
      <c r="G189" s="42" t="n">
        <f aca="false">IF($A189="","",IFERROR(INDEX(Lists!$A$5:$A$16,MATCH($C189,Lists!$B$5:$B$16,0)),999))</f>
        <v>40</v>
      </c>
      <c r="H189" s="43" t="n">
        <f aca="false">IF($A189="","",COUNTIF(GL_Data!$B$8:$B$5007,$A189))</f>
        <v>0</v>
      </c>
      <c r="I189" s="44" t="str">
        <f aca="false">IF($A189="","",IF($C189="","NO GROUP",IF($E189="?","BAD GROUP",IF($H189=0,"No GL activity","Mapped"))))</f>
        <v>No GL activity</v>
      </c>
    </row>
    <row r="190" customFormat="false" ht="15" hidden="false" customHeight="false" outlineLevel="0" collapsed="false">
      <c r="A190" s="41" t="s">
        <v>340</v>
      </c>
      <c r="B190" s="41"/>
      <c r="C190" s="41" t="s">
        <v>267</v>
      </c>
      <c r="D190" s="41" t="s">
        <v>148</v>
      </c>
      <c r="E190" s="42" t="str">
        <f aca="false">IF($A190="","",IFERROR(INDEX(Lists!$C$5:$C$16,MATCH($C190,Lists!$B$5:$B$16,0)),"?"))</f>
        <v>P&amp;L</v>
      </c>
      <c r="F190" s="42" t="n">
        <f aca="false">IF($A190="","",IFERROR(INDEX(Lists!$D$5:$D$16,MATCH($C190,Lists!$B$5:$B$16,0)),1))</f>
        <v>1</v>
      </c>
      <c r="G190" s="42" t="n">
        <f aca="false">IF($A190="","",IFERROR(INDEX(Lists!$A$5:$A$16,MATCH($C190,Lists!$B$5:$B$16,0)),999))</f>
        <v>40</v>
      </c>
      <c r="H190" s="43" t="n">
        <f aca="false">IF($A190="","",COUNTIF(GL_Data!$B$8:$B$5007,$A190))</f>
        <v>0</v>
      </c>
      <c r="I190" s="44" t="str">
        <f aca="false">IF($A190="","",IF($C190="","NO GROUP",IF($E190="?","BAD GROUP",IF($H190=0,"No GL activity","Mapped"))))</f>
        <v>No GL activity</v>
      </c>
    </row>
    <row r="191" customFormat="false" ht="15" hidden="false" customHeight="false" outlineLevel="0" collapsed="false">
      <c r="A191" s="41" t="s">
        <v>341</v>
      </c>
      <c r="B191" s="41"/>
      <c r="C191" s="41" t="s">
        <v>267</v>
      </c>
      <c r="D191" s="41" t="s">
        <v>148</v>
      </c>
      <c r="E191" s="42" t="str">
        <f aca="false">IF($A191="","",IFERROR(INDEX(Lists!$C$5:$C$16,MATCH($C191,Lists!$B$5:$B$16,0)),"?"))</f>
        <v>P&amp;L</v>
      </c>
      <c r="F191" s="42" t="n">
        <f aca="false">IF($A191="","",IFERROR(INDEX(Lists!$D$5:$D$16,MATCH($C191,Lists!$B$5:$B$16,0)),1))</f>
        <v>1</v>
      </c>
      <c r="G191" s="42" t="n">
        <f aca="false">IF($A191="","",IFERROR(INDEX(Lists!$A$5:$A$16,MATCH($C191,Lists!$B$5:$B$16,0)),999))</f>
        <v>40</v>
      </c>
      <c r="H191" s="43" t="n">
        <f aca="false">IF($A191="","",COUNTIF(GL_Data!$B$8:$B$5007,$A191))</f>
        <v>0</v>
      </c>
      <c r="I191" s="44" t="str">
        <f aca="false">IF($A191="","",IF($C191="","NO GROUP",IF($E191="?","BAD GROUP",IF($H191=0,"No GL activity","Mapped"))))</f>
        <v>No GL activity</v>
      </c>
    </row>
    <row r="192" customFormat="false" ht="15" hidden="false" customHeight="false" outlineLevel="0" collapsed="false">
      <c r="A192" s="41" t="s">
        <v>342</v>
      </c>
      <c r="B192" s="41"/>
      <c r="C192" s="41" t="s">
        <v>267</v>
      </c>
      <c r="D192" s="41" t="s">
        <v>148</v>
      </c>
      <c r="E192" s="42" t="str">
        <f aca="false">IF($A192="","",IFERROR(INDEX(Lists!$C$5:$C$16,MATCH($C192,Lists!$B$5:$B$16,0)),"?"))</f>
        <v>P&amp;L</v>
      </c>
      <c r="F192" s="42" t="n">
        <f aca="false">IF($A192="","",IFERROR(INDEX(Lists!$D$5:$D$16,MATCH($C192,Lists!$B$5:$B$16,0)),1))</f>
        <v>1</v>
      </c>
      <c r="G192" s="42" t="n">
        <f aca="false">IF($A192="","",IFERROR(INDEX(Lists!$A$5:$A$16,MATCH($C192,Lists!$B$5:$B$16,0)),999))</f>
        <v>40</v>
      </c>
      <c r="H192" s="43" t="n">
        <f aca="false">IF($A192="","",COUNTIF(GL_Data!$B$8:$B$5007,$A192))</f>
        <v>0</v>
      </c>
      <c r="I192" s="44" t="str">
        <f aca="false">IF($A192="","",IF($C192="","NO GROUP",IF($E192="?","BAD GROUP",IF($H192=0,"No GL activity","Mapped"))))</f>
        <v>No GL activity</v>
      </c>
    </row>
    <row r="193" customFormat="false" ht="15" hidden="false" customHeight="false" outlineLevel="0" collapsed="false">
      <c r="A193" s="41" t="s">
        <v>343</v>
      </c>
      <c r="B193" s="41"/>
      <c r="C193" s="41" t="s">
        <v>267</v>
      </c>
      <c r="D193" s="41" t="s">
        <v>148</v>
      </c>
      <c r="E193" s="42" t="str">
        <f aca="false">IF($A193="","",IFERROR(INDEX(Lists!$C$5:$C$16,MATCH($C193,Lists!$B$5:$B$16,0)),"?"))</f>
        <v>P&amp;L</v>
      </c>
      <c r="F193" s="42" t="n">
        <f aca="false">IF($A193="","",IFERROR(INDEX(Lists!$D$5:$D$16,MATCH($C193,Lists!$B$5:$B$16,0)),1))</f>
        <v>1</v>
      </c>
      <c r="G193" s="42" t="n">
        <f aca="false">IF($A193="","",IFERROR(INDEX(Lists!$A$5:$A$16,MATCH($C193,Lists!$B$5:$B$16,0)),999))</f>
        <v>40</v>
      </c>
      <c r="H193" s="43" t="n">
        <f aca="false">IF($A193="","",COUNTIF(GL_Data!$B$8:$B$5007,$A193))</f>
        <v>0</v>
      </c>
      <c r="I193" s="44" t="str">
        <f aca="false">IF($A193="","",IF($C193="","NO GROUP",IF($E193="?","BAD GROUP",IF($H193=0,"No GL activity","Mapped"))))</f>
        <v>No GL activity</v>
      </c>
    </row>
    <row r="194" customFormat="false" ht="15" hidden="false" customHeight="false" outlineLevel="0" collapsed="false">
      <c r="A194" s="41" t="s">
        <v>344</v>
      </c>
      <c r="B194" s="41"/>
      <c r="C194" s="41" t="s">
        <v>267</v>
      </c>
      <c r="D194" s="41" t="s">
        <v>148</v>
      </c>
      <c r="E194" s="42" t="str">
        <f aca="false">IF($A194="","",IFERROR(INDEX(Lists!$C$5:$C$16,MATCH($C194,Lists!$B$5:$B$16,0)),"?"))</f>
        <v>P&amp;L</v>
      </c>
      <c r="F194" s="42" t="n">
        <f aca="false">IF($A194="","",IFERROR(INDEX(Lists!$D$5:$D$16,MATCH($C194,Lists!$B$5:$B$16,0)),1))</f>
        <v>1</v>
      </c>
      <c r="G194" s="42" t="n">
        <f aca="false">IF($A194="","",IFERROR(INDEX(Lists!$A$5:$A$16,MATCH($C194,Lists!$B$5:$B$16,0)),999))</f>
        <v>40</v>
      </c>
      <c r="H194" s="43" t="n">
        <f aca="false">IF($A194="","",COUNTIF(GL_Data!$B$8:$B$5007,$A194))</f>
        <v>0</v>
      </c>
      <c r="I194" s="44" t="str">
        <f aca="false">IF($A194="","",IF($C194="","NO GROUP",IF($E194="?","BAD GROUP",IF($H194=0,"No GL activity","Mapped"))))</f>
        <v>No GL activity</v>
      </c>
    </row>
    <row r="195" customFormat="false" ht="15" hidden="false" customHeight="false" outlineLevel="0" collapsed="false">
      <c r="A195" s="41" t="s">
        <v>345</v>
      </c>
      <c r="B195" s="41"/>
      <c r="C195" s="41" t="s">
        <v>267</v>
      </c>
      <c r="D195" s="41" t="s">
        <v>148</v>
      </c>
      <c r="E195" s="42" t="str">
        <f aca="false">IF($A195="","",IFERROR(INDEX(Lists!$C$5:$C$16,MATCH($C195,Lists!$B$5:$B$16,0)),"?"))</f>
        <v>P&amp;L</v>
      </c>
      <c r="F195" s="42" t="n">
        <f aca="false">IF($A195="","",IFERROR(INDEX(Lists!$D$5:$D$16,MATCH($C195,Lists!$B$5:$B$16,0)),1))</f>
        <v>1</v>
      </c>
      <c r="G195" s="42" t="n">
        <f aca="false">IF($A195="","",IFERROR(INDEX(Lists!$A$5:$A$16,MATCH($C195,Lists!$B$5:$B$16,0)),999))</f>
        <v>40</v>
      </c>
      <c r="H195" s="43" t="n">
        <f aca="false">IF($A195="","",COUNTIF(GL_Data!$B$8:$B$5007,$A195))</f>
        <v>0</v>
      </c>
      <c r="I195" s="44" t="str">
        <f aca="false">IF($A195="","",IF($C195="","NO GROUP",IF($E195="?","BAD GROUP",IF($H195=0,"No GL activity","Mapped"))))</f>
        <v>No GL activity</v>
      </c>
    </row>
    <row r="196" customFormat="false" ht="15" hidden="false" customHeight="false" outlineLevel="0" collapsed="false">
      <c r="A196" s="41" t="s">
        <v>346</v>
      </c>
      <c r="B196" s="41"/>
      <c r="C196" s="41" t="s">
        <v>267</v>
      </c>
      <c r="D196" s="41" t="s">
        <v>148</v>
      </c>
      <c r="E196" s="42" t="str">
        <f aca="false">IF($A196="","",IFERROR(INDEX(Lists!$C$5:$C$16,MATCH($C196,Lists!$B$5:$B$16,0)),"?"))</f>
        <v>P&amp;L</v>
      </c>
      <c r="F196" s="42" t="n">
        <f aca="false">IF($A196="","",IFERROR(INDEX(Lists!$D$5:$D$16,MATCH($C196,Lists!$B$5:$B$16,0)),1))</f>
        <v>1</v>
      </c>
      <c r="G196" s="42" t="n">
        <f aca="false">IF($A196="","",IFERROR(INDEX(Lists!$A$5:$A$16,MATCH($C196,Lists!$B$5:$B$16,0)),999))</f>
        <v>40</v>
      </c>
      <c r="H196" s="43" t="n">
        <f aca="false">IF($A196="","",COUNTIF(GL_Data!$B$8:$B$5007,$A196))</f>
        <v>0</v>
      </c>
      <c r="I196" s="44" t="str">
        <f aca="false">IF($A196="","",IF($C196="","NO GROUP",IF($E196="?","BAD GROUP",IF($H196=0,"No GL activity","Mapped"))))</f>
        <v>No GL activity</v>
      </c>
    </row>
    <row r="197" customFormat="false" ht="15" hidden="false" customHeight="false" outlineLevel="0" collapsed="false">
      <c r="A197" s="41"/>
      <c r="B197" s="41"/>
      <c r="C197" s="41"/>
      <c r="D197" s="41"/>
      <c r="E197" s="42" t="str">
        <f aca="false">IF($A197="","",IFERROR(INDEX(Lists!$C$5:$C$16,MATCH($C197,Lists!$B$5:$B$16,0)),"?"))</f>
        <v/>
      </c>
      <c r="F197" s="42" t="str">
        <f aca="false">IF($A197="","",IFERROR(INDEX(Lists!$D$5:$D$16,MATCH($C197,Lists!$B$5:$B$16,0)),1))</f>
        <v/>
      </c>
      <c r="G197" s="42" t="str">
        <f aca="false">IF($A197="","",IFERROR(INDEX(Lists!$A$5:$A$16,MATCH($C197,Lists!$B$5:$B$16,0)),999))</f>
        <v/>
      </c>
      <c r="H197" s="43" t="str">
        <f aca="false">IF($A197="","",COUNTIF(GL_Data!$B$8:$B$5007,$A197))</f>
        <v/>
      </c>
      <c r="I197" s="44" t="str">
        <f aca="false">IF($A197="","",IF($C197="","NO GROUP",IF($E197="?","BAD GROUP",IF($H197=0,"No GL activity","Mapped"))))</f>
        <v/>
      </c>
    </row>
    <row r="198" customFormat="false" ht="15" hidden="false" customHeight="false" outlineLevel="0" collapsed="false">
      <c r="A198" s="41"/>
      <c r="B198" s="41"/>
      <c r="C198" s="41"/>
      <c r="D198" s="41"/>
      <c r="E198" s="42" t="str">
        <f aca="false">IF($A198="","",IFERROR(INDEX(Lists!$C$5:$C$16,MATCH($C198,Lists!$B$5:$B$16,0)),"?"))</f>
        <v/>
      </c>
      <c r="F198" s="42" t="str">
        <f aca="false">IF($A198="","",IFERROR(INDEX(Lists!$D$5:$D$16,MATCH($C198,Lists!$B$5:$B$16,0)),1))</f>
        <v/>
      </c>
      <c r="G198" s="42" t="str">
        <f aca="false">IF($A198="","",IFERROR(INDEX(Lists!$A$5:$A$16,MATCH($C198,Lists!$B$5:$B$16,0)),999))</f>
        <v/>
      </c>
      <c r="H198" s="43" t="str">
        <f aca="false">IF($A198="","",COUNTIF(GL_Data!$B$8:$B$5007,$A198))</f>
        <v/>
      </c>
      <c r="I198" s="44" t="str">
        <f aca="false">IF($A198="","",IF($C198="","NO GROUP",IF($E198="?","BAD GROUP",IF($H198=0,"No GL activity","Mapped"))))</f>
        <v/>
      </c>
    </row>
    <row r="199" customFormat="false" ht="15" hidden="false" customHeight="false" outlineLevel="0" collapsed="false">
      <c r="A199" s="41"/>
      <c r="B199" s="41"/>
      <c r="C199" s="41"/>
      <c r="D199" s="41"/>
      <c r="E199" s="42" t="str">
        <f aca="false">IF($A199="","",IFERROR(INDEX(Lists!$C$5:$C$16,MATCH($C199,Lists!$B$5:$B$16,0)),"?"))</f>
        <v/>
      </c>
      <c r="F199" s="42" t="str">
        <f aca="false">IF($A199="","",IFERROR(INDEX(Lists!$D$5:$D$16,MATCH($C199,Lists!$B$5:$B$16,0)),1))</f>
        <v/>
      </c>
      <c r="G199" s="42" t="str">
        <f aca="false">IF($A199="","",IFERROR(INDEX(Lists!$A$5:$A$16,MATCH($C199,Lists!$B$5:$B$16,0)),999))</f>
        <v/>
      </c>
      <c r="H199" s="43" t="str">
        <f aca="false">IF($A199="","",COUNTIF(GL_Data!$B$8:$B$5007,$A199))</f>
        <v/>
      </c>
      <c r="I199" s="44" t="str">
        <f aca="false">IF($A199="","",IF($C199="","NO GROUP",IF($E199="?","BAD GROUP",IF($H199=0,"No GL activity","Mapped"))))</f>
        <v/>
      </c>
    </row>
    <row r="200" customFormat="false" ht="15" hidden="false" customHeight="false" outlineLevel="0" collapsed="false">
      <c r="A200" s="41"/>
      <c r="B200" s="41"/>
      <c r="C200" s="41"/>
      <c r="D200" s="41"/>
      <c r="E200" s="42" t="str">
        <f aca="false">IF($A200="","",IFERROR(INDEX(Lists!$C$5:$C$16,MATCH($C200,Lists!$B$5:$B$16,0)),"?"))</f>
        <v/>
      </c>
      <c r="F200" s="42" t="str">
        <f aca="false">IF($A200="","",IFERROR(INDEX(Lists!$D$5:$D$16,MATCH($C200,Lists!$B$5:$B$16,0)),1))</f>
        <v/>
      </c>
      <c r="G200" s="42" t="str">
        <f aca="false">IF($A200="","",IFERROR(INDEX(Lists!$A$5:$A$16,MATCH($C200,Lists!$B$5:$B$16,0)),999))</f>
        <v/>
      </c>
      <c r="H200" s="43" t="str">
        <f aca="false">IF($A200="","",COUNTIF(GL_Data!$B$8:$B$5007,$A200))</f>
        <v/>
      </c>
      <c r="I200" s="44" t="str">
        <f aca="false">IF($A200="","",IF($C200="","NO GROUP",IF($E200="?","BAD GROUP",IF($H200=0,"No GL activity","Mapped"))))</f>
        <v/>
      </c>
    </row>
    <row r="201" customFormat="false" ht="15" hidden="false" customHeight="false" outlineLevel="0" collapsed="false">
      <c r="A201" s="41"/>
      <c r="B201" s="41"/>
      <c r="C201" s="41"/>
      <c r="D201" s="41"/>
      <c r="E201" s="42" t="str">
        <f aca="false">IF($A201="","",IFERROR(INDEX(Lists!$C$5:$C$16,MATCH($C201,Lists!$B$5:$B$16,0)),"?"))</f>
        <v/>
      </c>
      <c r="F201" s="42" t="str">
        <f aca="false">IF($A201="","",IFERROR(INDEX(Lists!$D$5:$D$16,MATCH($C201,Lists!$B$5:$B$16,0)),1))</f>
        <v/>
      </c>
      <c r="G201" s="42" t="str">
        <f aca="false">IF($A201="","",IFERROR(INDEX(Lists!$A$5:$A$16,MATCH($C201,Lists!$B$5:$B$16,0)),999))</f>
        <v/>
      </c>
      <c r="H201" s="43" t="str">
        <f aca="false">IF($A201="","",COUNTIF(GL_Data!$B$8:$B$5007,$A201))</f>
        <v/>
      </c>
      <c r="I201" s="44" t="str">
        <f aca="false">IF($A201="","",IF($C201="","NO GROUP",IF($E201="?","BAD GROUP",IF($H201=0,"No GL activity","Mapped"))))</f>
        <v/>
      </c>
    </row>
    <row r="202" customFormat="false" ht="15" hidden="false" customHeight="false" outlineLevel="0" collapsed="false">
      <c r="A202" s="41"/>
      <c r="B202" s="41"/>
      <c r="C202" s="41"/>
      <c r="D202" s="41"/>
      <c r="E202" s="42" t="str">
        <f aca="false">IF($A202="","",IFERROR(INDEX(Lists!$C$5:$C$16,MATCH($C202,Lists!$B$5:$B$16,0)),"?"))</f>
        <v/>
      </c>
      <c r="F202" s="42" t="str">
        <f aca="false">IF($A202="","",IFERROR(INDEX(Lists!$D$5:$D$16,MATCH($C202,Lists!$B$5:$B$16,0)),1))</f>
        <v/>
      </c>
      <c r="G202" s="42" t="str">
        <f aca="false">IF($A202="","",IFERROR(INDEX(Lists!$A$5:$A$16,MATCH($C202,Lists!$B$5:$B$16,0)),999))</f>
        <v/>
      </c>
      <c r="H202" s="43" t="str">
        <f aca="false">IF($A202="","",COUNTIF(GL_Data!$B$8:$B$5007,$A202))</f>
        <v/>
      </c>
      <c r="I202" s="44" t="str">
        <f aca="false">IF($A202="","",IF($C202="","NO GROUP",IF($E202="?","BAD GROUP",IF($H202=0,"No GL activity","Mapped"))))</f>
        <v/>
      </c>
    </row>
    <row r="203" customFormat="false" ht="15" hidden="false" customHeight="false" outlineLevel="0" collapsed="false">
      <c r="A203" s="41"/>
      <c r="B203" s="41"/>
      <c r="C203" s="41"/>
      <c r="D203" s="41"/>
      <c r="E203" s="42" t="str">
        <f aca="false">IF($A203="","",IFERROR(INDEX(Lists!$C$5:$C$16,MATCH($C203,Lists!$B$5:$B$16,0)),"?"))</f>
        <v/>
      </c>
      <c r="F203" s="42" t="str">
        <f aca="false">IF($A203="","",IFERROR(INDEX(Lists!$D$5:$D$16,MATCH($C203,Lists!$B$5:$B$16,0)),1))</f>
        <v/>
      </c>
      <c r="G203" s="42" t="str">
        <f aca="false">IF($A203="","",IFERROR(INDEX(Lists!$A$5:$A$16,MATCH($C203,Lists!$B$5:$B$16,0)),999))</f>
        <v/>
      </c>
      <c r="H203" s="43" t="str">
        <f aca="false">IF($A203="","",COUNTIF(GL_Data!$B$8:$B$5007,$A203))</f>
        <v/>
      </c>
      <c r="I203" s="44" t="str">
        <f aca="false">IF($A203="","",IF($C203="","NO GROUP",IF($E203="?","BAD GROUP",IF($H203=0,"No GL activity","Mapped"))))</f>
        <v/>
      </c>
    </row>
    <row r="204" customFormat="false" ht="15" hidden="false" customHeight="false" outlineLevel="0" collapsed="false">
      <c r="A204" s="41"/>
      <c r="B204" s="41"/>
      <c r="C204" s="41"/>
      <c r="D204" s="41"/>
      <c r="E204" s="42" t="str">
        <f aca="false">IF($A204="","",IFERROR(INDEX(Lists!$C$5:$C$16,MATCH($C204,Lists!$B$5:$B$16,0)),"?"))</f>
        <v/>
      </c>
      <c r="F204" s="42" t="str">
        <f aca="false">IF($A204="","",IFERROR(INDEX(Lists!$D$5:$D$16,MATCH($C204,Lists!$B$5:$B$16,0)),1))</f>
        <v/>
      </c>
      <c r="G204" s="42" t="str">
        <f aca="false">IF($A204="","",IFERROR(INDEX(Lists!$A$5:$A$16,MATCH($C204,Lists!$B$5:$B$16,0)),999))</f>
        <v/>
      </c>
      <c r="H204" s="43" t="str">
        <f aca="false">IF($A204="","",COUNTIF(GL_Data!$B$8:$B$5007,$A204))</f>
        <v/>
      </c>
      <c r="I204" s="44" t="str">
        <f aca="false">IF($A204="","",IF($C204="","NO GROUP",IF($E204="?","BAD GROUP",IF($H204=0,"No GL activity","Mapped"))))</f>
        <v/>
      </c>
    </row>
    <row r="205" customFormat="false" ht="15" hidden="false" customHeight="false" outlineLevel="0" collapsed="false">
      <c r="A205" s="41"/>
      <c r="B205" s="41"/>
      <c r="C205" s="41"/>
      <c r="D205" s="41"/>
      <c r="E205" s="42" t="str">
        <f aca="false">IF($A205="","",IFERROR(INDEX(Lists!$C$5:$C$16,MATCH($C205,Lists!$B$5:$B$16,0)),"?"))</f>
        <v/>
      </c>
      <c r="F205" s="42" t="str">
        <f aca="false">IF($A205="","",IFERROR(INDEX(Lists!$D$5:$D$16,MATCH($C205,Lists!$B$5:$B$16,0)),1))</f>
        <v/>
      </c>
      <c r="G205" s="42" t="str">
        <f aca="false">IF($A205="","",IFERROR(INDEX(Lists!$A$5:$A$16,MATCH($C205,Lists!$B$5:$B$16,0)),999))</f>
        <v/>
      </c>
      <c r="H205" s="43" t="str">
        <f aca="false">IF($A205="","",COUNTIF(GL_Data!$B$8:$B$5007,$A205))</f>
        <v/>
      </c>
      <c r="I205" s="44" t="str">
        <f aca="false">IF($A205="","",IF($C205="","NO GROUP",IF($E205="?","BAD GROUP",IF($H205=0,"No GL activity","Mapped"))))</f>
        <v/>
      </c>
    </row>
    <row r="206" customFormat="false" ht="15" hidden="false" customHeight="false" outlineLevel="0" collapsed="false">
      <c r="A206" s="41"/>
      <c r="B206" s="41"/>
      <c r="C206" s="41"/>
      <c r="D206" s="41"/>
      <c r="E206" s="42" t="str">
        <f aca="false">IF($A206="","",IFERROR(INDEX(Lists!$C$5:$C$16,MATCH($C206,Lists!$B$5:$B$16,0)),"?"))</f>
        <v/>
      </c>
      <c r="F206" s="42" t="str">
        <f aca="false">IF($A206="","",IFERROR(INDEX(Lists!$D$5:$D$16,MATCH($C206,Lists!$B$5:$B$16,0)),1))</f>
        <v/>
      </c>
      <c r="G206" s="42" t="str">
        <f aca="false">IF($A206="","",IFERROR(INDEX(Lists!$A$5:$A$16,MATCH($C206,Lists!$B$5:$B$16,0)),999))</f>
        <v/>
      </c>
      <c r="H206" s="43" t="str">
        <f aca="false">IF($A206="","",COUNTIF(GL_Data!$B$8:$B$5007,$A206))</f>
        <v/>
      </c>
      <c r="I206" s="44" t="str">
        <f aca="false">IF($A206="","",IF($C206="","NO GROUP",IF($E206="?","BAD GROUP",IF($H206=0,"No GL activity","Mapped"))))</f>
        <v/>
      </c>
    </row>
    <row r="207" customFormat="false" ht="15" hidden="false" customHeight="false" outlineLevel="0" collapsed="false">
      <c r="A207" s="41"/>
      <c r="B207" s="41"/>
      <c r="C207" s="41"/>
      <c r="D207" s="41"/>
      <c r="E207" s="42" t="str">
        <f aca="false">IF($A207="","",IFERROR(INDEX(Lists!$C$5:$C$16,MATCH($C207,Lists!$B$5:$B$16,0)),"?"))</f>
        <v/>
      </c>
      <c r="F207" s="42" t="str">
        <f aca="false">IF($A207="","",IFERROR(INDEX(Lists!$D$5:$D$16,MATCH($C207,Lists!$B$5:$B$16,0)),1))</f>
        <v/>
      </c>
      <c r="G207" s="42" t="str">
        <f aca="false">IF($A207="","",IFERROR(INDEX(Lists!$A$5:$A$16,MATCH($C207,Lists!$B$5:$B$16,0)),999))</f>
        <v/>
      </c>
      <c r="H207" s="43" t="str">
        <f aca="false">IF($A207="","",COUNTIF(GL_Data!$B$8:$B$5007,$A207))</f>
        <v/>
      </c>
      <c r="I207" s="44" t="str">
        <f aca="false">IF($A207="","",IF($C207="","NO GROUP",IF($E207="?","BAD GROUP",IF($H207=0,"No GL activity","Mapped"))))</f>
        <v/>
      </c>
    </row>
    <row r="208" customFormat="false" ht="15" hidden="false" customHeight="false" outlineLevel="0" collapsed="false">
      <c r="A208" s="41"/>
      <c r="B208" s="41"/>
      <c r="C208" s="41"/>
      <c r="D208" s="41"/>
      <c r="E208" s="42" t="str">
        <f aca="false">IF($A208="","",IFERROR(INDEX(Lists!$C$5:$C$16,MATCH($C208,Lists!$B$5:$B$16,0)),"?"))</f>
        <v/>
      </c>
      <c r="F208" s="42" t="str">
        <f aca="false">IF($A208="","",IFERROR(INDEX(Lists!$D$5:$D$16,MATCH($C208,Lists!$B$5:$B$16,0)),1))</f>
        <v/>
      </c>
      <c r="G208" s="42" t="str">
        <f aca="false">IF($A208="","",IFERROR(INDEX(Lists!$A$5:$A$16,MATCH($C208,Lists!$B$5:$B$16,0)),999))</f>
        <v/>
      </c>
      <c r="H208" s="43" t="str">
        <f aca="false">IF($A208="","",COUNTIF(GL_Data!$B$8:$B$5007,$A208))</f>
        <v/>
      </c>
      <c r="I208" s="44" t="str">
        <f aca="false">IF($A208="","",IF($C208="","NO GROUP",IF($E208="?","BAD GROUP",IF($H208=0,"No GL activity","Mapped"))))</f>
        <v/>
      </c>
    </row>
    <row r="209" customFormat="false" ht="15" hidden="false" customHeight="false" outlineLevel="0" collapsed="false">
      <c r="A209" s="41"/>
      <c r="B209" s="41"/>
      <c r="C209" s="41"/>
      <c r="D209" s="41"/>
      <c r="E209" s="42" t="str">
        <f aca="false">IF($A209="","",IFERROR(INDEX(Lists!$C$5:$C$16,MATCH($C209,Lists!$B$5:$B$16,0)),"?"))</f>
        <v/>
      </c>
      <c r="F209" s="42" t="str">
        <f aca="false">IF($A209="","",IFERROR(INDEX(Lists!$D$5:$D$16,MATCH($C209,Lists!$B$5:$B$16,0)),1))</f>
        <v/>
      </c>
      <c r="G209" s="42" t="str">
        <f aca="false">IF($A209="","",IFERROR(INDEX(Lists!$A$5:$A$16,MATCH($C209,Lists!$B$5:$B$16,0)),999))</f>
        <v/>
      </c>
      <c r="H209" s="43" t="str">
        <f aca="false">IF($A209="","",COUNTIF(GL_Data!$B$8:$B$5007,$A209))</f>
        <v/>
      </c>
      <c r="I209" s="44" t="str">
        <f aca="false">IF($A209="","",IF($C209="","NO GROUP",IF($E209="?","BAD GROUP",IF($H209=0,"No GL activity","Mapped"))))</f>
        <v/>
      </c>
    </row>
    <row r="210" customFormat="false" ht="15" hidden="false" customHeight="false" outlineLevel="0" collapsed="false">
      <c r="A210" s="41"/>
      <c r="B210" s="41"/>
      <c r="C210" s="41"/>
      <c r="D210" s="41"/>
      <c r="E210" s="42" t="str">
        <f aca="false">IF($A210="","",IFERROR(INDEX(Lists!$C$5:$C$16,MATCH($C210,Lists!$B$5:$B$16,0)),"?"))</f>
        <v/>
      </c>
      <c r="F210" s="42" t="str">
        <f aca="false">IF($A210="","",IFERROR(INDEX(Lists!$D$5:$D$16,MATCH($C210,Lists!$B$5:$B$16,0)),1))</f>
        <v/>
      </c>
      <c r="G210" s="42" t="str">
        <f aca="false">IF($A210="","",IFERROR(INDEX(Lists!$A$5:$A$16,MATCH($C210,Lists!$B$5:$B$16,0)),999))</f>
        <v/>
      </c>
      <c r="H210" s="43" t="str">
        <f aca="false">IF($A210="","",COUNTIF(GL_Data!$B$8:$B$5007,$A210))</f>
        <v/>
      </c>
      <c r="I210" s="44" t="str">
        <f aca="false">IF($A210="","",IF($C210="","NO GROUP",IF($E210="?","BAD GROUP",IF($H210=0,"No GL activity","Mapped"))))</f>
        <v/>
      </c>
    </row>
    <row r="211" customFormat="false" ht="15" hidden="false" customHeight="false" outlineLevel="0" collapsed="false">
      <c r="A211" s="41"/>
      <c r="B211" s="41"/>
      <c r="C211" s="41"/>
      <c r="D211" s="41"/>
      <c r="E211" s="42" t="str">
        <f aca="false">IF($A211="","",IFERROR(INDEX(Lists!$C$5:$C$16,MATCH($C211,Lists!$B$5:$B$16,0)),"?"))</f>
        <v/>
      </c>
      <c r="F211" s="42" t="str">
        <f aca="false">IF($A211="","",IFERROR(INDEX(Lists!$D$5:$D$16,MATCH($C211,Lists!$B$5:$B$16,0)),1))</f>
        <v/>
      </c>
      <c r="G211" s="42" t="str">
        <f aca="false">IF($A211="","",IFERROR(INDEX(Lists!$A$5:$A$16,MATCH($C211,Lists!$B$5:$B$16,0)),999))</f>
        <v/>
      </c>
      <c r="H211" s="43" t="str">
        <f aca="false">IF($A211="","",COUNTIF(GL_Data!$B$8:$B$5007,$A211))</f>
        <v/>
      </c>
      <c r="I211" s="44" t="str">
        <f aca="false">IF($A211="","",IF($C211="","NO GROUP",IF($E211="?","BAD GROUP",IF($H211=0,"No GL activity","Mapped"))))</f>
        <v/>
      </c>
    </row>
    <row r="212" customFormat="false" ht="15" hidden="false" customHeight="false" outlineLevel="0" collapsed="false">
      <c r="A212" s="41"/>
      <c r="B212" s="41"/>
      <c r="C212" s="41"/>
      <c r="D212" s="41"/>
      <c r="E212" s="42" t="str">
        <f aca="false">IF($A212="","",IFERROR(INDEX(Lists!$C$5:$C$16,MATCH($C212,Lists!$B$5:$B$16,0)),"?"))</f>
        <v/>
      </c>
      <c r="F212" s="42" t="str">
        <f aca="false">IF($A212="","",IFERROR(INDEX(Lists!$D$5:$D$16,MATCH($C212,Lists!$B$5:$B$16,0)),1))</f>
        <v/>
      </c>
      <c r="G212" s="42" t="str">
        <f aca="false">IF($A212="","",IFERROR(INDEX(Lists!$A$5:$A$16,MATCH($C212,Lists!$B$5:$B$16,0)),999))</f>
        <v/>
      </c>
      <c r="H212" s="43" t="str">
        <f aca="false">IF($A212="","",COUNTIF(GL_Data!$B$8:$B$5007,$A212))</f>
        <v/>
      </c>
      <c r="I212" s="44" t="str">
        <f aca="false">IF($A212="","",IF($C212="","NO GROUP",IF($E212="?","BAD GROUP",IF($H212=0,"No GL activity","Mapped"))))</f>
        <v/>
      </c>
    </row>
    <row r="213" customFormat="false" ht="15" hidden="false" customHeight="false" outlineLevel="0" collapsed="false">
      <c r="A213" s="41"/>
      <c r="B213" s="41"/>
      <c r="C213" s="41"/>
      <c r="D213" s="41"/>
      <c r="E213" s="42" t="str">
        <f aca="false">IF($A213="","",IFERROR(INDEX(Lists!$C$5:$C$16,MATCH($C213,Lists!$B$5:$B$16,0)),"?"))</f>
        <v/>
      </c>
      <c r="F213" s="42" t="str">
        <f aca="false">IF($A213="","",IFERROR(INDEX(Lists!$D$5:$D$16,MATCH($C213,Lists!$B$5:$B$16,0)),1))</f>
        <v/>
      </c>
      <c r="G213" s="42" t="str">
        <f aca="false">IF($A213="","",IFERROR(INDEX(Lists!$A$5:$A$16,MATCH($C213,Lists!$B$5:$B$16,0)),999))</f>
        <v/>
      </c>
      <c r="H213" s="43" t="str">
        <f aca="false">IF($A213="","",COUNTIF(GL_Data!$B$8:$B$5007,$A213))</f>
        <v/>
      </c>
      <c r="I213" s="44" t="str">
        <f aca="false">IF($A213="","",IF($C213="","NO GROUP",IF($E213="?","BAD GROUP",IF($H213=0,"No GL activity","Mapped"))))</f>
        <v/>
      </c>
    </row>
    <row r="214" customFormat="false" ht="15" hidden="false" customHeight="false" outlineLevel="0" collapsed="false">
      <c r="A214" s="41"/>
      <c r="B214" s="41"/>
      <c r="C214" s="41"/>
      <c r="D214" s="41"/>
      <c r="E214" s="42" t="str">
        <f aca="false">IF($A214="","",IFERROR(INDEX(Lists!$C$5:$C$16,MATCH($C214,Lists!$B$5:$B$16,0)),"?"))</f>
        <v/>
      </c>
      <c r="F214" s="42" t="str">
        <f aca="false">IF($A214="","",IFERROR(INDEX(Lists!$D$5:$D$16,MATCH($C214,Lists!$B$5:$B$16,0)),1))</f>
        <v/>
      </c>
      <c r="G214" s="42" t="str">
        <f aca="false">IF($A214="","",IFERROR(INDEX(Lists!$A$5:$A$16,MATCH($C214,Lists!$B$5:$B$16,0)),999))</f>
        <v/>
      </c>
      <c r="H214" s="43" t="str">
        <f aca="false">IF($A214="","",COUNTIF(GL_Data!$B$8:$B$5007,$A214))</f>
        <v/>
      </c>
      <c r="I214" s="44" t="str">
        <f aca="false">IF($A214="","",IF($C214="","NO GROUP",IF($E214="?","BAD GROUP",IF($H214=0,"No GL activity","Mapped"))))</f>
        <v/>
      </c>
    </row>
    <row r="215" customFormat="false" ht="15" hidden="false" customHeight="false" outlineLevel="0" collapsed="false">
      <c r="A215" s="41"/>
      <c r="B215" s="41"/>
      <c r="C215" s="41"/>
      <c r="D215" s="41"/>
      <c r="E215" s="42" t="str">
        <f aca="false">IF($A215="","",IFERROR(INDEX(Lists!$C$5:$C$16,MATCH($C215,Lists!$B$5:$B$16,0)),"?"))</f>
        <v/>
      </c>
      <c r="F215" s="42" t="str">
        <f aca="false">IF($A215="","",IFERROR(INDEX(Lists!$D$5:$D$16,MATCH($C215,Lists!$B$5:$B$16,0)),1))</f>
        <v/>
      </c>
      <c r="G215" s="42" t="str">
        <f aca="false">IF($A215="","",IFERROR(INDEX(Lists!$A$5:$A$16,MATCH($C215,Lists!$B$5:$B$16,0)),999))</f>
        <v/>
      </c>
      <c r="H215" s="43" t="str">
        <f aca="false">IF($A215="","",COUNTIF(GL_Data!$B$8:$B$5007,$A215))</f>
        <v/>
      </c>
      <c r="I215" s="44" t="str">
        <f aca="false">IF($A215="","",IF($C215="","NO GROUP",IF($E215="?","BAD GROUP",IF($H215=0,"No GL activity","Mapped"))))</f>
        <v/>
      </c>
    </row>
    <row r="216" customFormat="false" ht="15" hidden="false" customHeight="false" outlineLevel="0" collapsed="false">
      <c r="A216" s="41"/>
      <c r="B216" s="41"/>
      <c r="C216" s="41"/>
      <c r="D216" s="41"/>
      <c r="E216" s="42" t="str">
        <f aca="false">IF($A216="","",IFERROR(INDEX(Lists!$C$5:$C$16,MATCH($C216,Lists!$B$5:$B$16,0)),"?"))</f>
        <v/>
      </c>
      <c r="F216" s="42" t="str">
        <f aca="false">IF($A216="","",IFERROR(INDEX(Lists!$D$5:$D$16,MATCH($C216,Lists!$B$5:$B$16,0)),1))</f>
        <v/>
      </c>
      <c r="G216" s="42" t="str">
        <f aca="false">IF($A216="","",IFERROR(INDEX(Lists!$A$5:$A$16,MATCH($C216,Lists!$B$5:$B$16,0)),999))</f>
        <v/>
      </c>
      <c r="H216" s="43" t="str">
        <f aca="false">IF($A216="","",COUNTIF(GL_Data!$B$8:$B$5007,$A216))</f>
        <v/>
      </c>
      <c r="I216" s="44" t="str">
        <f aca="false">IF($A216="","",IF($C216="","NO GROUP",IF($E216="?","BAD GROUP",IF($H216=0,"No GL activity","Mapped"))))</f>
        <v/>
      </c>
    </row>
    <row r="217" customFormat="false" ht="15" hidden="false" customHeight="false" outlineLevel="0" collapsed="false">
      <c r="A217" s="41"/>
      <c r="B217" s="41"/>
      <c r="C217" s="41"/>
      <c r="D217" s="41"/>
      <c r="E217" s="42" t="str">
        <f aca="false">IF($A217="","",IFERROR(INDEX(Lists!$C$5:$C$16,MATCH($C217,Lists!$B$5:$B$16,0)),"?"))</f>
        <v/>
      </c>
      <c r="F217" s="42" t="str">
        <f aca="false">IF($A217="","",IFERROR(INDEX(Lists!$D$5:$D$16,MATCH($C217,Lists!$B$5:$B$16,0)),1))</f>
        <v/>
      </c>
      <c r="G217" s="42" t="str">
        <f aca="false">IF($A217="","",IFERROR(INDEX(Lists!$A$5:$A$16,MATCH($C217,Lists!$B$5:$B$16,0)),999))</f>
        <v/>
      </c>
      <c r="H217" s="43" t="str">
        <f aca="false">IF($A217="","",COUNTIF(GL_Data!$B$8:$B$5007,$A217))</f>
        <v/>
      </c>
      <c r="I217" s="44" t="str">
        <f aca="false">IF($A217="","",IF($C217="","NO GROUP",IF($E217="?","BAD GROUP",IF($H217=0,"No GL activity","Mapped"))))</f>
        <v/>
      </c>
    </row>
    <row r="218" customFormat="false" ht="15" hidden="false" customHeight="false" outlineLevel="0" collapsed="false">
      <c r="A218" s="41"/>
      <c r="B218" s="41"/>
      <c r="C218" s="41"/>
      <c r="D218" s="41"/>
      <c r="E218" s="42" t="str">
        <f aca="false">IF($A218="","",IFERROR(INDEX(Lists!$C$5:$C$16,MATCH($C218,Lists!$B$5:$B$16,0)),"?"))</f>
        <v/>
      </c>
      <c r="F218" s="42" t="str">
        <f aca="false">IF($A218="","",IFERROR(INDEX(Lists!$D$5:$D$16,MATCH($C218,Lists!$B$5:$B$16,0)),1))</f>
        <v/>
      </c>
      <c r="G218" s="42" t="str">
        <f aca="false">IF($A218="","",IFERROR(INDEX(Lists!$A$5:$A$16,MATCH($C218,Lists!$B$5:$B$16,0)),999))</f>
        <v/>
      </c>
      <c r="H218" s="43" t="str">
        <f aca="false">IF($A218="","",COUNTIF(GL_Data!$B$8:$B$5007,$A218))</f>
        <v/>
      </c>
      <c r="I218" s="44" t="str">
        <f aca="false">IF($A218="","",IF($C218="","NO GROUP",IF($E218="?","BAD GROUP",IF($H218=0,"No GL activity","Mapped"))))</f>
        <v/>
      </c>
    </row>
    <row r="219" customFormat="false" ht="15" hidden="false" customHeight="false" outlineLevel="0" collapsed="false">
      <c r="A219" s="41"/>
      <c r="B219" s="41"/>
      <c r="C219" s="41"/>
      <c r="D219" s="41"/>
      <c r="E219" s="42" t="str">
        <f aca="false">IF($A219="","",IFERROR(INDEX(Lists!$C$5:$C$16,MATCH($C219,Lists!$B$5:$B$16,0)),"?"))</f>
        <v/>
      </c>
      <c r="F219" s="42" t="str">
        <f aca="false">IF($A219="","",IFERROR(INDEX(Lists!$D$5:$D$16,MATCH($C219,Lists!$B$5:$B$16,0)),1))</f>
        <v/>
      </c>
      <c r="G219" s="42" t="str">
        <f aca="false">IF($A219="","",IFERROR(INDEX(Lists!$A$5:$A$16,MATCH($C219,Lists!$B$5:$B$16,0)),999))</f>
        <v/>
      </c>
      <c r="H219" s="43" t="str">
        <f aca="false">IF($A219="","",COUNTIF(GL_Data!$B$8:$B$5007,$A219))</f>
        <v/>
      </c>
      <c r="I219" s="44" t="str">
        <f aca="false">IF($A219="","",IF($C219="","NO GROUP",IF($E219="?","BAD GROUP",IF($H219=0,"No GL activity","Mapped"))))</f>
        <v/>
      </c>
    </row>
    <row r="220" customFormat="false" ht="15" hidden="false" customHeight="false" outlineLevel="0" collapsed="false">
      <c r="A220" s="41"/>
      <c r="B220" s="41"/>
      <c r="C220" s="41"/>
      <c r="D220" s="41"/>
      <c r="E220" s="42" t="str">
        <f aca="false">IF($A220="","",IFERROR(INDEX(Lists!$C$5:$C$16,MATCH($C220,Lists!$B$5:$B$16,0)),"?"))</f>
        <v/>
      </c>
      <c r="F220" s="42" t="str">
        <f aca="false">IF($A220="","",IFERROR(INDEX(Lists!$D$5:$D$16,MATCH($C220,Lists!$B$5:$B$16,0)),1))</f>
        <v/>
      </c>
      <c r="G220" s="42" t="str">
        <f aca="false">IF($A220="","",IFERROR(INDEX(Lists!$A$5:$A$16,MATCH($C220,Lists!$B$5:$B$16,0)),999))</f>
        <v/>
      </c>
      <c r="H220" s="43" t="str">
        <f aca="false">IF($A220="","",COUNTIF(GL_Data!$B$8:$B$5007,$A220))</f>
        <v/>
      </c>
      <c r="I220" s="44" t="str">
        <f aca="false">IF($A220="","",IF($C220="","NO GROUP",IF($E220="?","BAD GROUP",IF($H220=0,"No GL activity","Mapped"))))</f>
        <v/>
      </c>
    </row>
    <row r="221" customFormat="false" ht="15" hidden="false" customHeight="false" outlineLevel="0" collapsed="false">
      <c r="A221" s="41"/>
      <c r="B221" s="41"/>
      <c r="C221" s="41"/>
      <c r="D221" s="41"/>
      <c r="E221" s="42" t="str">
        <f aca="false">IF($A221="","",IFERROR(INDEX(Lists!$C$5:$C$16,MATCH($C221,Lists!$B$5:$B$16,0)),"?"))</f>
        <v/>
      </c>
      <c r="F221" s="42" t="str">
        <f aca="false">IF($A221="","",IFERROR(INDEX(Lists!$D$5:$D$16,MATCH($C221,Lists!$B$5:$B$16,0)),1))</f>
        <v/>
      </c>
      <c r="G221" s="42" t="str">
        <f aca="false">IF($A221="","",IFERROR(INDEX(Lists!$A$5:$A$16,MATCH($C221,Lists!$B$5:$B$16,0)),999))</f>
        <v/>
      </c>
      <c r="H221" s="43" t="str">
        <f aca="false">IF($A221="","",COUNTIF(GL_Data!$B$8:$B$5007,$A221))</f>
        <v/>
      </c>
      <c r="I221" s="44" t="str">
        <f aca="false">IF($A221="","",IF($C221="","NO GROUP",IF($E221="?","BAD GROUP",IF($H221=0,"No GL activity","Mapped"))))</f>
        <v/>
      </c>
    </row>
    <row r="222" customFormat="false" ht="15" hidden="false" customHeight="false" outlineLevel="0" collapsed="false">
      <c r="A222" s="41"/>
      <c r="B222" s="41"/>
      <c r="C222" s="41"/>
      <c r="D222" s="41"/>
      <c r="E222" s="42" t="str">
        <f aca="false">IF($A222="","",IFERROR(INDEX(Lists!$C$5:$C$16,MATCH($C222,Lists!$B$5:$B$16,0)),"?"))</f>
        <v/>
      </c>
      <c r="F222" s="42" t="str">
        <f aca="false">IF($A222="","",IFERROR(INDEX(Lists!$D$5:$D$16,MATCH($C222,Lists!$B$5:$B$16,0)),1))</f>
        <v/>
      </c>
      <c r="G222" s="42" t="str">
        <f aca="false">IF($A222="","",IFERROR(INDEX(Lists!$A$5:$A$16,MATCH($C222,Lists!$B$5:$B$16,0)),999))</f>
        <v/>
      </c>
      <c r="H222" s="43" t="str">
        <f aca="false">IF($A222="","",COUNTIF(GL_Data!$B$8:$B$5007,$A222))</f>
        <v/>
      </c>
      <c r="I222" s="44" t="str">
        <f aca="false">IF($A222="","",IF($C222="","NO GROUP",IF($E222="?","BAD GROUP",IF($H222=0,"No GL activity","Mapped"))))</f>
        <v/>
      </c>
    </row>
    <row r="223" customFormat="false" ht="15" hidden="false" customHeight="false" outlineLevel="0" collapsed="false">
      <c r="A223" s="41"/>
      <c r="B223" s="41"/>
      <c r="C223" s="41"/>
      <c r="D223" s="41"/>
      <c r="E223" s="42" t="str">
        <f aca="false">IF($A223="","",IFERROR(INDEX(Lists!$C$5:$C$16,MATCH($C223,Lists!$B$5:$B$16,0)),"?"))</f>
        <v/>
      </c>
      <c r="F223" s="42" t="str">
        <f aca="false">IF($A223="","",IFERROR(INDEX(Lists!$D$5:$D$16,MATCH($C223,Lists!$B$5:$B$16,0)),1))</f>
        <v/>
      </c>
      <c r="G223" s="42" t="str">
        <f aca="false">IF($A223="","",IFERROR(INDEX(Lists!$A$5:$A$16,MATCH($C223,Lists!$B$5:$B$16,0)),999))</f>
        <v/>
      </c>
      <c r="H223" s="43" t="str">
        <f aca="false">IF($A223="","",COUNTIF(GL_Data!$B$8:$B$5007,$A223))</f>
        <v/>
      </c>
      <c r="I223" s="44" t="str">
        <f aca="false">IF($A223="","",IF($C223="","NO GROUP",IF($E223="?","BAD GROUP",IF($H223=0,"No GL activity","Mapped"))))</f>
        <v/>
      </c>
    </row>
    <row r="224" customFormat="false" ht="15" hidden="false" customHeight="false" outlineLevel="0" collapsed="false">
      <c r="A224" s="41"/>
      <c r="B224" s="41"/>
      <c r="C224" s="41"/>
      <c r="D224" s="41"/>
      <c r="E224" s="42" t="str">
        <f aca="false">IF($A224="","",IFERROR(INDEX(Lists!$C$5:$C$16,MATCH($C224,Lists!$B$5:$B$16,0)),"?"))</f>
        <v/>
      </c>
      <c r="F224" s="42" t="str">
        <f aca="false">IF($A224="","",IFERROR(INDEX(Lists!$D$5:$D$16,MATCH($C224,Lists!$B$5:$B$16,0)),1))</f>
        <v/>
      </c>
      <c r="G224" s="42" t="str">
        <f aca="false">IF($A224="","",IFERROR(INDEX(Lists!$A$5:$A$16,MATCH($C224,Lists!$B$5:$B$16,0)),999))</f>
        <v/>
      </c>
      <c r="H224" s="43" t="str">
        <f aca="false">IF($A224="","",COUNTIF(GL_Data!$B$8:$B$5007,$A224))</f>
        <v/>
      </c>
      <c r="I224" s="44" t="str">
        <f aca="false">IF($A224="","",IF($C224="","NO GROUP",IF($E224="?","BAD GROUP",IF($H224=0,"No GL activity","Mapped"))))</f>
        <v/>
      </c>
    </row>
    <row r="225" customFormat="false" ht="15" hidden="false" customHeight="false" outlineLevel="0" collapsed="false">
      <c r="A225" s="41"/>
      <c r="B225" s="41"/>
      <c r="C225" s="41"/>
      <c r="D225" s="41"/>
      <c r="E225" s="42" t="str">
        <f aca="false">IF($A225="","",IFERROR(INDEX(Lists!$C$5:$C$16,MATCH($C225,Lists!$B$5:$B$16,0)),"?"))</f>
        <v/>
      </c>
      <c r="F225" s="42" t="str">
        <f aca="false">IF($A225="","",IFERROR(INDEX(Lists!$D$5:$D$16,MATCH($C225,Lists!$B$5:$B$16,0)),1))</f>
        <v/>
      </c>
      <c r="G225" s="42" t="str">
        <f aca="false">IF($A225="","",IFERROR(INDEX(Lists!$A$5:$A$16,MATCH($C225,Lists!$B$5:$B$16,0)),999))</f>
        <v/>
      </c>
      <c r="H225" s="43" t="str">
        <f aca="false">IF($A225="","",COUNTIF(GL_Data!$B$8:$B$5007,$A225))</f>
        <v/>
      </c>
      <c r="I225" s="44" t="str">
        <f aca="false">IF($A225="","",IF($C225="","NO GROUP",IF($E225="?","BAD GROUP",IF($H225=0,"No GL activity","Mapped"))))</f>
        <v/>
      </c>
    </row>
    <row r="226" customFormat="false" ht="15" hidden="false" customHeight="false" outlineLevel="0" collapsed="false">
      <c r="A226" s="41"/>
      <c r="B226" s="41"/>
      <c r="C226" s="41"/>
      <c r="D226" s="41"/>
      <c r="E226" s="42" t="str">
        <f aca="false">IF($A226="","",IFERROR(INDEX(Lists!$C$5:$C$16,MATCH($C226,Lists!$B$5:$B$16,0)),"?"))</f>
        <v/>
      </c>
      <c r="F226" s="42" t="str">
        <f aca="false">IF($A226="","",IFERROR(INDEX(Lists!$D$5:$D$16,MATCH($C226,Lists!$B$5:$B$16,0)),1))</f>
        <v/>
      </c>
      <c r="G226" s="42" t="str">
        <f aca="false">IF($A226="","",IFERROR(INDEX(Lists!$A$5:$A$16,MATCH($C226,Lists!$B$5:$B$16,0)),999))</f>
        <v/>
      </c>
      <c r="H226" s="43" t="str">
        <f aca="false">IF($A226="","",COUNTIF(GL_Data!$B$8:$B$5007,$A226))</f>
        <v/>
      </c>
      <c r="I226" s="44" t="str">
        <f aca="false">IF($A226="","",IF($C226="","NO GROUP",IF($E226="?","BAD GROUP",IF($H226=0,"No GL activity","Mapped"))))</f>
        <v/>
      </c>
    </row>
    <row r="227" customFormat="false" ht="15" hidden="false" customHeight="false" outlineLevel="0" collapsed="false">
      <c r="A227" s="41"/>
      <c r="B227" s="41"/>
      <c r="C227" s="41"/>
      <c r="D227" s="41"/>
      <c r="E227" s="42" t="str">
        <f aca="false">IF($A227="","",IFERROR(INDEX(Lists!$C$5:$C$16,MATCH($C227,Lists!$B$5:$B$16,0)),"?"))</f>
        <v/>
      </c>
      <c r="F227" s="42" t="str">
        <f aca="false">IF($A227="","",IFERROR(INDEX(Lists!$D$5:$D$16,MATCH($C227,Lists!$B$5:$B$16,0)),1))</f>
        <v/>
      </c>
      <c r="G227" s="42" t="str">
        <f aca="false">IF($A227="","",IFERROR(INDEX(Lists!$A$5:$A$16,MATCH($C227,Lists!$B$5:$B$16,0)),999))</f>
        <v/>
      </c>
      <c r="H227" s="43" t="str">
        <f aca="false">IF($A227="","",COUNTIF(GL_Data!$B$8:$B$5007,$A227))</f>
        <v/>
      </c>
      <c r="I227" s="44" t="str">
        <f aca="false">IF($A227="","",IF($C227="","NO GROUP",IF($E227="?","BAD GROUP",IF($H227=0,"No GL activity","Mapped"))))</f>
        <v/>
      </c>
    </row>
    <row r="228" customFormat="false" ht="15" hidden="false" customHeight="false" outlineLevel="0" collapsed="false">
      <c r="A228" s="41"/>
      <c r="B228" s="41"/>
      <c r="C228" s="41"/>
      <c r="D228" s="41"/>
      <c r="E228" s="42" t="str">
        <f aca="false">IF($A228="","",IFERROR(INDEX(Lists!$C$5:$C$16,MATCH($C228,Lists!$B$5:$B$16,0)),"?"))</f>
        <v/>
      </c>
      <c r="F228" s="42" t="str">
        <f aca="false">IF($A228="","",IFERROR(INDEX(Lists!$D$5:$D$16,MATCH($C228,Lists!$B$5:$B$16,0)),1))</f>
        <v/>
      </c>
      <c r="G228" s="42" t="str">
        <f aca="false">IF($A228="","",IFERROR(INDEX(Lists!$A$5:$A$16,MATCH($C228,Lists!$B$5:$B$16,0)),999))</f>
        <v/>
      </c>
      <c r="H228" s="43" t="str">
        <f aca="false">IF($A228="","",COUNTIF(GL_Data!$B$8:$B$5007,$A228))</f>
        <v/>
      </c>
      <c r="I228" s="44" t="str">
        <f aca="false">IF($A228="","",IF($C228="","NO GROUP",IF($E228="?","BAD GROUP",IF($H228=0,"No GL activity","Mapped"))))</f>
        <v/>
      </c>
    </row>
    <row r="229" customFormat="false" ht="15" hidden="false" customHeight="false" outlineLevel="0" collapsed="false">
      <c r="A229" s="41"/>
      <c r="B229" s="41"/>
      <c r="C229" s="41"/>
      <c r="D229" s="41"/>
      <c r="E229" s="42" t="str">
        <f aca="false">IF($A229="","",IFERROR(INDEX(Lists!$C$5:$C$16,MATCH($C229,Lists!$B$5:$B$16,0)),"?"))</f>
        <v/>
      </c>
      <c r="F229" s="42" t="str">
        <f aca="false">IF($A229="","",IFERROR(INDEX(Lists!$D$5:$D$16,MATCH($C229,Lists!$B$5:$B$16,0)),1))</f>
        <v/>
      </c>
      <c r="G229" s="42" t="str">
        <f aca="false">IF($A229="","",IFERROR(INDEX(Lists!$A$5:$A$16,MATCH($C229,Lists!$B$5:$B$16,0)),999))</f>
        <v/>
      </c>
      <c r="H229" s="43" t="str">
        <f aca="false">IF($A229="","",COUNTIF(GL_Data!$B$8:$B$5007,$A229))</f>
        <v/>
      </c>
      <c r="I229" s="44" t="str">
        <f aca="false">IF($A229="","",IF($C229="","NO GROUP",IF($E229="?","BAD GROUP",IF($H229=0,"No GL activity","Mapped"))))</f>
        <v/>
      </c>
    </row>
    <row r="230" customFormat="false" ht="15" hidden="false" customHeight="false" outlineLevel="0" collapsed="false">
      <c r="A230" s="41"/>
      <c r="B230" s="41"/>
      <c r="C230" s="41"/>
      <c r="D230" s="41"/>
      <c r="E230" s="42" t="str">
        <f aca="false">IF($A230="","",IFERROR(INDEX(Lists!$C$5:$C$16,MATCH($C230,Lists!$B$5:$B$16,0)),"?"))</f>
        <v/>
      </c>
      <c r="F230" s="42" t="str">
        <f aca="false">IF($A230="","",IFERROR(INDEX(Lists!$D$5:$D$16,MATCH($C230,Lists!$B$5:$B$16,0)),1))</f>
        <v/>
      </c>
      <c r="G230" s="42" t="str">
        <f aca="false">IF($A230="","",IFERROR(INDEX(Lists!$A$5:$A$16,MATCH($C230,Lists!$B$5:$B$16,0)),999))</f>
        <v/>
      </c>
      <c r="H230" s="43" t="str">
        <f aca="false">IF($A230="","",COUNTIF(GL_Data!$B$8:$B$5007,$A230))</f>
        <v/>
      </c>
      <c r="I230" s="44" t="str">
        <f aca="false">IF($A230="","",IF($C230="","NO GROUP",IF($E230="?","BAD GROUP",IF($H230=0,"No GL activity","Mapped"))))</f>
        <v/>
      </c>
    </row>
    <row r="231" customFormat="false" ht="15" hidden="false" customHeight="false" outlineLevel="0" collapsed="false">
      <c r="A231" s="41"/>
      <c r="B231" s="41"/>
      <c r="C231" s="41"/>
      <c r="D231" s="41"/>
      <c r="E231" s="42" t="str">
        <f aca="false">IF($A231="","",IFERROR(INDEX(Lists!$C$5:$C$16,MATCH($C231,Lists!$B$5:$B$16,0)),"?"))</f>
        <v/>
      </c>
      <c r="F231" s="42" t="str">
        <f aca="false">IF($A231="","",IFERROR(INDEX(Lists!$D$5:$D$16,MATCH($C231,Lists!$B$5:$B$16,0)),1))</f>
        <v/>
      </c>
      <c r="G231" s="42" t="str">
        <f aca="false">IF($A231="","",IFERROR(INDEX(Lists!$A$5:$A$16,MATCH($C231,Lists!$B$5:$B$16,0)),999))</f>
        <v/>
      </c>
      <c r="H231" s="43" t="str">
        <f aca="false">IF($A231="","",COUNTIF(GL_Data!$B$8:$B$5007,$A231))</f>
        <v/>
      </c>
      <c r="I231" s="44" t="str">
        <f aca="false">IF($A231="","",IF($C231="","NO GROUP",IF($E231="?","BAD GROUP",IF($H231=0,"No GL activity","Mapped"))))</f>
        <v/>
      </c>
    </row>
    <row r="232" customFormat="false" ht="15" hidden="false" customHeight="false" outlineLevel="0" collapsed="false">
      <c r="A232" s="41"/>
      <c r="B232" s="41"/>
      <c r="C232" s="41"/>
      <c r="D232" s="41"/>
      <c r="E232" s="42" t="str">
        <f aca="false">IF($A232="","",IFERROR(INDEX(Lists!$C$5:$C$16,MATCH($C232,Lists!$B$5:$B$16,0)),"?"))</f>
        <v/>
      </c>
      <c r="F232" s="42" t="str">
        <f aca="false">IF($A232="","",IFERROR(INDEX(Lists!$D$5:$D$16,MATCH($C232,Lists!$B$5:$B$16,0)),1))</f>
        <v/>
      </c>
      <c r="G232" s="42" t="str">
        <f aca="false">IF($A232="","",IFERROR(INDEX(Lists!$A$5:$A$16,MATCH($C232,Lists!$B$5:$B$16,0)),999))</f>
        <v/>
      </c>
      <c r="H232" s="43" t="str">
        <f aca="false">IF($A232="","",COUNTIF(GL_Data!$B$8:$B$5007,$A232))</f>
        <v/>
      </c>
      <c r="I232" s="44" t="str">
        <f aca="false">IF($A232="","",IF($C232="","NO GROUP",IF($E232="?","BAD GROUP",IF($H232=0,"No GL activity","Mapped"))))</f>
        <v/>
      </c>
    </row>
    <row r="233" customFormat="false" ht="15" hidden="false" customHeight="false" outlineLevel="0" collapsed="false">
      <c r="A233" s="41"/>
      <c r="B233" s="41"/>
      <c r="C233" s="41"/>
      <c r="D233" s="41"/>
      <c r="E233" s="42" t="str">
        <f aca="false">IF($A233="","",IFERROR(INDEX(Lists!$C$5:$C$16,MATCH($C233,Lists!$B$5:$B$16,0)),"?"))</f>
        <v/>
      </c>
      <c r="F233" s="42" t="str">
        <f aca="false">IF($A233="","",IFERROR(INDEX(Lists!$D$5:$D$16,MATCH($C233,Lists!$B$5:$B$16,0)),1))</f>
        <v/>
      </c>
      <c r="G233" s="42" t="str">
        <f aca="false">IF($A233="","",IFERROR(INDEX(Lists!$A$5:$A$16,MATCH($C233,Lists!$B$5:$B$16,0)),999))</f>
        <v/>
      </c>
      <c r="H233" s="43" t="str">
        <f aca="false">IF($A233="","",COUNTIF(GL_Data!$B$8:$B$5007,$A233))</f>
        <v/>
      </c>
      <c r="I233" s="44" t="str">
        <f aca="false">IF($A233="","",IF($C233="","NO GROUP",IF($E233="?","BAD GROUP",IF($H233=0,"No GL activity","Mapped"))))</f>
        <v/>
      </c>
    </row>
    <row r="234" customFormat="false" ht="15" hidden="false" customHeight="false" outlineLevel="0" collapsed="false">
      <c r="A234" s="41"/>
      <c r="B234" s="41"/>
      <c r="C234" s="41"/>
      <c r="D234" s="41"/>
      <c r="E234" s="42" t="str">
        <f aca="false">IF($A234="","",IFERROR(INDEX(Lists!$C$5:$C$16,MATCH($C234,Lists!$B$5:$B$16,0)),"?"))</f>
        <v/>
      </c>
      <c r="F234" s="42" t="str">
        <f aca="false">IF($A234="","",IFERROR(INDEX(Lists!$D$5:$D$16,MATCH($C234,Lists!$B$5:$B$16,0)),1))</f>
        <v/>
      </c>
      <c r="G234" s="42" t="str">
        <f aca="false">IF($A234="","",IFERROR(INDEX(Lists!$A$5:$A$16,MATCH($C234,Lists!$B$5:$B$16,0)),999))</f>
        <v/>
      </c>
      <c r="H234" s="43" t="str">
        <f aca="false">IF($A234="","",COUNTIF(GL_Data!$B$8:$B$5007,$A234))</f>
        <v/>
      </c>
      <c r="I234" s="44" t="str">
        <f aca="false">IF($A234="","",IF($C234="","NO GROUP",IF($E234="?","BAD GROUP",IF($H234=0,"No GL activity","Mapped"))))</f>
        <v/>
      </c>
    </row>
    <row r="235" customFormat="false" ht="15" hidden="false" customHeight="false" outlineLevel="0" collapsed="false">
      <c r="A235" s="41"/>
      <c r="B235" s="41"/>
      <c r="C235" s="41"/>
      <c r="D235" s="41"/>
      <c r="E235" s="42" t="str">
        <f aca="false">IF($A235="","",IFERROR(INDEX(Lists!$C$5:$C$16,MATCH($C235,Lists!$B$5:$B$16,0)),"?"))</f>
        <v/>
      </c>
      <c r="F235" s="42" t="str">
        <f aca="false">IF($A235="","",IFERROR(INDEX(Lists!$D$5:$D$16,MATCH($C235,Lists!$B$5:$B$16,0)),1))</f>
        <v/>
      </c>
      <c r="G235" s="42" t="str">
        <f aca="false">IF($A235="","",IFERROR(INDEX(Lists!$A$5:$A$16,MATCH($C235,Lists!$B$5:$B$16,0)),999))</f>
        <v/>
      </c>
      <c r="H235" s="43" t="str">
        <f aca="false">IF($A235="","",COUNTIF(GL_Data!$B$8:$B$5007,$A235))</f>
        <v/>
      </c>
      <c r="I235" s="44" t="str">
        <f aca="false">IF($A235="","",IF($C235="","NO GROUP",IF($E235="?","BAD GROUP",IF($H235=0,"No GL activity","Mapped"))))</f>
        <v/>
      </c>
    </row>
    <row r="236" customFormat="false" ht="15" hidden="false" customHeight="false" outlineLevel="0" collapsed="false">
      <c r="A236" s="41"/>
      <c r="B236" s="41"/>
      <c r="C236" s="41"/>
      <c r="D236" s="41"/>
      <c r="E236" s="42" t="str">
        <f aca="false">IF($A236="","",IFERROR(INDEX(Lists!$C$5:$C$16,MATCH($C236,Lists!$B$5:$B$16,0)),"?"))</f>
        <v/>
      </c>
      <c r="F236" s="42" t="str">
        <f aca="false">IF($A236="","",IFERROR(INDEX(Lists!$D$5:$D$16,MATCH($C236,Lists!$B$5:$B$16,0)),1))</f>
        <v/>
      </c>
      <c r="G236" s="42" t="str">
        <f aca="false">IF($A236="","",IFERROR(INDEX(Lists!$A$5:$A$16,MATCH($C236,Lists!$B$5:$B$16,0)),999))</f>
        <v/>
      </c>
      <c r="H236" s="43" t="str">
        <f aca="false">IF($A236="","",COUNTIF(GL_Data!$B$8:$B$5007,$A236))</f>
        <v/>
      </c>
      <c r="I236" s="44" t="str">
        <f aca="false">IF($A236="","",IF($C236="","NO GROUP",IF($E236="?","BAD GROUP",IF($H236=0,"No GL activity","Mapped"))))</f>
        <v/>
      </c>
    </row>
    <row r="237" customFormat="false" ht="15" hidden="false" customHeight="false" outlineLevel="0" collapsed="false">
      <c r="A237" s="41"/>
      <c r="B237" s="41"/>
      <c r="C237" s="41"/>
      <c r="D237" s="41"/>
      <c r="E237" s="42" t="str">
        <f aca="false">IF($A237="","",IFERROR(INDEX(Lists!$C$5:$C$16,MATCH($C237,Lists!$B$5:$B$16,0)),"?"))</f>
        <v/>
      </c>
      <c r="F237" s="42" t="str">
        <f aca="false">IF($A237="","",IFERROR(INDEX(Lists!$D$5:$D$16,MATCH($C237,Lists!$B$5:$B$16,0)),1))</f>
        <v/>
      </c>
      <c r="G237" s="42" t="str">
        <f aca="false">IF($A237="","",IFERROR(INDEX(Lists!$A$5:$A$16,MATCH($C237,Lists!$B$5:$B$16,0)),999))</f>
        <v/>
      </c>
      <c r="H237" s="43" t="str">
        <f aca="false">IF($A237="","",COUNTIF(GL_Data!$B$8:$B$5007,$A237))</f>
        <v/>
      </c>
      <c r="I237" s="44" t="str">
        <f aca="false">IF($A237="","",IF($C237="","NO GROUP",IF($E237="?","BAD GROUP",IF($H237=0,"No GL activity","Mapped"))))</f>
        <v/>
      </c>
    </row>
    <row r="238" customFormat="false" ht="15" hidden="false" customHeight="false" outlineLevel="0" collapsed="false">
      <c r="A238" s="41"/>
      <c r="B238" s="41"/>
      <c r="C238" s="41"/>
      <c r="D238" s="41"/>
      <c r="E238" s="42" t="str">
        <f aca="false">IF($A238="","",IFERROR(INDEX(Lists!$C$5:$C$16,MATCH($C238,Lists!$B$5:$B$16,0)),"?"))</f>
        <v/>
      </c>
      <c r="F238" s="42" t="str">
        <f aca="false">IF($A238="","",IFERROR(INDEX(Lists!$D$5:$D$16,MATCH($C238,Lists!$B$5:$B$16,0)),1))</f>
        <v/>
      </c>
      <c r="G238" s="42" t="str">
        <f aca="false">IF($A238="","",IFERROR(INDEX(Lists!$A$5:$A$16,MATCH($C238,Lists!$B$5:$B$16,0)),999))</f>
        <v/>
      </c>
      <c r="H238" s="43" t="str">
        <f aca="false">IF($A238="","",COUNTIF(GL_Data!$B$8:$B$5007,$A238))</f>
        <v/>
      </c>
      <c r="I238" s="44" t="str">
        <f aca="false">IF($A238="","",IF($C238="","NO GROUP",IF($E238="?","BAD GROUP",IF($H238=0,"No GL activity","Mapped"))))</f>
        <v/>
      </c>
    </row>
    <row r="239" customFormat="false" ht="15" hidden="false" customHeight="false" outlineLevel="0" collapsed="false">
      <c r="A239" s="41"/>
      <c r="B239" s="41"/>
      <c r="C239" s="41"/>
      <c r="D239" s="41"/>
      <c r="E239" s="42" t="str">
        <f aca="false">IF($A239="","",IFERROR(INDEX(Lists!$C$5:$C$16,MATCH($C239,Lists!$B$5:$B$16,0)),"?"))</f>
        <v/>
      </c>
      <c r="F239" s="42" t="str">
        <f aca="false">IF($A239="","",IFERROR(INDEX(Lists!$D$5:$D$16,MATCH($C239,Lists!$B$5:$B$16,0)),1))</f>
        <v/>
      </c>
      <c r="G239" s="42" t="str">
        <f aca="false">IF($A239="","",IFERROR(INDEX(Lists!$A$5:$A$16,MATCH($C239,Lists!$B$5:$B$16,0)),999))</f>
        <v/>
      </c>
      <c r="H239" s="43" t="str">
        <f aca="false">IF($A239="","",COUNTIF(GL_Data!$B$8:$B$5007,$A239))</f>
        <v/>
      </c>
      <c r="I239" s="44" t="str">
        <f aca="false">IF($A239="","",IF($C239="","NO GROUP",IF($E239="?","BAD GROUP",IF($H239=0,"No GL activity","Mapped"))))</f>
        <v/>
      </c>
    </row>
    <row r="240" customFormat="false" ht="15" hidden="false" customHeight="false" outlineLevel="0" collapsed="false">
      <c r="A240" s="41"/>
      <c r="B240" s="41"/>
      <c r="C240" s="41"/>
      <c r="D240" s="41"/>
      <c r="E240" s="42" t="str">
        <f aca="false">IF($A240="","",IFERROR(INDEX(Lists!$C$5:$C$16,MATCH($C240,Lists!$B$5:$B$16,0)),"?"))</f>
        <v/>
      </c>
      <c r="F240" s="42" t="str">
        <f aca="false">IF($A240="","",IFERROR(INDEX(Lists!$D$5:$D$16,MATCH($C240,Lists!$B$5:$B$16,0)),1))</f>
        <v/>
      </c>
      <c r="G240" s="42" t="str">
        <f aca="false">IF($A240="","",IFERROR(INDEX(Lists!$A$5:$A$16,MATCH($C240,Lists!$B$5:$B$16,0)),999))</f>
        <v/>
      </c>
      <c r="H240" s="43" t="str">
        <f aca="false">IF($A240="","",COUNTIF(GL_Data!$B$8:$B$5007,$A240))</f>
        <v/>
      </c>
      <c r="I240" s="44" t="str">
        <f aca="false">IF($A240="","",IF($C240="","NO GROUP",IF($E240="?","BAD GROUP",IF($H240=0,"No GL activity","Mapped"))))</f>
        <v/>
      </c>
    </row>
    <row r="241" customFormat="false" ht="15" hidden="false" customHeight="false" outlineLevel="0" collapsed="false">
      <c r="A241" s="41"/>
      <c r="B241" s="41"/>
      <c r="C241" s="41"/>
      <c r="D241" s="41"/>
      <c r="E241" s="42" t="str">
        <f aca="false">IF($A241="","",IFERROR(INDEX(Lists!$C$5:$C$16,MATCH($C241,Lists!$B$5:$B$16,0)),"?"))</f>
        <v/>
      </c>
      <c r="F241" s="42" t="str">
        <f aca="false">IF($A241="","",IFERROR(INDEX(Lists!$D$5:$D$16,MATCH($C241,Lists!$B$5:$B$16,0)),1))</f>
        <v/>
      </c>
      <c r="G241" s="42" t="str">
        <f aca="false">IF($A241="","",IFERROR(INDEX(Lists!$A$5:$A$16,MATCH($C241,Lists!$B$5:$B$16,0)),999))</f>
        <v/>
      </c>
      <c r="H241" s="43" t="str">
        <f aca="false">IF($A241="","",COUNTIF(GL_Data!$B$8:$B$5007,$A241))</f>
        <v/>
      </c>
      <c r="I241" s="44" t="str">
        <f aca="false">IF($A241="","",IF($C241="","NO GROUP",IF($E241="?","BAD GROUP",IF($H241=0,"No GL activity","Mapped"))))</f>
        <v/>
      </c>
    </row>
    <row r="242" customFormat="false" ht="15" hidden="false" customHeight="false" outlineLevel="0" collapsed="false">
      <c r="A242" s="41"/>
      <c r="B242" s="41"/>
      <c r="C242" s="41"/>
      <c r="D242" s="41"/>
      <c r="E242" s="42" t="str">
        <f aca="false">IF($A242="","",IFERROR(INDEX(Lists!$C$5:$C$16,MATCH($C242,Lists!$B$5:$B$16,0)),"?"))</f>
        <v/>
      </c>
      <c r="F242" s="42" t="str">
        <f aca="false">IF($A242="","",IFERROR(INDEX(Lists!$D$5:$D$16,MATCH($C242,Lists!$B$5:$B$16,0)),1))</f>
        <v/>
      </c>
      <c r="G242" s="42" t="str">
        <f aca="false">IF($A242="","",IFERROR(INDEX(Lists!$A$5:$A$16,MATCH($C242,Lists!$B$5:$B$16,0)),999))</f>
        <v/>
      </c>
      <c r="H242" s="43" t="str">
        <f aca="false">IF($A242="","",COUNTIF(GL_Data!$B$8:$B$5007,$A242))</f>
        <v/>
      </c>
      <c r="I242" s="44" t="str">
        <f aca="false">IF($A242="","",IF($C242="","NO GROUP",IF($E242="?","BAD GROUP",IF($H242=0,"No GL activity","Mapped"))))</f>
        <v/>
      </c>
    </row>
    <row r="243" customFormat="false" ht="15" hidden="false" customHeight="false" outlineLevel="0" collapsed="false">
      <c r="A243" s="41"/>
      <c r="B243" s="41"/>
      <c r="C243" s="41"/>
      <c r="D243" s="41"/>
      <c r="E243" s="42" t="str">
        <f aca="false">IF($A243="","",IFERROR(INDEX(Lists!$C$5:$C$16,MATCH($C243,Lists!$B$5:$B$16,0)),"?"))</f>
        <v/>
      </c>
      <c r="F243" s="42" t="str">
        <f aca="false">IF($A243="","",IFERROR(INDEX(Lists!$D$5:$D$16,MATCH($C243,Lists!$B$5:$B$16,0)),1))</f>
        <v/>
      </c>
      <c r="G243" s="42" t="str">
        <f aca="false">IF($A243="","",IFERROR(INDEX(Lists!$A$5:$A$16,MATCH($C243,Lists!$B$5:$B$16,0)),999))</f>
        <v/>
      </c>
      <c r="H243" s="43" t="str">
        <f aca="false">IF($A243="","",COUNTIF(GL_Data!$B$8:$B$5007,$A243))</f>
        <v/>
      </c>
      <c r="I243" s="44" t="str">
        <f aca="false">IF($A243="","",IF($C243="","NO GROUP",IF($E243="?","BAD GROUP",IF($H243=0,"No GL activity","Mapped"))))</f>
        <v/>
      </c>
    </row>
    <row r="244" customFormat="false" ht="15" hidden="false" customHeight="false" outlineLevel="0" collapsed="false">
      <c r="A244" s="41"/>
      <c r="B244" s="41"/>
      <c r="C244" s="41"/>
      <c r="D244" s="41"/>
      <c r="E244" s="42" t="str">
        <f aca="false">IF($A244="","",IFERROR(INDEX(Lists!$C$5:$C$16,MATCH($C244,Lists!$B$5:$B$16,0)),"?"))</f>
        <v/>
      </c>
      <c r="F244" s="42" t="str">
        <f aca="false">IF($A244="","",IFERROR(INDEX(Lists!$D$5:$D$16,MATCH($C244,Lists!$B$5:$B$16,0)),1))</f>
        <v/>
      </c>
      <c r="G244" s="42" t="str">
        <f aca="false">IF($A244="","",IFERROR(INDEX(Lists!$A$5:$A$16,MATCH($C244,Lists!$B$5:$B$16,0)),999))</f>
        <v/>
      </c>
      <c r="H244" s="43" t="str">
        <f aca="false">IF($A244="","",COUNTIF(GL_Data!$B$8:$B$5007,$A244))</f>
        <v/>
      </c>
      <c r="I244" s="44" t="str">
        <f aca="false">IF($A244="","",IF($C244="","NO GROUP",IF($E244="?","BAD GROUP",IF($H244=0,"No GL activity","Mapped"))))</f>
        <v/>
      </c>
    </row>
    <row r="245" customFormat="false" ht="15" hidden="false" customHeight="false" outlineLevel="0" collapsed="false">
      <c r="A245" s="41"/>
      <c r="B245" s="41"/>
      <c r="C245" s="41"/>
      <c r="D245" s="41"/>
      <c r="E245" s="42" t="str">
        <f aca="false">IF($A245="","",IFERROR(INDEX(Lists!$C$5:$C$16,MATCH($C245,Lists!$B$5:$B$16,0)),"?"))</f>
        <v/>
      </c>
      <c r="F245" s="42" t="str">
        <f aca="false">IF($A245="","",IFERROR(INDEX(Lists!$D$5:$D$16,MATCH($C245,Lists!$B$5:$B$16,0)),1))</f>
        <v/>
      </c>
      <c r="G245" s="42" t="str">
        <f aca="false">IF($A245="","",IFERROR(INDEX(Lists!$A$5:$A$16,MATCH($C245,Lists!$B$5:$B$16,0)),999))</f>
        <v/>
      </c>
      <c r="H245" s="43" t="str">
        <f aca="false">IF($A245="","",COUNTIF(GL_Data!$B$8:$B$5007,$A245))</f>
        <v/>
      </c>
      <c r="I245" s="44" t="str">
        <f aca="false">IF($A245="","",IF($C245="","NO GROUP",IF($E245="?","BAD GROUP",IF($H245=0,"No GL activity","Mapped"))))</f>
        <v/>
      </c>
    </row>
    <row r="246" customFormat="false" ht="15" hidden="false" customHeight="false" outlineLevel="0" collapsed="false">
      <c r="A246" s="41"/>
      <c r="B246" s="41"/>
      <c r="C246" s="41"/>
      <c r="D246" s="41"/>
      <c r="E246" s="42" t="str">
        <f aca="false">IF($A246="","",IFERROR(INDEX(Lists!$C$5:$C$16,MATCH($C246,Lists!$B$5:$B$16,0)),"?"))</f>
        <v/>
      </c>
      <c r="F246" s="42" t="str">
        <f aca="false">IF($A246="","",IFERROR(INDEX(Lists!$D$5:$D$16,MATCH($C246,Lists!$B$5:$B$16,0)),1))</f>
        <v/>
      </c>
      <c r="G246" s="42" t="str">
        <f aca="false">IF($A246="","",IFERROR(INDEX(Lists!$A$5:$A$16,MATCH($C246,Lists!$B$5:$B$16,0)),999))</f>
        <v/>
      </c>
      <c r="H246" s="43" t="str">
        <f aca="false">IF($A246="","",COUNTIF(GL_Data!$B$8:$B$5007,$A246))</f>
        <v/>
      </c>
      <c r="I246" s="44" t="str">
        <f aca="false">IF($A246="","",IF($C246="","NO GROUP",IF($E246="?","BAD GROUP",IF($H246=0,"No GL activity","Mapped"))))</f>
        <v/>
      </c>
    </row>
    <row r="247" customFormat="false" ht="15" hidden="false" customHeight="false" outlineLevel="0" collapsed="false">
      <c r="A247" s="41"/>
      <c r="B247" s="41"/>
      <c r="C247" s="41"/>
      <c r="D247" s="41"/>
      <c r="E247" s="42" t="str">
        <f aca="false">IF($A247="","",IFERROR(INDEX(Lists!$C$5:$C$16,MATCH($C247,Lists!$B$5:$B$16,0)),"?"))</f>
        <v/>
      </c>
      <c r="F247" s="42" t="str">
        <f aca="false">IF($A247="","",IFERROR(INDEX(Lists!$D$5:$D$16,MATCH($C247,Lists!$B$5:$B$16,0)),1))</f>
        <v/>
      </c>
      <c r="G247" s="42" t="str">
        <f aca="false">IF($A247="","",IFERROR(INDEX(Lists!$A$5:$A$16,MATCH($C247,Lists!$B$5:$B$16,0)),999))</f>
        <v/>
      </c>
      <c r="H247" s="43" t="str">
        <f aca="false">IF($A247="","",COUNTIF(GL_Data!$B$8:$B$5007,$A247))</f>
        <v/>
      </c>
      <c r="I247" s="44" t="str">
        <f aca="false">IF($A247="","",IF($C247="","NO GROUP",IF($E247="?","BAD GROUP",IF($H247=0,"No GL activity","Mapped"))))</f>
        <v/>
      </c>
    </row>
    <row r="248" customFormat="false" ht="15" hidden="false" customHeight="false" outlineLevel="0" collapsed="false">
      <c r="A248" s="41"/>
      <c r="B248" s="41"/>
      <c r="C248" s="41"/>
      <c r="D248" s="41"/>
      <c r="E248" s="42" t="str">
        <f aca="false">IF($A248="","",IFERROR(INDEX(Lists!$C$5:$C$16,MATCH($C248,Lists!$B$5:$B$16,0)),"?"))</f>
        <v/>
      </c>
      <c r="F248" s="42" t="str">
        <f aca="false">IF($A248="","",IFERROR(INDEX(Lists!$D$5:$D$16,MATCH($C248,Lists!$B$5:$B$16,0)),1))</f>
        <v/>
      </c>
      <c r="G248" s="42" t="str">
        <f aca="false">IF($A248="","",IFERROR(INDEX(Lists!$A$5:$A$16,MATCH($C248,Lists!$B$5:$B$16,0)),999))</f>
        <v/>
      </c>
      <c r="H248" s="43" t="str">
        <f aca="false">IF($A248="","",COUNTIF(GL_Data!$B$8:$B$5007,$A248))</f>
        <v/>
      </c>
      <c r="I248" s="44" t="str">
        <f aca="false">IF($A248="","",IF($C248="","NO GROUP",IF($E248="?","BAD GROUP",IF($H248=0,"No GL activity","Mapped"))))</f>
        <v/>
      </c>
    </row>
    <row r="249" customFormat="false" ht="15" hidden="false" customHeight="false" outlineLevel="0" collapsed="false">
      <c r="A249" s="41"/>
      <c r="B249" s="41"/>
      <c r="C249" s="41"/>
      <c r="D249" s="41"/>
      <c r="E249" s="42" t="str">
        <f aca="false">IF($A249="","",IFERROR(INDEX(Lists!$C$5:$C$16,MATCH($C249,Lists!$B$5:$B$16,0)),"?"))</f>
        <v/>
      </c>
      <c r="F249" s="42" t="str">
        <f aca="false">IF($A249="","",IFERROR(INDEX(Lists!$D$5:$D$16,MATCH($C249,Lists!$B$5:$B$16,0)),1))</f>
        <v/>
      </c>
      <c r="G249" s="42" t="str">
        <f aca="false">IF($A249="","",IFERROR(INDEX(Lists!$A$5:$A$16,MATCH($C249,Lists!$B$5:$B$16,0)),999))</f>
        <v/>
      </c>
      <c r="H249" s="43" t="str">
        <f aca="false">IF($A249="","",COUNTIF(GL_Data!$B$8:$B$5007,$A249))</f>
        <v/>
      </c>
      <c r="I249" s="44" t="str">
        <f aca="false">IF($A249="","",IF($C249="","NO GROUP",IF($E249="?","BAD GROUP",IF($H249=0,"No GL activity","Mapped"))))</f>
        <v/>
      </c>
    </row>
    <row r="250" customFormat="false" ht="15" hidden="false" customHeight="false" outlineLevel="0" collapsed="false">
      <c r="A250" s="41"/>
      <c r="B250" s="41"/>
      <c r="C250" s="41"/>
      <c r="D250" s="41"/>
      <c r="E250" s="42" t="str">
        <f aca="false">IF($A250="","",IFERROR(INDEX(Lists!$C$5:$C$16,MATCH($C250,Lists!$B$5:$B$16,0)),"?"))</f>
        <v/>
      </c>
      <c r="F250" s="42" t="str">
        <f aca="false">IF($A250="","",IFERROR(INDEX(Lists!$D$5:$D$16,MATCH($C250,Lists!$B$5:$B$16,0)),1))</f>
        <v/>
      </c>
      <c r="G250" s="42" t="str">
        <f aca="false">IF($A250="","",IFERROR(INDEX(Lists!$A$5:$A$16,MATCH($C250,Lists!$B$5:$B$16,0)),999))</f>
        <v/>
      </c>
      <c r="H250" s="43" t="str">
        <f aca="false">IF($A250="","",COUNTIF(GL_Data!$B$8:$B$5007,$A250))</f>
        <v/>
      </c>
      <c r="I250" s="44" t="str">
        <f aca="false">IF($A250="","",IF($C250="","NO GROUP",IF($E250="?","BAD GROUP",IF($H250=0,"No GL activity","Mapped"))))</f>
        <v/>
      </c>
    </row>
    <row r="251" customFormat="false" ht="15" hidden="false" customHeight="false" outlineLevel="0" collapsed="false">
      <c r="A251" s="41"/>
      <c r="B251" s="41"/>
      <c r="C251" s="41"/>
      <c r="D251" s="41"/>
      <c r="E251" s="42" t="str">
        <f aca="false">IF($A251="","",IFERROR(INDEX(Lists!$C$5:$C$16,MATCH($C251,Lists!$B$5:$B$16,0)),"?"))</f>
        <v/>
      </c>
      <c r="F251" s="42" t="str">
        <f aca="false">IF($A251="","",IFERROR(INDEX(Lists!$D$5:$D$16,MATCH($C251,Lists!$B$5:$B$16,0)),1))</f>
        <v/>
      </c>
      <c r="G251" s="42" t="str">
        <f aca="false">IF($A251="","",IFERROR(INDEX(Lists!$A$5:$A$16,MATCH($C251,Lists!$B$5:$B$16,0)),999))</f>
        <v/>
      </c>
      <c r="H251" s="43" t="str">
        <f aca="false">IF($A251="","",COUNTIF(GL_Data!$B$8:$B$5007,$A251))</f>
        <v/>
      </c>
      <c r="I251" s="44" t="str">
        <f aca="false">IF($A251="","",IF($C251="","NO GROUP",IF($E251="?","BAD GROUP",IF($H251=0,"No GL activity","Mapped"))))</f>
        <v/>
      </c>
    </row>
    <row r="252" customFormat="false" ht="15" hidden="false" customHeight="false" outlineLevel="0" collapsed="false">
      <c r="A252" s="41"/>
      <c r="B252" s="41"/>
      <c r="C252" s="41"/>
      <c r="D252" s="41"/>
      <c r="E252" s="42" t="str">
        <f aca="false">IF($A252="","",IFERROR(INDEX(Lists!$C$5:$C$16,MATCH($C252,Lists!$B$5:$B$16,0)),"?"))</f>
        <v/>
      </c>
      <c r="F252" s="42" t="str">
        <f aca="false">IF($A252="","",IFERROR(INDEX(Lists!$D$5:$D$16,MATCH($C252,Lists!$B$5:$B$16,0)),1))</f>
        <v/>
      </c>
      <c r="G252" s="42" t="str">
        <f aca="false">IF($A252="","",IFERROR(INDEX(Lists!$A$5:$A$16,MATCH($C252,Lists!$B$5:$B$16,0)),999))</f>
        <v/>
      </c>
      <c r="H252" s="43" t="str">
        <f aca="false">IF($A252="","",COUNTIF(GL_Data!$B$8:$B$5007,$A252))</f>
        <v/>
      </c>
      <c r="I252" s="44" t="str">
        <f aca="false">IF($A252="","",IF($C252="","NO GROUP",IF($E252="?","BAD GROUP",IF($H252=0,"No GL activity","Mapped"))))</f>
        <v/>
      </c>
    </row>
    <row r="253" customFormat="false" ht="15" hidden="false" customHeight="false" outlineLevel="0" collapsed="false">
      <c r="A253" s="41"/>
      <c r="B253" s="41"/>
      <c r="C253" s="41"/>
      <c r="D253" s="41"/>
      <c r="E253" s="42" t="str">
        <f aca="false">IF($A253="","",IFERROR(INDEX(Lists!$C$5:$C$16,MATCH($C253,Lists!$B$5:$B$16,0)),"?"))</f>
        <v/>
      </c>
      <c r="F253" s="42" t="str">
        <f aca="false">IF($A253="","",IFERROR(INDEX(Lists!$D$5:$D$16,MATCH($C253,Lists!$B$5:$B$16,0)),1))</f>
        <v/>
      </c>
      <c r="G253" s="42" t="str">
        <f aca="false">IF($A253="","",IFERROR(INDEX(Lists!$A$5:$A$16,MATCH($C253,Lists!$B$5:$B$16,0)),999))</f>
        <v/>
      </c>
      <c r="H253" s="43" t="str">
        <f aca="false">IF($A253="","",COUNTIF(GL_Data!$B$8:$B$5007,$A253))</f>
        <v/>
      </c>
      <c r="I253" s="44" t="str">
        <f aca="false">IF($A253="","",IF($C253="","NO GROUP",IF($E253="?","BAD GROUP",IF($H253=0,"No GL activity","Mapped"))))</f>
        <v/>
      </c>
    </row>
    <row r="254" customFormat="false" ht="15" hidden="false" customHeight="false" outlineLevel="0" collapsed="false">
      <c r="A254" s="41"/>
      <c r="B254" s="41"/>
      <c r="C254" s="41"/>
      <c r="D254" s="41"/>
      <c r="E254" s="42" t="str">
        <f aca="false">IF($A254="","",IFERROR(INDEX(Lists!$C$5:$C$16,MATCH($C254,Lists!$B$5:$B$16,0)),"?"))</f>
        <v/>
      </c>
      <c r="F254" s="42" t="str">
        <f aca="false">IF($A254="","",IFERROR(INDEX(Lists!$D$5:$D$16,MATCH($C254,Lists!$B$5:$B$16,0)),1))</f>
        <v/>
      </c>
      <c r="G254" s="42" t="str">
        <f aca="false">IF($A254="","",IFERROR(INDEX(Lists!$A$5:$A$16,MATCH($C254,Lists!$B$5:$B$16,0)),999))</f>
        <v/>
      </c>
      <c r="H254" s="43" t="str">
        <f aca="false">IF($A254="","",COUNTIF(GL_Data!$B$8:$B$5007,$A254))</f>
        <v/>
      </c>
      <c r="I254" s="44" t="str">
        <f aca="false">IF($A254="","",IF($C254="","NO GROUP",IF($E254="?","BAD GROUP",IF($H254=0,"No GL activity","Mapped"))))</f>
        <v/>
      </c>
    </row>
    <row r="255" customFormat="false" ht="15" hidden="false" customHeight="false" outlineLevel="0" collapsed="false">
      <c r="A255" s="41"/>
      <c r="B255" s="41"/>
      <c r="C255" s="41"/>
      <c r="D255" s="41"/>
      <c r="E255" s="42" t="str">
        <f aca="false">IF($A255="","",IFERROR(INDEX(Lists!$C$5:$C$16,MATCH($C255,Lists!$B$5:$B$16,0)),"?"))</f>
        <v/>
      </c>
      <c r="F255" s="42" t="str">
        <f aca="false">IF($A255="","",IFERROR(INDEX(Lists!$D$5:$D$16,MATCH($C255,Lists!$B$5:$B$16,0)),1))</f>
        <v/>
      </c>
      <c r="G255" s="42" t="str">
        <f aca="false">IF($A255="","",IFERROR(INDEX(Lists!$A$5:$A$16,MATCH($C255,Lists!$B$5:$B$16,0)),999))</f>
        <v/>
      </c>
      <c r="H255" s="43" t="str">
        <f aca="false">IF($A255="","",COUNTIF(GL_Data!$B$8:$B$5007,$A255))</f>
        <v/>
      </c>
      <c r="I255" s="44" t="str">
        <f aca="false">IF($A255="","",IF($C255="","NO GROUP",IF($E255="?","BAD GROUP",IF($H255=0,"No GL activity","Mapped"))))</f>
        <v/>
      </c>
    </row>
    <row r="256" customFormat="false" ht="15" hidden="false" customHeight="false" outlineLevel="0" collapsed="false">
      <c r="A256" s="41"/>
      <c r="B256" s="41"/>
      <c r="C256" s="41"/>
      <c r="D256" s="41"/>
      <c r="E256" s="42" t="str">
        <f aca="false">IF($A256="","",IFERROR(INDEX(Lists!$C$5:$C$16,MATCH($C256,Lists!$B$5:$B$16,0)),"?"))</f>
        <v/>
      </c>
      <c r="F256" s="42" t="str">
        <f aca="false">IF($A256="","",IFERROR(INDEX(Lists!$D$5:$D$16,MATCH($C256,Lists!$B$5:$B$16,0)),1))</f>
        <v/>
      </c>
      <c r="G256" s="42" t="str">
        <f aca="false">IF($A256="","",IFERROR(INDEX(Lists!$A$5:$A$16,MATCH($C256,Lists!$B$5:$B$16,0)),999))</f>
        <v/>
      </c>
      <c r="H256" s="43" t="str">
        <f aca="false">IF($A256="","",COUNTIF(GL_Data!$B$8:$B$5007,$A256))</f>
        <v/>
      </c>
      <c r="I256" s="44" t="str">
        <f aca="false">IF($A256="","",IF($C256="","NO GROUP",IF($E256="?","BAD GROUP",IF($H256=0,"No GL activity","Mapped"))))</f>
        <v/>
      </c>
    </row>
  </sheetData>
  <conditionalFormatting sqref="A7:I256">
    <cfRule type="expression" priority="2" aboveAverage="0" equalAverage="0" bottom="0" percent="0" rank="0" text="" dxfId="2">
      <formula>AND($A7&lt;&gt;"",OR($I7="NO GROUP",$I7="BAD GROUP"))</formula>
    </cfRule>
    <cfRule type="expression" priority="3" aboveAverage="0" equalAverage="0" bottom="0" percent="0" rank="0" text="" dxfId="5">
      <formula>AND($A7&lt;&gt;"",$I7="No GL activity")</formula>
    </cfRule>
  </conditionalFormatting>
  <dataValidations count="2">
    <dataValidation allowBlank="true" error="Pick a group from the Lists sheet." errorStyle="stop" errorTitle="Unknown group" operator="between" showDropDown="false" showErrorMessage="true" showInputMessage="false" sqref="C7:C256" type="list">
      <formula1>Lists!$B$5:$B$16</formula1>
      <formula2>0</formula2>
    </dataValidation>
    <dataValidation allowBlank="true" errorStyle="stop" operator="between" showDropDown="false" showErrorMessage="false" showInputMessage="false" sqref="D7:D256" type="list">
      <formula1>Lists!$A$21:$A$27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Q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13" min="2" style="0" width="14"/>
    <col collapsed="false" customWidth="true" hidden="false" outlineLevel="0" max="16" min="14" style="0" width="10"/>
    <col collapsed="false" customWidth="true" hidden="false" outlineLevel="0" max="17" min="17" style="0" width="34"/>
    <col collapsed="false" customWidth="true" hidden="false" outlineLevel="0" max="18" min="18" style="0" width="10"/>
  </cols>
  <sheetData>
    <row r="1" customFormat="false" ht="18.55" hidden="false" customHeight="false" outlineLevel="0" collapsed="false">
      <c r="A1" s="1" t="s">
        <v>347</v>
      </c>
    </row>
    <row r="2" customFormat="false" ht="15" hidden="false" customHeight="false" outlineLevel="0" collapsed="false">
      <c r="A2" s="45" t="str">
        <f aca="false">IF(Setup!$B$4="","",Setup!$B$4&amp;"   |   "&amp;Setup!$B$10&amp;"   |   FY"&amp;Setup!$B$7&amp;" vs FY"&amp;Setup!$B$9&amp;"   |   all figures "&amp;Setup!$B$5)</f>
        <v>Corporate Technology Services Pty Ltd   |   September 2026   |   FY2027 vs FY2026   |   all figures AUD</v>
      </c>
    </row>
    <row r="4" customFormat="false" ht="18" hidden="false" customHeight="true" outlineLevel="0" collapsed="false">
      <c r="A4" s="46"/>
      <c r="B4" s="47" t="s">
        <v>348</v>
      </c>
      <c r="C4" s="48"/>
      <c r="D4" s="48"/>
      <c r="E4" s="48"/>
      <c r="F4" s="25" t="s">
        <v>349</v>
      </c>
      <c r="G4" s="26"/>
      <c r="H4" s="26"/>
      <c r="I4" s="49" t="s">
        <v>350</v>
      </c>
      <c r="J4" s="50"/>
      <c r="K4" s="50"/>
      <c r="L4" s="50"/>
      <c r="M4" s="51" t="s">
        <v>351</v>
      </c>
      <c r="N4" s="27" t="s">
        <v>352</v>
      </c>
      <c r="O4" s="28"/>
      <c r="P4" s="28"/>
      <c r="Q4" s="28"/>
    </row>
    <row r="5" customFormat="false" ht="31.5" hidden="false" customHeight="true" outlineLevel="0" collapsed="false">
      <c r="A5" s="30" t="s">
        <v>353</v>
      </c>
      <c r="B5" s="30" t="s">
        <v>354</v>
      </c>
      <c r="C5" s="30" t="s">
        <v>355</v>
      </c>
      <c r="D5" s="30" t="s">
        <v>356</v>
      </c>
      <c r="E5" s="30" t="s">
        <v>357</v>
      </c>
      <c r="F5" s="30" t="s">
        <v>358</v>
      </c>
      <c r="G5" s="30" t="s">
        <v>359</v>
      </c>
      <c r="H5" s="30" t="s">
        <v>360</v>
      </c>
      <c r="I5" s="30" t="s">
        <v>361</v>
      </c>
      <c r="J5" s="30" t="s">
        <v>362</v>
      </c>
      <c r="K5" s="30" t="s">
        <v>363</v>
      </c>
      <c r="L5" s="30" t="s">
        <v>364</v>
      </c>
      <c r="M5" s="30" t="s">
        <v>365</v>
      </c>
      <c r="N5" s="30" t="s">
        <v>366</v>
      </c>
      <c r="O5" s="30" t="s">
        <v>367</v>
      </c>
      <c r="P5" s="30" t="s">
        <v>368</v>
      </c>
      <c r="Q5" s="30" t="s">
        <v>369</v>
      </c>
    </row>
    <row r="6" customFormat="false" ht="18" hidden="false" customHeight="true" outlineLevel="0" collapsed="false">
      <c r="A6" s="3" t="s">
        <v>370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customFormat="false" ht="15" hidden="false" customHeight="false" outlineLevel="0" collapsed="false">
      <c r="A7" s="52" t="s">
        <v>147</v>
      </c>
      <c r="B7" s="53" t="n">
        <f aca="false">SUMIF(Data_Engine!$B$6:$B$255,"Income",Data_Engine!$AD$6:$AD$255)</f>
        <v>0</v>
      </c>
      <c r="C7" s="53" t="n">
        <f aca="false">SUMIF(Data_Engine!$B$6:$B$255,"Income",Data_Engine!$AE$6:$AE$255)</f>
        <v>0</v>
      </c>
      <c r="D7" s="53" t="n">
        <f aca="false">$B7-$C7</f>
        <v>0</v>
      </c>
      <c r="E7" s="54" t="str">
        <f aca="false">IF(ROUND($C7,2)=0,"n/a",$D7/ABS($C7))</f>
        <v>n/a</v>
      </c>
      <c r="F7" s="53" t="n">
        <f aca="false">SUMIF(Data_Engine!$B$6:$B$255,"Income",Data_Engine!$AF$6:$AF$255)</f>
        <v>0</v>
      </c>
      <c r="G7" s="53" t="n">
        <f aca="false">$B7-$F7</f>
        <v>0</v>
      </c>
      <c r="H7" s="54" t="str">
        <f aca="false">IF(ROUND($F7,2)=0,"n/a",$G7/ABS($F7))</f>
        <v>n/a</v>
      </c>
      <c r="I7" s="53" t="n">
        <f aca="false">SUMIF(Data_Engine!$B$6:$B$255,"Income",Data_Engine!$AH$6:$AH$255)</f>
        <v>0</v>
      </c>
      <c r="J7" s="53" t="n">
        <f aca="false">SUMIF(Data_Engine!$B$6:$B$255,"Income",Data_Engine!$AI$6:$AI$255)</f>
        <v>0</v>
      </c>
      <c r="K7" s="53" t="n">
        <f aca="false">$I7-$J7</f>
        <v>0</v>
      </c>
      <c r="L7" s="54" t="str">
        <f aca="false">IF(ROUND($J7,2)=0,"n/a",$K7/ABS($J7))</f>
        <v>n/a</v>
      </c>
      <c r="M7" s="53" t="n">
        <f aca="false">SUMIF(Data_Engine!$B$6:$B$255,"Income",Data_Engine!$AJ$6:$AJ$255)</f>
        <v>0</v>
      </c>
      <c r="N7" s="55" t="str">
        <f aca="false">IF(AND(ROUND($I7,2)=0,ROUND($J7,2)=0),"No Activity",IF(ABS($K7)&lt;Setup!$B$14,"Low",IF(ROUND($J7,2)=0,"High",IF(OR(ABS($K7/$J7)&gt;=Setup!$B$16,ABS($K7)&gt;=Setup!$B$17),"High",IF(ABS($K7/$J7)&gt;=Setup!$B$15,"Medium","Low")))))</f>
        <v>No Activity</v>
      </c>
      <c r="O7" s="55" t="str">
        <f aca="false">IF(AND(ROUND($B7,2)=0,ROUND($F7,2)=0),"No Activity",IF(ABS($G7)&lt;Setup!$B$14,"Low",IF(ROUND($F7,2)=0,"High",IF(OR(ABS($G7/$F7)&gt;=Setup!$B$16,ABS($G7)&gt;=Setup!$B$17),"High",IF(ABS($G7/$F7)&gt;=Setup!$B$15,"Medium","Low")))))</f>
        <v>No Activity</v>
      </c>
      <c r="P7" s="56" t="str">
        <f aca="false">IF(OR($N7="High",$O7="High"),"High",IF(OR($N7="Medium",$O7="Medium"),"Medium",IF(AND($N7="No Activity",$O7="No Activity"),"No Activity","Low")))</f>
        <v>No Activity</v>
      </c>
      <c r="Q7" s="57"/>
    </row>
    <row r="8" customFormat="false" ht="15" hidden="false" customHeight="false" outlineLevel="0" collapsed="false">
      <c r="A8" s="52" t="s">
        <v>190</v>
      </c>
      <c r="B8" s="53" t="n">
        <f aca="false">SUMIF(Data_Engine!$B$6:$B$255,"Cost of Sales",Data_Engine!$AD$6:$AD$255)</f>
        <v>0</v>
      </c>
      <c r="C8" s="53" t="n">
        <f aca="false">SUMIF(Data_Engine!$B$6:$B$255,"Cost of Sales",Data_Engine!$AE$6:$AE$255)</f>
        <v>0</v>
      </c>
      <c r="D8" s="53" t="n">
        <f aca="false">$B8-$C8</f>
        <v>0</v>
      </c>
      <c r="E8" s="54" t="str">
        <f aca="false">IF(ROUND($C8,2)=0,"n/a",$D8/ABS($C8))</f>
        <v>n/a</v>
      </c>
      <c r="F8" s="53" t="n">
        <f aca="false">SUMIF(Data_Engine!$B$6:$B$255,"Cost of Sales",Data_Engine!$AF$6:$AF$255)</f>
        <v>0</v>
      </c>
      <c r="G8" s="53" t="n">
        <f aca="false">$B8-$F8</f>
        <v>0</v>
      </c>
      <c r="H8" s="54" t="str">
        <f aca="false">IF(ROUND($F8,2)=0,"n/a",$G8/ABS($F8))</f>
        <v>n/a</v>
      </c>
      <c r="I8" s="53" t="n">
        <f aca="false">SUMIF(Data_Engine!$B$6:$B$255,"Cost of Sales",Data_Engine!$AH$6:$AH$255)</f>
        <v>0</v>
      </c>
      <c r="J8" s="53" t="n">
        <f aca="false">SUMIF(Data_Engine!$B$6:$B$255,"Cost of Sales",Data_Engine!$AI$6:$AI$255)</f>
        <v>0</v>
      </c>
      <c r="K8" s="53" t="n">
        <f aca="false">$I8-$J8</f>
        <v>0</v>
      </c>
      <c r="L8" s="54" t="str">
        <f aca="false">IF(ROUND($J8,2)=0,"n/a",$K8/ABS($J8))</f>
        <v>n/a</v>
      </c>
      <c r="M8" s="53" t="n">
        <f aca="false">SUMIF(Data_Engine!$B$6:$B$255,"Cost of Sales",Data_Engine!$AJ$6:$AJ$255)</f>
        <v>0</v>
      </c>
      <c r="N8" s="55" t="str">
        <f aca="false">IF(AND(ROUND($I8,2)=0,ROUND($J8,2)=0),"No Activity",IF(ABS($K8)&lt;Setup!$B$14,"Low",IF(ROUND($J8,2)=0,"High",IF(OR(ABS($K8/$J8)&gt;=Setup!$B$16,ABS($K8)&gt;=Setup!$B$17),"High",IF(ABS($K8/$J8)&gt;=Setup!$B$15,"Medium","Low")))))</f>
        <v>No Activity</v>
      </c>
      <c r="O8" s="55" t="str">
        <f aca="false">IF(AND(ROUND($B8,2)=0,ROUND($F8,2)=0),"No Activity",IF(ABS($G8)&lt;Setup!$B$14,"Low",IF(ROUND($F8,2)=0,"High",IF(OR(ABS($G8/$F8)&gt;=Setup!$B$16,ABS($G8)&gt;=Setup!$B$17),"High",IF(ABS($G8/$F8)&gt;=Setup!$B$15,"Medium","Low")))))</f>
        <v>No Activity</v>
      </c>
      <c r="P8" s="56" t="str">
        <f aca="false">IF(OR($N8="High",$O8="High"),"High",IF(OR($N8="Medium",$O8="Medium"),"Medium",IF(AND($N8="No Activity",$O8="No Activity"),"No Activity","Low")))</f>
        <v>No Activity</v>
      </c>
      <c r="Q8" s="57"/>
    </row>
    <row r="9" customFormat="false" ht="15" hidden="false" customHeight="false" outlineLevel="0" collapsed="false">
      <c r="A9" s="58" t="s">
        <v>371</v>
      </c>
      <c r="B9" s="59" t="n">
        <f aca="false">B7-B8</f>
        <v>0</v>
      </c>
      <c r="C9" s="59" t="n">
        <f aca="false">C7-C8</f>
        <v>0</v>
      </c>
      <c r="D9" s="59" t="n">
        <f aca="false">$B9-$C9</f>
        <v>0</v>
      </c>
      <c r="E9" s="60" t="str">
        <f aca="false">IF(ROUND($C9,2)=0,"n/a",$D9/ABS($C9))</f>
        <v>n/a</v>
      </c>
      <c r="F9" s="59" t="n">
        <f aca="false">F7-F8</f>
        <v>0</v>
      </c>
      <c r="G9" s="59" t="n">
        <f aca="false">$B9-$F9</f>
        <v>0</v>
      </c>
      <c r="H9" s="60" t="str">
        <f aca="false">IF(ROUND($F9,2)=0,"n/a",$G9/ABS($F9))</f>
        <v>n/a</v>
      </c>
      <c r="I9" s="59" t="n">
        <f aca="false">I7-I8</f>
        <v>0</v>
      </c>
      <c r="J9" s="59" t="n">
        <f aca="false">J7-J8</f>
        <v>0</v>
      </c>
      <c r="K9" s="59" t="n">
        <f aca="false">$I9-$J9</f>
        <v>0</v>
      </c>
      <c r="L9" s="60" t="str">
        <f aca="false">IF(ROUND($J9,2)=0,"n/a",$K9/ABS($J9))</f>
        <v>n/a</v>
      </c>
      <c r="M9" s="59" t="n">
        <f aca="false">M7-M8</f>
        <v>0</v>
      </c>
      <c r="N9" s="61" t="str">
        <f aca="false">IF(AND(ROUND($I9,2)=0,ROUND($J9,2)=0),"No Activity",IF(ABS($K9)&lt;Setup!$B$14,"Low",IF(ROUND($J9,2)=0,"High",IF(OR(ABS($K9/$J9)&gt;=Setup!$B$16,ABS($K9)&gt;=Setup!$B$17),"High",IF(ABS($K9/$J9)&gt;=Setup!$B$15,"Medium","Low")))))</f>
        <v>No Activity</v>
      </c>
      <c r="O9" s="61" t="str">
        <f aca="false">IF(AND(ROUND($B9,2)=0,ROUND($F9,2)=0),"No Activity",IF(ABS($G9)&lt;Setup!$B$14,"Low",IF(ROUND($F9,2)=0,"High",IF(OR(ABS($G9/$F9)&gt;=Setup!$B$16,ABS($G9)&gt;=Setup!$B$17),"High",IF(ABS($G9/$F9)&gt;=Setup!$B$15,"Medium","Low")))))</f>
        <v>No Activity</v>
      </c>
      <c r="P9" s="61" t="str">
        <f aca="false">IF(OR($N9="High",$O9="High"),"High",IF(OR($N9="Medium",$O9="Medium"),"Medium",IF(AND($N9="No Activity",$O9="No Activity"),"No Activity","Low")))</f>
        <v>No Activity</v>
      </c>
      <c r="Q9" s="57"/>
    </row>
    <row r="10" customFormat="false" ht="15" hidden="false" customHeight="false" outlineLevel="0" collapsed="false">
      <c r="A10" s="52" t="s">
        <v>372</v>
      </c>
      <c r="B10" s="54" t="str">
        <f aca="false">IF(ROUND(B7,2)=0,"n/a",B9/B7)</f>
        <v>n/a</v>
      </c>
      <c r="C10" s="54" t="str">
        <f aca="false">IF(ROUND(C7,2)=0,"n/a",C9/C7)</f>
        <v>n/a</v>
      </c>
      <c r="D10" s="62" t="str">
        <f aca="false">IF(OR(ISTEXT($B10),ISTEXT($C10)),"n/a",($B10-$C10)*100)</f>
        <v>n/a</v>
      </c>
      <c r="E10" s="54" t="str">
        <f aca="false">""</f>
        <v/>
      </c>
      <c r="F10" s="54" t="str">
        <f aca="false">IF(ROUND(F7,2)=0,"n/a",F9/F7)</f>
        <v>n/a</v>
      </c>
      <c r="G10" s="62" t="str">
        <f aca="false">IF(OR(ISTEXT($B10),ISTEXT($F10)),"n/a",($B10-$F10)*100)</f>
        <v>n/a</v>
      </c>
      <c r="H10" s="54" t="str">
        <f aca="false">""</f>
        <v/>
      </c>
      <c r="I10" s="54" t="str">
        <f aca="false">IF(ROUND(I7,2)=0,"n/a",I9/I7)</f>
        <v>n/a</v>
      </c>
      <c r="J10" s="54" t="str">
        <f aca="false">IF(ROUND(J7,2)=0,"n/a",J9/J7)</f>
        <v>n/a</v>
      </c>
      <c r="K10" s="62" t="str">
        <f aca="false">IF(OR(ISTEXT($I10),ISTEXT($J10)),"n/a",($I10-$J10)*100)</f>
        <v>n/a</v>
      </c>
      <c r="L10" s="54" t="str">
        <f aca="false">""</f>
        <v/>
      </c>
      <c r="M10" s="54" t="str">
        <f aca="false">IF(ROUND(M7,2)=0,"n/a",M9/M7)</f>
        <v>n/a</v>
      </c>
      <c r="N10" s="55" t="str">
        <f aca="false">IF(ISTEXT($K10),"No Activity",IF(ABS($K10)&gt;=5,"High",IF(ABS($K10)&gt;=2,"Medium","Low")))</f>
        <v>No Activity</v>
      </c>
      <c r="O10" s="55" t="str">
        <f aca="false">IF(ISTEXT($G10),"No Activity",IF(ABS($G10)&gt;=5,"High",IF(ABS($G10)&gt;=2,"Medium","Low")))</f>
        <v>No Activity</v>
      </c>
      <c r="P10" s="56" t="str">
        <f aca="false">IF(OR($N10="High",$O10="High"),"High",IF(OR($N10="Medium",$O10="Medium"),"Medium",IF(AND($N10="No Activity",$O10="No Activity"),"No Activity","Low")))</f>
        <v>No Activity</v>
      </c>
      <c r="Q10" s="57"/>
    </row>
    <row r="11" customFormat="false" ht="15" hidden="false" customHeight="false" outlineLevel="0" collapsed="false">
      <c r="A11" s="52" t="s">
        <v>257</v>
      </c>
      <c r="B11" s="53" t="n">
        <f aca="false">SUMIF(Data_Engine!$B$6:$B$255,"Other Income",Data_Engine!$AD$6:$AD$255)</f>
        <v>0</v>
      </c>
      <c r="C11" s="53" t="n">
        <f aca="false">SUMIF(Data_Engine!$B$6:$B$255,"Other Income",Data_Engine!$AE$6:$AE$255)</f>
        <v>0</v>
      </c>
      <c r="D11" s="53" t="n">
        <f aca="false">$B11-$C11</f>
        <v>0</v>
      </c>
      <c r="E11" s="54" t="str">
        <f aca="false">IF(ROUND($C11,2)=0,"n/a",$D11/ABS($C11))</f>
        <v>n/a</v>
      </c>
      <c r="F11" s="53" t="n">
        <f aca="false">SUMIF(Data_Engine!$B$6:$B$255,"Other Income",Data_Engine!$AF$6:$AF$255)</f>
        <v>0</v>
      </c>
      <c r="G11" s="53" t="n">
        <f aca="false">$B11-$F11</f>
        <v>0</v>
      </c>
      <c r="H11" s="54" t="str">
        <f aca="false">IF(ROUND($F11,2)=0,"n/a",$G11/ABS($F11))</f>
        <v>n/a</v>
      </c>
      <c r="I11" s="53" t="n">
        <f aca="false">SUMIF(Data_Engine!$B$6:$B$255,"Other Income",Data_Engine!$AH$6:$AH$255)</f>
        <v>0</v>
      </c>
      <c r="J11" s="53" t="n">
        <f aca="false">SUMIF(Data_Engine!$B$6:$B$255,"Other Income",Data_Engine!$AI$6:$AI$255)</f>
        <v>0</v>
      </c>
      <c r="K11" s="53" t="n">
        <f aca="false">$I11-$J11</f>
        <v>0</v>
      </c>
      <c r="L11" s="54" t="str">
        <f aca="false">IF(ROUND($J11,2)=0,"n/a",$K11/ABS($J11))</f>
        <v>n/a</v>
      </c>
      <c r="M11" s="53" t="n">
        <f aca="false">SUMIF(Data_Engine!$B$6:$B$255,"Other Income",Data_Engine!$AJ$6:$AJ$255)</f>
        <v>0</v>
      </c>
      <c r="N11" s="55" t="str">
        <f aca="false">IF(AND(ROUND($I11,2)=0,ROUND($J11,2)=0),"No Activity",IF(ABS($K11)&lt;Setup!$B$14,"Low",IF(ROUND($J11,2)=0,"High",IF(OR(ABS($K11/$J11)&gt;=Setup!$B$16,ABS($K11)&gt;=Setup!$B$17),"High",IF(ABS($K11/$J11)&gt;=Setup!$B$15,"Medium","Low")))))</f>
        <v>No Activity</v>
      </c>
      <c r="O11" s="55" t="str">
        <f aca="false">IF(AND(ROUND($B11,2)=0,ROUND($F11,2)=0),"No Activity",IF(ABS($G11)&lt;Setup!$B$14,"Low",IF(ROUND($F11,2)=0,"High",IF(OR(ABS($G11/$F11)&gt;=Setup!$B$16,ABS($G11)&gt;=Setup!$B$17),"High",IF(ABS($G11/$F11)&gt;=Setup!$B$15,"Medium","Low")))))</f>
        <v>No Activity</v>
      </c>
      <c r="P11" s="56" t="str">
        <f aca="false">IF(OR($N11="High",$O11="High"),"High",IF(OR($N11="Medium",$O11="Medium"),"Medium",IF(AND($N11="No Activity",$O11="No Activity"),"No Activity","Low")))</f>
        <v>No Activity</v>
      </c>
      <c r="Q11" s="57"/>
    </row>
    <row r="12" customFormat="false" ht="15" hidden="false" customHeight="false" outlineLevel="0" collapsed="false">
      <c r="A12" s="52" t="s">
        <v>373</v>
      </c>
      <c r="B12" s="53" t="n">
        <f aca="false">SUMIF(Data_Engine!$B$6:$B$255,"Expenses",Data_Engine!$AD$6:$AD$255)</f>
        <v>0</v>
      </c>
      <c r="C12" s="53" t="n">
        <f aca="false">SUMIF(Data_Engine!$B$6:$B$255,"Expenses",Data_Engine!$AE$6:$AE$255)</f>
        <v>0</v>
      </c>
      <c r="D12" s="53" t="n">
        <f aca="false">$B12-$C12</f>
        <v>0</v>
      </c>
      <c r="E12" s="54" t="str">
        <f aca="false">IF(ROUND($C12,2)=0,"n/a",$D12/ABS($C12))</f>
        <v>n/a</v>
      </c>
      <c r="F12" s="53" t="n">
        <f aca="false">SUMIF(Data_Engine!$B$6:$B$255,"Expenses",Data_Engine!$AF$6:$AF$255)</f>
        <v>0</v>
      </c>
      <c r="G12" s="53" t="n">
        <f aca="false">$B12-$F12</f>
        <v>0</v>
      </c>
      <c r="H12" s="54" t="str">
        <f aca="false">IF(ROUND($F12,2)=0,"n/a",$G12/ABS($F12))</f>
        <v>n/a</v>
      </c>
      <c r="I12" s="53" t="n">
        <f aca="false">SUMIF(Data_Engine!$B$6:$B$255,"Expenses",Data_Engine!$AH$6:$AH$255)</f>
        <v>0</v>
      </c>
      <c r="J12" s="53" t="n">
        <f aca="false">SUMIF(Data_Engine!$B$6:$B$255,"Expenses",Data_Engine!$AI$6:$AI$255)</f>
        <v>0</v>
      </c>
      <c r="K12" s="53" t="n">
        <f aca="false">$I12-$J12</f>
        <v>0</v>
      </c>
      <c r="L12" s="54" t="str">
        <f aca="false">IF(ROUND($J12,2)=0,"n/a",$K12/ABS($J12))</f>
        <v>n/a</v>
      </c>
      <c r="M12" s="53" t="n">
        <f aca="false">SUMIF(Data_Engine!$B$6:$B$255,"Expenses",Data_Engine!$AJ$6:$AJ$255)</f>
        <v>0</v>
      </c>
      <c r="N12" s="55" t="str">
        <f aca="false">IF(AND(ROUND($I12,2)=0,ROUND($J12,2)=0),"No Activity",IF(ABS($K12)&lt;Setup!$B$14,"Low",IF(ROUND($J12,2)=0,"High",IF(OR(ABS($K12/$J12)&gt;=Setup!$B$16,ABS($K12)&gt;=Setup!$B$17),"High",IF(ABS($K12/$J12)&gt;=Setup!$B$15,"Medium","Low")))))</f>
        <v>No Activity</v>
      </c>
      <c r="O12" s="55" t="str">
        <f aca="false">IF(AND(ROUND($B12,2)=0,ROUND($F12,2)=0),"No Activity",IF(ABS($G12)&lt;Setup!$B$14,"Low",IF(ROUND($F12,2)=0,"High",IF(OR(ABS($G12/$F12)&gt;=Setup!$B$16,ABS($G12)&gt;=Setup!$B$17),"High",IF(ABS($G12/$F12)&gt;=Setup!$B$15,"Medium","Low")))))</f>
        <v>No Activity</v>
      </c>
      <c r="P12" s="56" t="str">
        <f aca="false">IF(OR($N12="High",$O12="High"),"High",IF(OR($N12="Medium",$O12="Medium"),"Medium",IF(AND($N12="No Activity",$O12="No Activity"),"No Activity","Low")))</f>
        <v>No Activity</v>
      </c>
      <c r="Q12" s="57"/>
    </row>
    <row r="13" customFormat="false" ht="15" hidden="false" customHeight="false" outlineLevel="0" collapsed="false">
      <c r="A13" s="58" t="s">
        <v>61</v>
      </c>
      <c r="B13" s="59" t="n">
        <f aca="false">B9+B11-B12</f>
        <v>0</v>
      </c>
      <c r="C13" s="59" t="n">
        <f aca="false">C9+C11-C12</f>
        <v>0</v>
      </c>
      <c r="D13" s="59" t="n">
        <f aca="false">$B13-$C13</f>
        <v>0</v>
      </c>
      <c r="E13" s="60" t="str">
        <f aca="false">IF(ROUND($C13,2)=0,"n/a",$D13/ABS($C13))</f>
        <v>n/a</v>
      </c>
      <c r="F13" s="59" t="n">
        <f aca="false">F9+F11-F12</f>
        <v>0</v>
      </c>
      <c r="G13" s="59" t="n">
        <f aca="false">$B13-$F13</f>
        <v>0</v>
      </c>
      <c r="H13" s="60" t="str">
        <f aca="false">IF(ROUND($F13,2)=0,"n/a",$G13/ABS($F13))</f>
        <v>n/a</v>
      </c>
      <c r="I13" s="59" t="n">
        <f aca="false">I9+I11-I12</f>
        <v>0</v>
      </c>
      <c r="J13" s="59" t="n">
        <f aca="false">J9+J11-J12</f>
        <v>0</v>
      </c>
      <c r="K13" s="59" t="n">
        <f aca="false">$I13-$J13</f>
        <v>0</v>
      </c>
      <c r="L13" s="60" t="str">
        <f aca="false">IF(ROUND($J13,2)=0,"n/a",$K13/ABS($J13))</f>
        <v>n/a</v>
      </c>
      <c r="M13" s="59" t="n">
        <f aca="false">M9+M11-M12</f>
        <v>0</v>
      </c>
      <c r="N13" s="61" t="str">
        <f aca="false">IF(AND(ROUND($I13,2)=0,ROUND($J13,2)=0),"No Activity",IF(ABS($K13)&lt;Setup!$B$14,"Low",IF(ROUND($J13,2)=0,"High",IF(OR(ABS($K13/$J13)&gt;=Setup!$B$16,ABS($K13)&gt;=Setup!$B$17),"High",IF(ABS($K13/$J13)&gt;=Setup!$B$15,"Medium","Low")))))</f>
        <v>No Activity</v>
      </c>
      <c r="O13" s="61" t="str">
        <f aca="false">IF(AND(ROUND($B13,2)=0,ROUND($F13,2)=0),"No Activity",IF(ABS($G13)&lt;Setup!$B$14,"Low",IF(ROUND($F13,2)=0,"High",IF(OR(ABS($G13/$F13)&gt;=Setup!$B$16,ABS($G13)&gt;=Setup!$B$17),"High",IF(ABS($G13/$F13)&gt;=Setup!$B$15,"Medium","Low")))))</f>
        <v>No Activity</v>
      </c>
      <c r="P13" s="61" t="str">
        <f aca="false">IF(OR($N13="High",$O13="High"),"High",IF(OR($N13="Medium",$O13="Medium"),"Medium",IF(AND($N13="No Activity",$O13="No Activity"),"No Activity","Low")))</f>
        <v>No Activity</v>
      </c>
      <c r="Q13" s="57"/>
    </row>
    <row r="14" customFormat="false" ht="15" hidden="false" customHeight="false" outlineLevel="0" collapsed="false">
      <c r="A14" s="52" t="s">
        <v>374</v>
      </c>
      <c r="B14" s="54" t="str">
        <f aca="false">IF(ROUND(B7,2)=0,"n/a",B13/B7)</f>
        <v>n/a</v>
      </c>
      <c r="C14" s="54" t="str">
        <f aca="false">IF(ROUND(C7,2)=0,"n/a",C13/C7)</f>
        <v>n/a</v>
      </c>
      <c r="D14" s="62" t="str">
        <f aca="false">IF(OR(ISTEXT($B14),ISTEXT($C14)),"n/a",($B14-$C14)*100)</f>
        <v>n/a</v>
      </c>
      <c r="E14" s="54" t="str">
        <f aca="false">""</f>
        <v/>
      </c>
      <c r="F14" s="54" t="str">
        <f aca="false">IF(ROUND(F7,2)=0,"n/a",F13/F7)</f>
        <v>n/a</v>
      </c>
      <c r="G14" s="62" t="str">
        <f aca="false">IF(OR(ISTEXT($B14),ISTEXT($F14)),"n/a",($B14-$F14)*100)</f>
        <v>n/a</v>
      </c>
      <c r="H14" s="54" t="str">
        <f aca="false">""</f>
        <v/>
      </c>
      <c r="I14" s="54" t="str">
        <f aca="false">IF(ROUND(I7,2)=0,"n/a",I13/I7)</f>
        <v>n/a</v>
      </c>
      <c r="J14" s="54" t="str">
        <f aca="false">IF(ROUND(J7,2)=0,"n/a",J13/J7)</f>
        <v>n/a</v>
      </c>
      <c r="K14" s="62" t="str">
        <f aca="false">IF(OR(ISTEXT($I14),ISTEXT($J14)),"n/a",($I14-$J14)*100)</f>
        <v>n/a</v>
      </c>
      <c r="L14" s="54" t="str">
        <f aca="false">""</f>
        <v/>
      </c>
      <c r="M14" s="54" t="str">
        <f aca="false">IF(ROUND(M7,2)=0,"n/a",M13/M7)</f>
        <v>n/a</v>
      </c>
      <c r="N14" s="55" t="str">
        <f aca="false">IF(ISTEXT($K14),"No Activity",IF(ABS($K14)&gt;=5,"High",IF(ABS($K14)&gt;=2,"Medium","Low")))</f>
        <v>No Activity</v>
      </c>
      <c r="O14" s="55" t="str">
        <f aca="false">IF(ISTEXT($G14),"No Activity",IF(ABS($G14)&gt;=5,"High",IF(ABS($G14)&gt;=2,"Medium","Low")))</f>
        <v>No Activity</v>
      </c>
      <c r="P14" s="56" t="str">
        <f aca="false">IF(OR($N14="High",$O14="High"),"High",IF(OR($N14="Medium",$O14="Medium"),"Medium",IF(AND($N14="No Activity",$O14="No Activity"),"No Activity","Low")))</f>
        <v>No Activity</v>
      </c>
      <c r="Q14" s="57"/>
    </row>
    <row r="15" customFormat="false" ht="15" hidden="false" customHeight="false" outlineLevel="0" collapsed="false">
      <c r="A15" s="52" t="s">
        <v>375</v>
      </c>
      <c r="B15" s="53" t="n">
        <f aca="false">SUMIF(Data_Engine!$B$6:$B$255,"Depreciation &amp; Amortisation",Data_Engine!$AD$6:$AD$255)</f>
        <v>0</v>
      </c>
      <c r="C15" s="53" t="n">
        <f aca="false">SUMIF(Data_Engine!$B$6:$B$255,"Depreciation &amp; Amortisation",Data_Engine!$AE$6:$AE$255)</f>
        <v>0</v>
      </c>
      <c r="D15" s="53" t="n">
        <f aca="false">$B15-$C15</f>
        <v>0</v>
      </c>
      <c r="E15" s="54" t="str">
        <f aca="false">IF(ROUND($C15,2)=0,"n/a",$D15/ABS($C15))</f>
        <v>n/a</v>
      </c>
      <c r="F15" s="53" t="n">
        <f aca="false">SUMIF(Data_Engine!$B$6:$B$255,"Depreciation &amp; Amortisation",Data_Engine!$AF$6:$AF$255)</f>
        <v>0</v>
      </c>
      <c r="G15" s="53" t="n">
        <f aca="false">$B15-$F15</f>
        <v>0</v>
      </c>
      <c r="H15" s="54" t="str">
        <f aca="false">IF(ROUND($F15,2)=0,"n/a",$G15/ABS($F15))</f>
        <v>n/a</v>
      </c>
      <c r="I15" s="53" t="n">
        <f aca="false">SUMIF(Data_Engine!$B$6:$B$255,"Depreciation &amp; Amortisation",Data_Engine!$AH$6:$AH$255)</f>
        <v>0</v>
      </c>
      <c r="J15" s="53" t="n">
        <f aca="false">SUMIF(Data_Engine!$B$6:$B$255,"Depreciation &amp; Amortisation",Data_Engine!$AI$6:$AI$255)</f>
        <v>0</v>
      </c>
      <c r="K15" s="53" t="n">
        <f aca="false">$I15-$J15</f>
        <v>0</v>
      </c>
      <c r="L15" s="54" t="str">
        <f aca="false">IF(ROUND($J15,2)=0,"n/a",$K15/ABS($J15))</f>
        <v>n/a</v>
      </c>
      <c r="M15" s="53" t="n">
        <f aca="false">SUMIF(Data_Engine!$B$6:$B$255,"Depreciation &amp; Amortisation",Data_Engine!$AJ$6:$AJ$255)</f>
        <v>0</v>
      </c>
      <c r="N15" s="55" t="str">
        <f aca="false">IF(AND(ROUND($I15,2)=0,ROUND($J15,2)=0),"No Activity",IF(ABS($K15)&lt;Setup!$B$14,"Low",IF(ROUND($J15,2)=0,"High",IF(OR(ABS($K15/$J15)&gt;=Setup!$B$16,ABS($K15)&gt;=Setup!$B$17),"High",IF(ABS($K15/$J15)&gt;=Setup!$B$15,"Medium","Low")))))</f>
        <v>No Activity</v>
      </c>
      <c r="O15" s="55" t="str">
        <f aca="false">IF(AND(ROUND($B15,2)=0,ROUND($F15,2)=0),"No Activity",IF(ABS($G15)&lt;Setup!$B$14,"Low",IF(ROUND($F15,2)=0,"High",IF(OR(ABS($G15/$F15)&gt;=Setup!$B$16,ABS($G15)&gt;=Setup!$B$17),"High",IF(ABS($G15/$F15)&gt;=Setup!$B$15,"Medium","Low")))))</f>
        <v>No Activity</v>
      </c>
      <c r="P15" s="56" t="str">
        <f aca="false">IF(OR($N15="High",$O15="High"),"High",IF(OR($N15="Medium",$O15="Medium"),"Medium",IF(AND($N15="No Activity",$O15="No Activity"),"No Activity","Low")))</f>
        <v>No Activity</v>
      </c>
      <c r="Q15" s="57"/>
    </row>
    <row r="16" customFormat="false" ht="15" hidden="false" customHeight="false" outlineLevel="0" collapsed="false">
      <c r="A16" s="52" t="s">
        <v>376</v>
      </c>
      <c r="B16" s="53" t="n">
        <f aca="false">SUMIF(Data_Engine!$B$6:$B$255,"Finance Costs",Data_Engine!$AD$6:$AD$255)</f>
        <v>0</v>
      </c>
      <c r="C16" s="53" t="n">
        <f aca="false">SUMIF(Data_Engine!$B$6:$B$255,"Finance Costs",Data_Engine!$AE$6:$AE$255)</f>
        <v>0</v>
      </c>
      <c r="D16" s="53" t="n">
        <f aca="false">$B16-$C16</f>
        <v>0</v>
      </c>
      <c r="E16" s="54" t="str">
        <f aca="false">IF(ROUND($C16,2)=0,"n/a",$D16/ABS($C16))</f>
        <v>n/a</v>
      </c>
      <c r="F16" s="53" t="n">
        <f aca="false">SUMIF(Data_Engine!$B$6:$B$255,"Finance Costs",Data_Engine!$AF$6:$AF$255)</f>
        <v>0</v>
      </c>
      <c r="G16" s="53" t="n">
        <f aca="false">$B16-$F16</f>
        <v>0</v>
      </c>
      <c r="H16" s="54" t="str">
        <f aca="false">IF(ROUND($F16,2)=0,"n/a",$G16/ABS($F16))</f>
        <v>n/a</v>
      </c>
      <c r="I16" s="53" t="n">
        <f aca="false">SUMIF(Data_Engine!$B$6:$B$255,"Finance Costs",Data_Engine!$AH$6:$AH$255)</f>
        <v>0</v>
      </c>
      <c r="J16" s="53" t="n">
        <f aca="false">SUMIF(Data_Engine!$B$6:$B$255,"Finance Costs",Data_Engine!$AI$6:$AI$255)</f>
        <v>0</v>
      </c>
      <c r="K16" s="53" t="n">
        <f aca="false">$I16-$J16</f>
        <v>0</v>
      </c>
      <c r="L16" s="54" t="str">
        <f aca="false">IF(ROUND($J16,2)=0,"n/a",$K16/ABS($J16))</f>
        <v>n/a</v>
      </c>
      <c r="M16" s="53" t="n">
        <f aca="false">SUMIF(Data_Engine!$B$6:$B$255,"Finance Costs",Data_Engine!$AJ$6:$AJ$255)</f>
        <v>0</v>
      </c>
      <c r="N16" s="55" t="str">
        <f aca="false">IF(AND(ROUND($I16,2)=0,ROUND($J16,2)=0),"No Activity",IF(ABS($K16)&lt;Setup!$B$14,"Low",IF(ROUND($J16,2)=0,"High",IF(OR(ABS($K16/$J16)&gt;=Setup!$B$16,ABS($K16)&gt;=Setup!$B$17),"High",IF(ABS($K16/$J16)&gt;=Setup!$B$15,"Medium","Low")))))</f>
        <v>No Activity</v>
      </c>
      <c r="O16" s="55" t="str">
        <f aca="false">IF(AND(ROUND($B16,2)=0,ROUND($F16,2)=0),"No Activity",IF(ABS($G16)&lt;Setup!$B$14,"Low",IF(ROUND($F16,2)=0,"High",IF(OR(ABS($G16/$F16)&gt;=Setup!$B$16,ABS($G16)&gt;=Setup!$B$17),"High",IF(ABS($G16/$F16)&gt;=Setup!$B$15,"Medium","Low")))))</f>
        <v>No Activity</v>
      </c>
      <c r="P16" s="56" t="str">
        <f aca="false">IF(OR($N16="High",$O16="High"),"High",IF(OR($N16="Medium",$O16="Medium"),"Medium",IF(AND($N16="No Activity",$O16="No Activity"),"No Activity","Low")))</f>
        <v>No Activity</v>
      </c>
      <c r="Q16" s="57"/>
    </row>
    <row r="17" customFormat="false" ht="15" hidden="false" customHeight="false" outlineLevel="0" collapsed="false">
      <c r="A17" s="58" t="s">
        <v>377</v>
      </c>
      <c r="B17" s="59" t="n">
        <f aca="false">B13-B15-B16</f>
        <v>0</v>
      </c>
      <c r="C17" s="59" t="n">
        <f aca="false">C13-C15-C16</f>
        <v>0</v>
      </c>
      <c r="D17" s="59" t="n">
        <f aca="false">$B17-$C17</f>
        <v>0</v>
      </c>
      <c r="E17" s="60" t="str">
        <f aca="false">IF(ROUND($C17,2)=0,"n/a",$D17/ABS($C17))</f>
        <v>n/a</v>
      </c>
      <c r="F17" s="59" t="n">
        <f aca="false">F13-F15-F16</f>
        <v>0</v>
      </c>
      <c r="G17" s="59" t="n">
        <f aca="false">$B17-$F17</f>
        <v>0</v>
      </c>
      <c r="H17" s="60" t="str">
        <f aca="false">IF(ROUND($F17,2)=0,"n/a",$G17/ABS($F17))</f>
        <v>n/a</v>
      </c>
      <c r="I17" s="59" t="n">
        <f aca="false">I13-I15-I16</f>
        <v>0</v>
      </c>
      <c r="J17" s="59" t="n">
        <f aca="false">J13-J15-J16</f>
        <v>0</v>
      </c>
      <c r="K17" s="59" t="n">
        <f aca="false">$I17-$J17</f>
        <v>0</v>
      </c>
      <c r="L17" s="60" t="str">
        <f aca="false">IF(ROUND($J17,2)=0,"n/a",$K17/ABS($J17))</f>
        <v>n/a</v>
      </c>
      <c r="M17" s="59" t="n">
        <f aca="false">M13-M15-M16</f>
        <v>0</v>
      </c>
      <c r="N17" s="61" t="str">
        <f aca="false">IF(AND(ROUND($I17,2)=0,ROUND($J17,2)=0),"No Activity",IF(ABS($K17)&lt;Setup!$B$14,"Low",IF(ROUND($J17,2)=0,"High",IF(OR(ABS($K17/$J17)&gt;=Setup!$B$16,ABS($K17)&gt;=Setup!$B$17),"High",IF(ABS($K17/$J17)&gt;=Setup!$B$15,"Medium","Low")))))</f>
        <v>No Activity</v>
      </c>
      <c r="O17" s="61" t="str">
        <f aca="false">IF(AND(ROUND($B17,2)=0,ROUND($F17,2)=0),"No Activity",IF(ABS($G17)&lt;Setup!$B$14,"Low",IF(ROUND($F17,2)=0,"High",IF(OR(ABS($G17/$F17)&gt;=Setup!$B$16,ABS($G17)&gt;=Setup!$B$17),"High",IF(ABS($G17/$F17)&gt;=Setup!$B$15,"Medium","Low")))))</f>
        <v>No Activity</v>
      </c>
      <c r="P17" s="61" t="str">
        <f aca="false">IF(OR($N17="High",$O17="High"),"High",IF(OR($N17="Medium",$O17="Medium"),"Medium",IF(AND($N17="No Activity",$O17="No Activity"),"No Activity","Low")))</f>
        <v>No Activity</v>
      </c>
      <c r="Q17" s="57"/>
    </row>
    <row r="18" customFormat="false" ht="15" hidden="false" customHeight="false" outlineLevel="0" collapsed="false">
      <c r="A18" s="52" t="s">
        <v>292</v>
      </c>
      <c r="B18" s="53" t="n">
        <f aca="false">SUMIF(Data_Engine!$B$6:$B$255,"Income Tax Expense",Data_Engine!$AD$6:$AD$255)</f>
        <v>0</v>
      </c>
      <c r="C18" s="53" t="n">
        <f aca="false">SUMIF(Data_Engine!$B$6:$B$255,"Income Tax Expense",Data_Engine!$AE$6:$AE$255)</f>
        <v>0</v>
      </c>
      <c r="D18" s="53" t="n">
        <f aca="false">$B18-$C18</f>
        <v>0</v>
      </c>
      <c r="E18" s="54" t="str">
        <f aca="false">IF(ROUND($C18,2)=0,"n/a",$D18/ABS($C18))</f>
        <v>n/a</v>
      </c>
      <c r="F18" s="53" t="n">
        <f aca="false">SUMIF(Data_Engine!$B$6:$B$255,"Income Tax Expense",Data_Engine!$AF$6:$AF$255)</f>
        <v>0</v>
      </c>
      <c r="G18" s="53" t="n">
        <f aca="false">$B18-$F18</f>
        <v>0</v>
      </c>
      <c r="H18" s="54" t="str">
        <f aca="false">IF(ROUND($F18,2)=0,"n/a",$G18/ABS($F18))</f>
        <v>n/a</v>
      </c>
      <c r="I18" s="53" t="n">
        <f aca="false">SUMIF(Data_Engine!$B$6:$B$255,"Income Tax Expense",Data_Engine!$AH$6:$AH$255)</f>
        <v>0</v>
      </c>
      <c r="J18" s="53" t="n">
        <f aca="false">SUMIF(Data_Engine!$B$6:$B$255,"Income Tax Expense",Data_Engine!$AI$6:$AI$255)</f>
        <v>0</v>
      </c>
      <c r="K18" s="53" t="n">
        <f aca="false">$I18-$J18</f>
        <v>0</v>
      </c>
      <c r="L18" s="54" t="str">
        <f aca="false">IF(ROUND($J18,2)=0,"n/a",$K18/ABS($J18))</f>
        <v>n/a</v>
      </c>
      <c r="M18" s="53" t="n">
        <f aca="false">SUMIF(Data_Engine!$B$6:$B$255,"Income Tax Expense",Data_Engine!$AJ$6:$AJ$255)</f>
        <v>0</v>
      </c>
      <c r="N18" s="55" t="str">
        <f aca="false">IF(AND(ROUND($I18,2)=0,ROUND($J18,2)=0),"No Activity",IF(ABS($K18)&lt;Setup!$B$14,"Low",IF(ROUND($J18,2)=0,"High",IF(OR(ABS($K18/$J18)&gt;=Setup!$B$16,ABS($K18)&gt;=Setup!$B$17),"High",IF(ABS($K18/$J18)&gt;=Setup!$B$15,"Medium","Low")))))</f>
        <v>No Activity</v>
      </c>
      <c r="O18" s="55" t="str">
        <f aca="false">IF(AND(ROUND($B18,2)=0,ROUND($F18,2)=0),"No Activity",IF(ABS($G18)&lt;Setup!$B$14,"Low",IF(ROUND($F18,2)=0,"High",IF(OR(ABS($G18/$F18)&gt;=Setup!$B$16,ABS($G18)&gt;=Setup!$B$17),"High",IF(ABS($G18/$F18)&gt;=Setup!$B$15,"Medium","Low")))))</f>
        <v>No Activity</v>
      </c>
      <c r="P18" s="56" t="str">
        <f aca="false">IF(OR($N18="High",$O18="High"),"High",IF(OR($N18="Medium",$O18="Medium"),"Medium",IF(AND($N18="No Activity",$O18="No Activity"),"No Activity","Low")))</f>
        <v>No Activity</v>
      </c>
      <c r="Q18" s="57"/>
    </row>
    <row r="19" customFormat="false" ht="15" hidden="false" customHeight="false" outlineLevel="0" collapsed="false">
      <c r="A19" s="58" t="s">
        <v>378</v>
      </c>
      <c r="B19" s="59" t="n">
        <f aca="false">B17-B18</f>
        <v>0</v>
      </c>
      <c r="C19" s="59" t="n">
        <f aca="false">C17-C18</f>
        <v>0</v>
      </c>
      <c r="D19" s="59" t="n">
        <f aca="false">$B19-$C19</f>
        <v>0</v>
      </c>
      <c r="E19" s="60" t="str">
        <f aca="false">IF(ROUND($C19,2)=0,"n/a",$D19/ABS($C19))</f>
        <v>n/a</v>
      </c>
      <c r="F19" s="59" t="n">
        <f aca="false">F17-F18</f>
        <v>0</v>
      </c>
      <c r="G19" s="59" t="n">
        <f aca="false">$B19-$F19</f>
        <v>0</v>
      </c>
      <c r="H19" s="60" t="str">
        <f aca="false">IF(ROUND($F19,2)=0,"n/a",$G19/ABS($F19))</f>
        <v>n/a</v>
      </c>
      <c r="I19" s="59" t="n">
        <f aca="false">I17-I18</f>
        <v>0</v>
      </c>
      <c r="J19" s="59" t="n">
        <f aca="false">J17-J18</f>
        <v>0</v>
      </c>
      <c r="K19" s="59" t="n">
        <f aca="false">$I19-$J19</f>
        <v>0</v>
      </c>
      <c r="L19" s="60" t="str">
        <f aca="false">IF(ROUND($J19,2)=0,"n/a",$K19/ABS($J19))</f>
        <v>n/a</v>
      </c>
      <c r="M19" s="59" t="n">
        <f aca="false">M17-M18</f>
        <v>0</v>
      </c>
      <c r="N19" s="61" t="str">
        <f aca="false">IF(AND(ROUND($I19,2)=0,ROUND($J19,2)=0),"No Activity",IF(ABS($K19)&lt;Setup!$B$14,"Low",IF(ROUND($J19,2)=0,"High",IF(OR(ABS($K19/$J19)&gt;=Setup!$B$16,ABS($K19)&gt;=Setup!$B$17),"High",IF(ABS($K19/$J19)&gt;=Setup!$B$15,"Medium","Low")))))</f>
        <v>No Activity</v>
      </c>
      <c r="O19" s="61" t="str">
        <f aca="false">IF(AND(ROUND($B19,2)=0,ROUND($F19,2)=0),"No Activity",IF(ABS($G19)&lt;Setup!$B$14,"Low",IF(ROUND($F19,2)=0,"High",IF(OR(ABS($G19/$F19)&gt;=Setup!$B$16,ABS($G19)&gt;=Setup!$B$17),"High",IF(ABS($G19/$F19)&gt;=Setup!$B$15,"Medium","Low")))))</f>
        <v>No Activity</v>
      </c>
      <c r="P19" s="61" t="str">
        <f aca="false">IF(OR($N19="High",$O19="High"),"High",IF(OR($N19="Medium",$O19="Medium"),"Medium",IF(AND($N19="No Activity",$O19="No Activity"),"No Activity","Low")))</f>
        <v>No Activity</v>
      </c>
      <c r="Q19" s="57"/>
    </row>
    <row r="20" customFormat="false" ht="15" hidden="false" customHeight="false" outlineLevel="0" collapsed="false">
      <c r="A20" s="52" t="s">
        <v>379</v>
      </c>
      <c r="B20" s="54" t="str">
        <f aca="false">IF(ROUND(B7,2)=0,"n/a",B19/B7)</f>
        <v>n/a</v>
      </c>
      <c r="C20" s="54" t="str">
        <f aca="false">IF(ROUND(C7,2)=0,"n/a",C19/C7)</f>
        <v>n/a</v>
      </c>
      <c r="D20" s="62" t="str">
        <f aca="false">IF(OR(ISTEXT($B20),ISTEXT($C20)),"n/a",($B20-$C20)*100)</f>
        <v>n/a</v>
      </c>
      <c r="E20" s="54" t="str">
        <f aca="false">""</f>
        <v/>
      </c>
      <c r="F20" s="54" t="str">
        <f aca="false">IF(ROUND(F7,2)=0,"n/a",F19/F7)</f>
        <v>n/a</v>
      </c>
      <c r="G20" s="62" t="str">
        <f aca="false">IF(OR(ISTEXT($B20),ISTEXT($F20)),"n/a",($B20-$F20)*100)</f>
        <v>n/a</v>
      </c>
      <c r="H20" s="54" t="str">
        <f aca="false">""</f>
        <v/>
      </c>
      <c r="I20" s="54" t="str">
        <f aca="false">IF(ROUND(I7,2)=0,"n/a",I19/I7)</f>
        <v>n/a</v>
      </c>
      <c r="J20" s="54" t="str">
        <f aca="false">IF(ROUND(J7,2)=0,"n/a",J19/J7)</f>
        <v>n/a</v>
      </c>
      <c r="K20" s="62" t="str">
        <f aca="false">IF(OR(ISTEXT($I20),ISTEXT($J20)),"n/a",($I20-$J20)*100)</f>
        <v>n/a</v>
      </c>
      <c r="L20" s="54" t="str">
        <f aca="false">""</f>
        <v/>
      </c>
      <c r="M20" s="54" t="str">
        <f aca="false">IF(ROUND(M7,2)=0,"n/a",M19/M7)</f>
        <v>n/a</v>
      </c>
      <c r="N20" s="55" t="str">
        <f aca="false">IF(ISTEXT($K20),"No Activity",IF(ABS($K20)&gt;=5,"High",IF(ABS($K20)&gt;=2,"Medium","Low")))</f>
        <v>No Activity</v>
      </c>
      <c r="O20" s="55" t="str">
        <f aca="false">IF(ISTEXT($G20),"No Activity",IF(ABS($G20)&gt;=5,"High",IF(ABS($G20)&gt;=2,"Medium","Low")))</f>
        <v>No Activity</v>
      </c>
      <c r="P20" s="56" t="str">
        <f aca="false">IF(OR($N20="High",$O20="High"),"High",IF(OR($N20="Medium",$O20="Medium"),"Medium",IF(AND($N20="No Activity",$O20="No Activity"),"No Activity","Low")))</f>
        <v>No Activity</v>
      </c>
      <c r="Q20" s="57"/>
    </row>
    <row r="21" customFormat="false" ht="6" hidden="false" customHeight="true" outlineLevel="0" collapsed="false"/>
    <row r="22" customFormat="false" ht="18" hidden="false" customHeight="true" outlineLevel="0" collapsed="false">
      <c r="A22" s="3" t="s">
        <v>380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customFormat="false" ht="15" hidden="false" customHeight="false" outlineLevel="0" collapsed="false">
      <c r="A23" s="52" t="s">
        <v>157</v>
      </c>
      <c r="B23" s="53" t="n">
        <f aca="false">SUMIFS(Data_Engine!$AD$6:$AD$255,Data_Engine!$D$6:$D$255,"Onsite",Data_Engine!$B$6:$B$255,"Income")</f>
        <v>0</v>
      </c>
      <c r="C23" s="53" t="n">
        <f aca="false">SUMIFS(Data_Engine!$AE$6:$AE$255,Data_Engine!$D$6:$D$255,"Onsite",Data_Engine!$B$6:$B$255,"Income")</f>
        <v>0</v>
      </c>
      <c r="D23" s="53" t="n">
        <f aca="false">$B23-$C23</f>
        <v>0</v>
      </c>
      <c r="E23" s="54" t="str">
        <f aca="false">IF(ROUND($C23,2)=0,"n/a",$D23/ABS($C23))</f>
        <v>n/a</v>
      </c>
      <c r="F23" s="53" t="n">
        <f aca="false">SUMIFS(Data_Engine!$AF$6:$AF$255,Data_Engine!$D$6:$D$255,"Onsite",Data_Engine!$B$6:$B$255,"Income")</f>
        <v>0</v>
      </c>
      <c r="G23" s="53" t="n">
        <f aca="false">$B23-$F23</f>
        <v>0</v>
      </c>
      <c r="H23" s="54" t="str">
        <f aca="false">IF(ROUND($F23,2)=0,"n/a",$G23/ABS($F23))</f>
        <v>n/a</v>
      </c>
      <c r="I23" s="53" t="n">
        <f aca="false">SUMIFS(Data_Engine!$AH$6:$AH$255,Data_Engine!$D$6:$D$255,"Onsite",Data_Engine!$B$6:$B$255,"Income")</f>
        <v>0</v>
      </c>
      <c r="J23" s="53" t="n">
        <f aca="false">SUMIFS(Data_Engine!$AI$6:$AI$255,Data_Engine!$D$6:$D$255,"Onsite",Data_Engine!$B$6:$B$255,"Income")</f>
        <v>0</v>
      </c>
      <c r="K23" s="53" t="n">
        <f aca="false">$I23-$J23</f>
        <v>0</v>
      </c>
      <c r="L23" s="54" t="str">
        <f aca="false">IF(ROUND($J23,2)=0,"n/a",$K23/ABS($J23))</f>
        <v>n/a</v>
      </c>
      <c r="M23" s="53" t="n">
        <f aca="false">SUMIFS(Data_Engine!$AJ$6:$AJ$255,Data_Engine!$D$6:$D$255,"Onsite",Data_Engine!$B$6:$B$255,"Income")</f>
        <v>0</v>
      </c>
      <c r="N23" s="55" t="str">
        <f aca="false">IF(AND(ROUND($I23,2)=0,ROUND($J23,2)=0),"No Activity",IF(ABS($K23)&lt;Setup!$B$14,"Low",IF(ROUND($J23,2)=0,"High",IF(OR(ABS($K23/$J23)&gt;=Setup!$B$16,ABS($K23)&gt;=Setup!$B$17),"High",IF(ABS($K23/$J23)&gt;=Setup!$B$15,"Medium","Low")))))</f>
        <v>No Activity</v>
      </c>
      <c r="O23" s="55" t="str">
        <f aca="false">IF(AND(ROUND($B23,2)=0,ROUND($F23,2)=0),"No Activity",IF(ABS($G23)&lt;Setup!$B$14,"Low",IF(ROUND($F23,2)=0,"High",IF(OR(ABS($G23/$F23)&gt;=Setup!$B$16,ABS($G23)&gt;=Setup!$B$17),"High",IF(ABS($G23/$F23)&gt;=Setup!$B$15,"Medium","Low")))))</f>
        <v>No Activity</v>
      </c>
      <c r="P23" s="56" t="str">
        <f aca="false">IF(OR($N23="High",$O23="High"),"High",IF(OR($N23="Medium",$O23="Medium"),"Medium",IF(AND($N23="No Activity",$O23="No Activity"),"No Activity","Low")))</f>
        <v>No Activity</v>
      </c>
      <c r="Q23" s="57"/>
    </row>
    <row r="24" customFormat="false" ht="15" hidden="false" customHeight="false" outlineLevel="0" collapsed="false">
      <c r="A24" s="52" t="s">
        <v>159</v>
      </c>
      <c r="B24" s="53" t="n">
        <f aca="false">SUMIFS(Data_Engine!$AD$6:$AD$255,Data_Engine!$D$6:$D$255,"Production",Data_Engine!$B$6:$B$255,"Income")</f>
        <v>0</v>
      </c>
      <c r="C24" s="53" t="n">
        <f aca="false">SUMIFS(Data_Engine!$AE$6:$AE$255,Data_Engine!$D$6:$D$255,"Production",Data_Engine!$B$6:$B$255,"Income")</f>
        <v>0</v>
      </c>
      <c r="D24" s="53" t="n">
        <f aca="false">$B24-$C24</f>
        <v>0</v>
      </c>
      <c r="E24" s="54" t="str">
        <f aca="false">IF(ROUND($C24,2)=0,"n/a",$D24/ABS($C24))</f>
        <v>n/a</v>
      </c>
      <c r="F24" s="53" t="n">
        <f aca="false">SUMIFS(Data_Engine!$AF$6:$AF$255,Data_Engine!$D$6:$D$255,"Production",Data_Engine!$B$6:$B$255,"Income")</f>
        <v>0</v>
      </c>
      <c r="G24" s="53" t="n">
        <f aca="false">$B24-$F24</f>
        <v>0</v>
      </c>
      <c r="H24" s="54" t="str">
        <f aca="false">IF(ROUND($F24,2)=0,"n/a",$G24/ABS($F24))</f>
        <v>n/a</v>
      </c>
      <c r="I24" s="53" t="n">
        <f aca="false">SUMIFS(Data_Engine!$AH$6:$AH$255,Data_Engine!$D$6:$D$255,"Production",Data_Engine!$B$6:$B$255,"Income")</f>
        <v>0</v>
      </c>
      <c r="J24" s="53" t="n">
        <f aca="false">SUMIFS(Data_Engine!$AI$6:$AI$255,Data_Engine!$D$6:$D$255,"Production",Data_Engine!$B$6:$B$255,"Income")</f>
        <v>0</v>
      </c>
      <c r="K24" s="53" t="n">
        <f aca="false">$I24-$J24</f>
        <v>0</v>
      </c>
      <c r="L24" s="54" t="str">
        <f aca="false">IF(ROUND($J24,2)=0,"n/a",$K24/ABS($J24))</f>
        <v>n/a</v>
      </c>
      <c r="M24" s="53" t="n">
        <f aca="false">SUMIFS(Data_Engine!$AJ$6:$AJ$255,Data_Engine!$D$6:$D$255,"Production",Data_Engine!$B$6:$B$255,"Income")</f>
        <v>0</v>
      </c>
      <c r="N24" s="55" t="str">
        <f aca="false">IF(AND(ROUND($I24,2)=0,ROUND($J24,2)=0),"No Activity",IF(ABS($K24)&lt;Setup!$B$14,"Low",IF(ROUND($J24,2)=0,"High",IF(OR(ABS($K24/$J24)&gt;=Setup!$B$16,ABS($K24)&gt;=Setup!$B$17),"High",IF(ABS($K24/$J24)&gt;=Setup!$B$15,"Medium","Low")))))</f>
        <v>No Activity</v>
      </c>
      <c r="O24" s="55" t="str">
        <f aca="false">IF(AND(ROUND($B24,2)=0,ROUND($F24,2)=0),"No Activity",IF(ABS($G24)&lt;Setup!$B$14,"Low",IF(ROUND($F24,2)=0,"High",IF(OR(ABS($G24/$F24)&gt;=Setup!$B$16,ABS($G24)&gt;=Setup!$B$17),"High",IF(ABS($G24/$F24)&gt;=Setup!$B$15,"Medium","Low")))))</f>
        <v>No Activity</v>
      </c>
      <c r="P24" s="56" t="str">
        <f aca="false">IF(OR($N24="High",$O24="High"),"High",IF(OR($N24="Medium",$O24="Medium"),"Medium",IF(AND($N24="No Activity",$O24="No Activity"),"No Activity","Low")))</f>
        <v>No Activity</v>
      </c>
      <c r="Q24" s="57"/>
    </row>
    <row r="25" customFormat="false" ht="15" hidden="false" customHeight="false" outlineLevel="0" collapsed="false">
      <c r="A25" s="52" t="s">
        <v>161</v>
      </c>
      <c r="B25" s="53" t="n">
        <f aca="false">SUMIFS(Data_Engine!$AD$6:$AD$255,Data_Engine!$D$6:$D$255,"Video",Data_Engine!$B$6:$B$255,"Income")</f>
        <v>0</v>
      </c>
      <c r="C25" s="53" t="n">
        <f aca="false">SUMIFS(Data_Engine!$AE$6:$AE$255,Data_Engine!$D$6:$D$255,"Video",Data_Engine!$B$6:$B$255,"Income")</f>
        <v>0</v>
      </c>
      <c r="D25" s="53" t="n">
        <f aca="false">$B25-$C25</f>
        <v>0</v>
      </c>
      <c r="E25" s="54" t="str">
        <f aca="false">IF(ROUND($C25,2)=0,"n/a",$D25/ABS($C25))</f>
        <v>n/a</v>
      </c>
      <c r="F25" s="53" t="n">
        <f aca="false">SUMIFS(Data_Engine!$AF$6:$AF$255,Data_Engine!$D$6:$D$255,"Video",Data_Engine!$B$6:$B$255,"Income")</f>
        <v>0</v>
      </c>
      <c r="G25" s="53" t="n">
        <f aca="false">$B25-$F25</f>
        <v>0</v>
      </c>
      <c r="H25" s="54" t="str">
        <f aca="false">IF(ROUND($F25,2)=0,"n/a",$G25/ABS($F25))</f>
        <v>n/a</v>
      </c>
      <c r="I25" s="53" t="n">
        <f aca="false">SUMIFS(Data_Engine!$AH$6:$AH$255,Data_Engine!$D$6:$D$255,"Video",Data_Engine!$B$6:$B$255,"Income")</f>
        <v>0</v>
      </c>
      <c r="J25" s="53" t="n">
        <f aca="false">SUMIFS(Data_Engine!$AI$6:$AI$255,Data_Engine!$D$6:$D$255,"Video",Data_Engine!$B$6:$B$255,"Income")</f>
        <v>0</v>
      </c>
      <c r="K25" s="53" t="n">
        <f aca="false">$I25-$J25</f>
        <v>0</v>
      </c>
      <c r="L25" s="54" t="str">
        <f aca="false">IF(ROUND($J25,2)=0,"n/a",$K25/ABS($J25))</f>
        <v>n/a</v>
      </c>
      <c r="M25" s="53" t="n">
        <f aca="false">SUMIFS(Data_Engine!$AJ$6:$AJ$255,Data_Engine!$D$6:$D$255,"Video",Data_Engine!$B$6:$B$255,"Income")</f>
        <v>0</v>
      </c>
      <c r="N25" s="55" t="str">
        <f aca="false">IF(AND(ROUND($I25,2)=0,ROUND($J25,2)=0),"No Activity",IF(ABS($K25)&lt;Setup!$B$14,"Low",IF(ROUND($J25,2)=0,"High",IF(OR(ABS($K25/$J25)&gt;=Setup!$B$16,ABS($K25)&gt;=Setup!$B$17),"High",IF(ABS($K25/$J25)&gt;=Setup!$B$15,"Medium","Low")))))</f>
        <v>No Activity</v>
      </c>
      <c r="O25" s="55" t="str">
        <f aca="false">IF(AND(ROUND($B25,2)=0,ROUND($F25,2)=0),"No Activity",IF(ABS($G25)&lt;Setup!$B$14,"Low",IF(ROUND($F25,2)=0,"High",IF(OR(ABS($G25/$F25)&gt;=Setup!$B$16,ABS($G25)&gt;=Setup!$B$17),"High",IF(ABS($G25/$F25)&gt;=Setup!$B$15,"Medium","Low")))))</f>
        <v>No Activity</v>
      </c>
      <c r="P25" s="56" t="str">
        <f aca="false">IF(OR($N25="High",$O25="High"),"High",IF(OR($N25="Medium",$O25="Medium"),"Medium",IF(AND($N25="No Activity",$O25="No Activity"),"No Activity","Low")))</f>
        <v>No Activity</v>
      </c>
      <c r="Q25" s="57"/>
    </row>
    <row r="26" customFormat="false" ht="15" hidden="false" customHeight="false" outlineLevel="0" collapsed="false">
      <c r="A26" s="52" t="s">
        <v>155</v>
      </c>
      <c r="B26" s="53" t="n">
        <f aca="false">SUMIFS(Data_Engine!$AD$6:$AD$255,Data_Engine!$D$6:$D$255,"Consulting",Data_Engine!$B$6:$B$255,"Income")</f>
        <v>0</v>
      </c>
      <c r="C26" s="53" t="n">
        <f aca="false">SUMIFS(Data_Engine!$AE$6:$AE$255,Data_Engine!$D$6:$D$255,"Consulting",Data_Engine!$B$6:$B$255,"Income")</f>
        <v>0</v>
      </c>
      <c r="D26" s="53" t="n">
        <f aca="false">$B26-$C26</f>
        <v>0</v>
      </c>
      <c r="E26" s="54" t="str">
        <f aca="false">IF(ROUND($C26,2)=0,"n/a",$D26/ABS($C26))</f>
        <v>n/a</v>
      </c>
      <c r="F26" s="53" t="n">
        <f aca="false">SUMIFS(Data_Engine!$AF$6:$AF$255,Data_Engine!$D$6:$D$255,"Consulting",Data_Engine!$B$6:$B$255,"Income")</f>
        <v>0</v>
      </c>
      <c r="G26" s="53" t="n">
        <f aca="false">$B26-$F26</f>
        <v>0</v>
      </c>
      <c r="H26" s="54" t="str">
        <f aca="false">IF(ROUND($F26,2)=0,"n/a",$G26/ABS($F26))</f>
        <v>n/a</v>
      </c>
      <c r="I26" s="53" t="n">
        <f aca="false">SUMIFS(Data_Engine!$AH$6:$AH$255,Data_Engine!$D$6:$D$255,"Consulting",Data_Engine!$B$6:$B$255,"Income")</f>
        <v>0</v>
      </c>
      <c r="J26" s="53" t="n">
        <f aca="false">SUMIFS(Data_Engine!$AI$6:$AI$255,Data_Engine!$D$6:$D$255,"Consulting",Data_Engine!$B$6:$B$255,"Income")</f>
        <v>0</v>
      </c>
      <c r="K26" s="53" t="n">
        <f aca="false">$I26-$J26</f>
        <v>0</v>
      </c>
      <c r="L26" s="54" t="str">
        <f aca="false">IF(ROUND($J26,2)=0,"n/a",$K26/ABS($J26))</f>
        <v>n/a</v>
      </c>
      <c r="M26" s="53" t="n">
        <f aca="false">SUMIFS(Data_Engine!$AJ$6:$AJ$255,Data_Engine!$D$6:$D$255,"Consulting",Data_Engine!$B$6:$B$255,"Income")</f>
        <v>0</v>
      </c>
      <c r="N26" s="55" t="str">
        <f aca="false">IF(AND(ROUND($I26,2)=0,ROUND($J26,2)=0),"No Activity",IF(ABS($K26)&lt;Setup!$B$14,"Low",IF(ROUND($J26,2)=0,"High",IF(OR(ABS($K26/$J26)&gt;=Setup!$B$16,ABS($K26)&gt;=Setup!$B$17),"High",IF(ABS($K26/$J26)&gt;=Setup!$B$15,"Medium","Low")))))</f>
        <v>No Activity</v>
      </c>
      <c r="O26" s="55" t="str">
        <f aca="false">IF(AND(ROUND($B26,2)=0,ROUND($F26,2)=0),"No Activity",IF(ABS($G26)&lt;Setup!$B$14,"Low",IF(ROUND($F26,2)=0,"High",IF(OR(ABS($G26/$F26)&gt;=Setup!$B$16,ABS($G26)&gt;=Setup!$B$17),"High",IF(ABS($G26/$F26)&gt;=Setup!$B$15,"Medium","Low")))))</f>
        <v>No Activity</v>
      </c>
      <c r="P26" s="56" t="str">
        <f aca="false">IF(OR($N26="High",$O26="High"),"High",IF(OR($N26="Medium",$O26="Medium"),"Medium",IF(AND($N26="No Activity",$O26="No Activity"),"No Activity","Low")))</f>
        <v>No Activity</v>
      </c>
      <c r="Q26" s="57"/>
    </row>
    <row r="27" customFormat="false" ht="15" hidden="false" customHeight="false" outlineLevel="0" collapsed="false">
      <c r="A27" s="52" t="s">
        <v>163</v>
      </c>
      <c r="B27" s="53" t="n">
        <f aca="false">SUMIFS(Data_Engine!$AD$6:$AD$255,Data_Engine!$D$6:$D$255,"Integration",Data_Engine!$B$6:$B$255,"Income")</f>
        <v>0</v>
      </c>
      <c r="C27" s="53" t="n">
        <f aca="false">SUMIFS(Data_Engine!$AE$6:$AE$255,Data_Engine!$D$6:$D$255,"Integration",Data_Engine!$B$6:$B$255,"Income")</f>
        <v>0</v>
      </c>
      <c r="D27" s="53" t="n">
        <f aca="false">$B27-$C27</f>
        <v>0</v>
      </c>
      <c r="E27" s="54" t="str">
        <f aca="false">IF(ROUND($C27,2)=0,"n/a",$D27/ABS($C27))</f>
        <v>n/a</v>
      </c>
      <c r="F27" s="53" t="n">
        <f aca="false">SUMIFS(Data_Engine!$AF$6:$AF$255,Data_Engine!$D$6:$D$255,"Integration",Data_Engine!$B$6:$B$255,"Income")</f>
        <v>0</v>
      </c>
      <c r="G27" s="53" t="n">
        <f aca="false">$B27-$F27</f>
        <v>0</v>
      </c>
      <c r="H27" s="54" t="str">
        <f aca="false">IF(ROUND($F27,2)=0,"n/a",$G27/ABS($F27))</f>
        <v>n/a</v>
      </c>
      <c r="I27" s="53" t="n">
        <f aca="false">SUMIFS(Data_Engine!$AH$6:$AH$255,Data_Engine!$D$6:$D$255,"Integration",Data_Engine!$B$6:$B$255,"Income")</f>
        <v>0</v>
      </c>
      <c r="J27" s="53" t="n">
        <f aca="false">SUMIFS(Data_Engine!$AI$6:$AI$255,Data_Engine!$D$6:$D$255,"Integration",Data_Engine!$B$6:$B$255,"Income")</f>
        <v>0</v>
      </c>
      <c r="K27" s="53" t="n">
        <f aca="false">$I27-$J27</f>
        <v>0</v>
      </c>
      <c r="L27" s="54" t="str">
        <f aca="false">IF(ROUND($J27,2)=0,"n/a",$K27/ABS($J27))</f>
        <v>n/a</v>
      </c>
      <c r="M27" s="53" t="n">
        <f aca="false">SUMIFS(Data_Engine!$AJ$6:$AJ$255,Data_Engine!$D$6:$D$255,"Integration",Data_Engine!$B$6:$B$255,"Income")</f>
        <v>0</v>
      </c>
      <c r="N27" s="55" t="str">
        <f aca="false">IF(AND(ROUND($I27,2)=0,ROUND($J27,2)=0),"No Activity",IF(ABS($K27)&lt;Setup!$B$14,"Low",IF(ROUND($J27,2)=0,"High",IF(OR(ABS($K27/$J27)&gt;=Setup!$B$16,ABS($K27)&gt;=Setup!$B$17),"High",IF(ABS($K27/$J27)&gt;=Setup!$B$15,"Medium","Low")))))</f>
        <v>No Activity</v>
      </c>
      <c r="O27" s="55" t="str">
        <f aca="false">IF(AND(ROUND($B27,2)=0,ROUND($F27,2)=0),"No Activity",IF(ABS($G27)&lt;Setup!$B$14,"Low",IF(ROUND($F27,2)=0,"High",IF(OR(ABS($G27/$F27)&gt;=Setup!$B$16,ABS($G27)&gt;=Setup!$B$17),"High",IF(ABS($G27/$F27)&gt;=Setup!$B$15,"Medium","Low")))))</f>
        <v>No Activity</v>
      </c>
      <c r="P27" s="56" t="str">
        <f aca="false">IF(OR($N27="High",$O27="High"),"High",IF(OR($N27="Medium",$O27="Medium"),"Medium",IF(AND($N27="No Activity",$O27="No Activity"),"No Activity","Low")))</f>
        <v>No Activity</v>
      </c>
      <c r="Q27" s="57"/>
    </row>
    <row r="28" customFormat="false" ht="15" hidden="false" customHeight="false" outlineLevel="0" collapsed="false">
      <c r="A28" s="52" t="s">
        <v>165</v>
      </c>
      <c r="B28" s="53" t="n">
        <f aca="false">SUMIFS(Data_Engine!$AD$6:$AD$255,Data_Engine!$D$6:$D$255,"Admin",Data_Engine!$B$6:$B$255,"Income")</f>
        <v>0</v>
      </c>
      <c r="C28" s="53" t="n">
        <f aca="false">SUMIFS(Data_Engine!$AE$6:$AE$255,Data_Engine!$D$6:$D$255,"Admin",Data_Engine!$B$6:$B$255,"Income")</f>
        <v>0</v>
      </c>
      <c r="D28" s="53" t="n">
        <f aca="false">$B28-$C28</f>
        <v>0</v>
      </c>
      <c r="E28" s="54" t="str">
        <f aca="false">IF(ROUND($C28,2)=0,"n/a",$D28/ABS($C28))</f>
        <v>n/a</v>
      </c>
      <c r="F28" s="53" t="n">
        <f aca="false">SUMIFS(Data_Engine!$AF$6:$AF$255,Data_Engine!$D$6:$D$255,"Admin",Data_Engine!$B$6:$B$255,"Income")</f>
        <v>0</v>
      </c>
      <c r="G28" s="53" t="n">
        <f aca="false">$B28-$F28</f>
        <v>0</v>
      </c>
      <c r="H28" s="54" t="str">
        <f aca="false">IF(ROUND($F28,2)=0,"n/a",$G28/ABS($F28))</f>
        <v>n/a</v>
      </c>
      <c r="I28" s="53" t="n">
        <f aca="false">SUMIFS(Data_Engine!$AH$6:$AH$255,Data_Engine!$D$6:$D$255,"Admin",Data_Engine!$B$6:$B$255,"Income")</f>
        <v>0</v>
      </c>
      <c r="J28" s="53" t="n">
        <f aca="false">SUMIFS(Data_Engine!$AI$6:$AI$255,Data_Engine!$D$6:$D$255,"Admin",Data_Engine!$B$6:$B$255,"Income")</f>
        <v>0</v>
      </c>
      <c r="K28" s="53" t="n">
        <f aca="false">$I28-$J28</f>
        <v>0</v>
      </c>
      <c r="L28" s="54" t="str">
        <f aca="false">IF(ROUND($J28,2)=0,"n/a",$K28/ABS($J28))</f>
        <v>n/a</v>
      </c>
      <c r="M28" s="53" t="n">
        <f aca="false">SUMIFS(Data_Engine!$AJ$6:$AJ$255,Data_Engine!$D$6:$D$255,"Admin",Data_Engine!$B$6:$B$255,"Income")</f>
        <v>0</v>
      </c>
      <c r="N28" s="55" t="str">
        <f aca="false">IF(AND(ROUND($I28,2)=0,ROUND($J28,2)=0),"No Activity",IF(ABS($K28)&lt;Setup!$B$14,"Low",IF(ROUND($J28,2)=0,"High",IF(OR(ABS($K28/$J28)&gt;=Setup!$B$16,ABS($K28)&gt;=Setup!$B$17),"High",IF(ABS($K28/$J28)&gt;=Setup!$B$15,"Medium","Low")))))</f>
        <v>No Activity</v>
      </c>
      <c r="O28" s="55" t="str">
        <f aca="false">IF(AND(ROUND($B28,2)=0,ROUND($F28,2)=0),"No Activity",IF(ABS($G28)&lt;Setup!$B$14,"Low",IF(ROUND($F28,2)=0,"High",IF(OR(ABS($G28/$F28)&gt;=Setup!$B$16,ABS($G28)&gt;=Setup!$B$17),"High",IF(ABS($G28/$F28)&gt;=Setup!$B$15,"Medium","Low")))))</f>
        <v>No Activity</v>
      </c>
      <c r="P28" s="56" t="str">
        <f aca="false">IF(OR($N28="High",$O28="High"),"High",IF(OR($N28="Medium",$O28="Medium"),"Medium",IF(AND($N28="No Activity",$O28="No Activity"),"No Activity","Low")))</f>
        <v>No Activity</v>
      </c>
      <c r="Q28" s="57"/>
    </row>
    <row r="29" customFormat="false" ht="15" hidden="false" customHeight="false" outlineLevel="0" collapsed="false">
      <c r="A29" s="52" t="s">
        <v>148</v>
      </c>
      <c r="B29" s="53" t="n">
        <f aca="false">SUMIFS(Data_Engine!$AD$6:$AD$255,Data_Engine!$D$6:$D$255,"Unallocated",Data_Engine!$B$6:$B$255,"Income")</f>
        <v>0</v>
      </c>
      <c r="C29" s="53" t="n">
        <f aca="false">SUMIFS(Data_Engine!$AE$6:$AE$255,Data_Engine!$D$6:$D$255,"Unallocated",Data_Engine!$B$6:$B$255,"Income")</f>
        <v>0</v>
      </c>
      <c r="D29" s="53" t="n">
        <f aca="false">$B29-$C29</f>
        <v>0</v>
      </c>
      <c r="E29" s="54" t="str">
        <f aca="false">IF(ROUND($C29,2)=0,"n/a",$D29/ABS($C29))</f>
        <v>n/a</v>
      </c>
      <c r="F29" s="53" t="n">
        <f aca="false">SUMIFS(Data_Engine!$AF$6:$AF$255,Data_Engine!$D$6:$D$255,"Unallocated",Data_Engine!$B$6:$B$255,"Income")</f>
        <v>0</v>
      </c>
      <c r="G29" s="53" t="n">
        <f aca="false">$B29-$F29</f>
        <v>0</v>
      </c>
      <c r="H29" s="54" t="str">
        <f aca="false">IF(ROUND($F29,2)=0,"n/a",$G29/ABS($F29))</f>
        <v>n/a</v>
      </c>
      <c r="I29" s="53" t="n">
        <f aca="false">SUMIFS(Data_Engine!$AH$6:$AH$255,Data_Engine!$D$6:$D$255,"Unallocated",Data_Engine!$B$6:$B$255,"Income")</f>
        <v>0</v>
      </c>
      <c r="J29" s="53" t="n">
        <f aca="false">SUMIFS(Data_Engine!$AI$6:$AI$255,Data_Engine!$D$6:$D$255,"Unallocated",Data_Engine!$B$6:$B$255,"Income")</f>
        <v>0</v>
      </c>
      <c r="K29" s="53" t="n">
        <f aca="false">$I29-$J29</f>
        <v>0</v>
      </c>
      <c r="L29" s="54" t="str">
        <f aca="false">IF(ROUND($J29,2)=0,"n/a",$K29/ABS($J29))</f>
        <v>n/a</v>
      </c>
      <c r="M29" s="53" t="n">
        <f aca="false">SUMIFS(Data_Engine!$AJ$6:$AJ$255,Data_Engine!$D$6:$D$255,"Unallocated",Data_Engine!$B$6:$B$255,"Income")</f>
        <v>0</v>
      </c>
      <c r="N29" s="55" t="str">
        <f aca="false">IF(AND(ROUND($I29,2)=0,ROUND($J29,2)=0),"No Activity",IF(ABS($K29)&lt;Setup!$B$14,"Low",IF(ROUND($J29,2)=0,"High",IF(OR(ABS($K29/$J29)&gt;=Setup!$B$16,ABS($K29)&gt;=Setup!$B$17),"High",IF(ABS($K29/$J29)&gt;=Setup!$B$15,"Medium","Low")))))</f>
        <v>No Activity</v>
      </c>
      <c r="O29" s="55" t="str">
        <f aca="false">IF(AND(ROUND($B29,2)=0,ROUND($F29,2)=0),"No Activity",IF(ABS($G29)&lt;Setup!$B$14,"Low",IF(ROUND($F29,2)=0,"High",IF(OR(ABS($G29/$F29)&gt;=Setup!$B$16,ABS($G29)&gt;=Setup!$B$17),"High",IF(ABS($G29/$F29)&gt;=Setup!$B$15,"Medium","Low")))))</f>
        <v>No Activity</v>
      </c>
      <c r="P29" s="56" t="str">
        <f aca="false">IF(OR($N29="High",$O29="High"),"High",IF(OR($N29="Medium",$O29="Medium"),"Medium",IF(AND($N29="No Activity",$O29="No Activity"),"No Activity","Low")))</f>
        <v>No Activity</v>
      </c>
      <c r="Q29" s="57"/>
    </row>
    <row r="30" customFormat="false" ht="15" hidden="false" customHeight="false" outlineLevel="0" collapsed="false">
      <c r="A30" s="58" t="s">
        <v>381</v>
      </c>
      <c r="B30" s="59" t="n">
        <f aca="false">SUM(B23:B29)</f>
        <v>0</v>
      </c>
      <c r="C30" s="59" t="n">
        <f aca="false">SUM(C23:C29)</f>
        <v>0</v>
      </c>
      <c r="D30" s="59" t="n">
        <f aca="false">$B30-$C30</f>
        <v>0</v>
      </c>
      <c r="E30" s="60" t="str">
        <f aca="false">IF(ROUND($C30,2)=0,"n/a",$D30/ABS($C30))</f>
        <v>n/a</v>
      </c>
      <c r="F30" s="59" t="n">
        <f aca="false">SUM(F23:F29)</f>
        <v>0</v>
      </c>
      <c r="G30" s="59" t="n">
        <f aca="false">$B30-$F30</f>
        <v>0</v>
      </c>
      <c r="H30" s="60" t="str">
        <f aca="false">IF(ROUND($F30,2)=0,"n/a",$G30/ABS($F30))</f>
        <v>n/a</v>
      </c>
      <c r="I30" s="59" t="n">
        <f aca="false">SUM(I23:I29)</f>
        <v>0</v>
      </c>
      <c r="J30" s="59" t="n">
        <f aca="false">SUM(J23:J29)</f>
        <v>0</v>
      </c>
      <c r="K30" s="59" t="n">
        <f aca="false">$I30-$J30</f>
        <v>0</v>
      </c>
      <c r="L30" s="60" t="str">
        <f aca="false">IF(ROUND($J30,2)=0,"n/a",$K30/ABS($J30))</f>
        <v>n/a</v>
      </c>
      <c r="M30" s="59" t="n">
        <f aca="false">SUM(M23:M29)</f>
        <v>0</v>
      </c>
      <c r="N30" s="61" t="str">
        <f aca="false">IF(AND(ROUND($I30,2)=0,ROUND($J30,2)=0),"No Activity",IF(ABS($K30)&lt;Setup!$B$14,"Low",IF(ROUND($J30,2)=0,"High",IF(OR(ABS($K30/$J30)&gt;=Setup!$B$16,ABS($K30)&gt;=Setup!$B$17),"High",IF(ABS($K30/$J30)&gt;=Setup!$B$15,"Medium","Low")))))</f>
        <v>No Activity</v>
      </c>
      <c r="O30" s="61" t="str">
        <f aca="false">IF(AND(ROUND($B30,2)=0,ROUND($F30,2)=0),"No Activity",IF(ABS($G30)&lt;Setup!$B$14,"Low",IF(ROUND($F30,2)=0,"High",IF(OR(ABS($G30/$F30)&gt;=Setup!$B$16,ABS($G30)&gt;=Setup!$B$17),"High",IF(ABS($G30/$F30)&gt;=Setup!$B$15,"Medium","Low")))))</f>
        <v>No Activity</v>
      </c>
      <c r="P30" s="61" t="str">
        <f aca="false">IF(OR($N30="High",$O30="High"),"High",IF(OR($N30="Medium",$O30="Medium"),"Medium",IF(AND($N30="No Activity",$O30="No Activity"),"No Activity","Low")))</f>
        <v>No Activity</v>
      </c>
      <c r="Q30" s="57"/>
    </row>
    <row r="31" customFormat="false" ht="6" hidden="false" customHeight="true" outlineLevel="0" collapsed="false"/>
    <row r="32" customFormat="false" ht="18" hidden="false" customHeight="true" outlineLevel="0" collapsed="false">
      <c r="A32" s="3" t="s">
        <v>382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customFormat="false" ht="15" hidden="false" customHeight="false" outlineLevel="0" collapsed="false">
      <c r="A33" s="52" t="s">
        <v>157</v>
      </c>
      <c r="B33" s="53" t="n">
        <f aca="false">SUMIFS(Data_Engine!$AD$6:$AD$255,Data_Engine!$D$6:$D$255,"Onsite",Data_Engine!$B$6:$B$255,"Income")-SUMIFS(Data_Engine!$AD$6:$AD$255,Data_Engine!$D$6:$D$255,"Onsite",Data_Engine!$B$6:$B$255,"Cost of Sales")</f>
        <v>0</v>
      </c>
      <c r="C33" s="53" t="n">
        <f aca="false">SUMIFS(Data_Engine!$AE$6:$AE$255,Data_Engine!$D$6:$D$255,"Onsite",Data_Engine!$B$6:$B$255,"Income")-SUMIFS(Data_Engine!$AE$6:$AE$255,Data_Engine!$D$6:$D$255,"Onsite",Data_Engine!$B$6:$B$255,"Cost of Sales")</f>
        <v>0</v>
      </c>
      <c r="D33" s="53" t="n">
        <f aca="false">$B33-$C33</f>
        <v>0</v>
      </c>
      <c r="E33" s="54" t="str">
        <f aca="false">IF(ROUND($C33,2)=0,"n/a",$D33/ABS($C33))</f>
        <v>n/a</v>
      </c>
      <c r="F33" s="53" t="n">
        <f aca="false">SUMIFS(Data_Engine!$AF$6:$AF$255,Data_Engine!$D$6:$D$255,"Onsite",Data_Engine!$B$6:$B$255,"Income")-SUMIFS(Data_Engine!$AF$6:$AF$255,Data_Engine!$D$6:$D$255,"Onsite",Data_Engine!$B$6:$B$255,"Cost of Sales")</f>
        <v>0</v>
      </c>
      <c r="G33" s="53" t="n">
        <f aca="false">$B33-$F33</f>
        <v>0</v>
      </c>
      <c r="H33" s="54" t="str">
        <f aca="false">IF(ROUND($F33,2)=0,"n/a",$G33/ABS($F33))</f>
        <v>n/a</v>
      </c>
      <c r="I33" s="53" t="n">
        <f aca="false">SUMIFS(Data_Engine!$AH$6:$AH$255,Data_Engine!$D$6:$D$255,"Onsite",Data_Engine!$B$6:$B$255,"Income")-SUMIFS(Data_Engine!$AH$6:$AH$255,Data_Engine!$D$6:$D$255,"Onsite",Data_Engine!$B$6:$B$255,"Cost of Sales")</f>
        <v>0</v>
      </c>
      <c r="J33" s="53" t="n">
        <f aca="false">SUMIFS(Data_Engine!$AI$6:$AI$255,Data_Engine!$D$6:$D$255,"Onsite",Data_Engine!$B$6:$B$255,"Income")-SUMIFS(Data_Engine!$AI$6:$AI$255,Data_Engine!$D$6:$D$255,"Onsite",Data_Engine!$B$6:$B$255,"Cost of Sales")</f>
        <v>0</v>
      </c>
      <c r="K33" s="53" t="n">
        <f aca="false">$I33-$J33</f>
        <v>0</v>
      </c>
      <c r="L33" s="54" t="str">
        <f aca="false">IF(ROUND($J33,2)=0,"n/a",$K33/ABS($J33))</f>
        <v>n/a</v>
      </c>
      <c r="M33" s="53" t="n">
        <f aca="false">SUMIFS(Data_Engine!$AJ$6:$AJ$255,Data_Engine!$D$6:$D$255,"Onsite",Data_Engine!$B$6:$B$255,"Income")-SUMIFS(Data_Engine!$AJ$6:$AJ$255,Data_Engine!$D$6:$D$255,"Onsite",Data_Engine!$B$6:$B$255,"Cost of Sales")</f>
        <v>0</v>
      </c>
      <c r="N33" s="55" t="str">
        <f aca="false">IF(AND(ROUND($I33,2)=0,ROUND($J33,2)=0),"No Activity",IF(ABS($K33)&lt;Setup!$B$14,"Low",IF(ROUND($J33,2)=0,"High",IF(OR(ABS($K33/$J33)&gt;=Setup!$B$16,ABS($K33)&gt;=Setup!$B$17),"High",IF(ABS($K33/$J33)&gt;=Setup!$B$15,"Medium","Low")))))</f>
        <v>No Activity</v>
      </c>
      <c r="O33" s="55" t="str">
        <f aca="false">IF(AND(ROUND($B33,2)=0,ROUND($F33,2)=0),"No Activity",IF(ABS($G33)&lt;Setup!$B$14,"Low",IF(ROUND($F33,2)=0,"High",IF(OR(ABS($G33/$F33)&gt;=Setup!$B$16,ABS($G33)&gt;=Setup!$B$17),"High",IF(ABS($G33/$F33)&gt;=Setup!$B$15,"Medium","Low")))))</f>
        <v>No Activity</v>
      </c>
      <c r="P33" s="56" t="str">
        <f aca="false">IF(OR($N33="High",$O33="High"),"High",IF(OR($N33="Medium",$O33="Medium"),"Medium",IF(AND($N33="No Activity",$O33="No Activity"),"No Activity","Low")))</f>
        <v>No Activity</v>
      </c>
      <c r="Q33" s="57"/>
    </row>
    <row r="34" customFormat="false" ht="15" hidden="false" customHeight="false" outlineLevel="0" collapsed="false">
      <c r="A34" s="52" t="s">
        <v>159</v>
      </c>
      <c r="B34" s="53" t="n">
        <f aca="false">SUMIFS(Data_Engine!$AD$6:$AD$255,Data_Engine!$D$6:$D$255,"Production",Data_Engine!$B$6:$B$255,"Income")-SUMIFS(Data_Engine!$AD$6:$AD$255,Data_Engine!$D$6:$D$255,"Production",Data_Engine!$B$6:$B$255,"Cost of Sales")</f>
        <v>0</v>
      </c>
      <c r="C34" s="53" t="n">
        <f aca="false">SUMIFS(Data_Engine!$AE$6:$AE$255,Data_Engine!$D$6:$D$255,"Production",Data_Engine!$B$6:$B$255,"Income")-SUMIFS(Data_Engine!$AE$6:$AE$255,Data_Engine!$D$6:$D$255,"Production",Data_Engine!$B$6:$B$255,"Cost of Sales")</f>
        <v>0</v>
      </c>
      <c r="D34" s="53" t="n">
        <f aca="false">$B34-$C34</f>
        <v>0</v>
      </c>
      <c r="E34" s="54" t="str">
        <f aca="false">IF(ROUND($C34,2)=0,"n/a",$D34/ABS($C34))</f>
        <v>n/a</v>
      </c>
      <c r="F34" s="53" t="n">
        <f aca="false">SUMIFS(Data_Engine!$AF$6:$AF$255,Data_Engine!$D$6:$D$255,"Production",Data_Engine!$B$6:$B$255,"Income")-SUMIFS(Data_Engine!$AF$6:$AF$255,Data_Engine!$D$6:$D$255,"Production",Data_Engine!$B$6:$B$255,"Cost of Sales")</f>
        <v>0</v>
      </c>
      <c r="G34" s="53" t="n">
        <f aca="false">$B34-$F34</f>
        <v>0</v>
      </c>
      <c r="H34" s="54" t="str">
        <f aca="false">IF(ROUND($F34,2)=0,"n/a",$G34/ABS($F34))</f>
        <v>n/a</v>
      </c>
      <c r="I34" s="53" t="n">
        <f aca="false">SUMIFS(Data_Engine!$AH$6:$AH$255,Data_Engine!$D$6:$D$255,"Production",Data_Engine!$B$6:$B$255,"Income")-SUMIFS(Data_Engine!$AH$6:$AH$255,Data_Engine!$D$6:$D$255,"Production",Data_Engine!$B$6:$B$255,"Cost of Sales")</f>
        <v>0</v>
      </c>
      <c r="J34" s="53" t="n">
        <f aca="false">SUMIFS(Data_Engine!$AI$6:$AI$255,Data_Engine!$D$6:$D$255,"Production",Data_Engine!$B$6:$B$255,"Income")-SUMIFS(Data_Engine!$AI$6:$AI$255,Data_Engine!$D$6:$D$255,"Production",Data_Engine!$B$6:$B$255,"Cost of Sales")</f>
        <v>0</v>
      </c>
      <c r="K34" s="53" t="n">
        <f aca="false">$I34-$J34</f>
        <v>0</v>
      </c>
      <c r="L34" s="54" t="str">
        <f aca="false">IF(ROUND($J34,2)=0,"n/a",$K34/ABS($J34))</f>
        <v>n/a</v>
      </c>
      <c r="M34" s="53" t="n">
        <f aca="false">SUMIFS(Data_Engine!$AJ$6:$AJ$255,Data_Engine!$D$6:$D$255,"Production",Data_Engine!$B$6:$B$255,"Income")-SUMIFS(Data_Engine!$AJ$6:$AJ$255,Data_Engine!$D$6:$D$255,"Production",Data_Engine!$B$6:$B$255,"Cost of Sales")</f>
        <v>0</v>
      </c>
      <c r="N34" s="55" t="str">
        <f aca="false">IF(AND(ROUND($I34,2)=0,ROUND($J34,2)=0),"No Activity",IF(ABS($K34)&lt;Setup!$B$14,"Low",IF(ROUND($J34,2)=0,"High",IF(OR(ABS($K34/$J34)&gt;=Setup!$B$16,ABS($K34)&gt;=Setup!$B$17),"High",IF(ABS($K34/$J34)&gt;=Setup!$B$15,"Medium","Low")))))</f>
        <v>No Activity</v>
      </c>
      <c r="O34" s="55" t="str">
        <f aca="false">IF(AND(ROUND($B34,2)=0,ROUND($F34,2)=0),"No Activity",IF(ABS($G34)&lt;Setup!$B$14,"Low",IF(ROUND($F34,2)=0,"High",IF(OR(ABS($G34/$F34)&gt;=Setup!$B$16,ABS($G34)&gt;=Setup!$B$17),"High",IF(ABS($G34/$F34)&gt;=Setup!$B$15,"Medium","Low")))))</f>
        <v>No Activity</v>
      </c>
      <c r="P34" s="56" t="str">
        <f aca="false">IF(OR($N34="High",$O34="High"),"High",IF(OR($N34="Medium",$O34="Medium"),"Medium",IF(AND($N34="No Activity",$O34="No Activity"),"No Activity","Low")))</f>
        <v>No Activity</v>
      </c>
      <c r="Q34" s="57"/>
    </row>
    <row r="35" customFormat="false" ht="15" hidden="false" customHeight="false" outlineLevel="0" collapsed="false">
      <c r="A35" s="52" t="s">
        <v>161</v>
      </c>
      <c r="B35" s="53" t="n">
        <f aca="false">SUMIFS(Data_Engine!$AD$6:$AD$255,Data_Engine!$D$6:$D$255,"Video",Data_Engine!$B$6:$B$255,"Income")-SUMIFS(Data_Engine!$AD$6:$AD$255,Data_Engine!$D$6:$D$255,"Video",Data_Engine!$B$6:$B$255,"Cost of Sales")</f>
        <v>0</v>
      </c>
      <c r="C35" s="53" t="n">
        <f aca="false">SUMIFS(Data_Engine!$AE$6:$AE$255,Data_Engine!$D$6:$D$255,"Video",Data_Engine!$B$6:$B$255,"Income")-SUMIFS(Data_Engine!$AE$6:$AE$255,Data_Engine!$D$6:$D$255,"Video",Data_Engine!$B$6:$B$255,"Cost of Sales")</f>
        <v>0</v>
      </c>
      <c r="D35" s="53" t="n">
        <f aca="false">$B35-$C35</f>
        <v>0</v>
      </c>
      <c r="E35" s="54" t="str">
        <f aca="false">IF(ROUND($C35,2)=0,"n/a",$D35/ABS($C35))</f>
        <v>n/a</v>
      </c>
      <c r="F35" s="53" t="n">
        <f aca="false">SUMIFS(Data_Engine!$AF$6:$AF$255,Data_Engine!$D$6:$D$255,"Video",Data_Engine!$B$6:$B$255,"Income")-SUMIFS(Data_Engine!$AF$6:$AF$255,Data_Engine!$D$6:$D$255,"Video",Data_Engine!$B$6:$B$255,"Cost of Sales")</f>
        <v>0</v>
      </c>
      <c r="G35" s="53" t="n">
        <f aca="false">$B35-$F35</f>
        <v>0</v>
      </c>
      <c r="H35" s="54" t="str">
        <f aca="false">IF(ROUND($F35,2)=0,"n/a",$G35/ABS($F35))</f>
        <v>n/a</v>
      </c>
      <c r="I35" s="53" t="n">
        <f aca="false">SUMIFS(Data_Engine!$AH$6:$AH$255,Data_Engine!$D$6:$D$255,"Video",Data_Engine!$B$6:$B$255,"Income")-SUMIFS(Data_Engine!$AH$6:$AH$255,Data_Engine!$D$6:$D$255,"Video",Data_Engine!$B$6:$B$255,"Cost of Sales")</f>
        <v>0</v>
      </c>
      <c r="J35" s="53" t="n">
        <f aca="false">SUMIFS(Data_Engine!$AI$6:$AI$255,Data_Engine!$D$6:$D$255,"Video",Data_Engine!$B$6:$B$255,"Income")-SUMIFS(Data_Engine!$AI$6:$AI$255,Data_Engine!$D$6:$D$255,"Video",Data_Engine!$B$6:$B$255,"Cost of Sales")</f>
        <v>0</v>
      </c>
      <c r="K35" s="53" t="n">
        <f aca="false">$I35-$J35</f>
        <v>0</v>
      </c>
      <c r="L35" s="54" t="str">
        <f aca="false">IF(ROUND($J35,2)=0,"n/a",$K35/ABS($J35))</f>
        <v>n/a</v>
      </c>
      <c r="M35" s="53" t="n">
        <f aca="false">SUMIFS(Data_Engine!$AJ$6:$AJ$255,Data_Engine!$D$6:$D$255,"Video",Data_Engine!$B$6:$B$255,"Income")-SUMIFS(Data_Engine!$AJ$6:$AJ$255,Data_Engine!$D$6:$D$255,"Video",Data_Engine!$B$6:$B$255,"Cost of Sales")</f>
        <v>0</v>
      </c>
      <c r="N35" s="55" t="str">
        <f aca="false">IF(AND(ROUND($I35,2)=0,ROUND($J35,2)=0),"No Activity",IF(ABS($K35)&lt;Setup!$B$14,"Low",IF(ROUND($J35,2)=0,"High",IF(OR(ABS($K35/$J35)&gt;=Setup!$B$16,ABS($K35)&gt;=Setup!$B$17),"High",IF(ABS($K35/$J35)&gt;=Setup!$B$15,"Medium","Low")))))</f>
        <v>No Activity</v>
      </c>
      <c r="O35" s="55" t="str">
        <f aca="false">IF(AND(ROUND($B35,2)=0,ROUND($F35,2)=0),"No Activity",IF(ABS($G35)&lt;Setup!$B$14,"Low",IF(ROUND($F35,2)=0,"High",IF(OR(ABS($G35/$F35)&gt;=Setup!$B$16,ABS($G35)&gt;=Setup!$B$17),"High",IF(ABS($G35/$F35)&gt;=Setup!$B$15,"Medium","Low")))))</f>
        <v>No Activity</v>
      </c>
      <c r="P35" s="56" t="str">
        <f aca="false">IF(OR($N35="High",$O35="High"),"High",IF(OR($N35="Medium",$O35="Medium"),"Medium",IF(AND($N35="No Activity",$O35="No Activity"),"No Activity","Low")))</f>
        <v>No Activity</v>
      </c>
      <c r="Q35" s="57"/>
    </row>
    <row r="36" customFormat="false" ht="15" hidden="false" customHeight="false" outlineLevel="0" collapsed="false">
      <c r="A36" s="52" t="s">
        <v>155</v>
      </c>
      <c r="B36" s="53" t="n">
        <f aca="false">SUMIFS(Data_Engine!$AD$6:$AD$255,Data_Engine!$D$6:$D$255,"Consulting",Data_Engine!$B$6:$B$255,"Income")-SUMIFS(Data_Engine!$AD$6:$AD$255,Data_Engine!$D$6:$D$255,"Consulting",Data_Engine!$B$6:$B$255,"Cost of Sales")</f>
        <v>0</v>
      </c>
      <c r="C36" s="53" t="n">
        <f aca="false">SUMIFS(Data_Engine!$AE$6:$AE$255,Data_Engine!$D$6:$D$255,"Consulting",Data_Engine!$B$6:$B$255,"Income")-SUMIFS(Data_Engine!$AE$6:$AE$255,Data_Engine!$D$6:$D$255,"Consulting",Data_Engine!$B$6:$B$255,"Cost of Sales")</f>
        <v>0</v>
      </c>
      <c r="D36" s="53" t="n">
        <f aca="false">$B36-$C36</f>
        <v>0</v>
      </c>
      <c r="E36" s="54" t="str">
        <f aca="false">IF(ROUND($C36,2)=0,"n/a",$D36/ABS($C36))</f>
        <v>n/a</v>
      </c>
      <c r="F36" s="53" t="n">
        <f aca="false">SUMIFS(Data_Engine!$AF$6:$AF$255,Data_Engine!$D$6:$D$255,"Consulting",Data_Engine!$B$6:$B$255,"Income")-SUMIFS(Data_Engine!$AF$6:$AF$255,Data_Engine!$D$6:$D$255,"Consulting",Data_Engine!$B$6:$B$255,"Cost of Sales")</f>
        <v>0</v>
      </c>
      <c r="G36" s="53" t="n">
        <f aca="false">$B36-$F36</f>
        <v>0</v>
      </c>
      <c r="H36" s="54" t="str">
        <f aca="false">IF(ROUND($F36,2)=0,"n/a",$G36/ABS($F36))</f>
        <v>n/a</v>
      </c>
      <c r="I36" s="53" t="n">
        <f aca="false">SUMIFS(Data_Engine!$AH$6:$AH$255,Data_Engine!$D$6:$D$255,"Consulting",Data_Engine!$B$6:$B$255,"Income")-SUMIFS(Data_Engine!$AH$6:$AH$255,Data_Engine!$D$6:$D$255,"Consulting",Data_Engine!$B$6:$B$255,"Cost of Sales")</f>
        <v>0</v>
      </c>
      <c r="J36" s="53" t="n">
        <f aca="false">SUMIFS(Data_Engine!$AI$6:$AI$255,Data_Engine!$D$6:$D$255,"Consulting",Data_Engine!$B$6:$B$255,"Income")-SUMIFS(Data_Engine!$AI$6:$AI$255,Data_Engine!$D$6:$D$255,"Consulting",Data_Engine!$B$6:$B$255,"Cost of Sales")</f>
        <v>0</v>
      </c>
      <c r="K36" s="53" t="n">
        <f aca="false">$I36-$J36</f>
        <v>0</v>
      </c>
      <c r="L36" s="54" t="str">
        <f aca="false">IF(ROUND($J36,2)=0,"n/a",$K36/ABS($J36))</f>
        <v>n/a</v>
      </c>
      <c r="M36" s="53" t="n">
        <f aca="false">SUMIFS(Data_Engine!$AJ$6:$AJ$255,Data_Engine!$D$6:$D$255,"Consulting",Data_Engine!$B$6:$B$255,"Income")-SUMIFS(Data_Engine!$AJ$6:$AJ$255,Data_Engine!$D$6:$D$255,"Consulting",Data_Engine!$B$6:$B$255,"Cost of Sales")</f>
        <v>0</v>
      </c>
      <c r="N36" s="55" t="str">
        <f aca="false">IF(AND(ROUND($I36,2)=0,ROUND($J36,2)=0),"No Activity",IF(ABS($K36)&lt;Setup!$B$14,"Low",IF(ROUND($J36,2)=0,"High",IF(OR(ABS($K36/$J36)&gt;=Setup!$B$16,ABS($K36)&gt;=Setup!$B$17),"High",IF(ABS($K36/$J36)&gt;=Setup!$B$15,"Medium","Low")))))</f>
        <v>No Activity</v>
      </c>
      <c r="O36" s="55" t="str">
        <f aca="false">IF(AND(ROUND($B36,2)=0,ROUND($F36,2)=0),"No Activity",IF(ABS($G36)&lt;Setup!$B$14,"Low",IF(ROUND($F36,2)=0,"High",IF(OR(ABS($G36/$F36)&gt;=Setup!$B$16,ABS($G36)&gt;=Setup!$B$17),"High",IF(ABS($G36/$F36)&gt;=Setup!$B$15,"Medium","Low")))))</f>
        <v>No Activity</v>
      </c>
      <c r="P36" s="56" t="str">
        <f aca="false">IF(OR($N36="High",$O36="High"),"High",IF(OR($N36="Medium",$O36="Medium"),"Medium",IF(AND($N36="No Activity",$O36="No Activity"),"No Activity","Low")))</f>
        <v>No Activity</v>
      </c>
      <c r="Q36" s="57"/>
    </row>
    <row r="37" customFormat="false" ht="15" hidden="false" customHeight="false" outlineLevel="0" collapsed="false">
      <c r="A37" s="52" t="s">
        <v>163</v>
      </c>
      <c r="B37" s="53" t="n">
        <f aca="false">SUMIFS(Data_Engine!$AD$6:$AD$255,Data_Engine!$D$6:$D$255,"Integration",Data_Engine!$B$6:$B$255,"Income")-SUMIFS(Data_Engine!$AD$6:$AD$255,Data_Engine!$D$6:$D$255,"Integration",Data_Engine!$B$6:$B$255,"Cost of Sales")</f>
        <v>0</v>
      </c>
      <c r="C37" s="53" t="n">
        <f aca="false">SUMIFS(Data_Engine!$AE$6:$AE$255,Data_Engine!$D$6:$D$255,"Integration",Data_Engine!$B$6:$B$255,"Income")-SUMIFS(Data_Engine!$AE$6:$AE$255,Data_Engine!$D$6:$D$255,"Integration",Data_Engine!$B$6:$B$255,"Cost of Sales")</f>
        <v>0</v>
      </c>
      <c r="D37" s="53" t="n">
        <f aca="false">$B37-$C37</f>
        <v>0</v>
      </c>
      <c r="E37" s="54" t="str">
        <f aca="false">IF(ROUND($C37,2)=0,"n/a",$D37/ABS($C37))</f>
        <v>n/a</v>
      </c>
      <c r="F37" s="53" t="n">
        <f aca="false">SUMIFS(Data_Engine!$AF$6:$AF$255,Data_Engine!$D$6:$D$255,"Integration",Data_Engine!$B$6:$B$255,"Income")-SUMIFS(Data_Engine!$AF$6:$AF$255,Data_Engine!$D$6:$D$255,"Integration",Data_Engine!$B$6:$B$255,"Cost of Sales")</f>
        <v>0</v>
      </c>
      <c r="G37" s="53" t="n">
        <f aca="false">$B37-$F37</f>
        <v>0</v>
      </c>
      <c r="H37" s="54" t="str">
        <f aca="false">IF(ROUND($F37,2)=0,"n/a",$G37/ABS($F37))</f>
        <v>n/a</v>
      </c>
      <c r="I37" s="53" t="n">
        <f aca="false">SUMIFS(Data_Engine!$AH$6:$AH$255,Data_Engine!$D$6:$D$255,"Integration",Data_Engine!$B$6:$B$255,"Income")-SUMIFS(Data_Engine!$AH$6:$AH$255,Data_Engine!$D$6:$D$255,"Integration",Data_Engine!$B$6:$B$255,"Cost of Sales")</f>
        <v>0</v>
      </c>
      <c r="J37" s="53" t="n">
        <f aca="false">SUMIFS(Data_Engine!$AI$6:$AI$255,Data_Engine!$D$6:$D$255,"Integration",Data_Engine!$B$6:$B$255,"Income")-SUMIFS(Data_Engine!$AI$6:$AI$255,Data_Engine!$D$6:$D$255,"Integration",Data_Engine!$B$6:$B$255,"Cost of Sales")</f>
        <v>0</v>
      </c>
      <c r="K37" s="53" t="n">
        <f aca="false">$I37-$J37</f>
        <v>0</v>
      </c>
      <c r="L37" s="54" t="str">
        <f aca="false">IF(ROUND($J37,2)=0,"n/a",$K37/ABS($J37))</f>
        <v>n/a</v>
      </c>
      <c r="M37" s="53" t="n">
        <f aca="false">SUMIFS(Data_Engine!$AJ$6:$AJ$255,Data_Engine!$D$6:$D$255,"Integration",Data_Engine!$B$6:$B$255,"Income")-SUMIFS(Data_Engine!$AJ$6:$AJ$255,Data_Engine!$D$6:$D$255,"Integration",Data_Engine!$B$6:$B$255,"Cost of Sales")</f>
        <v>0</v>
      </c>
      <c r="N37" s="55" t="str">
        <f aca="false">IF(AND(ROUND($I37,2)=0,ROUND($J37,2)=0),"No Activity",IF(ABS($K37)&lt;Setup!$B$14,"Low",IF(ROUND($J37,2)=0,"High",IF(OR(ABS($K37/$J37)&gt;=Setup!$B$16,ABS($K37)&gt;=Setup!$B$17),"High",IF(ABS($K37/$J37)&gt;=Setup!$B$15,"Medium","Low")))))</f>
        <v>No Activity</v>
      </c>
      <c r="O37" s="55" t="str">
        <f aca="false">IF(AND(ROUND($B37,2)=0,ROUND($F37,2)=0),"No Activity",IF(ABS($G37)&lt;Setup!$B$14,"Low",IF(ROUND($F37,2)=0,"High",IF(OR(ABS($G37/$F37)&gt;=Setup!$B$16,ABS($G37)&gt;=Setup!$B$17),"High",IF(ABS($G37/$F37)&gt;=Setup!$B$15,"Medium","Low")))))</f>
        <v>No Activity</v>
      </c>
      <c r="P37" s="56" t="str">
        <f aca="false">IF(OR($N37="High",$O37="High"),"High",IF(OR($N37="Medium",$O37="Medium"),"Medium",IF(AND($N37="No Activity",$O37="No Activity"),"No Activity","Low")))</f>
        <v>No Activity</v>
      </c>
      <c r="Q37" s="57"/>
    </row>
    <row r="38" customFormat="false" ht="15" hidden="false" customHeight="false" outlineLevel="0" collapsed="false">
      <c r="A38" s="52" t="s">
        <v>165</v>
      </c>
      <c r="B38" s="53" t="n">
        <f aca="false">SUMIFS(Data_Engine!$AD$6:$AD$255,Data_Engine!$D$6:$D$255,"Admin",Data_Engine!$B$6:$B$255,"Income")-SUMIFS(Data_Engine!$AD$6:$AD$255,Data_Engine!$D$6:$D$255,"Admin",Data_Engine!$B$6:$B$255,"Cost of Sales")</f>
        <v>0</v>
      </c>
      <c r="C38" s="53" t="n">
        <f aca="false">SUMIFS(Data_Engine!$AE$6:$AE$255,Data_Engine!$D$6:$D$255,"Admin",Data_Engine!$B$6:$B$255,"Income")-SUMIFS(Data_Engine!$AE$6:$AE$255,Data_Engine!$D$6:$D$255,"Admin",Data_Engine!$B$6:$B$255,"Cost of Sales")</f>
        <v>0</v>
      </c>
      <c r="D38" s="53" t="n">
        <f aca="false">$B38-$C38</f>
        <v>0</v>
      </c>
      <c r="E38" s="54" t="str">
        <f aca="false">IF(ROUND($C38,2)=0,"n/a",$D38/ABS($C38))</f>
        <v>n/a</v>
      </c>
      <c r="F38" s="53" t="n">
        <f aca="false">SUMIFS(Data_Engine!$AF$6:$AF$255,Data_Engine!$D$6:$D$255,"Admin",Data_Engine!$B$6:$B$255,"Income")-SUMIFS(Data_Engine!$AF$6:$AF$255,Data_Engine!$D$6:$D$255,"Admin",Data_Engine!$B$6:$B$255,"Cost of Sales")</f>
        <v>0</v>
      </c>
      <c r="G38" s="53" t="n">
        <f aca="false">$B38-$F38</f>
        <v>0</v>
      </c>
      <c r="H38" s="54" t="str">
        <f aca="false">IF(ROUND($F38,2)=0,"n/a",$G38/ABS($F38))</f>
        <v>n/a</v>
      </c>
      <c r="I38" s="53" t="n">
        <f aca="false">SUMIFS(Data_Engine!$AH$6:$AH$255,Data_Engine!$D$6:$D$255,"Admin",Data_Engine!$B$6:$B$255,"Income")-SUMIFS(Data_Engine!$AH$6:$AH$255,Data_Engine!$D$6:$D$255,"Admin",Data_Engine!$B$6:$B$255,"Cost of Sales")</f>
        <v>0</v>
      </c>
      <c r="J38" s="53" t="n">
        <f aca="false">SUMIFS(Data_Engine!$AI$6:$AI$255,Data_Engine!$D$6:$D$255,"Admin",Data_Engine!$B$6:$B$255,"Income")-SUMIFS(Data_Engine!$AI$6:$AI$255,Data_Engine!$D$6:$D$255,"Admin",Data_Engine!$B$6:$B$255,"Cost of Sales")</f>
        <v>0</v>
      </c>
      <c r="K38" s="53" t="n">
        <f aca="false">$I38-$J38</f>
        <v>0</v>
      </c>
      <c r="L38" s="54" t="str">
        <f aca="false">IF(ROUND($J38,2)=0,"n/a",$K38/ABS($J38))</f>
        <v>n/a</v>
      </c>
      <c r="M38" s="53" t="n">
        <f aca="false">SUMIFS(Data_Engine!$AJ$6:$AJ$255,Data_Engine!$D$6:$D$255,"Admin",Data_Engine!$B$6:$B$255,"Income")-SUMIFS(Data_Engine!$AJ$6:$AJ$255,Data_Engine!$D$6:$D$255,"Admin",Data_Engine!$B$6:$B$255,"Cost of Sales")</f>
        <v>0</v>
      </c>
      <c r="N38" s="55" t="str">
        <f aca="false">IF(AND(ROUND($I38,2)=0,ROUND($J38,2)=0),"No Activity",IF(ABS($K38)&lt;Setup!$B$14,"Low",IF(ROUND($J38,2)=0,"High",IF(OR(ABS($K38/$J38)&gt;=Setup!$B$16,ABS($K38)&gt;=Setup!$B$17),"High",IF(ABS($K38/$J38)&gt;=Setup!$B$15,"Medium","Low")))))</f>
        <v>No Activity</v>
      </c>
      <c r="O38" s="55" t="str">
        <f aca="false">IF(AND(ROUND($B38,2)=0,ROUND($F38,2)=0),"No Activity",IF(ABS($G38)&lt;Setup!$B$14,"Low",IF(ROUND($F38,2)=0,"High",IF(OR(ABS($G38/$F38)&gt;=Setup!$B$16,ABS($G38)&gt;=Setup!$B$17),"High",IF(ABS($G38/$F38)&gt;=Setup!$B$15,"Medium","Low")))))</f>
        <v>No Activity</v>
      </c>
      <c r="P38" s="56" t="str">
        <f aca="false">IF(OR($N38="High",$O38="High"),"High",IF(OR($N38="Medium",$O38="Medium"),"Medium",IF(AND($N38="No Activity",$O38="No Activity"),"No Activity","Low")))</f>
        <v>No Activity</v>
      </c>
      <c r="Q38" s="57"/>
    </row>
    <row r="39" customFormat="false" ht="15" hidden="false" customHeight="false" outlineLevel="0" collapsed="false">
      <c r="A39" s="52" t="s">
        <v>148</v>
      </c>
      <c r="B39" s="53" t="n">
        <f aca="false">SUMIFS(Data_Engine!$AD$6:$AD$255,Data_Engine!$D$6:$D$255,"Unallocated",Data_Engine!$B$6:$B$255,"Income")-SUMIFS(Data_Engine!$AD$6:$AD$255,Data_Engine!$D$6:$D$255,"Unallocated",Data_Engine!$B$6:$B$255,"Cost of Sales")</f>
        <v>0</v>
      </c>
      <c r="C39" s="53" t="n">
        <f aca="false">SUMIFS(Data_Engine!$AE$6:$AE$255,Data_Engine!$D$6:$D$255,"Unallocated",Data_Engine!$B$6:$B$255,"Income")-SUMIFS(Data_Engine!$AE$6:$AE$255,Data_Engine!$D$6:$D$255,"Unallocated",Data_Engine!$B$6:$B$255,"Cost of Sales")</f>
        <v>0</v>
      </c>
      <c r="D39" s="53" t="n">
        <f aca="false">$B39-$C39</f>
        <v>0</v>
      </c>
      <c r="E39" s="54" t="str">
        <f aca="false">IF(ROUND($C39,2)=0,"n/a",$D39/ABS($C39))</f>
        <v>n/a</v>
      </c>
      <c r="F39" s="53" t="n">
        <f aca="false">SUMIFS(Data_Engine!$AF$6:$AF$255,Data_Engine!$D$6:$D$255,"Unallocated",Data_Engine!$B$6:$B$255,"Income")-SUMIFS(Data_Engine!$AF$6:$AF$255,Data_Engine!$D$6:$D$255,"Unallocated",Data_Engine!$B$6:$B$255,"Cost of Sales")</f>
        <v>0</v>
      </c>
      <c r="G39" s="53" t="n">
        <f aca="false">$B39-$F39</f>
        <v>0</v>
      </c>
      <c r="H39" s="54" t="str">
        <f aca="false">IF(ROUND($F39,2)=0,"n/a",$G39/ABS($F39))</f>
        <v>n/a</v>
      </c>
      <c r="I39" s="53" t="n">
        <f aca="false">SUMIFS(Data_Engine!$AH$6:$AH$255,Data_Engine!$D$6:$D$255,"Unallocated",Data_Engine!$B$6:$B$255,"Income")-SUMIFS(Data_Engine!$AH$6:$AH$255,Data_Engine!$D$6:$D$255,"Unallocated",Data_Engine!$B$6:$B$255,"Cost of Sales")</f>
        <v>0</v>
      </c>
      <c r="J39" s="53" t="n">
        <f aca="false">SUMIFS(Data_Engine!$AI$6:$AI$255,Data_Engine!$D$6:$D$255,"Unallocated",Data_Engine!$B$6:$B$255,"Income")-SUMIFS(Data_Engine!$AI$6:$AI$255,Data_Engine!$D$6:$D$255,"Unallocated",Data_Engine!$B$6:$B$255,"Cost of Sales")</f>
        <v>0</v>
      </c>
      <c r="K39" s="53" t="n">
        <f aca="false">$I39-$J39</f>
        <v>0</v>
      </c>
      <c r="L39" s="54" t="str">
        <f aca="false">IF(ROUND($J39,2)=0,"n/a",$K39/ABS($J39))</f>
        <v>n/a</v>
      </c>
      <c r="M39" s="53" t="n">
        <f aca="false">SUMIFS(Data_Engine!$AJ$6:$AJ$255,Data_Engine!$D$6:$D$255,"Unallocated",Data_Engine!$B$6:$B$255,"Income")-SUMIFS(Data_Engine!$AJ$6:$AJ$255,Data_Engine!$D$6:$D$255,"Unallocated",Data_Engine!$B$6:$B$255,"Cost of Sales")</f>
        <v>0</v>
      </c>
      <c r="N39" s="55" t="str">
        <f aca="false">IF(AND(ROUND($I39,2)=0,ROUND($J39,2)=0),"No Activity",IF(ABS($K39)&lt;Setup!$B$14,"Low",IF(ROUND($J39,2)=0,"High",IF(OR(ABS($K39/$J39)&gt;=Setup!$B$16,ABS($K39)&gt;=Setup!$B$17),"High",IF(ABS($K39/$J39)&gt;=Setup!$B$15,"Medium","Low")))))</f>
        <v>No Activity</v>
      </c>
      <c r="O39" s="55" t="str">
        <f aca="false">IF(AND(ROUND($B39,2)=0,ROUND($F39,2)=0),"No Activity",IF(ABS($G39)&lt;Setup!$B$14,"Low",IF(ROUND($F39,2)=0,"High",IF(OR(ABS($G39/$F39)&gt;=Setup!$B$16,ABS($G39)&gt;=Setup!$B$17),"High",IF(ABS($G39/$F39)&gt;=Setup!$B$15,"Medium","Low")))))</f>
        <v>No Activity</v>
      </c>
      <c r="P39" s="56" t="str">
        <f aca="false">IF(OR($N39="High",$O39="High"),"High",IF(OR($N39="Medium",$O39="Medium"),"Medium",IF(AND($N39="No Activity",$O39="No Activity"),"No Activity","Low")))</f>
        <v>No Activity</v>
      </c>
      <c r="Q39" s="57"/>
    </row>
    <row r="40" customFormat="false" ht="15" hidden="false" customHeight="false" outlineLevel="0" collapsed="false">
      <c r="A40" s="58" t="s">
        <v>383</v>
      </c>
      <c r="B40" s="59" t="n">
        <f aca="false">SUM(B33:B39)</f>
        <v>0</v>
      </c>
      <c r="C40" s="59" t="n">
        <f aca="false">SUM(C33:C39)</f>
        <v>0</v>
      </c>
      <c r="D40" s="59" t="n">
        <f aca="false">$B40-$C40</f>
        <v>0</v>
      </c>
      <c r="E40" s="60" t="str">
        <f aca="false">IF(ROUND($C40,2)=0,"n/a",$D40/ABS($C40))</f>
        <v>n/a</v>
      </c>
      <c r="F40" s="59" t="n">
        <f aca="false">SUM(F33:F39)</f>
        <v>0</v>
      </c>
      <c r="G40" s="59" t="n">
        <f aca="false">$B40-$F40</f>
        <v>0</v>
      </c>
      <c r="H40" s="60" t="str">
        <f aca="false">IF(ROUND($F40,2)=0,"n/a",$G40/ABS($F40))</f>
        <v>n/a</v>
      </c>
      <c r="I40" s="59" t="n">
        <f aca="false">SUM(I33:I39)</f>
        <v>0</v>
      </c>
      <c r="J40" s="59" t="n">
        <f aca="false">SUM(J33:J39)</f>
        <v>0</v>
      </c>
      <c r="K40" s="59" t="n">
        <f aca="false">$I40-$J40</f>
        <v>0</v>
      </c>
      <c r="L40" s="60" t="str">
        <f aca="false">IF(ROUND($J40,2)=0,"n/a",$K40/ABS($J40))</f>
        <v>n/a</v>
      </c>
      <c r="M40" s="59" t="n">
        <f aca="false">SUM(M33:M39)</f>
        <v>0</v>
      </c>
      <c r="N40" s="61" t="str">
        <f aca="false">IF(AND(ROUND($I40,2)=0,ROUND($J40,2)=0),"No Activity",IF(ABS($K40)&lt;Setup!$B$14,"Low",IF(ROUND($J40,2)=0,"High",IF(OR(ABS($K40/$J40)&gt;=Setup!$B$16,ABS($K40)&gt;=Setup!$B$17),"High",IF(ABS($K40/$J40)&gt;=Setup!$B$15,"Medium","Low")))))</f>
        <v>No Activity</v>
      </c>
      <c r="O40" s="61" t="str">
        <f aca="false">IF(AND(ROUND($B40,2)=0,ROUND($F40,2)=0),"No Activity",IF(ABS($G40)&lt;Setup!$B$14,"Low",IF(ROUND($F40,2)=0,"High",IF(OR(ABS($G40/$F40)&gt;=Setup!$B$16,ABS($G40)&gt;=Setup!$B$17),"High",IF(ABS($G40/$F40)&gt;=Setup!$B$15,"Medium","Low")))))</f>
        <v>No Activity</v>
      </c>
      <c r="P40" s="61" t="str">
        <f aca="false">IF(OR($N40="High",$O40="High"),"High",IF(OR($N40="Medium",$O40="Medium"),"Medium",IF(AND($N40="No Activity",$O40="No Activity"),"No Activity","Low")))</f>
        <v>No Activity</v>
      </c>
      <c r="Q40" s="57"/>
    </row>
    <row r="41" customFormat="false" ht="6" hidden="false" customHeight="true" outlineLevel="0" collapsed="false"/>
    <row r="42" customFormat="false" ht="18" hidden="false" customHeight="true" outlineLevel="0" collapsed="false">
      <c r="A42" s="3" t="s">
        <v>384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customFormat="false" ht="15" hidden="false" customHeight="false" outlineLevel="0" collapsed="false">
      <c r="A43" s="52" t="s">
        <v>385</v>
      </c>
      <c r="B43" s="53" t="n">
        <f aca="false">SUMIF(Data_Engine!$B$6:$B$255,"Current Assets",Data_Engine!$AD$6:$AD$255)</f>
        <v>0</v>
      </c>
      <c r="C43" s="53" t="n">
        <f aca="false">SUMIF(Data_Engine!$B$6:$B$255,"Current Assets",Data_Engine!$AE$6:$AE$255)</f>
        <v>0</v>
      </c>
      <c r="D43" s="53" t="n">
        <f aca="false">$B43-$C43</f>
        <v>0</v>
      </c>
      <c r="E43" s="54" t="str">
        <f aca="false">IF(ROUND($C43,2)=0,"n/a",$D43/ABS($C43))</f>
        <v>n/a</v>
      </c>
      <c r="F43" s="53" t="n">
        <f aca="false">SUMIF(Data_Engine!$B$6:$B$255,"Current Assets",Data_Engine!$AF$6:$AF$255)</f>
        <v>0</v>
      </c>
      <c r="G43" s="53" t="n">
        <f aca="false">$B43-$F43</f>
        <v>0</v>
      </c>
      <c r="H43" s="54" t="str">
        <f aca="false">IF(ROUND($F43,2)=0,"n/a",$G43/ABS($F43))</f>
        <v>n/a</v>
      </c>
      <c r="I43" s="53" t="n">
        <f aca="false">SUMIF(Data_Engine!$B$6:$B$255,"Current Assets",Data_Engine!$AH$6:$AH$255)</f>
        <v>0</v>
      </c>
      <c r="J43" s="53" t="n">
        <f aca="false">SUMIF(Data_Engine!$B$6:$B$255,"Current Assets",Data_Engine!$AI$6:$AI$255)</f>
        <v>0</v>
      </c>
      <c r="K43" s="53" t="n">
        <f aca="false">$I43-$J43</f>
        <v>0</v>
      </c>
      <c r="L43" s="54" t="str">
        <f aca="false">IF(ROUND($J43,2)=0,"n/a",$K43/ABS($J43))</f>
        <v>n/a</v>
      </c>
      <c r="M43" s="53" t="n">
        <f aca="false">SUMIF(Data_Engine!$B$6:$B$255,"Current Assets",Data_Engine!$AJ$6:$AJ$255)</f>
        <v>0</v>
      </c>
      <c r="N43" s="55" t="str">
        <f aca="false">IF(AND(ROUND($I43,2)=0,ROUND($J43,2)=0),"No Activity",IF(ABS($K43)&lt;Setup!$B$14,"Low",IF(ROUND($J43,2)=0,"High",IF(OR(ABS($K43/$J43)&gt;=Setup!$B$16,ABS($K43)&gt;=Setup!$B$17),"High",IF(ABS($K43/$J43)&gt;=Setup!$B$15,"Medium","Low")))))</f>
        <v>No Activity</v>
      </c>
      <c r="O43" s="55" t="str">
        <f aca="false">IF(AND(ROUND($B43,2)=0,ROUND($F43,2)=0),"No Activity",IF(ABS($G43)&lt;Setup!$B$14,"Low",IF(ROUND($F43,2)=0,"High",IF(OR(ABS($G43/$F43)&gt;=Setup!$B$16,ABS($G43)&gt;=Setup!$B$17),"High",IF(ABS($G43/$F43)&gt;=Setup!$B$15,"Medium","Low")))))</f>
        <v>No Activity</v>
      </c>
      <c r="P43" s="56" t="str">
        <f aca="false">IF(OR($N43="High",$O43="High"),"High",IF(OR($N43="Medium",$O43="Medium"),"Medium",IF(AND($N43="No Activity",$O43="No Activity"),"No Activity","Low")))</f>
        <v>No Activity</v>
      </c>
      <c r="Q43" s="57"/>
    </row>
    <row r="44" customFormat="false" ht="15" hidden="false" customHeight="false" outlineLevel="0" collapsed="false">
      <c r="A44" s="52" t="s">
        <v>386</v>
      </c>
      <c r="B44" s="53" t="n">
        <f aca="false">SUMIF(Data_Engine!$B$6:$B$255,"Non-Current Assets",Data_Engine!$AD$6:$AD$255)</f>
        <v>0</v>
      </c>
      <c r="C44" s="53" t="n">
        <f aca="false">SUMIF(Data_Engine!$B$6:$B$255,"Non-Current Assets",Data_Engine!$AE$6:$AE$255)</f>
        <v>0</v>
      </c>
      <c r="D44" s="53" t="n">
        <f aca="false">$B44-$C44</f>
        <v>0</v>
      </c>
      <c r="E44" s="54" t="str">
        <f aca="false">IF(ROUND($C44,2)=0,"n/a",$D44/ABS($C44))</f>
        <v>n/a</v>
      </c>
      <c r="F44" s="53" t="n">
        <f aca="false">SUMIF(Data_Engine!$B$6:$B$255,"Non-Current Assets",Data_Engine!$AF$6:$AF$255)</f>
        <v>0</v>
      </c>
      <c r="G44" s="53" t="n">
        <f aca="false">$B44-$F44</f>
        <v>0</v>
      </c>
      <c r="H44" s="54" t="str">
        <f aca="false">IF(ROUND($F44,2)=0,"n/a",$G44/ABS($F44))</f>
        <v>n/a</v>
      </c>
      <c r="I44" s="53" t="n">
        <f aca="false">SUMIF(Data_Engine!$B$6:$B$255,"Non-Current Assets",Data_Engine!$AH$6:$AH$255)</f>
        <v>0</v>
      </c>
      <c r="J44" s="53" t="n">
        <f aca="false">SUMIF(Data_Engine!$B$6:$B$255,"Non-Current Assets",Data_Engine!$AI$6:$AI$255)</f>
        <v>0</v>
      </c>
      <c r="K44" s="53" t="n">
        <f aca="false">$I44-$J44</f>
        <v>0</v>
      </c>
      <c r="L44" s="54" t="str">
        <f aca="false">IF(ROUND($J44,2)=0,"n/a",$K44/ABS($J44))</f>
        <v>n/a</v>
      </c>
      <c r="M44" s="53" t="n">
        <f aca="false">SUMIF(Data_Engine!$B$6:$B$255,"Non-Current Assets",Data_Engine!$AJ$6:$AJ$255)</f>
        <v>0</v>
      </c>
      <c r="N44" s="55" t="str">
        <f aca="false">IF(AND(ROUND($I44,2)=0,ROUND($J44,2)=0),"No Activity",IF(ABS($K44)&lt;Setup!$B$14,"Low",IF(ROUND($J44,2)=0,"High",IF(OR(ABS($K44/$J44)&gt;=Setup!$B$16,ABS($K44)&gt;=Setup!$B$17),"High",IF(ABS($K44/$J44)&gt;=Setup!$B$15,"Medium","Low")))))</f>
        <v>No Activity</v>
      </c>
      <c r="O44" s="55" t="str">
        <f aca="false">IF(AND(ROUND($B44,2)=0,ROUND($F44,2)=0),"No Activity",IF(ABS($G44)&lt;Setup!$B$14,"Low",IF(ROUND($F44,2)=0,"High",IF(OR(ABS($G44/$F44)&gt;=Setup!$B$16,ABS($G44)&gt;=Setup!$B$17),"High",IF(ABS($G44/$F44)&gt;=Setup!$B$15,"Medium","Low")))))</f>
        <v>No Activity</v>
      </c>
      <c r="P44" s="56" t="str">
        <f aca="false">IF(OR($N44="High",$O44="High"),"High",IF(OR($N44="Medium",$O44="Medium"),"Medium",IF(AND($N44="No Activity",$O44="No Activity"),"No Activity","Low")))</f>
        <v>No Activity</v>
      </c>
      <c r="Q44" s="57"/>
    </row>
    <row r="45" customFormat="false" ht="15" hidden="false" customHeight="false" outlineLevel="0" collapsed="false">
      <c r="A45" s="58" t="s">
        <v>387</v>
      </c>
      <c r="B45" s="59" t="n">
        <f aca="false">B43+B44</f>
        <v>0</v>
      </c>
      <c r="C45" s="59" t="n">
        <f aca="false">C43+C44</f>
        <v>0</v>
      </c>
      <c r="D45" s="59" t="n">
        <f aca="false">$B45-$C45</f>
        <v>0</v>
      </c>
      <c r="E45" s="60" t="str">
        <f aca="false">IF(ROUND($C45,2)=0,"n/a",$D45/ABS($C45))</f>
        <v>n/a</v>
      </c>
      <c r="F45" s="59" t="n">
        <f aca="false">F43+F44</f>
        <v>0</v>
      </c>
      <c r="G45" s="59" t="n">
        <f aca="false">$B45-$F45</f>
        <v>0</v>
      </c>
      <c r="H45" s="60" t="str">
        <f aca="false">IF(ROUND($F45,2)=0,"n/a",$G45/ABS($F45))</f>
        <v>n/a</v>
      </c>
      <c r="I45" s="59" t="n">
        <f aca="false">I43+I44</f>
        <v>0</v>
      </c>
      <c r="J45" s="59" t="n">
        <f aca="false">J43+J44</f>
        <v>0</v>
      </c>
      <c r="K45" s="59" t="n">
        <f aca="false">$I45-$J45</f>
        <v>0</v>
      </c>
      <c r="L45" s="60" t="str">
        <f aca="false">IF(ROUND($J45,2)=0,"n/a",$K45/ABS($J45))</f>
        <v>n/a</v>
      </c>
      <c r="M45" s="59" t="n">
        <f aca="false">M43+M44</f>
        <v>0</v>
      </c>
      <c r="N45" s="61" t="str">
        <f aca="false">IF(AND(ROUND($I45,2)=0,ROUND($J45,2)=0),"No Activity",IF(ABS($K45)&lt;Setup!$B$14,"Low",IF(ROUND($J45,2)=0,"High",IF(OR(ABS($K45/$J45)&gt;=Setup!$B$16,ABS($K45)&gt;=Setup!$B$17),"High",IF(ABS($K45/$J45)&gt;=Setup!$B$15,"Medium","Low")))))</f>
        <v>No Activity</v>
      </c>
      <c r="O45" s="61" t="str">
        <f aca="false">IF(AND(ROUND($B45,2)=0,ROUND($F45,2)=0),"No Activity",IF(ABS($G45)&lt;Setup!$B$14,"Low",IF(ROUND($F45,2)=0,"High",IF(OR(ABS($G45/$F45)&gt;=Setup!$B$16,ABS($G45)&gt;=Setup!$B$17),"High",IF(ABS($G45/$F45)&gt;=Setup!$B$15,"Medium","Low")))))</f>
        <v>No Activity</v>
      </c>
      <c r="P45" s="61" t="str">
        <f aca="false">IF(OR($N45="High",$O45="High"),"High",IF(OR($N45="Medium",$O45="Medium"),"Medium",IF(AND($N45="No Activity",$O45="No Activity"),"No Activity","Low")))</f>
        <v>No Activity</v>
      </c>
      <c r="Q45" s="57"/>
    </row>
    <row r="46" customFormat="false" ht="15" hidden="false" customHeight="false" outlineLevel="0" collapsed="false">
      <c r="A46" s="52" t="s">
        <v>388</v>
      </c>
      <c r="B46" s="53" t="n">
        <f aca="false">SUMIF(Data_Engine!$B$6:$B$255,"Current Liabilities",Data_Engine!$AD$6:$AD$255)</f>
        <v>0</v>
      </c>
      <c r="C46" s="53" t="n">
        <f aca="false">SUMIF(Data_Engine!$B$6:$B$255,"Current Liabilities",Data_Engine!$AE$6:$AE$255)</f>
        <v>0</v>
      </c>
      <c r="D46" s="53" t="n">
        <f aca="false">$B46-$C46</f>
        <v>0</v>
      </c>
      <c r="E46" s="54" t="str">
        <f aca="false">IF(ROUND($C46,2)=0,"n/a",$D46/ABS($C46))</f>
        <v>n/a</v>
      </c>
      <c r="F46" s="53" t="n">
        <f aca="false">SUMIF(Data_Engine!$B$6:$B$255,"Current Liabilities",Data_Engine!$AF$6:$AF$255)</f>
        <v>0</v>
      </c>
      <c r="G46" s="53" t="n">
        <f aca="false">$B46-$F46</f>
        <v>0</v>
      </c>
      <c r="H46" s="54" t="str">
        <f aca="false">IF(ROUND($F46,2)=0,"n/a",$G46/ABS($F46))</f>
        <v>n/a</v>
      </c>
      <c r="I46" s="53" t="n">
        <f aca="false">SUMIF(Data_Engine!$B$6:$B$255,"Current Liabilities",Data_Engine!$AH$6:$AH$255)</f>
        <v>0</v>
      </c>
      <c r="J46" s="53" t="n">
        <f aca="false">SUMIF(Data_Engine!$B$6:$B$255,"Current Liabilities",Data_Engine!$AI$6:$AI$255)</f>
        <v>0</v>
      </c>
      <c r="K46" s="53" t="n">
        <f aca="false">$I46-$J46</f>
        <v>0</v>
      </c>
      <c r="L46" s="54" t="str">
        <f aca="false">IF(ROUND($J46,2)=0,"n/a",$K46/ABS($J46))</f>
        <v>n/a</v>
      </c>
      <c r="M46" s="53" t="n">
        <f aca="false">SUMIF(Data_Engine!$B$6:$B$255,"Current Liabilities",Data_Engine!$AJ$6:$AJ$255)</f>
        <v>0</v>
      </c>
      <c r="N46" s="55" t="str">
        <f aca="false">IF(AND(ROUND($I46,2)=0,ROUND($J46,2)=0),"No Activity",IF(ABS($K46)&lt;Setup!$B$14,"Low",IF(ROUND($J46,2)=0,"High",IF(OR(ABS($K46/$J46)&gt;=Setup!$B$16,ABS($K46)&gt;=Setup!$B$17),"High",IF(ABS($K46/$J46)&gt;=Setup!$B$15,"Medium","Low")))))</f>
        <v>No Activity</v>
      </c>
      <c r="O46" s="55" t="str">
        <f aca="false">IF(AND(ROUND($B46,2)=0,ROUND($F46,2)=0),"No Activity",IF(ABS($G46)&lt;Setup!$B$14,"Low",IF(ROUND($F46,2)=0,"High",IF(OR(ABS($G46/$F46)&gt;=Setup!$B$16,ABS($G46)&gt;=Setup!$B$17),"High",IF(ABS($G46/$F46)&gt;=Setup!$B$15,"Medium","Low")))))</f>
        <v>No Activity</v>
      </c>
      <c r="P46" s="56" t="str">
        <f aca="false">IF(OR($N46="High",$O46="High"),"High",IF(OR($N46="Medium",$O46="Medium"),"Medium",IF(AND($N46="No Activity",$O46="No Activity"),"No Activity","Low")))</f>
        <v>No Activity</v>
      </c>
      <c r="Q46" s="57"/>
    </row>
    <row r="47" customFormat="false" ht="15" hidden="false" customHeight="false" outlineLevel="0" collapsed="false">
      <c r="A47" s="52" t="s">
        <v>389</v>
      </c>
      <c r="B47" s="53" t="n">
        <f aca="false">SUMIF(Data_Engine!$B$6:$B$255,"Non-Current Liabilities",Data_Engine!$AD$6:$AD$255)</f>
        <v>0</v>
      </c>
      <c r="C47" s="53" t="n">
        <f aca="false">SUMIF(Data_Engine!$B$6:$B$255,"Non-Current Liabilities",Data_Engine!$AE$6:$AE$255)</f>
        <v>0</v>
      </c>
      <c r="D47" s="53" t="n">
        <f aca="false">$B47-$C47</f>
        <v>0</v>
      </c>
      <c r="E47" s="54" t="str">
        <f aca="false">IF(ROUND($C47,2)=0,"n/a",$D47/ABS($C47))</f>
        <v>n/a</v>
      </c>
      <c r="F47" s="53" t="n">
        <f aca="false">SUMIF(Data_Engine!$B$6:$B$255,"Non-Current Liabilities",Data_Engine!$AF$6:$AF$255)</f>
        <v>0</v>
      </c>
      <c r="G47" s="53" t="n">
        <f aca="false">$B47-$F47</f>
        <v>0</v>
      </c>
      <c r="H47" s="54" t="str">
        <f aca="false">IF(ROUND($F47,2)=0,"n/a",$G47/ABS($F47))</f>
        <v>n/a</v>
      </c>
      <c r="I47" s="53" t="n">
        <f aca="false">SUMIF(Data_Engine!$B$6:$B$255,"Non-Current Liabilities",Data_Engine!$AH$6:$AH$255)</f>
        <v>0</v>
      </c>
      <c r="J47" s="53" t="n">
        <f aca="false">SUMIF(Data_Engine!$B$6:$B$255,"Non-Current Liabilities",Data_Engine!$AI$6:$AI$255)</f>
        <v>0</v>
      </c>
      <c r="K47" s="53" t="n">
        <f aca="false">$I47-$J47</f>
        <v>0</v>
      </c>
      <c r="L47" s="54" t="str">
        <f aca="false">IF(ROUND($J47,2)=0,"n/a",$K47/ABS($J47))</f>
        <v>n/a</v>
      </c>
      <c r="M47" s="53" t="n">
        <f aca="false">SUMIF(Data_Engine!$B$6:$B$255,"Non-Current Liabilities",Data_Engine!$AJ$6:$AJ$255)</f>
        <v>0</v>
      </c>
      <c r="N47" s="55" t="str">
        <f aca="false">IF(AND(ROUND($I47,2)=0,ROUND($J47,2)=0),"No Activity",IF(ABS($K47)&lt;Setup!$B$14,"Low",IF(ROUND($J47,2)=0,"High",IF(OR(ABS($K47/$J47)&gt;=Setup!$B$16,ABS($K47)&gt;=Setup!$B$17),"High",IF(ABS($K47/$J47)&gt;=Setup!$B$15,"Medium","Low")))))</f>
        <v>No Activity</v>
      </c>
      <c r="O47" s="55" t="str">
        <f aca="false">IF(AND(ROUND($B47,2)=0,ROUND($F47,2)=0),"No Activity",IF(ABS($G47)&lt;Setup!$B$14,"Low",IF(ROUND($F47,2)=0,"High",IF(OR(ABS($G47/$F47)&gt;=Setup!$B$16,ABS($G47)&gt;=Setup!$B$17),"High",IF(ABS($G47/$F47)&gt;=Setup!$B$15,"Medium","Low")))))</f>
        <v>No Activity</v>
      </c>
      <c r="P47" s="56" t="str">
        <f aca="false">IF(OR($N47="High",$O47="High"),"High",IF(OR($N47="Medium",$O47="Medium"),"Medium",IF(AND($N47="No Activity",$O47="No Activity"),"No Activity","Low")))</f>
        <v>No Activity</v>
      </c>
      <c r="Q47" s="57"/>
    </row>
    <row r="48" customFormat="false" ht="15" hidden="false" customHeight="false" outlineLevel="0" collapsed="false">
      <c r="A48" s="58" t="s">
        <v>390</v>
      </c>
      <c r="B48" s="59" t="n">
        <f aca="false">B46+B47</f>
        <v>0</v>
      </c>
      <c r="C48" s="59" t="n">
        <f aca="false">C46+C47</f>
        <v>0</v>
      </c>
      <c r="D48" s="59" t="n">
        <f aca="false">$B48-$C48</f>
        <v>0</v>
      </c>
      <c r="E48" s="60" t="str">
        <f aca="false">IF(ROUND($C48,2)=0,"n/a",$D48/ABS($C48))</f>
        <v>n/a</v>
      </c>
      <c r="F48" s="59" t="n">
        <f aca="false">F46+F47</f>
        <v>0</v>
      </c>
      <c r="G48" s="59" t="n">
        <f aca="false">$B48-$F48</f>
        <v>0</v>
      </c>
      <c r="H48" s="60" t="str">
        <f aca="false">IF(ROUND($F48,2)=0,"n/a",$G48/ABS($F48))</f>
        <v>n/a</v>
      </c>
      <c r="I48" s="59" t="n">
        <f aca="false">I46+I47</f>
        <v>0</v>
      </c>
      <c r="J48" s="59" t="n">
        <f aca="false">J46+J47</f>
        <v>0</v>
      </c>
      <c r="K48" s="59" t="n">
        <f aca="false">$I48-$J48</f>
        <v>0</v>
      </c>
      <c r="L48" s="60" t="str">
        <f aca="false">IF(ROUND($J48,2)=0,"n/a",$K48/ABS($J48))</f>
        <v>n/a</v>
      </c>
      <c r="M48" s="59" t="n">
        <f aca="false">M46+M47</f>
        <v>0</v>
      </c>
      <c r="N48" s="61" t="str">
        <f aca="false">IF(AND(ROUND($I48,2)=0,ROUND($J48,2)=0),"No Activity",IF(ABS($K48)&lt;Setup!$B$14,"Low",IF(ROUND($J48,2)=0,"High",IF(OR(ABS($K48/$J48)&gt;=Setup!$B$16,ABS($K48)&gt;=Setup!$B$17),"High",IF(ABS($K48/$J48)&gt;=Setup!$B$15,"Medium","Low")))))</f>
        <v>No Activity</v>
      </c>
      <c r="O48" s="61" t="str">
        <f aca="false">IF(AND(ROUND($B48,2)=0,ROUND($F48,2)=0),"No Activity",IF(ABS($G48)&lt;Setup!$B$14,"Low",IF(ROUND($F48,2)=0,"High",IF(OR(ABS($G48/$F48)&gt;=Setup!$B$16,ABS($G48)&gt;=Setup!$B$17),"High",IF(ABS($G48/$F48)&gt;=Setup!$B$15,"Medium","Low")))))</f>
        <v>No Activity</v>
      </c>
      <c r="P48" s="61" t="str">
        <f aca="false">IF(OR($N48="High",$O48="High"),"High",IF(OR($N48="Medium",$O48="Medium"),"Medium",IF(AND($N48="No Activity",$O48="No Activity"),"No Activity","Low")))</f>
        <v>No Activity</v>
      </c>
      <c r="Q48" s="57"/>
    </row>
    <row r="49" customFormat="false" ht="15" hidden="false" customHeight="false" outlineLevel="0" collapsed="false">
      <c r="A49" s="58" t="s">
        <v>391</v>
      </c>
      <c r="B49" s="59" t="n">
        <f aca="false">B45-B48</f>
        <v>0</v>
      </c>
      <c r="C49" s="59" t="n">
        <f aca="false">C45-C48</f>
        <v>0</v>
      </c>
      <c r="D49" s="59" t="n">
        <f aca="false">$B49-$C49</f>
        <v>0</v>
      </c>
      <c r="E49" s="60" t="str">
        <f aca="false">IF(ROUND($C49,2)=0,"n/a",$D49/ABS($C49))</f>
        <v>n/a</v>
      </c>
      <c r="F49" s="59" t="n">
        <f aca="false">F45-F48</f>
        <v>0</v>
      </c>
      <c r="G49" s="59" t="n">
        <f aca="false">$B49-$F49</f>
        <v>0</v>
      </c>
      <c r="H49" s="60" t="str">
        <f aca="false">IF(ROUND($F49,2)=0,"n/a",$G49/ABS($F49))</f>
        <v>n/a</v>
      </c>
      <c r="I49" s="59" t="n">
        <f aca="false">I45-I48</f>
        <v>0</v>
      </c>
      <c r="J49" s="59" t="n">
        <f aca="false">J45-J48</f>
        <v>0</v>
      </c>
      <c r="K49" s="59" t="n">
        <f aca="false">$I49-$J49</f>
        <v>0</v>
      </c>
      <c r="L49" s="60" t="str">
        <f aca="false">IF(ROUND($J49,2)=0,"n/a",$K49/ABS($J49))</f>
        <v>n/a</v>
      </c>
      <c r="M49" s="59" t="n">
        <f aca="false">M45-M48</f>
        <v>0</v>
      </c>
      <c r="N49" s="61" t="str">
        <f aca="false">IF(AND(ROUND($I49,2)=0,ROUND($J49,2)=0),"No Activity",IF(ABS($K49)&lt;Setup!$B$14,"Low",IF(ROUND($J49,2)=0,"High",IF(OR(ABS($K49/$J49)&gt;=Setup!$B$16,ABS($K49)&gt;=Setup!$B$17),"High",IF(ABS($K49/$J49)&gt;=Setup!$B$15,"Medium","Low")))))</f>
        <v>No Activity</v>
      </c>
      <c r="O49" s="61" t="str">
        <f aca="false">IF(AND(ROUND($B49,2)=0,ROUND($F49,2)=0),"No Activity",IF(ABS($G49)&lt;Setup!$B$14,"Low",IF(ROUND($F49,2)=0,"High",IF(OR(ABS($G49/$F49)&gt;=Setup!$B$16,ABS($G49)&gt;=Setup!$B$17),"High",IF(ABS($G49/$F49)&gt;=Setup!$B$15,"Medium","Low")))))</f>
        <v>No Activity</v>
      </c>
      <c r="P49" s="61" t="str">
        <f aca="false">IF(OR($N49="High",$O49="High"),"High",IF(OR($N49="Medium",$O49="Medium"),"Medium",IF(AND($N49="No Activity",$O49="No Activity"),"No Activity","Low")))</f>
        <v>No Activity</v>
      </c>
      <c r="Q49" s="57"/>
    </row>
    <row r="50" customFormat="false" ht="15" hidden="false" customHeight="false" outlineLevel="0" collapsed="false">
      <c r="A50" s="52" t="s">
        <v>392</v>
      </c>
      <c r="B50" s="53" t="n">
        <f aca="false">SUMIF(Data_Engine!$B$6:$B$255,"Equity",Data_Engine!$AD$6:$AD$255)</f>
        <v>0</v>
      </c>
      <c r="C50" s="53" t="n">
        <f aca="false">SUMIF(Data_Engine!$B$6:$B$255,"Equity",Data_Engine!$AE$6:$AE$255)</f>
        <v>0</v>
      </c>
      <c r="D50" s="53" t="n">
        <f aca="false">$B50-$C50</f>
        <v>0</v>
      </c>
      <c r="E50" s="54" t="str">
        <f aca="false">IF(ROUND($C50,2)=0,"n/a",$D50/ABS($C50))</f>
        <v>n/a</v>
      </c>
      <c r="F50" s="53" t="n">
        <f aca="false">SUMIF(Data_Engine!$B$6:$B$255,"Equity",Data_Engine!$AF$6:$AF$255)</f>
        <v>0</v>
      </c>
      <c r="G50" s="53" t="n">
        <f aca="false">$B50-$F50</f>
        <v>0</v>
      </c>
      <c r="H50" s="54" t="str">
        <f aca="false">IF(ROUND($F50,2)=0,"n/a",$G50/ABS($F50))</f>
        <v>n/a</v>
      </c>
      <c r="I50" s="53" t="n">
        <f aca="false">SUMIF(Data_Engine!$B$6:$B$255,"Equity",Data_Engine!$AH$6:$AH$255)</f>
        <v>0</v>
      </c>
      <c r="J50" s="53" t="n">
        <f aca="false">SUMIF(Data_Engine!$B$6:$B$255,"Equity",Data_Engine!$AI$6:$AI$255)</f>
        <v>0</v>
      </c>
      <c r="K50" s="53" t="n">
        <f aca="false">$I50-$J50</f>
        <v>0</v>
      </c>
      <c r="L50" s="54" t="str">
        <f aca="false">IF(ROUND($J50,2)=0,"n/a",$K50/ABS($J50))</f>
        <v>n/a</v>
      </c>
      <c r="M50" s="53" t="n">
        <f aca="false">SUMIF(Data_Engine!$B$6:$B$255,"Equity",Data_Engine!$AJ$6:$AJ$255)</f>
        <v>0</v>
      </c>
      <c r="N50" s="55" t="str">
        <f aca="false">IF(AND(ROUND($I50,2)=0,ROUND($J50,2)=0),"No Activity",IF(ABS($K50)&lt;Setup!$B$14,"Low",IF(ROUND($J50,2)=0,"High",IF(OR(ABS($K50/$J50)&gt;=Setup!$B$16,ABS($K50)&gt;=Setup!$B$17),"High",IF(ABS($K50/$J50)&gt;=Setup!$B$15,"Medium","Low")))))</f>
        <v>No Activity</v>
      </c>
      <c r="O50" s="55" t="str">
        <f aca="false">IF(AND(ROUND($B50,2)=0,ROUND($F50,2)=0),"No Activity",IF(ABS($G50)&lt;Setup!$B$14,"Low",IF(ROUND($F50,2)=0,"High",IF(OR(ABS($G50/$F50)&gt;=Setup!$B$16,ABS($G50)&gt;=Setup!$B$17),"High",IF(ABS($G50/$F50)&gt;=Setup!$B$15,"Medium","Low")))))</f>
        <v>No Activity</v>
      </c>
      <c r="P50" s="56" t="str">
        <f aca="false">IF(OR($N50="High",$O50="High"),"High",IF(OR($N50="Medium",$O50="Medium"),"Medium",IF(AND($N50="No Activity",$O50="No Activity"),"No Activity","Low")))</f>
        <v>No Activity</v>
      </c>
      <c r="Q50" s="57"/>
    </row>
    <row r="52" customFormat="false" ht="18" hidden="false" customHeight="true" outlineLevel="0" collapsed="false">
      <c r="A52" s="3" t="s">
        <v>393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customFormat="false" ht="15" hidden="false" customHeight="false" outlineLevel="0" collapsed="false">
      <c r="A53" s="16" t="s">
        <v>394</v>
      </c>
      <c r="B53" s="63" t="n">
        <f aca="false">COUNTIF(MoM_Analysis!$X$6:$X$255,"High")</f>
        <v>0</v>
      </c>
      <c r="C53" s="64" t="str">
        <f aca="false">IF(ROUND($B53,2)=0,"Clear","Review required")</f>
        <v>Clear</v>
      </c>
      <c r="D53" s="64"/>
      <c r="E53" s="64"/>
    </row>
    <row r="54" customFormat="false" ht="15" hidden="false" customHeight="false" outlineLevel="0" collapsed="false">
      <c r="A54" s="16" t="s">
        <v>395</v>
      </c>
      <c r="B54" s="63" t="n">
        <f aca="false">COUNTIF(MoM_Analysis!$X$6:$X$255,"Medium")</f>
        <v>0</v>
      </c>
      <c r="C54" s="64" t="str">
        <f aca="false">IF(ROUND($B54,2)=0,"Clear","For information")</f>
        <v>Clear</v>
      </c>
      <c r="D54" s="64"/>
      <c r="E54" s="64"/>
    </row>
    <row r="55" customFormat="false" ht="15" hidden="false" customHeight="false" outlineLevel="0" collapsed="false">
      <c r="A55" s="16" t="s">
        <v>396</v>
      </c>
      <c r="B55" s="63" t="n">
        <f aca="false">COUNTIF(YoY_Analysis!$P$6:$P$255,"High")</f>
        <v>0</v>
      </c>
      <c r="C55" s="64" t="str">
        <f aca="false">IF(ROUND($B55,2)=0,"Clear","Review required")</f>
        <v>Clear</v>
      </c>
      <c r="D55" s="64"/>
      <c r="E55" s="64"/>
    </row>
    <row r="56" customFormat="false" ht="15" hidden="false" customHeight="false" outlineLevel="0" collapsed="false">
      <c r="A56" s="16" t="s">
        <v>397</v>
      </c>
      <c r="B56" s="63" t="n">
        <f aca="false">COUNTIF(YoY_Analysis!$P$6:$P$255,"Medium")</f>
        <v>0</v>
      </c>
      <c r="C56" s="64" t="str">
        <f aca="false">IF(ROUND($B56,2)=0,"Clear","For information")</f>
        <v>Clear</v>
      </c>
      <c r="D56" s="64"/>
      <c r="E56" s="64"/>
    </row>
    <row r="57" customFormat="false" ht="15" hidden="false" customHeight="false" outlineLevel="0" collapsed="false">
      <c r="A57" s="16" t="s">
        <v>398</v>
      </c>
      <c r="B57" s="63" t="n">
        <f aca="false">SUMPRODUCT((MoM_Analysis!$X$6:$X$255="High")*(MoM_Analysis!$Y$6:$Y$255=""))+SUMPRODUCT((YoY_Analysis!$P$6:$P$255="High")*(YoY_Analysis!$Q$6:$Q$255=""))</f>
        <v>0</v>
      </c>
      <c r="C57" s="64" t="str">
        <f aca="false">IF(ROUND($B57,2)=0,"Clear","Must be cleared")</f>
        <v>Clear</v>
      </c>
      <c r="D57" s="64"/>
      <c r="E57" s="64"/>
    </row>
    <row r="58" customFormat="false" ht="15" hidden="false" customHeight="false" outlineLevel="0" collapsed="false">
      <c r="A58" s="16" t="s">
        <v>95</v>
      </c>
      <c r="B58" s="63" t="n">
        <f aca="false">Setup!$B$26</f>
        <v>0</v>
      </c>
      <c r="C58" s="64" t="str">
        <f aca="false">IF(ROUND($B58,2)=0,"Clear","Must be cleared")</f>
        <v>Clear</v>
      </c>
      <c r="D58" s="64"/>
      <c r="E58" s="64"/>
    </row>
    <row r="59" customFormat="false" ht="15" hidden="false" customHeight="false" outlineLevel="0" collapsed="false">
      <c r="A59" s="16" t="s">
        <v>399</v>
      </c>
      <c r="B59" s="65" t="n">
        <f aca="false">Setup!$B$30</f>
        <v>0</v>
      </c>
      <c r="C59" s="64" t="str">
        <f aca="false">IF(ROUND($B59,2)=0,"Clear","Must be cleared")</f>
        <v>Clear</v>
      </c>
      <c r="D59" s="64"/>
      <c r="E59" s="64"/>
    </row>
    <row r="60" customFormat="false" ht="15" hidden="false" customHeight="false" outlineLevel="0" collapsed="false">
      <c r="A60" s="16" t="s">
        <v>400</v>
      </c>
      <c r="B60" s="63" t="n">
        <f aca="false">COUNTIF(Controls!$E$6:$E$40,"FAIL")</f>
        <v>1</v>
      </c>
      <c r="C60" s="64" t="str">
        <f aca="false">IF(ROUND($B60,2)=0,"Clear","Must be cleared")</f>
        <v>Must be cleared</v>
      </c>
      <c r="D60" s="64"/>
      <c r="E60" s="64"/>
    </row>
    <row r="62" customFormat="false" ht="13.5" hidden="false" customHeight="true" outlineLevel="0" collapsed="false">
      <c r="A62" s="66" t="s">
        <v>401</v>
      </c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</row>
    <row r="63" customFormat="false" ht="15" hidden="false" customHeight="false" outlineLevel="0" collapsed="false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</row>
    <row r="64" customFormat="false" ht="15" hidden="false" customHeight="true" outlineLevel="0" collapsed="false">
      <c r="A64" s="66" t="s">
        <v>402</v>
      </c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</row>
    <row r="65" customFormat="false" ht="15" hidden="false" customHeight="false" outlineLevel="0" collapsed="false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</row>
  </sheetData>
  <mergeCells count="10">
    <mergeCell ref="C53:E53"/>
    <mergeCell ref="C54:E54"/>
    <mergeCell ref="C55:E55"/>
    <mergeCell ref="C56:E56"/>
    <mergeCell ref="C57:E57"/>
    <mergeCell ref="C58:E58"/>
    <mergeCell ref="C59:E59"/>
    <mergeCell ref="C60:E60"/>
    <mergeCell ref="A62:M63"/>
    <mergeCell ref="A64:M65"/>
  </mergeCells>
  <conditionalFormatting sqref="A6:Q50">
    <cfRule type="expression" priority="2" aboveAverage="0" equalAverage="0" bottom="0" percent="0" rank="0" text="" dxfId="6">
      <formula>$P6="High"</formula>
    </cfRule>
    <cfRule type="expression" priority="3" aboveAverage="0" equalAverage="0" bottom="0" percent="0" rank="0" text="" dxfId="7">
      <formula>$P6="Medium"</formula>
    </cfRule>
    <cfRule type="expression" priority="4" aboveAverage="0" equalAverage="0" bottom="0" percent="0" rank="0" text="" dxfId="5">
      <formula>$P6="No Activity"</formula>
    </cfRule>
  </conditionalFormatting>
  <conditionalFormatting sqref="N6:N50">
    <cfRule type="expression" priority="5" aboveAverage="0" equalAverage="0" bottom="0" percent="0" rank="0" text="" dxfId="0">
      <formula>$N6="High"</formula>
    </cfRule>
    <cfRule type="expression" priority="6" aboveAverage="0" equalAverage="0" bottom="0" percent="0" rank="0" text="" dxfId="4">
      <formula>$N6="Medium"</formula>
    </cfRule>
    <cfRule type="expression" priority="7" aboveAverage="0" equalAverage="0" bottom="0" percent="0" rank="0" text="" dxfId="1">
      <formula>$N6="Low"</formula>
    </cfRule>
    <cfRule type="expression" priority="8" aboveAverage="0" equalAverage="0" bottom="0" percent="0" rank="0" text="" dxfId="8">
      <formula>$N6="No Activity"</formula>
    </cfRule>
  </conditionalFormatting>
  <conditionalFormatting sqref="O6:O50">
    <cfRule type="expression" priority="9" aboveAverage="0" equalAverage="0" bottom="0" percent="0" rank="0" text="" dxfId="0">
      <formula>$O6="High"</formula>
    </cfRule>
    <cfRule type="expression" priority="10" aboveAverage="0" equalAverage="0" bottom="0" percent="0" rank="0" text="" dxfId="4">
      <formula>$O6="Medium"</formula>
    </cfRule>
    <cfRule type="expression" priority="11" aboveAverage="0" equalAverage="0" bottom="0" percent="0" rank="0" text="" dxfId="1">
      <formula>$O6="Low"</formula>
    </cfRule>
    <cfRule type="expression" priority="12" aboveAverage="0" equalAverage="0" bottom="0" percent="0" rank="0" text="" dxfId="8">
      <formula>$O6="No Activity"</formula>
    </cfRule>
  </conditionalFormatting>
  <conditionalFormatting sqref="P6:P50">
    <cfRule type="expression" priority="13" aboveAverage="0" equalAverage="0" bottom="0" percent="0" rank="0" text="" dxfId="0">
      <formula>$P6="High"</formula>
    </cfRule>
    <cfRule type="expression" priority="14" aboveAverage="0" equalAverage="0" bottom="0" percent="0" rank="0" text="" dxfId="4">
      <formula>$P6="Medium"</formula>
    </cfRule>
    <cfRule type="expression" priority="15" aboveAverage="0" equalAverage="0" bottom="0" percent="0" rank="0" text="" dxfId="1">
      <formula>$P6="Low"</formula>
    </cfRule>
    <cfRule type="expression" priority="16" aboveAverage="0" equalAverage="0" bottom="0" percent="0" rank="0" text="" dxfId="8">
      <formula>$P6="No Activity"</formula>
    </cfRule>
  </conditionalFormatting>
  <conditionalFormatting sqref="B53:E60">
    <cfRule type="expression" priority="17" aboveAverage="0" equalAverage="0" bottom="0" percent="0" rank="0" text="" dxfId="0">
      <formula>$C53="Must be cleared"</formula>
    </cfRule>
    <cfRule type="expression" priority="18" aboveAverage="0" equalAverage="0" bottom="0" percent="0" rank="0" text="" dxfId="4">
      <formula>$C53="Review required"</formula>
    </cfRule>
    <cfRule type="expression" priority="19" aboveAverage="0" equalAverage="0" bottom="0" percent="0" rank="0" text="" dxfId="1">
      <formula>$C53="Clear"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Z2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15" min="4" style="0" width="11"/>
    <col collapsed="false" customWidth="true" hidden="false" outlineLevel="0" max="19" min="16" style="0" width="13"/>
    <col collapsed="false" customWidth="true" hidden="false" outlineLevel="0" max="20" min="20" style="0" width="11"/>
    <col collapsed="false" customWidth="true" hidden="false" outlineLevel="0" max="22" min="21" style="0" width="13"/>
    <col collapsed="false" customWidth="true" hidden="false" outlineLevel="0" max="24" min="23" style="0" width="11"/>
    <col collapsed="false" customWidth="true" hidden="false" outlineLevel="0" max="25" min="25" style="0" width="40"/>
    <col collapsed="false" customWidth="true" hidden="false" outlineLevel="0" max="26" min="26" style="0" width="9"/>
  </cols>
  <sheetData>
    <row r="1" customFormat="false" ht="18.55" hidden="false" customHeight="false" outlineLevel="0" collapsed="false">
      <c r="A1" s="1" t="s">
        <v>403</v>
      </c>
    </row>
    <row r="2" customFormat="false" ht="15" hidden="false" customHeight="false" outlineLevel="0" collapsed="false">
      <c r="A2" s="2" t="str">
        <f aca="false">IF(Setup!$B$4="","","Current month: "&amp;Setup!$B$10&amp;"   |   Rows highlight automatically on the risk flag in column X.   |   Column Y is yours - write the explanation there.")</f>
        <v>Current month: September 2026   |   Rows highlight automatically on the risk flag in column X.   |   Column Y is yours - write the explanation there.</v>
      </c>
    </row>
    <row r="4" customFormat="false" ht="18" hidden="false" customHeight="true" outlineLevel="0" collapsed="false">
      <c r="A4" s="3" t="s">
        <v>404</v>
      </c>
      <c r="B4" s="4"/>
      <c r="C4" s="4"/>
      <c r="D4" s="49" t="s">
        <v>405</v>
      </c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25" t="s">
        <v>406</v>
      </c>
      <c r="Q4" s="26"/>
      <c r="R4" s="26"/>
      <c r="S4" s="26"/>
      <c r="T4" s="26"/>
      <c r="U4" s="26"/>
      <c r="V4" s="26"/>
      <c r="W4" s="26"/>
      <c r="X4" s="27" t="s">
        <v>407</v>
      </c>
      <c r="Y4" s="28"/>
      <c r="Z4" s="67" t="s">
        <v>408</v>
      </c>
    </row>
    <row r="5" customFormat="false" ht="31.5" hidden="false" customHeight="true" outlineLevel="0" collapsed="false">
      <c r="A5" s="30" t="s">
        <v>116</v>
      </c>
      <c r="B5" s="30" t="s">
        <v>127</v>
      </c>
      <c r="C5" s="30" t="s">
        <v>141</v>
      </c>
      <c r="D5" s="30" t="str">
        <f aca="false">TEXT(DATE(Setup!$B$7-IF(AND(Setup!$B$6&gt;1,MOD(Setup!$B$6+1-2,12)+1&gt;=Setup!$B$6),1,0),MOD(Setup!$B$6+1-2,12)+1,1),"MMM-YY")</f>
        <v>Jul-26</v>
      </c>
      <c r="E5" s="30" t="str">
        <f aca="false">TEXT(DATE(Setup!$B$7-IF(AND(Setup!$B$6&gt;1,MOD(Setup!$B$6+2-2,12)+1&gt;=Setup!$B$6),1,0),MOD(Setup!$B$6+2-2,12)+1,1),"MMM-YY")</f>
        <v>Aug-26</v>
      </c>
      <c r="F5" s="30" t="str">
        <f aca="false">TEXT(DATE(Setup!$B$7-IF(AND(Setup!$B$6&gt;1,MOD(Setup!$B$6+3-2,12)+1&gt;=Setup!$B$6),1,0),MOD(Setup!$B$6+3-2,12)+1,1),"MMM-YY")</f>
        <v>Sep-26</v>
      </c>
      <c r="G5" s="30" t="str">
        <f aca="false">TEXT(DATE(Setup!$B$7-IF(AND(Setup!$B$6&gt;1,MOD(Setup!$B$6+4-2,12)+1&gt;=Setup!$B$6),1,0),MOD(Setup!$B$6+4-2,12)+1,1),"MMM-YY")</f>
        <v>Oct-26</v>
      </c>
      <c r="H5" s="30" t="str">
        <f aca="false">TEXT(DATE(Setup!$B$7-IF(AND(Setup!$B$6&gt;1,MOD(Setup!$B$6+5-2,12)+1&gt;=Setup!$B$6),1,0),MOD(Setup!$B$6+5-2,12)+1,1),"MMM-YY")</f>
        <v>Nov-26</v>
      </c>
      <c r="I5" s="30" t="str">
        <f aca="false">TEXT(DATE(Setup!$B$7-IF(AND(Setup!$B$6&gt;1,MOD(Setup!$B$6+6-2,12)+1&gt;=Setup!$B$6),1,0),MOD(Setup!$B$6+6-2,12)+1,1),"MMM-YY")</f>
        <v>Dec-26</v>
      </c>
      <c r="J5" s="30" t="str">
        <f aca="false">TEXT(DATE(Setup!$B$7-IF(AND(Setup!$B$6&gt;1,MOD(Setup!$B$6+7-2,12)+1&gt;=Setup!$B$6),1,0),MOD(Setup!$B$6+7-2,12)+1,1),"MMM-YY")</f>
        <v>Jan-27</v>
      </c>
      <c r="K5" s="30" t="str">
        <f aca="false">TEXT(DATE(Setup!$B$7-IF(AND(Setup!$B$6&gt;1,MOD(Setup!$B$6+8-2,12)+1&gt;=Setup!$B$6),1,0),MOD(Setup!$B$6+8-2,12)+1,1),"MMM-YY")</f>
        <v>Feb-27</v>
      </c>
      <c r="L5" s="30" t="str">
        <f aca="false">TEXT(DATE(Setup!$B$7-IF(AND(Setup!$B$6&gt;1,MOD(Setup!$B$6+9-2,12)+1&gt;=Setup!$B$6),1,0),MOD(Setup!$B$6+9-2,12)+1,1),"MMM-YY")</f>
        <v>Mar-27</v>
      </c>
      <c r="M5" s="30" t="str">
        <f aca="false">TEXT(DATE(Setup!$B$7-IF(AND(Setup!$B$6&gt;1,MOD(Setup!$B$6+10-2,12)+1&gt;=Setup!$B$6),1,0),MOD(Setup!$B$6+10-2,12)+1,1),"MMM-YY")</f>
        <v>Apr-27</v>
      </c>
      <c r="N5" s="30" t="str">
        <f aca="false">TEXT(DATE(Setup!$B$7-IF(AND(Setup!$B$6&gt;1,MOD(Setup!$B$6+11-2,12)+1&gt;=Setup!$B$6),1,0),MOD(Setup!$B$6+11-2,12)+1,1),"MMM-YY")</f>
        <v>May-27</v>
      </c>
      <c r="O5" s="30" t="str">
        <f aca="false">TEXT(DATE(Setup!$B$7-IF(AND(Setup!$B$6&gt;1,MOD(Setup!$B$6+12-2,12)+1&gt;=Setup!$B$6),1,0),MOD(Setup!$B$6+12-2,12)+1,1),"MMM-YY")</f>
        <v>Jun-27</v>
      </c>
      <c r="P5" s="30" t="s">
        <v>409</v>
      </c>
      <c r="Q5" s="30" t="s">
        <v>410</v>
      </c>
      <c r="R5" s="30" t="s">
        <v>411</v>
      </c>
      <c r="S5" s="30" t="s">
        <v>412</v>
      </c>
      <c r="T5" s="30" t="s">
        <v>413</v>
      </c>
      <c r="U5" s="30" t="s">
        <v>414</v>
      </c>
      <c r="V5" s="30" t="s">
        <v>415</v>
      </c>
      <c r="W5" s="30" t="s">
        <v>416</v>
      </c>
      <c r="X5" s="30" t="s">
        <v>417</v>
      </c>
      <c r="Y5" s="30" t="s">
        <v>418</v>
      </c>
    </row>
    <row r="6" customFormat="false" ht="15" hidden="false" customHeight="false" outlineLevel="0" collapsed="false">
      <c r="A6" s="68" t="str">
        <f aca="false">IF(Data_Engine!$A6="","",Data_Engine!$A6)</f>
        <v>Ad Hoc Service Labour</v>
      </c>
      <c r="B6" s="42" t="str">
        <f aca="false">IF($A6="","",Data_Engine!$B6)</f>
        <v>Income</v>
      </c>
      <c r="C6" s="42" t="str">
        <f aca="false">IF($A6="","",Data_Engine!$D6)</f>
        <v>Unallocated</v>
      </c>
      <c r="D6" s="69" t="n">
        <f aca="false">IF($A6="","",Data_Engine!$R6)</f>
        <v>0</v>
      </c>
      <c r="E6" s="69" t="n">
        <f aca="false">IF($A6="","",Data_Engine!$S6)</f>
        <v>0</v>
      </c>
      <c r="F6" s="69" t="n">
        <f aca="false">IF($A6="","",Data_Engine!$T6)</f>
        <v>0</v>
      </c>
      <c r="G6" s="69" t="n">
        <f aca="false">IF($A6="","",Data_Engine!$U6)</f>
        <v>0</v>
      </c>
      <c r="H6" s="69" t="n">
        <f aca="false">IF($A6="","",Data_Engine!$V6)</f>
        <v>0</v>
      </c>
      <c r="I6" s="69" t="n">
        <f aca="false">IF($A6="","",Data_Engine!$W6)</f>
        <v>0</v>
      </c>
      <c r="J6" s="69" t="n">
        <f aca="false">IF($A6="","",Data_Engine!$X6)</f>
        <v>0</v>
      </c>
      <c r="K6" s="69" t="n">
        <f aca="false">IF($A6="","",Data_Engine!$Y6)</f>
        <v>0</v>
      </c>
      <c r="L6" s="69" t="n">
        <f aca="false">IF($A6="","",Data_Engine!$Z6)</f>
        <v>0</v>
      </c>
      <c r="M6" s="69" t="n">
        <f aca="false">IF($A6="","",Data_Engine!$AA6)</f>
        <v>0</v>
      </c>
      <c r="N6" s="69" t="n">
        <f aca="false">IF($A6="","",Data_Engine!$AB6)</f>
        <v>0</v>
      </c>
      <c r="O6" s="69" t="n">
        <f aca="false">IF($A6="","",Data_Engine!$AC6)</f>
        <v>0</v>
      </c>
      <c r="P6" s="69" t="n">
        <f aca="false">IF($A6="","",Data_Engine!$AH6)</f>
        <v>0</v>
      </c>
      <c r="Q6" s="70" t="n">
        <f aca="false">IF($A6="","",Data_Engine!$AD6)</f>
        <v>0</v>
      </c>
      <c r="R6" s="69" t="n">
        <f aca="false">IF($A6="","",Data_Engine!$AF6)</f>
        <v>0</v>
      </c>
      <c r="S6" s="71" t="n">
        <f aca="false">IF($A6="","",$Q6-$R6)</f>
        <v>0</v>
      </c>
      <c r="T6" s="72" t="str">
        <f aca="false">IF($A6="","",IF(ROUND($R6,2)=0,"n/a",$S6/ABS($R6)))</f>
        <v>n/a</v>
      </c>
      <c r="U6" s="69" t="n">
        <f aca="false">IF($A6="","",Data_Engine!$AG6)</f>
        <v>0</v>
      </c>
      <c r="V6" s="73" t="n">
        <f aca="false">IF($A6="","",$Q6-$U6)</f>
        <v>0</v>
      </c>
      <c r="W6" s="72" t="str">
        <f aca="false">IF($A6="","",IF(ROUND($U6,2)=0,"n/a",$V6/ABS($U6)))</f>
        <v>n/a</v>
      </c>
      <c r="X6" s="74" t="str">
        <f aca="false">IF($A6="","",IF(AND(ROUND($Q6,2)=0,ROUND($R6,2)=0),"No Activity",IF(ABS($S6)&lt;Setup!$B$14,"Low",IF(ROUND($R6,2)=0,"High",IF(OR(ABS($S6/$R6)&gt;=Setup!$B$16,ABS($S6)&gt;=Setup!$B$17),"High",IF(ABS($S6/$R6)&gt;=Setup!$B$15,"Medium","Low"))))))</f>
        <v>No Activity</v>
      </c>
      <c r="Y6" s="57"/>
      <c r="Z6" s="75" t="n">
        <f aca="false">IF($A6="",-1000000000000000,IF(ROUND(ABS($S6),0)=0,-1000000000000000,ABS($S6)+ROW()/1000000))</f>
        <v>-1000000000000000</v>
      </c>
    </row>
    <row r="7" customFormat="false" ht="15" hidden="false" customHeight="false" outlineLevel="0" collapsed="false">
      <c r="A7" s="68" t="str">
        <f aca="false">IF(Data_Engine!$A7="","",Data_Engine!$A7)</f>
        <v>Closing Work in Progress</v>
      </c>
      <c r="B7" s="42" t="str">
        <f aca="false">IF($A7="","",Data_Engine!$B7)</f>
        <v>Income</v>
      </c>
      <c r="C7" s="42" t="str">
        <f aca="false">IF($A7="","",Data_Engine!$D7)</f>
        <v>Unallocated</v>
      </c>
      <c r="D7" s="69" t="n">
        <f aca="false">IF($A7="","",Data_Engine!$R7)</f>
        <v>0</v>
      </c>
      <c r="E7" s="69" t="n">
        <f aca="false">IF($A7="","",Data_Engine!$S7)</f>
        <v>0</v>
      </c>
      <c r="F7" s="69" t="n">
        <f aca="false">IF($A7="","",Data_Engine!$T7)</f>
        <v>0</v>
      </c>
      <c r="G7" s="69" t="n">
        <f aca="false">IF($A7="","",Data_Engine!$U7)</f>
        <v>0</v>
      </c>
      <c r="H7" s="69" t="n">
        <f aca="false">IF($A7="","",Data_Engine!$V7)</f>
        <v>0</v>
      </c>
      <c r="I7" s="69" t="n">
        <f aca="false">IF($A7="","",Data_Engine!$W7)</f>
        <v>0</v>
      </c>
      <c r="J7" s="69" t="n">
        <f aca="false">IF($A7="","",Data_Engine!$X7)</f>
        <v>0</v>
      </c>
      <c r="K7" s="69" t="n">
        <f aca="false">IF($A7="","",Data_Engine!$Y7)</f>
        <v>0</v>
      </c>
      <c r="L7" s="69" t="n">
        <f aca="false">IF($A7="","",Data_Engine!$Z7)</f>
        <v>0</v>
      </c>
      <c r="M7" s="69" t="n">
        <f aca="false">IF($A7="","",Data_Engine!$AA7)</f>
        <v>0</v>
      </c>
      <c r="N7" s="69" t="n">
        <f aca="false">IF($A7="","",Data_Engine!$AB7)</f>
        <v>0</v>
      </c>
      <c r="O7" s="69" t="n">
        <f aca="false">IF($A7="","",Data_Engine!$AC7)</f>
        <v>0</v>
      </c>
      <c r="P7" s="69" t="n">
        <f aca="false">IF($A7="","",Data_Engine!$AH7)</f>
        <v>0</v>
      </c>
      <c r="Q7" s="70" t="n">
        <f aca="false">IF($A7="","",Data_Engine!$AD7)</f>
        <v>0</v>
      </c>
      <c r="R7" s="69" t="n">
        <f aca="false">IF($A7="","",Data_Engine!$AF7)</f>
        <v>0</v>
      </c>
      <c r="S7" s="71" t="n">
        <f aca="false">IF($A7="","",$Q7-$R7)</f>
        <v>0</v>
      </c>
      <c r="T7" s="72" t="str">
        <f aca="false">IF($A7="","",IF(ROUND($R7,2)=0,"n/a",$S7/ABS($R7)))</f>
        <v>n/a</v>
      </c>
      <c r="U7" s="69" t="n">
        <f aca="false">IF($A7="","",Data_Engine!$AG7)</f>
        <v>0</v>
      </c>
      <c r="V7" s="73" t="n">
        <f aca="false">IF($A7="","",$Q7-$U7)</f>
        <v>0</v>
      </c>
      <c r="W7" s="72" t="str">
        <f aca="false">IF($A7="","",IF(ROUND($U7,2)=0,"n/a",$V7/ABS($U7)))</f>
        <v>n/a</v>
      </c>
      <c r="X7" s="74" t="str">
        <f aca="false">IF($A7="","",IF(AND(ROUND($Q7,2)=0,ROUND($R7,2)=0),"No Activity",IF(ABS($S7)&lt;Setup!$B$14,"Low",IF(ROUND($R7,2)=0,"High",IF(OR(ABS($S7/$R7)&gt;=Setup!$B$16,ABS($S7)&gt;=Setup!$B$17),"High",IF(ABS($S7/$R7)&gt;=Setup!$B$15,"Medium","Low"))))))</f>
        <v>No Activity</v>
      </c>
      <c r="Y7" s="57"/>
      <c r="Z7" s="75" t="n">
        <f aca="false">IF($A7="",-1000000000000000,IF(ROUND(ABS($S7),0)=0,-1000000000000000,ABS($S7)+ROW()/1000000))</f>
        <v>-1000000000000000</v>
      </c>
    </row>
    <row r="8" customFormat="false" ht="15" hidden="false" customHeight="false" outlineLevel="0" collapsed="false">
      <c r="A8" s="68" t="str">
        <f aca="false">IF(Data_Engine!$A8="","",Data_Engine!$A8)</f>
        <v>Conference Call Charge</v>
      </c>
      <c r="B8" s="42" t="str">
        <f aca="false">IF($A8="","",Data_Engine!$B8)</f>
        <v>Income</v>
      </c>
      <c r="C8" s="42" t="str">
        <f aca="false">IF($A8="","",Data_Engine!$D8)</f>
        <v>Unallocated</v>
      </c>
      <c r="D8" s="69" t="n">
        <f aca="false">IF($A8="","",Data_Engine!$R8)</f>
        <v>0</v>
      </c>
      <c r="E8" s="69" t="n">
        <f aca="false">IF($A8="","",Data_Engine!$S8)</f>
        <v>0</v>
      </c>
      <c r="F8" s="69" t="n">
        <f aca="false">IF($A8="","",Data_Engine!$T8)</f>
        <v>0</v>
      </c>
      <c r="G8" s="69" t="n">
        <f aca="false">IF($A8="","",Data_Engine!$U8)</f>
        <v>0</v>
      </c>
      <c r="H8" s="69" t="n">
        <f aca="false">IF($A8="","",Data_Engine!$V8)</f>
        <v>0</v>
      </c>
      <c r="I8" s="69" t="n">
        <f aca="false">IF($A8="","",Data_Engine!$W8)</f>
        <v>0</v>
      </c>
      <c r="J8" s="69" t="n">
        <f aca="false">IF($A8="","",Data_Engine!$X8)</f>
        <v>0</v>
      </c>
      <c r="K8" s="69" t="n">
        <f aca="false">IF($A8="","",Data_Engine!$Y8)</f>
        <v>0</v>
      </c>
      <c r="L8" s="69" t="n">
        <f aca="false">IF($A8="","",Data_Engine!$Z8)</f>
        <v>0</v>
      </c>
      <c r="M8" s="69" t="n">
        <f aca="false">IF($A8="","",Data_Engine!$AA8)</f>
        <v>0</v>
      </c>
      <c r="N8" s="69" t="n">
        <f aca="false">IF($A8="","",Data_Engine!$AB8)</f>
        <v>0</v>
      </c>
      <c r="O8" s="69" t="n">
        <f aca="false">IF($A8="","",Data_Engine!$AC8)</f>
        <v>0</v>
      </c>
      <c r="P8" s="69" t="n">
        <f aca="false">IF($A8="","",Data_Engine!$AH8)</f>
        <v>0</v>
      </c>
      <c r="Q8" s="70" t="n">
        <f aca="false">IF($A8="","",Data_Engine!$AD8)</f>
        <v>0</v>
      </c>
      <c r="R8" s="69" t="n">
        <f aca="false">IF($A8="","",Data_Engine!$AF8)</f>
        <v>0</v>
      </c>
      <c r="S8" s="71" t="n">
        <f aca="false">IF($A8="","",$Q8-$R8)</f>
        <v>0</v>
      </c>
      <c r="T8" s="72" t="str">
        <f aca="false">IF($A8="","",IF(ROUND($R8,2)=0,"n/a",$S8/ABS($R8)))</f>
        <v>n/a</v>
      </c>
      <c r="U8" s="69" t="n">
        <f aca="false">IF($A8="","",Data_Engine!$AG8)</f>
        <v>0</v>
      </c>
      <c r="V8" s="73" t="n">
        <f aca="false">IF($A8="","",$Q8-$U8)</f>
        <v>0</v>
      </c>
      <c r="W8" s="72" t="str">
        <f aca="false">IF($A8="","",IF(ROUND($U8,2)=0,"n/a",$V8/ABS($U8)))</f>
        <v>n/a</v>
      </c>
      <c r="X8" s="74" t="str">
        <f aca="false">IF($A8="","",IF(AND(ROUND($Q8,2)=0,ROUND($R8,2)=0),"No Activity",IF(ABS($S8)&lt;Setup!$B$14,"Low",IF(ROUND($R8,2)=0,"High",IF(OR(ABS($S8/$R8)&gt;=Setup!$B$16,ABS($S8)&gt;=Setup!$B$17),"High",IF(ABS($S8/$R8)&gt;=Setup!$B$15,"Medium","Low"))))))</f>
        <v>No Activity</v>
      </c>
      <c r="Y8" s="57"/>
      <c r="Z8" s="75" t="n">
        <f aca="false">IF($A8="",-1000000000000000,IF(ROUND(ABS($S8),0)=0,-1000000000000000,ABS($S8)+ROW()/1000000))</f>
        <v>-1000000000000000</v>
      </c>
    </row>
    <row r="9" customFormat="false" ht="15" hidden="false" customHeight="false" outlineLevel="0" collapsed="false">
      <c r="A9" s="68" t="str">
        <f aca="false">IF(Data_Engine!$A9="","",Data_Engine!$A9)</f>
        <v>Contract Help Desk</v>
      </c>
      <c r="B9" s="42" t="str">
        <f aca="false">IF($A9="","",Data_Engine!$B9)</f>
        <v>Income</v>
      </c>
      <c r="C9" s="42" t="str">
        <f aca="false">IF($A9="","",Data_Engine!$D9)</f>
        <v>Unallocated</v>
      </c>
      <c r="D9" s="69" t="n">
        <f aca="false">IF($A9="","",Data_Engine!$R9)</f>
        <v>0</v>
      </c>
      <c r="E9" s="69" t="n">
        <f aca="false">IF($A9="","",Data_Engine!$S9)</f>
        <v>0</v>
      </c>
      <c r="F9" s="69" t="n">
        <f aca="false">IF($A9="","",Data_Engine!$T9)</f>
        <v>0</v>
      </c>
      <c r="G9" s="69" t="n">
        <f aca="false">IF($A9="","",Data_Engine!$U9)</f>
        <v>0</v>
      </c>
      <c r="H9" s="69" t="n">
        <f aca="false">IF($A9="","",Data_Engine!$V9)</f>
        <v>0</v>
      </c>
      <c r="I9" s="69" t="n">
        <f aca="false">IF($A9="","",Data_Engine!$W9)</f>
        <v>0</v>
      </c>
      <c r="J9" s="69" t="n">
        <f aca="false">IF($A9="","",Data_Engine!$X9)</f>
        <v>0</v>
      </c>
      <c r="K9" s="69" t="n">
        <f aca="false">IF($A9="","",Data_Engine!$Y9)</f>
        <v>0</v>
      </c>
      <c r="L9" s="69" t="n">
        <f aca="false">IF($A9="","",Data_Engine!$Z9)</f>
        <v>0</v>
      </c>
      <c r="M9" s="69" t="n">
        <f aca="false">IF($A9="","",Data_Engine!$AA9)</f>
        <v>0</v>
      </c>
      <c r="N9" s="69" t="n">
        <f aca="false">IF($A9="","",Data_Engine!$AB9)</f>
        <v>0</v>
      </c>
      <c r="O9" s="69" t="n">
        <f aca="false">IF($A9="","",Data_Engine!$AC9)</f>
        <v>0</v>
      </c>
      <c r="P9" s="69" t="n">
        <f aca="false">IF($A9="","",Data_Engine!$AH9)</f>
        <v>0</v>
      </c>
      <c r="Q9" s="70" t="n">
        <f aca="false">IF($A9="","",Data_Engine!$AD9)</f>
        <v>0</v>
      </c>
      <c r="R9" s="69" t="n">
        <f aca="false">IF($A9="","",Data_Engine!$AF9)</f>
        <v>0</v>
      </c>
      <c r="S9" s="71" t="n">
        <f aca="false">IF($A9="","",$Q9-$R9)</f>
        <v>0</v>
      </c>
      <c r="T9" s="72" t="str">
        <f aca="false">IF($A9="","",IF(ROUND($R9,2)=0,"n/a",$S9/ABS($R9)))</f>
        <v>n/a</v>
      </c>
      <c r="U9" s="69" t="n">
        <f aca="false">IF($A9="","",Data_Engine!$AG9)</f>
        <v>0</v>
      </c>
      <c r="V9" s="73" t="n">
        <f aca="false">IF($A9="","",$Q9-$U9)</f>
        <v>0</v>
      </c>
      <c r="W9" s="72" t="str">
        <f aca="false">IF($A9="","",IF(ROUND($U9,2)=0,"n/a",$V9/ABS($U9)))</f>
        <v>n/a</v>
      </c>
      <c r="X9" s="74" t="str">
        <f aca="false">IF($A9="","",IF(AND(ROUND($Q9,2)=0,ROUND($R9,2)=0),"No Activity",IF(ABS($S9)&lt;Setup!$B$14,"Low",IF(ROUND($R9,2)=0,"High",IF(OR(ABS($S9/$R9)&gt;=Setup!$B$16,ABS($S9)&gt;=Setup!$B$17),"High",IF(ABS($S9/$R9)&gt;=Setup!$B$15,"Medium","Low"))))))</f>
        <v>No Activity</v>
      </c>
      <c r="Y9" s="57"/>
      <c r="Z9" s="75" t="n">
        <f aca="false">IF($A9="",-1000000000000000,IF(ROUND(ABS($S9),0)=0,-1000000000000000,ABS($S9)+ROW()/1000000))</f>
        <v>-1000000000000000</v>
      </c>
    </row>
    <row r="10" customFormat="false" ht="15" hidden="false" customHeight="false" outlineLevel="0" collapsed="false">
      <c r="A10" s="68" t="str">
        <f aca="false">IF(Data_Engine!$A10="","",Data_Engine!$A10)</f>
        <v>Contract Maintenance</v>
      </c>
      <c r="B10" s="42" t="str">
        <f aca="false">IF($A10="","",Data_Engine!$B10)</f>
        <v>Income</v>
      </c>
      <c r="C10" s="42" t="str">
        <f aca="false">IF($A10="","",Data_Engine!$D10)</f>
        <v>Unallocated</v>
      </c>
      <c r="D10" s="69" t="n">
        <f aca="false">IF($A10="","",Data_Engine!$R10)</f>
        <v>0</v>
      </c>
      <c r="E10" s="69" t="n">
        <f aca="false">IF($A10="","",Data_Engine!$S10)</f>
        <v>0</v>
      </c>
      <c r="F10" s="69" t="n">
        <f aca="false">IF($A10="","",Data_Engine!$T10)</f>
        <v>0</v>
      </c>
      <c r="G10" s="69" t="n">
        <f aca="false">IF($A10="","",Data_Engine!$U10)</f>
        <v>0</v>
      </c>
      <c r="H10" s="69" t="n">
        <f aca="false">IF($A10="","",Data_Engine!$V10)</f>
        <v>0</v>
      </c>
      <c r="I10" s="69" t="n">
        <f aca="false">IF($A10="","",Data_Engine!$W10)</f>
        <v>0</v>
      </c>
      <c r="J10" s="69" t="n">
        <f aca="false">IF($A10="","",Data_Engine!$X10)</f>
        <v>0</v>
      </c>
      <c r="K10" s="69" t="n">
        <f aca="false">IF($A10="","",Data_Engine!$Y10)</f>
        <v>0</v>
      </c>
      <c r="L10" s="69" t="n">
        <f aca="false">IF($A10="","",Data_Engine!$Z10)</f>
        <v>0</v>
      </c>
      <c r="M10" s="69" t="n">
        <f aca="false">IF($A10="","",Data_Engine!$AA10)</f>
        <v>0</v>
      </c>
      <c r="N10" s="69" t="n">
        <f aca="false">IF($A10="","",Data_Engine!$AB10)</f>
        <v>0</v>
      </c>
      <c r="O10" s="69" t="n">
        <f aca="false">IF($A10="","",Data_Engine!$AC10)</f>
        <v>0</v>
      </c>
      <c r="P10" s="69" t="n">
        <f aca="false">IF($A10="","",Data_Engine!$AH10)</f>
        <v>0</v>
      </c>
      <c r="Q10" s="70" t="n">
        <f aca="false">IF($A10="","",Data_Engine!$AD10)</f>
        <v>0</v>
      </c>
      <c r="R10" s="69" t="n">
        <f aca="false">IF($A10="","",Data_Engine!$AF10)</f>
        <v>0</v>
      </c>
      <c r="S10" s="71" t="n">
        <f aca="false">IF($A10="","",$Q10-$R10)</f>
        <v>0</v>
      </c>
      <c r="T10" s="72" t="str">
        <f aca="false">IF($A10="","",IF(ROUND($R10,2)=0,"n/a",$S10/ABS($R10)))</f>
        <v>n/a</v>
      </c>
      <c r="U10" s="69" t="n">
        <f aca="false">IF($A10="","",Data_Engine!$AG10)</f>
        <v>0</v>
      </c>
      <c r="V10" s="73" t="n">
        <f aca="false">IF($A10="","",$Q10-$U10)</f>
        <v>0</v>
      </c>
      <c r="W10" s="72" t="str">
        <f aca="false">IF($A10="","",IF(ROUND($U10,2)=0,"n/a",$V10/ABS($U10)))</f>
        <v>n/a</v>
      </c>
      <c r="X10" s="74" t="str">
        <f aca="false">IF($A10="","",IF(AND(ROUND($Q10,2)=0,ROUND($R10,2)=0),"No Activity",IF(ABS($S10)&lt;Setup!$B$14,"Low",IF(ROUND($R10,2)=0,"High",IF(OR(ABS($S10/$R10)&gt;=Setup!$B$16,ABS($S10)&gt;=Setup!$B$17),"High",IF(ABS($S10/$R10)&gt;=Setup!$B$15,"Medium","Low"))))))</f>
        <v>No Activity</v>
      </c>
      <c r="Y10" s="57"/>
      <c r="Z10" s="75" t="n">
        <f aca="false">IF($A10="",-1000000000000000,IF(ROUND(ABS($S10),0)=0,-1000000000000000,ABS($S10)+ROW()/1000000))</f>
        <v>-1000000000000000</v>
      </c>
    </row>
    <row r="11" customFormat="false" ht="15" hidden="false" customHeight="false" outlineLevel="0" collapsed="false">
      <c r="A11" s="68" t="str">
        <f aca="false">IF(Data_Engine!$A11="","",Data_Engine!$A11)</f>
        <v>Contract Support Staff</v>
      </c>
      <c r="B11" s="42" t="str">
        <f aca="false">IF($A11="","",Data_Engine!$B11)</f>
        <v>Income</v>
      </c>
      <c r="C11" s="42" t="str">
        <f aca="false">IF($A11="","",Data_Engine!$D11)</f>
        <v>Unallocated</v>
      </c>
      <c r="D11" s="69" t="n">
        <f aca="false">IF($A11="","",Data_Engine!$R11)</f>
        <v>0</v>
      </c>
      <c r="E11" s="69" t="n">
        <f aca="false">IF($A11="","",Data_Engine!$S11)</f>
        <v>0</v>
      </c>
      <c r="F11" s="69" t="n">
        <f aca="false">IF($A11="","",Data_Engine!$T11)</f>
        <v>0</v>
      </c>
      <c r="G11" s="69" t="n">
        <f aca="false">IF($A11="","",Data_Engine!$U11)</f>
        <v>0</v>
      </c>
      <c r="H11" s="69" t="n">
        <f aca="false">IF($A11="","",Data_Engine!$V11)</f>
        <v>0</v>
      </c>
      <c r="I11" s="69" t="n">
        <f aca="false">IF($A11="","",Data_Engine!$W11)</f>
        <v>0</v>
      </c>
      <c r="J11" s="69" t="n">
        <f aca="false">IF($A11="","",Data_Engine!$X11)</f>
        <v>0</v>
      </c>
      <c r="K11" s="69" t="n">
        <f aca="false">IF($A11="","",Data_Engine!$Y11)</f>
        <v>0</v>
      </c>
      <c r="L11" s="69" t="n">
        <f aca="false">IF($A11="","",Data_Engine!$Z11)</f>
        <v>0</v>
      </c>
      <c r="M11" s="69" t="n">
        <f aca="false">IF($A11="","",Data_Engine!$AA11)</f>
        <v>0</v>
      </c>
      <c r="N11" s="69" t="n">
        <f aca="false">IF($A11="","",Data_Engine!$AB11)</f>
        <v>0</v>
      </c>
      <c r="O11" s="69" t="n">
        <f aca="false">IF($A11="","",Data_Engine!$AC11)</f>
        <v>0</v>
      </c>
      <c r="P11" s="69" t="n">
        <f aca="false">IF($A11="","",Data_Engine!$AH11)</f>
        <v>0</v>
      </c>
      <c r="Q11" s="70" t="n">
        <f aca="false">IF($A11="","",Data_Engine!$AD11)</f>
        <v>0</v>
      </c>
      <c r="R11" s="69" t="n">
        <f aca="false">IF($A11="","",Data_Engine!$AF11)</f>
        <v>0</v>
      </c>
      <c r="S11" s="71" t="n">
        <f aca="false">IF($A11="","",$Q11-$R11)</f>
        <v>0</v>
      </c>
      <c r="T11" s="72" t="str">
        <f aca="false">IF($A11="","",IF(ROUND($R11,2)=0,"n/a",$S11/ABS($R11)))</f>
        <v>n/a</v>
      </c>
      <c r="U11" s="69" t="n">
        <f aca="false">IF($A11="","",Data_Engine!$AG11)</f>
        <v>0</v>
      </c>
      <c r="V11" s="73" t="n">
        <f aca="false">IF($A11="","",$Q11-$U11)</f>
        <v>0</v>
      </c>
      <c r="W11" s="72" t="str">
        <f aca="false">IF($A11="","",IF(ROUND($U11,2)=0,"n/a",$V11/ABS($U11)))</f>
        <v>n/a</v>
      </c>
      <c r="X11" s="74" t="str">
        <f aca="false">IF($A11="","",IF(AND(ROUND($Q11,2)=0,ROUND($R11,2)=0),"No Activity",IF(ABS($S11)&lt;Setup!$B$14,"Low",IF(ROUND($R11,2)=0,"High",IF(OR(ABS($S11/$R11)&gt;=Setup!$B$16,ABS($S11)&gt;=Setup!$B$17),"High",IF(ABS($S11/$R11)&gt;=Setup!$B$15,"Medium","Low"))))))</f>
        <v>No Activity</v>
      </c>
      <c r="Y11" s="57"/>
      <c r="Z11" s="75" t="n">
        <f aca="false">IF($A11="",-1000000000000000,IF(ROUND(ABS($S11),0)=0,-1000000000000000,ABS($S11)+ROW()/1000000))</f>
        <v>-1000000000000000</v>
      </c>
    </row>
    <row r="12" customFormat="false" ht="15" hidden="false" customHeight="false" outlineLevel="0" collapsed="false">
      <c r="A12" s="68" t="str">
        <f aca="false">IF(Data_Engine!$A12="","",Data_Engine!$A12)</f>
        <v>Credit Card Collected - CONS</v>
      </c>
      <c r="B12" s="42" t="str">
        <f aca="false">IF($A12="","",Data_Engine!$B12)</f>
        <v>Income</v>
      </c>
      <c r="C12" s="42" t="str">
        <f aca="false">IF($A12="","",Data_Engine!$D12)</f>
        <v>Consulting</v>
      </c>
      <c r="D12" s="69" t="n">
        <f aca="false">IF($A12="","",Data_Engine!$R12)</f>
        <v>0</v>
      </c>
      <c r="E12" s="69" t="n">
        <f aca="false">IF($A12="","",Data_Engine!$S12)</f>
        <v>0</v>
      </c>
      <c r="F12" s="69" t="n">
        <f aca="false">IF($A12="","",Data_Engine!$T12)</f>
        <v>0</v>
      </c>
      <c r="G12" s="69" t="n">
        <f aca="false">IF($A12="","",Data_Engine!$U12)</f>
        <v>0</v>
      </c>
      <c r="H12" s="69" t="n">
        <f aca="false">IF($A12="","",Data_Engine!$V12)</f>
        <v>0</v>
      </c>
      <c r="I12" s="69" t="n">
        <f aca="false">IF($A12="","",Data_Engine!$W12)</f>
        <v>0</v>
      </c>
      <c r="J12" s="69" t="n">
        <f aca="false">IF($A12="","",Data_Engine!$X12)</f>
        <v>0</v>
      </c>
      <c r="K12" s="69" t="n">
        <f aca="false">IF($A12="","",Data_Engine!$Y12)</f>
        <v>0</v>
      </c>
      <c r="L12" s="69" t="n">
        <f aca="false">IF($A12="","",Data_Engine!$Z12)</f>
        <v>0</v>
      </c>
      <c r="M12" s="69" t="n">
        <f aca="false">IF($A12="","",Data_Engine!$AA12)</f>
        <v>0</v>
      </c>
      <c r="N12" s="69" t="n">
        <f aca="false">IF($A12="","",Data_Engine!$AB12)</f>
        <v>0</v>
      </c>
      <c r="O12" s="69" t="n">
        <f aca="false">IF($A12="","",Data_Engine!$AC12)</f>
        <v>0</v>
      </c>
      <c r="P12" s="69" t="n">
        <f aca="false">IF($A12="","",Data_Engine!$AH12)</f>
        <v>0</v>
      </c>
      <c r="Q12" s="70" t="n">
        <f aca="false">IF($A12="","",Data_Engine!$AD12)</f>
        <v>0</v>
      </c>
      <c r="R12" s="69" t="n">
        <f aca="false">IF($A12="","",Data_Engine!$AF12)</f>
        <v>0</v>
      </c>
      <c r="S12" s="71" t="n">
        <f aca="false">IF($A12="","",$Q12-$R12)</f>
        <v>0</v>
      </c>
      <c r="T12" s="72" t="str">
        <f aca="false">IF($A12="","",IF(ROUND($R12,2)=0,"n/a",$S12/ABS($R12)))</f>
        <v>n/a</v>
      </c>
      <c r="U12" s="69" t="n">
        <f aca="false">IF($A12="","",Data_Engine!$AG12)</f>
        <v>0</v>
      </c>
      <c r="V12" s="73" t="n">
        <f aca="false">IF($A12="","",$Q12-$U12)</f>
        <v>0</v>
      </c>
      <c r="W12" s="72" t="str">
        <f aca="false">IF($A12="","",IF(ROUND($U12,2)=0,"n/a",$V12/ABS($U12)))</f>
        <v>n/a</v>
      </c>
      <c r="X12" s="74" t="str">
        <f aca="false">IF($A12="","",IF(AND(ROUND($Q12,2)=0,ROUND($R12,2)=0),"No Activity",IF(ABS($S12)&lt;Setup!$B$14,"Low",IF(ROUND($R12,2)=0,"High",IF(OR(ABS($S12/$R12)&gt;=Setup!$B$16,ABS($S12)&gt;=Setup!$B$17),"High",IF(ABS($S12/$R12)&gt;=Setup!$B$15,"Medium","Low"))))))</f>
        <v>No Activity</v>
      </c>
      <c r="Y12" s="57"/>
      <c r="Z12" s="75" t="n">
        <f aca="false">IF($A12="",-1000000000000000,IF(ROUND(ABS($S12),0)=0,-1000000000000000,ABS($S12)+ROW()/1000000))</f>
        <v>-1000000000000000</v>
      </c>
    </row>
    <row r="13" customFormat="false" ht="15" hidden="false" customHeight="false" outlineLevel="0" collapsed="false">
      <c r="A13" s="68" t="str">
        <f aca="false">IF(Data_Engine!$A13="","",Data_Engine!$A13)</f>
        <v>Credit Card Collected - ONS</v>
      </c>
      <c r="B13" s="42" t="str">
        <f aca="false">IF($A13="","",Data_Engine!$B13)</f>
        <v>Income</v>
      </c>
      <c r="C13" s="42" t="str">
        <f aca="false">IF($A13="","",Data_Engine!$D13)</f>
        <v>Onsite</v>
      </c>
      <c r="D13" s="69" t="n">
        <f aca="false">IF($A13="","",Data_Engine!$R13)</f>
        <v>0</v>
      </c>
      <c r="E13" s="69" t="n">
        <f aca="false">IF($A13="","",Data_Engine!$S13)</f>
        <v>0</v>
      </c>
      <c r="F13" s="69" t="n">
        <f aca="false">IF($A13="","",Data_Engine!$T13)</f>
        <v>0</v>
      </c>
      <c r="G13" s="69" t="n">
        <f aca="false">IF($A13="","",Data_Engine!$U13)</f>
        <v>0</v>
      </c>
      <c r="H13" s="69" t="n">
        <f aca="false">IF($A13="","",Data_Engine!$V13)</f>
        <v>0</v>
      </c>
      <c r="I13" s="69" t="n">
        <f aca="false">IF($A13="","",Data_Engine!$W13)</f>
        <v>0</v>
      </c>
      <c r="J13" s="69" t="n">
        <f aca="false">IF($A13="","",Data_Engine!$X13)</f>
        <v>0</v>
      </c>
      <c r="K13" s="69" t="n">
        <f aca="false">IF($A13="","",Data_Engine!$Y13)</f>
        <v>0</v>
      </c>
      <c r="L13" s="69" t="n">
        <f aca="false">IF($A13="","",Data_Engine!$Z13)</f>
        <v>0</v>
      </c>
      <c r="M13" s="69" t="n">
        <f aca="false">IF($A13="","",Data_Engine!$AA13)</f>
        <v>0</v>
      </c>
      <c r="N13" s="69" t="n">
        <f aca="false">IF($A13="","",Data_Engine!$AB13)</f>
        <v>0</v>
      </c>
      <c r="O13" s="69" t="n">
        <f aca="false">IF($A13="","",Data_Engine!$AC13)</f>
        <v>0</v>
      </c>
      <c r="P13" s="69" t="n">
        <f aca="false">IF($A13="","",Data_Engine!$AH13)</f>
        <v>0</v>
      </c>
      <c r="Q13" s="70" t="n">
        <f aca="false">IF($A13="","",Data_Engine!$AD13)</f>
        <v>0</v>
      </c>
      <c r="R13" s="69" t="n">
        <f aca="false">IF($A13="","",Data_Engine!$AF13)</f>
        <v>0</v>
      </c>
      <c r="S13" s="71" t="n">
        <f aca="false">IF($A13="","",$Q13-$R13)</f>
        <v>0</v>
      </c>
      <c r="T13" s="72" t="str">
        <f aca="false">IF($A13="","",IF(ROUND($R13,2)=0,"n/a",$S13/ABS($R13)))</f>
        <v>n/a</v>
      </c>
      <c r="U13" s="69" t="n">
        <f aca="false">IF($A13="","",Data_Engine!$AG13)</f>
        <v>0</v>
      </c>
      <c r="V13" s="73" t="n">
        <f aca="false">IF($A13="","",$Q13-$U13)</f>
        <v>0</v>
      </c>
      <c r="W13" s="72" t="str">
        <f aca="false">IF($A13="","",IF(ROUND($U13,2)=0,"n/a",$V13/ABS($U13)))</f>
        <v>n/a</v>
      </c>
      <c r="X13" s="74" t="str">
        <f aca="false">IF($A13="","",IF(AND(ROUND($Q13,2)=0,ROUND($R13,2)=0),"No Activity",IF(ABS($S13)&lt;Setup!$B$14,"Low",IF(ROUND($R13,2)=0,"High",IF(OR(ABS($S13/$R13)&gt;=Setup!$B$16,ABS($S13)&gt;=Setup!$B$17),"High",IF(ABS($S13/$R13)&gt;=Setup!$B$15,"Medium","Low"))))))</f>
        <v>No Activity</v>
      </c>
      <c r="Y13" s="57"/>
      <c r="Z13" s="75" t="n">
        <f aca="false">IF($A13="",-1000000000000000,IF(ROUND(ABS($S13),0)=0,-1000000000000000,ABS($S13)+ROW()/1000000))</f>
        <v>-1000000000000000</v>
      </c>
    </row>
    <row r="14" customFormat="false" ht="15" hidden="false" customHeight="false" outlineLevel="0" collapsed="false">
      <c r="A14" s="68" t="str">
        <f aca="false">IF(Data_Engine!$A14="","",Data_Engine!$A14)</f>
        <v>Credit Card Collected - PRD</v>
      </c>
      <c r="B14" s="42" t="str">
        <f aca="false">IF($A14="","",Data_Engine!$B14)</f>
        <v>Income</v>
      </c>
      <c r="C14" s="42" t="str">
        <f aca="false">IF($A14="","",Data_Engine!$D14)</f>
        <v>Production</v>
      </c>
      <c r="D14" s="69" t="n">
        <f aca="false">IF($A14="","",Data_Engine!$R14)</f>
        <v>0</v>
      </c>
      <c r="E14" s="69" t="n">
        <f aca="false">IF($A14="","",Data_Engine!$S14)</f>
        <v>0</v>
      </c>
      <c r="F14" s="69" t="n">
        <f aca="false">IF($A14="","",Data_Engine!$T14)</f>
        <v>0</v>
      </c>
      <c r="G14" s="69" t="n">
        <f aca="false">IF($A14="","",Data_Engine!$U14)</f>
        <v>0</v>
      </c>
      <c r="H14" s="69" t="n">
        <f aca="false">IF($A14="","",Data_Engine!$V14)</f>
        <v>0</v>
      </c>
      <c r="I14" s="69" t="n">
        <f aca="false">IF($A14="","",Data_Engine!$W14)</f>
        <v>0</v>
      </c>
      <c r="J14" s="69" t="n">
        <f aca="false">IF($A14="","",Data_Engine!$X14)</f>
        <v>0</v>
      </c>
      <c r="K14" s="69" t="n">
        <f aca="false">IF($A14="","",Data_Engine!$Y14)</f>
        <v>0</v>
      </c>
      <c r="L14" s="69" t="n">
        <f aca="false">IF($A14="","",Data_Engine!$Z14)</f>
        <v>0</v>
      </c>
      <c r="M14" s="69" t="n">
        <f aca="false">IF($A14="","",Data_Engine!$AA14)</f>
        <v>0</v>
      </c>
      <c r="N14" s="69" t="n">
        <f aca="false">IF($A14="","",Data_Engine!$AB14)</f>
        <v>0</v>
      </c>
      <c r="O14" s="69" t="n">
        <f aca="false">IF($A14="","",Data_Engine!$AC14)</f>
        <v>0</v>
      </c>
      <c r="P14" s="69" t="n">
        <f aca="false">IF($A14="","",Data_Engine!$AH14)</f>
        <v>0</v>
      </c>
      <c r="Q14" s="70" t="n">
        <f aca="false">IF($A14="","",Data_Engine!$AD14)</f>
        <v>0</v>
      </c>
      <c r="R14" s="69" t="n">
        <f aca="false">IF($A14="","",Data_Engine!$AF14)</f>
        <v>0</v>
      </c>
      <c r="S14" s="71" t="n">
        <f aca="false">IF($A14="","",$Q14-$R14)</f>
        <v>0</v>
      </c>
      <c r="T14" s="72" t="str">
        <f aca="false">IF($A14="","",IF(ROUND($R14,2)=0,"n/a",$S14/ABS($R14)))</f>
        <v>n/a</v>
      </c>
      <c r="U14" s="69" t="n">
        <f aca="false">IF($A14="","",Data_Engine!$AG14)</f>
        <v>0</v>
      </c>
      <c r="V14" s="73" t="n">
        <f aca="false">IF($A14="","",$Q14-$U14)</f>
        <v>0</v>
      </c>
      <c r="W14" s="72" t="str">
        <f aca="false">IF($A14="","",IF(ROUND($U14,2)=0,"n/a",$V14/ABS($U14)))</f>
        <v>n/a</v>
      </c>
      <c r="X14" s="74" t="str">
        <f aca="false">IF($A14="","",IF(AND(ROUND($Q14,2)=0,ROUND($R14,2)=0),"No Activity",IF(ABS($S14)&lt;Setup!$B$14,"Low",IF(ROUND($R14,2)=0,"High",IF(OR(ABS($S14/$R14)&gt;=Setup!$B$16,ABS($S14)&gt;=Setup!$B$17),"High",IF(ABS($S14/$R14)&gt;=Setup!$B$15,"Medium","Low"))))))</f>
        <v>No Activity</v>
      </c>
      <c r="Y14" s="57"/>
      <c r="Z14" s="75" t="n">
        <f aca="false">IF($A14="",-1000000000000000,IF(ROUND(ABS($S14),0)=0,-1000000000000000,ABS($S14)+ROW()/1000000))</f>
        <v>-1000000000000000</v>
      </c>
    </row>
    <row r="15" customFormat="false" ht="15" hidden="false" customHeight="false" outlineLevel="0" collapsed="false">
      <c r="A15" s="68" t="str">
        <f aca="false">IF(Data_Engine!$A15="","",Data_Engine!$A15)</f>
        <v>Credit Card Collected - VID</v>
      </c>
      <c r="B15" s="42" t="str">
        <f aca="false">IF($A15="","",Data_Engine!$B15)</f>
        <v>Income</v>
      </c>
      <c r="C15" s="42" t="str">
        <f aca="false">IF($A15="","",Data_Engine!$D15)</f>
        <v>Video</v>
      </c>
      <c r="D15" s="69" t="n">
        <f aca="false">IF($A15="","",Data_Engine!$R15)</f>
        <v>0</v>
      </c>
      <c r="E15" s="69" t="n">
        <f aca="false">IF($A15="","",Data_Engine!$S15)</f>
        <v>0</v>
      </c>
      <c r="F15" s="69" t="n">
        <f aca="false">IF($A15="","",Data_Engine!$T15)</f>
        <v>0</v>
      </c>
      <c r="G15" s="69" t="n">
        <f aca="false">IF($A15="","",Data_Engine!$U15)</f>
        <v>0</v>
      </c>
      <c r="H15" s="69" t="n">
        <f aca="false">IF($A15="","",Data_Engine!$V15)</f>
        <v>0</v>
      </c>
      <c r="I15" s="69" t="n">
        <f aca="false">IF($A15="","",Data_Engine!$W15)</f>
        <v>0</v>
      </c>
      <c r="J15" s="69" t="n">
        <f aca="false">IF($A15="","",Data_Engine!$X15)</f>
        <v>0</v>
      </c>
      <c r="K15" s="69" t="n">
        <f aca="false">IF($A15="","",Data_Engine!$Y15)</f>
        <v>0</v>
      </c>
      <c r="L15" s="69" t="n">
        <f aca="false">IF($A15="","",Data_Engine!$Z15)</f>
        <v>0</v>
      </c>
      <c r="M15" s="69" t="n">
        <f aca="false">IF($A15="","",Data_Engine!$AA15)</f>
        <v>0</v>
      </c>
      <c r="N15" s="69" t="n">
        <f aca="false">IF($A15="","",Data_Engine!$AB15)</f>
        <v>0</v>
      </c>
      <c r="O15" s="69" t="n">
        <f aca="false">IF($A15="","",Data_Engine!$AC15)</f>
        <v>0</v>
      </c>
      <c r="P15" s="69" t="n">
        <f aca="false">IF($A15="","",Data_Engine!$AH15)</f>
        <v>0</v>
      </c>
      <c r="Q15" s="70" t="n">
        <f aca="false">IF($A15="","",Data_Engine!$AD15)</f>
        <v>0</v>
      </c>
      <c r="R15" s="69" t="n">
        <f aca="false">IF($A15="","",Data_Engine!$AF15)</f>
        <v>0</v>
      </c>
      <c r="S15" s="71" t="n">
        <f aca="false">IF($A15="","",$Q15-$R15)</f>
        <v>0</v>
      </c>
      <c r="T15" s="72" t="str">
        <f aca="false">IF($A15="","",IF(ROUND($R15,2)=0,"n/a",$S15/ABS($R15)))</f>
        <v>n/a</v>
      </c>
      <c r="U15" s="69" t="n">
        <f aca="false">IF($A15="","",Data_Engine!$AG15)</f>
        <v>0</v>
      </c>
      <c r="V15" s="73" t="n">
        <f aca="false">IF($A15="","",$Q15-$U15)</f>
        <v>0</v>
      </c>
      <c r="W15" s="72" t="str">
        <f aca="false">IF($A15="","",IF(ROUND($U15,2)=0,"n/a",$V15/ABS($U15)))</f>
        <v>n/a</v>
      </c>
      <c r="X15" s="74" t="str">
        <f aca="false">IF($A15="","",IF(AND(ROUND($Q15,2)=0,ROUND($R15,2)=0),"No Activity",IF(ABS($S15)&lt;Setup!$B$14,"Low",IF(ROUND($R15,2)=0,"High",IF(OR(ABS($S15/$R15)&gt;=Setup!$B$16,ABS($S15)&gt;=Setup!$B$17),"High",IF(ABS($S15/$R15)&gt;=Setup!$B$15,"Medium","Low"))))))</f>
        <v>No Activity</v>
      </c>
      <c r="Y15" s="57"/>
      <c r="Z15" s="75" t="n">
        <f aca="false">IF($A15="",-1000000000000000,IF(ROUND(ABS($S15),0)=0,-1000000000000000,ABS($S15)+ROW()/1000000))</f>
        <v>-1000000000000000</v>
      </c>
    </row>
    <row r="16" customFormat="false" ht="15" hidden="false" customHeight="false" outlineLevel="0" collapsed="false">
      <c r="A16" s="68" t="str">
        <f aca="false">IF(Data_Engine!$A16="","",Data_Engine!$A16)</f>
        <v>Credit Card Collected-INTEGRATION</v>
      </c>
      <c r="B16" s="42" t="str">
        <f aca="false">IF($A16="","",Data_Engine!$B16)</f>
        <v>Income</v>
      </c>
      <c r="C16" s="42" t="str">
        <f aca="false">IF($A16="","",Data_Engine!$D16)</f>
        <v>Integration</v>
      </c>
      <c r="D16" s="69" t="n">
        <f aca="false">IF($A16="","",Data_Engine!$R16)</f>
        <v>0</v>
      </c>
      <c r="E16" s="69" t="n">
        <f aca="false">IF($A16="","",Data_Engine!$S16)</f>
        <v>0</v>
      </c>
      <c r="F16" s="69" t="n">
        <f aca="false">IF($A16="","",Data_Engine!$T16)</f>
        <v>0</v>
      </c>
      <c r="G16" s="69" t="n">
        <f aca="false">IF($A16="","",Data_Engine!$U16)</f>
        <v>0</v>
      </c>
      <c r="H16" s="69" t="n">
        <f aca="false">IF($A16="","",Data_Engine!$V16)</f>
        <v>0</v>
      </c>
      <c r="I16" s="69" t="n">
        <f aca="false">IF($A16="","",Data_Engine!$W16)</f>
        <v>0</v>
      </c>
      <c r="J16" s="69" t="n">
        <f aca="false">IF($A16="","",Data_Engine!$X16)</f>
        <v>0</v>
      </c>
      <c r="K16" s="69" t="n">
        <f aca="false">IF($A16="","",Data_Engine!$Y16)</f>
        <v>0</v>
      </c>
      <c r="L16" s="69" t="n">
        <f aca="false">IF($A16="","",Data_Engine!$Z16)</f>
        <v>0</v>
      </c>
      <c r="M16" s="69" t="n">
        <f aca="false">IF($A16="","",Data_Engine!$AA16)</f>
        <v>0</v>
      </c>
      <c r="N16" s="69" t="n">
        <f aca="false">IF($A16="","",Data_Engine!$AB16)</f>
        <v>0</v>
      </c>
      <c r="O16" s="69" t="n">
        <f aca="false">IF($A16="","",Data_Engine!$AC16)</f>
        <v>0</v>
      </c>
      <c r="P16" s="69" t="n">
        <f aca="false">IF($A16="","",Data_Engine!$AH16)</f>
        <v>0</v>
      </c>
      <c r="Q16" s="70" t="n">
        <f aca="false">IF($A16="","",Data_Engine!$AD16)</f>
        <v>0</v>
      </c>
      <c r="R16" s="69" t="n">
        <f aca="false">IF($A16="","",Data_Engine!$AF16)</f>
        <v>0</v>
      </c>
      <c r="S16" s="71" t="n">
        <f aca="false">IF($A16="","",$Q16-$R16)</f>
        <v>0</v>
      </c>
      <c r="T16" s="72" t="str">
        <f aca="false">IF($A16="","",IF(ROUND($R16,2)=0,"n/a",$S16/ABS($R16)))</f>
        <v>n/a</v>
      </c>
      <c r="U16" s="69" t="n">
        <f aca="false">IF($A16="","",Data_Engine!$AG16)</f>
        <v>0</v>
      </c>
      <c r="V16" s="73" t="n">
        <f aca="false">IF($A16="","",$Q16-$U16)</f>
        <v>0</v>
      </c>
      <c r="W16" s="72" t="str">
        <f aca="false">IF($A16="","",IF(ROUND($U16,2)=0,"n/a",$V16/ABS($U16)))</f>
        <v>n/a</v>
      </c>
      <c r="X16" s="74" t="str">
        <f aca="false">IF($A16="","",IF(AND(ROUND($Q16,2)=0,ROUND($R16,2)=0),"No Activity",IF(ABS($S16)&lt;Setup!$B$14,"Low",IF(ROUND($R16,2)=0,"High",IF(OR(ABS($S16/$R16)&gt;=Setup!$B$16,ABS($S16)&gt;=Setup!$B$17),"High",IF(ABS($S16/$R16)&gt;=Setup!$B$15,"Medium","Low"))))))</f>
        <v>No Activity</v>
      </c>
      <c r="Y16" s="57"/>
      <c r="Z16" s="75" t="n">
        <f aca="false">IF($A16="",-1000000000000000,IF(ROUND(ABS($S16),0)=0,-1000000000000000,ABS($S16)+ROW()/1000000))</f>
        <v>-1000000000000000</v>
      </c>
    </row>
    <row r="17" customFormat="false" ht="15" hidden="false" customHeight="false" outlineLevel="0" collapsed="false">
      <c r="A17" s="68" t="str">
        <f aca="false">IF(Data_Engine!$A17="","",Data_Engine!$A17)</f>
        <v>Credit Card Fees - ADMIN</v>
      </c>
      <c r="B17" s="42" t="str">
        <f aca="false">IF($A17="","",Data_Engine!$B17)</f>
        <v>Income</v>
      </c>
      <c r="C17" s="42" t="str">
        <f aca="false">IF($A17="","",Data_Engine!$D17)</f>
        <v>Admin</v>
      </c>
      <c r="D17" s="69" t="n">
        <f aca="false">IF($A17="","",Data_Engine!$R17)</f>
        <v>0</v>
      </c>
      <c r="E17" s="69" t="n">
        <f aca="false">IF($A17="","",Data_Engine!$S17)</f>
        <v>0</v>
      </c>
      <c r="F17" s="69" t="n">
        <f aca="false">IF($A17="","",Data_Engine!$T17)</f>
        <v>0</v>
      </c>
      <c r="G17" s="69" t="n">
        <f aca="false">IF($A17="","",Data_Engine!$U17)</f>
        <v>0</v>
      </c>
      <c r="H17" s="69" t="n">
        <f aca="false">IF($A17="","",Data_Engine!$V17)</f>
        <v>0</v>
      </c>
      <c r="I17" s="69" t="n">
        <f aca="false">IF($A17="","",Data_Engine!$W17)</f>
        <v>0</v>
      </c>
      <c r="J17" s="69" t="n">
        <f aca="false">IF($A17="","",Data_Engine!$X17)</f>
        <v>0</v>
      </c>
      <c r="K17" s="69" t="n">
        <f aca="false">IF($A17="","",Data_Engine!$Y17)</f>
        <v>0</v>
      </c>
      <c r="L17" s="69" t="n">
        <f aca="false">IF($A17="","",Data_Engine!$Z17)</f>
        <v>0</v>
      </c>
      <c r="M17" s="69" t="n">
        <f aca="false">IF($A17="","",Data_Engine!$AA17)</f>
        <v>0</v>
      </c>
      <c r="N17" s="69" t="n">
        <f aca="false">IF($A17="","",Data_Engine!$AB17)</f>
        <v>0</v>
      </c>
      <c r="O17" s="69" t="n">
        <f aca="false">IF($A17="","",Data_Engine!$AC17)</f>
        <v>0</v>
      </c>
      <c r="P17" s="69" t="n">
        <f aca="false">IF($A17="","",Data_Engine!$AH17)</f>
        <v>0</v>
      </c>
      <c r="Q17" s="70" t="n">
        <f aca="false">IF($A17="","",Data_Engine!$AD17)</f>
        <v>0</v>
      </c>
      <c r="R17" s="69" t="n">
        <f aca="false">IF($A17="","",Data_Engine!$AF17)</f>
        <v>0</v>
      </c>
      <c r="S17" s="71" t="n">
        <f aca="false">IF($A17="","",$Q17-$R17)</f>
        <v>0</v>
      </c>
      <c r="T17" s="72" t="str">
        <f aca="false">IF($A17="","",IF(ROUND($R17,2)=0,"n/a",$S17/ABS($R17)))</f>
        <v>n/a</v>
      </c>
      <c r="U17" s="69" t="n">
        <f aca="false">IF($A17="","",Data_Engine!$AG17)</f>
        <v>0</v>
      </c>
      <c r="V17" s="73" t="n">
        <f aca="false">IF($A17="","",$Q17-$U17)</f>
        <v>0</v>
      </c>
      <c r="W17" s="72" t="str">
        <f aca="false">IF($A17="","",IF(ROUND($U17,2)=0,"n/a",$V17/ABS($U17)))</f>
        <v>n/a</v>
      </c>
      <c r="X17" s="74" t="str">
        <f aca="false">IF($A17="","",IF(AND(ROUND($Q17,2)=0,ROUND($R17,2)=0),"No Activity",IF(ABS($S17)&lt;Setup!$B$14,"Low",IF(ROUND($R17,2)=0,"High",IF(OR(ABS($S17/$R17)&gt;=Setup!$B$16,ABS($S17)&gt;=Setup!$B$17),"High",IF(ABS($S17/$R17)&gt;=Setup!$B$15,"Medium","Low"))))))</f>
        <v>No Activity</v>
      </c>
      <c r="Y17" s="57"/>
      <c r="Z17" s="75" t="n">
        <f aca="false">IF($A17="",-1000000000000000,IF(ROUND(ABS($S17),0)=0,-1000000000000000,ABS($S17)+ROW()/1000000))</f>
        <v>-1000000000000000</v>
      </c>
    </row>
    <row r="18" customFormat="false" ht="15" hidden="false" customHeight="false" outlineLevel="0" collapsed="false">
      <c r="A18" s="68" t="str">
        <f aca="false">IF(Data_Engine!$A18="","",Data_Engine!$A18)</f>
        <v>Equipment Hires</v>
      </c>
      <c r="B18" s="42" t="str">
        <f aca="false">IF($A18="","",Data_Engine!$B18)</f>
        <v>Income</v>
      </c>
      <c r="C18" s="42" t="str">
        <f aca="false">IF($A18="","",Data_Engine!$D18)</f>
        <v>Unallocated</v>
      </c>
      <c r="D18" s="69" t="n">
        <f aca="false">IF($A18="","",Data_Engine!$R18)</f>
        <v>0</v>
      </c>
      <c r="E18" s="69" t="n">
        <f aca="false">IF($A18="","",Data_Engine!$S18)</f>
        <v>0</v>
      </c>
      <c r="F18" s="69" t="n">
        <f aca="false">IF($A18="","",Data_Engine!$T18)</f>
        <v>0</v>
      </c>
      <c r="G18" s="69" t="n">
        <f aca="false">IF($A18="","",Data_Engine!$U18)</f>
        <v>0</v>
      </c>
      <c r="H18" s="69" t="n">
        <f aca="false">IF($A18="","",Data_Engine!$V18)</f>
        <v>0</v>
      </c>
      <c r="I18" s="69" t="n">
        <f aca="false">IF($A18="","",Data_Engine!$W18)</f>
        <v>0</v>
      </c>
      <c r="J18" s="69" t="n">
        <f aca="false">IF($A18="","",Data_Engine!$X18)</f>
        <v>0</v>
      </c>
      <c r="K18" s="69" t="n">
        <f aca="false">IF($A18="","",Data_Engine!$Y18)</f>
        <v>0</v>
      </c>
      <c r="L18" s="69" t="n">
        <f aca="false">IF($A18="","",Data_Engine!$Z18)</f>
        <v>0</v>
      </c>
      <c r="M18" s="69" t="n">
        <f aca="false">IF($A18="","",Data_Engine!$AA18)</f>
        <v>0</v>
      </c>
      <c r="N18" s="69" t="n">
        <f aca="false">IF($A18="","",Data_Engine!$AB18)</f>
        <v>0</v>
      </c>
      <c r="O18" s="69" t="n">
        <f aca="false">IF($A18="","",Data_Engine!$AC18)</f>
        <v>0</v>
      </c>
      <c r="P18" s="69" t="n">
        <f aca="false">IF($A18="","",Data_Engine!$AH18)</f>
        <v>0</v>
      </c>
      <c r="Q18" s="70" t="n">
        <f aca="false">IF($A18="","",Data_Engine!$AD18)</f>
        <v>0</v>
      </c>
      <c r="R18" s="69" t="n">
        <f aca="false">IF($A18="","",Data_Engine!$AF18)</f>
        <v>0</v>
      </c>
      <c r="S18" s="71" t="n">
        <f aca="false">IF($A18="","",$Q18-$R18)</f>
        <v>0</v>
      </c>
      <c r="T18" s="72" t="str">
        <f aca="false">IF($A18="","",IF(ROUND($R18,2)=0,"n/a",$S18/ABS($R18)))</f>
        <v>n/a</v>
      </c>
      <c r="U18" s="69" t="n">
        <f aca="false">IF($A18="","",Data_Engine!$AG18)</f>
        <v>0</v>
      </c>
      <c r="V18" s="73" t="n">
        <f aca="false">IF($A18="","",$Q18-$U18)</f>
        <v>0</v>
      </c>
      <c r="W18" s="72" t="str">
        <f aca="false">IF($A18="","",IF(ROUND($U18,2)=0,"n/a",$V18/ABS($U18)))</f>
        <v>n/a</v>
      </c>
      <c r="X18" s="74" t="str">
        <f aca="false">IF($A18="","",IF(AND(ROUND($Q18,2)=0,ROUND($R18,2)=0),"No Activity",IF(ABS($S18)&lt;Setup!$B$14,"Low",IF(ROUND($R18,2)=0,"High",IF(OR(ABS($S18/$R18)&gt;=Setup!$B$16,ABS($S18)&gt;=Setup!$B$17),"High",IF(ABS($S18/$R18)&gt;=Setup!$B$15,"Medium","Low"))))))</f>
        <v>No Activity</v>
      </c>
      <c r="Y18" s="57"/>
      <c r="Z18" s="75" t="n">
        <f aca="false">IF($A18="",-1000000000000000,IF(ROUND(ABS($S18),0)=0,-1000000000000000,ABS($S18)+ROW()/1000000))</f>
        <v>-1000000000000000</v>
      </c>
    </row>
    <row r="19" customFormat="false" ht="15" hidden="false" customHeight="false" outlineLevel="0" collapsed="false">
      <c r="A19" s="68" t="str">
        <f aca="false">IF(Data_Engine!$A19="","",Data_Engine!$A19)</f>
        <v>Equipment Sales</v>
      </c>
      <c r="B19" s="42" t="str">
        <f aca="false">IF($A19="","",Data_Engine!$B19)</f>
        <v>Income</v>
      </c>
      <c r="C19" s="42" t="str">
        <f aca="false">IF($A19="","",Data_Engine!$D19)</f>
        <v>Unallocated</v>
      </c>
      <c r="D19" s="69" t="n">
        <f aca="false">IF($A19="","",Data_Engine!$R19)</f>
        <v>0</v>
      </c>
      <c r="E19" s="69" t="n">
        <f aca="false">IF($A19="","",Data_Engine!$S19)</f>
        <v>0</v>
      </c>
      <c r="F19" s="69" t="n">
        <f aca="false">IF($A19="","",Data_Engine!$T19)</f>
        <v>0</v>
      </c>
      <c r="G19" s="69" t="n">
        <f aca="false">IF($A19="","",Data_Engine!$U19)</f>
        <v>0</v>
      </c>
      <c r="H19" s="69" t="n">
        <f aca="false">IF($A19="","",Data_Engine!$V19)</f>
        <v>0</v>
      </c>
      <c r="I19" s="69" t="n">
        <f aca="false">IF($A19="","",Data_Engine!$W19)</f>
        <v>0</v>
      </c>
      <c r="J19" s="69" t="n">
        <f aca="false">IF($A19="","",Data_Engine!$X19)</f>
        <v>0</v>
      </c>
      <c r="K19" s="69" t="n">
        <f aca="false">IF($A19="","",Data_Engine!$Y19)</f>
        <v>0</v>
      </c>
      <c r="L19" s="69" t="n">
        <f aca="false">IF($A19="","",Data_Engine!$Z19)</f>
        <v>0</v>
      </c>
      <c r="M19" s="69" t="n">
        <f aca="false">IF($A19="","",Data_Engine!$AA19)</f>
        <v>0</v>
      </c>
      <c r="N19" s="69" t="n">
        <f aca="false">IF($A19="","",Data_Engine!$AB19)</f>
        <v>0</v>
      </c>
      <c r="O19" s="69" t="n">
        <f aca="false">IF($A19="","",Data_Engine!$AC19)</f>
        <v>0</v>
      </c>
      <c r="P19" s="69" t="n">
        <f aca="false">IF($A19="","",Data_Engine!$AH19)</f>
        <v>0</v>
      </c>
      <c r="Q19" s="70" t="n">
        <f aca="false">IF($A19="","",Data_Engine!$AD19)</f>
        <v>0</v>
      </c>
      <c r="R19" s="69" t="n">
        <f aca="false">IF($A19="","",Data_Engine!$AF19)</f>
        <v>0</v>
      </c>
      <c r="S19" s="71" t="n">
        <f aca="false">IF($A19="","",$Q19-$R19)</f>
        <v>0</v>
      </c>
      <c r="T19" s="72" t="str">
        <f aca="false">IF($A19="","",IF(ROUND($R19,2)=0,"n/a",$S19/ABS($R19)))</f>
        <v>n/a</v>
      </c>
      <c r="U19" s="69" t="n">
        <f aca="false">IF($A19="","",Data_Engine!$AG19)</f>
        <v>0</v>
      </c>
      <c r="V19" s="73" t="n">
        <f aca="false">IF($A19="","",$Q19-$U19)</f>
        <v>0</v>
      </c>
      <c r="W19" s="72" t="str">
        <f aca="false">IF($A19="","",IF(ROUND($U19,2)=0,"n/a",$V19/ABS($U19)))</f>
        <v>n/a</v>
      </c>
      <c r="X19" s="74" t="str">
        <f aca="false">IF($A19="","",IF(AND(ROUND($Q19,2)=0,ROUND($R19,2)=0),"No Activity",IF(ABS($S19)&lt;Setup!$B$14,"Low",IF(ROUND($R19,2)=0,"High",IF(OR(ABS($S19/$R19)&gt;=Setup!$B$16,ABS($S19)&gt;=Setup!$B$17),"High",IF(ABS($S19/$R19)&gt;=Setup!$B$15,"Medium","Low"))))))</f>
        <v>No Activity</v>
      </c>
      <c r="Y19" s="57"/>
      <c r="Z19" s="75" t="n">
        <f aca="false">IF($A19="",-1000000000000000,IF(ROUND(ABS($S19),0)=0,-1000000000000000,ABS($S19)+ROW()/1000000))</f>
        <v>-1000000000000000</v>
      </c>
    </row>
    <row r="20" customFormat="false" ht="15" hidden="false" customHeight="false" outlineLevel="0" collapsed="false">
      <c r="A20" s="68" t="str">
        <f aca="false">IF(Data_Engine!$A20="","",Data_Engine!$A20)</f>
        <v>Freight &amp; Travel - ADMIN</v>
      </c>
      <c r="B20" s="42" t="str">
        <f aca="false">IF($A20="","",Data_Engine!$B20)</f>
        <v>Income</v>
      </c>
      <c r="C20" s="42" t="str">
        <f aca="false">IF($A20="","",Data_Engine!$D20)</f>
        <v>Admin</v>
      </c>
      <c r="D20" s="69" t="n">
        <f aca="false">IF($A20="","",Data_Engine!$R20)</f>
        <v>0</v>
      </c>
      <c r="E20" s="69" t="n">
        <f aca="false">IF($A20="","",Data_Engine!$S20)</f>
        <v>0</v>
      </c>
      <c r="F20" s="69" t="n">
        <f aca="false">IF($A20="","",Data_Engine!$T20)</f>
        <v>0</v>
      </c>
      <c r="G20" s="69" t="n">
        <f aca="false">IF($A20="","",Data_Engine!$U20)</f>
        <v>0</v>
      </c>
      <c r="H20" s="69" t="n">
        <f aca="false">IF($A20="","",Data_Engine!$V20)</f>
        <v>0</v>
      </c>
      <c r="I20" s="69" t="n">
        <f aca="false">IF($A20="","",Data_Engine!$W20)</f>
        <v>0</v>
      </c>
      <c r="J20" s="69" t="n">
        <f aca="false">IF($A20="","",Data_Engine!$X20)</f>
        <v>0</v>
      </c>
      <c r="K20" s="69" t="n">
        <f aca="false">IF($A20="","",Data_Engine!$Y20)</f>
        <v>0</v>
      </c>
      <c r="L20" s="69" t="n">
        <f aca="false">IF($A20="","",Data_Engine!$Z20)</f>
        <v>0</v>
      </c>
      <c r="M20" s="69" t="n">
        <f aca="false">IF($A20="","",Data_Engine!$AA20)</f>
        <v>0</v>
      </c>
      <c r="N20" s="69" t="n">
        <f aca="false">IF($A20="","",Data_Engine!$AB20)</f>
        <v>0</v>
      </c>
      <c r="O20" s="69" t="n">
        <f aca="false">IF($A20="","",Data_Engine!$AC20)</f>
        <v>0</v>
      </c>
      <c r="P20" s="69" t="n">
        <f aca="false">IF($A20="","",Data_Engine!$AH20)</f>
        <v>0</v>
      </c>
      <c r="Q20" s="70" t="n">
        <f aca="false">IF($A20="","",Data_Engine!$AD20)</f>
        <v>0</v>
      </c>
      <c r="R20" s="69" t="n">
        <f aca="false">IF($A20="","",Data_Engine!$AF20)</f>
        <v>0</v>
      </c>
      <c r="S20" s="71" t="n">
        <f aca="false">IF($A20="","",$Q20-$R20)</f>
        <v>0</v>
      </c>
      <c r="T20" s="72" t="str">
        <f aca="false">IF($A20="","",IF(ROUND($R20,2)=0,"n/a",$S20/ABS($R20)))</f>
        <v>n/a</v>
      </c>
      <c r="U20" s="69" t="n">
        <f aca="false">IF($A20="","",Data_Engine!$AG20)</f>
        <v>0</v>
      </c>
      <c r="V20" s="73" t="n">
        <f aca="false">IF($A20="","",$Q20-$U20)</f>
        <v>0</v>
      </c>
      <c r="W20" s="72" t="str">
        <f aca="false">IF($A20="","",IF(ROUND($U20,2)=0,"n/a",$V20/ABS($U20)))</f>
        <v>n/a</v>
      </c>
      <c r="X20" s="74" t="str">
        <f aca="false">IF($A20="","",IF(AND(ROUND($Q20,2)=0,ROUND($R20,2)=0),"No Activity",IF(ABS($S20)&lt;Setup!$B$14,"Low",IF(ROUND($R20,2)=0,"High",IF(OR(ABS($S20/$R20)&gt;=Setup!$B$16,ABS($S20)&gt;=Setup!$B$17),"High",IF(ABS($S20/$R20)&gt;=Setup!$B$15,"Medium","Low"))))))</f>
        <v>No Activity</v>
      </c>
      <c r="Y20" s="57"/>
      <c r="Z20" s="75" t="n">
        <f aca="false">IF($A20="",-1000000000000000,IF(ROUND(ABS($S20),0)=0,-1000000000000000,ABS($S20)+ROW()/1000000))</f>
        <v>-1000000000000000</v>
      </c>
    </row>
    <row r="21" customFormat="false" ht="15" hidden="false" customHeight="false" outlineLevel="0" collapsed="false">
      <c r="A21" s="68" t="str">
        <f aca="false">IF(Data_Engine!$A21="","",Data_Engine!$A21)</f>
        <v>Freight &amp; Travel - CONS</v>
      </c>
      <c r="B21" s="42" t="str">
        <f aca="false">IF($A21="","",Data_Engine!$B21)</f>
        <v>Income</v>
      </c>
      <c r="C21" s="42" t="str">
        <f aca="false">IF($A21="","",Data_Engine!$D21)</f>
        <v>Consulting</v>
      </c>
      <c r="D21" s="69" t="n">
        <f aca="false">IF($A21="","",Data_Engine!$R21)</f>
        <v>0</v>
      </c>
      <c r="E21" s="69" t="n">
        <f aca="false">IF($A21="","",Data_Engine!$S21)</f>
        <v>0</v>
      </c>
      <c r="F21" s="69" t="n">
        <f aca="false">IF($A21="","",Data_Engine!$T21)</f>
        <v>0</v>
      </c>
      <c r="G21" s="69" t="n">
        <f aca="false">IF($A21="","",Data_Engine!$U21)</f>
        <v>0</v>
      </c>
      <c r="H21" s="69" t="n">
        <f aca="false">IF($A21="","",Data_Engine!$V21)</f>
        <v>0</v>
      </c>
      <c r="I21" s="69" t="n">
        <f aca="false">IF($A21="","",Data_Engine!$W21)</f>
        <v>0</v>
      </c>
      <c r="J21" s="69" t="n">
        <f aca="false">IF($A21="","",Data_Engine!$X21)</f>
        <v>0</v>
      </c>
      <c r="K21" s="69" t="n">
        <f aca="false">IF($A21="","",Data_Engine!$Y21)</f>
        <v>0</v>
      </c>
      <c r="L21" s="69" t="n">
        <f aca="false">IF($A21="","",Data_Engine!$Z21)</f>
        <v>0</v>
      </c>
      <c r="M21" s="69" t="n">
        <f aca="false">IF($A21="","",Data_Engine!$AA21)</f>
        <v>0</v>
      </c>
      <c r="N21" s="69" t="n">
        <f aca="false">IF($A21="","",Data_Engine!$AB21)</f>
        <v>0</v>
      </c>
      <c r="O21" s="69" t="n">
        <f aca="false">IF($A21="","",Data_Engine!$AC21)</f>
        <v>0</v>
      </c>
      <c r="P21" s="69" t="n">
        <f aca="false">IF($A21="","",Data_Engine!$AH21)</f>
        <v>0</v>
      </c>
      <c r="Q21" s="70" t="n">
        <f aca="false">IF($A21="","",Data_Engine!$AD21)</f>
        <v>0</v>
      </c>
      <c r="R21" s="69" t="n">
        <f aca="false">IF($A21="","",Data_Engine!$AF21)</f>
        <v>0</v>
      </c>
      <c r="S21" s="71" t="n">
        <f aca="false">IF($A21="","",$Q21-$R21)</f>
        <v>0</v>
      </c>
      <c r="T21" s="72" t="str">
        <f aca="false">IF($A21="","",IF(ROUND($R21,2)=0,"n/a",$S21/ABS($R21)))</f>
        <v>n/a</v>
      </c>
      <c r="U21" s="69" t="n">
        <f aca="false">IF($A21="","",Data_Engine!$AG21)</f>
        <v>0</v>
      </c>
      <c r="V21" s="73" t="n">
        <f aca="false">IF($A21="","",$Q21-$U21)</f>
        <v>0</v>
      </c>
      <c r="W21" s="72" t="str">
        <f aca="false">IF($A21="","",IF(ROUND($U21,2)=0,"n/a",$V21/ABS($U21)))</f>
        <v>n/a</v>
      </c>
      <c r="X21" s="74" t="str">
        <f aca="false">IF($A21="","",IF(AND(ROUND($Q21,2)=0,ROUND($R21,2)=0),"No Activity",IF(ABS($S21)&lt;Setup!$B$14,"Low",IF(ROUND($R21,2)=0,"High",IF(OR(ABS($S21/$R21)&gt;=Setup!$B$16,ABS($S21)&gt;=Setup!$B$17),"High",IF(ABS($S21/$R21)&gt;=Setup!$B$15,"Medium","Low"))))))</f>
        <v>No Activity</v>
      </c>
      <c r="Y21" s="57"/>
      <c r="Z21" s="75" t="n">
        <f aca="false">IF($A21="",-1000000000000000,IF(ROUND(ABS($S21),0)=0,-1000000000000000,ABS($S21)+ROW()/1000000))</f>
        <v>-1000000000000000</v>
      </c>
    </row>
    <row r="22" customFormat="false" ht="15" hidden="false" customHeight="false" outlineLevel="0" collapsed="false">
      <c r="A22" s="68" t="str">
        <f aca="false">IF(Data_Engine!$A22="","",Data_Engine!$A22)</f>
        <v>Freight &amp; Travel - INTEGRATION</v>
      </c>
      <c r="B22" s="42" t="str">
        <f aca="false">IF($A22="","",Data_Engine!$B22)</f>
        <v>Income</v>
      </c>
      <c r="C22" s="42" t="str">
        <f aca="false">IF($A22="","",Data_Engine!$D22)</f>
        <v>Integration</v>
      </c>
      <c r="D22" s="69" t="n">
        <f aca="false">IF($A22="","",Data_Engine!$R22)</f>
        <v>0</v>
      </c>
      <c r="E22" s="69" t="n">
        <f aca="false">IF($A22="","",Data_Engine!$S22)</f>
        <v>0</v>
      </c>
      <c r="F22" s="69" t="n">
        <f aca="false">IF($A22="","",Data_Engine!$T22)</f>
        <v>0</v>
      </c>
      <c r="G22" s="69" t="n">
        <f aca="false">IF($A22="","",Data_Engine!$U22)</f>
        <v>0</v>
      </c>
      <c r="H22" s="69" t="n">
        <f aca="false">IF($A22="","",Data_Engine!$V22)</f>
        <v>0</v>
      </c>
      <c r="I22" s="69" t="n">
        <f aca="false">IF($A22="","",Data_Engine!$W22)</f>
        <v>0</v>
      </c>
      <c r="J22" s="69" t="n">
        <f aca="false">IF($A22="","",Data_Engine!$X22)</f>
        <v>0</v>
      </c>
      <c r="K22" s="69" t="n">
        <f aca="false">IF($A22="","",Data_Engine!$Y22)</f>
        <v>0</v>
      </c>
      <c r="L22" s="69" t="n">
        <f aca="false">IF($A22="","",Data_Engine!$Z22)</f>
        <v>0</v>
      </c>
      <c r="M22" s="69" t="n">
        <f aca="false">IF($A22="","",Data_Engine!$AA22)</f>
        <v>0</v>
      </c>
      <c r="N22" s="69" t="n">
        <f aca="false">IF($A22="","",Data_Engine!$AB22)</f>
        <v>0</v>
      </c>
      <c r="O22" s="69" t="n">
        <f aca="false">IF($A22="","",Data_Engine!$AC22)</f>
        <v>0</v>
      </c>
      <c r="P22" s="69" t="n">
        <f aca="false">IF($A22="","",Data_Engine!$AH22)</f>
        <v>0</v>
      </c>
      <c r="Q22" s="70" t="n">
        <f aca="false">IF($A22="","",Data_Engine!$AD22)</f>
        <v>0</v>
      </c>
      <c r="R22" s="69" t="n">
        <f aca="false">IF($A22="","",Data_Engine!$AF22)</f>
        <v>0</v>
      </c>
      <c r="S22" s="71" t="n">
        <f aca="false">IF($A22="","",$Q22-$R22)</f>
        <v>0</v>
      </c>
      <c r="T22" s="72" t="str">
        <f aca="false">IF($A22="","",IF(ROUND($R22,2)=0,"n/a",$S22/ABS($R22)))</f>
        <v>n/a</v>
      </c>
      <c r="U22" s="69" t="n">
        <f aca="false">IF($A22="","",Data_Engine!$AG22)</f>
        <v>0</v>
      </c>
      <c r="V22" s="73" t="n">
        <f aca="false">IF($A22="","",$Q22-$U22)</f>
        <v>0</v>
      </c>
      <c r="W22" s="72" t="str">
        <f aca="false">IF($A22="","",IF(ROUND($U22,2)=0,"n/a",$V22/ABS($U22)))</f>
        <v>n/a</v>
      </c>
      <c r="X22" s="74" t="str">
        <f aca="false">IF($A22="","",IF(AND(ROUND($Q22,2)=0,ROUND($R22,2)=0),"No Activity",IF(ABS($S22)&lt;Setup!$B$14,"Low",IF(ROUND($R22,2)=0,"High",IF(OR(ABS($S22/$R22)&gt;=Setup!$B$16,ABS($S22)&gt;=Setup!$B$17),"High",IF(ABS($S22/$R22)&gt;=Setup!$B$15,"Medium","Low"))))))</f>
        <v>No Activity</v>
      </c>
      <c r="Y22" s="57"/>
      <c r="Z22" s="75" t="n">
        <f aca="false">IF($A22="",-1000000000000000,IF(ROUND(ABS($S22),0)=0,-1000000000000000,ABS($S22)+ROW()/1000000))</f>
        <v>-1000000000000000</v>
      </c>
    </row>
    <row r="23" customFormat="false" ht="15" hidden="false" customHeight="false" outlineLevel="0" collapsed="false">
      <c r="A23" s="68" t="str">
        <f aca="false">IF(Data_Engine!$A23="","",Data_Engine!$A23)</f>
        <v>Freight &amp; Travel - ONS</v>
      </c>
      <c r="B23" s="42" t="str">
        <f aca="false">IF($A23="","",Data_Engine!$B23)</f>
        <v>Income</v>
      </c>
      <c r="C23" s="42" t="str">
        <f aca="false">IF($A23="","",Data_Engine!$D23)</f>
        <v>Onsite</v>
      </c>
      <c r="D23" s="69" t="n">
        <f aca="false">IF($A23="","",Data_Engine!$R23)</f>
        <v>0</v>
      </c>
      <c r="E23" s="69" t="n">
        <f aca="false">IF($A23="","",Data_Engine!$S23)</f>
        <v>0</v>
      </c>
      <c r="F23" s="69" t="n">
        <f aca="false">IF($A23="","",Data_Engine!$T23)</f>
        <v>0</v>
      </c>
      <c r="G23" s="69" t="n">
        <f aca="false">IF($A23="","",Data_Engine!$U23)</f>
        <v>0</v>
      </c>
      <c r="H23" s="69" t="n">
        <f aca="false">IF($A23="","",Data_Engine!$V23)</f>
        <v>0</v>
      </c>
      <c r="I23" s="69" t="n">
        <f aca="false">IF($A23="","",Data_Engine!$W23)</f>
        <v>0</v>
      </c>
      <c r="J23" s="69" t="n">
        <f aca="false">IF($A23="","",Data_Engine!$X23)</f>
        <v>0</v>
      </c>
      <c r="K23" s="69" t="n">
        <f aca="false">IF($A23="","",Data_Engine!$Y23)</f>
        <v>0</v>
      </c>
      <c r="L23" s="69" t="n">
        <f aca="false">IF($A23="","",Data_Engine!$Z23)</f>
        <v>0</v>
      </c>
      <c r="M23" s="69" t="n">
        <f aca="false">IF($A23="","",Data_Engine!$AA23)</f>
        <v>0</v>
      </c>
      <c r="N23" s="69" t="n">
        <f aca="false">IF($A23="","",Data_Engine!$AB23)</f>
        <v>0</v>
      </c>
      <c r="O23" s="69" t="n">
        <f aca="false">IF($A23="","",Data_Engine!$AC23)</f>
        <v>0</v>
      </c>
      <c r="P23" s="69" t="n">
        <f aca="false">IF($A23="","",Data_Engine!$AH23)</f>
        <v>0</v>
      </c>
      <c r="Q23" s="70" t="n">
        <f aca="false">IF($A23="","",Data_Engine!$AD23)</f>
        <v>0</v>
      </c>
      <c r="R23" s="69" t="n">
        <f aca="false">IF($A23="","",Data_Engine!$AF23)</f>
        <v>0</v>
      </c>
      <c r="S23" s="71" t="n">
        <f aca="false">IF($A23="","",$Q23-$R23)</f>
        <v>0</v>
      </c>
      <c r="T23" s="72" t="str">
        <f aca="false">IF($A23="","",IF(ROUND($R23,2)=0,"n/a",$S23/ABS($R23)))</f>
        <v>n/a</v>
      </c>
      <c r="U23" s="69" t="n">
        <f aca="false">IF($A23="","",Data_Engine!$AG23)</f>
        <v>0</v>
      </c>
      <c r="V23" s="73" t="n">
        <f aca="false">IF($A23="","",$Q23-$U23)</f>
        <v>0</v>
      </c>
      <c r="W23" s="72" t="str">
        <f aca="false">IF($A23="","",IF(ROUND($U23,2)=0,"n/a",$V23/ABS($U23)))</f>
        <v>n/a</v>
      </c>
      <c r="X23" s="74" t="str">
        <f aca="false">IF($A23="","",IF(AND(ROUND($Q23,2)=0,ROUND($R23,2)=0),"No Activity",IF(ABS($S23)&lt;Setup!$B$14,"Low",IF(ROUND($R23,2)=0,"High",IF(OR(ABS($S23/$R23)&gt;=Setup!$B$16,ABS($S23)&gt;=Setup!$B$17),"High",IF(ABS($S23/$R23)&gt;=Setup!$B$15,"Medium","Low"))))))</f>
        <v>No Activity</v>
      </c>
      <c r="Y23" s="57"/>
      <c r="Z23" s="75" t="n">
        <f aca="false">IF($A23="",-1000000000000000,IF(ROUND(ABS($S23),0)=0,-1000000000000000,ABS($S23)+ROW()/1000000))</f>
        <v>-1000000000000000</v>
      </c>
    </row>
    <row r="24" customFormat="false" ht="15" hidden="false" customHeight="false" outlineLevel="0" collapsed="false">
      <c r="A24" s="68" t="str">
        <f aca="false">IF(Data_Engine!$A24="","",Data_Engine!$A24)</f>
        <v>Freight &amp; Travel - PRD</v>
      </c>
      <c r="B24" s="42" t="str">
        <f aca="false">IF($A24="","",Data_Engine!$B24)</f>
        <v>Income</v>
      </c>
      <c r="C24" s="42" t="str">
        <f aca="false">IF($A24="","",Data_Engine!$D24)</f>
        <v>Production</v>
      </c>
      <c r="D24" s="69" t="n">
        <f aca="false">IF($A24="","",Data_Engine!$R24)</f>
        <v>0</v>
      </c>
      <c r="E24" s="69" t="n">
        <f aca="false">IF($A24="","",Data_Engine!$S24)</f>
        <v>0</v>
      </c>
      <c r="F24" s="69" t="n">
        <f aca="false">IF($A24="","",Data_Engine!$T24)</f>
        <v>0</v>
      </c>
      <c r="G24" s="69" t="n">
        <f aca="false">IF($A24="","",Data_Engine!$U24)</f>
        <v>0</v>
      </c>
      <c r="H24" s="69" t="n">
        <f aca="false">IF($A24="","",Data_Engine!$V24)</f>
        <v>0</v>
      </c>
      <c r="I24" s="69" t="n">
        <f aca="false">IF($A24="","",Data_Engine!$W24)</f>
        <v>0</v>
      </c>
      <c r="J24" s="69" t="n">
        <f aca="false">IF($A24="","",Data_Engine!$X24)</f>
        <v>0</v>
      </c>
      <c r="K24" s="69" t="n">
        <f aca="false">IF($A24="","",Data_Engine!$Y24)</f>
        <v>0</v>
      </c>
      <c r="L24" s="69" t="n">
        <f aca="false">IF($A24="","",Data_Engine!$Z24)</f>
        <v>0</v>
      </c>
      <c r="M24" s="69" t="n">
        <f aca="false">IF($A24="","",Data_Engine!$AA24)</f>
        <v>0</v>
      </c>
      <c r="N24" s="69" t="n">
        <f aca="false">IF($A24="","",Data_Engine!$AB24)</f>
        <v>0</v>
      </c>
      <c r="O24" s="69" t="n">
        <f aca="false">IF($A24="","",Data_Engine!$AC24)</f>
        <v>0</v>
      </c>
      <c r="P24" s="69" t="n">
        <f aca="false">IF($A24="","",Data_Engine!$AH24)</f>
        <v>0</v>
      </c>
      <c r="Q24" s="70" t="n">
        <f aca="false">IF($A24="","",Data_Engine!$AD24)</f>
        <v>0</v>
      </c>
      <c r="R24" s="69" t="n">
        <f aca="false">IF($A24="","",Data_Engine!$AF24)</f>
        <v>0</v>
      </c>
      <c r="S24" s="71" t="n">
        <f aca="false">IF($A24="","",$Q24-$R24)</f>
        <v>0</v>
      </c>
      <c r="T24" s="72" t="str">
        <f aca="false">IF($A24="","",IF(ROUND($R24,2)=0,"n/a",$S24/ABS($R24)))</f>
        <v>n/a</v>
      </c>
      <c r="U24" s="69" t="n">
        <f aca="false">IF($A24="","",Data_Engine!$AG24)</f>
        <v>0</v>
      </c>
      <c r="V24" s="73" t="n">
        <f aca="false">IF($A24="","",$Q24-$U24)</f>
        <v>0</v>
      </c>
      <c r="W24" s="72" t="str">
        <f aca="false">IF($A24="","",IF(ROUND($U24,2)=0,"n/a",$V24/ABS($U24)))</f>
        <v>n/a</v>
      </c>
      <c r="X24" s="74" t="str">
        <f aca="false">IF($A24="","",IF(AND(ROUND($Q24,2)=0,ROUND($R24,2)=0),"No Activity",IF(ABS($S24)&lt;Setup!$B$14,"Low",IF(ROUND($R24,2)=0,"High",IF(OR(ABS($S24/$R24)&gt;=Setup!$B$16,ABS($S24)&gt;=Setup!$B$17),"High",IF(ABS($S24/$R24)&gt;=Setup!$B$15,"Medium","Low"))))))</f>
        <v>No Activity</v>
      </c>
      <c r="Y24" s="57"/>
      <c r="Z24" s="75" t="n">
        <f aca="false">IF($A24="",-1000000000000000,IF(ROUND(ABS($S24),0)=0,-1000000000000000,ABS($S24)+ROW()/1000000))</f>
        <v>-1000000000000000</v>
      </c>
    </row>
    <row r="25" customFormat="false" ht="15" hidden="false" customHeight="false" outlineLevel="0" collapsed="false">
      <c r="A25" s="68" t="str">
        <f aca="false">IF(Data_Engine!$A25="","",Data_Engine!$A25)</f>
        <v>Freight &amp; Travel - VID</v>
      </c>
      <c r="B25" s="42" t="str">
        <f aca="false">IF($A25="","",Data_Engine!$B25)</f>
        <v>Income</v>
      </c>
      <c r="C25" s="42" t="str">
        <f aca="false">IF($A25="","",Data_Engine!$D25)</f>
        <v>Video</v>
      </c>
      <c r="D25" s="69" t="n">
        <f aca="false">IF($A25="","",Data_Engine!$R25)</f>
        <v>0</v>
      </c>
      <c r="E25" s="69" t="n">
        <f aca="false">IF($A25="","",Data_Engine!$S25)</f>
        <v>0</v>
      </c>
      <c r="F25" s="69" t="n">
        <f aca="false">IF($A25="","",Data_Engine!$T25)</f>
        <v>0</v>
      </c>
      <c r="G25" s="69" t="n">
        <f aca="false">IF($A25="","",Data_Engine!$U25)</f>
        <v>0</v>
      </c>
      <c r="H25" s="69" t="n">
        <f aca="false">IF($A25="","",Data_Engine!$V25)</f>
        <v>0</v>
      </c>
      <c r="I25" s="69" t="n">
        <f aca="false">IF($A25="","",Data_Engine!$W25)</f>
        <v>0</v>
      </c>
      <c r="J25" s="69" t="n">
        <f aca="false">IF($A25="","",Data_Engine!$X25)</f>
        <v>0</v>
      </c>
      <c r="K25" s="69" t="n">
        <f aca="false">IF($A25="","",Data_Engine!$Y25)</f>
        <v>0</v>
      </c>
      <c r="L25" s="69" t="n">
        <f aca="false">IF($A25="","",Data_Engine!$Z25)</f>
        <v>0</v>
      </c>
      <c r="M25" s="69" t="n">
        <f aca="false">IF($A25="","",Data_Engine!$AA25)</f>
        <v>0</v>
      </c>
      <c r="N25" s="69" t="n">
        <f aca="false">IF($A25="","",Data_Engine!$AB25)</f>
        <v>0</v>
      </c>
      <c r="O25" s="69" t="n">
        <f aca="false">IF($A25="","",Data_Engine!$AC25)</f>
        <v>0</v>
      </c>
      <c r="P25" s="69" t="n">
        <f aca="false">IF($A25="","",Data_Engine!$AH25)</f>
        <v>0</v>
      </c>
      <c r="Q25" s="70" t="n">
        <f aca="false">IF($A25="","",Data_Engine!$AD25)</f>
        <v>0</v>
      </c>
      <c r="R25" s="69" t="n">
        <f aca="false">IF($A25="","",Data_Engine!$AF25)</f>
        <v>0</v>
      </c>
      <c r="S25" s="71" t="n">
        <f aca="false">IF($A25="","",$Q25-$R25)</f>
        <v>0</v>
      </c>
      <c r="T25" s="72" t="str">
        <f aca="false">IF($A25="","",IF(ROUND($R25,2)=0,"n/a",$S25/ABS($R25)))</f>
        <v>n/a</v>
      </c>
      <c r="U25" s="69" t="n">
        <f aca="false">IF($A25="","",Data_Engine!$AG25)</f>
        <v>0</v>
      </c>
      <c r="V25" s="73" t="n">
        <f aca="false">IF($A25="","",$Q25-$U25)</f>
        <v>0</v>
      </c>
      <c r="W25" s="72" t="str">
        <f aca="false">IF($A25="","",IF(ROUND($U25,2)=0,"n/a",$V25/ABS($U25)))</f>
        <v>n/a</v>
      </c>
      <c r="X25" s="74" t="str">
        <f aca="false">IF($A25="","",IF(AND(ROUND($Q25,2)=0,ROUND($R25,2)=0),"No Activity",IF(ABS($S25)&lt;Setup!$B$14,"Low",IF(ROUND($R25,2)=0,"High",IF(OR(ABS($S25/$R25)&gt;=Setup!$B$16,ABS($S25)&gt;=Setup!$B$17),"High",IF(ABS($S25/$R25)&gt;=Setup!$B$15,"Medium","Low"))))))</f>
        <v>No Activity</v>
      </c>
      <c r="Y25" s="57"/>
      <c r="Z25" s="75" t="n">
        <f aca="false">IF($A25="",-1000000000000000,IF(ROUND(ABS($S25),0)=0,-1000000000000000,ABS($S25)+ROW()/1000000))</f>
        <v>-1000000000000000</v>
      </c>
    </row>
    <row r="26" customFormat="false" ht="15" hidden="false" customHeight="false" outlineLevel="0" collapsed="false">
      <c r="A26" s="68" t="str">
        <f aca="false">IF(Data_Engine!$A26="","",Data_Engine!$A26)</f>
        <v>Installation Labour</v>
      </c>
      <c r="B26" s="42" t="str">
        <f aca="false">IF($A26="","",Data_Engine!$B26)</f>
        <v>Income</v>
      </c>
      <c r="C26" s="42" t="str">
        <f aca="false">IF($A26="","",Data_Engine!$D26)</f>
        <v>Unallocated</v>
      </c>
      <c r="D26" s="69" t="n">
        <f aca="false">IF($A26="","",Data_Engine!$R26)</f>
        <v>0</v>
      </c>
      <c r="E26" s="69" t="n">
        <f aca="false">IF($A26="","",Data_Engine!$S26)</f>
        <v>0</v>
      </c>
      <c r="F26" s="69" t="n">
        <f aca="false">IF($A26="","",Data_Engine!$T26)</f>
        <v>0</v>
      </c>
      <c r="G26" s="69" t="n">
        <f aca="false">IF($A26="","",Data_Engine!$U26)</f>
        <v>0</v>
      </c>
      <c r="H26" s="69" t="n">
        <f aca="false">IF($A26="","",Data_Engine!$V26)</f>
        <v>0</v>
      </c>
      <c r="I26" s="69" t="n">
        <f aca="false">IF($A26="","",Data_Engine!$W26)</f>
        <v>0</v>
      </c>
      <c r="J26" s="69" t="n">
        <f aca="false">IF($A26="","",Data_Engine!$X26)</f>
        <v>0</v>
      </c>
      <c r="K26" s="69" t="n">
        <f aca="false">IF($A26="","",Data_Engine!$Y26)</f>
        <v>0</v>
      </c>
      <c r="L26" s="69" t="n">
        <f aca="false">IF($A26="","",Data_Engine!$Z26)</f>
        <v>0</v>
      </c>
      <c r="M26" s="69" t="n">
        <f aca="false">IF($A26="","",Data_Engine!$AA26)</f>
        <v>0</v>
      </c>
      <c r="N26" s="69" t="n">
        <f aca="false">IF($A26="","",Data_Engine!$AB26)</f>
        <v>0</v>
      </c>
      <c r="O26" s="69" t="n">
        <f aca="false">IF($A26="","",Data_Engine!$AC26)</f>
        <v>0</v>
      </c>
      <c r="P26" s="69" t="n">
        <f aca="false">IF($A26="","",Data_Engine!$AH26)</f>
        <v>0</v>
      </c>
      <c r="Q26" s="70" t="n">
        <f aca="false">IF($A26="","",Data_Engine!$AD26)</f>
        <v>0</v>
      </c>
      <c r="R26" s="69" t="n">
        <f aca="false">IF($A26="","",Data_Engine!$AF26)</f>
        <v>0</v>
      </c>
      <c r="S26" s="71" t="n">
        <f aca="false">IF($A26="","",$Q26-$R26)</f>
        <v>0</v>
      </c>
      <c r="T26" s="72" t="str">
        <f aca="false">IF($A26="","",IF(ROUND($R26,2)=0,"n/a",$S26/ABS($R26)))</f>
        <v>n/a</v>
      </c>
      <c r="U26" s="69" t="n">
        <f aca="false">IF($A26="","",Data_Engine!$AG26)</f>
        <v>0</v>
      </c>
      <c r="V26" s="73" t="n">
        <f aca="false">IF($A26="","",$Q26-$U26)</f>
        <v>0</v>
      </c>
      <c r="W26" s="72" t="str">
        <f aca="false">IF($A26="","",IF(ROUND($U26,2)=0,"n/a",$V26/ABS($U26)))</f>
        <v>n/a</v>
      </c>
      <c r="X26" s="74" t="str">
        <f aca="false">IF($A26="","",IF(AND(ROUND($Q26,2)=0,ROUND($R26,2)=0),"No Activity",IF(ABS($S26)&lt;Setup!$B$14,"Low",IF(ROUND($R26,2)=0,"High",IF(OR(ABS($S26/$R26)&gt;=Setup!$B$16,ABS($S26)&gt;=Setup!$B$17),"High",IF(ABS($S26/$R26)&gt;=Setup!$B$15,"Medium","Low"))))))</f>
        <v>No Activity</v>
      </c>
      <c r="Y26" s="57"/>
      <c r="Z26" s="75" t="n">
        <f aca="false">IF($A26="",-1000000000000000,IF(ROUND(ABS($S26),0)=0,-1000000000000000,ABS($S26)+ROW()/1000000))</f>
        <v>-1000000000000000</v>
      </c>
    </row>
    <row r="27" customFormat="false" ht="15" hidden="false" customHeight="false" outlineLevel="0" collapsed="false">
      <c r="A27" s="68" t="str">
        <f aca="false">IF(Data_Engine!$A27="","",Data_Engine!$A27)</f>
        <v>Meal &amp; Travel - ADMIN</v>
      </c>
      <c r="B27" s="42" t="str">
        <f aca="false">IF($A27="","",Data_Engine!$B27)</f>
        <v>Income</v>
      </c>
      <c r="C27" s="42" t="str">
        <f aca="false">IF($A27="","",Data_Engine!$D27)</f>
        <v>Admin</v>
      </c>
      <c r="D27" s="69" t="n">
        <f aca="false">IF($A27="","",Data_Engine!$R27)</f>
        <v>0</v>
      </c>
      <c r="E27" s="69" t="n">
        <f aca="false">IF($A27="","",Data_Engine!$S27)</f>
        <v>0</v>
      </c>
      <c r="F27" s="69" t="n">
        <f aca="false">IF($A27="","",Data_Engine!$T27)</f>
        <v>0</v>
      </c>
      <c r="G27" s="69" t="n">
        <f aca="false">IF($A27="","",Data_Engine!$U27)</f>
        <v>0</v>
      </c>
      <c r="H27" s="69" t="n">
        <f aca="false">IF($A27="","",Data_Engine!$V27)</f>
        <v>0</v>
      </c>
      <c r="I27" s="69" t="n">
        <f aca="false">IF($A27="","",Data_Engine!$W27)</f>
        <v>0</v>
      </c>
      <c r="J27" s="69" t="n">
        <f aca="false">IF($A27="","",Data_Engine!$X27)</f>
        <v>0</v>
      </c>
      <c r="K27" s="69" t="n">
        <f aca="false">IF($A27="","",Data_Engine!$Y27)</f>
        <v>0</v>
      </c>
      <c r="L27" s="69" t="n">
        <f aca="false">IF($A27="","",Data_Engine!$Z27)</f>
        <v>0</v>
      </c>
      <c r="M27" s="69" t="n">
        <f aca="false">IF($A27="","",Data_Engine!$AA27)</f>
        <v>0</v>
      </c>
      <c r="N27" s="69" t="n">
        <f aca="false">IF($A27="","",Data_Engine!$AB27)</f>
        <v>0</v>
      </c>
      <c r="O27" s="69" t="n">
        <f aca="false">IF($A27="","",Data_Engine!$AC27)</f>
        <v>0</v>
      </c>
      <c r="P27" s="69" t="n">
        <f aca="false">IF($A27="","",Data_Engine!$AH27)</f>
        <v>0</v>
      </c>
      <c r="Q27" s="70" t="n">
        <f aca="false">IF($A27="","",Data_Engine!$AD27)</f>
        <v>0</v>
      </c>
      <c r="R27" s="69" t="n">
        <f aca="false">IF($A27="","",Data_Engine!$AF27)</f>
        <v>0</v>
      </c>
      <c r="S27" s="71" t="n">
        <f aca="false">IF($A27="","",$Q27-$R27)</f>
        <v>0</v>
      </c>
      <c r="T27" s="72" t="str">
        <f aca="false">IF($A27="","",IF(ROUND($R27,2)=0,"n/a",$S27/ABS($R27)))</f>
        <v>n/a</v>
      </c>
      <c r="U27" s="69" t="n">
        <f aca="false">IF($A27="","",Data_Engine!$AG27)</f>
        <v>0</v>
      </c>
      <c r="V27" s="73" t="n">
        <f aca="false">IF($A27="","",$Q27-$U27)</f>
        <v>0</v>
      </c>
      <c r="W27" s="72" t="str">
        <f aca="false">IF($A27="","",IF(ROUND($U27,2)=0,"n/a",$V27/ABS($U27)))</f>
        <v>n/a</v>
      </c>
      <c r="X27" s="74" t="str">
        <f aca="false">IF($A27="","",IF(AND(ROUND($Q27,2)=0,ROUND($R27,2)=0),"No Activity",IF(ABS($S27)&lt;Setup!$B$14,"Low",IF(ROUND($R27,2)=0,"High",IF(OR(ABS($S27/$R27)&gt;=Setup!$B$16,ABS($S27)&gt;=Setup!$B$17),"High",IF(ABS($S27/$R27)&gt;=Setup!$B$15,"Medium","Low"))))))</f>
        <v>No Activity</v>
      </c>
      <c r="Y27" s="57"/>
      <c r="Z27" s="75" t="n">
        <f aca="false">IF($A27="",-1000000000000000,IF(ROUND(ABS($S27),0)=0,-1000000000000000,ABS($S27)+ROW()/1000000))</f>
        <v>-1000000000000000</v>
      </c>
    </row>
    <row r="28" customFormat="false" ht="15" hidden="false" customHeight="false" outlineLevel="0" collapsed="false">
      <c r="A28" s="68" t="str">
        <f aca="false">IF(Data_Engine!$A28="","",Data_Engine!$A28)</f>
        <v>Meal &amp; Travel - CONS</v>
      </c>
      <c r="B28" s="42" t="str">
        <f aca="false">IF($A28="","",Data_Engine!$B28)</f>
        <v>Income</v>
      </c>
      <c r="C28" s="42" t="str">
        <f aca="false">IF($A28="","",Data_Engine!$D28)</f>
        <v>Consulting</v>
      </c>
      <c r="D28" s="69" t="n">
        <f aca="false">IF($A28="","",Data_Engine!$R28)</f>
        <v>0</v>
      </c>
      <c r="E28" s="69" t="n">
        <f aca="false">IF($A28="","",Data_Engine!$S28)</f>
        <v>0</v>
      </c>
      <c r="F28" s="69" t="n">
        <f aca="false">IF($A28="","",Data_Engine!$T28)</f>
        <v>0</v>
      </c>
      <c r="G28" s="69" t="n">
        <f aca="false">IF($A28="","",Data_Engine!$U28)</f>
        <v>0</v>
      </c>
      <c r="H28" s="69" t="n">
        <f aca="false">IF($A28="","",Data_Engine!$V28)</f>
        <v>0</v>
      </c>
      <c r="I28" s="69" t="n">
        <f aca="false">IF($A28="","",Data_Engine!$W28)</f>
        <v>0</v>
      </c>
      <c r="J28" s="69" t="n">
        <f aca="false">IF($A28="","",Data_Engine!$X28)</f>
        <v>0</v>
      </c>
      <c r="K28" s="69" t="n">
        <f aca="false">IF($A28="","",Data_Engine!$Y28)</f>
        <v>0</v>
      </c>
      <c r="L28" s="69" t="n">
        <f aca="false">IF($A28="","",Data_Engine!$Z28)</f>
        <v>0</v>
      </c>
      <c r="M28" s="69" t="n">
        <f aca="false">IF($A28="","",Data_Engine!$AA28)</f>
        <v>0</v>
      </c>
      <c r="N28" s="69" t="n">
        <f aca="false">IF($A28="","",Data_Engine!$AB28)</f>
        <v>0</v>
      </c>
      <c r="O28" s="69" t="n">
        <f aca="false">IF($A28="","",Data_Engine!$AC28)</f>
        <v>0</v>
      </c>
      <c r="P28" s="69" t="n">
        <f aca="false">IF($A28="","",Data_Engine!$AH28)</f>
        <v>0</v>
      </c>
      <c r="Q28" s="70" t="n">
        <f aca="false">IF($A28="","",Data_Engine!$AD28)</f>
        <v>0</v>
      </c>
      <c r="R28" s="69" t="n">
        <f aca="false">IF($A28="","",Data_Engine!$AF28)</f>
        <v>0</v>
      </c>
      <c r="S28" s="71" t="n">
        <f aca="false">IF($A28="","",$Q28-$R28)</f>
        <v>0</v>
      </c>
      <c r="T28" s="72" t="str">
        <f aca="false">IF($A28="","",IF(ROUND($R28,2)=0,"n/a",$S28/ABS($R28)))</f>
        <v>n/a</v>
      </c>
      <c r="U28" s="69" t="n">
        <f aca="false">IF($A28="","",Data_Engine!$AG28)</f>
        <v>0</v>
      </c>
      <c r="V28" s="73" t="n">
        <f aca="false">IF($A28="","",$Q28-$U28)</f>
        <v>0</v>
      </c>
      <c r="W28" s="72" t="str">
        <f aca="false">IF($A28="","",IF(ROUND($U28,2)=0,"n/a",$V28/ABS($U28)))</f>
        <v>n/a</v>
      </c>
      <c r="X28" s="74" t="str">
        <f aca="false">IF($A28="","",IF(AND(ROUND($Q28,2)=0,ROUND($R28,2)=0),"No Activity",IF(ABS($S28)&lt;Setup!$B$14,"Low",IF(ROUND($R28,2)=0,"High",IF(OR(ABS($S28/$R28)&gt;=Setup!$B$16,ABS($S28)&gt;=Setup!$B$17),"High",IF(ABS($S28/$R28)&gt;=Setup!$B$15,"Medium","Low"))))))</f>
        <v>No Activity</v>
      </c>
      <c r="Y28" s="57"/>
      <c r="Z28" s="75" t="n">
        <f aca="false">IF($A28="",-1000000000000000,IF(ROUND(ABS($S28),0)=0,-1000000000000000,ABS($S28)+ROW()/1000000))</f>
        <v>-1000000000000000</v>
      </c>
    </row>
    <row r="29" customFormat="false" ht="15" hidden="false" customHeight="false" outlineLevel="0" collapsed="false">
      <c r="A29" s="68" t="str">
        <f aca="false">IF(Data_Engine!$A29="","",Data_Engine!$A29)</f>
        <v>Meal &amp; Travel - INTEGRATION</v>
      </c>
      <c r="B29" s="42" t="str">
        <f aca="false">IF($A29="","",Data_Engine!$B29)</f>
        <v>Income</v>
      </c>
      <c r="C29" s="42" t="str">
        <f aca="false">IF($A29="","",Data_Engine!$D29)</f>
        <v>Integration</v>
      </c>
      <c r="D29" s="69" t="n">
        <f aca="false">IF($A29="","",Data_Engine!$R29)</f>
        <v>0</v>
      </c>
      <c r="E29" s="69" t="n">
        <f aca="false">IF($A29="","",Data_Engine!$S29)</f>
        <v>0</v>
      </c>
      <c r="F29" s="69" t="n">
        <f aca="false">IF($A29="","",Data_Engine!$T29)</f>
        <v>0</v>
      </c>
      <c r="G29" s="69" t="n">
        <f aca="false">IF($A29="","",Data_Engine!$U29)</f>
        <v>0</v>
      </c>
      <c r="H29" s="69" t="n">
        <f aca="false">IF($A29="","",Data_Engine!$V29)</f>
        <v>0</v>
      </c>
      <c r="I29" s="69" t="n">
        <f aca="false">IF($A29="","",Data_Engine!$W29)</f>
        <v>0</v>
      </c>
      <c r="J29" s="69" t="n">
        <f aca="false">IF($A29="","",Data_Engine!$X29)</f>
        <v>0</v>
      </c>
      <c r="K29" s="69" t="n">
        <f aca="false">IF($A29="","",Data_Engine!$Y29)</f>
        <v>0</v>
      </c>
      <c r="L29" s="69" t="n">
        <f aca="false">IF($A29="","",Data_Engine!$Z29)</f>
        <v>0</v>
      </c>
      <c r="M29" s="69" t="n">
        <f aca="false">IF($A29="","",Data_Engine!$AA29)</f>
        <v>0</v>
      </c>
      <c r="N29" s="69" t="n">
        <f aca="false">IF($A29="","",Data_Engine!$AB29)</f>
        <v>0</v>
      </c>
      <c r="O29" s="69" t="n">
        <f aca="false">IF($A29="","",Data_Engine!$AC29)</f>
        <v>0</v>
      </c>
      <c r="P29" s="69" t="n">
        <f aca="false">IF($A29="","",Data_Engine!$AH29)</f>
        <v>0</v>
      </c>
      <c r="Q29" s="70" t="n">
        <f aca="false">IF($A29="","",Data_Engine!$AD29)</f>
        <v>0</v>
      </c>
      <c r="R29" s="69" t="n">
        <f aca="false">IF($A29="","",Data_Engine!$AF29)</f>
        <v>0</v>
      </c>
      <c r="S29" s="71" t="n">
        <f aca="false">IF($A29="","",$Q29-$R29)</f>
        <v>0</v>
      </c>
      <c r="T29" s="72" t="str">
        <f aca="false">IF($A29="","",IF(ROUND($R29,2)=0,"n/a",$S29/ABS($R29)))</f>
        <v>n/a</v>
      </c>
      <c r="U29" s="69" t="n">
        <f aca="false">IF($A29="","",Data_Engine!$AG29)</f>
        <v>0</v>
      </c>
      <c r="V29" s="73" t="n">
        <f aca="false">IF($A29="","",$Q29-$U29)</f>
        <v>0</v>
      </c>
      <c r="W29" s="72" t="str">
        <f aca="false">IF($A29="","",IF(ROUND($U29,2)=0,"n/a",$V29/ABS($U29)))</f>
        <v>n/a</v>
      </c>
      <c r="X29" s="74" t="str">
        <f aca="false">IF($A29="","",IF(AND(ROUND($Q29,2)=0,ROUND($R29,2)=0),"No Activity",IF(ABS($S29)&lt;Setup!$B$14,"Low",IF(ROUND($R29,2)=0,"High",IF(OR(ABS($S29/$R29)&gt;=Setup!$B$16,ABS($S29)&gt;=Setup!$B$17),"High",IF(ABS($S29/$R29)&gt;=Setup!$B$15,"Medium","Low"))))))</f>
        <v>No Activity</v>
      </c>
      <c r="Y29" s="57"/>
      <c r="Z29" s="75" t="n">
        <f aca="false">IF($A29="",-1000000000000000,IF(ROUND(ABS($S29),0)=0,-1000000000000000,ABS($S29)+ROW()/1000000))</f>
        <v>-1000000000000000</v>
      </c>
    </row>
    <row r="30" customFormat="false" ht="15" hidden="false" customHeight="false" outlineLevel="0" collapsed="false">
      <c r="A30" s="68" t="str">
        <f aca="false">IF(Data_Engine!$A30="","",Data_Engine!$A30)</f>
        <v>Meal &amp; Travel - ONS</v>
      </c>
      <c r="B30" s="42" t="str">
        <f aca="false">IF($A30="","",Data_Engine!$B30)</f>
        <v>Income</v>
      </c>
      <c r="C30" s="42" t="str">
        <f aca="false">IF($A30="","",Data_Engine!$D30)</f>
        <v>Onsite</v>
      </c>
      <c r="D30" s="69" t="n">
        <f aca="false">IF($A30="","",Data_Engine!$R30)</f>
        <v>0</v>
      </c>
      <c r="E30" s="69" t="n">
        <f aca="false">IF($A30="","",Data_Engine!$S30)</f>
        <v>0</v>
      </c>
      <c r="F30" s="69" t="n">
        <f aca="false">IF($A30="","",Data_Engine!$T30)</f>
        <v>0</v>
      </c>
      <c r="G30" s="69" t="n">
        <f aca="false">IF($A30="","",Data_Engine!$U30)</f>
        <v>0</v>
      </c>
      <c r="H30" s="69" t="n">
        <f aca="false">IF($A30="","",Data_Engine!$V30)</f>
        <v>0</v>
      </c>
      <c r="I30" s="69" t="n">
        <f aca="false">IF($A30="","",Data_Engine!$W30)</f>
        <v>0</v>
      </c>
      <c r="J30" s="69" t="n">
        <f aca="false">IF($A30="","",Data_Engine!$X30)</f>
        <v>0</v>
      </c>
      <c r="K30" s="69" t="n">
        <f aca="false">IF($A30="","",Data_Engine!$Y30)</f>
        <v>0</v>
      </c>
      <c r="L30" s="69" t="n">
        <f aca="false">IF($A30="","",Data_Engine!$Z30)</f>
        <v>0</v>
      </c>
      <c r="M30" s="69" t="n">
        <f aca="false">IF($A30="","",Data_Engine!$AA30)</f>
        <v>0</v>
      </c>
      <c r="N30" s="69" t="n">
        <f aca="false">IF($A30="","",Data_Engine!$AB30)</f>
        <v>0</v>
      </c>
      <c r="O30" s="69" t="n">
        <f aca="false">IF($A30="","",Data_Engine!$AC30)</f>
        <v>0</v>
      </c>
      <c r="P30" s="69" t="n">
        <f aca="false">IF($A30="","",Data_Engine!$AH30)</f>
        <v>0</v>
      </c>
      <c r="Q30" s="70" t="n">
        <f aca="false">IF($A30="","",Data_Engine!$AD30)</f>
        <v>0</v>
      </c>
      <c r="R30" s="69" t="n">
        <f aca="false">IF($A30="","",Data_Engine!$AF30)</f>
        <v>0</v>
      </c>
      <c r="S30" s="71" t="n">
        <f aca="false">IF($A30="","",$Q30-$R30)</f>
        <v>0</v>
      </c>
      <c r="T30" s="72" t="str">
        <f aca="false">IF($A30="","",IF(ROUND($R30,2)=0,"n/a",$S30/ABS($R30)))</f>
        <v>n/a</v>
      </c>
      <c r="U30" s="69" t="n">
        <f aca="false">IF($A30="","",Data_Engine!$AG30)</f>
        <v>0</v>
      </c>
      <c r="V30" s="73" t="n">
        <f aca="false">IF($A30="","",$Q30-$U30)</f>
        <v>0</v>
      </c>
      <c r="W30" s="72" t="str">
        <f aca="false">IF($A30="","",IF(ROUND($U30,2)=0,"n/a",$V30/ABS($U30)))</f>
        <v>n/a</v>
      </c>
      <c r="X30" s="74" t="str">
        <f aca="false">IF($A30="","",IF(AND(ROUND($Q30,2)=0,ROUND($R30,2)=0),"No Activity",IF(ABS($S30)&lt;Setup!$B$14,"Low",IF(ROUND($R30,2)=0,"High",IF(OR(ABS($S30/$R30)&gt;=Setup!$B$16,ABS($S30)&gt;=Setup!$B$17),"High",IF(ABS($S30/$R30)&gt;=Setup!$B$15,"Medium","Low"))))))</f>
        <v>No Activity</v>
      </c>
      <c r="Y30" s="57"/>
      <c r="Z30" s="75" t="n">
        <f aca="false">IF($A30="",-1000000000000000,IF(ROUND(ABS($S30),0)=0,-1000000000000000,ABS($S30)+ROW()/1000000))</f>
        <v>-1000000000000000</v>
      </c>
    </row>
    <row r="31" customFormat="false" ht="15" hidden="false" customHeight="false" outlineLevel="0" collapsed="false">
      <c r="A31" s="68" t="str">
        <f aca="false">IF(Data_Engine!$A31="","",Data_Engine!$A31)</f>
        <v>Meal &amp; Travel - PRD</v>
      </c>
      <c r="B31" s="42" t="str">
        <f aca="false">IF($A31="","",Data_Engine!$B31)</f>
        <v>Income</v>
      </c>
      <c r="C31" s="42" t="str">
        <f aca="false">IF($A31="","",Data_Engine!$D31)</f>
        <v>Production</v>
      </c>
      <c r="D31" s="69" t="n">
        <f aca="false">IF($A31="","",Data_Engine!$R31)</f>
        <v>0</v>
      </c>
      <c r="E31" s="69" t="n">
        <f aca="false">IF($A31="","",Data_Engine!$S31)</f>
        <v>0</v>
      </c>
      <c r="F31" s="69" t="n">
        <f aca="false">IF($A31="","",Data_Engine!$T31)</f>
        <v>0</v>
      </c>
      <c r="G31" s="69" t="n">
        <f aca="false">IF($A31="","",Data_Engine!$U31)</f>
        <v>0</v>
      </c>
      <c r="H31" s="69" t="n">
        <f aca="false">IF($A31="","",Data_Engine!$V31)</f>
        <v>0</v>
      </c>
      <c r="I31" s="69" t="n">
        <f aca="false">IF($A31="","",Data_Engine!$W31)</f>
        <v>0</v>
      </c>
      <c r="J31" s="69" t="n">
        <f aca="false">IF($A31="","",Data_Engine!$X31)</f>
        <v>0</v>
      </c>
      <c r="K31" s="69" t="n">
        <f aca="false">IF($A31="","",Data_Engine!$Y31)</f>
        <v>0</v>
      </c>
      <c r="L31" s="69" t="n">
        <f aca="false">IF($A31="","",Data_Engine!$Z31)</f>
        <v>0</v>
      </c>
      <c r="M31" s="69" t="n">
        <f aca="false">IF($A31="","",Data_Engine!$AA31)</f>
        <v>0</v>
      </c>
      <c r="N31" s="69" t="n">
        <f aca="false">IF($A31="","",Data_Engine!$AB31)</f>
        <v>0</v>
      </c>
      <c r="O31" s="69" t="n">
        <f aca="false">IF($A31="","",Data_Engine!$AC31)</f>
        <v>0</v>
      </c>
      <c r="P31" s="69" t="n">
        <f aca="false">IF($A31="","",Data_Engine!$AH31)</f>
        <v>0</v>
      </c>
      <c r="Q31" s="70" t="n">
        <f aca="false">IF($A31="","",Data_Engine!$AD31)</f>
        <v>0</v>
      </c>
      <c r="R31" s="69" t="n">
        <f aca="false">IF($A31="","",Data_Engine!$AF31)</f>
        <v>0</v>
      </c>
      <c r="S31" s="71" t="n">
        <f aca="false">IF($A31="","",$Q31-$R31)</f>
        <v>0</v>
      </c>
      <c r="T31" s="72" t="str">
        <f aca="false">IF($A31="","",IF(ROUND($R31,2)=0,"n/a",$S31/ABS($R31)))</f>
        <v>n/a</v>
      </c>
      <c r="U31" s="69" t="n">
        <f aca="false">IF($A31="","",Data_Engine!$AG31)</f>
        <v>0</v>
      </c>
      <c r="V31" s="73" t="n">
        <f aca="false">IF($A31="","",$Q31-$U31)</f>
        <v>0</v>
      </c>
      <c r="W31" s="72" t="str">
        <f aca="false">IF($A31="","",IF(ROUND($U31,2)=0,"n/a",$V31/ABS($U31)))</f>
        <v>n/a</v>
      </c>
      <c r="X31" s="74" t="str">
        <f aca="false">IF($A31="","",IF(AND(ROUND($Q31,2)=0,ROUND($R31,2)=0),"No Activity",IF(ABS($S31)&lt;Setup!$B$14,"Low",IF(ROUND($R31,2)=0,"High",IF(OR(ABS($S31/$R31)&gt;=Setup!$B$16,ABS($S31)&gt;=Setup!$B$17),"High",IF(ABS($S31/$R31)&gt;=Setup!$B$15,"Medium","Low"))))))</f>
        <v>No Activity</v>
      </c>
      <c r="Y31" s="57"/>
      <c r="Z31" s="75" t="n">
        <f aca="false">IF($A31="",-1000000000000000,IF(ROUND(ABS($S31),0)=0,-1000000000000000,ABS($S31)+ROW()/1000000))</f>
        <v>-1000000000000000</v>
      </c>
    </row>
    <row r="32" customFormat="false" ht="15" hidden="false" customHeight="false" outlineLevel="0" collapsed="false">
      <c r="A32" s="68" t="str">
        <f aca="false">IF(Data_Engine!$A32="","",Data_Engine!$A32)</f>
        <v>Meal &amp; Travel - VID</v>
      </c>
      <c r="B32" s="42" t="str">
        <f aca="false">IF($A32="","",Data_Engine!$B32)</f>
        <v>Income</v>
      </c>
      <c r="C32" s="42" t="str">
        <f aca="false">IF($A32="","",Data_Engine!$D32)</f>
        <v>Video</v>
      </c>
      <c r="D32" s="69" t="n">
        <f aca="false">IF($A32="","",Data_Engine!$R32)</f>
        <v>0</v>
      </c>
      <c r="E32" s="69" t="n">
        <f aca="false">IF($A32="","",Data_Engine!$S32)</f>
        <v>0</v>
      </c>
      <c r="F32" s="69" t="n">
        <f aca="false">IF($A32="","",Data_Engine!$T32)</f>
        <v>0</v>
      </c>
      <c r="G32" s="69" t="n">
        <f aca="false">IF($A32="","",Data_Engine!$U32)</f>
        <v>0</v>
      </c>
      <c r="H32" s="69" t="n">
        <f aca="false">IF($A32="","",Data_Engine!$V32)</f>
        <v>0</v>
      </c>
      <c r="I32" s="69" t="n">
        <f aca="false">IF($A32="","",Data_Engine!$W32)</f>
        <v>0</v>
      </c>
      <c r="J32" s="69" t="n">
        <f aca="false">IF($A32="","",Data_Engine!$X32)</f>
        <v>0</v>
      </c>
      <c r="K32" s="69" t="n">
        <f aca="false">IF($A32="","",Data_Engine!$Y32)</f>
        <v>0</v>
      </c>
      <c r="L32" s="69" t="n">
        <f aca="false">IF($A32="","",Data_Engine!$Z32)</f>
        <v>0</v>
      </c>
      <c r="M32" s="69" t="n">
        <f aca="false">IF($A32="","",Data_Engine!$AA32)</f>
        <v>0</v>
      </c>
      <c r="N32" s="69" t="n">
        <f aca="false">IF($A32="","",Data_Engine!$AB32)</f>
        <v>0</v>
      </c>
      <c r="O32" s="69" t="n">
        <f aca="false">IF($A32="","",Data_Engine!$AC32)</f>
        <v>0</v>
      </c>
      <c r="P32" s="69" t="n">
        <f aca="false">IF($A32="","",Data_Engine!$AH32)</f>
        <v>0</v>
      </c>
      <c r="Q32" s="70" t="n">
        <f aca="false">IF($A32="","",Data_Engine!$AD32)</f>
        <v>0</v>
      </c>
      <c r="R32" s="69" t="n">
        <f aca="false">IF($A32="","",Data_Engine!$AF32)</f>
        <v>0</v>
      </c>
      <c r="S32" s="71" t="n">
        <f aca="false">IF($A32="","",$Q32-$R32)</f>
        <v>0</v>
      </c>
      <c r="T32" s="72" t="str">
        <f aca="false">IF($A32="","",IF(ROUND($R32,2)=0,"n/a",$S32/ABS($R32)))</f>
        <v>n/a</v>
      </c>
      <c r="U32" s="69" t="n">
        <f aca="false">IF($A32="","",Data_Engine!$AG32)</f>
        <v>0</v>
      </c>
      <c r="V32" s="73" t="n">
        <f aca="false">IF($A32="","",$Q32-$U32)</f>
        <v>0</v>
      </c>
      <c r="W32" s="72" t="str">
        <f aca="false">IF($A32="","",IF(ROUND($U32,2)=0,"n/a",$V32/ABS($U32)))</f>
        <v>n/a</v>
      </c>
      <c r="X32" s="74" t="str">
        <f aca="false">IF($A32="","",IF(AND(ROUND($Q32,2)=0,ROUND($R32,2)=0),"No Activity",IF(ABS($S32)&lt;Setup!$B$14,"Low",IF(ROUND($R32,2)=0,"High",IF(OR(ABS($S32/$R32)&gt;=Setup!$B$16,ABS($S32)&gt;=Setup!$B$17),"High",IF(ABS($S32/$R32)&gt;=Setup!$B$15,"Medium","Low"))))))</f>
        <v>No Activity</v>
      </c>
      <c r="Y32" s="57"/>
      <c r="Z32" s="75" t="n">
        <f aca="false">IF($A32="",-1000000000000000,IF(ROUND(ABS($S32),0)=0,-1000000000000000,ABS($S32)+ROW()/1000000))</f>
        <v>-1000000000000000</v>
      </c>
    </row>
    <row r="33" customFormat="false" ht="15" hidden="false" customHeight="false" outlineLevel="0" collapsed="false">
      <c r="A33" s="68" t="str">
        <f aca="false">IF(Data_Engine!$A33="","",Data_Engine!$A33)</f>
        <v>Miscellaneous Income</v>
      </c>
      <c r="B33" s="42" t="str">
        <f aca="false">IF($A33="","",Data_Engine!$B33)</f>
        <v>Income</v>
      </c>
      <c r="C33" s="42" t="str">
        <f aca="false">IF($A33="","",Data_Engine!$D33)</f>
        <v>Unallocated</v>
      </c>
      <c r="D33" s="69" t="n">
        <f aca="false">IF($A33="","",Data_Engine!$R33)</f>
        <v>0</v>
      </c>
      <c r="E33" s="69" t="n">
        <f aca="false">IF($A33="","",Data_Engine!$S33)</f>
        <v>0</v>
      </c>
      <c r="F33" s="69" t="n">
        <f aca="false">IF($A33="","",Data_Engine!$T33)</f>
        <v>0</v>
      </c>
      <c r="G33" s="69" t="n">
        <f aca="false">IF($A33="","",Data_Engine!$U33)</f>
        <v>0</v>
      </c>
      <c r="H33" s="69" t="n">
        <f aca="false">IF($A33="","",Data_Engine!$V33)</f>
        <v>0</v>
      </c>
      <c r="I33" s="69" t="n">
        <f aca="false">IF($A33="","",Data_Engine!$W33)</f>
        <v>0</v>
      </c>
      <c r="J33" s="69" t="n">
        <f aca="false">IF($A33="","",Data_Engine!$X33)</f>
        <v>0</v>
      </c>
      <c r="K33" s="69" t="n">
        <f aca="false">IF($A33="","",Data_Engine!$Y33)</f>
        <v>0</v>
      </c>
      <c r="L33" s="69" t="n">
        <f aca="false">IF($A33="","",Data_Engine!$Z33)</f>
        <v>0</v>
      </c>
      <c r="M33" s="69" t="n">
        <f aca="false">IF($A33="","",Data_Engine!$AA33)</f>
        <v>0</v>
      </c>
      <c r="N33" s="69" t="n">
        <f aca="false">IF($A33="","",Data_Engine!$AB33)</f>
        <v>0</v>
      </c>
      <c r="O33" s="69" t="n">
        <f aca="false">IF($A33="","",Data_Engine!$AC33)</f>
        <v>0</v>
      </c>
      <c r="P33" s="69" t="n">
        <f aca="false">IF($A33="","",Data_Engine!$AH33)</f>
        <v>0</v>
      </c>
      <c r="Q33" s="70" t="n">
        <f aca="false">IF($A33="","",Data_Engine!$AD33)</f>
        <v>0</v>
      </c>
      <c r="R33" s="69" t="n">
        <f aca="false">IF($A33="","",Data_Engine!$AF33)</f>
        <v>0</v>
      </c>
      <c r="S33" s="71" t="n">
        <f aca="false">IF($A33="","",$Q33-$R33)</f>
        <v>0</v>
      </c>
      <c r="T33" s="72" t="str">
        <f aca="false">IF($A33="","",IF(ROUND($R33,2)=0,"n/a",$S33/ABS($R33)))</f>
        <v>n/a</v>
      </c>
      <c r="U33" s="69" t="n">
        <f aca="false">IF($A33="","",Data_Engine!$AG33)</f>
        <v>0</v>
      </c>
      <c r="V33" s="73" t="n">
        <f aca="false">IF($A33="","",$Q33-$U33)</f>
        <v>0</v>
      </c>
      <c r="W33" s="72" t="str">
        <f aca="false">IF($A33="","",IF(ROUND($U33,2)=0,"n/a",$V33/ABS($U33)))</f>
        <v>n/a</v>
      </c>
      <c r="X33" s="74" t="str">
        <f aca="false">IF($A33="","",IF(AND(ROUND($Q33,2)=0,ROUND($R33,2)=0),"No Activity",IF(ABS($S33)&lt;Setup!$B$14,"Low",IF(ROUND($R33,2)=0,"High",IF(OR(ABS($S33/$R33)&gt;=Setup!$B$16,ABS($S33)&gt;=Setup!$B$17),"High",IF(ABS($S33/$R33)&gt;=Setup!$B$15,"Medium","Low"))))))</f>
        <v>No Activity</v>
      </c>
      <c r="Y33" s="57"/>
      <c r="Z33" s="75" t="n">
        <f aca="false">IF($A33="",-1000000000000000,IF(ROUND(ABS($S33),0)=0,-1000000000000000,ABS($S33)+ROW()/1000000))</f>
        <v>-1000000000000000</v>
      </c>
    </row>
    <row r="34" customFormat="false" ht="15" hidden="false" customHeight="false" outlineLevel="0" collapsed="false">
      <c r="A34" s="68" t="str">
        <f aca="false">IF(Data_Engine!$A34="","",Data_Engine!$A34)</f>
        <v>Mobile Phone Plans</v>
      </c>
      <c r="B34" s="42" t="str">
        <f aca="false">IF($A34="","",Data_Engine!$B34)</f>
        <v>Income</v>
      </c>
      <c r="C34" s="42" t="str">
        <f aca="false">IF($A34="","",Data_Engine!$D34)</f>
        <v>Unallocated</v>
      </c>
      <c r="D34" s="69" t="n">
        <f aca="false">IF($A34="","",Data_Engine!$R34)</f>
        <v>0</v>
      </c>
      <c r="E34" s="69" t="n">
        <f aca="false">IF($A34="","",Data_Engine!$S34)</f>
        <v>0</v>
      </c>
      <c r="F34" s="69" t="n">
        <f aca="false">IF($A34="","",Data_Engine!$T34)</f>
        <v>0</v>
      </c>
      <c r="G34" s="69" t="n">
        <f aca="false">IF($A34="","",Data_Engine!$U34)</f>
        <v>0</v>
      </c>
      <c r="H34" s="69" t="n">
        <f aca="false">IF($A34="","",Data_Engine!$V34)</f>
        <v>0</v>
      </c>
      <c r="I34" s="69" t="n">
        <f aca="false">IF($A34="","",Data_Engine!$W34)</f>
        <v>0</v>
      </c>
      <c r="J34" s="69" t="n">
        <f aca="false">IF($A34="","",Data_Engine!$X34)</f>
        <v>0</v>
      </c>
      <c r="K34" s="69" t="n">
        <f aca="false">IF($A34="","",Data_Engine!$Y34)</f>
        <v>0</v>
      </c>
      <c r="L34" s="69" t="n">
        <f aca="false">IF($A34="","",Data_Engine!$Z34)</f>
        <v>0</v>
      </c>
      <c r="M34" s="69" t="n">
        <f aca="false">IF($A34="","",Data_Engine!$AA34)</f>
        <v>0</v>
      </c>
      <c r="N34" s="69" t="n">
        <f aca="false">IF($A34="","",Data_Engine!$AB34)</f>
        <v>0</v>
      </c>
      <c r="O34" s="69" t="n">
        <f aca="false">IF($A34="","",Data_Engine!$AC34)</f>
        <v>0</v>
      </c>
      <c r="P34" s="69" t="n">
        <f aca="false">IF($A34="","",Data_Engine!$AH34)</f>
        <v>0</v>
      </c>
      <c r="Q34" s="70" t="n">
        <f aca="false">IF($A34="","",Data_Engine!$AD34)</f>
        <v>0</v>
      </c>
      <c r="R34" s="69" t="n">
        <f aca="false">IF($A34="","",Data_Engine!$AF34)</f>
        <v>0</v>
      </c>
      <c r="S34" s="71" t="n">
        <f aca="false">IF($A34="","",$Q34-$R34)</f>
        <v>0</v>
      </c>
      <c r="T34" s="72" t="str">
        <f aca="false">IF($A34="","",IF(ROUND($R34,2)=0,"n/a",$S34/ABS($R34)))</f>
        <v>n/a</v>
      </c>
      <c r="U34" s="69" t="n">
        <f aca="false">IF($A34="","",Data_Engine!$AG34)</f>
        <v>0</v>
      </c>
      <c r="V34" s="73" t="n">
        <f aca="false">IF($A34="","",$Q34-$U34)</f>
        <v>0</v>
      </c>
      <c r="W34" s="72" t="str">
        <f aca="false">IF($A34="","",IF(ROUND($U34,2)=0,"n/a",$V34/ABS($U34)))</f>
        <v>n/a</v>
      </c>
      <c r="X34" s="74" t="str">
        <f aca="false">IF($A34="","",IF(AND(ROUND($Q34,2)=0,ROUND($R34,2)=0),"No Activity",IF(ABS($S34)&lt;Setup!$B$14,"Low",IF(ROUND($R34,2)=0,"High",IF(OR(ABS($S34/$R34)&gt;=Setup!$B$16,ABS($S34)&gt;=Setup!$B$17),"High",IF(ABS($S34/$R34)&gt;=Setup!$B$15,"Medium","Low"))))))</f>
        <v>No Activity</v>
      </c>
      <c r="Y34" s="57"/>
      <c r="Z34" s="75" t="n">
        <f aca="false">IF($A34="",-1000000000000000,IF(ROUND(ABS($S34),0)=0,-1000000000000000,ABS($S34)+ROW()/1000000))</f>
        <v>-1000000000000000</v>
      </c>
    </row>
    <row r="35" customFormat="false" ht="15" hidden="false" customHeight="false" outlineLevel="0" collapsed="false">
      <c r="A35" s="68" t="str">
        <f aca="false">IF(Data_Engine!$A35="","",Data_Engine!$A35)</f>
        <v>Opening Work in Progress</v>
      </c>
      <c r="B35" s="42" t="str">
        <f aca="false">IF($A35="","",Data_Engine!$B35)</f>
        <v>Income</v>
      </c>
      <c r="C35" s="42" t="str">
        <f aca="false">IF($A35="","",Data_Engine!$D35)</f>
        <v>Unallocated</v>
      </c>
      <c r="D35" s="69" t="n">
        <f aca="false">IF($A35="","",Data_Engine!$R35)</f>
        <v>0</v>
      </c>
      <c r="E35" s="69" t="n">
        <f aca="false">IF($A35="","",Data_Engine!$S35)</f>
        <v>0</v>
      </c>
      <c r="F35" s="69" t="n">
        <f aca="false">IF($A35="","",Data_Engine!$T35)</f>
        <v>0</v>
      </c>
      <c r="G35" s="69" t="n">
        <f aca="false">IF($A35="","",Data_Engine!$U35)</f>
        <v>0</v>
      </c>
      <c r="H35" s="69" t="n">
        <f aca="false">IF($A35="","",Data_Engine!$V35)</f>
        <v>0</v>
      </c>
      <c r="I35" s="69" t="n">
        <f aca="false">IF($A35="","",Data_Engine!$W35)</f>
        <v>0</v>
      </c>
      <c r="J35" s="69" t="n">
        <f aca="false">IF($A35="","",Data_Engine!$X35)</f>
        <v>0</v>
      </c>
      <c r="K35" s="69" t="n">
        <f aca="false">IF($A35="","",Data_Engine!$Y35)</f>
        <v>0</v>
      </c>
      <c r="L35" s="69" t="n">
        <f aca="false">IF($A35="","",Data_Engine!$Z35)</f>
        <v>0</v>
      </c>
      <c r="M35" s="69" t="n">
        <f aca="false">IF($A35="","",Data_Engine!$AA35)</f>
        <v>0</v>
      </c>
      <c r="N35" s="69" t="n">
        <f aca="false">IF($A35="","",Data_Engine!$AB35)</f>
        <v>0</v>
      </c>
      <c r="O35" s="69" t="n">
        <f aca="false">IF($A35="","",Data_Engine!$AC35)</f>
        <v>0</v>
      </c>
      <c r="P35" s="69" t="n">
        <f aca="false">IF($A35="","",Data_Engine!$AH35)</f>
        <v>0</v>
      </c>
      <c r="Q35" s="70" t="n">
        <f aca="false">IF($A35="","",Data_Engine!$AD35)</f>
        <v>0</v>
      </c>
      <c r="R35" s="69" t="n">
        <f aca="false">IF($A35="","",Data_Engine!$AF35)</f>
        <v>0</v>
      </c>
      <c r="S35" s="71" t="n">
        <f aca="false">IF($A35="","",$Q35-$R35)</f>
        <v>0</v>
      </c>
      <c r="T35" s="72" t="str">
        <f aca="false">IF($A35="","",IF(ROUND($R35,2)=0,"n/a",$S35/ABS($R35)))</f>
        <v>n/a</v>
      </c>
      <c r="U35" s="69" t="n">
        <f aca="false">IF($A35="","",Data_Engine!$AG35)</f>
        <v>0</v>
      </c>
      <c r="V35" s="73" t="n">
        <f aca="false">IF($A35="","",$Q35-$U35)</f>
        <v>0</v>
      </c>
      <c r="W35" s="72" t="str">
        <f aca="false">IF($A35="","",IF(ROUND($U35,2)=0,"n/a",$V35/ABS($U35)))</f>
        <v>n/a</v>
      </c>
      <c r="X35" s="74" t="str">
        <f aca="false">IF($A35="","",IF(AND(ROUND($Q35,2)=0,ROUND($R35,2)=0),"No Activity",IF(ABS($S35)&lt;Setup!$B$14,"Low",IF(ROUND($R35,2)=0,"High",IF(OR(ABS($S35/$R35)&gt;=Setup!$B$16,ABS($S35)&gt;=Setup!$B$17),"High",IF(ABS($S35/$R35)&gt;=Setup!$B$15,"Medium","Low"))))))</f>
        <v>No Activity</v>
      </c>
      <c r="Y35" s="57"/>
      <c r="Z35" s="75" t="n">
        <f aca="false">IF($A35="",-1000000000000000,IF(ROUND(ABS($S35),0)=0,-1000000000000000,ABS($S35)+ROW()/1000000))</f>
        <v>-1000000000000000</v>
      </c>
    </row>
    <row r="36" customFormat="false" ht="15" hidden="false" customHeight="false" outlineLevel="0" collapsed="false">
      <c r="A36" s="68" t="str">
        <f aca="false">IF(Data_Engine!$A36="","",Data_Engine!$A36)</f>
        <v>Production Labour</v>
      </c>
      <c r="B36" s="42" t="str">
        <f aca="false">IF($A36="","",Data_Engine!$B36)</f>
        <v>Income</v>
      </c>
      <c r="C36" s="42" t="str">
        <f aca="false">IF($A36="","",Data_Engine!$D36)</f>
        <v>Unallocated</v>
      </c>
      <c r="D36" s="69" t="n">
        <f aca="false">IF($A36="","",Data_Engine!$R36)</f>
        <v>0</v>
      </c>
      <c r="E36" s="69" t="n">
        <f aca="false">IF($A36="","",Data_Engine!$S36)</f>
        <v>0</v>
      </c>
      <c r="F36" s="69" t="n">
        <f aca="false">IF($A36="","",Data_Engine!$T36)</f>
        <v>0</v>
      </c>
      <c r="G36" s="69" t="n">
        <f aca="false">IF($A36="","",Data_Engine!$U36)</f>
        <v>0</v>
      </c>
      <c r="H36" s="69" t="n">
        <f aca="false">IF($A36="","",Data_Engine!$V36)</f>
        <v>0</v>
      </c>
      <c r="I36" s="69" t="n">
        <f aca="false">IF($A36="","",Data_Engine!$W36)</f>
        <v>0</v>
      </c>
      <c r="J36" s="69" t="n">
        <f aca="false">IF($A36="","",Data_Engine!$X36)</f>
        <v>0</v>
      </c>
      <c r="K36" s="69" t="n">
        <f aca="false">IF($A36="","",Data_Engine!$Y36)</f>
        <v>0</v>
      </c>
      <c r="L36" s="69" t="n">
        <f aca="false">IF($A36="","",Data_Engine!$Z36)</f>
        <v>0</v>
      </c>
      <c r="M36" s="69" t="n">
        <f aca="false">IF($A36="","",Data_Engine!$AA36)</f>
        <v>0</v>
      </c>
      <c r="N36" s="69" t="n">
        <f aca="false">IF($A36="","",Data_Engine!$AB36)</f>
        <v>0</v>
      </c>
      <c r="O36" s="69" t="n">
        <f aca="false">IF($A36="","",Data_Engine!$AC36)</f>
        <v>0</v>
      </c>
      <c r="P36" s="69" t="n">
        <f aca="false">IF($A36="","",Data_Engine!$AH36)</f>
        <v>0</v>
      </c>
      <c r="Q36" s="70" t="n">
        <f aca="false">IF($A36="","",Data_Engine!$AD36)</f>
        <v>0</v>
      </c>
      <c r="R36" s="69" t="n">
        <f aca="false">IF($A36="","",Data_Engine!$AF36)</f>
        <v>0</v>
      </c>
      <c r="S36" s="71" t="n">
        <f aca="false">IF($A36="","",$Q36-$R36)</f>
        <v>0</v>
      </c>
      <c r="T36" s="72" t="str">
        <f aca="false">IF($A36="","",IF(ROUND($R36,2)=0,"n/a",$S36/ABS($R36)))</f>
        <v>n/a</v>
      </c>
      <c r="U36" s="69" t="n">
        <f aca="false">IF($A36="","",Data_Engine!$AG36)</f>
        <v>0</v>
      </c>
      <c r="V36" s="73" t="n">
        <f aca="false">IF($A36="","",$Q36-$U36)</f>
        <v>0</v>
      </c>
      <c r="W36" s="72" t="str">
        <f aca="false">IF($A36="","",IF(ROUND($U36,2)=0,"n/a",$V36/ABS($U36)))</f>
        <v>n/a</v>
      </c>
      <c r="X36" s="74" t="str">
        <f aca="false">IF($A36="","",IF(AND(ROUND($Q36,2)=0,ROUND($R36,2)=0),"No Activity",IF(ABS($S36)&lt;Setup!$B$14,"Low",IF(ROUND($R36,2)=0,"High",IF(OR(ABS($S36/$R36)&gt;=Setup!$B$16,ABS($S36)&gt;=Setup!$B$17),"High",IF(ABS($S36/$R36)&gt;=Setup!$B$15,"Medium","Low"))))))</f>
        <v>No Activity</v>
      </c>
      <c r="Y36" s="57"/>
      <c r="Z36" s="75" t="n">
        <f aca="false">IF($A36="",-1000000000000000,IF(ROUND(ABS($S36),0)=0,-1000000000000000,ABS($S36)+ROW()/1000000))</f>
        <v>-1000000000000000</v>
      </c>
    </row>
    <row r="37" customFormat="false" ht="15" hidden="false" customHeight="false" outlineLevel="0" collapsed="false">
      <c r="A37" s="68" t="str">
        <f aca="false">IF(Data_Engine!$A37="","",Data_Engine!$A37)</f>
        <v>Subscriptions &amp; Licences - Income</v>
      </c>
      <c r="B37" s="42" t="str">
        <f aca="false">IF($A37="","",Data_Engine!$B37)</f>
        <v>Income</v>
      </c>
      <c r="C37" s="42" t="str">
        <f aca="false">IF($A37="","",Data_Engine!$D37)</f>
        <v>Unallocated</v>
      </c>
      <c r="D37" s="69" t="n">
        <f aca="false">IF($A37="","",Data_Engine!$R37)</f>
        <v>0</v>
      </c>
      <c r="E37" s="69" t="n">
        <f aca="false">IF($A37="","",Data_Engine!$S37)</f>
        <v>0</v>
      </c>
      <c r="F37" s="69" t="n">
        <f aca="false">IF($A37="","",Data_Engine!$T37)</f>
        <v>0</v>
      </c>
      <c r="G37" s="69" t="n">
        <f aca="false">IF($A37="","",Data_Engine!$U37)</f>
        <v>0</v>
      </c>
      <c r="H37" s="69" t="n">
        <f aca="false">IF($A37="","",Data_Engine!$V37)</f>
        <v>0</v>
      </c>
      <c r="I37" s="69" t="n">
        <f aca="false">IF($A37="","",Data_Engine!$W37)</f>
        <v>0</v>
      </c>
      <c r="J37" s="69" t="n">
        <f aca="false">IF($A37="","",Data_Engine!$X37)</f>
        <v>0</v>
      </c>
      <c r="K37" s="69" t="n">
        <f aca="false">IF($A37="","",Data_Engine!$Y37)</f>
        <v>0</v>
      </c>
      <c r="L37" s="69" t="n">
        <f aca="false">IF($A37="","",Data_Engine!$Z37)</f>
        <v>0</v>
      </c>
      <c r="M37" s="69" t="n">
        <f aca="false">IF($A37="","",Data_Engine!$AA37)</f>
        <v>0</v>
      </c>
      <c r="N37" s="69" t="n">
        <f aca="false">IF($A37="","",Data_Engine!$AB37)</f>
        <v>0</v>
      </c>
      <c r="O37" s="69" t="n">
        <f aca="false">IF($A37="","",Data_Engine!$AC37)</f>
        <v>0</v>
      </c>
      <c r="P37" s="69" t="n">
        <f aca="false">IF($A37="","",Data_Engine!$AH37)</f>
        <v>0</v>
      </c>
      <c r="Q37" s="70" t="n">
        <f aca="false">IF($A37="","",Data_Engine!$AD37)</f>
        <v>0</v>
      </c>
      <c r="R37" s="69" t="n">
        <f aca="false">IF($A37="","",Data_Engine!$AF37)</f>
        <v>0</v>
      </c>
      <c r="S37" s="71" t="n">
        <f aca="false">IF($A37="","",$Q37-$R37)</f>
        <v>0</v>
      </c>
      <c r="T37" s="72" t="str">
        <f aca="false">IF($A37="","",IF(ROUND($R37,2)=0,"n/a",$S37/ABS($R37)))</f>
        <v>n/a</v>
      </c>
      <c r="U37" s="69" t="n">
        <f aca="false">IF($A37="","",Data_Engine!$AG37)</f>
        <v>0</v>
      </c>
      <c r="V37" s="73" t="n">
        <f aca="false">IF($A37="","",$Q37-$U37)</f>
        <v>0</v>
      </c>
      <c r="W37" s="72" t="str">
        <f aca="false">IF($A37="","",IF(ROUND($U37,2)=0,"n/a",$V37/ABS($U37)))</f>
        <v>n/a</v>
      </c>
      <c r="X37" s="74" t="str">
        <f aca="false">IF($A37="","",IF(AND(ROUND($Q37,2)=0,ROUND($R37,2)=0),"No Activity",IF(ABS($S37)&lt;Setup!$B$14,"Low",IF(ROUND($R37,2)=0,"High",IF(OR(ABS($S37/$R37)&gt;=Setup!$B$16,ABS($S37)&gt;=Setup!$B$17),"High",IF(ABS($S37/$R37)&gt;=Setup!$B$15,"Medium","Low"))))))</f>
        <v>No Activity</v>
      </c>
      <c r="Y37" s="57"/>
      <c r="Z37" s="75" t="n">
        <f aca="false">IF($A37="",-1000000000000000,IF(ROUND(ABS($S37),0)=0,-1000000000000000,ABS($S37)+ROW()/1000000))</f>
        <v>-1000000000000000</v>
      </c>
    </row>
    <row r="38" customFormat="false" ht="15" hidden="false" customHeight="false" outlineLevel="0" collapsed="false">
      <c r="A38" s="68" t="str">
        <f aca="false">IF(Data_Engine!$A38="","",Data_Engine!$A38)</f>
        <v>Tech Consulting/Project Manage</v>
      </c>
      <c r="B38" s="42" t="str">
        <f aca="false">IF($A38="","",Data_Engine!$B38)</f>
        <v>Income</v>
      </c>
      <c r="C38" s="42" t="str">
        <f aca="false">IF($A38="","",Data_Engine!$D38)</f>
        <v>Unallocated</v>
      </c>
      <c r="D38" s="69" t="n">
        <f aca="false">IF($A38="","",Data_Engine!$R38)</f>
        <v>0</v>
      </c>
      <c r="E38" s="69" t="n">
        <f aca="false">IF($A38="","",Data_Engine!$S38)</f>
        <v>0</v>
      </c>
      <c r="F38" s="69" t="n">
        <f aca="false">IF($A38="","",Data_Engine!$T38)</f>
        <v>0</v>
      </c>
      <c r="G38" s="69" t="n">
        <f aca="false">IF($A38="","",Data_Engine!$U38)</f>
        <v>0</v>
      </c>
      <c r="H38" s="69" t="n">
        <f aca="false">IF($A38="","",Data_Engine!$V38)</f>
        <v>0</v>
      </c>
      <c r="I38" s="69" t="n">
        <f aca="false">IF($A38="","",Data_Engine!$W38)</f>
        <v>0</v>
      </c>
      <c r="J38" s="69" t="n">
        <f aca="false">IF($A38="","",Data_Engine!$X38)</f>
        <v>0</v>
      </c>
      <c r="K38" s="69" t="n">
        <f aca="false">IF($A38="","",Data_Engine!$Y38)</f>
        <v>0</v>
      </c>
      <c r="L38" s="69" t="n">
        <f aca="false">IF($A38="","",Data_Engine!$Z38)</f>
        <v>0</v>
      </c>
      <c r="M38" s="69" t="n">
        <f aca="false">IF($A38="","",Data_Engine!$AA38)</f>
        <v>0</v>
      </c>
      <c r="N38" s="69" t="n">
        <f aca="false">IF($A38="","",Data_Engine!$AB38)</f>
        <v>0</v>
      </c>
      <c r="O38" s="69" t="n">
        <f aca="false">IF($A38="","",Data_Engine!$AC38)</f>
        <v>0</v>
      </c>
      <c r="P38" s="69" t="n">
        <f aca="false">IF($A38="","",Data_Engine!$AH38)</f>
        <v>0</v>
      </c>
      <c r="Q38" s="70" t="n">
        <f aca="false">IF($A38="","",Data_Engine!$AD38)</f>
        <v>0</v>
      </c>
      <c r="R38" s="69" t="n">
        <f aca="false">IF($A38="","",Data_Engine!$AF38)</f>
        <v>0</v>
      </c>
      <c r="S38" s="71" t="n">
        <f aca="false">IF($A38="","",$Q38-$R38)</f>
        <v>0</v>
      </c>
      <c r="T38" s="72" t="str">
        <f aca="false">IF($A38="","",IF(ROUND($R38,2)=0,"n/a",$S38/ABS($R38)))</f>
        <v>n/a</v>
      </c>
      <c r="U38" s="69" t="n">
        <f aca="false">IF($A38="","",Data_Engine!$AG38)</f>
        <v>0</v>
      </c>
      <c r="V38" s="73" t="n">
        <f aca="false">IF($A38="","",$Q38-$U38)</f>
        <v>0</v>
      </c>
      <c r="W38" s="72" t="str">
        <f aca="false">IF($A38="","",IF(ROUND($U38,2)=0,"n/a",$V38/ABS($U38)))</f>
        <v>n/a</v>
      </c>
      <c r="X38" s="74" t="str">
        <f aca="false">IF($A38="","",IF(AND(ROUND($Q38,2)=0,ROUND($R38,2)=0),"No Activity",IF(ABS($S38)&lt;Setup!$B$14,"Low",IF(ROUND($R38,2)=0,"High",IF(OR(ABS($S38/$R38)&gt;=Setup!$B$16,ABS($S38)&gt;=Setup!$B$17),"High",IF(ABS($S38/$R38)&gt;=Setup!$B$15,"Medium","Low"))))))</f>
        <v>No Activity</v>
      </c>
      <c r="Y38" s="57"/>
      <c r="Z38" s="75" t="n">
        <f aca="false">IF($A38="",-1000000000000000,IF(ROUND(ABS($S38),0)=0,-1000000000000000,ABS($S38)+ROW()/1000000))</f>
        <v>-1000000000000000</v>
      </c>
    </row>
    <row r="39" customFormat="false" ht="15" hidden="false" customHeight="false" outlineLevel="0" collapsed="false">
      <c r="A39" s="68" t="str">
        <f aca="false">IF(Data_Engine!$A39="","",Data_Engine!$A39)</f>
        <v>Tech Event Management</v>
      </c>
      <c r="B39" s="42" t="str">
        <f aca="false">IF($A39="","",Data_Engine!$B39)</f>
        <v>Income</v>
      </c>
      <c r="C39" s="42" t="str">
        <f aca="false">IF($A39="","",Data_Engine!$D39)</f>
        <v>Unallocated</v>
      </c>
      <c r="D39" s="69" t="n">
        <f aca="false">IF($A39="","",Data_Engine!$R39)</f>
        <v>0</v>
      </c>
      <c r="E39" s="69" t="n">
        <f aca="false">IF($A39="","",Data_Engine!$S39)</f>
        <v>0</v>
      </c>
      <c r="F39" s="69" t="n">
        <f aca="false">IF($A39="","",Data_Engine!$T39)</f>
        <v>0</v>
      </c>
      <c r="G39" s="69" t="n">
        <f aca="false">IF($A39="","",Data_Engine!$U39)</f>
        <v>0</v>
      </c>
      <c r="H39" s="69" t="n">
        <f aca="false">IF($A39="","",Data_Engine!$V39)</f>
        <v>0</v>
      </c>
      <c r="I39" s="69" t="n">
        <f aca="false">IF($A39="","",Data_Engine!$W39)</f>
        <v>0</v>
      </c>
      <c r="J39" s="69" t="n">
        <f aca="false">IF($A39="","",Data_Engine!$X39)</f>
        <v>0</v>
      </c>
      <c r="K39" s="69" t="n">
        <f aca="false">IF($A39="","",Data_Engine!$Y39)</f>
        <v>0</v>
      </c>
      <c r="L39" s="69" t="n">
        <f aca="false">IF($A39="","",Data_Engine!$Z39)</f>
        <v>0</v>
      </c>
      <c r="M39" s="69" t="n">
        <f aca="false">IF($A39="","",Data_Engine!$AA39)</f>
        <v>0</v>
      </c>
      <c r="N39" s="69" t="n">
        <f aca="false">IF($A39="","",Data_Engine!$AB39)</f>
        <v>0</v>
      </c>
      <c r="O39" s="69" t="n">
        <f aca="false">IF($A39="","",Data_Engine!$AC39)</f>
        <v>0</v>
      </c>
      <c r="P39" s="69" t="n">
        <f aca="false">IF($A39="","",Data_Engine!$AH39)</f>
        <v>0</v>
      </c>
      <c r="Q39" s="70" t="n">
        <f aca="false">IF($A39="","",Data_Engine!$AD39)</f>
        <v>0</v>
      </c>
      <c r="R39" s="69" t="n">
        <f aca="false">IF($A39="","",Data_Engine!$AF39)</f>
        <v>0</v>
      </c>
      <c r="S39" s="71" t="n">
        <f aca="false">IF($A39="","",$Q39-$R39)</f>
        <v>0</v>
      </c>
      <c r="T39" s="72" t="str">
        <f aca="false">IF($A39="","",IF(ROUND($R39,2)=0,"n/a",$S39/ABS($R39)))</f>
        <v>n/a</v>
      </c>
      <c r="U39" s="69" t="n">
        <f aca="false">IF($A39="","",Data_Engine!$AG39)</f>
        <v>0</v>
      </c>
      <c r="V39" s="73" t="n">
        <f aca="false">IF($A39="","",$Q39-$U39)</f>
        <v>0</v>
      </c>
      <c r="W39" s="72" t="str">
        <f aca="false">IF($A39="","",IF(ROUND($U39,2)=0,"n/a",$V39/ABS($U39)))</f>
        <v>n/a</v>
      </c>
      <c r="X39" s="74" t="str">
        <f aca="false">IF($A39="","",IF(AND(ROUND($Q39,2)=0,ROUND($R39,2)=0),"No Activity",IF(ABS($S39)&lt;Setup!$B$14,"Low",IF(ROUND($R39,2)=0,"High",IF(OR(ABS($S39/$R39)&gt;=Setup!$B$16,ABS($S39)&gt;=Setup!$B$17),"High",IF(ABS($S39/$R39)&gt;=Setup!$B$15,"Medium","Low"))))))</f>
        <v>No Activity</v>
      </c>
      <c r="Y39" s="57"/>
      <c r="Z39" s="75" t="n">
        <f aca="false">IF($A39="",-1000000000000000,IF(ROUND(ABS($S39),0)=0,-1000000000000000,ABS($S39)+ROW()/1000000))</f>
        <v>-1000000000000000</v>
      </c>
    </row>
    <row r="40" customFormat="false" ht="15" hidden="false" customHeight="false" outlineLevel="0" collapsed="false">
      <c r="A40" s="68" t="str">
        <f aca="false">IF(Data_Engine!$A40="","",Data_Engine!$A40)</f>
        <v>Video Labour</v>
      </c>
      <c r="B40" s="42" t="str">
        <f aca="false">IF($A40="","",Data_Engine!$B40)</f>
        <v>Income</v>
      </c>
      <c r="C40" s="42" t="str">
        <f aca="false">IF($A40="","",Data_Engine!$D40)</f>
        <v>Unallocated</v>
      </c>
      <c r="D40" s="69" t="n">
        <f aca="false">IF($A40="","",Data_Engine!$R40)</f>
        <v>0</v>
      </c>
      <c r="E40" s="69" t="n">
        <f aca="false">IF($A40="","",Data_Engine!$S40)</f>
        <v>0</v>
      </c>
      <c r="F40" s="69" t="n">
        <f aca="false">IF($A40="","",Data_Engine!$T40)</f>
        <v>0</v>
      </c>
      <c r="G40" s="69" t="n">
        <f aca="false">IF($A40="","",Data_Engine!$U40)</f>
        <v>0</v>
      </c>
      <c r="H40" s="69" t="n">
        <f aca="false">IF($A40="","",Data_Engine!$V40)</f>
        <v>0</v>
      </c>
      <c r="I40" s="69" t="n">
        <f aca="false">IF($A40="","",Data_Engine!$W40)</f>
        <v>0</v>
      </c>
      <c r="J40" s="69" t="n">
        <f aca="false">IF($A40="","",Data_Engine!$X40)</f>
        <v>0</v>
      </c>
      <c r="K40" s="69" t="n">
        <f aca="false">IF($A40="","",Data_Engine!$Y40)</f>
        <v>0</v>
      </c>
      <c r="L40" s="69" t="n">
        <f aca="false">IF($A40="","",Data_Engine!$Z40)</f>
        <v>0</v>
      </c>
      <c r="M40" s="69" t="n">
        <f aca="false">IF($A40="","",Data_Engine!$AA40)</f>
        <v>0</v>
      </c>
      <c r="N40" s="69" t="n">
        <f aca="false">IF($A40="","",Data_Engine!$AB40)</f>
        <v>0</v>
      </c>
      <c r="O40" s="69" t="n">
        <f aca="false">IF($A40="","",Data_Engine!$AC40)</f>
        <v>0</v>
      </c>
      <c r="P40" s="69" t="n">
        <f aca="false">IF($A40="","",Data_Engine!$AH40)</f>
        <v>0</v>
      </c>
      <c r="Q40" s="70" t="n">
        <f aca="false">IF($A40="","",Data_Engine!$AD40)</f>
        <v>0</v>
      </c>
      <c r="R40" s="69" t="n">
        <f aca="false">IF($A40="","",Data_Engine!$AF40)</f>
        <v>0</v>
      </c>
      <c r="S40" s="71" t="n">
        <f aca="false">IF($A40="","",$Q40-$R40)</f>
        <v>0</v>
      </c>
      <c r="T40" s="72" t="str">
        <f aca="false">IF($A40="","",IF(ROUND($R40,2)=0,"n/a",$S40/ABS($R40)))</f>
        <v>n/a</v>
      </c>
      <c r="U40" s="69" t="n">
        <f aca="false">IF($A40="","",Data_Engine!$AG40)</f>
        <v>0</v>
      </c>
      <c r="V40" s="73" t="n">
        <f aca="false">IF($A40="","",$Q40-$U40)</f>
        <v>0</v>
      </c>
      <c r="W40" s="72" t="str">
        <f aca="false">IF($A40="","",IF(ROUND($U40,2)=0,"n/a",$V40/ABS($U40)))</f>
        <v>n/a</v>
      </c>
      <c r="X40" s="74" t="str">
        <f aca="false">IF($A40="","",IF(AND(ROUND($Q40,2)=0,ROUND($R40,2)=0),"No Activity",IF(ABS($S40)&lt;Setup!$B$14,"Low",IF(ROUND($R40,2)=0,"High",IF(OR(ABS($S40/$R40)&gt;=Setup!$B$16,ABS($S40)&gt;=Setup!$B$17),"High",IF(ABS($S40/$R40)&gt;=Setup!$B$15,"Medium","Low"))))))</f>
        <v>No Activity</v>
      </c>
      <c r="Y40" s="57"/>
      <c r="Z40" s="75" t="n">
        <f aca="false">IF($A40="",-1000000000000000,IF(ROUND(ABS($S40),0)=0,-1000000000000000,ABS($S40)+ROW()/1000000))</f>
        <v>-1000000000000000</v>
      </c>
    </row>
    <row r="41" customFormat="false" ht="15" hidden="false" customHeight="false" outlineLevel="0" collapsed="false">
      <c r="A41" s="68" t="str">
        <f aca="false">IF(Data_Engine!$A41="","",Data_Engine!$A41)</f>
        <v>Credit Card Paid - ADMIN</v>
      </c>
      <c r="B41" s="42" t="str">
        <f aca="false">IF($A41="","",Data_Engine!$B41)</f>
        <v>Cost of Sales</v>
      </c>
      <c r="C41" s="42" t="str">
        <f aca="false">IF($A41="","",Data_Engine!$D41)</f>
        <v>Admin</v>
      </c>
      <c r="D41" s="69" t="n">
        <f aca="false">IF($A41="","",Data_Engine!$R41)</f>
        <v>0</v>
      </c>
      <c r="E41" s="69" t="n">
        <f aca="false">IF($A41="","",Data_Engine!$S41)</f>
        <v>0</v>
      </c>
      <c r="F41" s="69" t="n">
        <f aca="false">IF($A41="","",Data_Engine!$T41)</f>
        <v>0</v>
      </c>
      <c r="G41" s="69" t="n">
        <f aca="false">IF($A41="","",Data_Engine!$U41)</f>
        <v>0</v>
      </c>
      <c r="H41" s="69" t="n">
        <f aca="false">IF($A41="","",Data_Engine!$V41)</f>
        <v>0</v>
      </c>
      <c r="I41" s="69" t="n">
        <f aca="false">IF($A41="","",Data_Engine!$W41)</f>
        <v>0</v>
      </c>
      <c r="J41" s="69" t="n">
        <f aca="false">IF($A41="","",Data_Engine!$X41)</f>
        <v>0</v>
      </c>
      <c r="K41" s="69" t="n">
        <f aca="false">IF($A41="","",Data_Engine!$Y41)</f>
        <v>0</v>
      </c>
      <c r="L41" s="69" t="n">
        <f aca="false">IF($A41="","",Data_Engine!$Z41)</f>
        <v>0</v>
      </c>
      <c r="M41" s="69" t="n">
        <f aca="false">IF($A41="","",Data_Engine!$AA41)</f>
        <v>0</v>
      </c>
      <c r="N41" s="69" t="n">
        <f aca="false">IF($A41="","",Data_Engine!$AB41)</f>
        <v>0</v>
      </c>
      <c r="O41" s="69" t="n">
        <f aca="false">IF($A41="","",Data_Engine!$AC41)</f>
        <v>0</v>
      </c>
      <c r="P41" s="69" t="n">
        <f aca="false">IF($A41="","",Data_Engine!$AH41)</f>
        <v>0</v>
      </c>
      <c r="Q41" s="70" t="n">
        <f aca="false">IF($A41="","",Data_Engine!$AD41)</f>
        <v>0</v>
      </c>
      <c r="R41" s="69" t="n">
        <f aca="false">IF($A41="","",Data_Engine!$AF41)</f>
        <v>0</v>
      </c>
      <c r="S41" s="71" t="n">
        <f aca="false">IF($A41="","",$Q41-$R41)</f>
        <v>0</v>
      </c>
      <c r="T41" s="72" t="str">
        <f aca="false">IF($A41="","",IF(ROUND($R41,2)=0,"n/a",$S41/ABS($R41)))</f>
        <v>n/a</v>
      </c>
      <c r="U41" s="69" t="n">
        <f aca="false">IF($A41="","",Data_Engine!$AG41)</f>
        <v>0</v>
      </c>
      <c r="V41" s="73" t="n">
        <f aca="false">IF($A41="","",$Q41-$U41)</f>
        <v>0</v>
      </c>
      <c r="W41" s="72" t="str">
        <f aca="false">IF($A41="","",IF(ROUND($U41,2)=0,"n/a",$V41/ABS($U41)))</f>
        <v>n/a</v>
      </c>
      <c r="X41" s="74" t="str">
        <f aca="false">IF($A41="","",IF(AND(ROUND($Q41,2)=0,ROUND($R41,2)=0),"No Activity",IF(ABS($S41)&lt;Setup!$B$14,"Low",IF(ROUND($R41,2)=0,"High",IF(OR(ABS($S41/$R41)&gt;=Setup!$B$16,ABS($S41)&gt;=Setup!$B$17),"High",IF(ABS($S41/$R41)&gt;=Setup!$B$15,"Medium","Low"))))))</f>
        <v>No Activity</v>
      </c>
      <c r="Y41" s="57"/>
      <c r="Z41" s="75" t="n">
        <f aca="false">IF($A41="",-1000000000000000,IF(ROUND(ABS($S41),0)=0,-1000000000000000,ABS($S41)+ROW()/1000000))</f>
        <v>-1000000000000000</v>
      </c>
    </row>
    <row r="42" customFormat="false" ht="15" hidden="false" customHeight="false" outlineLevel="0" collapsed="false">
      <c r="A42" s="68" t="str">
        <f aca="false">IF(Data_Engine!$A42="","",Data_Engine!$A42)</f>
        <v>Credit Card Paid - CONS</v>
      </c>
      <c r="B42" s="42" t="str">
        <f aca="false">IF($A42="","",Data_Engine!$B42)</f>
        <v>Cost of Sales</v>
      </c>
      <c r="C42" s="42" t="str">
        <f aca="false">IF($A42="","",Data_Engine!$D42)</f>
        <v>Consulting</v>
      </c>
      <c r="D42" s="69" t="n">
        <f aca="false">IF($A42="","",Data_Engine!$R42)</f>
        <v>0</v>
      </c>
      <c r="E42" s="69" t="n">
        <f aca="false">IF($A42="","",Data_Engine!$S42)</f>
        <v>0</v>
      </c>
      <c r="F42" s="69" t="n">
        <f aca="false">IF($A42="","",Data_Engine!$T42)</f>
        <v>0</v>
      </c>
      <c r="G42" s="69" t="n">
        <f aca="false">IF($A42="","",Data_Engine!$U42)</f>
        <v>0</v>
      </c>
      <c r="H42" s="69" t="n">
        <f aca="false">IF($A42="","",Data_Engine!$V42)</f>
        <v>0</v>
      </c>
      <c r="I42" s="69" t="n">
        <f aca="false">IF($A42="","",Data_Engine!$W42)</f>
        <v>0</v>
      </c>
      <c r="J42" s="69" t="n">
        <f aca="false">IF($A42="","",Data_Engine!$X42)</f>
        <v>0</v>
      </c>
      <c r="K42" s="69" t="n">
        <f aca="false">IF($A42="","",Data_Engine!$Y42)</f>
        <v>0</v>
      </c>
      <c r="L42" s="69" t="n">
        <f aca="false">IF($A42="","",Data_Engine!$Z42)</f>
        <v>0</v>
      </c>
      <c r="M42" s="69" t="n">
        <f aca="false">IF($A42="","",Data_Engine!$AA42)</f>
        <v>0</v>
      </c>
      <c r="N42" s="69" t="n">
        <f aca="false">IF($A42="","",Data_Engine!$AB42)</f>
        <v>0</v>
      </c>
      <c r="O42" s="69" t="n">
        <f aca="false">IF($A42="","",Data_Engine!$AC42)</f>
        <v>0</v>
      </c>
      <c r="P42" s="69" t="n">
        <f aca="false">IF($A42="","",Data_Engine!$AH42)</f>
        <v>0</v>
      </c>
      <c r="Q42" s="70" t="n">
        <f aca="false">IF($A42="","",Data_Engine!$AD42)</f>
        <v>0</v>
      </c>
      <c r="R42" s="69" t="n">
        <f aca="false">IF($A42="","",Data_Engine!$AF42)</f>
        <v>0</v>
      </c>
      <c r="S42" s="71" t="n">
        <f aca="false">IF($A42="","",$Q42-$R42)</f>
        <v>0</v>
      </c>
      <c r="T42" s="72" t="str">
        <f aca="false">IF($A42="","",IF(ROUND($R42,2)=0,"n/a",$S42/ABS($R42)))</f>
        <v>n/a</v>
      </c>
      <c r="U42" s="69" t="n">
        <f aca="false">IF($A42="","",Data_Engine!$AG42)</f>
        <v>0</v>
      </c>
      <c r="V42" s="73" t="n">
        <f aca="false">IF($A42="","",$Q42-$U42)</f>
        <v>0</v>
      </c>
      <c r="W42" s="72" t="str">
        <f aca="false">IF($A42="","",IF(ROUND($U42,2)=0,"n/a",$V42/ABS($U42)))</f>
        <v>n/a</v>
      </c>
      <c r="X42" s="74" t="str">
        <f aca="false">IF($A42="","",IF(AND(ROUND($Q42,2)=0,ROUND($R42,2)=0),"No Activity",IF(ABS($S42)&lt;Setup!$B$14,"Low",IF(ROUND($R42,2)=0,"High",IF(OR(ABS($S42/$R42)&gt;=Setup!$B$16,ABS($S42)&gt;=Setup!$B$17),"High",IF(ABS($S42/$R42)&gt;=Setup!$B$15,"Medium","Low"))))))</f>
        <v>No Activity</v>
      </c>
      <c r="Y42" s="57"/>
      <c r="Z42" s="75" t="n">
        <f aca="false">IF($A42="",-1000000000000000,IF(ROUND(ABS($S42),0)=0,-1000000000000000,ABS($S42)+ROW()/1000000))</f>
        <v>-1000000000000000</v>
      </c>
    </row>
    <row r="43" customFormat="false" ht="15" hidden="false" customHeight="false" outlineLevel="0" collapsed="false">
      <c r="A43" s="68" t="str">
        <f aca="false">IF(Data_Engine!$A43="","",Data_Engine!$A43)</f>
        <v>Credit Card Paid - INTEGRATION</v>
      </c>
      <c r="B43" s="42" t="str">
        <f aca="false">IF($A43="","",Data_Engine!$B43)</f>
        <v>Cost of Sales</v>
      </c>
      <c r="C43" s="42" t="str">
        <f aca="false">IF($A43="","",Data_Engine!$D43)</f>
        <v>Integration</v>
      </c>
      <c r="D43" s="69" t="n">
        <f aca="false">IF($A43="","",Data_Engine!$R43)</f>
        <v>0</v>
      </c>
      <c r="E43" s="69" t="n">
        <f aca="false">IF($A43="","",Data_Engine!$S43)</f>
        <v>0</v>
      </c>
      <c r="F43" s="69" t="n">
        <f aca="false">IF($A43="","",Data_Engine!$T43)</f>
        <v>0</v>
      </c>
      <c r="G43" s="69" t="n">
        <f aca="false">IF($A43="","",Data_Engine!$U43)</f>
        <v>0</v>
      </c>
      <c r="H43" s="69" t="n">
        <f aca="false">IF($A43="","",Data_Engine!$V43)</f>
        <v>0</v>
      </c>
      <c r="I43" s="69" t="n">
        <f aca="false">IF($A43="","",Data_Engine!$W43)</f>
        <v>0</v>
      </c>
      <c r="J43" s="69" t="n">
        <f aca="false">IF($A43="","",Data_Engine!$X43)</f>
        <v>0</v>
      </c>
      <c r="K43" s="69" t="n">
        <f aca="false">IF($A43="","",Data_Engine!$Y43)</f>
        <v>0</v>
      </c>
      <c r="L43" s="69" t="n">
        <f aca="false">IF($A43="","",Data_Engine!$Z43)</f>
        <v>0</v>
      </c>
      <c r="M43" s="69" t="n">
        <f aca="false">IF($A43="","",Data_Engine!$AA43)</f>
        <v>0</v>
      </c>
      <c r="N43" s="69" t="n">
        <f aca="false">IF($A43="","",Data_Engine!$AB43)</f>
        <v>0</v>
      </c>
      <c r="O43" s="69" t="n">
        <f aca="false">IF($A43="","",Data_Engine!$AC43)</f>
        <v>0</v>
      </c>
      <c r="P43" s="69" t="n">
        <f aca="false">IF($A43="","",Data_Engine!$AH43)</f>
        <v>0</v>
      </c>
      <c r="Q43" s="70" t="n">
        <f aca="false">IF($A43="","",Data_Engine!$AD43)</f>
        <v>0</v>
      </c>
      <c r="R43" s="69" t="n">
        <f aca="false">IF($A43="","",Data_Engine!$AF43)</f>
        <v>0</v>
      </c>
      <c r="S43" s="71" t="n">
        <f aca="false">IF($A43="","",$Q43-$R43)</f>
        <v>0</v>
      </c>
      <c r="T43" s="72" t="str">
        <f aca="false">IF($A43="","",IF(ROUND($R43,2)=0,"n/a",$S43/ABS($R43)))</f>
        <v>n/a</v>
      </c>
      <c r="U43" s="69" t="n">
        <f aca="false">IF($A43="","",Data_Engine!$AG43)</f>
        <v>0</v>
      </c>
      <c r="V43" s="73" t="n">
        <f aca="false">IF($A43="","",$Q43-$U43)</f>
        <v>0</v>
      </c>
      <c r="W43" s="72" t="str">
        <f aca="false">IF($A43="","",IF(ROUND($U43,2)=0,"n/a",$V43/ABS($U43)))</f>
        <v>n/a</v>
      </c>
      <c r="X43" s="74" t="str">
        <f aca="false">IF($A43="","",IF(AND(ROUND($Q43,2)=0,ROUND($R43,2)=0),"No Activity",IF(ABS($S43)&lt;Setup!$B$14,"Low",IF(ROUND($R43,2)=0,"High",IF(OR(ABS($S43/$R43)&gt;=Setup!$B$16,ABS($S43)&gt;=Setup!$B$17),"High",IF(ABS($S43/$R43)&gt;=Setup!$B$15,"Medium","Low"))))))</f>
        <v>No Activity</v>
      </c>
      <c r="Y43" s="57"/>
      <c r="Z43" s="75" t="n">
        <f aca="false">IF($A43="",-1000000000000000,IF(ROUND(ABS($S43),0)=0,-1000000000000000,ABS($S43)+ROW()/1000000))</f>
        <v>-1000000000000000</v>
      </c>
    </row>
    <row r="44" customFormat="false" ht="15" hidden="false" customHeight="false" outlineLevel="0" collapsed="false">
      <c r="A44" s="68" t="str">
        <f aca="false">IF(Data_Engine!$A44="","",Data_Engine!$A44)</f>
        <v>Credit Card Paid - ONS</v>
      </c>
      <c r="B44" s="42" t="str">
        <f aca="false">IF($A44="","",Data_Engine!$B44)</f>
        <v>Cost of Sales</v>
      </c>
      <c r="C44" s="42" t="str">
        <f aca="false">IF($A44="","",Data_Engine!$D44)</f>
        <v>Onsite</v>
      </c>
      <c r="D44" s="69" t="n">
        <f aca="false">IF($A44="","",Data_Engine!$R44)</f>
        <v>0</v>
      </c>
      <c r="E44" s="69" t="n">
        <f aca="false">IF($A44="","",Data_Engine!$S44)</f>
        <v>0</v>
      </c>
      <c r="F44" s="69" t="n">
        <f aca="false">IF($A44="","",Data_Engine!$T44)</f>
        <v>0</v>
      </c>
      <c r="G44" s="69" t="n">
        <f aca="false">IF($A44="","",Data_Engine!$U44)</f>
        <v>0</v>
      </c>
      <c r="H44" s="69" t="n">
        <f aca="false">IF($A44="","",Data_Engine!$V44)</f>
        <v>0</v>
      </c>
      <c r="I44" s="69" t="n">
        <f aca="false">IF($A44="","",Data_Engine!$W44)</f>
        <v>0</v>
      </c>
      <c r="J44" s="69" t="n">
        <f aca="false">IF($A44="","",Data_Engine!$X44)</f>
        <v>0</v>
      </c>
      <c r="K44" s="69" t="n">
        <f aca="false">IF($A44="","",Data_Engine!$Y44)</f>
        <v>0</v>
      </c>
      <c r="L44" s="69" t="n">
        <f aca="false">IF($A44="","",Data_Engine!$Z44)</f>
        <v>0</v>
      </c>
      <c r="M44" s="69" t="n">
        <f aca="false">IF($A44="","",Data_Engine!$AA44)</f>
        <v>0</v>
      </c>
      <c r="N44" s="69" t="n">
        <f aca="false">IF($A44="","",Data_Engine!$AB44)</f>
        <v>0</v>
      </c>
      <c r="O44" s="69" t="n">
        <f aca="false">IF($A44="","",Data_Engine!$AC44)</f>
        <v>0</v>
      </c>
      <c r="P44" s="69" t="n">
        <f aca="false">IF($A44="","",Data_Engine!$AH44)</f>
        <v>0</v>
      </c>
      <c r="Q44" s="70" t="n">
        <f aca="false">IF($A44="","",Data_Engine!$AD44)</f>
        <v>0</v>
      </c>
      <c r="R44" s="69" t="n">
        <f aca="false">IF($A44="","",Data_Engine!$AF44)</f>
        <v>0</v>
      </c>
      <c r="S44" s="71" t="n">
        <f aca="false">IF($A44="","",$Q44-$R44)</f>
        <v>0</v>
      </c>
      <c r="T44" s="72" t="str">
        <f aca="false">IF($A44="","",IF(ROUND($R44,2)=0,"n/a",$S44/ABS($R44)))</f>
        <v>n/a</v>
      </c>
      <c r="U44" s="69" t="n">
        <f aca="false">IF($A44="","",Data_Engine!$AG44)</f>
        <v>0</v>
      </c>
      <c r="V44" s="73" t="n">
        <f aca="false">IF($A44="","",$Q44-$U44)</f>
        <v>0</v>
      </c>
      <c r="W44" s="72" t="str">
        <f aca="false">IF($A44="","",IF(ROUND($U44,2)=0,"n/a",$V44/ABS($U44)))</f>
        <v>n/a</v>
      </c>
      <c r="X44" s="74" t="str">
        <f aca="false">IF($A44="","",IF(AND(ROUND($Q44,2)=0,ROUND($R44,2)=0),"No Activity",IF(ABS($S44)&lt;Setup!$B$14,"Low",IF(ROUND($R44,2)=0,"High",IF(OR(ABS($S44/$R44)&gt;=Setup!$B$16,ABS($S44)&gt;=Setup!$B$17),"High",IF(ABS($S44/$R44)&gt;=Setup!$B$15,"Medium","Low"))))))</f>
        <v>No Activity</v>
      </c>
      <c r="Y44" s="57"/>
      <c r="Z44" s="75" t="n">
        <f aca="false">IF($A44="",-1000000000000000,IF(ROUND(ABS($S44),0)=0,-1000000000000000,ABS($S44)+ROW()/1000000))</f>
        <v>-1000000000000000</v>
      </c>
    </row>
    <row r="45" customFormat="false" ht="15" hidden="false" customHeight="false" outlineLevel="0" collapsed="false">
      <c r="A45" s="68" t="str">
        <f aca="false">IF(Data_Engine!$A45="","",Data_Engine!$A45)</f>
        <v>Credit Card Paid - PRD</v>
      </c>
      <c r="B45" s="42" t="str">
        <f aca="false">IF($A45="","",Data_Engine!$B45)</f>
        <v>Cost of Sales</v>
      </c>
      <c r="C45" s="42" t="str">
        <f aca="false">IF($A45="","",Data_Engine!$D45)</f>
        <v>Production</v>
      </c>
      <c r="D45" s="69" t="n">
        <f aca="false">IF($A45="","",Data_Engine!$R45)</f>
        <v>0</v>
      </c>
      <c r="E45" s="69" t="n">
        <f aca="false">IF($A45="","",Data_Engine!$S45)</f>
        <v>0</v>
      </c>
      <c r="F45" s="69" t="n">
        <f aca="false">IF($A45="","",Data_Engine!$T45)</f>
        <v>0</v>
      </c>
      <c r="G45" s="69" t="n">
        <f aca="false">IF($A45="","",Data_Engine!$U45)</f>
        <v>0</v>
      </c>
      <c r="H45" s="69" t="n">
        <f aca="false">IF($A45="","",Data_Engine!$V45)</f>
        <v>0</v>
      </c>
      <c r="I45" s="69" t="n">
        <f aca="false">IF($A45="","",Data_Engine!$W45)</f>
        <v>0</v>
      </c>
      <c r="J45" s="69" t="n">
        <f aca="false">IF($A45="","",Data_Engine!$X45)</f>
        <v>0</v>
      </c>
      <c r="K45" s="69" t="n">
        <f aca="false">IF($A45="","",Data_Engine!$Y45)</f>
        <v>0</v>
      </c>
      <c r="L45" s="69" t="n">
        <f aca="false">IF($A45="","",Data_Engine!$Z45)</f>
        <v>0</v>
      </c>
      <c r="M45" s="69" t="n">
        <f aca="false">IF($A45="","",Data_Engine!$AA45)</f>
        <v>0</v>
      </c>
      <c r="N45" s="69" t="n">
        <f aca="false">IF($A45="","",Data_Engine!$AB45)</f>
        <v>0</v>
      </c>
      <c r="O45" s="69" t="n">
        <f aca="false">IF($A45="","",Data_Engine!$AC45)</f>
        <v>0</v>
      </c>
      <c r="P45" s="69" t="n">
        <f aca="false">IF($A45="","",Data_Engine!$AH45)</f>
        <v>0</v>
      </c>
      <c r="Q45" s="70" t="n">
        <f aca="false">IF($A45="","",Data_Engine!$AD45)</f>
        <v>0</v>
      </c>
      <c r="R45" s="69" t="n">
        <f aca="false">IF($A45="","",Data_Engine!$AF45)</f>
        <v>0</v>
      </c>
      <c r="S45" s="71" t="n">
        <f aca="false">IF($A45="","",$Q45-$R45)</f>
        <v>0</v>
      </c>
      <c r="T45" s="72" t="str">
        <f aca="false">IF($A45="","",IF(ROUND($R45,2)=0,"n/a",$S45/ABS($R45)))</f>
        <v>n/a</v>
      </c>
      <c r="U45" s="69" t="n">
        <f aca="false">IF($A45="","",Data_Engine!$AG45)</f>
        <v>0</v>
      </c>
      <c r="V45" s="73" t="n">
        <f aca="false">IF($A45="","",$Q45-$U45)</f>
        <v>0</v>
      </c>
      <c r="W45" s="72" t="str">
        <f aca="false">IF($A45="","",IF(ROUND($U45,2)=0,"n/a",$V45/ABS($U45)))</f>
        <v>n/a</v>
      </c>
      <c r="X45" s="74" t="str">
        <f aca="false">IF($A45="","",IF(AND(ROUND($Q45,2)=0,ROUND($R45,2)=0),"No Activity",IF(ABS($S45)&lt;Setup!$B$14,"Low",IF(ROUND($R45,2)=0,"High",IF(OR(ABS($S45/$R45)&gt;=Setup!$B$16,ABS($S45)&gt;=Setup!$B$17),"High",IF(ABS($S45/$R45)&gt;=Setup!$B$15,"Medium","Low"))))))</f>
        <v>No Activity</v>
      </c>
      <c r="Y45" s="57"/>
      <c r="Z45" s="75" t="n">
        <f aca="false">IF($A45="",-1000000000000000,IF(ROUND(ABS($S45),0)=0,-1000000000000000,ABS($S45)+ROW()/1000000))</f>
        <v>-1000000000000000</v>
      </c>
    </row>
    <row r="46" customFormat="false" ht="15" hidden="false" customHeight="false" outlineLevel="0" collapsed="false">
      <c r="A46" s="68" t="str">
        <f aca="false">IF(Data_Engine!$A46="","",Data_Engine!$A46)</f>
        <v>Credit Card Paid - VID</v>
      </c>
      <c r="B46" s="42" t="str">
        <f aca="false">IF($A46="","",Data_Engine!$B46)</f>
        <v>Cost of Sales</v>
      </c>
      <c r="C46" s="42" t="str">
        <f aca="false">IF($A46="","",Data_Engine!$D46)</f>
        <v>Video</v>
      </c>
      <c r="D46" s="69" t="n">
        <f aca="false">IF($A46="","",Data_Engine!$R46)</f>
        <v>0</v>
      </c>
      <c r="E46" s="69" t="n">
        <f aca="false">IF($A46="","",Data_Engine!$S46)</f>
        <v>0</v>
      </c>
      <c r="F46" s="69" t="n">
        <f aca="false">IF($A46="","",Data_Engine!$T46)</f>
        <v>0</v>
      </c>
      <c r="G46" s="69" t="n">
        <f aca="false">IF($A46="","",Data_Engine!$U46)</f>
        <v>0</v>
      </c>
      <c r="H46" s="69" t="n">
        <f aca="false">IF($A46="","",Data_Engine!$V46)</f>
        <v>0</v>
      </c>
      <c r="I46" s="69" t="n">
        <f aca="false">IF($A46="","",Data_Engine!$W46)</f>
        <v>0</v>
      </c>
      <c r="J46" s="69" t="n">
        <f aca="false">IF($A46="","",Data_Engine!$X46)</f>
        <v>0</v>
      </c>
      <c r="K46" s="69" t="n">
        <f aca="false">IF($A46="","",Data_Engine!$Y46)</f>
        <v>0</v>
      </c>
      <c r="L46" s="69" t="n">
        <f aca="false">IF($A46="","",Data_Engine!$Z46)</f>
        <v>0</v>
      </c>
      <c r="M46" s="69" t="n">
        <f aca="false">IF($A46="","",Data_Engine!$AA46)</f>
        <v>0</v>
      </c>
      <c r="N46" s="69" t="n">
        <f aca="false">IF($A46="","",Data_Engine!$AB46)</f>
        <v>0</v>
      </c>
      <c r="O46" s="69" t="n">
        <f aca="false">IF($A46="","",Data_Engine!$AC46)</f>
        <v>0</v>
      </c>
      <c r="P46" s="69" t="n">
        <f aca="false">IF($A46="","",Data_Engine!$AH46)</f>
        <v>0</v>
      </c>
      <c r="Q46" s="70" t="n">
        <f aca="false">IF($A46="","",Data_Engine!$AD46)</f>
        <v>0</v>
      </c>
      <c r="R46" s="69" t="n">
        <f aca="false">IF($A46="","",Data_Engine!$AF46)</f>
        <v>0</v>
      </c>
      <c r="S46" s="71" t="n">
        <f aca="false">IF($A46="","",$Q46-$R46)</f>
        <v>0</v>
      </c>
      <c r="T46" s="72" t="str">
        <f aca="false">IF($A46="","",IF(ROUND($R46,2)=0,"n/a",$S46/ABS($R46)))</f>
        <v>n/a</v>
      </c>
      <c r="U46" s="69" t="n">
        <f aca="false">IF($A46="","",Data_Engine!$AG46)</f>
        <v>0</v>
      </c>
      <c r="V46" s="73" t="n">
        <f aca="false">IF($A46="","",$Q46-$U46)</f>
        <v>0</v>
      </c>
      <c r="W46" s="72" t="str">
        <f aca="false">IF($A46="","",IF(ROUND($U46,2)=0,"n/a",$V46/ABS($U46)))</f>
        <v>n/a</v>
      </c>
      <c r="X46" s="74" t="str">
        <f aca="false">IF($A46="","",IF(AND(ROUND($Q46,2)=0,ROUND($R46,2)=0),"No Activity",IF(ABS($S46)&lt;Setup!$B$14,"Low",IF(ROUND($R46,2)=0,"High",IF(OR(ABS($S46/$R46)&gt;=Setup!$B$16,ABS($S46)&gt;=Setup!$B$17),"High",IF(ABS($S46/$R46)&gt;=Setup!$B$15,"Medium","Low"))))))</f>
        <v>No Activity</v>
      </c>
      <c r="Y46" s="57"/>
      <c r="Z46" s="75" t="n">
        <f aca="false">IF($A46="",-1000000000000000,IF(ROUND(ABS($S46),0)=0,-1000000000000000,ABS($S46)+ROW()/1000000))</f>
        <v>-1000000000000000</v>
      </c>
    </row>
    <row r="47" customFormat="false" ht="15" hidden="false" customHeight="false" outlineLevel="0" collapsed="false">
      <c r="A47" s="68" t="str">
        <f aca="false">IF(Data_Engine!$A47="","",Data_Engine!$A47)</f>
        <v>Damage Waiver</v>
      </c>
      <c r="B47" s="42" t="str">
        <f aca="false">IF($A47="","",Data_Engine!$B47)</f>
        <v>Cost of Sales</v>
      </c>
      <c r="C47" s="42" t="str">
        <f aca="false">IF($A47="","",Data_Engine!$D47)</f>
        <v>Unallocated</v>
      </c>
      <c r="D47" s="69" t="n">
        <f aca="false">IF($A47="","",Data_Engine!$R47)</f>
        <v>0</v>
      </c>
      <c r="E47" s="69" t="n">
        <f aca="false">IF($A47="","",Data_Engine!$S47)</f>
        <v>0</v>
      </c>
      <c r="F47" s="69" t="n">
        <f aca="false">IF($A47="","",Data_Engine!$T47)</f>
        <v>0</v>
      </c>
      <c r="G47" s="69" t="n">
        <f aca="false">IF($A47="","",Data_Engine!$U47)</f>
        <v>0</v>
      </c>
      <c r="H47" s="69" t="n">
        <f aca="false">IF($A47="","",Data_Engine!$V47)</f>
        <v>0</v>
      </c>
      <c r="I47" s="69" t="n">
        <f aca="false">IF($A47="","",Data_Engine!$W47)</f>
        <v>0</v>
      </c>
      <c r="J47" s="69" t="n">
        <f aca="false">IF($A47="","",Data_Engine!$X47)</f>
        <v>0</v>
      </c>
      <c r="K47" s="69" t="n">
        <f aca="false">IF($A47="","",Data_Engine!$Y47)</f>
        <v>0</v>
      </c>
      <c r="L47" s="69" t="n">
        <f aca="false">IF($A47="","",Data_Engine!$Z47)</f>
        <v>0</v>
      </c>
      <c r="M47" s="69" t="n">
        <f aca="false">IF($A47="","",Data_Engine!$AA47)</f>
        <v>0</v>
      </c>
      <c r="N47" s="69" t="n">
        <f aca="false">IF($A47="","",Data_Engine!$AB47)</f>
        <v>0</v>
      </c>
      <c r="O47" s="69" t="n">
        <f aca="false">IF($A47="","",Data_Engine!$AC47)</f>
        <v>0</v>
      </c>
      <c r="P47" s="69" t="n">
        <f aca="false">IF($A47="","",Data_Engine!$AH47)</f>
        <v>0</v>
      </c>
      <c r="Q47" s="70" t="n">
        <f aca="false">IF($A47="","",Data_Engine!$AD47)</f>
        <v>0</v>
      </c>
      <c r="R47" s="69" t="n">
        <f aca="false">IF($A47="","",Data_Engine!$AF47)</f>
        <v>0</v>
      </c>
      <c r="S47" s="71" t="n">
        <f aca="false">IF($A47="","",$Q47-$R47)</f>
        <v>0</v>
      </c>
      <c r="T47" s="72" t="str">
        <f aca="false">IF($A47="","",IF(ROUND($R47,2)=0,"n/a",$S47/ABS($R47)))</f>
        <v>n/a</v>
      </c>
      <c r="U47" s="69" t="n">
        <f aca="false">IF($A47="","",Data_Engine!$AG47)</f>
        <v>0</v>
      </c>
      <c r="V47" s="73" t="n">
        <f aca="false">IF($A47="","",$Q47-$U47)</f>
        <v>0</v>
      </c>
      <c r="W47" s="72" t="str">
        <f aca="false">IF($A47="","",IF(ROUND($U47,2)=0,"n/a",$V47/ABS($U47)))</f>
        <v>n/a</v>
      </c>
      <c r="X47" s="74" t="str">
        <f aca="false">IF($A47="","",IF(AND(ROUND($Q47,2)=0,ROUND($R47,2)=0),"No Activity",IF(ABS($S47)&lt;Setup!$B$14,"Low",IF(ROUND($R47,2)=0,"High",IF(OR(ABS($S47/$R47)&gt;=Setup!$B$16,ABS($S47)&gt;=Setup!$B$17),"High",IF(ABS($S47/$R47)&gt;=Setup!$B$15,"Medium","Low"))))))</f>
        <v>No Activity</v>
      </c>
      <c r="Y47" s="57"/>
      <c r="Z47" s="75" t="n">
        <f aca="false">IF($A47="",-1000000000000000,IF(ROUND(ABS($S47),0)=0,-1000000000000000,ABS($S47)+ROW()/1000000))</f>
        <v>-1000000000000000</v>
      </c>
    </row>
    <row r="48" customFormat="false" ht="15" hidden="false" customHeight="false" outlineLevel="0" collapsed="false">
      <c r="A48" s="68" t="str">
        <f aca="false">IF(Data_Engine!$A48="","",Data_Engine!$A48)</f>
        <v>Direct Freight - ADMIN</v>
      </c>
      <c r="B48" s="42" t="str">
        <f aca="false">IF($A48="","",Data_Engine!$B48)</f>
        <v>Cost of Sales</v>
      </c>
      <c r="C48" s="42" t="str">
        <f aca="false">IF($A48="","",Data_Engine!$D48)</f>
        <v>Admin</v>
      </c>
      <c r="D48" s="69" t="n">
        <f aca="false">IF($A48="","",Data_Engine!$R48)</f>
        <v>0</v>
      </c>
      <c r="E48" s="69" t="n">
        <f aca="false">IF($A48="","",Data_Engine!$S48)</f>
        <v>0</v>
      </c>
      <c r="F48" s="69" t="n">
        <f aca="false">IF($A48="","",Data_Engine!$T48)</f>
        <v>0</v>
      </c>
      <c r="G48" s="69" t="n">
        <f aca="false">IF($A48="","",Data_Engine!$U48)</f>
        <v>0</v>
      </c>
      <c r="H48" s="69" t="n">
        <f aca="false">IF($A48="","",Data_Engine!$V48)</f>
        <v>0</v>
      </c>
      <c r="I48" s="69" t="n">
        <f aca="false">IF($A48="","",Data_Engine!$W48)</f>
        <v>0</v>
      </c>
      <c r="J48" s="69" t="n">
        <f aca="false">IF($A48="","",Data_Engine!$X48)</f>
        <v>0</v>
      </c>
      <c r="K48" s="69" t="n">
        <f aca="false">IF($A48="","",Data_Engine!$Y48)</f>
        <v>0</v>
      </c>
      <c r="L48" s="69" t="n">
        <f aca="false">IF($A48="","",Data_Engine!$Z48)</f>
        <v>0</v>
      </c>
      <c r="M48" s="69" t="n">
        <f aca="false">IF($A48="","",Data_Engine!$AA48)</f>
        <v>0</v>
      </c>
      <c r="N48" s="69" t="n">
        <f aca="false">IF($A48="","",Data_Engine!$AB48)</f>
        <v>0</v>
      </c>
      <c r="O48" s="69" t="n">
        <f aca="false">IF($A48="","",Data_Engine!$AC48)</f>
        <v>0</v>
      </c>
      <c r="P48" s="69" t="n">
        <f aca="false">IF($A48="","",Data_Engine!$AH48)</f>
        <v>0</v>
      </c>
      <c r="Q48" s="70" t="n">
        <f aca="false">IF($A48="","",Data_Engine!$AD48)</f>
        <v>0</v>
      </c>
      <c r="R48" s="69" t="n">
        <f aca="false">IF($A48="","",Data_Engine!$AF48)</f>
        <v>0</v>
      </c>
      <c r="S48" s="71" t="n">
        <f aca="false">IF($A48="","",$Q48-$R48)</f>
        <v>0</v>
      </c>
      <c r="T48" s="72" t="str">
        <f aca="false">IF($A48="","",IF(ROUND($R48,2)=0,"n/a",$S48/ABS($R48)))</f>
        <v>n/a</v>
      </c>
      <c r="U48" s="69" t="n">
        <f aca="false">IF($A48="","",Data_Engine!$AG48)</f>
        <v>0</v>
      </c>
      <c r="V48" s="73" t="n">
        <f aca="false">IF($A48="","",$Q48-$U48)</f>
        <v>0</v>
      </c>
      <c r="W48" s="72" t="str">
        <f aca="false">IF($A48="","",IF(ROUND($U48,2)=0,"n/a",$V48/ABS($U48)))</f>
        <v>n/a</v>
      </c>
      <c r="X48" s="74" t="str">
        <f aca="false">IF($A48="","",IF(AND(ROUND($Q48,2)=0,ROUND($R48,2)=0),"No Activity",IF(ABS($S48)&lt;Setup!$B$14,"Low",IF(ROUND($R48,2)=0,"High",IF(OR(ABS($S48/$R48)&gt;=Setup!$B$16,ABS($S48)&gt;=Setup!$B$17),"High",IF(ABS($S48/$R48)&gt;=Setup!$B$15,"Medium","Low"))))))</f>
        <v>No Activity</v>
      </c>
      <c r="Y48" s="57"/>
      <c r="Z48" s="75" t="n">
        <f aca="false">IF($A48="",-1000000000000000,IF(ROUND(ABS($S48),0)=0,-1000000000000000,ABS($S48)+ROW()/1000000))</f>
        <v>-1000000000000000</v>
      </c>
    </row>
    <row r="49" customFormat="false" ht="15" hidden="false" customHeight="false" outlineLevel="0" collapsed="false">
      <c r="A49" s="68" t="str">
        <f aca="false">IF(Data_Engine!$A49="","",Data_Engine!$A49)</f>
        <v>Direct Freight - CONS</v>
      </c>
      <c r="B49" s="42" t="str">
        <f aca="false">IF($A49="","",Data_Engine!$B49)</f>
        <v>Cost of Sales</v>
      </c>
      <c r="C49" s="42" t="str">
        <f aca="false">IF($A49="","",Data_Engine!$D49)</f>
        <v>Consulting</v>
      </c>
      <c r="D49" s="69" t="n">
        <f aca="false">IF($A49="","",Data_Engine!$R49)</f>
        <v>0</v>
      </c>
      <c r="E49" s="69" t="n">
        <f aca="false">IF($A49="","",Data_Engine!$S49)</f>
        <v>0</v>
      </c>
      <c r="F49" s="69" t="n">
        <f aca="false">IF($A49="","",Data_Engine!$T49)</f>
        <v>0</v>
      </c>
      <c r="G49" s="69" t="n">
        <f aca="false">IF($A49="","",Data_Engine!$U49)</f>
        <v>0</v>
      </c>
      <c r="H49" s="69" t="n">
        <f aca="false">IF($A49="","",Data_Engine!$V49)</f>
        <v>0</v>
      </c>
      <c r="I49" s="69" t="n">
        <f aca="false">IF($A49="","",Data_Engine!$W49)</f>
        <v>0</v>
      </c>
      <c r="J49" s="69" t="n">
        <f aca="false">IF($A49="","",Data_Engine!$X49)</f>
        <v>0</v>
      </c>
      <c r="K49" s="69" t="n">
        <f aca="false">IF($A49="","",Data_Engine!$Y49)</f>
        <v>0</v>
      </c>
      <c r="L49" s="69" t="n">
        <f aca="false">IF($A49="","",Data_Engine!$Z49)</f>
        <v>0</v>
      </c>
      <c r="M49" s="69" t="n">
        <f aca="false">IF($A49="","",Data_Engine!$AA49)</f>
        <v>0</v>
      </c>
      <c r="N49" s="69" t="n">
        <f aca="false">IF($A49="","",Data_Engine!$AB49)</f>
        <v>0</v>
      </c>
      <c r="O49" s="69" t="n">
        <f aca="false">IF($A49="","",Data_Engine!$AC49)</f>
        <v>0</v>
      </c>
      <c r="P49" s="69" t="n">
        <f aca="false">IF($A49="","",Data_Engine!$AH49)</f>
        <v>0</v>
      </c>
      <c r="Q49" s="70" t="n">
        <f aca="false">IF($A49="","",Data_Engine!$AD49)</f>
        <v>0</v>
      </c>
      <c r="R49" s="69" t="n">
        <f aca="false">IF($A49="","",Data_Engine!$AF49)</f>
        <v>0</v>
      </c>
      <c r="S49" s="71" t="n">
        <f aca="false">IF($A49="","",$Q49-$R49)</f>
        <v>0</v>
      </c>
      <c r="T49" s="72" t="str">
        <f aca="false">IF($A49="","",IF(ROUND($R49,2)=0,"n/a",$S49/ABS($R49)))</f>
        <v>n/a</v>
      </c>
      <c r="U49" s="69" t="n">
        <f aca="false">IF($A49="","",Data_Engine!$AG49)</f>
        <v>0</v>
      </c>
      <c r="V49" s="73" t="n">
        <f aca="false">IF($A49="","",$Q49-$U49)</f>
        <v>0</v>
      </c>
      <c r="W49" s="72" t="str">
        <f aca="false">IF($A49="","",IF(ROUND($U49,2)=0,"n/a",$V49/ABS($U49)))</f>
        <v>n/a</v>
      </c>
      <c r="X49" s="74" t="str">
        <f aca="false">IF($A49="","",IF(AND(ROUND($Q49,2)=0,ROUND($R49,2)=0),"No Activity",IF(ABS($S49)&lt;Setup!$B$14,"Low",IF(ROUND($R49,2)=0,"High",IF(OR(ABS($S49/$R49)&gt;=Setup!$B$16,ABS($S49)&gt;=Setup!$B$17),"High",IF(ABS($S49/$R49)&gt;=Setup!$B$15,"Medium","Low"))))))</f>
        <v>No Activity</v>
      </c>
      <c r="Y49" s="57"/>
      <c r="Z49" s="75" t="n">
        <f aca="false">IF($A49="",-1000000000000000,IF(ROUND(ABS($S49),0)=0,-1000000000000000,ABS($S49)+ROW()/1000000))</f>
        <v>-1000000000000000</v>
      </c>
    </row>
    <row r="50" customFormat="false" ht="15" hidden="false" customHeight="false" outlineLevel="0" collapsed="false">
      <c r="A50" s="68" t="str">
        <f aca="false">IF(Data_Engine!$A50="","",Data_Engine!$A50)</f>
        <v>Direct Freight - INTEGRATION</v>
      </c>
      <c r="B50" s="42" t="str">
        <f aca="false">IF($A50="","",Data_Engine!$B50)</f>
        <v>Cost of Sales</v>
      </c>
      <c r="C50" s="42" t="str">
        <f aca="false">IF($A50="","",Data_Engine!$D50)</f>
        <v>Integration</v>
      </c>
      <c r="D50" s="69" t="n">
        <f aca="false">IF($A50="","",Data_Engine!$R50)</f>
        <v>0</v>
      </c>
      <c r="E50" s="69" t="n">
        <f aca="false">IF($A50="","",Data_Engine!$S50)</f>
        <v>0</v>
      </c>
      <c r="F50" s="69" t="n">
        <f aca="false">IF($A50="","",Data_Engine!$T50)</f>
        <v>0</v>
      </c>
      <c r="G50" s="69" t="n">
        <f aca="false">IF($A50="","",Data_Engine!$U50)</f>
        <v>0</v>
      </c>
      <c r="H50" s="69" t="n">
        <f aca="false">IF($A50="","",Data_Engine!$V50)</f>
        <v>0</v>
      </c>
      <c r="I50" s="69" t="n">
        <f aca="false">IF($A50="","",Data_Engine!$W50)</f>
        <v>0</v>
      </c>
      <c r="J50" s="69" t="n">
        <f aca="false">IF($A50="","",Data_Engine!$X50)</f>
        <v>0</v>
      </c>
      <c r="K50" s="69" t="n">
        <f aca="false">IF($A50="","",Data_Engine!$Y50)</f>
        <v>0</v>
      </c>
      <c r="L50" s="69" t="n">
        <f aca="false">IF($A50="","",Data_Engine!$Z50)</f>
        <v>0</v>
      </c>
      <c r="M50" s="69" t="n">
        <f aca="false">IF($A50="","",Data_Engine!$AA50)</f>
        <v>0</v>
      </c>
      <c r="N50" s="69" t="n">
        <f aca="false">IF($A50="","",Data_Engine!$AB50)</f>
        <v>0</v>
      </c>
      <c r="O50" s="69" t="n">
        <f aca="false">IF($A50="","",Data_Engine!$AC50)</f>
        <v>0</v>
      </c>
      <c r="P50" s="69" t="n">
        <f aca="false">IF($A50="","",Data_Engine!$AH50)</f>
        <v>0</v>
      </c>
      <c r="Q50" s="70" t="n">
        <f aca="false">IF($A50="","",Data_Engine!$AD50)</f>
        <v>0</v>
      </c>
      <c r="R50" s="69" t="n">
        <f aca="false">IF($A50="","",Data_Engine!$AF50)</f>
        <v>0</v>
      </c>
      <c r="S50" s="71" t="n">
        <f aca="false">IF($A50="","",$Q50-$R50)</f>
        <v>0</v>
      </c>
      <c r="T50" s="72" t="str">
        <f aca="false">IF($A50="","",IF(ROUND($R50,2)=0,"n/a",$S50/ABS($R50)))</f>
        <v>n/a</v>
      </c>
      <c r="U50" s="69" t="n">
        <f aca="false">IF($A50="","",Data_Engine!$AG50)</f>
        <v>0</v>
      </c>
      <c r="V50" s="73" t="n">
        <f aca="false">IF($A50="","",$Q50-$U50)</f>
        <v>0</v>
      </c>
      <c r="W50" s="72" t="str">
        <f aca="false">IF($A50="","",IF(ROUND($U50,2)=0,"n/a",$V50/ABS($U50)))</f>
        <v>n/a</v>
      </c>
      <c r="X50" s="74" t="str">
        <f aca="false">IF($A50="","",IF(AND(ROUND($Q50,2)=0,ROUND($R50,2)=0),"No Activity",IF(ABS($S50)&lt;Setup!$B$14,"Low",IF(ROUND($R50,2)=0,"High",IF(OR(ABS($S50/$R50)&gt;=Setup!$B$16,ABS($S50)&gt;=Setup!$B$17),"High",IF(ABS($S50/$R50)&gt;=Setup!$B$15,"Medium","Low"))))))</f>
        <v>No Activity</v>
      </c>
      <c r="Y50" s="57"/>
      <c r="Z50" s="75" t="n">
        <f aca="false">IF($A50="",-1000000000000000,IF(ROUND(ABS($S50),0)=0,-1000000000000000,ABS($S50)+ROW()/1000000))</f>
        <v>-1000000000000000</v>
      </c>
    </row>
    <row r="51" customFormat="false" ht="15" hidden="false" customHeight="false" outlineLevel="0" collapsed="false">
      <c r="A51" s="68" t="str">
        <f aca="false">IF(Data_Engine!$A51="","",Data_Engine!$A51)</f>
        <v>Direct Freight - ONS</v>
      </c>
      <c r="B51" s="42" t="str">
        <f aca="false">IF($A51="","",Data_Engine!$B51)</f>
        <v>Cost of Sales</v>
      </c>
      <c r="C51" s="42" t="str">
        <f aca="false">IF($A51="","",Data_Engine!$D51)</f>
        <v>Onsite</v>
      </c>
      <c r="D51" s="69" t="n">
        <f aca="false">IF($A51="","",Data_Engine!$R51)</f>
        <v>0</v>
      </c>
      <c r="E51" s="69" t="n">
        <f aca="false">IF($A51="","",Data_Engine!$S51)</f>
        <v>0</v>
      </c>
      <c r="F51" s="69" t="n">
        <f aca="false">IF($A51="","",Data_Engine!$T51)</f>
        <v>0</v>
      </c>
      <c r="G51" s="69" t="n">
        <f aca="false">IF($A51="","",Data_Engine!$U51)</f>
        <v>0</v>
      </c>
      <c r="H51" s="69" t="n">
        <f aca="false">IF($A51="","",Data_Engine!$V51)</f>
        <v>0</v>
      </c>
      <c r="I51" s="69" t="n">
        <f aca="false">IF($A51="","",Data_Engine!$W51)</f>
        <v>0</v>
      </c>
      <c r="J51" s="69" t="n">
        <f aca="false">IF($A51="","",Data_Engine!$X51)</f>
        <v>0</v>
      </c>
      <c r="K51" s="69" t="n">
        <f aca="false">IF($A51="","",Data_Engine!$Y51)</f>
        <v>0</v>
      </c>
      <c r="L51" s="69" t="n">
        <f aca="false">IF($A51="","",Data_Engine!$Z51)</f>
        <v>0</v>
      </c>
      <c r="M51" s="69" t="n">
        <f aca="false">IF($A51="","",Data_Engine!$AA51)</f>
        <v>0</v>
      </c>
      <c r="N51" s="69" t="n">
        <f aca="false">IF($A51="","",Data_Engine!$AB51)</f>
        <v>0</v>
      </c>
      <c r="O51" s="69" t="n">
        <f aca="false">IF($A51="","",Data_Engine!$AC51)</f>
        <v>0</v>
      </c>
      <c r="P51" s="69" t="n">
        <f aca="false">IF($A51="","",Data_Engine!$AH51)</f>
        <v>0</v>
      </c>
      <c r="Q51" s="70" t="n">
        <f aca="false">IF($A51="","",Data_Engine!$AD51)</f>
        <v>0</v>
      </c>
      <c r="R51" s="69" t="n">
        <f aca="false">IF($A51="","",Data_Engine!$AF51)</f>
        <v>0</v>
      </c>
      <c r="S51" s="71" t="n">
        <f aca="false">IF($A51="","",$Q51-$R51)</f>
        <v>0</v>
      </c>
      <c r="T51" s="72" t="str">
        <f aca="false">IF($A51="","",IF(ROUND($R51,2)=0,"n/a",$S51/ABS($R51)))</f>
        <v>n/a</v>
      </c>
      <c r="U51" s="69" t="n">
        <f aca="false">IF($A51="","",Data_Engine!$AG51)</f>
        <v>0</v>
      </c>
      <c r="V51" s="73" t="n">
        <f aca="false">IF($A51="","",$Q51-$U51)</f>
        <v>0</v>
      </c>
      <c r="W51" s="72" t="str">
        <f aca="false">IF($A51="","",IF(ROUND($U51,2)=0,"n/a",$V51/ABS($U51)))</f>
        <v>n/a</v>
      </c>
      <c r="X51" s="74" t="str">
        <f aca="false">IF($A51="","",IF(AND(ROUND($Q51,2)=0,ROUND($R51,2)=0),"No Activity",IF(ABS($S51)&lt;Setup!$B$14,"Low",IF(ROUND($R51,2)=0,"High",IF(OR(ABS($S51/$R51)&gt;=Setup!$B$16,ABS($S51)&gt;=Setup!$B$17),"High",IF(ABS($S51/$R51)&gt;=Setup!$B$15,"Medium","Low"))))))</f>
        <v>No Activity</v>
      </c>
      <c r="Y51" s="57"/>
      <c r="Z51" s="75" t="n">
        <f aca="false">IF($A51="",-1000000000000000,IF(ROUND(ABS($S51),0)=0,-1000000000000000,ABS($S51)+ROW()/1000000))</f>
        <v>-1000000000000000</v>
      </c>
    </row>
    <row r="52" customFormat="false" ht="15" hidden="false" customHeight="false" outlineLevel="0" collapsed="false">
      <c r="A52" s="68" t="str">
        <f aca="false">IF(Data_Engine!$A52="","",Data_Engine!$A52)</f>
        <v>Direct Freight - PRD</v>
      </c>
      <c r="B52" s="42" t="str">
        <f aca="false">IF($A52="","",Data_Engine!$B52)</f>
        <v>Cost of Sales</v>
      </c>
      <c r="C52" s="42" t="str">
        <f aca="false">IF($A52="","",Data_Engine!$D52)</f>
        <v>Production</v>
      </c>
      <c r="D52" s="69" t="n">
        <f aca="false">IF($A52="","",Data_Engine!$R52)</f>
        <v>0</v>
      </c>
      <c r="E52" s="69" t="n">
        <f aca="false">IF($A52="","",Data_Engine!$S52)</f>
        <v>0</v>
      </c>
      <c r="F52" s="69" t="n">
        <f aca="false">IF($A52="","",Data_Engine!$T52)</f>
        <v>0</v>
      </c>
      <c r="G52" s="69" t="n">
        <f aca="false">IF($A52="","",Data_Engine!$U52)</f>
        <v>0</v>
      </c>
      <c r="H52" s="69" t="n">
        <f aca="false">IF($A52="","",Data_Engine!$V52)</f>
        <v>0</v>
      </c>
      <c r="I52" s="69" t="n">
        <f aca="false">IF($A52="","",Data_Engine!$W52)</f>
        <v>0</v>
      </c>
      <c r="J52" s="69" t="n">
        <f aca="false">IF($A52="","",Data_Engine!$X52)</f>
        <v>0</v>
      </c>
      <c r="K52" s="69" t="n">
        <f aca="false">IF($A52="","",Data_Engine!$Y52)</f>
        <v>0</v>
      </c>
      <c r="L52" s="69" t="n">
        <f aca="false">IF($A52="","",Data_Engine!$Z52)</f>
        <v>0</v>
      </c>
      <c r="M52" s="69" t="n">
        <f aca="false">IF($A52="","",Data_Engine!$AA52)</f>
        <v>0</v>
      </c>
      <c r="N52" s="69" t="n">
        <f aca="false">IF($A52="","",Data_Engine!$AB52)</f>
        <v>0</v>
      </c>
      <c r="O52" s="69" t="n">
        <f aca="false">IF($A52="","",Data_Engine!$AC52)</f>
        <v>0</v>
      </c>
      <c r="P52" s="69" t="n">
        <f aca="false">IF($A52="","",Data_Engine!$AH52)</f>
        <v>0</v>
      </c>
      <c r="Q52" s="70" t="n">
        <f aca="false">IF($A52="","",Data_Engine!$AD52)</f>
        <v>0</v>
      </c>
      <c r="R52" s="69" t="n">
        <f aca="false">IF($A52="","",Data_Engine!$AF52)</f>
        <v>0</v>
      </c>
      <c r="S52" s="71" t="n">
        <f aca="false">IF($A52="","",$Q52-$R52)</f>
        <v>0</v>
      </c>
      <c r="T52" s="72" t="str">
        <f aca="false">IF($A52="","",IF(ROUND($R52,2)=0,"n/a",$S52/ABS($R52)))</f>
        <v>n/a</v>
      </c>
      <c r="U52" s="69" t="n">
        <f aca="false">IF($A52="","",Data_Engine!$AG52)</f>
        <v>0</v>
      </c>
      <c r="V52" s="73" t="n">
        <f aca="false">IF($A52="","",$Q52-$U52)</f>
        <v>0</v>
      </c>
      <c r="W52" s="72" t="str">
        <f aca="false">IF($A52="","",IF(ROUND($U52,2)=0,"n/a",$V52/ABS($U52)))</f>
        <v>n/a</v>
      </c>
      <c r="X52" s="74" t="str">
        <f aca="false">IF($A52="","",IF(AND(ROUND($Q52,2)=0,ROUND($R52,2)=0),"No Activity",IF(ABS($S52)&lt;Setup!$B$14,"Low",IF(ROUND($R52,2)=0,"High",IF(OR(ABS($S52/$R52)&gt;=Setup!$B$16,ABS($S52)&gt;=Setup!$B$17),"High",IF(ABS($S52/$R52)&gt;=Setup!$B$15,"Medium","Low"))))))</f>
        <v>No Activity</v>
      </c>
      <c r="Y52" s="57"/>
      <c r="Z52" s="75" t="n">
        <f aca="false">IF($A52="",-1000000000000000,IF(ROUND(ABS($S52),0)=0,-1000000000000000,ABS($S52)+ROW()/1000000))</f>
        <v>-1000000000000000</v>
      </c>
    </row>
    <row r="53" customFormat="false" ht="15" hidden="false" customHeight="false" outlineLevel="0" collapsed="false">
      <c r="A53" s="68" t="str">
        <f aca="false">IF(Data_Engine!$A53="","",Data_Engine!$A53)</f>
        <v>Direct Freight - VID</v>
      </c>
      <c r="B53" s="42" t="str">
        <f aca="false">IF($A53="","",Data_Engine!$B53)</f>
        <v>Cost of Sales</v>
      </c>
      <c r="C53" s="42" t="str">
        <f aca="false">IF($A53="","",Data_Engine!$D53)</f>
        <v>Video</v>
      </c>
      <c r="D53" s="69" t="n">
        <f aca="false">IF($A53="","",Data_Engine!$R53)</f>
        <v>0</v>
      </c>
      <c r="E53" s="69" t="n">
        <f aca="false">IF($A53="","",Data_Engine!$S53)</f>
        <v>0</v>
      </c>
      <c r="F53" s="69" t="n">
        <f aca="false">IF($A53="","",Data_Engine!$T53)</f>
        <v>0</v>
      </c>
      <c r="G53" s="69" t="n">
        <f aca="false">IF($A53="","",Data_Engine!$U53)</f>
        <v>0</v>
      </c>
      <c r="H53" s="69" t="n">
        <f aca="false">IF($A53="","",Data_Engine!$V53)</f>
        <v>0</v>
      </c>
      <c r="I53" s="69" t="n">
        <f aca="false">IF($A53="","",Data_Engine!$W53)</f>
        <v>0</v>
      </c>
      <c r="J53" s="69" t="n">
        <f aca="false">IF($A53="","",Data_Engine!$X53)</f>
        <v>0</v>
      </c>
      <c r="K53" s="69" t="n">
        <f aca="false">IF($A53="","",Data_Engine!$Y53)</f>
        <v>0</v>
      </c>
      <c r="L53" s="69" t="n">
        <f aca="false">IF($A53="","",Data_Engine!$Z53)</f>
        <v>0</v>
      </c>
      <c r="M53" s="69" t="n">
        <f aca="false">IF($A53="","",Data_Engine!$AA53)</f>
        <v>0</v>
      </c>
      <c r="N53" s="69" t="n">
        <f aca="false">IF($A53="","",Data_Engine!$AB53)</f>
        <v>0</v>
      </c>
      <c r="O53" s="69" t="n">
        <f aca="false">IF($A53="","",Data_Engine!$AC53)</f>
        <v>0</v>
      </c>
      <c r="P53" s="69" t="n">
        <f aca="false">IF($A53="","",Data_Engine!$AH53)</f>
        <v>0</v>
      </c>
      <c r="Q53" s="70" t="n">
        <f aca="false">IF($A53="","",Data_Engine!$AD53)</f>
        <v>0</v>
      </c>
      <c r="R53" s="69" t="n">
        <f aca="false">IF($A53="","",Data_Engine!$AF53)</f>
        <v>0</v>
      </c>
      <c r="S53" s="71" t="n">
        <f aca="false">IF($A53="","",$Q53-$R53)</f>
        <v>0</v>
      </c>
      <c r="T53" s="72" t="str">
        <f aca="false">IF($A53="","",IF(ROUND($R53,2)=0,"n/a",$S53/ABS($R53)))</f>
        <v>n/a</v>
      </c>
      <c r="U53" s="69" t="n">
        <f aca="false">IF($A53="","",Data_Engine!$AG53)</f>
        <v>0</v>
      </c>
      <c r="V53" s="73" t="n">
        <f aca="false">IF($A53="","",$Q53-$U53)</f>
        <v>0</v>
      </c>
      <c r="W53" s="72" t="str">
        <f aca="false">IF($A53="","",IF(ROUND($U53,2)=0,"n/a",$V53/ABS($U53)))</f>
        <v>n/a</v>
      </c>
      <c r="X53" s="74" t="str">
        <f aca="false">IF($A53="","",IF(AND(ROUND($Q53,2)=0,ROUND($R53,2)=0),"No Activity",IF(ABS($S53)&lt;Setup!$B$14,"Low",IF(ROUND($R53,2)=0,"High",IF(OR(ABS($S53/$R53)&gt;=Setup!$B$16,ABS($S53)&gt;=Setup!$B$17),"High",IF(ABS($S53/$R53)&gt;=Setup!$B$15,"Medium","Low"))))))</f>
        <v>No Activity</v>
      </c>
      <c r="Y53" s="57"/>
      <c r="Z53" s="75" t="n">
        <f aca="false">IF($A53="",-1000000000000000,IF(ROUND(ABS($S53),0)=0,-1000000000000000,ABS($S53)+ROW()/1000000))</f>
        <v>-1000000000000000</v>
      </c>
    </row>
    <row r="54" customFormat="false" ht="15" hidden="false" customHeight="false" outlineLevel="0" collapsed="false">
      <c r="A54" s="68" t="str">
        <f aca="false">IF(Data_Engine!$A54="","",Data_Engine!$A54)</f>
        <v>Direct Mobile - CONS</v>
      </c>
      <c r="B54" s="42" t="str">
        <f aca="false">IF($A54="","",Data_Engine!$B54)</f>
        <v>Cost of Sales</v>
      </c>
      <c r="C54" s="42" t="str">
        <f aca="false">IF($A54="","",Data_Engine!$D54)</f>
        <v>Consulting</v>
      </c>
      <c r="D54" s="69" t="n">
        <f aca="false">IF($A54="","",Data_Engine!$R54)</f>
        <v>0</v>
      </c>
      <c r="E54" s="69" t="n">
        <f aca="false">IF($A54="","",Data_Engine!$S54)</f>
        <v>0</v>
      </c>
      <c r="F54" s="69" t="n">
        <f aca="false">IF($A54="","",Data_Engine!$T54)</f>
        <v>0</v>
      </c>
      <c r="G54" s="69" t="n">
        <f aca="false">IF($A54="","",Data_Engine!$U54)</f>
        <v>0</v>
      </c>
      <c r="H54" s="69" t="n">
        <f aca="false">IF($A54="","",Data_Engine!$V54)</f>
        <v>0</v>
      </c>
      <c r="I54" s="69" t="n">
        <f aca="false">IF($A54="","",Data_Engine!$W54)</f>
        <v>0</v>
      </c>
      <c r="J54" s="69" t="n">
        <f aca="false">IF($A54="","",Data_Engine!$X54)</f>
        <v>0</v>
      </c>
      <c r="K54" s="69" t="n">
        <f aca="false">IF($A54="","",Data_Engine!$Y54)</f>
        <v>0</v>
      </c>
      <c r="L54" s="69" t="n">
        <f aca="false">IF($A54="","",Data_Engine!$Z54)</f>
        <v>0</v>
      </c>
      <c r="M54" s="69" t="n">
        <f aca="false">IF($A54="","",Data_Engine!$AA54)</f>
        <v>0</v>
      </c>
      <c r="N54" s="69" t="n">
        <f aca="false">IF($A54="","",Data_Engine!$AB54)</f>
        <v>0</v>
      </c>
      <c r="O54" s="69" t="n">
        <f aca="false">IF($A54="","",Data_Engine!$AC54)</f>
        <v>0</v>
      </c>
      <c r="P54" s="69" t="n">
        <f aca="false">IF($A54="","",Data_Engine!$AH54)</f>
        <v>0</v>
      </c>
      <c r="Q54" s="70" t="n">
        <f aca="false">IF($A54="","",Data_Engine!$AD54)</f>
        <v>0</v>
      </c>
      <c r="R54" s="69" t="n">
        <f aca="false">IF($A54="","",Data_Engine!$AF54)</f>
        <v>0</v>
      </c>
      <c r="S54" s="71" t="n">
        <f aca="false">IF($A54="","",$Q54-$R54)</f>
        <v>0</v>
      </c>
      <c r="T54" s="72" t="str">
        <f aca="false">IF($A54="","",IF(ROUND($R54,2)=0,"n/a",$S54/ABS($R54)))</f>
        <v>n/a</v>
      </c>
      <c r="U54" s="69" t="n">
        <f aca="false">IF($A54="","",Data_Engine!$AG54)</f>
        <v>0</v>
      </c>
      <c r="V54" s="73" t="n">
        <f aca="false">IF($A54="","",$Q54-$U54)</f>
        <v>0</v>
      </c>
      <c r="W54" s="72" t="str">
        <f aca="false">IF($A54="","",IF(ROUND($U54,2)=0,"n/a",$V54/ABS($U54)))</f>
        <v>n/a</v>
      </c>
      <c r="X54" s="74" t="str">
        <f aca="false">IF($A54="","",IF(AND(ROUND($Q54,2)=0,ROUND($R54,2)=0),"No Activity",IF(ABS($S54)&lt;Setup!$B$14,"Low",IF(ROUND($R54,2)=0,"High",IF(OR(ABS($S54/$R54)&gt;=Setup!$B$16,ABS($S54)&gt;=Setup!$B$17),"High",IF(ABS($S54/$R54)&gt;=Setup!$B$15,"Medium","Low"))))))</f>
        <v>No Activity</v>
      </c>
      <c r="Y54" s="57"/>
      <c r="Z54" s="75" t="n">
        <f aca="false">IF($A54="",-1000000000000000,IF(ROUND(ABS($S54),0)=0,-1000000000000000,ABS($S54)+ROW()/1000000))</f>
        <v>-1000000000000000</v>
      </c>
    </row>
    <row r="55" customFormat="false" ht="15" hidden="false" customHeight="false" outlineLevel="0" collapsed="false">
      <c r="A55" s="68" t="str">
        <f aca="false">IF(Data_Engine!$A55="","",Data_Engine!$A55)</f>
        <v>Direct Mobile - INTEGRATION</v>
      </c>
      <c r="B55" s="42" t="str">
        <f aca="false">IF($A55="","",Data_Engine!$B55)</f>
        <v>Cost of Sales</v>
      </c>
      <c r="C55" s="42" t="str">
        <f aca="false">IF($A55="","",Data_Engine!$D55)</f>
        <v>Integration</v>
      </c>
      <c r="D55" s="69" t="n">
        <f aca="false">IF($A55="","",Data_Engine!$R55)</f>
        <v>0</v>
      </c>
      <c r="E55" s="69" t="n">
        <f aca="false">IF($A55="","",Data_Engine!$S55)</f>
        <v>0</v>
      </c>
      <c r="F55" s="69" t="n">
        <f aca="false">IF($A55="","",Data_Engine!$T55)</f>
        <v>0</v>
      </c>
      <c r="G55" s="69" t="n">
        <f aca="false">IF($A55="","",Data_Engine!$U55)</f>
        <v>0</v>
      </c>
      <c r="H55" s="69" t="n">
        <f aca="false">IF($A55="","",Data_Engine!$V55)</f>
        <v>0</v>
      </c>
      <c r="I55" s="69" t="n">
        <f aca="false">IF($A55="","",Data_Engine!$W55)</f>
        <v>0</v>
      </c>
      <c r="J55" s="69" t="n">
        <f aca="false">IF($A55="","",Data_Engine!$X55)</f>
        <v>0</v>
      </c>
      <c r="K55" s="69" t="n">
        <f aca="false">IF($A55="","",Data_Engine!$Y55)</f>
        <v>0</v>
      </c>
      <c r="L55" s="69" t="n">
        <f aca="false">IF($A55="","",Data_Engine!$Z55)</f>
        <v>0</v>
      </c>
      <c r="M55" s="69" t="n">
        <f aca="false">IF($A55="","",Data_Engine!$AA55)</f>
        <v>0</v>
      </c>
      <c r="N55" s="69" t="n">
        <f aca="false">IF($A55="","",Data_Engine!$AB55)</f>
        <v>0</v>
      </c>
      <c r="O55" s="69" t="n">
        <f aca="false">IF($A55="","",Data_Engine!$AC55)</f>
        <v>0</v>
      </c>
      <c r="P55" s="69" t="n">
        <f aca="false">IF($A55="","",Data_Engine!$AH55)</f>
        <v>0</v>
      </c>
      <c r="Q55" s="70" t="n">
        <f aca="false">IF($A55="","",Data_Engine!$AD55)</f>
        <v>0</v>
      </c>
      <c r="R55" s="69" t="n">
        <f aca="false">IF($A55="","",Data_Engine!$AF55)</f>
        <v>0</v>
      </c>
      <c r="S55" s="71" t="n">
        <f aca="false">IF($A55="","",$Q55-$R55)</f>
        <v>0</v>
      </c>
      <c r="T55" s="72" t="str">
        <f aca="false">IF($A55="","",IF(ROUND($R55,2)=0,"n/a",$S55/ABS($R55)))</f>
        <v>n/a</v>
      </c>
      <c r="U55" s="69" t="n">
        <f aca="false">IF($A55="","",Data_Engine!$AG55)</f>
        <v>0</v>
      </c>
      <c r="V55" s="73" t="n">
        <f aca="false">IF($A55="","",$Q55-$U55)</f>
        <v>0</v>
      </c>
      <c r="W55" s="72" t="str">
        <f aca="false">IF($A55="","",IF(ROUND($U55,2)=0,"n/a",$V55/ABS($U55)))</f>
        <v>n/a</v>
      </c>
      <c r="X55" s="74" t="str">
        <f aca="false">IF($A55="","",IF(AND(ROUND($Q55,2)=0,ROUND($R55,2)=0),"No Activity",IF(ABS($S55)&lt;Setup!$B$14,"Low",IF(ROUND($R55,2)=0,"High",IF(OR(ABS($S55/$R55)&gt;=Setup!$B$16,ABS($S55)&gt;=Setup!$B$17),"High",IF(ABS($S55/$R55)&gt;=Setup!$B$15,"Medium","Low"))))))</f>
        <v>No Activity</v>
      </c>
      <c r="Y55" s="57"/>
      <c r="Z55" s="75" t="n">
        <f aca="false">IF($A55="",-1000000000000000,IF(ROUND(ABS($S55),0)=0,-1000000000000000,ABS($S55)+ROW()/1000000))</f>
        <v>-1000000000000000</v>
      </c>
    </row>
    <row r="56" customFormat="false" ht="15" hidden="false" customHeight="false" outlineLevel="0" collapsed="false">
      <c r="A56" s="68" t="str">
        <f aca="false">IF(Data_Engine!$A56="","",Data_Engine!$A56)</f>
        <v>Direct Mobile - ONS</v>
      </c>
      <c r="B56" s="42" t="str">
        <f aca="false">IF($A56="","",Data_Engine!$B56)</f>
        <v>Cost of Sales</v>
      </c>
      <c r="C56" s="42" t="str">
        <f aca="false">IF($A56="","",Data_Engine!$D56)</f>
        <v>Onsite</v>
      </c>
      <c r="D56" s="69" t="n">
        <f aca="false">IF($A56="","",Data_Engine!$R56)</f>
        <v>0</v>
      </c>
      <c r="E56" s="69" t="n">
        <f aca="false">IF($A56="","",Data_Engine!$S56)</f>
        <v>0</v>
      </c>
      <c r="F56" s="69" t="n">
        <f aca="false">IF($A56="","",Data_Engine!$T56)</f>
        <v>0</v>
      </c>
      <c r="G56" s="69" t="n">
        <f aca="false">IF($A56="","",Data_Engine!$U56)</f>
        <v>0</v>
      </c>
      <c r="H56" s="69" t="n">
        <f aca="false">IF($A56="","",Data_Engine!$V56)</f>
        <v>0</v>
      </c>
      <c r="I56" s="69" t="n">
        <f aca="false">IF($A56="","",Data_Engine!$W56)</f>
        <v>0</v>
      </c>
      <c r="J56" s="69" t="n">
        <f aca="false">IF($A56="","",Data_Engine!$X56)</f>
        <v>0</v>
      </c>
      <c r="K56" s="69" t="n">
        <f aca="false">IF($A56="","",Data_Engine!$Y56)</f>
        <v>0</v>
      </c>
      <c r="L56" s="69" t="n">
        <f aca="false">IF($A56="","",Data_Engine!$Z56)</f>
        <v>0</v>
      </c>
      <c r="M56" s="69" t="n">
        <f aca="false">IF($A56="","",Data_Engine!$AA56)</f>
        <v>0</v>
      </c>
      <c r="N56" s="69" t="n">
        <f aca="false">IF($A56="","",Data_Engine!$AB56)</f>
        <v>0</v>
      </c>
      <c r="O56" s="69" t="n">
        <f aca="false">IF($A56="","",Data_Engine!$AC56)</f>
        <v>0</v>
      </c>
      <c r="P56" s="69" t="n">
        <f aca="false">IF($A56="","",Data_Engine!$AH56)</f>
        <v>0</v>
      </c>
      <c r="Q56" s="70" t="n">
        <f aca="false">IF($A56="","",Data_Engine!$AD56)</f>
        <v>0</v>
      </c>
      <c r="R56" s="69" t="n">
        <f aca="false">IF($A56="","",Data_Engine!$AF56)</f>
        <v>0</v>
      </c>
      <c r="S56" s="71" t="n">
        <f aca="false">IF($A56="","",$Q56-$R56)</f>
        <v>0</v>
      </c>
      <c r="T56" s="72" t="str">
        <f aca="false">IF($A56="","",IF(ROUND($R56,2)=0,"n/a",$S56/ABS($R56)))</f>
        <v>n/a</v>
      </c>
      <c r="U56" s="69" t="n">
        <f aca="false">IF($A56="","",Data_Engine!$AG56)</f>
        <v>0</v>
      </c>
      <c r="V56" s="73" t="n">
        <f aca="false">IF($A56="","",$Q56-$U56)</f>
        <v>0</v>
      </c>
      <c r="W56" s="72" t="str">
        <f aca="false">IF($A56="","",IF(ROUND($U56,2)=0,"n/a",$V56/ABS($U56)))</f>
        <v>n/a</v>
      </c>
      <c r="X56" s="74" t="str">
        <f aca="false">IF($A56="","",IF(AND(ROUND($Q56,2)=0,ROUND($R56,2)=0),"No Activity",IF(ABS($S56)&lt;Setup!$B$14,"Low",IF(ROUND($R56,2)=0,"High",IF(OR(ABS($S56/$R56)&gt;=Setup!$B$16,ABS($S56)&gt;=Setup!$B$17),"High",IF(ABS($S56/$R56)&gt;=Setup!$B$15,"Medium","Low"))))))</f>
        <v>No Activity</v>
      </c>
      <c r="Y56" s="57"/>
      <c r="Z56" s="75" t="n">
        <f aca="false">IF($A56="",-1000000000000000,IF(ROUND(ABS($S56),0)=0,-1000000000000000,ABS($S56)+ROW()/1000000))</f>
        <v>-1000000000000000</v>
      </c>
    </row>
    <row r="57" customFormat="false" ht="15" hidden="false" customHeight="false" outlineLevel="0" collapsed="false">
      <c r="A57" s="68" t="str">
        <f aca="false">IF(Data_Engine!$A57="","",Data_Engine!$A57)</f>
        <v>Direct Mobile - PRD</v>
      </c>
      <c r="B57" s="42" t="str">
        <f aca="false">IF($A57="","",Data_Engine!$B57)</f>
        <v>Cost of Sales</v>
      </c>
      <c r="C57" s="42" t="str">
        <f aca="false">IF($A57="","",Data_Engine!$D57)</f>
        <v>Production</v>
      </c>
      <c r="D57" s="69" t="n">
        <f aca="false">IF($A57="","",Data_Engine!$R57)</f>
        <v>0</v>
      </c>
      <c r="E57" s="69" t="n">
        <f aca="false">IF($A57="","",Data_Engine!$S57)</f>
        <v>0</v>
      </c>
      <c r="F57" s="69" t="n">
        <f aca="false">IF($A57="","",Data_Engine!$T57)</f>
        <v>0</v>
      </c>
      <c r="G57" s="69" t="n">
        <f aca="false">IF($A57="","",Data_Engine!$U57)</f>
        <v>0</v>
      </c>
      <c r="H57" s="69" t="n">
        <f aca="false">IF($A57="","",Data_Engine!$V57)</f>
        <v>0</v>
      </c>
      <c r="I57" s="69" t="n">
        <f aca="false">IF($A57="","",Data_Engine!$W57)</f>
        <v>0</v>
      </c>
      <c r="J57" s="69" t="n">
        <f aca="false">IF($A57="","",Data_Engine!$X57)</f>
        <v>0</v>
      </c>
      <c r="K57" s="69" t="n">
        <f aca="false">IF($A57="","",Data_Engine!$Y57)</f>
        <v>0</v>
      </c>
      <c r="L57" s="69" t="n">
        <f aca="false">IF($A57="","",Data_Engine!$Z57)</f>
        <v>0</v>
      </c>
      <c r="M57" s="69" t="n">
        <f aca="false">IF($A57="","",Data_Engine!$AA57)</f>
        <v>0</v>
      </c>
      <c r="N57" s="69" t="n">
        <f aca="false">IF($A57="","",Data_Engine!$AB57)</f>
        <v>0</v>
      </c>
      <c r="O57" s="69" t="n">
        <f aca="false">IF($A57="","",Data_Engine!$AC57)</f>
        <v>0</v>
      </c>
      <c r="P57" s="69" t="n">
        <f aca="false">IF($A57="","",Data_Engine!$AH57)</f>
        <v>0</v>
      </c>
      <c r="Q57" s="70" t="n">
        <f aca="false">IF($A57="","",Data_Engine!$AD57)</f>
        <v>0</v>
      </c>
      <c r="R57" s="69" t="n">
        <f aca="false">IF($A57="","",Data_Engine!$AF57)</f>
        <v>0</v>
      </c>
      <c r="S57" s="71" t="n">
        <f aca="false">IF($A57="","",$Q57-$R57)</f>
        <v>0</v>
      </c>
      <c r="T57" s="72" t="str">
        <f aca="false">IF($A57="","",IF(ROUND($R57,2)=0,"n/a",$S57/ABS($R57)))</f>
        <v>n/a</v>
      </c>
      <c r="U57" s="69" t="n">
        <f aca="false">IF($A57="","",Data_Engine!$AG57)</f>
        <v>0</v>
      </c>
      <c r="V57" s="73" t="n">
        <f aca="false">IF($A57="","",$Q57-$U57)</f>
        <v>0</v>
      </c>
      <c r="W57" s="72" t="str">
        <f aca="false">IF($A57="","",IF(ROUND($U57,2)=0,"n/a",$V57/ABS($U57)))</f>
        <v>n/a</v>
      </c>
      <c r="X57" s="74" t="str">
        <f aca="false">IF($A57="","",IF(AND(ROUND($Q57,2)=0,ROUND($R57,2)=0),"No Activity",IF(ABS($S57)&lt;Setup!$B$14,"Low",IF(ROUND($R57,2)=0,"High",IF(OR(ABS($S57/$R57)&gt;=Setup!$B$16,ABS($S57)&gt;=Setup!$B$17),"High",IF(ABS($S57/$R57)&gt;=Setup!$B$15,"Medium","Low"))))))</f>
        <v>No Activity</v>
      </c>
      <c r="Y57" s="57"/>
      <c r="Z57" s="75" t="n">
        <f aca="false">IF($A57="",-1000000000000000,IF(ROUND(ABS($S57),0)=0,-1000000000000000,ABS($S57)+ROW()/1000000))</f>
        <v>-1000000000000000</v>
      </c>
    </row>
    <row r="58" customFormat="false" ht="15" hidden="false" customHeight="false" outlineLevel="0" collapsed="false">
      <c r="A58" s="68" t="str">
        <f aca="false">IF(Data_Engine!$A58="","",Data_Engine!$A58)</f>
        <v>Direct Mobile - VID</v>
      </c>
      <c r="B58" s="42" t="str">
        <f aca="false">IF($A58="","",Data_Engine!$B58)</f>
        <v>Cost of Sales</v>
      </c>
      <c r="C58" s="42" t="str">
        <f aca="false">IF($A58="","",Data_Engine!$D58)</f>
        <v>Video</v>
      </c>
      <c r="D58" s="69" t="n">
        <f aca="false">IF($A58="","",Data_Engine!$R58)</f>
        <v>0</v>
      </c>
      <c r="E58" s="69" t="n">
        <f aca="false">IF($A58="","",Data_Engine!$S58)</f>
        <v>0</v>
      </c>
      <c r="F58" s="69" t="n">
        <f aca="false">IF($A58="","",Data_Engine!$T58)</f>
        <v>0</v>
      </c>
      <c r="G58" s="69" t="n">
        <f aca="false">IF($A58="","",Data_Engine!$U58)</f>
        <v>0</v>
      </c>
      <c r="H58" s="69" t="n">
        <f aca="false">IF($A58="","",Data_Engine!$V58)</f>
        <v>0</v>
      </c>
      <c r="I58" s="69" t="n">
        <f aca="false">IF($A58="","",Data_Engine!$W58)</f>
        <v>0</v>
      </c>
      <c r="J58" s="69" t="n">
        <f aca="false">IF($A58="","",Data_Engine!$X58)</f>
        <v>0</v>
      </c>
      <c r="K58" s="69" t="n">
        <f aca="false">IF($A58="","",Data_Engine!$Y58)</f>
        <v>0</v>
      </c>
      <c r="L58" s="69" t="n">
        <f aca="false">IF($A58="","",Data_Engine!$Z58)</f>
        <v>0</v>
      </c>
      <c r="M58" s="69" t="n">
        <f aca="false">IF($A58="","",Data_Engine!$AA58)</f>
        <v>0</v>
      </c>
      <c r="N58" s="69" t="n">
        <f aca="false">IF($A58="","",Data_Engine!$AB58)</f>
        <v>0</v>
      </c>
      <c r="O58" s="69" t="n">
        <f aca="false">IF($A58="","",Data_Engine!$AC58)</f>
        <v>0</v>
      </c>
      <c r="P58" s="69" t="n">
        <f aca="false">IF($A58="","",Data_Engine!$AH58)</f>
        <v>0</v>
      </c>
      <c r="Q58" s="70" t="n">
        <f aca="false">IF($A58="","",Data_Engine!$AD58)</f>
        <v>0</v>
      </c>
      <c r="R58" s="69" t="n">
        <f aca="false">IF($A58="","",Data_Engine!$AF58)</f>
        <v>0</v>
      </c>
      <c r="S58" s="71" t="n">
        <f aca="false">IF($A58="","",$Q58-$R58)</f>
        <v>0</v>
      </c>
      <c r="T58" s="72" t="str">
        <f aca="false">IF($A58="","",IF(ROUND($R58,2)=0,"n/a",$S58/ABS($R58)))</f>
        <v>n/a</v>
      </c>
      <c r="U58" s="69" t="n">
        <f aca="false">IF($A58="","",Data_Engine!$AG58)</f>
        <v>0</v>
      </c>
      <c r="V58" s="73" t="n">
        <f aca="false">IF($A58="","",$Q58-$U58)</f>
        <v>0</v>
      </c>
      <c r="W58" s="72" t="str">
        <f aca="false">IF($A58="","",IF(ROUND($U58,2)=0,"n/a",$V58/ABS($U58)))</f>
        <v>n/a</v>
      </c>
      <c r="X58" s="74" t="str">
        <f aca="false">IF($A58="","",IF(AND(ROUND($Q58,2)=0,ROUND($R58,2)=0),"No Activity",IF(ABS($S58)&lt;Setup!$B$14,"Low",IF(ROUND($R58,2)=0,"High",IF(OR(ABS($S58/$R58)&gt;=Setup!$B$16,ABS($S58)&gt;=Setup!$B$17),"High",IF(ABS($S58/$R58)&gt;=Setup!$B$15,"Medium","Low"))))))</f>
        <v>No Activity</v>
      </c>
      <c r="Y58" s="57"/>
      <c r="Z58" s="75" t="n">
        <f aca="false">IF($A58="",-1000000000000000,IF(ROUND(ABS($S58),0)=0,-1000000000000000,ABS($S58)+ROW()/1000000))</f>
        <v>-1000000000000000</v>
      </c>
    </row>
    <row r="59" customFormat="false" ht="15" hidden="false" customHeight="false" outlineLevel="0" collapsed="false">
      <c r="A59" s="68" t="str">
        <f aca="false">IF(Data_Engine!$A59="","",Data_Engine!$A59)</f>
        <v>Direct Salaries - ADMIN</v>
      </c>
      <c r="B59" s="42" t="str">
        <f aca="false">IF($A59="","",Data_Engine!$B59)</f>
        <v>Cost of Sales</v>
      </c>
      <c r="C59" s="42" t="str">
        <f aca="false">IF($A59="","",Data_Engine!$D59)</f>
        <v>Admin</v>
      </c>
      <c r="D59" s="69" t="n">
        <f aca="false">IF($A59="","",Data_Engine!$R59)</f>
        <v>0</v>
      </c>
      <c r="E59" s="69" t="n">
        <f aca="false">IF($A59="","",Data_Engine!$S59)</f>
        <v>0</v>
      </c>
      <c r="F59" s="69" t="n">
        <f aca="false">IF($A59="","",Data_Engine!$T59)</f>
        <v>0</v>
      </c>
      <c r="G59" s="69" t="n">
        <f aca="false">IF($A59="","",Data_Engine!$U59)</f>
        <v>0</v>
      </c>
      <c r="H59" s="69" t="n">
        <f aca="false">IF($A59="","",Data_Engine!$V59)</f>
        <v>0</v>
      </c>
      <c r="I59" s="69" t="n">
        <f aca="false">IF($A59="","",Data_Engine!$W59)</f>
        <v>0</v>
      </c>
      <c r="J59" s="69" t="n">
        <f aca="false">IF($A59="","",Data_Engine!$X59)</f>
        <v>0</v>
      </c>
      <c r="K59" s="69" t="n">
        <f aca="false">IF($A59="","",Data_Engine!$Y59)</f>
        <v>0</v>
      </c>
      <c r="L59" s="69" t="n">
        <f aca="false">IF($A59="","",Data_Engine!$Z59)</f>
        <v>0</v>
      </c>
      <c r="M59" s="69" t="n">
        <f aca="false">IF($A59="","",Data_Engine!$AA59)</f>
        <v>0</v>
      </c>
      <c r="N59" s="69" t="n">
        <f aca="false">IF($A59="","",Data_Engine!$AB59)</f>
        <v>0</v>
      </c>
      <c r="O59" s="69" t="n">
        <f aca="false">IF($A59="","",Data_Engine!$AC59)</f>
        <v>0</v>
      </c>
      <c r="P59" s="69" t="n">
        <f aca="false">IF($A59="","",Data_Engine!$AH59)</f>
        <v>0</v>
      </c>
      <c r="Q59" s="70" t="n">
        <f aca="false">IF($A59="","",Data_Engine!$AD59)</f>
        <v>0</v>
      </c>
      <c r="R59" s="69" t="n">
        <f aca="false">IF($A59="","",Data_Engine!$AF59)</f>
        <v>0</v>
      </c>
      <c r="S59" s="71" t="n">
        <f aca="false">IF($A59="","",$Q59-$R59)</f>
        <v>0</v>
      </c>
      <c r="T59" s="72" t="str">
        <f aca="false">IF($A59="","",IF(ROUND($R59,2)=0,"n/a",$S59/ABS($R59)))</f>
        <v>n/a</v>
      </c>
      <c r="U59" s="69" t="n">
        <f aca="false">IF($A59="","",Data_Engine!$AG59)</f>
        <v>0</v>
      </c>
      <c r="V59" s="73" t="n">
        <f aca="false">IF($A59="","",$Q59-$U59)</f>
        <v>0</v>
      </c>
      <c r="W59" s="72" t="str">
        <f aca="false">IF($A59="","",IF(ROUND($U59,2)=0,"n/a",$V59/ABS($U59)))</f>
        <v>n/a</v>
      </c>
      <c r="X59" s="74" t="str">
        <f aca="false">IF($A59="","",IF(AND(ROUND($Q59,2)=0,ROUND($R59,2)=0),"No Activity",IF(ABS($S59)&lt;Setup!$B$14,"Low",IF(ROUND($R59,2)=0,"High",IF(OR(ABS($S59/$R59)&gt;=Setup!$B$16,ABS($S59)&gt;=Setup!$B$17),"High",IF(ABS($S59/$R59)&gt;=Setup!$B$15,"Medium","Low"))))))</f>
        <v>No Activity</v>
      </c>
      <c r="Y59" s="57"/>
      <c r="Z59" s="75" t="n">
        <f aca="false">IF($A59="",-1000000000000000,IF(ROUND(ABS($S59),0)=0,-1000000000000000,ABS($S59)+ROW()/1000000))</f>
        <v>-1000000000000000</v>
      </c>
    </row>
    <row r="60" customFormat="false" ht="15" hidden="false" customHeight="false" outlineLevel="0" collapsed="false">
      <c r="A60" s="68" t="str">
        <f aca="false">IF(Data_Engine!$A60="","",Data_Engine!$A60)</f>
        <v>Direct Salaries - CONS</v>
      </c>
      <c r="B60" s="42" t="str">
        <f aca="false">IF($A60="","",Data_Engine!$B60)</f>
        <v>Cost of Sales</v>
      </c>
      <c r="C60" s="42" t="str">
        <f aca="false">IF($A60="","",Data_Engine!$D60)</f>
        <v>Consulting</v>
      </c>
      <c r="D60" s="69" t="n">
        <f aca="false">IF($A60="","",Data_Engine!$R60)</f>
        <v>0</v>
      </c>
      <c r="E60" s="69" t="n">
        <f aca="false">IF($A60="","",Data_Engine!$S60)</f>
        <v>0</v>
      </c>
      <c r="F60" s="69" t="n">
        <f aca="false">IF($A60="","",Data_Engine!$T60)</f>
        <v>0</v>
      </c>
      <c r="G60" s="69" t="n">
        <f aca="false">IF($A60="","",Data_Engine!$U60)</f>
        <v>0</v>
      </c>
      <c r="H60" s="69" t="n">
        <f aca="false">IF($A60="","",Data_Engine!$V60)</f>
        <v>0</v>
      </c>
      <c r="I60" s="69" t="n">
        <f aca="false">IF($A60="","",Data_Engine!$W60)</f>
        <v>0</v>
      </c>
      <c r="J60" s="69" t="n">
        <f aca="false">IF($A60="","",Data_Engine!$X60)</f>
        <v>0</v>
      </c>
      <c r="K60" s="69" t="n">
        <f aca="false">IF($A60="","",Data_Engine!$Y60)</f>
        <v>0</v>
      </c>
      <c r="L60" s="69" t="n">
        <f aca="false">IF($A60="","",Data_Engine!$Z60)</f>
        <v>0</v>
      </c>
      <c r="M60" s="69" t="n">
        <f aca="false">IF($A60="","",Data_Engine!$AA60)</f>
        <v>0</v>
      </c>
      <c r="N60" s="69" t="n">
        <f aca="false">IF($A60="","",Data_Engine!$AB60)</f>
        <v>0</v>
      </c>
      <c r="O60" s="69" t="n">
        <f aca="false">IF($A60="","",Data_Engine!$AC60)</f>
        <v>0</v>
      </c>
      <c r="P60" s="69" t="n">
        <f aca="false">IF($A60="","",Data_Engine!$AH60)</f>
        <v>0</v>
      </c>
      <c r="Q60" s="70" t="n">
        <f aca="false">IF($A60="","",Data_Engine!$AD60)</f>
        <v>0</v>
      </c>
      <c r="R60" s="69" t="n">
        <f aca="false">IF($A60="","",Data_Engine!$AF60)</f>
        <v>0</v>
      </c>
      <c r="S60" s="71" t="n">
        <f aca="false">IF($A60="","",$Q60-$R60)</f>
        <v>0</v>
      </c>
      <c r="T60" s="72" t="str">
        <f aca="false">IF($A60="","",IF(ROUND($R60,2)=0,"n/a",$S60/ABS($R60)))</f>
        <v>n/a</v>
      </c>
      <c r="U60" s="69" t="n">
        <f aca="false">IF($A60="","",Data_Engine!$AG60)</f>
        <v>0</v>
      </c>
      <c r="V60" s="73" t="n">
        <f aca="false">IF($A60="","",$Q60-$U60)</f>
        <v>0</v>
      </c>
      <c r="W60" s="72" t="str">
        <f aca="false">IF($A60="","",IF(ROUND($U60,2)=0,"n/a",$V60/ABS($U60)))</f>
        <v>n/a</v>
      </c>
      <c r="X60" s="74" t="str">
        <f aca="false">IF($A60="","",IF(AND(ROUND($Q60,2)=0,ROUND($R60,2)=0),"No Activity",IF(ABS($S60)&lt;Setup!$B$14,"Low",IF(ROUND($R60,2)=0,"High",IF(OR(ABS($S60/$R60)&gt;=Setup!$B$16,ABS($S60)&gt;=Setup!$B$17),"High",IF(ABS($S60/$R60)&gt;=Setup!$B$15,"Medium","Low"))))))</f>
        <v>No Activity</v>
      </c>
      <c r="Y60" s="57"/>
      <c r="Z60" s="75" t="n">
        <f aca="false">IF($A60="",-1000000000000000,IF(ROUND(ABS($S60),0)=0,-1000000000000000,ABS($S60)+ROW()/1000000))</f>
        <v>-1000000000000000</v>
      </c>
    </row>
    <row r="61" customFormat="false" ht="15" hidden="false" customHeight="false" outlineLevel="0" collapsed="false">
      <c r="A61" s="68" t="str">
        <f aca="false">IF(Data_Engine!$A61="","",Data_Engine!$A61)</f>
        <v>Direct Salaries - INTEGRATION</v>
      </c>
      <c r="B61" s="42" t="str">
        <f aca="false">IF($A61="","",Data_Engine!$B61)</f>
        <v>Cost of Sales</v>
      </c>
      <c r="C61" s="42" t="str">
        <f aca="false">IF($A61="","",Data_Engine!$D61)</f>
        <v>Integration</v>
      </c>
      <c r="D61" s="69" t="n">
        <f aca="false">IF($A61="","",Data_Engine!$R61)</f>
        <v>0</v>
      </c>
      <c r="E61" s="69" t="n">
        <f aca="false">IF($A61="","",Data_Engine!$S61)</f>
        <v>0</v>
      </c>
      <c r="F61" s="69" t="n">
        <f aca="false">IF($A61="","",Data_Engine!$T61)</f>
        <v>0</v>
      </c>
      <c r="G61" s="69" t="n">
        <f aca="false">IF($A61="","",Data_Engine!$U61)</f>
        <v>0</v>
      </c>
      <c r="H61" s="69" t="n">
        <f aca="false">IF($A61="","",Data_Engine!$V61)</f>
        <v>0</v>
      </c>
      <c r="I61" s="69" t="n">
        <f aca="false">IF($A61="","",Data_Engine!$W61)</f>
        <v>0</v>
      </c>
      <c r="J61" s="69" t="n">
        <f aca="false">IF($A61="","",Data_Engine!$X61)</f>
        <v>0</v>
      </c>
      <c r="K61" s="69" t="n">
        <f aca="false">IF($A61="","",Data_Engine!$Y61)</f>
        <v>0</v>
      </c>
      <c r="L61" s="69" t="n">
        <f aca="false">IF($A61="","",Data_Engine!$Z61)</f>
        <v>0</v>
      </c>
      <c r="M61" s="69" t="n">
        <f aca="false">IF($A61="","",Data_Engine!$AA61)</f>
        <v>0</v>
      </c>
      <c r="N61" s="69" t="n">
        <f aca="false">IF($A61="","",Data_Engine!$AB61)</f>
        <v>0</v>
      </c>
      <c r="O61" s="69" t="n">
        <f aca="false">IF($A61="","",Data_Engine!$AC61)</f>
        <v>0</v>
      </c>
      <c r="P61" s="69" t="n">
        <f aca="false">IF($A61="","",Data_Engine!$AH61)</f>
        <v>0</v>
      </c>
      <c r="Q61" s="70" t="n">
        <f aca="false">IF($A61="","",Data_Engine!$AD61)</f>
        <v>0</v>
      </c>
      <c r="R61" s="69" t="n">
        <f aca="false">IF($A61="","",Data_Engine!$AF61)</f>
        <v>0</v>
      </c>
      <c r="S61" s="71" t="n">
        <f aca="false">IF($A61="","",$Q61-$R61)</f>
        <v>0</v>
      </c>
      <c r="T61" s="72" t="str">
        <f aca="false">IF($A61="","",IF(ROUND($R61,2)=0,"n/a",$S61/ABS($R61)))</f>
        <v>n/a</v>
      </c>
      <c r="U61" s="69" t="n">
        <f aca="false">IF($A61="","",Data_Engine!$AG61)</f>
        <v>0</v>
      </c>
      <c r="V61" s="73" t="n">
        <f aca="false">IF($A61="","",$Q61-$U61)</f>
        <v>0</v>
      </c>
      <c r="W61" s="72" t="str">
        <f aca="false">IF($A61="","",IF(ROUND($U61,2)=0,"n/a",$V61/ABS($U61)))</f>
        <v>n/a</v>
      </c>
      <c r="X61" s="74" t="str">
        <f aca="false">IF($A61="","",IF(AND(ROUND($Q61,2)=0,ROUND($R61,2)=0),"No Activity",IF(ABS($S61)&lt;Setup!$B$14,"Low",IF(ROUND($R61,2)=0,"High",IF(OR(ABS($S61/$R61)&gt;=Setup!$B$16,ABS($S61)&gt;=Setup!$B$17),"High",IF(ABS($S61/$R61)&gt;=Setup!$B$15,"Medium","Low"))))))</f>
        <v>No Activity</v>
      </c>
      <c r="Y61" s="57"/>
      <c r="Z61" s="75" t="n">
        <f aca="false">IF($A61="",-1000000000000000,IF(ROUND(ABS($S61),0)=0,-1000000000000000,ABS($S61)+ROW()/1000000))</f>
        <v>-1000000000000000</v>
      </c>
    </row>
    <row r="62" customFormat="false" ht="15" hidden="false" customHeight="false" outlineLevel="0" collapsed="false">
      <c r="A62" s="68" t="str">
        <f aca="false">IF(Data_Engine!$A62="","",Data_Engine!$A62)</f>
        <v>Direct Salaries - ONS</v>
      </c>
      <c r="B62" s="42" t="str">
        <f aca="false">IF($A62="","",Data_Engine!$B62)</f>
        <v>Cost of Sales</v>
      </c>
      <c r="C62" s="42" t="str">
        <f aca="false">IF($A62="","",Data_Engine!$D62)</f>
        <v>Onsite</v>
      </c>
      <c r="D62" s="69" t="n">
        <f aca="false">IF($A62="","",Data_Engine!$R62)</f>
        <v>0</v>
      </c>
      <c r="E62" s="69" t="n">
        <f aca="false">IF($A62="","",Data_Engine!$S62)</f>
        <v>0</v>
      </c>
      <c r="F62" s="69" t="n">
        <f aca="false">IF($A62="","",Data_Engine!$T62)</f>
        <v>0</v>
      </c>
      <c r="G62" s="69" t="n">
        <f aca="false">IF($A62="","",Data_Engine!$U62)</f>
        <v>0</v>
      </c>
      <c r="H62" s="69" t="n">
        <f aca="false">IF($A62="","",Data_Engine!$V62)</f>
        <v>0</v>
      </c>
      <c r="I62" s="69" t="n">
        <f aca="false">IF($A62="","",Data_Engine!$W62)</f>
        <v>0</v>
      </c>
      <c r="J62" s="69" t="n">
        <f aca="false">IF($A62="","",Data_Engine!$X62)</f>
        <v>0</v>
      </c>
      <c r="K62" s="69" t="n">
        <f aca="false">IF($A62="","",Data_Engine!$Y62)</f>
        <v>0</v>
      </c>
      <c r="L62" s="69" t="n">
        <f aca="false">IF($A62="","",Data_Engine!$Z62)</f>
        <v>0</v>
      </c>
      <c r="M62" s="69" t="n">
        <f aca="false">IF($A62="","",Data_Engine!$AA62)</f>
        <v>0</v>
      </c>
      <c r="N62" s="69" t="n">
        <f aca="false">IF($A62="","",Data_Engine!$AB62)</f>
        <v>0</v>
      </c>
      <c r="O62" s="69" t="n">
        <f aca="false">IF($A62="","",Data_Engine!$AC62)</f>
        <v>0</v>
      </c>
      <c r="P62" s="69" t="n">
        <f aca="false">IF($A62="","",Data_Engine!$AH62)</f>
        <v>0</v>
      </c>
      <c r="Q62" s="70" t="n">
        <f aca="false">IF($A62="","",Data_Engine!$AD62)</f>
        <v>0</v>
      </c>
      <c r="R62" s="69" t="n">
        <f aca="false">IF($A62="","",Data_Engine!$AF62)</f>
        <v>0</v>
      </c>
      <c r="S62" s="71" t="n">
        <f aca="false">IF($A62="","",$Q62-$R62)</f>
        <v>0</v>
      </c>
      <c r="T62" s="72" t="str">
        <f aca="false">IF($A62="","",IF(ROUND($R62,2)=0,"n/a",$S62/ABS($R62)))</f>
        <v>n/a</v>
      </c>
      <c r="U62" s="69" t="n">
        <f aca="false">IF($A62="","",Data_Engine!$AG62)</f>
        <v>0</v>
      </c>
      <c r="V62" s="73" t="n">
        <f aca="false">IF($A62="","",$Q62-$U62)</f>
        <v>0</v>
      </c>
      <c r="W62" s="72" t="str">
        <f aca="false">IF($A62="","",IF(ROUND($U62,2)=0,"n/a",$V62/ABS($U62)))</f>
        <v>n/a</v>
      </c>
      <c r="X62" s="74" t="str">
        <f aca="false">IF($A62="","",IF(AND(ROUND($Q62,2)=0,ROUND($R62,2)=0),"No Activity",IF(ABS($S62)&lt;Setup!$B$14,"Low",IF(ROUND($R62,2)=0,"High",IF(OR(ABS($S62/$R62)&gt;=Setup!$B$16,ABS($S62)&gt;=Setup!$B$17),"High",IF(ABS($S62/$R62)&gt;=Setup!$B$15,"Medium","Low"))))))</f>
        <v>No Activity</v>
      </c>
      <c r="Y62" s="57"/>
      <c r="Z62" s="75" t="n">
        <f aca="false">IF($A62="",-1000000000000000,IF(ROUND(ABS($S62),0)=0,-1000000000000000,ABS($S62)+ROW()/1000000))</f>
        <v>-1000000000000000</v>
      </c>
    </row>
    <row r="63" customFormat="false" ht="15" hidden="false" customHeight="false" outlineLevel="0" collapsed="false">
      <c r="A63" s="68" t="str">
        <f aca="false">IF(Data_Engine!$A63="","",Data_Engine!$A63)</f>
        <v>Direct Salaries - PRD</v>
      </c>
      <c r="B63" s="42" t="str">
        <f aca="false">IF($A63="","",Data_Engine!$B63)</f>
        <v>Cost of Sales</v>
      </c>
      <c r="C63" s="42" t="str">
        <f aca="false">IF($A63="","",Data_Engine!$D63)</f>
        <v>Production</v>
      </c>
      <c r="D63" s="69" t="n">
        <f aca="false">IF($A63="","",Data_Engine!$R63)</f>
        <v>0</v>
      </c>
      <c r="E63" s="69" t="n">
        <f aca="false">IF($A63="","",Data_Engine!$S63)</f>
        <v>0</v>
      </c>
      <c r="F63" s="69" t="n">
        <f aca="false">IF($A63="","",Data_Engine!$T63)</f>
        <v>0</v>
      </c>
      <c r="G63" s="69" t="n">
        <f aca="false">IF($A63="","",Data_Engine!$U63)</f>
        <v>0</v>
      </c>
      <c r="H63" s="69" t="n">
        <f aca="false">IF($A63="","",Data_Engine!$V63)</f>
        <v>0</v>
      </c>
      <c r="I63" s="69" t="n">
        <f aca="false">IF($A63="","",Data_Engine!$W63)</f>
        <v>0</v>
      </c>
      <c r="J63" s="69" t="n">
        <f aca="false">IF($A63="","",Data_Engine!$X63)</f>
        <v>0</v>
      </c>
      <c r="K63" s="69" t="n">
        <f aca="false">IF($A63="","",Data_Engine!$Y63)</f>
        <v>0</v>
      </c>
      <c r="L63" s="69" t="n">
        <f aca="false">IF($A63="","",Data_Engine!$Z63)</f>
        <v>0</v>
      </c>
      <c r="M63" s="69" t="n">
        <f aca="false">IF($A63="","",Data_Engine!$AA63)</f>
        <v>0</v>
      </c>
      <c r="N63" s="69" t="n">
        <f aca="false">IF($A63="","",Data_Engine!$AB63)</f>
        <v>0</v>
      </c>
      <c r="O63" s="69" t="n">
        <f aca="false">IF($A63="","",Data_Engine!$AC63)</f>
        <v>0</v>
      </c>
      <c r="P63" s="69" t="n">
        <f aca="false">IF($A63="","",Data_Engine!$AH63)</f>
        <v>0</v>
      </c>
      <c r="Q63" s="70" t="n">
        <f aca="false">IF($A63="","",Data_Engine!$AD63)</f>
        <v>0</v>
      </c>
      <c r="R63" s="69" t="n">
        <f aca="false">IF($A63="","",Data_Engine!$AF63)</f>
        <v>0</v>
      </c>
      <c r="S63" s="71" t="n">
        <f aca="false">IF($A63="","",$Q63-$R63)</f>
        <v>0</v>
      </c>
      <c r="T63" s="72" t="str">
        <f aca="false">IF($A63="","",IF(ROUND($R63,2)=0,"n/a",$S63/ABS($R63)))</f>
        <v>n/a</v>
      </c>
      <c r="U63" s="69" t="n">
        <f aca="false">IF($A63="","",Data_Engine!$AG63)</f>
        <v>0</v>
      </c>
      <c r="V63" s="73" t="n">
        <f aca="false">IF($A63="","",$Q63-$U63)</f>
        <v>0</v>
      </c>
      <c r="W63" s="72" t="str">
        <f aca="false">IF($A63="","",IF(ROUND($U63,2)=0,"n/a",$V63/ABS($U63)))</f>
        <v>n/a</v>
      </c>
      <c r="X63" s="74" t="str">
        <f aca="false">IF($A63="","",IF(AND(ROUND($Q63,2)=0,ROUND($R63,2)=0),"No Activity",IF(ABS($S63)&lt;Setup!$B$14,"Low",IF(ROUND($R63,2)=0,"High",IF(OR(ABS($S63/$R63)&gt;=Setup!$B$16,ABS($S63)&gt;=Setup!$B$17),"High",IF(ABS($S63/$R63)&gt;=Setup!$B$15,"Medium","Low"))))))</f>
        <v>No Activity</v>
      </c>
      <c r="Y63" s="57"/>
      <c r="Z63" s="75" t="n">
        <f aca="false">IF($A63="",-1000000000000000,IF(ROUND(ABS($S63),0)=0,-1000000000000000,ABS($S63)+ROW()/1000000))</f>
        <v>-1000000000000000</v>
      </c>
    </row>
    <row r="64" customFormat="false" ht="15" hidden="false" customHeight="false" outlineLevel="0" collapsed="false">
      <c r="A64" s="68" t="str">
        <f aca="false">IF(Data_Engine!$A64="","",Data_Engine!$A64)</f>
        <v>Direct Salaries - VID</v>
      </c>
      <c r="B64" s="42" t="str">
        <f aca="false">IF($A64="","",Data_Engine!$B64)</f>
        <v>Cost of Sales</v>
      </c>
      <c r="C64" s="42" t="str">
        <f aca="false">IF($A64="","",Data_Engine!$D64)</f>
        <v>Video</v>
      </c>
      <c r="D64" s="69" t="n">
        <f aca="false">IF($A64="","",Data_Engine!$R64)</f>
        <v>0</v>
      </c>
      <c r="E64" s="69" t="n">
        <f aca="false">IF($A64="","",Data_Engine!$S64)</f>
        <v>0</v>
      </c>
      <c r="F64" s="69" t="n">
        <f aca="false">IF($A64="","",Data_Engine!$T64)</f>
        <v>0</v>
      </c>
      <c r="G64" s="69" t="n">
        <f aca="false">IF($A64="","",Data_Engine!$U64)</f>
        <v>0</v>
      </c>
      <c r="H64" s="69" t="n">
        <f aca="false">IF($A64="","",Data_Engine!$V64)</f>
        <v>0</v>
      </c>
      <c r="I64" s="69" t="n">
        <f aca="false">IF($A64="","",Data_Engine!$W64)</f>
        <v>0</v>
      </c>
      <c r="J64" s="69" t="n">
        <f aca="false">IF($A64="","",Data_Engine!$X64)</f>
        <v>0</v>
      </c>
      <c r="K64" s="69" t="n">
        <f aca="false">IF($A64="","",Data_Engine!$Y64)</f>
        <v>0</v>
      </c>
      <c r="L64" s="69" t="n">
        <f aca="false">IF($A64="","",Data_Engine!$Z64)</f>
        <v>0</v>
      </c>
      <c r="M64" s="69" t="n">
        <f aca="false">IF($A64="","",Data_Engine!$AA64)</f>
        <v>0</v>
      </c>
      <c r="N64" s="69" t="n">
        <f aca="false">IF($A64="","",Data_Engine!$AB64)</f>
        <v>0</v>
      </c>
      <c r="O64" s="69" t="n">
        <f aca="false">IF($A64="","",Data_Engine!$AC64)</f>
        <v>0</v>
      </c>
      <c r="P64" s="69" t="n">
        <f aca="false">IF($A64="","",Data_Engine!$AH64)</f>
        <v>0</v>
      </c>
      <c r="Q64" s="70" t="n">
        <f aca="false">IF($A64="","",Data_Engine!$AD64)</f>
        <v>0</v>
      </c>
      <c r="R64" s="69" t="n">
        <f aca="false">IF($A64="","",Data_Engine!$AF64)</f>
        <v>0</v>
      </c>
      <c r="S64" s="71" t="n">
        <f aca="false">IF($A64="","",$Q64-$R64)</f>
        <v>0</v>
      </c>
      <c r="T64" s="72" t="str">
        <f aca="false">IF($A64="","",IF(ROUND($R64,2)=0,"n/a",$S64/ABS($R64)))</f>
        <v>n/a</v>
      </c>
      <c r="U64" s="69" t="n">
        <f aca="false">IF($A64="","",Data_Engine!$AG64)</f>
        <v>0</v>
      </c>
      <c r="V64" s="73" t="n">
        <f aca="false">IF($A64="","",$Q64-$U64)</f>
        <v>0</v>
      </c>
      <c r="W64" s="72" t="str">
        <f aca="false">IF($A64="","",IF(ROUND($U64,2)=0,"n/a",$V64/ABS($U64)))</f>
        <v>n/a</v>
      </c>
      <c r="X64" s="74" t="str">
        <f aca="false">IF($A64="","",IF(AND(ROUND($Q64,2)=0,ROUND($R64,2)=0),"No Activity",IF(ABS($S64)&lt;Setup!$B$14,"Low",IF(ROUND($R64,2)=0,"High",IF(OR(ABS($S64/$R64)&gt;=Setup!$B$16,ABS($S64)&gt;=Setup!$B$17),"High",IF(ABS($S64/$R64)&gt;=Setup!$B$15,"Medium","Low"))))))</f>
        <v>No Activity</v>
      </c>
      <c r="Y64" s="57"/>
      <c r="Z64" s="75" t="n">
        <f aca="false">IF($A64="",-1000000000000000,IF(ROUND(ABS($S64),0)=0,-1000000000000000,ABS($S64)+ROW()/1000000))</f>
        <v>-1000000000000000</v>
      </c>
    </row>
    <row r="65" customFormat="false" ht="15" hidden="false" customHeight="false" outlineLevel="0" collapsed="false">
      <c r="A65" s="68" t="str">
        <f aca="false">IF(Data_Engine!$A65="","",Data_Engine!$A65)</f>
        <v>Direct Superannuation - ADMIN</v>
      </c>
      <c r="B65" s="42" t="str">
        <f aca="false">IF($A65="","",Data_Engine!$B65)</f>
        <v>Cost of Sales</v>
      </c>
      <c r="C65" s="42" t="str">
        <f aca="false">IF($A65="","",Data_Engine!$D65)</f>
        <v>Admin</v>
      </c>
      <c r="D65" s="69" t="n">
        <f aca="false">IF($A65="","",Data_Engine!$R65)</f>
        <v>0</v>
      </c>
      <c r="E65" s="69" t="n">
        <f aca="false">IF($A65="","",Data_Engine!$S65)</f>
        <v>0</v>
      </c>
      <c r="F65" s="69" t="n">
        <f aca="false">IF($A65="","",Data_Engine!$T65)</f>
        <v>0</v>
      </c>
      <c r="G65" s="69" t="n">
        <f aca="false">IF($A65="","",Data_Engine!$U65)</f>
        <v>0</v>
      </c>
      <c r="H65" s="69" t="n">
        <f aca="false">IF($A65="","",Data_Engine!$V65)</f>
        <v>0</v>
      </c>
      <c r="I65" s="69" t="n">
        <f aca="false">IF($A65="","",Data_Engine!$W65)</f>
        <v>0</v>
      </c>
      <c r="J65" s="69" t="n">
        <f aca="false">IF($A65="","",Data_Engine!$X65)</f>
        <v>0</v>
      </c>
      <c r="K65" s="69" t="n">
        <f aca="false">IF($A65="","",Data_Engine!$Y65)</f>
        <v>0</v>
      </c>
      <c r="L65" s="69" t="n">
        <f aca="false">IF($A65="","",Data_Engine!$Z65)</f>
        <v>0</v>
      </c>
      <c r="M65" s="69" t="n">
        <f aca="false">IF($A65="","",Data_Engine!$AA65)</f>
        <v>0</v>
      </c>
      <c r="N65" s="69" t="n">
        <f aca="false">IF($A65="","",Data_Engine!$AB65)</f>
        <v>0</v>
      </c>
      <c r="O65" s="69" t="n">
        <f aca="false">IF($A65="","",Data_Engine!$AC65)</f>
        <v>0</v>
      </c>
      <c r="P65" s="69" t="n">
        <f aca="false">IF($A65="","",Data_Engine!$AH65)</f>
        <v>0</v>
      </c>
      <c r="Q65" s="70" t="n">
        <f aca="false">IF($A65="","",Data_Engine!$AD65)</f>
        <v>0</v>
      </c>
      <c r="R65" s="69" t="n">
        <f aca="false">IF($A65="","",Data_Engine!$AF65)</f>
        <v>0</v>
      </c>
      <c r="S65" s="71" t="n">
        <f aca="false">IF($A65="","",$Q65-$R65)</f>
        <v>0</v>
      </c>
      <c r="T65" s="72" t="str">
        <f aca="false">IF($A65="","",IF(ROUND($R65,2)=0,"n/a",$S65/ABS($R65)))</f>
        <v>n/a</v>
      </c>
      <c r="U65" s="69" t="n">
        <f aca="false">IF($A65="","",Data_Engine!$AG65)</f>
        <v>0</v>
      </c>
      <c r="V65" s="73" t="n">
        <f aca="false">IF($A65="","",$Q65-$U65)</f>
        <v>0</v>
      </c>
      <c r="W65" s="72" t="str">
        <f aca="false">IF($A65="","",IF(ROUND($U65,2)=0,"n/a",$V65/ABS($U65)))</f>
        <v>n/a</v>
      </c>
      <c r="X65" s="74" t="str">
        <f aca="false">IF($A65="","",IF(AND(ROUND($Q65,2)=0,ROUND($R65,2)=0),"No Activity",IF(ABS($S65)&lt;Setup!$B$14,"Low",IF(ROUND($R65,2)=0,"High",IF(OR(ABS($S65/$R65)&gt;=Setup!$B$16,ABS($S65)&gt;=Setup!$B$17),"High",IF(ABS($S65/$R65)&gt;=Setup!$B$15,"Medium","Low"))))))</f>
        <v>No Activity</v>
      </c>
      <c r="Y65" s="57"/>
      <c r="Z65" s="75" t="n">
        <f aca="false">IF($A65="",-1000000000000000,IF(ROUND(ABS($S65),0)=0,-1000000000000000,ABS($S65)+ROW()/1000000))</f>
        <v>-1000000000000000</v>
      </c>
    </row>
    <row r="66" customFormat="false" ht="15" hidden="false" customHeight="false" outlineLevel="0" collapsed="false">
      <c r="A66" s="68" t="str">
        <f aca="false">IF(Data_Engine!$A66="","",Data_Engine!$A66)</f>
        <v>Direct Superannuation - CONS</v>
      </c>
      <c r="B66" s="42" t="str">
        <f aca="false">IF($A66="","",Data_Engine!$B66)</f>
        <v>Cost of Sales</v>
      </c>
      <c r="C66" s="42" t="str">
        <f aca="false">IF($A66="","",Data_Engine!$D66)</f>
        <v>Consulting</v>
      </c>
      <c r="D66" s="69" t="n">
        <f aca="false">IF($A66="","",Data_Engine!$R66)</f>
        <v>0</v>
      </c>
      <c r="E66" s="69" t="n">
        <f aca="false">IF($A66="","",Data_Engine!$S66)</f>
        <v>0</v>
      </c>
      <c r="F66" s="69" t="n">
        <f aca="false">IF($A66="","",Data_Engine!$T66)</f>
        <v>0</v>
      </c>
      <c r="G66" s="69" t="n">
        <f aca="false">IF($A66="","",Data_Engine!$U66)</f>
        <v>0</v>
      </c>
      <c r="H66" s="69" t="n">
        <f aca="false">IF($A66="","",Data_Engine!$V66)</f>
        <v>0</v>
      </c>
      <c r="I66" s="69" t="n">
        <f aca="false">IF($A66="","",Data_Engine!$W66)</f>
        <v>0</v>
      </c>
      <c r="J66" s="69" t="n">
        <f aca="false">IF($A66="","",Data_Engine!$X66)</f>
        <v>0</v>
      </c>
      <c r="K66" s="69" t="n">
        <f aca="false">IF($A66="","",Data_Engine!$Y66)</f>
        <v>0</v>
      </c>
      <c r="L66" s="69" t="n">
        <f aca="false">IF($A66="","",Data_Engine!$Z66)</f>
        <v>0</v>
      </c>
      <c r="M66" s="69" t="n">
        <f aca="false">IF($A66="","",Data_Engine!$AA66)</f>
        <v>0</v>
      </c>
      <c r="N66" s="69" t="n">
        <f aca="false">IF($A66="","",Data_Engine!$AB66)</f>
        <v>0</v>
      </c>
      <c r="O66" s="69" t="n">
        <f aca="false">IF($A66="","",Data_Engine!$AC66)</f>
        <v>0</v>
      </c>
      <c r="P66" s="69" t="n">
        <f aca="false">IF($A66="","",Data_Engine!$AH66)</f>
        <v>0</v>
      </c>
      <c r="Q66" s="70" t="n">
        <f aca="false">IF($A66="","",Data_Engine!$AD66)</f>
        <v>0</v>
      </c>
      <c r="R66" s="69" t="n">
        <f aca="false">IF($A66="","",Data_Engine!$AF66)</f>
        <v>0</v>
      </c>
      <c r="S66" s="71" t="n">
        <f aca="false">IF($A66="","",$Q66-$R66)</f>
        <v>0</v>
      </c>
      <c r="T66" s="72" t="str">
        <f aca="false">IF($A66="","",IF(ROUND($R66,2)=0,"n/a",$S66/ABS($R66)))</f>
        <v>n/a</v>
      </c>
      <c r="U66" s="69" t="n">
        <f aca="false">IF($A66="","",Data_Engine!$AG66)</f>
        <v>0</v>
      </c>
      <c r="V66" s="73" t="n">
        <f aca="false">IF($A66="","",$Q66-$U66)</f>
        <v>0</v>
      </c>
      <c r="W66" s="72" t="str">
        <f aca="false">IF($A66="","",IF(ROUND($U66,2)=0,"n/a",$V66/ABS($U66)))</f>
        <v>n/a</v>
      </c>
      <c r="X66" s="74" t="str">
        <f aca="false">IF($A66="","",IF(AND(ROUND($Q66,2)=0,ROUND($R66,2)=0),"No Activity",IF(ABS($S66)&lt;Setup!$B$14,"Low",IF(ROUND($R66,2)=0,"High",IF(OR(ABS($S66/$R66)&gt;=Setup!$B$16,ABS($S66)&gt;=Setup!$B$17),"High",IF(ABS($S66/$R66)&gt;=Setup!$B$15,"Medium","Low"))))))</f>
        <v>No Activity</v>
      </c>
      <c r="Y66" s="57"/>
      <c r="Z66" s="75" t="n">
        <f aca="false">IF($A66="",-1000000000000000,IF(ROUND(ABS($S66),0)=0,-1000000000000000,ABS($S66)+ROW()/1000000))</f>
        <v>-1000000000000000</v>
      </c>
    </row>
    <row r="67" customFormat="false" ht="15" hidden="false" customHeight="false" outlineLevel="0" collapsed="false">
      <c r="A67" s="68" t="str">
        <f aca="false">IF(Data_Engine!$A67="","",Data_Engine!$A67)</f>
        <v>Direct Superannuation - ONS</v>
      </c>
      <c r="B67" s="42" t="str">
        <f aca="false">IF($A67="","",Data_Engine!$B67)</f>
        <v>Cost of Sales</v>
      </c>
      <c r="C67" s="42" t="str">
        <f aca="false">IF($A67="","",Data_Engine!$D67)</f>
        <v>Onsite</v>
      </c>
      <c r="D67" s="69" t="n">
        <f aca="false">IF($A67="","",Data_Engine!$R67)</f>
        <v>0</v>
      </c>
      <c r="E67" s="69" t="n">
        <f aca="false">IF($A67="","",Data_Engine!$S67)</f>
        <v>0</v>
      </c>
      <c r="F67" s="69" t="n">
        <f aca="false">IF($A67="","",Data_Engine!$T67)</f>
        <v>0</v>
      </c>
      <c r="G67" s="69" t="n">
        <f aca="false">IF($A67="","",Data_Engine!$U67)</f>
        <v>0</v>
      </c>
      <c r="H67" s="69" t="n">
        <f aca="false">IF($A67="","",Data_Engine!$V67)</f>
        <v>0</v>
      </c>
      <c r="I67" s="69" t="n">
        <f aca="false">IF($A67="","",Data_Engine!$W67)</f>
        <v>0</v>
      </c>
      <c r="J67" s="69" t="n">
        <f aca="false">IF($A67="","",Data_Engine!$X67)</f>
        <v>0</v>
      </c>
      <c r="K67" s="69" t="n">
        <f aca="false">IF($A67="","",Data_Engine!$Y67)</f>
        <v>0</v>
      </c>
      <c r="L67" s="69" t="n">
        <f aca="false">IF($A67="","",Data_Engine!$Z67)</f>
        <v>0</v>
      </c>
      <c r="M67" s="69" t="n">
        <f aca="false">IF($A67="","",Data_Engine!$AA67)</f>
        <v>0</v>
      </c>
      <c r="N67" s="69" t="n">
        <f aca="false">IF($A67="","",Data_Engine!$AB67)</f>
        <v>0</v>
      </c>
      <c r="O67" s="69" t="n">
        <f aca="false">IF($A67="","",Data_Engine!$AC67)</f>
        <v>0</v>
      </c>
      <c r="P67" s="69" t="n">
        <f aca="false">IF($A67="","",Data_Engine!$AH67)</f>
        <v>0</v>
      </c>
      <c r="Q67" s="70" t="n">
        <f aca="false">IF($A67="","",Data_Engine!$AD67)</f>
        <v>0</v>
      </c>
      <c r="R67" s="69" t="n">
        <f aca="false">IF($A67="","",Data_Engine!$AF67)</f>
        <v>0</v>
      </c>
      <c r="S67" s="71" t="n">
        <f aca="false">IF($A67="","",$Q67-$R67)</f>
        <v>0</v>
      </c>
      <c r="T67" s="72" t="str">
        <f aca="false">IF($A67="","",IF(ROUND($R67,2)=0,"n/a",$S67/ABS($R67)))</f>
        <v>n/a</v>
      </c>
      <c r="U67" s="69" t="n">
        <f aca="false">IF($A67="","",Data_Engine!$AG67)</f>
        <v>0</v>
      </c>
      <c r="V67" s="73" t="n">
        <f aca="false">IF($A67="","",$Q67-$U67)</f>
        <v>0</v>
      </c>
      <c r="W67" s="72" t="str">
        <f aca="false">IF($A67="","",IF(ROUND($U67,2)=0,"n/a",$V67/ABS($U67)))</f>
        <v>n/a</v>
      </c>
      <c r="X67" s="74" t="str">
        <f aca="false">IF($A67="","",IF(AND(ROUND($Q67,2)=0,ROUND($R67,2)=0),"No Activity",IF(ABS($S67)&lt;Setup!$B$14,"Low",IF(ROUND($R67,2)=0,"High",IF(OR(ABS($S67/$R67)&gt;=Setup!$B$16,ABS($S67)&gt;=Setup!$B$17),"High",IF(ABS($S67/$R67)&gt;=Setup!$B$15,"Medium","Low"))))))</f>
        <v>No Activity</v>
      </c>
      <c r="Y67" s="57"/>
      <c r="Z67" s="75" t="n">
        <f aca="false">IF($A67="",-1000000000000000,IF(ROUND(ABS($S67),0)=0,-1000000000000000,ABS($S67)+ROW()/1000000))</f>
        <v>-1000000000000000</v>
      </c>
    </row>
    <row r="68" customFormat="false" ht="15" hidden="false" customHeight="false" outlineLevel="0" collapsed="false">
      <c r="A68" s="68" t="str">
        <f aca="false">IF(Data_Engine!$A68="","",Data_Engine!$A68)</f>
        <v>Direct Superannuation - PRD</v>
      </c>
      <c r="B68" s="42" t="str">
        <f aca="false">IF($A68="","",Data_Engine!$B68)</f>
        <v>Cost of Sales</v>
      </c>
      <c r="C68" s="42" t="str">
        <f aca="false">IF($A68="","",Data_Engine!$D68)</f>
        <v>Production</v>
      </c>
      <c r="D68" s="69" t="n">
        <f aca="false">IF($A68="","",Data_Engine!$R68)</f>
        <v>0</v>
      </c>
      <c r="E68" s="69" t="n">
        <f aca="false">IF($A68="","",Data_Engine!$S68)</f>
        <v>0</v>
      </c>
      <c r="F68" s="69" t="n">
        <f aca="false">IF($A68="","",Data_Engine!$T68)</f>
        <v>0</v>
      </c>
      <c r="G68" s="69" t="n">
        <f aca="false">IF($A68="","",Data_Engine!$U68)</f>
        <v>0</v>
      </c>
      <c r="H68" s="69" t="n">
        <f aca="false">IF($A68="","",Data_Engine!$V68)</f>
        <v>0</v>
      </c>
      <c r="I68" s="69" t="n">
        <f aca="false">IF($A68="","",Data_Engine!$W68)</f>
        <v>0</v>
      </c>
      <c r="J68" s="69" t="n">
        <f aca="false">IF($A68="","",Data_Engine!$X68)</f>
        <v>0</v>
      </c>
      <c r="K68" s="69" t="n">
        <f aca="false">IF($A68="","",Data_Engine!$Y68)</f>
        <v>0</v>
      </c>
      <c r="L68" s="69" t="n">
        <f aca="false">IF($A68="","",Data_Engine!$Z68)</f>
        <v>0</v>
      </c>
      <c r="M68" s="69" t="n">
        <f aca="false">IF($A68="","",Data_Engine!$AA68)</f>
        <v>0</v>
      </c>
      <c r="N68" s="69" t="n">
        <f aca="false">IF($A68="","",Data_Engine!$AB68)</f>
        <v>0</v>
      </c>
      <c r="O68" s="69" t="n">
        <f aca="false">IF($A68="","",Data_Engine!$AC68)</f>
        <v>0</v>
      </c>
      <c r="P68" s="69" t="n">
        <f aca="false">IF($A68="","",Data_Engine!$AH68)</f>
        <v>0</v>
      </c>
      <c r="Q68" s="70" t="n">
        <f aca="false">IF($A68="","",Data_Engine!$AD68)</f>
        <v>0</v>
      </c>
      <c r="R68" s="69" t="n">
        <f aca="false">IF($A68="","",Data_Engine!$AF68)</f>
        <v>0</v>
      </c>
      <c r="S68" s="71" t="n">
        <f aca="false">IF($A68="","",$Q68-$R68)</f>
        <v>0</v>
      </c>
      <c r="T68" s="72" t="str">
        <f aca="false">IF($A68="","",IF(ROUND($R68,2)=0,"n/a",$S68/ABS($R68)))</f>
        <v>n/a</v>
      </c>
      <c r="U68" s="69" t="n">
        <f aca="false">IF($A68="","",Data_Engine!$AG68)</f>
        <v>0</v>
      </c>
      <c r="V68" s="73" t="n">
        <f aca="false">IF($A68="","",$Q68-$U68)</f>
        <v>0</v>
      </c>
      <c r="W68" s="72" t="str">
        <f aca="false">IF($A68="","",IF(ROUND($U68,2)=0,"n/a",$V68/ABS($U68)))</f>
        <v>n/a</v>
      </c>
      <c r="X68" s="74" t="str">
        <f aca="false">IF($A68="","",IF(AND(ROUND($Q68,2)=0,ROUND($R68,2)=0),"No Activity",IF(ABS($S68)&lt;Setup!$B$14,"Low",IF(ROUND($R68,2)=0,"High",IF(OR(ABS($S68/$R68)&gt;=Setup!$B$16,ABS($S68)&gt;=Setup!$B$17),"High",IF(ABS($S68/$R68)&gt;=Setup!$B$15,"Medium","Low"))))))</f>
        <v>No Activity</v>
      </c>
      <c r="Y68" s="57"/>
      <c r="Z68" s="75" t="n">
        <f aca="false">IF($A68="",-1000000000000000,IF(ROUND(ABS($S68),0)=0,-1000000000000000,ABS($S68)+ROW()/1000000))</f>
        <v>-1000000000000000</v>
      </c>
    </row>
    <row r="69" customFormat="false" ht="15" hidden="false" customHeight="false" outlineLevel="0" collapsed="false">
      <c r="A69" s="68" t="str">
        <f aca="false">IF(Data_Engine!$A69="","",Data_Engine!$A69)</f>
        <v>Direct Superannuation - VID</v>
      </c>
      <c r="B69" s="42" t="str">
        <f aca="false">IF($A69="","",Data_Engine!$B69)</f>
        <v>Cost of Sales</v>
      </c>
      <c r="C69" s="42" t="str">
        <f aca="false">IF($A69="","",Data_Engine!$D69)</f>
        <v>Video</v>
      </c>
      <c r="D69" s="69" t="n">
        <f aca="false">IF($A69="","",Data_Engine!$R69)</f>
        <v>0</v>
      </c>
      <c r="E69" s="69" t="n">
        <f aca="false">IF($A69="","",Data_Engine!$S69)</f>
        <v>0</v>
      </c>
      <c r="F69" s="69" t="n">
        <f aca="false">IF($A69="","",Data_Engine!$T69)</f>
        <v>0</v>
      </c>
      <c r="G69" s="69" t="n">
        <f aca="false">IF($A69="","",Data_Engine!$U69)</f>
        <v>0</v>
      </c>
      <c r="H69" s="69" t="n">
        <f aca="false">IF($A69="","",Data_Engine!$V69)</f>
        <v>0</v>
      </c>
      <c r="I69" s="69" t="n">
        <f aca="false">IF($A69="","",Data_Engine!$W69)</f>
        <v>0</v>
      </c>
      <c r="J69" s="69" t="n">
        <f aca="false">IF($A69="","",Data_Engine!$X69)</f>
        <v>0</v>
      </c>
      <c r="K69" s="69" t="n">
        <f aca="false">IF($A69="","",Data_Engine!$Y69)</f>
        <v>0</v>
      </c>
      <c r="L69" s="69" t="n">
        <f aca="false">IF($A69="","",Data_Engine!$Z69)</f>
        <v>0</v>
      </c>
      <c r="M69" s="69" t="n">
        <f aca="false">IF($A69="","",Data_Engine!$AA69)</f>
        <v>0</v>
      </c>
      <c r="N69" s="69" t="n">
        <f aca="false">IF($A69="","",Data_Engine!$AB69)</f>
        <v>0</v>
      </c>
      <c r="O69" s="69" t="n">
        <f aca="false">IF($A69="","",Data_Engine!$AC69)</f>
        <v>0</v>
      </c>
      <c r="P69" s="69" t="n">
        <f aca="false">IF($A69="","",Data_Engine!$AH69)</f>
        <v>0</v>
      </c>
      <c r="Q69" s="70" t="n">
        <f aca="false">IF($A69="","",Data_Engine!$AD69)</f>
        <v>0</v>
      </c>
      <c r="R69" s="69" t="n">
        <f aca="false">IF($A69="","",Data_Engine!$AF69)</f>
        <v>0</v>
      </c>
      <c r="S69" s="71" t="n">
        <f aca="false">IF($A69="","",$Q69-$R69)</f>
        <v>0</v>
      </c>
      <c r="T69" s="72" t="str">
        <f aca="false">IF($A69="","",IF(ROUND($R69,2)=0,"n/a",$S69/ABS($R69)))</f>
        <v>n/a</v>
      </c>
      <c r="U69" s="69" t="n">
        <f aca="false">IF($A69="","",Data_Engine!$AG69)</f>
        <v>0</v>
      </c>
      <c r="V69" s="73" t="n">
        <f aca="false">IF($A69="","",$Q69-$U69)</f>
        <v>0</v>
      </c>
      <c r="W69" s="72" t="str">
        <f aca="false">IF($A69="","",IF(ROUND($U69,2)=0,"n/a",$V69/ABS($U69)))</f>
        <v>n/a</v>
      </c>
      <c r="X69" s="74" t="str">
        <f aca="false">IF($A69="","",IF(AND(ROUND($Q69,2)=0,ROUND($R69,2)=0),"No Activity",IF(ABS($S69)&lt;Setup!$B$14,"Low",IF(ROUND($R69,2)=0,"High",IF(OR(ABS($S69/$R69)&gt;=Setup!$B$16,ABS($S69)&gt;=Setup!$B$17),"High",IF(ABS($S69/$R69)&gt;=Setup!$B$15,"Medium","Low"))))))</f>
        <v>No Activity</v>
      </c>
      <c r="Y69" s="57"/>
      <c r="Z69" s="75" t="n">
        <f aca="false">IF($A69="",-1000000000000000,IF(ROUND(ABS($S69),0)=0,-1000000000000000,ABS($S69)+ROW()/1000000))</f>
        <v>-1000000000000000</v>
      </c>
    </row>
    <row r="70" customFormat="false" ht="15" hidden="false" customHeight="false" outlineLevel="0" collapsed="false">
      <c r="A70" s="68" t="str">
        <f aca="false">IF(Data_Engine!$A70="","",Data_Engine!$A70)</f>
        <v>Direct Superannuation-INTEGRATION</v>
      </c>
      <c r="B70" s="42" t="str">
        <f aca="false">IF($A70="","",Data_Engine!$B70)</f>
        <v>Cost of Sales</v>
      </c>
      <c r="C70" s="42" t="str">
        <f aca="false">IF($A70="","",Data_Engine!$D70)</f>
        <v>Integration</v>
      </c>
      <c r="D70" s="69" t="n">
        <f aca="false">IF($A70="","",Data_Engine!$R70)</f>
        <v>0</v>
      </c>
      <c r="E70" s="69" t="n">
        <f aca="false">IF($A70="","",Data_Engine!$S70)</f>
        <v>0</v>
      </c>
      <c r="F70" s="69" t="n">
        <f aca="false">IF($A70="","",Data_Engine!$T70)</f>
        <v>0</v>
      </c>
      <c r="G70" s="69" t="n">
        <f aca="false">IF($A70="","",Data_Engine!$U70)</f>
        <v>0</v>
      </c>
      <c r="H70" s="69" t="n">
        <f aca="false">IF($A70="","",Data_Engine!$V70)</f>
        <v>0</v>
      </c>
      <c r="I70" s="69" t="n">
        <f aca="false">IF($A70="","",Data_Engine!$W70)</f>
        <v>0</v>
      </c>
      <c r="J70" s="69" t="n">
        <f aca="false">IF($A70="","",Data_Engine!$X70)</f>
        <v>0</v>
      </c>
      <c r="K70" s="69" t="n">
        <f aca="false">IF($A70="","",Data_Engine!$Y70)</f>
        <v>0</v>
      </c>
      <c r="L70" s="69" t="n">
        <f aca="false">IF($A70="","",Data_Engine!$Z70)</f>
        <v>0</v>
      </c>
      <c r="M70" s="69" t="n">
        <f aca="false">IF($A70="","",Data_Engine!$AA70)</f>
        <v>0</v>
      </c>
      <c r="N70" s="69" t="n">
        <f aca="false">IF($A70="","",Data_Engine!$AB70)</f>
        <v>0</v>
      </c>
      <c r="O70" s="69" t="n">
        <f aca="false">IF($A70="","",Data_Engine!$AC70)</f>
        <v>0</v>
      </c>
      <c r="P70" s="69" t="n">
        <f aca="false">IF($A70="","",Data_Engine!$AH70)</f>
        <v>0</v>
      </c>
      <c r="Q70" s="70" t="n">
        <f aca="false">IF($A70="","",Data_Engine!$AD70)</f>
        <v>0</v>
      </c>
      <c r="R70" s="69" t="n">
        <f aca="false">IF($A70="","",Data_Engine!$AF70)</f>
        <v>0</v>
      </c>
      <c r="S70" s="71" t="n">
        <f aca="false">IF($A70="","",$Q70-$R70)</f>
        <v>0</v>
      </c>
      <c r="T70" s="72" t="str">
        <f aca="false">IF($A70="","",IF(ROUND($R70,2)=0,"n/a",$S70/ABS($R70)))</f>
        <v>n/a</v>
      </c>
      <c r="U70" s="69" t="n">
        <f aca="false">IF($A70="","",Data_Engine!$AG70)</f>
        <v>0</v>
      </c>
      <c r="V70" s="73" t="n">
        <f aca="false">IF($A70="","",$Q70-$U70)</f>
        <v>0</v>
      </c>
      <c r="W70" s="72" t="str">
        <f aca="false">IF($A70="","",IF(ROUND($U70,2)=0,"n/a",$V70/ABS($U70)))</f>
        <v>n/a</v>
      </c>
      <c r="X70" s="74" t="str">
        <f aca="false">IF($A70="","",IF(AND(ROUND($Q70,2)=0,ROUND($R70,2)=0),"No Activity",IF(ABS($S70)&lt;Setup!$B$14,"Low",IF(ROUND($R70,2)=0,"High",IF(OR(ABS($S70/$R70)&gt;=Setup!$B$16,ABS($S70)&gt;=Setup!$B$17),"High",IF(ABS($S70/$R70)&gt;=Setup!$B$15,"Medium","Low"))))))</f>
        <v>No Activity</v>
      </c>
      <c r="Y70" s="57"/>
      <c r="Z70" s="75" t="n">
        <f aca="false">IF($A70="",-1000000000000000,IF(ROUND(ABS($S70),0)=0,-1000000000000000,ABS($S70)+ROW()/1000000))</f>
        <v>-1000000000000000</v>
      </c>
    </row>
    <row r="71" customFormat="false" ht="15" hidden="false" customHeight="false" outlineLevel="0" collapsed="false">
      <c r="A71" s="68" t="str">
        <f aca="false">IF(Data_Engine!$A71="","",Data_Engine!$A71)</f>
        <v>Direct Travel - ADMIN</v>
      </c>
      <c r="B71" s="42" t="str">
        <f aca="false">IF($A71="","",Data_Engine!$B71)</f>
        <v>Cost of Sales</v>
      </c>
      <c r="C71" s="42" t="str">
        <f aca="false">IF($A71="","",Data_Engine!$D71)</f>
        <v>Admin</v>
      </c>
      <c r="D71" s="69" t="n">
        <f aca="false">IF($A71="","",Data_Engine!$R71)</f>
        <v>0</v>
      </c>
      <c r="E71" s="69" t="n">
        <f aca="false">IF($A71="","",Data_Engine!$S71)</f>
        <v>0</v>
      </c>
      <c r="F71" s="69" t="n">
        <f aca="false">IF($A71="","",Data_Engine!$T71)</f>
        <v>0</v>
      </c>
      <c r="G71" s="69" t="n">
        <f aca="false">IF($A71="","",Data_Engine!$U71)</f>
        <v>0</v>
      </c>
      <c r="H71" s="69" t="n">
        <f aca="false">IF($A71="","",Data_Engine!$V71)</f>
        <v>0</v>
      </c>
      <c r="I71" s="69" t="n">
        <f aca="false">IF($A71="","",Data_Engine!$W71)</f>
        <v>0</v>
      </c>
      <c r="J71" s="69" t="n">
        <f aca="false">IF($A71="","",Data_Engine!$X71)</f>
        <v>0</v>
      </c>
      <c r="K71" s="69" t="n">
        <f aca="false">IF($A71="","",Data_Engine!$Y71)</f>
        <v>0</v>
      </c>
      <c r="L71" s="69" t="n">
        <f aca="false">IF($A71="","",Data_Engine!$Z71)</f>
        <v>0</v>
      </c>
      <c r="M71" s="69" t="n">
        <f aca="false">IF($A71="","",Data_Engine!$AA71)</f>
        <v>0</v>
      </c>
      <c r="N71" s="69" t="n">
        <f aca="false">IF($A71="","",Data_Engine!$AB71)</f>
        <v>0</v>
      </c>
      <c r="O71" s="69" t="n">
        <f aca="false">IF($A71="","",Data_Engine!$AC71)</f>
        <v>0</v>
      </c>
      <c r="P71" s="69" t="n">
        <f aca="false">IF($A71="","",Data_Engine!$AH71)</f>
        <v>0</v>
      </c>
      <c r="Q71" s="70" t="n">
        <f aca="false">IF($A71="","",Data_Engine!$AD71)</f>
        <v>0</v>
      </c>
      <c r="R71" s="69" t="n">
        <f aca="false">IF($A71="","",Data_Engine!$AF71)</f>
        <v>0</v>
      </c>
      <c r="S71" s="71" t="n">
        <f aca="false">IF($A71="","",$Q71-$R71)</f>
        <v>0</v>
      </c>
      <c r="T71" s="72" t="str">
        <f aca="false">IF($A71="","",IF(ROUND($R71,2)=0,"n/a",$S71/ABS($R71)))</f>
        <v>n/a</v>
      </c>
      <c r="U71" s="69" t="n">
        <f aca="false">IF($A71="","",Data_Engine!$AG71)</f>
        <v>0</v>
      </c>
      <c r="V71" s="73" t="n">
        <f aca="false">IF($A71="","",$Q71-$U71)</f>
        <v>0</v>
      </c>
      <c r="W71" s="72" t="str">
        <f aca="false">IF($A71="","",IF(ROUND($U71,2)=0,"n/a",$V71/ABS($U71)))</f>
        <v>n/a</v>
      </c>
      <c r="X71" s="74" t="str">
        <f aca="false">IF($A71="","",IF(AND(ROUND($Q71,2)=0,ROUND($R71,2)=0),"No Activity",IF(ABS($S71)&lt;Setup!$B$14,"Low",IF(ROUND($R71,2)=0,"High",IF(OR(ABS($S71/$R71)&gt;=Setup!$B$16,ABS($S71)&gt;=Setup!$B$17),"High",IF(ABS($S71/$R71)&gt;=Setup!$B$15,"Medium","Low"))))))</f>
        <v>No Activity</v>
      </c>
      <c r="Y71" s="57"/>
      <c r="Z71" s="75" t="n">
        <f aca="false">IF($A71="",-1000000000000000,IF(ROUND(ABS($S71),0)=0,-1000000000000000,ABS($S71)+ROW()/1000000))</f>
        <v>-1000000000000000</v>
      </c>
    </row>
    <row r="72" customFormat="false" ht="15" hidden="false" customHeight="false" outlineLevel="0" collapsed="false">
      <c r="A72" s="68" t="str">
        <f aca="false">IF(Data_Engine!$A72="","",Data_Engine!$A72)</f>
        <v>Direct Travel - CONS</v>
      </c>
      <c r="B72" s="42" t="str">
        <f aca="false">IF($A72="","",Data_Engine!$B72)</f>
        <v>Cost of Sales</v>
      </c>
      <c r="C72" s="42" t="str">
        <f aca="false">IF($A72="","",Data_Engine!$D72)</f>
        <v>Consulting</v>
      </c>
      <c r="D72" s="69" t="n">
        <f aca="false">IF($A72="","",Data_Engine!$R72)</f>
        <v>0</v>
      </c>
      <c r="E72" s="69" t="n">
        <f aca="false">IF($A72="","",Data_Engine!$S72)</f>
        <v>0</v>
      </c>
      <c r="F72" s="69" t="n">
        <f aca="false">IF($A72="","",Data_Engine!$T72)</f>
        <v>0</v>
      </c>
      <c r="G72" s="69" t="n">
        <f aca="false">IF($A72="","",Data_Engine!$U72)</f>
        <v>0</v>
      </c>
      <c r="H72" s="69" t="n">
        <f aca="false">IF($A72="","",Data_Engine!$V72)</f>
        <v>0</v>
      </c>
      <c r="I72" s="69" t="n">
        <f aca="false">IF($A72="","",Data_Engine!$W72)</f>
        <v>0</v>
      </c>
      <c r="J72" s="69" t="n">
        <f aca="false">IF($A72="","",Data_Engine!$X72)</f>
        <v>0</v>
      </c>
      <c r="K72" s="69" t="n">
        <f aca="false">IF($A72="","",Data_Engine!$Y72)</f>
        <v>0</v>
      </c>
      <c r="L72" s="69" t="n">
        <f aca="false">IF($A72="","",Data_Engine!$Z72)</f>
        <v>0</v>
      </c>
      <c r="M72" s="69" t="n">
        <f aca="false">IF($A72="","",Data_Engine!$AA72)</f>
        <v>0</v>
      </c>
      <c r="N72" s="69" t="n">
        <f aca="false">IF($A72="","",Data_Engine!$AB72)</f>
        <v>0</v>
      </c>
      <c r="O72" s="69" t="n">
        <f aca="false">IF($A72="","",Data_Engine!$AC72)</f>
        <v>0</v>
      </c>
      <c r="P72" s="69" t="n">
        <f aca="false">IF($A72="","",Data_Engine!$AH72)</f>
        <v>0</v>
      </c>
      <c r="Q72" s="70" t="n">
        <f aca="false">IF($A72="","",Data_Engine!$AD72)</f>
        <v>0</v>
      </c>
      <c r="R72" s="69" t="n">
        <f aca="false">IF($A72="","",Data_Engine!$AF72)</f>
        <v>0</v>
      </c>
      <c r="S72" s="71" t="n">
        <f aca="false">IF($A72="","",$Q72-$R72)</f>
        <v>0</v>
      </c>
      <c r="T72" s="72" t="str">
        <f aca="false">IF($A72="","",IF(ROUND($R72,2)=0,"n/a",$S72/ABS($R72)))</f>
        <v>n/a</v>
      </c>
      <c r="U72" s="69" t="n">
        <f aca="false">IF($A72="","",Data_Engine!$AG72)</f>
        <v>0</v>
      </c>
      <c r="V72" s="73" t="n">
        <f aca="false">IF($A72="","",$Q72-$U72)</f>
        <v>0</v>
      </c>
      <c r="W72" s="72" t="str">
        <f aca="false">IF($A72="","",IF(ROUND($U72,2)=0,"n/a",$V72/ABS($U72)))</f>
        <v>n/a</v>
      </c>
      <c r="X72" s="74" t="str">
        <f aca="false">IF($A72="","",IF(AND(ROUND($Q72,2)=0,ROUND($R72,2)=0),"No Activity",IF(ABS($S72)&lt;Setup!$B$14,"Low",IF(ROUND($R72,2)=0,"High",IF(OR(ABS($S72/$R72)&gt;=Setup!$B$16,ABS($S72)&gt;=Setup!$B$17),"High",IF(ABS($S72/$R72)&gt;=Setup!$B$15,"Medium","Low"))))))</f>
        <v>No Activity</v>
      </c>
      <c r="Y72" s="57"/>
      <c r="Z72" s="75" t="n">
        <f aca="false">IF($A72="",-1000000000000000,IF(ROUND(ABS($S72),0)=0,-1000000000000000,ABS($S72)+ROW()/1000000))</f>
        <v>-1000000000000000</v>
      </c>
    </row>
    <row r="73" customFormat="false" ht="15" hidden="false" customHeight="false" outlineLevel="0" collapsed="false">
      <c r="A73" s="68" t="str">
        <f aca="false">IF(Data_Engine!$A73="","",Data_Engine!$A73)</f>
        <v>Direct Travel - INTEGRATION</v>
      </c>
      <c r="B73" s="42" t="str">
        <f aca="false">IF($A73="","",Data_Engine!$B73)</f>
        <v>Cost of Sales</v>
      </c>
      <c r="C73" s="42" t="str">
        <f aca="false">IF($A73="","",Data_Engine!$D73)</f>
        <v>Integration</v>
      </c>
      <c r="D73" s="69" t="n">
        <f aca="false">IF($A73="","",Data_Engine!$R73)</f>
        <v>0</v>
      </c>
      <c r="E73" s="69" t="n">
        <f aca="false">IF($A73="","",Data_Engine!$S73)</f>
        <v>0</v>
      </c>
      <c r="F73" s="69" t="n">
        <f aca="false">IF($A73="","",Data_Engine!$T73)</f>
        <v>0</v>
      </c>
      <c r="G73" s="69" t="n">
        <f aca="false">IF($A73="","",Data_Engine!$U73)</f>
        <v>0</v>
      </c>
      <c r="H73" s="69" t="n">
        <f aca="false">IF($A73="","",Data_Engine!$V73)</f>
        <v>0</v>
      </c>
      <c r="I73" s="69" t="n">
        <f aca="false">IF($A73="","",Data_Engine!$W73)</f>
        <v>0</v>
      </c>
      <c r="J73" s="69" t="n">
        <f aca="false">IF($A73="","",Data_Engine!$X73)</f>
        <v>0</v>
      </c>
      <c r="K73" s="69" t="n">
        <f aca="false">IF($A73="","",Data_Engine!$Y73)</f>
        <v>0</v>
      </c>
      <c r="L73" s="69" t="n">
        <f aca="false">IF($A73="","",Data_Engine!$Z73)</f>
        <v>0</v>
      </c>
      <c r="M73" s="69" t="n">
        <f aca="false">IF($A73="","",Data_Engine!$AA73)</f>
        <v>0</v>
      </c>
      <c r="N73" s="69" t="n">
        <f aca="false">IF($A73="","",Data_Engine!$AB73)</f>
        <v>0</v>
      </c>
      <c r="O73" s="69" t="n">
        <f aca="false">IF($A73="","",Data_Engine!$AC73)</f>
        <v>0</v>
      </c>
      <c r="P73" s="69" t="n">
        <f aca="false">IF($A73="","",Data_Engine!$AH73)</f>
        <v>0</v>
      </c>
      <c r="Q73" s="70" t="n">
        <f aca="false">IF($A73="","",Data_Engine!$AD73)</f>
        <v>0</v>
      </c>
      <c r="R73" s="69" t="n">
        <f aca="false">IF($A73="","",Data_Engine!$AF73)</f>
        <v>0</v>
      </c>
      <c r="S73" s="71" t="n">
        <f aca="false">IF($A73="","",$Q73-$R73)</f>
        <v>0</v>
      </c>
      <c r="T73" s="72" t="str">
        <f aca="false">IF($A73="","",IF(ROUND($R73,2)=0,"n/a",$S73/ABS($R73)))</f>
        <v>n/a</v>
      </c>
      <c r="U73" s="69" t="n">
        <f aca="false">IF($A73="","",Data_Engine!$AG73)</f>
        <v>0</v>
      </c>
      <c r="V73" s="73" t="n">
        <f aca="false">IF($A73="","",$Q73-$U73)</f>
        <v>0</v>
      </c>
      <c r="W73" s="72" t="str">
        <f aca="false">IF($A73="","",IF(ROUND($U73,2)=0,"n/a",$V73/ABS($U73)))</f>
        <v>n/a</v>
      </c>
      <c r="X73" s="74" t="str">
        <f aca="false">IF($A73="","",IF(AND(ROUND($Q73,2)=0,ROUND($R73,2)=0),"No Activity",IF(ABS($S73)&lt;Setup!$B$14,"Low",IF(ROUND($R73,2)=0,"High",IF(OR(ABS($S73/$R73)&gt;=Setup!$B$16,ABS($S73)&gt;=Setup!$B$17),"High",IF(ABS($S73/$R73)&gt;=Setup!$B$15,"Medium","Low"))))))</f>
        <v>No Activity</v>
      </c>
      <c r="Y73" s="57"/>
      <c r="Z73" s="75" t="n">
        <f aca="false">IF($A73="",-1000000000000000,IF(ROUND(ABS($S73),0)=0,-1000000000000000,ABS($S73)+ROW()/1000000))</f>
        <v>-1000000000000000</v>
      </c>
    </row>
    <row r="74" customFormat="false" ht="15" hidden="false" customHeight="false" outlineLevel="0" collapsed="false">
      <c r="A74" s="68" t="str">
        <f aca="false">IF(Data_Engine!$A74="","",Data_Engine!$A74)</f>
        <v>Direct Travel - ONS</v>
      </c>
      <c r="B74" s="42" t="str">
        <f aca="false">IF($A74="","",Data_Engine!$B74)</f>
        <v>Cost of Sales</v>
      </c>
      <c r="C74" s="42" t="str">
        <f aca="false">IF($A74="","",Data_Engine!$D74)</f>
        <v>Onsite</v>
      </c>
      <c r="D74" s="69" t="n">
        <f aca="false">IF($A74="","",Data_Engine!$R74)</f>
        <v>0</v>
      </c>
      <c r="E74" s="69" t="n">
        <f aca="false">IF($A74="","",Data_Engine!$S74)</f>
        <v>0</v>
      </c>
      <c r="F74" s="69" t="n">
        <f aca="false">IF($A74="","",Data_Engine!$T74)</f>
        <v>0</v>
      </c>
      <c r="G74" s="69" t="n">
        <f aca="false">IF($A74="","",Data_Engine!$U74)</f>
        <v>0</v>
      </c>
      <c r="H74" s="69" t="n">
        <f aca="false">IF($A74="","",Data_Engine!$V74)</f>
        <v>0</v>
      </c>
      <c r="I74" s="69" t="n">
        <f aca="false">IF($A74="","",Data_Engine!$W74)</f>
        <v>0</v>
      </c>
      <c r="J74" s="69" t="n">
        <f aca="false">IF($A74="","",Data_Engine!$X74)</f>
        <v>0</v>
      </c>
      <c r="K74" s="69" t="n">
        <f aca="false">IF($A74="","",Data_Engine!$Y74)</f>
        <v>0</v>
      </c>
      <c r="L74" s="69" t="n">
        <f aca="false">IF($A74="","",Data_Engine!$Z74)</f>
        <v>0</v>
      </c>
      <c r="M74" s="69" t="n">
        <f aca="false">IF($A74="","",Data_Engine!$AA74)</f>
        <v>0</v>
      </c>
      <c r="N74" s="69" t="n">
        <f aca="false">IF($A74="","",Data_Engine!$AB74)</f>
        <v>0</v>
      </c>
      <c r="O74" s="69" t="n">
        <f aca="false">IF($A74="","",Data_Engine!$AC74)</f>
        <v>0</v>
      </c>
      <c r="P74" s="69" t="n">
        <f aca="false">IF($A74="","",Data_Engine!$AH74)</f>
        <v>0</v>
      </c>
      <c r="Q74" s="70" t="n">
        <f aca="false">IF($A74="","",Data_Engine!$AD74)</f>
        <v>0</v>
      </c>
      <c r="R74" s="69" t="n">
        <f aca="false">IF($A74="","",Data_Engine!$AF74)</f>
        <v>0</v>
      </c>
      <c r="S74" s="71" t="n">
        <f aca="false">IF($A74="","",$Q74-$R74)</f>
        <v>0</v>
      </c>
      <c r="T74" s="72" t="str">
        <f aca="false">IF($A74="","",IF(ROUND($R74,2)=0,"n/a",$S74/ABS($R74)))</f>
        <v>n/a</v>
      </c>
      <c r="U74" s="69" t="n">
        <f aca="false">IF($A74="","",Data_Engine!$AG74)</f>
        <v>0</v>
      </c>
      <c r="V74" s="73" t="n">
        <f aca="false">IF($A74="","",$Q74-$U74)</f>
        <v>0</v>
      </c>
      <c r="W74" s="72" t="str">
        <f aca="false">IF($A74="","",IF(ROUND($U74,2)=0,"n/a",$V74/ABS($U74)))</f>
        <v>n/a</v>
      </c>
      <c r="X74" s="74" t="str">
        <f aca="false">IF($A74="","",IF(AND(ROUND($Q74,2)=0,ROUND($R74,2)=0),"No Activity",IF(ABS($S74)&lt;Setup!$B$14,"Low",IF(ROUND($R74,2)=0,"High",IF(OR(ABS($S74/$R74)&gt;=Setup!$B$16,ABS($S74)&gt;=Setup!$B$17),"High",IF(ABS($S74/$R74)&gt;=Setup!$B$15,"Medium","Low"))))))</f>
        <v>No Activity</v>
      </c>
      <c r="Y74" s="57"/>
      <c r="Z74" s="75" t="n">
        <f aca="false">IF($A74="",-1000000000000000,IF(ROUND(ABS($S74),0)=0,-1000000000000000,ABS($S74)+ROW()/1000000))</f>
        <v>-1000000000000000</v>
      </c>
    </row>
    <row r="75" customFormat="false" ht="15" hidden="false" customHeight="false" outlineLevel="0" collapsed="false">
      <c r="A75" s="68" t="str">
        <f aca="false">IF(Data_Engine!$A75="","",Data_Engine!$A75)</f>
        <v>Direct Travel - PRD</v>
      </c>
      <c r="B75" s="42" t="str">
        <f aca="false">IF($A75="","",Data_Engine!$B75)</f>
        <v>Cost of Sales</v>
      </c>
      <c r="C75" s="42" t="str">
        <f aca="false">IF($A75="","",Data_Engine!$D75)</f>
        <v>Production</v>
      </c>
      <c r="D75" s="69" t="n">
        <f aca="false">IF($A75="","",Data_Engine!$R75)</f>
        <v>0</v>
      </c>
      <c r="E75" s="69" t="n">
        <f aca="false">IF($A75="","",Data_Engine!$S75)</f>
        <v>0</v>
      </c>
      <c r="F75" s="69" t="n">
        <f aca="false">IF($A75="","",Data_Engine!$T75)</f>
        <v>0</v>
      </c>
      <c r="G75" s="69" t="n">
        <f aca="false">IF($A75="","",Data_Engine!$U75)</f>
        <v>0</v>
      </c>
      <c r="H75" s="69" t="n">
        <f aca="false">IF($A75="","",Data_Engine!$V75)</f>
        <v>0</v>
      </c>
      <c r="I75" s="69" t="n">
        <f aca="false">IF($A75="","",Data_Engine!$W75)</f>
        <v>0</v>
      </c>
      <c r="J75" s="69" t="n">
        <f aca="false">IF($A75="","",Data_Engine!$X75)</f>
        <v>0</v>
      </c>
      <c r="K75" s="69" t="n">
        <f aca="false">IF($A75="","",Data_Engine!$Y75)</f>
        <v>0</v>
      </c>
      <c r="L75" s="69" t="n">
        <f aca="false">IF($A75="","",Data_Engine!$Z75)</f>
        <v>0</v>
      </c>
      <c r="M75" s="69" t="n">
        <f aca="false">IF($A75="","",Data_Engine!$AA75)</f>
        <v>0</v>
      </c>
      <c r="N75" s="69" t="n">
        <f aca="false">IF($A75="","",Data_Engine!$AB75)</f>
        <v>0</v>
      </c>
      <c r="O75" s="69" t="n">
        <f aca="false">IF($A75="","",Data_Engine!$AC75)</f>
        <v>0</v>
      </c>
      <c r="P75" s="69" t="n">
        <f aca="false">IF($A75="","",Data_Engine!$AH75)</f>
        <v>0</v>
      </c>
      <c r="Q75" s="70" t="n">
        <f aca="false">IF($A75="","",Data_Engine!$AD75)</f>
        <v>0</v>
      </c>
      <c r="R75" s="69" t="n">
        <f aca="false">IF($A75="","",Data_Engine!$AF75)</f>
        <v>0</v>
      </c>
      <c r="S75" s="71" t="n">
        <f aca="false">IF($A75="","",$Q75-$R75)</f>
        <v>0</v>
      </c>
      <c r="T75" s="72" t="str">
        <f aca="false">IF($A75="","",IF(ROUND($R75,2)=0,"n/a",$S75/ABS($R75)))</f>
        <v>n/a</v>
      </c>
      <c r="U75" s="69" t="n">
        <f aca="false">IF($A75="","",Data_Engine!$AG75)</f>
        <v>0</v>
      </c>
      <c r="V75" s="73" t="n">
        <f aca="false">IF($A75="","",$Q75-$U75)</f>
        <v>0</v>
      </c>
      <c r="W75" s="72" t="str">
        <f aca="false">IF($A75="","",IF(ROUND($U75,2)=0,"n/a",$V75/ABS($U75)))</f>
        <v>n/a</v>
      </c>
      <c r="X75" s="74" t="str">
        <f aca="false">IF($A75="","",IF(AND(ROUND($Q75,2)=0,ROUND($R75,2)=0),"No Activity",IF(ABS($S75)&lt;Setup!$B$14,"Low",IF(ROUND($R75,2)=0,"High",IF(OR(ABS($S75/$R75)&gt;=Setup!$B$16,ABS($S75)&gt;=Setup!$B$17),"High",IF(ABS($S75/$R75)&gt;=Setup!$B$15,"Medium","Low"))))))</f>
        <v>No Activity</v>
      </c>
      <c r="Y75" s="57"/>
      <c r="Z75" s="75" t="n">
        <f aca="false">IF($A75="",-1000000000000000,IF(ROUND(ABS($S75),0)=0,-1000000000000000,ABS($S75)+ROW()/1000000))</f>
        <v>-1000000000000000</v>
      </c>
    </row>
    <row r="76" customFormat="false" ht="15" hidden="false" customHeight="false" outlineLevel="0" collapsed="false">
      <c r="A76" s="68" t="str">
        <f aca="false">IF(Data_Engine!$A76="","",Data_Engine!$A76)</f>
        <v>Direct Travel - VID</v>
      </c>
      <c r="B76" s="42" t="str">
        <f aca="false">IF($A76="","",Data_Engine!$B76)</f>
        <v>Cost of Sales</v>
      </c>
      <c r="C76" s="42" t="str">
        <f aca="false">IF($A76="","",Data_Engine!$D76)</f>
        <v>Video</v>
      </c>
      <c r="D76" s="69" t="n">
        <f aca="false">IF($A76="","",Data_Engine!$R76)</f>
        <v>0</v>
      </c>
      <c r="E76" s="69" t="n">
        <f aca="false">IF($A76="","",Data_Engine!$S76)</f>
        <v>0</v>
      </c>
      <c r="F76" s="69" t="n">
        <f aca="false">IF($A76="","",Data_Engine!$T76)</f>
        <v>0</v>
      </c>
      <c r="G76" s="69" t="n">
        <f aca="false">IF($A76="","",Data_Engine!$U76)</f>
        <v>0</v>
      </c>
      <c r="H76" s="69" t="n">
        <f aca="false">IF($A76="","",Data_Engine!$V76)</f>
        <v>0</v>
      </c>
      <c r="I76" s="69" t="n">
        <f aca="false">IF($A76="","",Data_Engine!$W76)</f>
        <v>0</v>
      </c>
      <c r="J76" s="69" t="n">
        <f aca="false">IF($A76="","",Data_Engine!$X76)</f>
        <v>0</v>
      </c>
      <c r="K76" s="69" t="n">
        <f aca="false">IF($A76="","",Data_Engine!$Y76)</f>
        <v>0</v>
      </c>
      <c r="L76" s="69" t="n">
        <f aca="false">IF($A76="","",Data_Engine!$Z76)</f>
        <v>0</v>
      </c>
      <c r="M76" s="69" t="n">
        <f aca="false">IF($A76="","",Data_Engine!$AA76)</f>
        <v>0</v>
      </c>
      <c r="N76" s="69" t="n">
        <f aca="false">IF($A76="","",Data_Engine!$AB76)</f>
        <v>0</v>
      </c>
      <c r="O76" s="69" t="n">
        <f aca="false">IF($A76="","",Data_Engine!$AC76)</f>
        <v>0</v>
      </c>
      <c r="P76" s="69" t="n">
        <f aca="false">IF($A76="","",Data_Engine!$AH76)</f>
        <v>0</v>
      </c>
      <c r="Q76" s="70" t="n">
        <f aca="false">IF($A76="","",Data_Engine!$AD76)</f>
        <v>0</v>
      </c>
      <c r="R76" s="69" t="n">
        <f aca="false">IF($A76="","",Data_Engine!$AF76)</f>
        <v>0</v>
      </c>
      <c r="S76" s="71" t="n">
        <f aca="false">IF($A76="","",$Q76-$R76)</f>
        <v>0</v>
      </c>
      <c r="T76" s="72" t="str">
        <f aca="false">IF($A76="","",IF(ROUND($R76,2)=0,"n/a",$S76/ABS($R76)))</f>
        <v>n/a</v>
      </c>
      <c r="U76" s="69" t="n">
        <f aca="false">IF($A76="","",Data_Engine!$AG76)</f>
        <v>0</v>
      </c>
      <c r="V76" s="73" t="n">
        <f aca="false">IF($A76="","",$Q76-$U76)</f>
        <v>0</v>
      </c>
      <c r="W76" s="72" t="str">
        <f aca="false">IF($A76="","",IF(ROUND($U76,2)=0,"n/a",$V76/ABS($U76)))</f>
        <v>n/a</v>
      </c>
      <c r="X76" s="74" t="str">
        <f aca="false">IF($A76="","",IF(AND(ROUND($Q76,2)=0,ROUND($R76,2)=0),"No Activity",IF(ABS($S76)&lt;Setup!$B$14,"Low",IF(ROUND($R76,2)=0,"High",IF(OR(ABS($S76/$R76)&gt;=Setup!$B$16,ABS($S76)&gt;=Setup!$B$17),"High",IF(ABS($S76/$R76)&gt;=Setup!$B$15,"Medium","Low"))))))</f>
        <v>No Activity</v>
      </c>
      <c r="Y76" s="57"/>
      <c r="Z76" s="75" t="n">
        <f aca="false">IF($A76="",-1000000000000000,IF(ROUND(ABS($S76),0)=0,-1000000000000000,ABS($S76)+ROW()/1000000))</f>
        <v>-1000000000000000</v>
      </c>
    </row>
    <row r="77" customFormat="false" ht="15" hidden="false" customHeight="false" outlineLevel="0" collapsed="false">
      <c r="A77" s="68" t="str">
        <f aca="false">IF(Data_Engine!$A77="","",Data_Engine!$A77)</f>
        <v>Direct Wages - CONS</v>
      </c>
      <c r="B77" s="42" t="str">
        <f aca="false">IF($A77="","",Data_Engine!$B77)</f>
        <v>Cost of Sales</v>
      </c>
      <c r="C77" s="42" t="str">
        <f aca="false">IF($A77="","",Data_Engine!$D77)</f>
        <v>Consulting</v>
      </c>
      <c r="D77" s="69" t="n">
        <f aca="false">IF($A77="","",Data_Engine!$R77)</f>
        <v>0</v>
      </c>
      <c r="E77" s="69" t="n">
        <f aca="false">IF($A77="","",Data_Engine!$S77)</f>
        <v>0</v>
      </c>
      <c r="F77" s="69" t="n">
        <f aca="false">IF($A77="","",Data_Engine!$T77)</f>
        <v>0</v>
      </c>
      <c r="G77" s="69" t="n">
        <f aca="false">IF($A77="","",Data_Engine!$U77)</f>
        <v>0</v>
      </c>
      <c r="H77" s="69" t="n">
        <f aca="false">IF($A77="","",Data_Engine!$V77)</f>
        <v>0</v>
      </c>
      <c r="I77" s="69" t="n">
        <f aca="false">IF($A77="","",Data_Engine!$W77)</f>
        <v>0</v>
      </c>
      <c r="J77" s="69" t="n">
        <f aca="false">IF($A77="","",Data_Engine!$X77)</f>
        <v>0</v>
      </c>
      <c r="K77" s="69" t="n">
        <f aca="false">IF($A77="","",Data_Engine!$Y77)</f>
        <v>0</v>
      </c>
      <c r="L77" s="69" t="n">
        <f aca="false">IF($A77="","",Data_Engine!$Z77)</f>
        <v>0</v>
      </c>
      <c r="M77" s="69" t="n">
        <f aca="false">IF($A77="","",Data_Engine!$AA77)</f>
        <v>0</v>
      </c>
      <c r="N77" s="69" t="n">
        <f aca="false">IF($A77="","",Data_Engine!$AB77)</f>
        <v>0</v>
      </c>
      <c r="O77" s="69" t="n">
        <f aca="false">IF($A77="","",Data_Engine!$AC77)</f>
        <v>0</v>
      </c>
      <c r="P77" s="69" t="n">
        <f aca="false">IF($A77="","",Data_Engine!$AH77)</f>
        <v>0</v>
      </c>
      <c r="Q77" s="70" t="n">
        <f aca="false">IF($A77="","",Data_Engine!$AD77)</f>
        <v>0</v>
      </c>
      <c r="R77" s="69" t="n">
        <f aca="false">IF($A77="","",Data_Engine!$AF77)</f>
        <v>0</v>
      </c>
      <c r="S77" s="71" t="n">
        <f aca="false">IF($A77="","",$Q77-$R77)</f>
        <v>0</v>
      </c>
      <c r="T77" s="72" t="str">
        <f aca="false">IF($A77="","",IF(ROUND($R77,2)=0,"n/a",$S77/ABS($R77)))</f>
        <v>n/a</v>
      </c>
      <c r="U77" s="69" t="n">
        <f aca="false">IF($A77="","",Data_Engine!$AG77)</f>
        <v>0</v>
      </c>
      <c r="V77" s="73" t="n">
        <f aca="false">IF($A77="","",$Q77-$U77)</f>
        <v>0</v>
      </c>
      <c r="W77" s="72" t="str">
        <f aca="false">IF($A77="","",IF(ROUND($U77,2)=0,"n/a",$V77/ABS($U77)))</f>
        <v>n/a</v>
      </c>
      <c r="X77" s="74" t="str">
        <f aca="false">IF($A77="","",IF(AND(ROUND($Q77,2)=0,ROUND($R77,2)=0),"No Activity",IF(ABS($S77)&lt;Setup!$B$14,"Low",IF(ROUND($R77,2)=0,"High",IF(OR(ABS($S77/$R77)&gt;=Setup!$B$16,ABS($S77)&gt;=Setup!$B$17),"High",IF(ABS($S77/$R77)&gt;=Setup!$B$15,"Medium","Low"))))))</f>
        <v>No Activity</v>
      </c>
      <c r="Y77" s="57"/>
      <c r="Z77" s="75" t="n">
        <f aca="false">IF($A77="",-1000000000000000,IF(ROUND(ABS($S77),0)=0,-1000000000000000,ABS($S77)+ROW()/1000000))</f>
        <v>-1000000000000000</v>
      </c>
    </row>
    <row r="78" customFormat="false" ht="15" hidden="false" customHeight="false" outlineLevel="0" collapsed="false">
      <c r="A78" s="68" t="str">
        <f aca="false">IF(Data_Engine!$A78="","",Data_Engine!$A78)</f>
        <v>Direct Wages - INTEGRATION</v>
      </c>
      <c r="B78" s="42" t="str">
        <f aca="false">IF($A78="","",Data_Engine!$B78)</f>
        <v>Cost of Sales</v>
      </c>
      <c r="C78" s="42" t="str">
        <f aca="false">IF($A78="","",Data_Engine!$D78)</f>
        <v>Integration</v>
      </c>
      <c r="D78" s="69" t="n">
        <f aca="false">IF($A78="","",Data_Engine!$R78)</f>
        <v>0</v>
      </c>
      <c r="E78" s="69" t="n">
        <f aca="false">IF($A78="","",Data_Engine!$S78)</f>
        <v>0</v>
      </c>
      <c r="F78" s="69" t="n">
        <f aca="false">IF($A78="","",Data_Engine!$T78)</f>
        <v>0</v>
      </c>
      <c r="G78" s="69" t="n">
        <f aca="false">IF($A78="","",Data_Engine!$U78)</f>
        <v>0</v>
      </c>
      <c r="H78" s="69" t="n">
        <f aca="false">IF($A78="","",Data_Engine!$V78)</f>
        <v>0</v>
      </c>
      <c r="I78" s="69" t="n">
        <f aca="false">IF($A78="","",Data_Engine!$W78)</f>
        <v>0</v>
      </c>
      <c r="J78" s="69" t="n">
        <f aca="false">IF($A78="","",Data_Engine!$X78)</f>
        <v>0</v>
      </c>
      <c r="K78" s="69" t="n">
        <f aca="false">IF($A78="","",Data_Engine!$Y78)</f>
        <v>0</v>
      </c>
      <c r="L78" s="69" t="n">
        <f aca="false">IF($A78="","",Data_Engine!$Z78)</f>
        <v>0</v>
      </c>
      <c r="M78" s="69" t="n">
        <f aca="false">IF($A78="","",Data_Engine!$AA78)</f>
        <v>0</v>
      </c>
      <c r="N78" s="69" t="n">
        <f aca="false">IF($A78="","",Data_Engine!$AB78)</f>
        <v>0</v>
      </c>
      <c r="O78" s="69" t="n">
        <f aca="false">IF($A78="","",Data_Engine!$AC78)</f>
        <v>0</v>
      </c>
      <c r="P78" s="69" t="n">
        <f aca="false">IF($A78="","",Data_Engine!$AH78)</f>
        <v>0</v>
      </c>
      <c r="Q78" s="70" t="n">
        <f aca="false">IF($A78="","",Data_Engine!$AD78)</f>
        <v>0</v>
      </c>
      <c r="R78" s="69" t="n">
        <f aca="false">IF($A78="","",Data_Engine!$AF78)</f>
        <v>0</v>
      </c>
      <c r="S78" s="71" t="n">
        <f aca="false">IF($A78="","",$Q78-$R78)</f>
        <v>0</v>
      </c>
      <c r="T78" s="72" t="str">
        <f aca="false">IF($A78="","",IF(ROUND($R78,2)=0,"n/a",$S78/ABS($R78)))</f>
        <v>n/a</v>
      </c>
      <c r="U78" s="69" t="n">
        <f aca="false">IF($A78="","",Data_Engine!$AG78)</f>
        <v>0</v>
      </c>
      <c r="V78" s="73" t="n">
        <f aca="false">IF($A78="","",$Q78-$U78)</f>
        <v>0</v>
      </c>
      <c r="W78" s="72" t="str">
        <f aca="false">IF($A78="","",IF(ROUND($U78,2)=0,"n/a",$V78/ABS($U78)))</f>
        <v>n/a</v>
      </c>
      <c r="X78" s="74" t="str">
        <f aca="false">IF($A78="","",IF(AND(ROUND($Q78,2)=0,ROUND($R78,2)=0),"No Activity",IF(ABS($S78)&lt;Setup!$B$14,"Low",IF(ROUND($R78,2)=0,"High",IF(OR(ABS($S78/$R78)&gt;=Setup!$B$16,ABS($S78)&gt;=Setup!$B$17),"High",IF(ABS($S78/$R78)&gt;=Setup!$B$15,"Medium","Low"))))))</f>
        <v>No Activity</v>
      </c>
      <c r="Y78" s="57"/>
      <c r="Z78" s="75" t="n">
        <f aca="false">IF($A78="",-1000000000000000,IF(ROUND(ABS($S78),0)=0,-1000000000000000,ABS($S78)+ROW()/1000000))</f>
        <v>-1000000000000000</v>
      </c>
    </row>
    <row r="79" customFormat="false" ht="15" hidden="false" customHeight="false" outlineLevel="0" collapsed="false">
      <c r="A79" s="68" t="str">
        <f aca="false">IF(Data_Engine!$A79="","",Data_Engine!$A79)</f>
        <v>Direct Wages - ONS</v>
      </c>
      <c r="B79" s="42" t="str">
        <f aca="false">IF($A79="","",Data_Engine!$B79)</f>
        <v>Cost of Sales</v>
      </c>
      <c r="C79" s="42" t="str">
        <f aca="false">IF($A79="","",Data_Engine!$D79)</f>
        <v>Onsite</v>
      </c>
      <c r="D79" s="69" t="n">
        <f aca="false">IF($A79="","",Data_Engine!$R79)</f>
        <v>0</v>
      </c>
      <c r="E79" s="69" t="n">
        <f aca="false">IF($A79="","",Data_Engine!$S79)</f>
        <v>0</v>
      </c>
      <c r="F79" s="69" t="n">
        <f aca="false">IF($A79="","",Data_Engine!$T79)</f>
        <v>0</v>
      </c>
      <c r="G79" s="69" t="n">
        <f aca="false">IF($A79="","",Data_Engine!$U79)</f>
        <v>0</v>
      </c>
      <c r="H79" s="69" t="n">
        <f aca="false">IF($A79="","",Data_Engine!$V79)</f>
        <v>0</v>
      </c>
      <c r="I79" s="69" t="n">
        <f aca="false">IF($A79="","",Data_Engine!$W79)</f>
        <v>0</v>
      </c>
      <c r="J79" s="69" t="n">
        <f aca="false">IF($A79="","",Data_Engine!$X79)</f>
        <v>0</v>
      </c>
      <c r="K79" s="69" t="n">
        <f aca="false">IF($A79="","",Data_Engine!$Y79)</f>
        <v>0</v>
      </c>
      <c r="L79" s="69" t="n">
        <f aca="false">IF($A79="","",Data_Engine!$Z79)</f>
        <v>0</v>
      </c>
      <c r="M79" s="69" t="n">
        <f aca="false">IF($A79="","",Data_Engine!$AA79)</f>
        <v>0</v>
      </c>
      <c r="N79" s="69" t="n">
        <f aca="false">IF($A79="","",Data_Engine!$AB79)</f>
        <v>0</v>
      </c>
      <c r="O79" s="69" t="n">
        <f aca="false">IF($A79="","",Data_Engine!$AC79)</f>
        <v>0</v>
      </c>
      <c r="P79" s="69" t="n">
        <f aca="false">IF($A79="","",Data_Engine!$AH79)</f>
        <v>0</v>
      </c>
      <c r="Q79" s="70" t="n">
        <f aca="false">IF($A79="","",Data_Engine!$AD79)</f>
        <v>0</v>
      </c>
      <c r="R79" s="69" t="n">
        <f aca="false">IF($A79="","",Data_Engine!$AF79)</f>
        <v>0</v>
      </c>
      <c r="S79" s="71" t="n">
        <f aca="false">IF($A79="","",$Q79-$R79)</f>
        <v>0</v>
      </c>
      <c r="T79" s="72" t="str">
        <f aca="false">IF($A79="","",IF(ROUND($R79,2)=0,"n/a",$S79/ABS($R79)))</f>
        <v>n/a</v>
      </c>
      <c r="U79" s="69" t="n">
        <f aca="false">IF($A79="","",Data_Engine!$AG79)</f>
        <v>0</v>
      </c>
      <c r="V79" s="73" t="n">
        <f aca="false">IF($A79="","",$Q79-$U79)</f>
        <v>0</v>
      </c>
      <c r="W79" s="72" t="str">
        <f aca="false">IF($A79="","",IF(ROUND($U79,2)=0,"n/a",$V79/ABS($U79)))</f>
        <v>n/a</v>
      </c>
      <c r="X79" s="74" t="str">
        <f aca="false">IF($A79="","",IF(AND(ROUND($Q79,2)=0,ROUND($R79,2)=0),"No Activity",IF(ABS($S79)&lt;Setup!$B$14,"Low",IF(ROUND($R79,2)=0,"High",IF(OR(ABS($S79/$R79)&gt;=Setup!$B$16,ABS($S79)&gt;=Setup!$B$17),"High",IF(ABS($S79/$R79)&gt;=Setup!$B$15,"Medium","Low"))))))</f>
        <v>No Activity</v>
      </c>
      <c r="Y79" s="57"/>
      <c r="Z79" s="75" t="n">
        <f aca="false">IF($A79="",-1000000000000000,IF(ROUND(ABS($S79),0)=0,-1000000000000000,ABS($S79)+ROW()/1000000))</f>
        <v>-1000000000000000</v>
      </c>
    </row>
    <row r="80" customFormat="false" ht="15" hidden="false" customHeight="false" outlineLevel="0" collapsed="false">
      <c r="A80" s="68" t="str">
        <f aca="false">IF(Data_Engine!$A80="","",Data_Engine!$A80)</f>
        <v>Direct Wages - PRD</v>
      </c>
      <c r="B80" s="42" t="str">
        <f aca="false">IF($A80="","",Data_Engine!$B80)</f>
        <v>Cost of Sales</v>
      </c>
      <c r="C80" s="42" t="str">
        <f aca="false">IF($A80="","",Data_Engine!$D80)</f>
        <v>Production</v>
      </c>
      <c r="D80" s="69" t="n">
        <f aca="false">IF($A80="","",Data_Engine!$R80)</f>
        <v>0</v>
      </c>
      <c r="E80" s="69" t="n">
        <f aca="false">IF($A80="","",Data_Engine!$S80)</f>
        <v>0</v>
      </c>
      <c r="F80" s="69" t="n">
        <f aca="false">IF($A80="","",Data_Engine!$T80)</f>
        <v>0</v>
      </c>
      <c r="G80" s="69" t="n">
        <f aca="false">IF($A80="","",Data_Engine!$U80)</f>
        <v>0</v>
      </c>
      <c r="H80" s="69" t="n">
        <f aca="false">IF($A80="","",Data_Engine!$V80)</f>
        <v>0</v>
      </c>
      <c r="I80" s="69" t="n">
        <f aca="false">IF($A80="","",Data_Engine!$W80)</f>
        <v>0</v>
      </c>
      <c r="J80" s="69" t="n">
        <f aca="false">IF($A80="","",Data_Engine!$X80)</f>
        <v>0</v>
      </c>
      <c r="K80" s="69" t="n">
        <f aca="false">IF($A80="","",Data_Engine!$Y80)</f>
        <v>0</v>
      </c>
      <c r="L80" s="69" t="n">
        <f aca="false">IF($A80="","",Data_Engine!$Z80)</f>
        <v>0</v>
      </c>
      <c r="M80" s="69" t="n">
        <f aca="false">IF($A80="","",Data_Engine!$AA80)</f>
        <v>0</v>
      </c>
      <c r="N80" s="69" t="n">
        <f aca="false">IF($A80="","",Data_Engine!$AB80)</f>
        <v>0</v>
      </c>
      <c r="O80" s="69" t="n">
        <f aca="false">IF($A80="","",Data_Engine!$AC80)</f>
        <v>0</v>
      </c>
      <c r="P80" s="69" t="n">
        <f aca="false">IF($A80="","",Data_Engine!$AH80)</f>
        <v>0</v>
      </c>
      <c r="Q80" s="70" t="n">
        <f aca="false">IF($A80="","",Data_Engine!$AD80)</f>
        <v>0</v>
      </c>
      <c r="R80" s="69" t="n">
        <f aca="false">IF($A80="","",Data_Engine!$AF80)</f>
        <v>0</v>
      </c>
      <c r="S80" s="71" t="n">
        <f aca="false">IF($A80="","",$Q80-$R80)</f>
        <v>0</v>
      </c>
      <c r="T80" s="72" t="str">
        <f aca="false">IF($A80="","",IF(ROUND($R80,2)=0,"n/a",$S80/ABS($R80)))</f>
        <v>n/a</v>
      </c>
      <c r="U80" s="69" t="n">
        <f aca="false">IF($A80="","",Data_Engine!$AG80)</f>
        <v>0</v>
      </c>
      <c r="V80" s="73" t="n">
        <f aca="false">IF($A80="","",$Q80-$U80)</f>
        <v>0</v>
      </c>
      <c r="W80" s="72" t="str">
        <f aca="false">IF($A80="","",IF(ROUND($U80,2)=0,"n/a",$V80/ABS($U80)))</f>
        <v>n/a</v>
      </c>
      <c r="X80" s="74" t="str">
        <f aca="false">IF($A80="","",IF(AND(ROUND($Q80,2)=0,ROUND($R80,2)=0),"No Activity",IF(ABS($S80)&lt;Setup!$B$14,"Low",IF(ROUND($R80,2)=0,"High",IF(OR(ABS($S80/$R80)&gt;=Setup!$B$16,ABS($S80)&gt;=Setup!$B$17),"High",IF(ABS($S80/$R80)&gt;=Setup!$B$15,"Medium","Low"))))))</f>
        <v>No Activity</v>
      </c>
      <c r="Y80" s="57"/>
      <c r="Z80" s="75" t="n">
        <f aca="false">IF($A80="",-1000000000000000,IF(ROUND(ABS($S80),0)=0,-1000000000000000,ABS($S80)+ROW()/1000000))</f>
        <v>-1000000000000000</v>
      </c>
    </row>
    <row r="81" customFormat="false" ht="15" hidden="false" customHeight="false" outlineLevel="0" collapsed="false">
      <c r="A81" s="68" t="str">
        <f aca="false">IF(Data_Engine!$A81="","",Data_Engine!$A81)</f>
        <v>Direct Wages - VID</v>
      </c>
      <c r="B81" s="42" t="str">
        <f aca="false">IF($A81="","",Data_Engine!$B81)</f>
        <v>Cost of Sales</v>
      </c>
      <c r="C81" s="42" t="str">
        <f aca="false">IF($A81="","",Data_Engine!$D81)</f>
        <v>Video</v>
      </c>
      <c r="D81" s="69" t="n">
        <f aca="false">IF($A81="","",Data_Engine!$R81)</f>
        <v>0</v>
      </c>
      <c r="E81" s="69" t="n">
        <f aca="false">IF($A81="","",Data_Engine!$S81)</f>
        <v>0</v>
      </c>
      <c r="F81" s="69" t="n">
        <f aca="false">IF($A81="","",Data_Engine!$T81)</f>
        <v>0</v>
      </c>
      <c r="G81" s="69" t="n">
        <f aca="false">IF($A81="","",Data_Engine!$U81)</f>
        <v>0</v>
      </c>
      <c r="H81" s="69" t="n">
        <f aca="false">IF($A81="","",Data_Engine!$V81)</f>
        <v>0</v>
      </c>
      <c r="I81" s="69" t="n">
        <f aca="false">IF($A81="","",Data_Engine!$W81)</f>
        <v>0</v>
      </c>
      <c r="J81" s="69" t="n">
        <f aca="false">IF($A81="","",Data_Engine!$X81)</f>
        <v>0</v>
      </c>
      <c r="K81" s="69" t="n">
        <f aca="false">IF($A81="","",Data_Engine!$Y81)</f>
        <v>0</v>
      </c>
      <c r="L81" s="69" t="n">
        <f aca="false">IF($A81="","",Data_Engine!$Z81)</f>
        <v>0</v>
      </c>
      <c r="M81" s="69" t="n">
        <f aca="false">IF($A81="","",Data_Engine!$AA81)</f>
        <v>0</v>
      </c>
      <c r="N81" s="69" t="n">
        <f aca="false">IF($A81="","",Data_Engine!$AB81)</f>
        <v>0</v>
      </c>
      <c r="O81" s="69" t="n">
        <f aca="false">IF($A81="","",Data_Engine!$AC81)</f>
        <v>0</v>
      </c>
      <c r="P81" s="69" t="n">
        <f aca="false">IF($A81="","",Data_Engine!$AH81)</f>
        <v>0</v>
      </c>
      <c r="Q81" s="70" t="n">
        <f aca="false">IF($A81="","",Data_Engine!$AD81)</f>
        <v>0</v>
      </c>
      <c r="R81" s="69" t="n">
        <f aca="false">IF($A81="","",Data_Engine!$AF81)</f>
        <v>0</v>
      </c>
      <c r="S81" s="71" t="n">
        <f aca="false">IF($A81="","",$Q81-$R81)</f>
        <v>0</v>
      </c>
      <c r="T81" s="72" t="str">
        <f aca="false">IF($A81="","",IF(ROUND($R81,2)=0,"n/a",$S81/ABS($R81)))</f>
        <v>n/a</v>
      </c>
      <c r="U81" s="69" t="n">
        <f aca="false">IF($A81="","",Data_Engine!$AG81)</f>
        <v>0</v>
      </c>
      <c r="V81" s="73" t="n">
        <f aca="false">IF($A81="","",$Q81-$U81)</f>
        <v>0</v>
      </c>
      <c r="W81" s="72" t="str">
        <f aca="false">IF($A81="","",IF(ROUND($U81,2)=0,"n/a",$V81/ABS($U81)))</f>
        <v>n/a</v>
      </c>
      <c r="X81" s="74" t="str">
        <f aca="false">IF($A81="","",IF(AND(ROUND($Q81,2)=0,ROUND($R81,2)=0),"No Activity",IF(ABS($S81)&lt;Setup!$B$14,"Low",IF(ROUND($R81,2)=0,"High",IF(OR(ABS($S81/$R81)&gt;=Setup!$B$16,ABS($S81)&gt;=Setup!$B$17),"High",IF(ABS($S81/$R81)&gt;=Setup!$B$15,"Medium","Low"))))))</f>
        <v>No Activity</v>
      </c>
      <c r="Y81" s="57"/>
      <c r="Z81" s="75" t="n">
        <f aca="false">IF($A81="",-1000000000000000,IF(ROUND(ABS($S81),0)=0,-1000000000000000,ABS($S81)+ROW()/1000000))</f>
        <v>-1000000000000000</v>
      </c>
    </row>
    <row r="82" customFormat="false" ht="15" hidden="false" customHeight="false" outlineLevel="0" collapsed="false">
      <c r="A82" s="68" t="str">
        <f aca="false">IF(Data_Engine!$A82="","",Data_Engine!$A82)</f>
        <v>Direct Workers Comp - ADMIN</v>
      </c>
      <c r="B82" s="42" t="str">
        <f aca="false">IF($A82="","",Data_Engine!$B82)</f>
        <v>Cost of Sales</v>
      </c>
      <c r="C82" s="42" t="str">
        <f aca="false">IF($A82="","",Data_Engine!$D82)</f>
        <v>Admin</v>
      </c>
      <c r="D82" s="69" t="n">
        <f aca="false">IF($A82="","",Data_Engine!$R82)</f>
        <v>0</v>
      </c>
      <c r="E82" s="69" t="n">
        <f aca="false">IF($A82="","",Data_Engine!$S82)</f>
        <v>0</v>
      </c>
      <c r="F82" s="69" t="n">
        <f aca="false">IF($A82="","",Data_Engine!$T82)</f>
        <v>0</v>
      </c>
      <c r="G82" s="69" t="n">
        <f aca="false">IF($A82="","",Data_Engine!$U82)</f>
        <v>0</v>
      </c>
      <c r="H82" s="69" t="n">
        <f aca="false">IF($A82="","",Data_Engine!$V82)</f>
        <v>0</v>
      </c>
      <c r="I82" s="69" t="n">
        <f aca="false">IF($A82="","",Data_Engine!$W82)</f>
        <v>0</v>
      </c>
      <c r="J82" s="69" t="n">
        <f aca="false">IF($A82="","",Data_Engine!$X82)</f>
        <v>0</v>
      </c>
      <c r="K82" s="69" t="n">
        <f aca="false">IF($A82="","",Data_Engine!$Y82)</f>
        <v>0</v>
      </c>
      <c r="L82" s="69" t="n">
        <f aca="false">IF($A82="","",Data_Engine!$Z82)</f>
        <v>0</v>
      </c>
      <c r="M82" s="69" t="n">
        <f aca="false">IF($A82="","",Data_Engine!$AA82)</f>
        <v>0</v>
      </c>
      <c r="N82" s="69" t="n">
        <f aca="false">IF($A82="","",Data_Engine!$AB82)</f>
        <v>0</v>
      </c>
      <c r="O82" s="69" t="n">
        <f aca="false">IF($A82="","",Data_Engine!$AC82)</f>
        <v>0</v>
      </c>
      <c r="P82" s="69" t="n">
        <f aca="false">IF($A82="","",Data_Engine!$AH82)</f>
        <v>0</v>
      </c>
      <c r="Q82" s="70" t="n">
        <f aca="false">IF($A82="","",Data_Engine!$AD82)</f>
        <v>0</v>
      </c>
      <c r="R82" s="69" t="n">
        <f aca="false">IF($A82="","",Data_Engine!$AF82)</f>
        <v>0</v>
      </c>
      <c r="S82" s="71" t="n">
        <f aca="false">IF($A82="","",$Q82-$R82)</f>
        <v>0</v>
      </c>
      <c r="T82" s="72" t="str">
        <f aca="false">IF($A82="","",IF(ROUND($R82,2)=0,"n/a",$S82/ABS($R82)))</f>
        <v>n/a</v>
      </c>
      <c r="U82" s="69" t="n">
        <f aca="false">IF($A82="","",Data_Engine!$AG82)</f>
        <v>0</v>
      </c>
      <c r="V82" s="73" t="n">
        <f aca="false">IF($A82="","",$Q82-$U82)</f>
        <v>0</v>
      </c>
      <c r="W82" s="72" t="str">
        <f aca="false">IF($A82="","",IF(ROUND($U82,2)=0,"n/a",$V82/ABS($U82)))</f>
        <v>n/a</v>
      </c>
      <c r="X82" s="74" t="str">
        <f aca="false">IF($A82="","",IF(AND(ROUND($Q82,2)=0,ROUND($R82,2)=0),"No Activity",IF(ABS($S82)&lt;Setup!$B$14,"Low",IF(ROUND($R82,2)=0,"High",IF(OR(ABS($S82/$R82)&gt;=Setup!$B$16,ABS($S82)&gt;=Setup!$B$17),"High",IF(ABS($S82/$R82)&gt;=Setup!$B$15,"Medium","Low"))))))</f>
        <v>No Activity</v>
      </c>
      <c r="Y82" s="57"/>
      <c r="Z82" s="75" t="n">
        <f aca="false">IF($A82="",-1000000000000000,IF(ROUND(ABS($S82),0)=0,-1000000000000000,ABS($S82)+ROW()/1000000))</f>
        <v>-1000000000000000</v>
      </c>
    </row>
    <row r="83" customFormat="false" ht="15" hidden="false" customHeight="false" outlineLevel="0" collapsed="false">
      <c r="A83" s="68" t="str">
        <f aca="false">IF(Data_Engine!$A83="","",Data_Engine!$A83)</f>
        <v>Direct Workers Comp - CONS</v>
      </c>
      <c r="B83" s="42" t="str">
        <f aca="false">IF($A83="","",Data_Engine!$B83)</f>
        <v>Cost of Sales</v>
      </c>
      <c r="C83" s="42" t="str">
        <f aca="false">IF($A83="","",Data_Engine!$D83)</f>
        <v>Consulting</v>
      </c>
      <c r="D83" s="69" t="n">
        <f aca="false">IF($A83="","",Data_Engine!$R83)</f>
        <v>0</v>
      </c>
      <c r="E83" s="69" t="n">
        <f aca="false">IF($A83="","",Data_Engine!$S83)</f>
        <v>0</v>
      </c>
      <c r="F83" s="69" t="n">
        <f aca="false">IF($A83="","",Data_Engine!$T83)</f>
        <v>0</v>
      </c>
      <c r="G83" s="69" t="n">
        <f aca="false">IF($A83="","",Data_Engine!$U83)</f>
        <v>0</v>
      </c>
      <c r="H83" s="69" t="n">
        <f aca="false">IF($A83="","",Data_Engine!$V83)</f>
        <v>0</v>
      </c>
      <c r="I83" s="69" t="n">
        <f aca="false">IF($A83="","",Data_Engine!$W83)</f>
        <v>0</v>
      </c>
      <c r="J83" s="69" t="n">
        <f aca="false">IF($A83="","",Data_Engine!$X83)</f>
        <v>0</v>
      </c>
      <c r="K83" s="69" t="n">
        <f aca="false">IF($A83="","",Data_Engine!$Y83)</f>
        <v>0</v>
      </c>
      <c r="L83" s="69" t="n">
        <f aca="false">IF($A83="","",Data_Engine!$Z83)</f>
        <v>0</v>
      </c>
      <c r="M83" s="69" t="n">
        <f aca="false">IF($A83="","",Data_Engine!$AA83)</f>
        <v>0</v>
      </c>
      <c r="N83" s="69" t="n">
        <f aca="false">IF($A83="","",Data_Engine!$AB83)</f>
        <v>0</v>
      </c>
      <c r="O83" s="69" t="n">
        <f aca="false">IF($A83="","",Data_Engine!$AC83)</f>
        <v>0</v>
      </c>
      <c r="P83" s="69" t="n">
        <f aca="false">IF($A83="","",Data_Engine!$AH83)</f>
        <v>0</v>
      </c>
      <c r="Q83" s="70" t="n">
        <f aca="false">IF($A83="","",Data_Engine!$AD83)</f>
        <v>0</v>
      </c>
      <c r="R83" s="69" t="n">
        <f aca="false">IF($A83="","",Data_Engine!$AF83)</f>
        <v>0</v>
      </c>
      <c r="S83" s="71" t="n">
        <f aca="false">IF($A83="","",$Q83-$R83)</f>
        <v>0</v>
      </c>
      <c r="T83" s="72" t="str">
        <f aca="false">IF($A83="","",IF(ROUND($R83,2)=0,"n/a",$S83/ABS($R83)))</f>
        <v>n/a</v>
      </c>
      <c r="U83" s="69" t="n">
        <f aca="false">IF($A83="","",Data_Engine!$AG83)</f>
        <v>0</v>
      </c>
      <c r="V83" s="73" t="n">
        <f aca="false">IF($A83="","",$Q83-$U83)</f>
        <v>0</v>
      </c>
      <c r="W83" s="72" t="str">
        <f aca="false">IF($A83="","",IF(ROUND($U83,2)=0,"n/a",$V83/ABS($U83)))</f>
        <v>n/a</v>
      </c>
      <c r="X83" s="74" t="str">
        <f aca="false">IF($A83="","",IF(AND(ROUND($Q83,2)=0,ROUND($R83,2)=0),"No Activity",IF(ABS($S83)&lt;Setup!$B$14,"Low",IF(ROUND($R83,2)=0,"High",IF(OR(ABS($S83/$R83)&gt;=Setup!$B$16,ABS($S83)&gt;=Setup!$B$17),"High",IF(ABS($S83/$R83)&gt;=Setup!$B$15,"Medium","Low"))))))</f>
        <v>No Activity</v>
      </c>
      <c r="Y83" s="57"/>
      <c r="Z83" s="75" t="n">
        <f aca="false">IF($A83="",-1000000000000000,IF(ROUND(ABS($S83),0)=0,-1000000000000000,ABS($S83)+ROW()/1000000))</f>
        <v>-1000000000000000</v>
      </c>
    </row>
    <row r="84" customFormat="false" ht="15" hidden="false" customHeight="false" outlineLevel="0" collapsed="false">
      <c r="A84" s="68" t="str">
        <f aca="false">IF(Data_Engine!$A84="","",Data_Engine!$A84)</f>
        <v>Direct Workers Comp - INTEGRATION</v>
      </c>
      <c r="B84" s="42" t="str">
        <f aca="false">IF($A84="","",Data_Engine!$B84)</f>
        <v>Cost of Sales</v>
      </c>
      <c r="C84" s="42" t="str">
        <f aca="false">IF($A84="","",Data_Engine!$D84)</f>
        <v>Integration</v>
      </c>
      <c r="D84" s="69" t="n">
        <f aca="false">IF($A84="","",Data_Engine!$R84)</f>
        <v>0</v>
      </c>
      <c r="E84" s="69" t="n">
        <f aca="false">IF($A84="","",Data_Engine!$S84)</f>
        <v>0</v>
      </c>
      <c r="F84" s="69" t="n">
        <f aca="false">IF($A84="","",Data_Engine!$T84)</f>
        <v>0</v>
      </c>
      <c r="G84" s="69" t="n">
        <f aca="false">IF($A84="","",Data_Engine!$U84)</f>
        <v>0</v>
      </c>
      <c r="H84" s="69" t="n">
        <f aca="false">IF($A84="","",Data_Engine!$V84)</f>
        <v>0</v>
      </c>
      <c r="I84" s="69" t="n">
        <f aca="false">IF($A84="","",Data_Engine!$W84)</f>
        <v>0</v>
      </c>
      <c r="J84" s="69" t="n">
        <f aca="false">IF($A84="","",Data_Engine!$X84)</f>
        <v>0</v>
      </c>
      <c r="K84" s="69" t="n">
        <f aca="false">IF($A84="","",Data_Engine!$Y84)</f>
        <v>0</v>
      </c>
      <c r="L84" s="69" t="n">
        <f aca="false">IF($A84="","",Data_Engine!$Z84)</f>
        <v>0</v>
      </c>
      <c r="M84" s="69" t="n">
        <f aca="false">IF($A84="","",Data_Engine!$AA84)</f>
        <v>0</v>
      </c>
      <c r="N84" s="69" t="n">
        <f aca="false">IF($A84="","",Data_Engine!$AB84)</f>
        <v>0</v>
      </c>
      <c r="O84" s="69" t="n">
        <f aca="false">IF($A84="","",Data_Engine!$AC84)</f>
        <v>0</v>
      </c>
      <c r="P84" s="69" t="n">
        <f aca="false">IF($A84="","",Data_Engine!$AH84)</f>
        <v>0</v>
      </c>
      <c r="Q84" s="70" t="n">
        <f aca="false">IF($A84="","",Data_Engine!$AD84)</f>
        <v>0</v>
      </c>
      <c r="R84" s="69" t="n">
        <f aca="false">IF($A84="","",Data_Engine!$AF84)</f>
        <v>0</v>
      </c>
      <c r="S84" s="71" t="n">
        <f aca="false">IF($A84="","",$Q84-$R84)</f>
        <v>0</v>
      </c>
      <c r="T84" s="72" t="str">
        <f aca="false">IF($A84="","",IF(ROUND($R84,2)=0,"n/a",$S84/ABS($R84)))</f>
        <v>n/a</v>
      </c>
      <c r="U84" s="69" t="n">
        <f aca="false">IF($A84="","",Data_Engine!$AG84)</f>
        <v>0</v>
      </c>
      <c r="V84" s="73" t="n">
        <f aca="false">IF($A84="","",$Q84-$U84)</f>
        <v>0</v>
      </c>
      <c r="W84" s="72" t="str">
        <f aca="false">IF($A84="","",IF(ROUND($U84,2)=0,"n/a",$V84/ABS($U84)))</f>
        <v>n/a</v>
      </c>
      <c r="X84" s="74" t="str">
        <f aca="false">IF($A84="","",IF(AND(ROUND($Q84,2)=0,ROUND($R84,2)=0),"No Activity",IF(ABS($S84)&lt;Setup!$B$14,"Low",IF(ROUND($R84,2)=0,"High",IF(OR(ABS($S84/$R84)&gt;=Setup!$B$16,ABS($S84)&gt;=Setup!$B$17),"High",IF(ABS($S84/$R84)&gt;=Setup!$B$15,"Medium","Low"))))))</f>
        <v>No Activity</v>
      </c>
      <c r="Y84" s="57"/>
      <c r="Z84" s="75" t="n">
        <f aca="false">IF($A84="",-1000000000000000,IF(ROUND(ABS($S84),0)=0,-1000000000000000,ABS($S84)+ROW()/1000000))</f>
        <v>-1000000000000000</v>
      </c>
    </row>
    <row r="85" customFormat="false" ht="15" hidden="false" customHeight="false" outlineLevel="0" collapsed="false">
      <c r="A85" s="68" t="str">
        <f aca="false">IF(Data_Engine!$A85="","",Data_Engine!$A85)</f>
        <v>Direct Workers Comp - ONS</v>
      </c>
      <c r="B85" s="42" t="str">
        <f aca="false">IF($A85="","",Data_Engine!$B85)</f>
        <v>Cost of Sales</v>
      </c>
      <c r="C85" s="42" t="str">
        <f aca="false">IF($A85="","",Data_Engine!$D85)</f>
        <v>Onsite</v>
      </c>
      <c r="D85" s="69" t="n">
        <f aca="false">IF($A85="","",Data_Engine!$R85)</f>
        <v>0</v>
      </c>
      <c r="E85" s="69" t="n">
        <f aca="false">IF($A85="","",Data_Engine!$S85)</f>
        <v>0</v>
      </c>
      <c r="F85" s="69" t="n">
        <f aca="false">IF($A85="","",Data_Engine!$T85)</f>
        <v>0</v>
      </c>
      <c r="G85" s="69" t="n">
        <f aca="false">IF($A85="","",Data_Engine!$U85)</f>
        <v>0</v>
      </c>
      <c r="H85" s="69" t="n">
        <f aca="false">IF($A85="","",Data_Engine!$V85)</f>
        <v>0</v>
      </c>
      <c r="I85" s="69" t="n">
        <f aca="false">IF($A85="","",Data_Engine!$W85)</f>
        <v>0</v>
      </c>
      <c r="J85" s="69" t="n">
        <f aca="false">IF($A85="","",Data_Engine!$X85)</f>
        <v>0</v>
      </c>
      <c r="K85" s="69" t="n">
        <f aca="false">IF($A85="","",Data_Engine!$Y85)</f>
        <v>0</v>
      </c>
      <c r="L85" s="69" t="n">
        <f aca="false">IF($A85="","",Data_Engine!$Z85)</f>
        <v>0</v>
      </c>
      <c r="M85" s="69" t="n">
        <f aca="false">IF($A85="","",Data_Engine!$AA85)</f>
        <v>0</v>
      </c>
      <c r="N85" s="69" t="n">
        <f aca="false">IF($A85="","",Data_Engine!$AB85)</f>
        <v>0</v>
      </c>
      <c r="O85" s="69" t="n">
        <f aca="false">IF($A85="","",Data_Engine!$AC85)</f>
        <v>0</v>
      </c>
      <c r="P85" s="69" t="n">
        <f aca="false">IF($A85="","",Data_Engine!$AH85)</f>
        <v>0</v>
      </c>
      <c r="Q85" s="70" t="n">
        <f aca="false">IF($A85="","",Data_Engine!$AD85)</f>
        <v>0</v>
      </c>
      <c r="R85" s="69" t="n">
        <f aca="false">IF($A85="","",Data_Engine!$AF85)</f>
        <v>0</v>
      </c>
      <c r="S85" s="71" t="n">
        <f aca="false">IF($A85="","",$Q85-$R85)</f>
        <v>0</v>
      </c>
      <c r="T85" s="72" t="str">
        <f aca="false">IF($A85="","",IF(ROUND($R85,2)=0,"n/a",$S85/ABS($R85)))</f>
        <v>n/a</v>
      </c>
      <c r="U85" s="69" t="n">
        <f aca="false">IF($A85="","",Data_Engine!$AG85)</f>
        <v>0</v>
      </c>
      <c r="V85" s="73" t="n">
        <f aca="false">IF($A85="","",$Q85-$U85)</f>
        <v>0</v>
      </c>
      <c r="W85" s="72" t="str">
        <f aca="false">IF($A85="","",IF(ROUND($U85,2)=0,"n/a",$V85/ABS($U85)))</f>
        <v>n/a</v>
      </c>
      <c r="X85" s="74" t="str">
        <f aca="false">IF($A85="","",IF(AND(ROUND($Q85,2)=0,ROUND($R85,2)=0),"No Activity",IF(ABS($S85)&lt;Setup!$B$14,"Low",IF(ROUND($R85,2)=0,"High",IF(OR(ABS($S85/$R85)&gt;=Setup!$B$16,ABS($S85)&gt;=Setup!$B$17),"High",IF(ABS($S85/$R85)&gt;=Setup!$B$15,"Medium","Low"))))))</f>
        <v>No Activity</v>
      </c>
      <c r="Y85" s="57"/>
      <c r="Z85" s="75" t="n">
        <f aca="false">IF($A85="",-1000000000000000,IF(ROUND(ABS($S85),0)=0,-1000000000000000,ABS($S85)+ROW()/1000000))</f>
        <v>-1000000000000000</v>
      </c>
    </row>
    <row r="86" customFormat="false" ht="15" hidden="false" customHeight="false" outlineLevel="0" collapsed="false">
      <c r="A86" s="68" t="str">
        <f aca="false">IF(Data_Engine!$A86="","",Data_Engine!$A86)</f>
        <v>Direct Workers Comp - PRD</v>
      </c>
      <c r="B86" s="42" t="str">
        <f aca="false">IF($A86="","",Data_Engine!$B86)</f>
        <v>Cost of Sales</v>
      </c>
      <c r="C86" s="42" t="str">
        <f aca="false">IF($A86="","",Data_Engine!$D86)</f>
        <v>Production</v>
      </c>
      <c r="D86" s="69" t="n">
        <f aca="false">IF($A86="","",Data_Engine!$R86)</f>
        <v>0</v>
      </c>
      <c r="E86" s="69" t="n">
        <f aca="false">IF($A86="","",Data_Engine!$S86)</f>
        <v>0</v>
      </c>
      <c r="F86" s="69" t="n">
        <f aca="false">IF($A86="","",Data_Engine!$T86)</f>
        <v>0</v>
      </c>
      <c r="G86" s="69" t="n">
        <f aca="false">IF($A86="","",Data_Engine!$U86)</f>
        <v>0</v>
      </c>
      <c r="H86" s="69" t="n">
        <f aca="false">IF($A86="","",Data_Engine!$V86)</f>
        <v>0</v>
      </c>
      <c r="I86" s="69" t="n">
        <f aca="false">IF($A86="","",Data_Engine!$W86)</f>
        <v>0</v>
      </c>
      <c r="J86" s="69" t="n">
        <f aca="false">IF($A86="","",Data_Engine!$X86)</f>
        <v>0</v>
      </c>
      <c r="K86" s="69" t="n">
        <f aca="false">IF($A86="","",Data_Engine!$Y86)</f>
        <v>0</v>
      </c>
      <c r="L86" s="69" t="n">
        <f aca="false">IF($A86="","",Data_Engine!$Z86)</f>
        <v>0</v>
      </c>
      <c r="M86" s="69" t="n">
        <f aca="false">IF($A86="","",Data_Engine!$AA86)</f>
        <v>0</v>
      </c>
      <c r="N86" s="69" t="n">
        <f aca="false">IF($A86="","",Data_Engine!$AB86)</f>
        <v>0</v>
      </c>
      <c r="O86" s="69" t="n">
        <f aca="false">IF($A86="","",Data_Engine!$AC86)</f>
        <v>0</v>
      </c>
      <c r="P86" s="69" t="n">
        <f aca="false">IF($A86="","",Data_Engine!$AH86)</f>
        <v>0</v>
      </c>
      <c r="Q86" s="70" t="n">
        <f aca="false">IF($A86="","",Data_Engine!$AD86)</f>
        <v>0</v>
      </c>
      <c r="R86" s="69" t="n">
        <f aca="false">IF($A86="","",Data_Engine!$AF86)</f>
        <v>0</v>
      </c>
      <c r="S86" s="71" t="n">
        <f aca="false">IF($A86="","",$Q86-$R86)</f>
        <v>0</v>
      </c>
      <c r="T86" s="72" t="str">
        <f aca="false">IF($A86="","",IF(ROUND($R86,2)=0,"n/a",$S86/ABS($R86)))</f>
        <v>n/a</v>
      </c>
      <c r="U86" s="69" t="n">
        <f aca="false">IF($A86="","",Data_Engine!$AG86)</f>
        <v>0</v>
      </c>
      <c r="V86" s="73" t="n">
        <f aca="false">IF($A86="","",$Q86-$U86)</f>
        <v>0</v>
      </c>
      <c r="W86" s="72" t="str">
        <f aca="false">IF($A86="","",IF(ROUND($U86,2)=0,"n/a",$V86/ABS($U86)))</f>
        <v>n/a</v>
      </c>
      <c r="X86" s="74" t="str">
        <f aca="false">IF($A86="","",IF(AND(ROUND($Q86,2)=0,ROUND($R86,2)=0),"No Activity",IF(ABS($S86)&lt;Setup!$B$14,"Low",IF(ROUND($R86,2)=0,"High",IF(OR(ABS($S86/$R86)&gt;=Setup!$B$16,ABS($S86)&gt;=Setup!$B$17),"High",IF(ABS($S86/$R86)&gt;=Setup!$B$15,"Medium","Low"))))))</f>
        <v>No Activity</v>
      </c>
      <c r="Y86" s="57"/>
      <c r="Z86" s="75" t="n">
        <f aca="false">IF($A86="",-1000000000000000,IF(ROUND(ABS($S86),0)=0,-1000000000000000,ABS($S86)+ROW()/1000000))</f>
        <v>-1000000000000000</v>
      </c>
    </row>
    <row r="87" customFormat="false" ht="15" hidden="false" customHeight="false" outlineLevel="0" collapsed="false">
      <c r="A87" s="68" t="str">
        <f aca="false">IF(Data_Engine!$A87="","",Data_Engine!$A87)</f>
        <v>Direct Workers Comp - VID</v>
      </c>
      <c r="B87" s="42" t="str">
        <f aca="false">IF($A87="","",Data_Engine!$B87)</f>
        <v>Cost of Sales</v>
      </c>
      <c r="C87" s="42" t="str">
        <f aca="false">IF($A87="","",Data_Engine!$D87)</f>
        <v>Video</v>
      </c>
      <c r="D87" s="69" t="n">
        <f aca="false">IF($A87="","",Data_Engine!$R87)</f>
        <v>0</v>
      </c>
      <c r="E87" s="69" t="n">
        <f aca="false">IF($A87="","",Data_Engine!$S87)</f>
        <v>0</v>
      </c>
      <c r="F87" s="69" t="n">
        <f aca="false">IF($A87="","",Data_Engine!$T87)</f>
        <v>0</v>
      </c>
      <c r="G87" s="69" t="n">
        <f aca="false">IF($A87="","",Data_Engine!$U87)</f>
        <v>0</v>
      </c>
      <c r="H87" s="69" t="n">
        <f aca="false">IF($A87="","",Data_Engine!$V87)</f>
        <v>0</v>
      </c>
      <c r="I87" s="69" t="n">
        <f aca="false">IF($A87="","",Data_Engine!$W87)</f>
        <v>0</v>
      </c>
      <c r="J87" s="69" t="n">
        <f aca="false">IF($A87="","",Data_Engine!$X87)</f>
        <v>0</v>
      </c>
      <c r="K87" s="69" t="n">
        <f aca="false">IF($A87="","",Data_Engine!$Y87)</f>
        <v>0</v>
      </c>
      <c r="L87" s="69" t="n">
        <f aca="false">IF($A87="","",Data_Engine!$Z87)</f>
        <v>0</v>
      </c>
      <c r="M87" s="69" t="n">
        <f aca="false">IF($A87="","",Data_Engine!$AA87)</f>
        <v>0</v>
      </c>
      <c r="N87" s="69" t="n">
        <f aca="false">IF($A87="","",Data_Engine!$AB87)</f>
        <v>0</v>
      </c>
      <c r="O87" s="69" t="n">
        <f aca="false">IF($A87="","",Data_Engine!$AC87)</f>
        <v>0</v>
      </c>
      <c r="P87" s="69" t="n">
        <f aca="false">IF($A87="","",Data_Engine!$AH87)</f>
        <v>0</v>
      </c>
      <c r="Q87" s="70" t="n">
        <f aca="false">IF($A87="","",Data_Engine!$AD87)</f>
        <v>0</v>
      </c>
      <c r="R87" s="69" t="n">
        <f aca="false">IF($A87="","",Data_Engine!$AF87)</f>
        <v>0</v>
      </c>
      <c r="S87" s="71" t="n">
        <f aca="false">IF($A87="","",$Q87-$R87)</f>
        <v>0</v>
      </c>
      <c r="T87" s="72" t="str">
        <f aca="false">IF($A87="","",IF(ROUND($R87,2)=0,"n/a",$S87/ABS($R87)))</f>
        <v>n/a</v>
      </c>
      <c r="U87" s="69" t="n">
        <f aca="false">IF($A87="","",Data_Engine!$AG87)</f>
        <v>0</v>
      </c>
      <c r="V87" s="73" t="n">
        <f aca="false">IF($A87="","",$Q87-$U87)</f>
        <v>0</v>
      </c>
      <c r="W87" s="72" t="str">
        <f aca="false">IF($A87="","",IF(ROUND($U87,2)=0,"n/a",$V87/ABS($U87)))</f>
        <v>n/a</v>
      </c>
      <c r="X87" s="74" t="str">
        <f aca="false">IF($A87="","",IF(AND(ROUND($Q87,2)=0,ROUND($R87,2)=0),"No Activity",IF(ABS($S87)&lt;Setup!$B$14,"Low",IF(ROUND($R87,2)=0,"High",IF(OR(ABS($S87/$R87)&gt;=Setup!$B$16,ABS($S87)&gt;=Setup!$B$17),"High",IF(ABS($S87/$R87)&gt;=Setup!$B$15,"Medium","Low"))))))</f>
        <v>No Activity</v>
      </c>
      <c r="Y87" s="57"/>
      <c r="Z87" s="75" t="n">
        <f aca="false">IF($A87="",-1000000000000000,IF(ROUND(ABS($S87),0)=0,-1000000000000000,ABS($S87)+ROW()/1000000))</f>
        <v>-1000000000000000</v>
      </c>
    </row>
    <row r="88" customFormat="false" ht="15" hidden="false" customHeight="false" outlineLevel="0" collapsed="false">
      <c r="A88" s="68" t="str">
        <f aca="false">IF(Data_Engine!$A88="","",Data_Engine!$A88)</f>
        <v>Discounts Given</v>
      </c>
      <c r="B88" s="42" t="str">
        <f aca="false">IF($A88="","",Data_Engine!$B88)</f>
        <v>Cost of Sales</v>
      </c>
      <c r="C88" s="42" t="str">
        <f aca="false">IF($A88="","",Data_Engine!$D88)</f>
        <v>Unallocated</v>
      </c>
      <c r="D88" s="69" t="n">
        <f aca="false">IF($A88="","",Data_Engine!$R88)</f>
        <v>0</v>
      </c>
      <c r="E88" s="69" t="n">
        <f aca="false">IF($A88="","",Data_Engine!$S88)</f>
        <v>0</v>
      </c>
      <c r="F88" s="69" t="n">
        <f aca="false">IF($A88="","",Data_Engine!$T88)</f>
        <v>0</v>
      </c>
      <c r="G88" s="69" t="n">
        <f aca="false">IF($A88="","",Data_Engine!$U88)</f>
        <v>0</v>
      </c>
      <c r="H88" s="69" t="n">
        <f aca="false">IF($A88="","",Data_Engine!$V88)</f>
        <v>0</v>
      </c>
      <c r="I88" s="69" t="n">
        <f aca="false">IF($A88="","",Data_Engine!$W88)</f>
        <v>0</v>
      </c>
      <c r="J88" s="69" t="n">
        <f aca="false">IF($A88="","",Data_Engine!$X88)</f>
        <v>0</v>
      </c>
      <c r="K88" s="69" t="n">
        <f aca="false">IF($A88="","",Data_Engine!$Y88)</f>
        <v>0</v>
      </c>
      <c r="L88" s="69" t="n">
        <f aca="false">IF($A88="","",Data_Engine!$Z88)</f>
        <v>0</v>
      </c>
      <c r="M88" s="69" t="n">
        <f aca="false">IF($A88="","",Data_Engine!$AA88)</f>
        <v>0</v>
      </c>
      <c r="N88" s="69" t="n">
        <f aca="false">IF($A88="","",Data_Engine!$AB88)</f>
        <v>0</v>
      </c>
      <c r="O88" s="69" t="n">
        <f aca="false">IF($A88="","",Data_Engine!$AC88)</f>
        <v>0</v>
      </c>
      <c r="P88" s="69" t="n">
        <f aca="false">IF($A88="","",Data_Engine!$AH88)</f>
        <v>0</v>
      </c>
      <c r="Q88" s="70" t="n">
        <f aca="false">IF($A88="","",Data_Engine!$AD88)</f>
        <v>0</v>
      </c>
      <c r="R88" s="69" t="n">
        <f aca="false">IF($A88="","",Data_Engine!$AF88)</f>
        <v>0</v>
      </c>
      <c r="S88" s="71" t="n">
        <f aca="false">IF($A88="","",$Q88-$R88)</f>
        <v>0</v>
      </c>
      <c r="T88" s="72" t="str">
        <f aca="false">IF($A88="","",IF(ROUND($R88,2)=0,"n/a",$S88/ABS($R88)))</f>
        <v>n/a</v>
      </c>
      <c r="U88" s="69" t="n">
        <f aca="false">IF($A88="","",Data_Engine!$AG88)</f>
        <v>0</v>
      </c>
      <c r="V88" s="73" t="n">
        <f aca="false">IF($A88="","",$Q88-$U88)</f>
        <v>0</v>
      </c>
      <c r="W88" s="72" t="str">
        <f aca="false">IF($A88="","",IF(ROUND($U88,2)=0,"n/a",$V88/ABS($U88)))</f>
        <v>n/a</v>
      </c>
      <c r="X88" s="74" t="str">
        <f aca="false">IF($A88="","",IF(AND(ROUND($Q88,2)=0,ROUND($R88,2)=0),"No Activity",IF(ABS($S88)&lt;Setup!$B$14,"Low",IF(ROUND($R88,2)=0,"High",IF(OR(ABS($S88/$R88)&gt;=Setup!$B$16,ABS($S88)&gt;=Setup!$B$17),"High",IF(ABS($S88/$R88)&gt;=Setup!$B$15,"Medium","Low"))))))</f>
        <v>No Activity</v>
      </c>
      <c r="Y88" s="57"/>
      <c r="Z88" s="75" t="n">
        <f aca="false">IF($A88="",-1000000000000000,IF(ROUND(ABS($S88),0)=0,-1000000000000000,ABS($S88)+ROW()/1000000))</f>
        <v>-1000000000000000</v>
      </c>
    </row>
    <row r="89" customFormat="false" ht="15" hidden="false" customHeight="false" outlineLevel="0" collapsed="false">
      <c r="A89" s="68" t="str">
        <f aca="false">IF(Data_Engine!$A89="","",Data_Engine!$A89)</f>
        <v>Equipment - Hires</v>
      </c>
      <c r="B89" s="42" t="str">
        <f aca="false">IF($A89="","",Data_Engine!$B89)</f>
        <v>Cost of Sales</v>
      </c>
      <c r="C89" s="42" t="str">
        <f aca="false">IF($A89="","",Data_Engine!$D89)</f>
        <v>Unallocated</v>
      </c>
      <c r="D89" s="69" t="n">
        <f aca="false">IF($A89="","",Data_Engine!$R89)</f>
        <v>0</v>
      </c>
      <c r="E89" s="69" t="n">
        <f aca="false">IF($A89="","",Data_Engine!$S89)</f>
        <v>0</v>
      </c>
      <c r="F89" s="69" t="n">
        <f aca="false">IF($A89="","",Data_Engine!$T89)</f>
        <v>0</v>
      </c>
      <c r="G89" s="69" t="n">
        <f aca="false">IF($A89="","",Data_Engine!$U89)</f>
        <v>0</v>
      </c>
      <c r="H89" s="69" t="n">
        <f aca="false">IF($A89="","",Data_Engine!$V89)</f>
        <v>0</v>
      </c>
      <c r="I89" s="69" t="n">
        <f aca="false">IF($A89="","",Data_Engine!$W89)</f>
        <v>0</v>
      </c>
      <c r="J89" s="69" t="n">
        <f aca="false">IF($A89="","",Data_Engine!$X89)</f>
        <v>0</v>
      </c>
      <c r="K89" s="69" t="n">
        <f aca="false">IF($A89="","",Data_Engine!$Y89)</f>
        <v>0</v>
      </c>
      <c r="L89" s="69" t="n">
        <f aca="false">IF($A89="","",Data_Engine!$Z89)</f>
        <v>0</v>
      </c>
      <c r="M89" s="69" t="n">
        <f aca="false">IF($A89="","",Data_Engine!$AA89)</f>
        <v>0</v>
      </c>
      <c r="N89" s="69" t="n">
        <f aca="false">IF($A89="","",Data_Engine!$AB89)</f>
        <v>0</v>
      </c>
      <c r="O89" s="69" t="n">
        <f aca="false">IF($A89="","",Data_Engine!$AC89)</f>
        <v>0</v>
      </c>
      <c r="P89" s="69" t="n">
        <f aca="false">IF($A89="","",Data_Engine!$AH89)</f>
        <v>0</v>
      </c>
      <c r="Q89" s="70" t="n">
        <f aca="false">IF($A89="","",Data_Engine!$AD89)</f>
        <v>0</v>
      </c>
      <c r="R89" s="69" t="n">
        <f aca="false">IF($A89="","",Data_Engine!$AF89)</f>
        <v>0</v>
      </c>
      <c r="S89" s="71" t="n">
        <f aca="false">IF($A89="","",$Q89-$R89)</f>
        <v>0</v>
      </c>
      <c r="T89" s="72" t="str">
        <f aca="false">IF($A89="","",IF(ROUND($R89,2)=0,"n/a",$S89/ABS($R89)))</f>
        <v>n/a</v>
      </c>
      <c r="U89" s="69" t="n">
        <f aca="false">IF($A89="","",Data_Engine!$AG89)</f>
        <v>0</v>
      </c>
      <c r="V89" s="73" t="n">
        <f aca="false">IF($A89="","",$Q89-$U89)</f>
        <v>0</v>
      </c>
      <c r="W89" s="72" t="str">
        <f aca="false">IF($A89="","",IF(ROUND($U89,2)=0,"n/a",$V89/ABS($U89)))</f>
        <v>n/a</v>
      </c>
      <c r="X89" s="74" t="str">
        <f aca="false">IF($A89="","",IF(AND(ROUND($Q89,2)=0,ROUND($R89,2)=0),"No Activity",IF(ABS($S89)&lt;Setup!$B$14,"Low",IF(ROUND($R89,2)=0,"High",IF(OR(ABS($S89/$R89)&gt;=Setup!$B$16,ABS($S89)&gt;=Setup!$B$17),"High",IF(ABS($S89/$R89)&gt;=Setup!$B$15,"Medium","Low"))))))</f>
        <v>No Activity</v>
      </c>
      <c r="Y89" s="57"/>
      <c r="Z89" s="75" t="n">
        <f aca="false">IF($A89="",-1000000000000000,IF(ROUND(ABS($S89),0)=0,-1000000000000000,ABS($S89)+ROW()/1000000))</f>
        <v>-1000000000000000</v>
      </c>
    </row>
    <row r="90" customFormat="false" ht="15" hidden="false" customHeight="false" outlineLevel="0" collapsed="false">
      <c r="A90" s="68" t="str">
        <f aca="false">IF(Data_Engine!$A90="","",Data_Engine!$A90)</f>
        <v>Equipment - Purchase</v>
      </c>
      <c r="B90" s="42" t="str">
        <f aca="false">IF($A90="","",Data_Engine!$B90)</f>
        <v>Cost of Sales</v>
      </c>
      <c r="C90" s="42" t="str">
        <f aca="false">IF($A90="","",Data_Engine!$D90)</f>
        <v>Unallocated</v>
      </c>
      <c r="D90" s="69" t="n">
        <f aca="false">IF($A90="","",Data_Engine!$R90)</f>
        <v>0</v>
      </c>
      <c r="E90" s="69" t="n">
        <f aca="false">IF($A90="","",Data_Engine!$S90)</f>
        <v>0</v>
      </c>
      <c r="F90" s="69" t="n">
        <f aca="false">IF($A90="","",Data_Engine!$T90)</f>
        <v>0</v>
      </c>
      <c r="G90" s="69" t="n">
        <f aca="false">IF($A90="","",Data_Engine!$U90)</f>
        <v>0</v>
      </c>
      <c r="H90" s="69" t="n">
        <f aca="false">IF($A90="","",Data_Engine!$V90)</f>
        <v>0</v>
      </c>
      <c r="I90" s="69" t="n">
        <f aca="false">IF($A90="","",Data_Engine!$W90)</f>
        <v>0</v>
      </c>
      <c r="J90" s="69" t="n">
        <f aca="false">IF($A90="","",Data_Engine!$X90)</f>
        <v>0</v>
      </c>
      <c r="K90" s="69" t="n">
        <f aca="false">IF($A90="","",Data_Engine!$Y90)</f>
        <v>0</v>
      </c>
      <c r="L90" s="69" t="n">
        <f aca="false">IF($A90="","",Data_Engine!$Z90)</f>
        <v>0</v>
      </c>
      <c r="M90" s="69" t="n">
        <f aca="false">IF($A90="","",Data_Engine!$AA90)</f>
        <v>0</v>
      </c>
      <c r="N90" s="69" t="n">
        <f aca="false">IF($A90="","",Data_Engine!$AB90)</f>
        <v>0</v>
      </c>
      <c r="O90" s="69" t="n">
        <f aca="false">IF($A90="","",Data_Engine!$AC90)</f>
        <v>0</v>
      </c>
      <c r="P90" s="69" t="n">
        <f aca="false">IF($A90="","",Data_Engine!$AH90)</f>
        <v>0</v>
      </c>
      <c r="Q90" s="70" t="n">
        <f aca="false">IF($A90="","",Data_Engine!$AD90)</f>
        <v>0</v>
      </c>
      <c r="R90" s="69" t="n">
        <f aca="false">IF($A90="","",Data_Engine!$AF90)</f>
        <v>0</v>
      </c>
      <c r="S90" s="71" t="n">
        <f aca="false">IF($A90="","",$Q90-$R90)</f>
        <v>0</v>
      </c>
      <c r="T90" s="72" t="str">
        <f aca="false">IF($A90="","",IF(ROUND($R90,2)=0,"n/a",$S90/ABS($R90)))</f>
        <v>n/a</v>
      </c>
      <c r="U90" s="69" t="n">
        <f aca="false">IF($A90="","",Data_Engine!$AG90)</f>
        <v>0</v>
      </c>
      <c r="V90" s="73" t="n">
        <f aca="false">IF($A90="","",$Q90-$U90)</f>
        <v>0</v>
      </c>
      <c r="W90" s="72" t="str">
        <f aca="false">IF($A90="","",IF(ROUND($U90,2)=0,"n/a",$V90/ABS($U90)))</f>
        <v>n/a</v>
      </c>
      <c r="X90" s="74" t="str">
        <f aca="false">IF($A90="","",IF(AND(ROUND($Q90,2)=0,ROUND($R90,2)=0),"No Activity",IF(ABS($S90)&lt;Setup!$B$14,"Low",IF(ROUND($R90,2)=0,"High",IF(OR(ABS($S90/$R90)&gt;=Setup!$B$16,ABS($S90)&gt;=Setup!$B$17),"High",IF(ABS($S90/$R90)&gt;=Setup!$B$15,"Medium","Low"))))))</f>
        <v>No Activity</v>
      </c>
      <c r="Y90" s="57"/>
      <c r="Z90" s="75" t="n">
        <f aca="false">IF($A90="",-1000000000000000,IF(ROUND(ABS($S90),0)=0,-1000000000000000,ABS($S90)+ROW()/1000000))</f>
        <v>-1000000000000000</v>
      </c>
    </row>
    <row r="91" customFormat="false" ht="15" hidden="false" customHeight="false" outlineLevel="0" collapsed="false">
      <c r="A91" s="68" t="str">
        <f aca="false">IF(Data_Engine!$A91="","",Data_Engine!$A91)</f>
        <v>Equipment -Maintenance Support</v>
      </c>
      <c r="B91" s="42" t="str">
        <f aca="false">IF($A91="","",Data_Engine!$B91)</f>
        <v>Cost of Sales</v>
      </c>
      <c r="C91" s="42" t="str">
        <f aca="false">IF($A91="","",Data_Engine!$D91)</f>
        <v>Unallocated</v>
      </c>
      <c r="D91" s="69" t="n">
        <f aca="false">IF($A91="","",Data_Engine!$R91)</f>
        <v>0</v>
      </c>
      <c r="E91" s="69" t="n">
        <f aca="false">IF($A91="","",Data_Engine!$S91)</f>
        <v>0</v>
      </c>
      <c r="F91" s="69" t="n">
        <f aca="false">IF($A91="","",Data_Engine!$T91)</f>
        <v>0</v>
      </c>
      <c r="G91" s="69" t="n">
        <f aca="false">IF($A91="","",Data_Engine!$U91)</f>
        <v>0</v>
      </c>
      <c r="H91" s="69" t="n">
        <f aca="false">IF($A91="","",Data_Engine!$V91)</f>
        <v>0</v>
      </c>
      <c r="I91" s="69" t="n">
        <f aca="false">IF($A91="","",Data_Engine!$W91)</f>
        <v>0</v>
      </c>
      <c r="J91" s="69" t="n">
        <f aca="false">IF($A91="","",Data_Engine!$X91)</f>
        <v>0</v>
      </c>
      <c r="K91" s="69" t="n">
        <f aca="false">IF($A91="","",Data_Engine!$Y91)</f>
        <v>0</v>
      </c>
      <c r="L91" s="69" t="n">
        <f aca="false">IF($A91="","",Data_Engine!$Z91)</f>
        <v>0</v>
      </c>
      <c r="M91" s="69" t="n">
        <f aca="false">IF($A91="","",Data_Engine!$AA91)</f>
        <v>0</v>
      </c>
      <c r="N91" s="69" t="n">
        <f aca="false">IF($A91="","",Data_Engine!$AB91)</f>
        <v>0</v>
      </c>
      <c r="O91" s="69" t="n">
        <f aca="false">IF($A91="","",Data_Engine!$AC91)</f>
        <v>0</v>
      </c>
      <c r="P91" s="69" t="n">
        <f aca="false">IF($A91="","",Data_Engine!$AH91)</f>
        <v>0</v>
      </c>
      <c r="Q91" s="70" t="n">
        <f aca="false">IF($A91="","",Data_Engine!$AD91)</f>
        <v>0</v>
      </c>
      <c r="R91" s="69" t="n">
        <f aca="false">IF($A91="","",Data_Engine!$AF91)</f>
        <v>0</v>
      </c>
      <c r="S91" s="71" t="n">
        <f aca="false">IF($A91="","",$Q91-$R91)</f>
        <v>0</v>
      </c>
      <c r="T91" s="72" t="str">
        <f aca="false">IF($A91="","",IF(ROUND($R91,2)=0,"n/a",$S91/ABS($R91)))</f>
        <v>n/a</v>
      </c>
      <c r="U91" s="69" t="n">
        <f aca="false">IF($A91="","",Data_Engine!$AG91)</f>
        <v>0</v>
      </c>
      <c r="V91" s="73" t="n">
        <f aca="false">IF($A91="","",$Q91-$U91)</f>
        <v>0</v>
      </c>
      <c r="W91" s="72" t="str">
        <f aca="false">IF($A91="","",IF(ROUND($U91,2)=0,"n/a",$V91/ABS($U91)))</f>
        <v>n/a</v>
      </c>
      <c r="X91" s="74" t="str">
        <f aca="false">IF($A91="","",IF(AND(ROUND($Q91,2)=0,ROUND($R91,2)=0),"No Activity",IF(ABS($S91)&lt;Setup!$B$14,"Low",IF(ROUND($R91,2)=0,"High",IF(OR(ABS($S91/$R91)&gt;=Setup!$B$16,ABS($S91)&gt;=Setup!$B$17),"High",IF(ABS($S91/$R91)&gt;=Setup!$B$15,"Medium","Low"))))))</f>
        <v>No Activity</v>
      </c>
      <c r="Y91" s="57"/>
      <c r="Z91" s="75" t="n">
        <f aca="false">IF($A91="",-1000000000000000,IF(ROUND(ABS($S91),0)=0,-1000000000000000,ABS($S91)+ROW()/1000000))</f>
        <v>-1000000000000000</v>
      </c>
    </row>
    <row r="92" customFormat="false" ht="15" hidden="false" customHeight="false" outlineLevel="0" collapsed="false">
      <c r="A92" s="68" t="str">
        <f aca="false">IF(Data_Engine!$A92="","",Data_Engine!$A92)</f>
        <v>Service - hires</v>
      </c>
      <c r="B92" s="42" t="str">
        <f aca="false">IF($A92="","",Data_Engine!$B92)</f>
        <v>Cost of Sales</v>
      </c>
      <c r="C92" s="42" t="str">
        <f aca="false">IF($A92="","",Data_Engine!$D92)</f>
        <v>Unallocated</v>
      </c>
      <c r="D92" s="69" t="n">
        <f aca="false">IF($A92="","",Data_Engine!$R92)</f>
        <v>0</v>
      </c>
      <c r="E92" s="69" t="n">
        <f aca="false">IF($A92="","",Data_Engine!$S92)</f>
        <v>0</v>
      </c>
      <c r="F92" s="69" t="n">
        <f aca="false">IF($A92="","",Data_Engine!$T92)</f>
        <v>0</v>
      </c>
      <c r="G92" s="69" t="n">
        <f aca="false">IF($A92="","",Data_Engine!$U92)</f>
        <v>0</v>
      </c>
      <c r="H92" s="69" t="n">
        <f aca="false">IF($A92="","",Data_Engine!$V92)</f>
        <v>0</v>
      </c>
      <c r="I92" s="69" t="n">
        <f aca="false">IF($A92="","",Data_Engine!$W92)</f>
        <v>0</v>
      </c>
      <c r="J92" s="69" t="n">
        <f aca="false">IF($A92="","",Data_Engine!$X92)</f>
        <v>0</v>
      </c>
      <c r="K92" s="69" t="n">
        <f aca="false">IF($A92="","",Data_Engine!$Y92)</f>
        <v>0</v>
      </c>
      <c r="L92" s="69" t="n">
        <f aca="false">IF($A92="","",Data_Engine!$Z92)</f>
        <v>0</v>
      </c>
      <c r="M92" s="69" t="n">
        <f aca="false">IF($A92="","",Data_Engine!$AA92)</f>
        <v>0</v>
      </c>
      <c r="N92" s="69" t="n">
        <f aca="false">IF($A92="","",Data_Engine!$AB92)</f>
        <v>0</v>
      </c>
      <c r="O92" s="69" t="n">
        <f aca="false">IF($A92="","",Data_Engine!$AC92)</f>
        <v>0</v>
      </c>
      <c r="P92" s="69" t="n">
        <f aca="false">IF($A92="","",Data_Engine!$AH92)</f>
        <v>0</v>
      </c>
      <c r="Q92" s="70" t="n">
        <f aca="false">IF($A92="","",Data_Engine!$AD92)</f>
        <v>0</v>
      </c>
      <c r="R92" s="69" t="n">
        <f aca="false">IF($A92="","",Data_Engine!$AF92)</f>
        <v>0</v>
      </c>
      <c r="S92" s="71" t="n">
        <f aca="false">IF($A92="","",$Q92-$R92)</f>
        <v>0</v>
      </c>
      <c r="T92" s="72" t="str">
        <f aca="false">IF($A92="","",IF(ROUND($R92,2)=0,"n/a",$S92/ABS($R92)))</f>
        <v>n/a</v>
      </c>
      <c r="U92" s="69" t="n">
        <f aca="false">IF($A92="","",Data_Engine!$AG92)</f>
        <v>0</v>
      </c>
      <c r="V92" s="73" t="n">
        <f aca="false">IF($A92="","",$Q92-$U92)</f>
        <v>0</v>
      </c>
      <c r="W92" s="72" t="str">
        <f aca="false">IF($A92="","",IF(ROUND($U92,2)=0,"n/a",$V92/ABS($U92)))</f>
        <v>n/a</v>
      </c>
      <c r="X92" s="74" t="str">
        <f aca="false">IF($A92="","",IF(AND(ROUND($Q92,2)=0,ROUND($R92,2)=0),"No Activity",IF(ABS($S92)&lt;Setup!$B$14,"Low",IF(ROUND($R92,2)=0,"High",IF(OR(ABS($S92/$R92)&gt;=Setup!$B$16,ABS($S92)&gt;=Setup!$B$17),"High",IF(ABS($S92/$R92)&gt;=Setup!$B$15,"Medium","Low"))))))</f>
        <v>No Activity</v>
      </c>
      <c r="Y92" s="57"/>
      <c r="Z92" s="75" t="n">
        <f aca="false">IF($A92="",-1000000000000000,IF(ROUND(ABS($S92),0)=0,-1000000000000000,ABS($S92)+ROW()/1000000))</f>
        <v>-1000000000000000</v>
      </c>
    </row>
    <row r="93" customFormat="false" ht="15" hidden="false" customHeight="false" outlineLevel="0" collapsed="false">
      <c r="A93" s="68" t="str">
        <f aca="false">IF(Data_Engine!$A93="","",Data_Engine!$A93)</f>
        <v>Stamp Duty</v>
      </c>
      <c r="B93" s="42" t="str">
        <f aca="false">IF($A93="","",Data_Engine!$B93)</f>
        <v>Cost of Sales</v>
      </c>
      <c r="C93" s="42" t="str">
        <f aca="false">IF($A93="","",Data_Engine!$D93)</f>
        <v>Unallocated</v>
      </c>
      <c r="D93" s="69" t="n">
        <f aca="false">IF($A93="","",Data_Engine!$R93)</f>
        <v>0</v>
      </c>
      <c r="E93" s="69" t="n">
        <f aca="false">IF($A93="","",Data_Engine!$S93)</f>
        <v>0</v>
      </c>
      <c r="F93" s="69" t="n">
        <f aca="false">IF($A93="","",Data_Engine!$T93)</f>
        <v>0</v>
      </c>
      <c r="G93" s="69" t="n">
        <f aca="false">IF($A93="","",Data_Engine!$U93)</f>
        <v>0</v>
      </c>
      <c r="H93" s="69" t="n">
        <f aca="false">IF($A93="","",Data_Engine!$V93)</f>
        <v>0</v>
      </c>
      <c r="I93" s="69" t="n">
        <f aca="false">IF($A93="","",Data_Engine!$W93)</f>
        <v>0</v>
      </c>
      <c r="J93" s="69" t="n">
        <f aca="false">IF($A93="","",Data_Engine!$X93)</f>
        <v>0</v>
      </c>
      <c r="K93" s="69" t="n">
        <f aca="false">IF($A93="","",Data_Engine!$Y93)</f>
        <v>0</v>
      </c>
      <c r="L93" s="69" t="n">
        <f aca="false">IF($A93="","",Data_Engine!$Z93)</f>
        <v>0</v>
      </c>
      <c r="M93" s="69" t="n">
        <f aca="false">IF($A93="","",Data_Engine!$AA93)</f>
        <v>0</v>
      </c>
      <c r="N93" s="69" t="n">
        <f aca="false">IF($A93="","",Data_Engine!$AB93)</f>
        <v>0</v>
      </c>
      <c r="O93" s="69" t="n">
        <f aca="false">IF($A93="","",Data_Engine!$AC93)</f>
        <v>0</v>
      </c>
      <c r="P93" s="69" t="n">
        <f aca="false">IF($A93="","",Data_Engine!$AH93)</f>
        <v>0</v>
      </c>
      <c r="Q93" s="70" t="n">
        <f aca="false">IF($A93="","",Data_Engine!$AD93)</f>
        <v>0</v>
      </c>
      <c r="R93" s="69" t="n">
        <f aca="false">IF($A93="","",Data_Engine!$AF93)</f>
        <v>0</v>
      </c>
      <c r="S93" s="71" t="n">
        <f aca="false">IF($A93="","",$Q93-$R93)</f>
        <v>0</v>
      </c>
      <c r="T93" s="72" t="str">
        <f aca="false">IF($A93="","",IF(ROUND($R93,2)=0,"n/a",$S93/ABS($R93)))</f>
        <v>n/a</v>
      </c>
      <c r="U93" s="69" t="n">
        <f aca="false">IF($A93="","",Data_Engine!$AG93)</f>
        <v>0</v>
      </c>
      <c r="V93" s="73" t="n">
        <f aca="false">IF($A93="","",$Q93-$U93)</f>
        <v>0</v>
      </c>
      <c r="W93" s="72" t="str">
        <f aca="false">IF($A93="","",IF(ROUND($U93,2)=0,"n/a",$V93/ABS($U93)))</f>
        <v>n/a</v>
      </c>
      <c r="X93" s="74" t="str">
        <f aca="false">IF($A93="","",IF(AND(ROUND($Q93,2)=0,ROUND($R93,2)=0),"No Activity",IF(ABS($S93)&lt;Setup!$B$14,"Low",IF(ROUND($R93,2)=0,"High",IF(OR(ABS($S93/$R93)&gt;=Setup!$B$16,ABS($S93)&gt;=Setup!$B$17),"High",IF(ABS($S93/$R93)&gt;=Setup!$B$15,"Medium","Low"))))))</f>
        <v>No Activity</v>
      </c>
      <c r="Y93" s="57"/>
      <c r="Z93" s="75" t="n">
        <f aca="false">IF($A93="",-1000000000000000,IF(ROUND(ABS($S93),0)=0,-1000000000000000,ABS($S93)+ROW()/1000000))</f>
        <v>-1000000000000000</v>
      </c>
    </row>
    <row r="94" customFormat="false" ht="15" hidden="false" customHeight="false" outlineLevel="0" collapsed="false">
      <c r="A94" s="68" t="str">
        <f aca="false">IF(Data_Engine!$A94="","",Data_Engine!$A94)</f>
        <v>Sub-Contract Labour - ADMIN</v>
      </c>
      <c r="B94" s="42" t="str">
        <f aca="false">IF($A94="","",Data_Engine!$B94)</f>
        <v>Cost of Sales</v>
      </c>
      <c r="C94" s="42" t="str">
        <f aca="false">IF($A94="","",Data_Engine!$D94)</f>
        <v>Admin</v>
      </c>
      <c r="D94" s="69" t="n">
        <f aca="false">IF($A94="","",Data_Engine!$R94)</f>
        <v>0</v>
      </c>
      <c r="E94" s="69" t="n">
        <f aca="false">IF($A94="","",Data_Engine!$S94)</f>
        <v>0</v>
      </c>
      <c r="F94" s="69" t="n">
        <f aca="false">IF($A94="","",Data_Engine!$T94)</f>
        <v>0</v>
      </c>
      <c r="G94" s="69" t="n">
        <f aca="false">IF($A94="","",Data_Engine!$U94)</f>
        <v>0</v>
      </c>
      <c r="H94" s="69" t="n">
        <f aca="false">IF($A94="","",Data_Engine!$V94)</f>
        <v>0</v>
      </c>
      <c r="I94" s="69" t="n">
        <f aca="false">IF($A94="","",Data_Engine!$W94)</f>
        <v>0</v>
      </c>
      <c r="J94" s="69" t="n">
        <f aca="false">IF($A94="","",Data_Engine!$X94)</f>
        <v>0</v>
      </c>
      <c r="K94" s="69" t="n">
        <f aca="false">IF($A94="","",Data_Engine!$Y94)</f>
        <v>0</v>
      </c>
      <c r="L94" s="69" t="n">
        <f aca="false">IF($A94="","",Data_Engine!$Z94)</f>
        <v>0</v>
      </c>
      <c r="M94" s="69" t="n">
        <f aca="false">IF($A94="","",Data_Engine!$AA94)</f>
        <v>0</v>
      </c>
      <c r="N94" s="69" t="n">
        <f aca="false">IF($A94="","",Data_Engine!$AB94)</f>
        <v>0</v>
      </c>
      <c r="O94" s="69" t="n">
        <f aca="false">IF($A94="","",Data_Engine!$AC94)</f>
        <v>0</v>
      </c>
      <c r="P94" s="69" t="n">
        <f aca="false">IF($A94="","",Data_Engine!$AH94)</f>
        <v>0</v>
      </c>
      <c r="Q94" s="70" t="n">
        <f aca="false">IF($A94="","",Data_Engine!$AD94)</f>
        <v>0</v>
      </c>
      <c r="R94" s="69" t="n">
        <f aca="false">IF($A94="","",Data_Engine!$AF94)</f>
        <v>0</v>
      </c>
      <c r="S94" s="71" t="n">
        <f aca="false">IF($A94="","",$Q94-$R94)</f>
        <v>0</v>
      </c>
      <c r="T94" s="72" t="str">
        <f aca="false">IF($A94="","",IF(ROUND($R94,2)=0,"n/a",$S94/ABS($R94)))</f>
        <v>n/a</v>
      </c>
      <c r="U94" s="69" t="n">
        <f aca="false">IF($A94="","",Data_Engine!$AG94)</f>
        <v>0</v>
      </c>
      <c r="V94" s="73" t="n">
        <f aca="false">IF($A94="","",$Q94-$U94)</f>
        <v>0</v>
      </c>
      <c r="W94" s="72" t="str">
        <f aca="false">IF($A94="","",IF(ROUND($U94,2)=0,"n/a",$V94/ABS($U94)))</f>
        <v>n/a</v>
      </c>
      <c r="X94" s="74" t="str">
        <f aca="false">IF($A94="","",IF(AND(ROUND($Q94,2)=0,ROUND($R94,2)=0),"No Activity",IF(ABS($S94)&lt;Setup!$B$14,"Low",IF(ROUND($R94,2)=0,"High",IF(OR(ABS($S94/$R94)&gt;=Setup!$B$16,ABS($S94)&gt;=Setup!$B$17),"High",IF(ABS($S94/$R94)&gt;=Setup!$B$15,"Medium","Low"))))))</f>
        <v>No Activity</v>
      </c>
      <c r="Y94" s="57"/>
      <c r="Z94" s="75" t="n">
        <f aca="false">IF($A94="",-1000000000000000,IF(ROUND(ABS($S94),0)=0,-1000000000000000,ABS($S94)+ROW()/1000000))</f>
        <v>-1000000000000000</v>
      </c>
    </row>
    <row r="95" customFormat="false" ht="15" hidden="false" customHeight="false" outlineLevel="0" collapsed="false">
      <c r="A95" s="68" t="str">
        <f aca="false">IF(Data_Engine!$A95="","",Data_Engine!$A95)</f>
        <v>Sub-Contract Labour - CONS</v>
      </c>
      <c r="B95" s="42" t="str">
        <f aca="false">IF($A95="","",Data_Engine!$B95)</f>
        <v>Cost of Sales</v>
      </c>
      <c r="C95" s="42" t="str">
        <f aca="false">IF($A95="","",Data_Engine!$D95)</f>
        <v>Consulting</v>
      </c>
      <c r="D95" s="69" t="n">
        <f aca="false">IF($A95="","",Data_Engine!$R95)</f>
        <v>0</v>
      </c>
      <c r="E95" s="69" t="n">
        <f aca="false">IF($A95="","",Data_Engine!$S95)</f>
        <v>0</v>
      </c>
      <c r="F95" s="69" t="n">
        <f aca="false">IF($A95="","",Data_Engine!$T95)</f>
        <v>0</v>
      </c>
      <c r="G95" s="69" t="n">
        <f aca="false">IF($A95="","",Data_Engine!$U95)</f>
        <v>0</v>
      </c>
      <c r="H95" s="69" t="n">
        <f aca="false">IF($A95="","",Data_Engine!$V95)</f>
        <v>0</v>
      </c>
      <c r="I95" s="69" t="n">
        <f aca="false">IF($A95="","",Data_Engine!$W95)</f>
        <v>0</v>
      </c>
      <c r="J95" s="69" t="n">
        <f aca="false">IF($A95="","",Data_Engine!$X95)</f>
        <v>0</v>
      </c>
      <c r="K95" s="69" t="n">
        <f aca="false">IF($A95="","",Data_Engine!$Y95)</f>
        <v>0</v>
      </c>
      <c r="L95" s="69" t="n">
        <f aca="false">IF($A95="","",Data_Engine!$Z95)</f>
        <v>0</v>
      </c>
      <c r="M95" s="69" t="n">
        <f aca="false">IF($A95="","",Data_Engine!$AA95)</f>
        <v>0</v>
      </c>
      <c r="N95" s="69" t="n">
        <f aca="false">IF($A95="","",Data_Engine!$AB95)</f>
        <v>0</v>
      </c>
      <c r="O95" s="69" t="n">
        <f aca="false">IF($A95="","",Data_Engine!$AC95)</f>
        <v>0</v>
      </c>
      <c r="P95" s="69" t="n">
        <f aca="false">IF($A95="","",Data_Engine!$AH95)</f>
        <v>0</v>
      </c>
      <c r="Q95" s="70" t="n">
        <f aca="false">IF($A95="","",Data_Engine!$AD95)</f>
        <v>0</v>
      </c>
      <c r="R95" s="69" t="n">
        <f aca="false">IF($A95="","",Data_Engine!$AF95)</f>
        <v>0</v>
      </c>
      <c r="S95" s="71" t="n">
        <f aca="false">IF($A95="","",$Q95-$R95)</f>
        <v>0</v>
      </c>
      <c r="T95" s="72" t="str">
        <f aca="false">IF($A95="","",IF(ROUND($R95,2)=0,"n/a",$S95/ABS($R95)))</f>
        <v>n/a</v>
      </c>
      <c r="U95" s="69" t="n">
        <f aca="false">IF($A95="","",Data_Engine!$AG95)</f>
        <v>0</v>
      </c>
      <c r="V95" s="73" t="n">
        <f aca="false">IF($A95="","",$Q95-$U95)</f>
        <v>0</v>
      </c>
      <c r="W95" s="72" t="str">
        <f aca="false">IF($A95="","",IF(ROUND($U95,2)=0,"n/a",$V95/ABS($U95)))</f>
        <v>n/a</v>
      </c>
      <c r="X95" s="74" t="str">
        <f aca="false">IF($A95="","",IF(AND(ROUND($Q95,2)=0,ROUND($R95,2)=0),"No Activity",IF(ABS($S95)&lt;Setup!$B$14,"Low",IF(ROUND($R95,2)=0,"High",IF(OR(ABS($S95/$R95)&gt;=Setup!$B$16,ABS($S95)&gt;=Setup!$B$17),"High",IF(ABS($S95/$R95)&gt;=Setup!$B$15,"Medium","Low"))))))</f>
        <v>No Activity</v>
      </c>
      <c r="Y95" s="57"/>
      <c r="Z95" s="75" t="n">
        <f aca="false">IF($A95="",-1000000000000000,IF(ROUND(ABS($S95),0)=0,-1000000000000000,ABS($S95)+ROW()/1000000))</f>
        <v>-1000000000000000</v>
      </c>
    </row>
    <row r="96" customFormat="false" ht="15" hidden="false" customHeight="false" outlineLevel="0" collapsed="false">
      <c r="A96" s="68" t="str">
        <f aca="false">IF(Data_Engine!$A96="","",Data_Engine!$A96)</f>
        <v>Sub-Contract Labour - INTEGRATION</v>
      </c>
      <c r="B96" s="42" t="str">
        <f aca="false">IF($A96="","",Data_Engine!$B96)</f>
        <v>Cost of Sales</v>
      </c>
      <c r="C96" s="42" t="str">
        <f aca="false">IF($A96="","",Data_Engine!$D96)</f>
        <v>Integration</v>
      </c>
      <c r="D96" s="69" t="n">
        <f aca="false">IF($A96="","",Data_Engine!$R96)</f>
        <v>0</v>
      </c>
      <c r="E96" s="69" t="n">
        <f aca="false">IF($A96="","",Data_Engine!$S96)</f>
        <v>0</v>
      </c>
      <c r="F96" s="69" t="n">
        <f aca="false">IF($A96="","",Data_Engine!$T96)</f>
        <v>0</v>
      </c>
      <c r="G96" s="69" t="n">
        <f aca="false">IF($A96="","",Data_Engine!$U96)</f>
        <v>0</v>
      </c>
      <c r="H96" s="69" t="n">
        <f aca="false">IF($A96="","",Data_Engine!$V96)</f>
        <v>0</v>
      </c>
      <c r="I96" s="69" t="n">
        <f aca="false">IF($A96="","",Data_Engine!$W96)</f>
        <v>0</v>
      </c>
      <c r="J96" s="69" t="n">
        <f aca="false">IF($A96="","",Data_Engine!$X96)</f>
        <v>0</v>
      </c>
      <c r="K96" s="69" t="n">
        <f aca="false">IF($A96="","",Data_Engine!$Y96)</f>
        <v>0</v>
      </c>
      <c r="L96" s="69" t="n">
        <f aca="false">IF($A96="","",Data_Engine!$Z96)</f>
        <v>0</v>
      </c>
      <c r="M96" s="69" t="n">
        <f aca="false">IF($A96="","",Data_Engine!$AA96)</f>
        <v>0</v>
      </c>
      <c r="N96" s="69" t="n">
        <f aca="false">IF($A96="","",Data_Engine!$AB96)</f>
        <v>0</v>
      </c>
      <c r="O96" s="69" t="n">
        <f aca="false">IF($A96="","",Data_Engine!$AC96)</f>
        <v>0</v>
      </c>
      <c r="P96" s="69" t="n">
        <f aca="false">IF($A96="","",Data_Engine!$AH96)</f>
        <v>0</v>
      </c>
      <c r="Q96" s="70" t="n">
        <f aca="false">IF($A96="","",Data_Engine!$AD96)</f>
        <v>0</v>
      </c>
      <c r="R96" s="69" t="n">
        <f aca="false">IF($A96="","",Data_Engine!$AF96)</f>
        <v>0</v>
      </c>
      <c r="S96" s="71" t="n">
        <f aca="false">IF($A96="","",$Q96-$R96)</f>
        <v>0</v>
      </c>
      <c r="T96" s="72" t="str">
        <f aca="false">IF($A96="","",IF(ROUND($R96,2)=0,"n/a",$S96/ABS($R96)))</f>
        <v>n/a</v>
      </c>
      <c r="U96" s="69" t="n">
        <f aca="false">IF($A96="","",Data_Engine!$AG96)</f>
        <v>0</v>
      </c>
      <c r="V96" s="73" t="n">
        <f aca="false">IF($A96="","",$Q96-$U96)</f>
        <v>0</v>
      </c>
      <c r="W96" s="72" t="str">
        <f aca="false">IF($A96="","",IF(ROUND($U96,2)=0,"n/a",$V96/ABS($U96)))</f>
        <v>n/a</v>
      </c>
      <c r="X96" s="74" t="str">
        <f aca="false">IF($A96="","",IF(AND(ROUND($Q96,2)=0,ROUND($R96,2)=0),"No Activity",IF(ABS($S96)&lt;Setup!$B$14,"Low",IF(ROUND($R96,2)=0,"High",IF(OR(ABS($S96/$R96)&gt;=Setup!$B$16,ABS($S96)&gt;=Setup!$B$17),"High",IF(ABS($S96/$R96)&gt;=Setup!$B$15,"Medium","Low"))))))</f>
        <v>No Activity</v>
      </c>
      <c r="Y96" s="57"/>
      <c r="Z96" s="75" t="n">
        <f aca="false">IF($A96="",-1000000000000000,IF(ROUND(ABS($S96),0)=0,-1000000000000000,ABS($S96)+ROW()/1000000))</f>
        <v>-1000000000000000</v>
      </c>
    </row>
    <row r="97" customFormat="false" ht="15" hidden="false" customHeight="false" outlineLevel="0" collapsed="false">
      <c r="A97" s="68" t="str">
        <f aca="false">IF(Data_Engine!$A97="","",Data_Engine!$A97)</f>
        <v>Sub-Contract Labour - ONS</v>
      </c>
      <c r="B97" s="42" t="str">
        <f aca="false">IF($A97="","",Data_Engine!$B97)</f>
        <v>Cost of Sales</v>
      </c>
      <c r="C97" s="42" t="str">
        <f aca="false">IF($A97="","",Data_Engine!$D97)</f>
        <v>Onsite</v>
      </c>
      <c r="D97" s="69" t="n">
        <f aca="false">IF($A97="","",Data_Engine!$R97)</f>
        <v>0</v>
      </c>
      <c r="E97" s="69" t="n">
        <f aca="false">IF($A97="","",Data_Engine!$S97)</f>
        <v>0</v>
      </c>
      <c r="F97" s="69" t="n">
        <f aca="false">IF($A97="","",Data_Engine!$T97)</f>
        <v>0</v>
      </c>
      <c r="G97" s="69" t="n">
        <f aca="false">IF($A97="","",Data_Engine!$U97)</f>
        <v>0</v>
      </c>
      <c r="H97" s="69" t="n">
        <f aca="false">IF($A97="","",Data_Engine!$V97)</f>
        <v>0</v>
      </c>
      <c r="I97" s="69" t="n">
        <f aca="false">IF($A97="","",Data_Engine!$W97)</f>
        <v>0</v>
      </c>
      <c r="J97" s="69" t="n">
        <f aca="false">IF($A97="","",Data_Engine!$X97)</f>
        <v>0</v>
      </c>
      <c r="K97" s="69" t="n">
        <f aca="false">IF($A97="","",Data_Engine!$Y97)</f>
        <v>0</v>
      </c>
      <c r="L97" s="69" t="n">
        <f aca="false">IF($A97="","",Data_Engine!$Z97)</f>
        <v>0</v>
      </c>
      <c r="M97" s="69" t="n">
        <f aca="false">IF($A97="","",Data_Engine!$AA97)</f>
        <v>0</v>
      </c>
      <c r="N97" s="69" t="n">
        <f aca="false">IF($A97="","",Data_Engine!$AB97)</f>
        <v>0</v>
      </c>
      <c r="O97" s="69" t="n">
        <f aca="false">IF($A97="","",Data_Engine!$AC97)</f>
        <v>0</v>
      </c>
      <c r="P97" s="69" t="n">
        <f aca="false">IF($A97="","",Data_Engine!$AH97)</f>
        <v>0</v>
      </c>
      <c r="Q97" s="70" t="n">
        <f aca="false">IF($A97="","",Data_Engine!$AD97)</f>
        <v>0</v>
      </c>
      <c r="R97" s="69" t="n">
        <f aca="false">IF($A97="","",Data_Engine!$AF97)</f>
        <v>0</v>
      </c>
      <c r="S97" s="71" t="n">
        <f aca="false">IF($A97="","",$Q97-$R97)</f>
        <v>0</v>
      </c>
      <c r="T97" s="72" t="str">
        <f aca="false">IF($A97="","",IF(ROUND($R97,2)=0,"n/a",$S97/ABS($R97)))</f>
        <v>n/a</v>
      </c>
      <c r="U97" s="69" t="n">
        <f aca="false">IF($A97="","",Data_Engine!$AG97)</f>
        <v>0</v>
      </c>
      <c r="V97" s="73" t="n">
        <f aca="false">IF($A97="","",$Q97-$U97)</f>
        <v>0</v>
      </c>
      <c r="W97" s="72" t="str">
        <f aca="false">IF($A97="","",IF(ROUND($U97,2)=0,"n/a",$V97/ABS($U97)))</f>
        <v>n/a</v>
      </c>
      <c r="X97" s="74" t="str">
        <f aca="false">IF($A97="","",IF(AND(ROUND($Q97,2)=0,ROUND($R97,2)=0),"No Activity",IF(ABS($S97)&lt;Setup!$B$14,"Low",IF(ROUND($R97,2)=0,"High",IF(OR(ABS($S97/$R97)&gt;=Setup!$B$16,ABS($S97)&gt;=Setup!$B$17),"High",IF(ABS($S97/$R97)&gt;=Setup!$B$15,"Medium","Low"))))))</f>
        <v>No Activity</v>
      </c>
      <c r="Y97" s="57"/>
      <c r="Z97" s="75" t="n">
        <f aca="false">IF($A97="",-1000000000000000,IF(ROUND(ABS($S97),0)=0,-1000000000000000,ABS($S97)+ROW()/1000000))</f>
        <v>-1000000000000000</v>
      </c>
    </row>
    <row r="98" customFormat="false" ht="15" hidden="false" customHeight="false" outlineLevel="0" collapsed="false">
      <c r="A98" s="68" t="str">
        <f aca="false">IF(Data_Engine!$A98="","",Data_Engine!$A98)</f>
        <v>Sub-Contract Labour - PRD</v>
      </c>
      <c r="B98" s="42" t="str">
        <f aca="false">IF($A98="","",Data_Engine!$B98)</f>
        <v>Cost of Sales</v>
      </c>
      <c r="C98" s="42" t="str">
        <f aca="false">IF($A98="","",Data_Engine!$D98)</f>
        <v>Production</v>
      </c>
      <c r="D98" s="69" t="n">
        <f aca="false">IF($A98="","",Data_Engine!$R98)</f>
        <v>0</v>
      </c>
      <c r="E98" s="69" t="n">
        <f aca="false">IF($A98="","",Data_Engine!$S98)</f>
        <v>0</v>
      </c>
      <c r="F98" s="69" t="n">
        <f aca="false">IF($A98="","",Data_Engine!$T98)</f>
        <v>0</v>
      </c>
      <c r="G98" s="69" t="n">
        <f aca="false">IF($A98="","",Data_Engine!$U98)</f>
        <v>0</v>
      </c>
      <c r="H98" s="69" t="n">
        <f aca="false">IF($A98="","",Data_Engine!$V98)</f>
        <v>0</v>
      </c>
      <c r="I98" s="69" t="n">
        <f aca="false">IF($A98="","",Data_Engine!$W98)</f>
        <v>0</v>
      </c>
      <c r="J98" s="69" t="n">
        <f aca="false">IF($A98="","",Data_Engine!$X98)</f>
        <v>0</v>
      </c>
      <c r="K98" s="69" t="n">
        <f aca="false">IF($A98="","",Data_Engine!$Y98)</f>
        <v>0</v>
      </c>
      <c r="L98" s="69" t="n">
        <f aca="false">IF($A98="","",Data_Engine!$Z98)</f>
        <v>0</v>
      </c>
      <c r="M98" s="69" t="n">
        <f aca="false">IF($A98="","",Data_Engine!$AA98)</f>
        <v>0</v>
      </c>
      <c r="N98" s="69" t="n">
        <f aca="false">IF($A98="","",Data_Engine!$AB98)</f>
        <v>0</v>
      </c>
      <c r="O98" s="69" t="n">
        <f aca="false">IF($A98="","",Data_Engine!$AC98)</f>
        <v>0</v>
      </c>
      <c r="P98" s="69" t="n">
        <f aca="false">IF($A98="","",Data_Engine!$AH98)</f>
        <v>0</v>
      </c>
      <c r="Q98" s="70" t="n">
        <f aca="false">IF($A98="","",Data_Engine!$AD98)</f>
        <v>0</v>
      </c>
      <c r="R98" s="69" t="n">
        <f aca="false">IF($A98="","",Data_Engine!$AF98)</f>
        <v>0</v>
      </c>
      <c r="S98" s="71" t="n">
        <f aca="false">IF($A98="","",$Q98-$R98)</f>
        <v>0</v>
      </c>
      <c r="T98" s="72" t="str">
        <f aca="false">IF($A98="","",IF(ROUND($R98,2)=0,"n/a",$S98/ABS($R98)))</f>
        <v>n/a</v>
      </c>
      <c r="U98" s="69" t="n">
        <f aca="false">IF($A98="","",Data_Engine!$AG98)</f>
        <v>0</v>
      </c>
      <c r="V98" s="73" t="n">
        <f aca="false">IF($A98="","",$Q98-$U98)</f>
        <v>0</v>
      </c>
      <c r="W98" s="72" t="str">
        <f aca="false">IF($A98="","",IF(ROUND($U98,2)=0,"n/a",$V98/ABS($U98)))</f>
        <v>n/a</v>
      </c>
      <c r="X98" s="74" t="str">
        <f aca="false">IF($A98="","",IF(AND(ROUND($Q98,2)=0,ROUND($R98,2)=0),"No Activity",IF(ABS($S98)&lt;Setup!$B$14,"Low",IF(ROUND($R98,2)=0,"High",IF(OR(ABS($S98/$R98)&gt;=Setup!$B$16,ABS($S98)&gt;=Setup!$B$17),"High",IF(ABS($S98/$R98)&gt;=Setup!$B$15,"Medium","Low"))))))</f>
        <v>No Activity</v>
      </c>
      <c r="Y98" s="57"/>
      <c r="Z98" s="75" t="n">
        <f aca="false">IF($A98="",-1000000000000000,IF(ROUND(ABS($S98),0)=0,-1000000000000000,ABS($S98)+ROW()/1000000))</f>
        <v>-1000000000000000</v>
      </c>
    </row>
    <row r="99" customFormat="false" ht="15" hidden="false" customHeight="false" outlineLevel="0" collapsed="false">
      <c r="A99" s="68" t="str">
        <f aca="false">IF(Data_Engine!$A99="","",Data_Engine!$A99)</f>
        <v>Sub-Contract Labour - VID</v>
      </c>
      <c r="B99" s="42" t="str">
        <f aca="false">IF($A99="","",Data_Engine!$B99)</f>
        <v>Cost of Sales</v>
      </c>
      <c r="C99" s="42" t="str">
        <f aca="false">IF($A99="","",Data_Engine!$D99)</f>
        <v>Video</v>
      </c>
      <c r="D99" s="69" t="n">
        <f aca="false">IF($A99="","",Data_Engine!$R99)</f>
        <v>0</v>
      </c>
      <c r="E99" s="69" t="n">
        <f aca="false">IF($A99="","",Data_Engine!$S99)</f>
        <v>0</v>
      </c>
      <c r="F99" s="69" t="n">
        <f aca="false">IF($A99="","",Data_Engine!$T99)</f>
        <v>0</v>
      </c>
      <c r="G99" s="69" t="n">
        <f aca="false">IF($A99="","",Data_Engine!$U99)</f>
        <v>0</v>
      </c>
      <c r="H99" s="69" t="n">
        <f aca="false">IF($A99="","",Data_Engine!$V99)</f>
        <v>0</v>
      </c>
      <c r="I99" s="69" t="n">
        <f aca="false">IF($A99="","",Data_Engine!$W99)</f>
        <v>0</v>
      </c>
      <c r="J99" s="69" t="n">
        <f aca="false">IF($A99="","",Data_Engine!$X99)</f>
        <v>0</v>
      </c>
      <c r="K99" s="69" t="n">
        <f aca="false">IF($A99="","",Data_Engine!$Y99)</f>
        <v>0</v>
      </c>
      <c r="L99" s="69" t="n">
        <f aca="false">IF($A99="","",Data_Engine!$Z99)</f>
        <v>0</v>
      </c>
      <c r="M99" s="69" t="n">
        <f aca="false">IF($A99="","",Data_Engine!$AA99)</f>
        <v>0</v>
      </c>
      <c r="N99" s="69" t="n">
        <f aca="false">IF($A99="","",Data_Engine!$AB99)</f>
        <v>0</v>
      </c>
      <c r="O99" s="69" t="n">
        <f aca="false">IF($A99="","",Data_Engine!$AC99)</f>
        <v>0</v>
      </c>
      <c r="P99" s="69" t="n">
        <f aca="false">IF($A99="","",Data_Engine!$AH99)</f>
        <v>0</v>
      </c>
      <c r="Q99" s="70" t="n">
        <f aca="false">IF($A99="","",Data_Engine!$AD99)</f>
        <v>0</v>
      </c>
      <c r="R99" s="69" t="n">
        <f aca="false">IF($A99="","",Data_Engine!$AF99)</f>
        <v>0</v>
      </c>
      <c r="S99" s="71" t="n">
        <f aca="false">IF($A99="","",$Q99-$R99)</f>
        <v>0</v>
      </c>
      <c r="T99" s="72" t="str">
        <f aca="false">IF($A99="","",IF(ROUND($R99,2)=0,"n/a",$S99/ABS($R99)))</f>
        <v>n/a</v>
      </c>
      <c r="U99" s="69" t="n">
        <f aca="false">IF($A99="","",Data_Engine!$AG99)</f>
        <v>0</v>
      </c>
      <c r="V99" s="73" t="n">
        <f aca="false">IF($A99="","",$Q99-$U99)</f>
        <v>0</v>
      </c>
      <c r="W99" s="72" t="str">
        <f aca="false">IF($A99="","",IF(ROUND($U99,2)=0,"n/a",$V99/ABS($U99)))</f>
        <v>n/a</v>
      </c>
      <c r="X99" s="74" t="str">
        <f aca="false">IF($A99="","",IF(AND(ROUND($Q99,2)=0,ROUND($R99,2)=0),"No Activity",IF(ABS($S99)&lt;Setup!$B$14,"Low",IF(ROUND($R99,2)=0,"High",IF(OR(ABS($S99/$R99)&gt;=Setup!$B$16,ABS($S99)&gt;=Setup!$B$17),"High",IF(ABS($S99/$R99)&gt;=Setup!$B$15,"Medium","Low"))))))</f>
        <v>No Activity</v>
      </c>
      <c r="Y99" s="57"/>
      <c r="Z99" s="75" t="n">
        <f aca="false">IF($A99="",-1000000000000000,IF(ROUND(ABS($S99),0)=0,-1000000000000000,ABS($S99)+ROW()/1000000))</f>
        <v>-1000000000000000</v>
      </c>
    </row>
    <row r="100" customFormat="false" ht="15" hidden="false" customHeight="false" outlineLevel="0" collapsed="false">
      <c r="A100" s="68" t="str">
        <f aca="false">IF(Data_Engine!$A100="","",Data_Engine!$A100)</f>
        <v>Subscriptions &amp; Licences - Expense</v>
      </c>
      <c r="B100" s="42" t="str">
        <f aca="false">IF($A100="","",Data_Engine!$B100)</f>
        <v>Cost of Sales</v>
      </c>
      <c r="C100" s="42" t="str">
        <f aca="false">IF($A100="","",Data_Engine!$D100)</f>
        <v>Unallocated</v>
      </c>
      <c r="D100" s="69" t="n">
        <f aca="false">IF($A100="","",Data_Engine!$R100)</f>
        <v>0</v>
      </c>
      <c r="E100" s="69" t="n">
        <f aca="false">IF($A100="","",Data_Engine!$S100)</f>
        <v>0</v>
      </c>
      <c r="F100" s="69" t="n">
        <f aca="false">IF($A100="","",Data_Engine!$T100)</f>
        <v>0</v>
      </c>
      <c r="G100" s="69" t="n">
        <f aca="false">IF($A100="","",Data_Engine!$U100)</f>
        <v>0</v>
      </c>
      <c r="H100" s="69" t="n">
        <f aca="false">IF($A100="","",Data_Engine!$V100)</f>
        <v>0</v>
      </c>
      <c r="I100" s="69" t="n">
        <f aca="false">IF($A100="","",Data_Engine!$W100)</f>
        <v>0</v>
      </c>
      <c r="J100" s="69" t="n">
        <f aca="false">IF($A100="","",Data_Engine!$X100)</f>
        <v>0</v>
      </c>
      <c r="K100" s="69" t="n">
        <f aca="false">IF($A100="","",Data_Engine!$Y100)</f>
        <v>0</v>
      </c>
      <c r="L100" s="69" t="n">
        <f aca="false">IF($A100="","",Data_Engine!$Z100)</f>
        <v>0</v>
      </c>
      <c r="M100" s="69" t="n">
        <f aca="false">IF($A100="","",Data_Engine!$AA100)</f>
        <v>0</v>
      </c>
      <c r="N100" s="69" t="n">
        <f aca="false">IF($A100="","",Data_Engine!$AB100)</f>
        <v>0</v>
      </c>
      <c r="O100" s="69" t="n">
        <f aca="false">IF($A100="","",Data_Engine!$AC100)</f>
        <v>0</v>
      </c>
      <c r="P100" s="69" t="n">
        <f aca="false">IF($A100="","",Data_Engine!$AH100)</f>
        <v>0</v>
      </c>
      <c r="Q100" s="70" t="n">
        <f aca="false">IF($A100="","",Data_Engine!$AD100)</f>
        <v>0</v>
      </c>
      <c r="R100" s="69" t="n">
        <f aca="false">IF($A100="","",Data_Engine!$AF100)</f>
        <v>0</v>
      </c>
      <c r="S100" s="71" t="n">
        <f aca="false">IF($A100="","",$Q100-$R100)</f>
        <v>0</v>
      </c>
      <c r="T100" s="72" t="str">
        <f aca="false">IF($A100="","",IF(ROUND($R100,2)=0,"n/a",$S100/ABS($R100)))</f>
        <v>n/a</v>
      </c>
      <c r="U100" s="69" t="n">
        <f aca="false">IF($A100="","",Data_Engine!$AG100)</f>
        <v>0</v>
      </c>
      <c r="V100" s="73" t="n">
        <f aca="false">IF($A100="","",$Q100-$U100)</f>
        <v>0</v>
      </c>
      <c r="W100" s="72" t="str">
        <f aca="false">IF($A100="","",IF(ROUND($U100,2)=0,"n/a",$V100/ABS($U100)))</f>
        <v>n/a</v>
      </c>
      <c r="X100" s="74" t="str">
        <f aca="false">IF($A100="","",IF(AND(ROUND($Q100,2)=0,ROUND($R100,2)=0),"No Activity",IF(ABS($S100)&lt;Setup!$B$14,"Low",IF(ROUND($R100,2)=0,"High",IF(OR(ABS($S100/$R100)&gt;=Setup!$B$16,ABS($S100)&gt;=Setup!$B$17),"High",IF(ABS($S100/$R100)&gt;=Setup!$B$15,"Medium","Low"))))))</f>
        <v>No Activity</v>
      </c>
      <c r="Y100" s="57"/>
      <c r="Z100" s="75" t="n">
        <f aca="false">IF($A100="",-1000000000000000,IF(ROUND(ABS($S100),0)=0,-1000000000000000,ABS($S100)+ROW()/1000000))</f>
        <v>-1000000000000000</v>
      </c>
    </row>
    <row r="101" customFormat="false" ht="15" hidden="false" customHeight="false" outlineLevel="0" collapsed="false">
      <c r="A101" s="68" t="str">
        <f aca="false">IF(Data_Engine!$A101="","",Data_Engine!$A101)</f>
        <v>Supplier Per Diems - ADMIN</v>
      </c>
      <c r="B101" s="42" t="str">
        <f aca="false">IF($A101="","",Data_Engine!$B101)</f>
        <v>Cost of Sales</v>
      </c>
      <c r="C101" s="42" t="str">
        <f aca="false">IF($A101="","",Data_Engine!$D101)</f>
        <v>Admin</v>
      </c>
      <c r="D101" s="69" t="n">
        <f aca="false">IF($A101="","",Data_Engine!$R101)</f>
        <v>0</v>
      </c>
      <c r="E101" s="69" t="n">
        <f aca="false">IF($A101="","",Data_Engine!$S101)</f>
        <v>0</v>
      </c>
      <c r="F101" s="69" t="n">
        <f aca="false">IF($A101="","",Data_Engine!$T101)</f>
        <v>0</v>
      </c>
      <c r="G101" s="69" t="n">
        <f aca="false">IF($A101="","",Data_Engine!$U101)</f>
        <v>0</v>
      </c>
      <c r="H101" s="69" t="n">
        <f aca="false">IF($A101="","",Data_Engine!$V101)</f>
        <v>0</v>
      </c>
      <c r="I101" s="69" t="n">
        <f aca="false">IF($A101="","",Data_Engine!$W101)</f>
        <v>0</v>
      </c>
      <c r="J101" s="69" t="n">
        <f aca="false">IF($A101="","",Data_Engine!$X101)</f>
        <v>0</v>
      </c>
      <c r="K101" s="69" t="n">
        <f aca="false">IF($A101="","",Data_Engine!$Y101)</f>
        <v>0</v>
      </c>
      <c r="L101" s="69" t="n">
        <f aca="false">IF($A101="","",Data_Engine!$Z101)</f>
        <v>0</v>
      </c>
      <c r="M101" s="69" t="n">
        <f aca="false">IF($A101="","",Data_Engine!$AA101)</f>
        <v>0</v>
      </c>
      <c r="N101" s="69" t="n">
        <f aca="false">IF($A101="","",Data_Engine!$AB101)</f>
        <v>0</v>
      </c>
      <c r="O101" s="69" t="n">
        <f aca="false">IF($A101="","",Data_Engine!$AC101)</f>
        <v>0</v>
      </c>
      <c r="P101" s="69" t="n">
        <f aca="false">IF($A101="","",Data_Engine!$AH101)</f>
        <v>0</v>
      </c>
      <c r="Q101" s="70" t="n">
        <f aca="false">IF($A101="","",Data_Engine!$AD101)</f>
        <v>0</v>
      </c>
      <c r="R101" s="69" t="n">
        <f aca="false">IF($A101="","",Data_Engine!$AF101)</f>
        <v>0</v>
      </c>
      <c r="S101" s="71" t="n">
        <f aca="false">IF($A101="","",$Q101-$R101)</f>
        <v>0</v>
      </c>
      <c r="T101" s="72" t="str">
        <f aca="false">IF($A101="","",IF(ROUND($R101,2)=0,"n/a",$S101/ABS($R101)))</f>
        <v>n/a</v>
      </c>
      <c r="U101" s="69" t="n">
        <f aca="false">IF($A101="","",Data_Engine!$AG101)</f>
        <v>0</v>
      </c>
      <c r="V101" s="73" t="n">
        <f aca="false">IF($A101="","",$Q101-$U101)</f>
        <v>0</v>
      </c>
      <c r="W101" s="72" t="str">
        <f aca="false">IF($A101="","",IF(ROUND($U101,2)=0,"n/a",$V101/ABS($U101)))</f>
        <v>n/a</v>
      </c>
      <c r="X101" s="74" t="str">
        <f aca="false">IF($A101="","",IF(AND(ROUND($Q101,2)=0,ROUND($R101,2)=0),"No Activity",IF(ABS($S101)&lt;Setup!$B$14,"Low",IF(ROUND($R101,2)=0,"High",IF(OR(ABS($S101/$R101)&gt;=Setup!$B$16,ABS($S101)&gt;=Setup!$B$17),"High",IF(ABS($S101/$R101)&gt;=Setup!$B$15,"Medium","Low"))))))</f>
        <v>No Activity</v>
      </c>
      <c r="Y101" s="57"/>
      <c r="Z101" s="75" t="n">
        <f aca="false">IF($A101="",-1000000000000000,IF(ROUND(ABS($S101),0)=0,-1000000000000000,ABS($S101)+ROW()/1000000))</f>
        <v>-1000000000000000</v>
      </c>
    </row>
    <row r="102" customFormat="false" ht="15" hidden="false" customHeight="false" outlineLevel="0" collapsed="false">
      <c r="A102" s="68" t="str">
        <f aca="false">IF(Data_Engine!$A102="","",Data_Engine!$A102)</f>
        <v>Supplier Per Diems - CONS</v>
      </c>
      <c r="B102" s="42" t="str">
        <f aca="false">IF($A102="","",Data_Engine!$B102)</f>
        <v>Cost of Sales</v>
      </c>
      <c r="C102" s="42" t="str">
        <f aca="false">IF($A102="","",Data_Engine!$D102)</f>
        <v>Consulting</v>
      </c>
      <c r="D102" s="69" t="n">
        <f aca="false">IF($A102="","",Data_Engine!$R102)</f>
        <v>0</v>
      </c>
      <c r="E102" s="69" t="n">
        <f aca="false">IF($A102="","",Data_Engine!$S102)</f>
        <v>0</v>
      </c>
      <c r="F102" s="69" t="n">
        <f aca="false">IF($A102="","",Data_Engine!$T102)</f>
        <v>0</v>
      </c>
      <c r="G102" s="69" t="n">
        <f aca="false">IF($A102="","",Data_Engine!$U102)</f>
        <v>0</v>
      </c>
      <c r="H102" s="69" t="n">
        <f aca="false">IF($A102="","",Data_Engine!$V102)</f>
        <v>0</v>
      </c>
      <c r="I102" s="69" t="n">
        <f aca="false">IF($A102="","",Data_Engine!$W102)</f>
        <v>0</v>
      </c>
      <c r="J102" s="69" t="n">
        <f aca="false">IF($A102="","",Data_Engine!$X102)</f>
        <v>0</v>
      </c>
      <c r="K102" s="69" t="n">
        <f aca="false">IF($A102="","",Data_Engine!$Y102)</f>
        <v>0</v>
      </c>
      <c r="L102" s="69" t="n">
        <f aca="false">IF($A102="","",Data_Engine!$Z102)</f>
        <v>0</v>
      </c>
      <c r="M102" s="69" t="n">
        <f aca="false">IF($A102="","",Data_Engine!$AA102)</f>
        <v>0</v>
      </c>
      <c r="N102" s="69" t="n">
        <f aca="false">IF($A102="","",Data_Engine!$AB102)</f>
        <v>0</v>
      </c>
      <c r="O102" s="69" t="n">
        <f aca="false">IF($A102="","",Data_Engine!$AC102)</f>
        <v>0</v>
      </c>
      <c r="P102" s="69" t="n">
        <f aca="false">IF($A102="","",Data_Engine!$AH102)</f>
        <v>0</v>
      </c>
      <c r="Q102" s="70" t="n">
        <f aca="false">IF($A102="","",Data_Engine!$AD102)</f>
        <v>0</v>
      </c>
      <c r="R102" s="69" t="n">
        <f aca="false">IF($A102="","",Data_Engine!$AF102)</f>
        <v>0</v>
      </c>
      <c r="S102" s="71" t="n">
        <f aca="false">IF($A102="","",$Q102-$R102)</f>
        <v>0</v>
      </c>
      <c r="T102" s="72" t="str">
        <f aca="false">IF($A102="","",IF(ROUND($R102,2)=0,"n/a",$S102/ABS($R102)))</f>
        <v>n/a</v>
      </c>
      <c r="U102" s="69" t="n">
        <f aca="false">IF($A102="","",Data_Engine!$AG102)</f>
        <v>0</v>
      </c>
      <c r="V102" s="73" t="n">
        <f aca="false">IF($A102="","",$Q102-$U102)</f>
        <v>0</v>
      </c>
      <c r="W102" s="72" t="str">
        <f aca="false">IF($A102="","",IF(ROUND($U102,2)=0,"n/a",$V102/ABS($U102)))</f>
        <v>n/a</v>
      </c>
      <c r="X102" s="74" t="str">
        <f aca="false">IF($A102="","",IF(AND(ROUND($Q102,2)=0,ROUND($R102,2)=0),"No Activity",IF(ABS($S102)&lt;Setup!$B$14,"Low",IF(ROUND($R102,2)=0,"High",IF(OR(ABS($S102/$R102)&gt;=Setup!$B$16,ABS($S102)&gt;=Setup!$B$17),"High",IF(ABS($S102/$R102)&gt;=Setup!$B$15,"Medium","Low"))))))</f>
        <v>No Activity</v>
      </c>
      <c r="Y102" s="57"/>
      <c r="Z102" s="75" t="n">
        <f aca="false">IF($A102="",-1000000000000000,IF(ROUND(ABS($S102),0)=0,-1000000000000000,ABS($S102)+ROW()/1000000))</f>
        <v>-1000000000000000</v>
      </c>
    </row>
    <row r="103" customFormat="false" ht="15" hidden="false" customHeight="false" outlineLevel="0" collapsed="false">
      <c r="A103" s="68" t="str">
        <f aca="false">IF(Data_Engine!$A103="","",Data_Engine!$A103)</f>
        <v>Supplier Per Diems - INTEGRATION</v>
      </c>
      <c r="B103" s="42" t="str">
        <f aca="false">IF($A103="","",Data_Engine!$B103)</f>
        <v>Cost of Sales</v>
      </c>
      <c r="C103" s="42" t="str">
        <f aca="false">IF($A103="","",Data_Engine!$D103)</f>
        <v>Integration</v>
      </c>
      <c r="D103" s="69" t="n">
        <f aca="false">IF($A103="","",Data_Engine!$R103)</f>
        <v>0</v>
      </c>
      <c r="E103" s="69" t="n">
        <f aca="false">IF($A103="","",Data_Engine!$S103)</f>
        <v>0</v>
      </c>
      <c r="F103" s="69" t="n">
        <f aca="false">IF($A103="","",Data_Engine!$T103)</f>
        <v>0</v>
      </c>
      <c r="G103" s="69" t="n">
        <f aca="false">IF($A103="","",Data_Engine!$U103)</f>
        <v>0</v>
      </c>
      <c r="H103" s="69" t="n">
        <f aca="false">IF($A103="","",Data_Engine!$V103)</f>
        <v>0</v>
      </c>
      <c r="I103" s="69" t="n">
        <f aca="false">IF($A103="","",Data_Engine!$W103)</f>
        <v>0</v>
      </c>
      <c r="J103" s="69" t="n">
        <f aca="false">IF($A103="","",Data_Engine!$X103)</f>
        <v>0</v>
      </c>
      <c r="K103" s="69" t="n">
        <f aca="false">IF($A103="","",Data_Engine!$Y103)</f>
        <v>0</v>
      </c>
      <c r="L103" s="69" t="n">
        <f aca="false">IF($A103="","",Data_Engine!$Z103)</f>
        <v>0</v>
      </c>
      <c r="M103" s="69" t="n">
        <f aca="false">IF($A103="","",Data_Engine!$AA103)</f>
        <v>0</v>
      </c>
      <c r="N103" s="69" t="n">
        <f aca="false">IF($A103="","",Data_Engine!$AB103)</f>
        <v>0</v>
      </c>
      <c r="O103" s="69" t="n">
        <f aca="false">IF($A103="","",Data_Engine!$AC103)</f>
        <v>0</v>
      </c>
      <c r="P103" s="69" t="n">
        <f aca="false">IF($A103="","",Data_Engine!$AH103)</f>
        <v>0</v>
      </c>
      <c r="Q103" s="70" t="n">
        <f aca="false">IF($A103="","",Data_Engine!$AD103)</f>
        <v>0</v>
      </c>
      <c r="R103" s="69" t="n">
        <f aca="false">IF($A103="","",Data_Engine!$AF103)</f>
        <v>0</v>
      </c>
      <c r="S103" s="71" t="n">
        <f aca="false">IF($A103="","",$Q103-$R103)</f>
        <v>0</v>
      </c>
      <c r="T103" s="72" t="str">
        <f aca="false">IF($A103="","",IF(ROUND($R103,2)=0,"n/a",$S103/ABS($R103)))</f>
        <v>n/a</v>
      </c>
      <c r="U103" s="69" t="n">
        <f aca="false">IF($A103="","",Data_Engine!$AG103)</f>
        <v>0</v>
      </c>
      <c r="V103" s="73" t="n">
        <f aca="false">IF($A103="","",$Q103-$U103)</f>
        <v>0</v>
      </c>
      <c r="W103" s="72" t="str">
        <f aca="false">IF($A103="","",IF(ROUND($U103,2)=0,"n/a",$V103/ABS($U103)))</f>
        <v>n/a</v>
      </c>
      <c r="X103" s="74" t="str">
        <f aca="false">IF($A103="","",IF(AND(ROUND($Q103,2)=0,ROUND($R103,2)=0),"No Activity",IF(ABS($S103)&lt;Setup!$B$14,"Low",IF(ROUND($R103,2)=0,"High",IF(OR(ABS($S103/$R103)&gt;=Setup!$B$16,ABS($S103)&gt;=Setup!$B$17),"High",IF(ABS($S103/$R103)&gt;=Setup!$B$15,"Medium","Low"))))))</f>
        <v>No Activity</v>
      </c>
      <c r="Y103" s="57"/>
      <c r="Z103" s="75" t="n">
        <f aca="false">IF($A103="",-1000000000000000,IF(ROUND(ABS($S103),0)=0,-1000000000000000,ABS($S103)+ROW()/1000000))</f>
        <v>-1000000000000000</v>
      </c>
    </row>
    <row r="104" customFormat="false" ht="15" hidden="false" customHeight="false" outlineLevel="0" collapsed="false">
      <c r="A104" s="68" t="str">
        <f aca="false">IF(Data_Engine!$A104="","",Data_Engine!$A104)</f>
        <v>Supplier Per Diems - ONS</v>
      </c>
      <c r="B104" s="42" t="str">
        <f aca="false">IF($A104="","",Data_Engine!$B104)</f>
        <v>Cost of Sales</v>
      </c>
      <c r="C104" s="42" t="str">
        <f aca="false">IF($A104="","",Data_Engine!$D104)</f>
        <v>Onsite</v>
      </c>
      <c r="D104" s="69" t="n">
        <f aca="false">IF($A104="","",Data_Engine!$R104)</f>
        <v>0</v>
      </c>
      <c r="E104" s="69" t="n">
        <f aca="false">IF($A104="","",Data_Engine!$S104)</f>
        <v>0</v>
      </c>
      <c r="F104" s="69" t="n">
        <f aca="false">IF($A104="","",Data_Engine!$T104)</f>
        <v>0</v>
      </c>
      <c r="G104" s="69" t="n">
        <f aca="false">IF($A104="","",Data_Engine!$U104)</f>
        <v>0</v>
      </c>
      <c r="H104" s="69" t="n">
        <f aca="false">IF($A104="","",Data_Engine!$V104)</f>
        <v>0</v>
      </c>
      <c r="I104" s="69" t="n">
        <f aca="false">IF($A104="","",Data_Engine!$W104)</f>
        <v>0</v>
      </c>
      <c r="J104" s="69" t="n">
        <f aca="false">IF($A104="","",Data_Engine!$X104)</f>
        <v>0</v>
      </c>
      <c r="K104" s="69" t="n">
        <f aca="false">IF($A104="","",Data_Engine!$Y104)</f>
        <v>0</v>
      </c>
      <c r="L104" s="69" t="n">
        <f aca="false">IF($A104="","",Data_Engine!$Z104)</f>
        <v>0</v>
      </c>
      <c r="M104" s="69" t="n">
        <f aca="false">IF($A104="","",Data_Engine!$AA104)</f>
        <v>0</v>
      </c>
      <c r="N104" s="69" t="n">
        <f aca="false">IF($A104="","",Data_Engine!$AB104)</f>
        <v>0</v>
      </c>
      <c r="O104" s="69" t="n">
        <f aca="false">IF($A104="","",Data_Engine!$AC104)</f>
        <v>0</v>
      </c>
      <c r="P104" s="69" t="n">
        <f aca="false">IF($A104="","",Data_Engine!$AH104)</f>
        <v>0</v>
      </c>
      <c r="Q104" s="70" t="n">
        <f aca="false">IF($A104="","",Data_Engine!$AD104)</f>
        <v>0</v>
      </c>
      <c r="R104" s="69" t="n">
        <f aca="false">IF($A104="","",Data_Engine!$AF104)</f>
        <v>0</v>
      </c>
      <c r="S104" s="71" t="n">
        <f aca="false">IF($A104="","",$Q104-$R104)</f>
        <v>0</v>
      </c>
      <c r="T104" s="72" t="str">
        <f aca="false">IF($A104="","",IF(ROUND($R104,2)=0,"n/a",$S104/ABS($R104)))</f>
        <v>n/a</v>
      </c>
      <c r="U104" s="69" t="n">
        <f aca="false">IF($A104="","",Data_Engine!$AG104)</f>
        <v>0</v>
      </c>
      <c r="V104" s="73" t="n">
        <f aca="false">IF($A104="","",$Q104-$U104)</f>
        <v>0</v>
      </c>
      <c r="W104" s="72" t="str">
        <f aca="false">IF($A104="","",IF(ROUND($U104,2)=0,"n/a",$V104/ABS($U104)))</f>
        <v>n/a</v>
      </c>
      <c r="X104" s="74" t="str">
        <f aca="false">IF($A104="","",IF(AND(ROUND($Q104,2)=0,ROUND($R104,2)=0),"No Activity",IF(ABS($S104)&lt;Setup!$B$14,"Low",IF(ROUND($R104,2)=0,"High",IF(OR(ABS($S104/$R104)&gt;=Setup!$B$16,ABS($S104)&gt;=Setup!$B$17),"High",IF(ABS($S104/$R104)&gt;=Setup!$B$15,"Medium","Low"))))))</f>
        <v>No Activity</v>
      </c>
      <c r="Y104" s="57"/>
      <c r="Z104" s="75" t="n">
        <f aca="false">IF($A104="",-1000000000000000,IF(ROUND(ABS($S104),0)=0,-1000000000000000,ABS($S104)+ROW()/1000000))</f>
        <v>-1000000000000000</v>
      </c>
    </row>
    <row r="105" customFormat="false" ht="15" hidden="false" customHeight="false" outlineLevel="0" collapsed="false">
      <c r="A105" s="68" t="str">
        <f aca="false">IF(Data_Engine!$A105="","",Data_Engine!$A105)</f>
        <v>Supplier Per Diems - PRD</v>
      </c>
      <c r="B105" s="42" t="str">
        <f aca="false">IF($A105="","",Data_Engine!$B105)</f>
        <v>Cost of Sales</v>
      </c>
      <c r="C105" s="42" t="str">
        <f aca="false">IF($A105="","",Data_Engine!$D105)</f>
        <v>Production</v>
      </c>
      <c r="D105" s="69" t="n">
        <f aca="false">IF($A105="","",Data_Engine!$R105)</f>
        <v>0</v>
      </c>
      <c r="E105" s="69" t="n">
        <f aca="false">IF($A105="","",Data_Engine!$S105)</f>
        <v>0</v>
      </c>
      <c r="F105" s="69" t="n">
        <f aca="false">IF($A105="","",Data_Engine!$T105)</f>
        <v>0</v>
      </c>
      <c r="G105" s="69" t="n">
        <f aca="false">IF($A105="","",Data_Engine!$U105)</f>
        <v>0</v>
      </c>
      <c r="H105" s="69" t="n">
        <f aca="false">IF($A105="","",Data_Engine!$V105)</f>
        <v>0</v>
      </c>
      <c r="I105" s="69" t="n">
        <f aca="false">IF($A105="","",Data_Engine!$W105)</f>
        <v>0</v>
      </c>
      <c r="J105" s="69" t="n">
        <f aca="false">IF($A105="","",Data_Engine!$X105)</f>
        <v>0</v>
      </c>
      <c r="K105" s="69" t="n">
        <f aca="false">IF($A105="","",Data_Engine!$Y105)</f>
        <v>0</v>
      </c>
      <c r="L105" s="69" t="n">
        <f aca="false">IF($A105="","",Data_Engine!$Z105)</f>
        <v>0</v>
      </c>
      <c r="M105" s="69" t="n">
        <f aca="false">IF($A105="","",Data_Engine!$AA105)</f>
        <v>0</v>
      </c>
      <c r="N105" s="69" t="n">
        <f aca="false">IF($A105="","",Data_Engine!$AB105)</f>
        <v>0</v>
      </c>
      <c r="O105" s="69" t="n">
        <f aca="false">IF($A105="","",Data_Engine!$AC105)</f>
        <v>0</v>
      </c>
      <c r="P105" s="69" t="n">
        <f aca="false">IF($A105="","",Data_Engine!$AH105)</f>
        <v>0</v>
      </c>
      <c r="Q105" s="70" t="n">
        <f aca="false">IF($A105="","",Data_Engine!$AD105)</f>
        <v>0</v>
      </c>
      <c r="R105" s="69" t="n">
        <f aca="false">IF($A105="","",Data_Engine!$AF105)</f>
        <v>0</v>
      </c>
      <c r="S105" s="71" t="n">
        <f aca="false">IF($A105="","",$Q105-$R105)</f>
        <v>0</v>
      </c>
      <c r="T105" s="72" t="str">
        <f aca="false">IF($A105="","",IF(ROUND($R105,2)=0,"n/a",$S105/ABS($R105)))</f>
        <v>n/a</v>
      </c>
      <c r="U105" s="69" t="n">
        <f aca="false">IF($A105="","",Data_Engine!$AG105)</f>
        <v>0</v>
      </c>
      <c r="V105" s="73" t="n">
        <f aca="false">IF($A105="","",$Q105-$U105)</f>
        <v>0</v>
      </c>
      <c r="W105" s="72" t="str">
        <f aca="false">IF($A105="","",IF(ROUND($U105,2)=0,"n/a",$V105/ABS($U105)))</f>
        <v>n/a</v>
      </c>
      <c r="X105" s="74" t="str">
        <f aca="false">IF($A105="","",IF(AND(ROUND($Q105,2)=0,ROUND($R105,2)=0),"No Activity",IF(ABS($S105)&lt;Setup!$B$14,"Low",IF(ROUND($R105,2)=0,"High",IF(OR(ABS($S105/$R105)&gt;=Setup!$B$16,ABS($S105)&gt;=Setup!$B$17),"High",IF(ABS($S105/$R105)&gt;=Setup!$B$15,"Medium","Low"))))))</f>
        <v>No Activity</v>
      </c>
      <c r="Y105" s="57"/>
      <c r="Z105" s="75" t="n">
        <f aca="false">IF($A105="",-1000000000000000,IF(ROUND(ABS($S105),0)=0,-1000000000000000,ABS($S105)+ROW()/1000000))</f>
        <v>-1000000000000000</v>
      </c>
    </row>
    <row r="106" customFormat="false" ht="15" hidden="false" customHeight="false" outlineLevel="0" collapsed="false">
      <c r="A106" s="68" t="str">
        <f aca="false">IF(Data_Engine!$A106="","",Data_Engine!$A106)</f>
        <v>Supplier Per Diems - VID</v>
      </c>
      <c r="B106" s="42" t="str">
        <f aca="false">IF($A106="","",Data_Engine!$B106)</f>
        <v>Cost of Sales</v>
      </c>
      <c r="C106" s="42" t="str">
        <f aca="false">IF($A106="","",Data_Engine!$D106)</f>
        <v>Video</v>
      </c>
      <c r="D106" s="69" t="n">
        <f aca="false">IF($A106="","",Data_Engine!$R106)</f>
        <v>0</v>
      </c>
      <c r="E106" s="69" t="n">
        <f aca="false">IF($A106="","",Data_Engine!$S106)</f>
        <v>0</v>
      </c>
      <c r="F106" s="69" t="n">
        <f aca="false">IF($A106="","",Data_Engine!$T106)</f>
        <v>0</v>
      </c>
      <c r="G106" s="69" t="n">
        <f aca="false">IF($A106="","",Data_Engine!$U106)</f>
        <v>0</v>
      </c>
      <c r="H106" s="69" t="n">
        <f aca="false">IF($A106="","",Data_Engine!$V106)</f>
        <v>0</v>
      </c>
      <c r="I106" s="69" t="n">
        <f aca="false">IF($A106="","",Data_Engine!$W106)</f>
        <v>0</v>
      </c>
      <c r="J106" s="69" t="n">
        <f aca="false">IF($A106="","",Data_Engine!$X106)</f>
        <v>0</v>
      </c>
      <c r="K106" s="69" t="n">
        <f aca="false">IF($A106="","",Data_Engine!$Y106)</f>
        <v>0</v>
      </c>
      <c r="L106" s="69" t="n">
        <f aca="false">IF($A106="","",Data_Engine!$Z106)</f>
        <v>0</v>
      </c>
      <c r="M106" s="69" t="n">
        <f aca="false">IF($A106="","",Data_Engine!$AA106)</f>
        <v>0</v>
      </c>
      <c r="N106" s="69" t="n">
        <f aca="false">IF($A106="","",Data_Engine!$AB106)</f>
        <v>0</v>
      </c>
      <c r="O106" s="69" t="n">
        <f aca="false">IF($A106="","",Data_Engine!$AC106)</f>
        <v>0</v>
      </c>
      <c r="P106" s="69" t="n">
        <f aca="false">IF($A106="","",Data_Engine!$AH106)</f>
        <v>0</v>
      </c>
      <c r="Q106" s="70" t="n">
        <f aca="false">IF($A106="","",Data_Engine!$AD106)</f>
        <v>0</v>
      </c>
      <c r="R106" s="69" t="n">
        <f aca="false">IF($A106="","",Data_Engine!$AF106)</f>
        <v>0</v>
      </c>
      <c r="S106" s="71" t="n">
        <f aca="false">IF($A106="","",$Q106-$R106)</f>
        <v>0</v>
      </c>
      <c r="T106" s="72" t="str">
        <f aca="false">IF($A106="","",IF(ROUND($R106,2)=0,"n/a",$S106/ABS($R106)))</f>
        <v>n/a</v>
      </c>
      <c r="U106" s="69" t="n">
        <f aca="false">IF($A106="","",Data_Engine!$AG106)</f>
        <v>0</v>
      </c>
      <c r="V106" s="73" t="n">
        <f aca="false">IF($A106="","",$Q106-$U106)</f>
        <v>0</v>
      </c>
      <c r="W106" s="72" t="str">
        <f aca="false">IF($A106="","",IF(ROUND($U106,2)=0,"n/a",$V106/ABS($U106)))</f>
        <v>n/a</v>
      </c>
      <c r="X106" s="74" t="str">
        <f aca="false">IF($A106="","",IF(AND(ROUND($Q106,2)=0,ROUND($R106,2)=0),"No Activity",IF(ABS($S106)&lt;Setup!$B$14,"Low",IF(ROUND($R106,2)=0,"High",IF(OR(ABS($S106/$R106)&gt;=Setup!$B$16,ABS($S106)&gt;=Setup!$B$17),"High",IF(ABS($S106/$R106)&gt;=Setup!$B$15,"Medium","Low"))))))</f>
        <v>No Activity</v>
      </c>
      <c r="Y106" s="57"/>
      <c r="Z106" s="75" t="n">
        <f aca="false">IF($A106="",-1000000000000000,IF(ROUND(ABS($S106),0)=0,-1000000000000000,ABS($S106)+ROW()/1000000))</f>
        <v>-1000000000000000</v>
      </c>
    </row>
    <row r="107" customFormat="false" ht="15" hidden="false" customHeight="false" outlineLevel="0" collapsed="false">
      <c r="A107" s="68" t="str">
        <f aca="false">IF(Data_Engine!$A107="","",Data_Engine!$A107)</f>
        <v>Cash Flow Boost</v>
      </c>
      <c r="B107" s="42" t="str">
        <f aca="false">IF($A107="","",Data_Engine!$B107)</f>
        <v>Other Income</v>
      </c>
      <c r="C107" s="42" t="str">
        <f aca="false">IF($A107="","",Data_Engine!$D107)</f>
        <v>Unallocated</v>
      </c>
      <c r="D107" s="69" t="n">
        <f aca="false">IF($A107="","",Data_Engine!$R107)</f>
        <v>0</v>
      </c>
      <c r="E107" s="69" t="n">
        <f aca="false">IF($A107="","",Data_Engine!$S107)</f>
        <v>0</v>
      </c>
      <c r="F107" s="69" t="n">
        <f aca="false">IF($A107="","",Data_Engine!$T107)</f>
        <v>0</v>
      </c>
      <c r="G107" s="69" t="n">
        <f aca="false">IF($A107="","",Data_Engine!$U107)</f>
        <v>0</v>
      </c>
      <c r="H107" s="69" t="n">
        <f aca="false">IF($A107="","",Data_Engine!$V107)</f>
        <v>0</v>
      </c>
      <c r="I107" s="69" t="n">
        <f aca="false">IF($A107="","",Data_Engine!$W107)</f>
        <v>0</v>
      </c>
      <c r="J107" s="69" t="n">
        <f aca="false">IF($A107="","",Data_Engine!$X107)</f>
        <v>0</v>
      </c>
      <c r="K107" s="69" t="n">
        <f aca="false">IF($A107="","",Data_Engine!$Y107)</f>
        <v>0</v>
      </c>
      <c r="L107" s="69" t="n">
        <f aca="false">IF($A107="","",Data_Engine!$Z107)</f>
        <v>0</v>
      </c>
      <c r="M107" s="69" t="n">
        <f aca="false">IF($A107="","",Data_Engine!$AA107)</f>
        <v>0</v>
      </c>
      <c r="N107" s="69" t="n">
        <f aca="false">IF($A107="","",Data_Engine!$AB107)</f>
        <v>0</v>
      </c>
      <c r="O107" s="69" t="n">
        <f aca="false">IF($A107="","",Data_Engine!$AC107)</f>
        <v>0</v>
      </c>
      <c r="P107" s="69" t="n">
        <f aca="false">IF($A107="","",Data_Engine!$AH107)</f>
        <v>0</v>
      </c>
      <c r="Q107" s="70" t="n">
        <f aca="false">IF($A107="","",Data_Engine!$AD107)</f>
        <v>0</v>
      </c>
      <c r="R107" s="69" t="n">
        <f aca="false">IF($A107="","",Data_Engine!$AF107)</f>
        <v>0</v>
      </c>
      <c r="S107" s="71" t="n">
        <f aca="false">IF($A107="","",$Q107-$R107)</f>
        <v>0</v>
      </c>
      <c r="T107" s="72" t="str">
        <f aca="false">IF($A107="","",IF(ROUND($R107,2)=0,"n/a",$S107/ABS($R107)))</f>
        <v>n/a</v>
      </c>
      <c r="U107" s="69" t="n">
        <f aca="false">IF($A107="","",Data_Engine!$AG107)</f>
        <v>0</v>
      </c>
      <c r="V107" s="73" t="n">
        <f aca="false">IF($A107="","",$Q107-$U107)</f>
        <v>0</v>
      </c>
      <c r="W107" s="72" t="str">
        <f aca="false">IF($A107="","",IF(ROUND($U107,2)=0,"n/a",$V107/ABS($U107)))</f>
        <v>n/a</v>
      </c>
      <c r="X107" s="74" t="str">
        <f aca="false">IF($A107="","",IF(AND(ROUND($Q107,2)=0,ROUND($R107,2)=0),"No Activity",IF(ABS($S107)&lt;Setup!$B$14,"Low",IF(ROUND($R107,2)=0,"High",IF(OR(ABS($S107/$R107)&gt;=Setup!$B$16,ABS($S107)&gt;=Setup!$B$17),"High",IF(ABS($S107/$R107)&gt;=Setup!$B$15,"Medium","Low"))))))</f>
        <v>No Activity</v>
      </c>
      <c r="Y107" s="57"/>
      <c r="Z107" s="75" t="n">
        <f aca="false">IF($A107="",-1000000000000000,IF(ROUND(ABS($S107),0)=0,-1000000000000000,ABS($S107)+ROW()/1000000))</f>
        <v>-1000000000000000</v>
      </c>
    </row>
    <row r="108" customFormat="false" ht="15" hidden="false" customHeight="false" outlineLevel="0" collapsed="false">
      <c r="A108" s="68" t="str">
        <f aca="false">IF(Data_Engine!$A108="","",Data_Engine!$A108)</f>
        <v>Employee FBT Contribtution</v>
      </c>
      <c r="B108" s="42" t="str">
        <f aca="false">IF($A108="","",Data_Engine!$B108)</f>
        <v>Other Income</v>
      </c>
      <c r="C108" s="42" t="str">
        <f aca="false">IF($A108="","",Data_Engine!$D108)</f>
        <v>Unallocated</v>
      </c>
      <c r="D108" s="69" t="n">
        <f aca="false">IF($A108="","",Data_Engine!$R108)</f>
        <v>0</v>
      </c>
      <c r="E108" s="69" t="n">
        <f aca="false">IF($A108="","",Data_Engine!$S108)</f>
        <v>0</v>
      </c>
      <c r="F108" s="69" t="n">
        <f aca="false">IF($A108="","",Data_Engine!$T108)</f>
        <v>0</v>
      </c>
      <c r="G108" s="69" t="n">
        <f aca="false">IF($A108="","",Data_Engine!$U108)</f>
        <v>0</v>
      </c>
      <c r="H108" s="69" t="n">
        <f aca="false">IF($A108="","",Data_Engine!$V108)</f>
        <v>0</v>
      </c>
      <c r="I108" s="69" t="n">
        <f aca="false">IF($A108="","",Data_Engine!$W108)</f>
        <v>0</v>
      </c>
      <c r="J108" s="69" t="n">
        <f aca="false">IF($A108="","",Data_Engine!$X108)</f>
        <v>0</v>
      </c>
      <c r="K108" s="69" t="n">
        <f aca="false">IF($A108="","",Data_Engine!$Y108)</f>
        <v>0</v>
      </c>
      <c r="L108" s="69" t="n">
        <f aca="false">IF($A108="","",Data_Engine!$Z108)</f>
        <v>0</v>
      </c>
      <c r="M108" s="69" t="n">
        <f aca="false">IF($A108="","",Data_Engine!$AA108)</f>
        <v>0</v>
      </c>
      <c r="N108" s="69" t="n">
        <f aca="false">IF($A108="","",Data_Engine!$AB108)</f>
        <v>0</v>
      </c>
      <c r="O108" s="69" t="n">
        <f aca="false">IF($A108="","",Data_Engine!$AC108)</f>
        <v>0</v>
      </c>
      <c r="P108" s="69" t="n">
        <f aca="false">IF($A108="","",Data_Engine!$AH108)</f>
        <v>0</v>
      </c>
      <c r="Q108" s="70" t="n">
        <f aca="false">IF($A108="","",Data_Engine!$AD108)</f>
        <v>0</v>
      </c>
      <c r="R108" s="69" t="n">
        <f aca="false">IF($A108="","",Data_Engine!$AF108)</f>
        <v>0</v>
      </c>
      <c r="S108" s="71" t="n">
        <f aca="false">IF($A108="","",$Q108-$R108)</f>
        <v>0</v>
      </c>
      <c r="T108" s="72" t="str">
        <f aca="false">IF($A108="","",IF(ROUND($R108,2)=0,"n/a",$S108/ABS($R108)))</f>
        <v>n/a</v>
      </c>
      <c r="U108" s="69" t="n">
        <f aca="false">IF($A108="","",Data_Engine!$AG108)</f>
        <v>0</v>
      </c>
      <c r="V108" s="73" t="n">
        <f aca="false">IF($A108="","",$Q108-$U108)</f>
        <v>0</v>
      </c>
      <c r="W108" s="72" t="str">
        <f aca="false">IF($A108="","",IF(ROUND($U108,2)=0,"n/a",$V108/ABS($U108)))</f>
        <v>n/a</v>
      </c>
      <c r="X108" s="74" t="str">
        <f aca="false">IF($A108="","",IF(AND(ROUND($Q108,2)=0,ROUND($R108,2)=0),"No Activity",IF(ABS($S108)&lt;Setup!$B$14,"Low",IF(ROUND($R108,2)=0,"High",IF(OR(ABS($S108/$R108)&gt;=Setup!$B$16,ABS($S108)&gt;=Setup!$B$17),"High",IF(ABS($S108/$R108)&gt;=Setup!$B$15,"Medium","Low"))))))</f>
        <v>No Activity</v>
      </c>
      <c r="Y108" s="57"/>
      <c r="Z108" s="75" t="n">
        <f aca="false">IF($A108="",-1000000000000000,IF(ROUND(ABS($S108),0)=0,-1000000000000000,ABS($S108)+ROW()/1000000))</f>
        <v>-1000000000000000</v>
      </c>
    </row>
    <row r="109" customFormat="false" ht="15" hidden="false" customHeight="false" outlineLevel="0" collapsed="false">
      <c r="A109" s="68" t="str">
        <f aca="false">IF(Data_Engine!$A109="","",Data_Engine!$A109)</f>
        <v>Gain on lease termination</v>
      </c>
      <c r="B109" s="42" t="str">
        <f aca="false">IF($A109="","",Data_Engine!$B109)</f>
        <v>Other Income</v>
      </c>
      <c r="C109" s="42" t="str">
        <f aca="false">IF($A109="","",Data_Engine!$D109)</f>
        <v>Unallocated</v>
      </c>
      <c r="D109" s="69" t="n">
        <f aca="false">IF($A109="","",Data_Engine!$R109)</f>
        <v>0</v>
      </c>
      <c r="E109" s="69" t="n">
        <f aca="false">IF($A109="","",Data_Engine!$S109)</f>
        <v>0</v>
      </c>
      <c r="F109" s="69" t="n">
        <f aca="false">IF($A109="","",Data_Engine!$T109)</f>
        <v>0</v>
      </c>
      <c r="G109" s="69" t="n">
        <f aca="false">IF($A109="","",Data_Engine!$U109)</f>
        <v>0</v>
      </c>
      <c r="H109" s="69" t="n">
        <f aca="false">IF($A109="","",Data_Engine!$V109)</f>
        <v>0</v>
      </c>
      <c r="I109" s="69" t="n">
        <f aca="false">IF($A109="","",Data_Engine!$W109)</f>
        <v>0</v>
      </c>
      <c r="J109" s="69" t="n">
        <f aca="false">IF($A109="","",Data_Engine!$X109)</f>
        <v>0</v>
      </c>
      <c r="K109" s="69" t="n">
        <f aca="false">IF($A109="","",Data_Engine!$Y109)</f>
        <v>0</v>
      </c>
      <c r="L109" s="69" t="n">
        <f aca="false">IF($A109="","",Data_Engine!$Z109)</f>
        <v>0</v>
      </c>
      <c r="M109" s="69" t="n">
        <f aca="false">IF($A109="","",Data_Engine!$AA109)</f>
        <v>0</v>
      </c>
      <c r="N109" s="69" t="n">
        <f aca="false">IF($A109="","",Data_Engine!$AB109)</f>
        <v>0</v>
      </c>
      <c r="O109" s="69" t="n">
        <f aca="false">IF($A109="","",Data_Engine!$AC109)</f>
        <v>0</v>
      </c>
      <c r="P109" s="69" t="n">
        <f aca="false">IF($A109="","",Data_Engine!$AH109)</f>
        <v>0</v>
      </c>
      <c r="Q109" s="70" t="n">
        <f aca="false">IF($A109="","",Data_Engine!$AD109)</f>
        <v>0</v>
      </c>
      <c r="R109" s="69" t="n">
        <f aca="false">IF($A109="","",Data_Engine!$AF109)</f>
        <v>0</v>
      </c>
      <c r="S109" s="71" t="n">
        <f aca="false">IF($A109="","",$Q109-$R109)</f>
        <v>0</v>
      </c>
      <c r="T109" s="72" t="str">
        <f aca="false">IF($A109="","",IF(ROUND($R109,2)=0,"n/a",$S109/ABS($R109)))</f>
        <v>n/a</v>
      </c>
      <c r="U109" s="69" t="n">
        <f aca="false">IF($A109="","",Data_Engine!$AG109)</f>
        <v>0</v>
      </c>
      <c r="V109" s="73" t="n">
        <f aca="false">IF($A109="","",$Q109-$U109)</f>
        <v>0</v>
      </c>
      <c r="W109" s="72" t="str">
        <f aca="false">IF($A109="","",IF(ROUND($U109,2)=0,"n/a",$V109/ABS($U109)))</f>
        <v>n/a</v>
      </c>
      <c r="X109" s="74" t="str">
        <f aca="false">IF($A109="","",IF(AND(ROUND($Q109,2)=0,ROUND($R109,2)=0),"No Activity",IF(ABS($S109)&lt;Setup!$B$14,"Low",IF(ROUND($R109,2)=0,"High",IF(OR(ABS($S109/$R109)&gt;=Setup!$B$16,ABS($S109)&gt;=Setup!$B$17),"High",IF(ABS($S109/$R109)&gt;=Setup!$B$15,"Medium","Low"))))))</f>
        <v>No Activity</v>
      </c>
      <c r="Y109" s="57"/>
      <c r="Z109" s="75" t="n">
        <f aca="false">IF($A109="",-1000000000000000,IF(ROUND(ABS($S109),0)=0,-1000000000000000,ABS($S109)+ROW()/1000000))</f>
        <v>-1000000000000000</v>
      </c>
    </row>
    <row r="110" customFormat="false" ht="15" hidden="false" customHeight="false" outlineLevel="0" collapsed="false">
      <c r="A110" s="68" t="str">
        <f aca="false">IF(Data_Engine!$A110="","",Data_Engine!$A110)</f>
        <v>Income Other</v>
      </c>
      <c r="B110" s="42" t="str">
        <f aca="false">IF($A110="","",Data_Engine!$B110)</f>
        <v>Other Income</v>
      </c>
      <c r="C110" s="42" t="str">
        <f aca="false">IF($A110="","",Data_Engine!$D110)</f>
        <v>Unallocated</v>
      </c>
      <c r="D110" s="69" t="n">
        <f aca="false">IF($A110="","",Data_Engine!$R110)</f>
        <v>0</v>
      </c>
      <c r="E110" s="69" t="n">
        <f aca="false">IF($A110="","",Data_Engine!$S110)</f>
        <v>0</v>
      </c>
      <c r="F110" s="69" t="n">
        <f aca="false">IF($A110="","",Data_Engine!$T110)</f>
        <v>0</v>
      </c>
      <c r="G110" s="69" t="n">
        <f aca="false">IF($A110="","",Data_Engine!$U110)</f>
        <v>0</v>
      </c>
      <c r="H110" s="69" t="n">
        <f aca="false">IF($A110="","",Data_Engine!$V110)</f>
        <v>0</v>
      </c>
      <c r="I110" s="69" t="n">
        <f aca="false">IF($A110="","",Data_Engine!$W110)</f>
        <v>0</v>
      </c>
      <c r="J110" s="69" t="n">
        <f aca="false">IF($A110="","",Data_Engine!$X110)</f>
        <v>0</v>
      </c>
      <c r="K110" s="69" t="n">
        <f aca="false">IF($A110="","",Data_Engine!$Y110)</f>
        <v>0</v>
      </c>
      <c r="L110" s="69" t="n">
        <f aca="false">IF($A110="","",Data_Engine!$Z110)</f>
        <v>0</v>
      </c>
      <c r="M110" s="69" t="n">
        <f aca="false">IF($A110="","",Data_Engine!$AA110)</f>
        <v>0</v>
      </c>
      <c r="N110" s="69" t="n">
        <f aca="false">IF($A110="","",Data_Engine!$AB110)</f>
        <v>0</v>
      </c>
      <c r="O110" s="69" t="n">
        <f aca="false">IF($A110="","",Data_Engine!$AC110)</f>
        <v>0</v>
      </c>
      <c r="P110" s="69" t="n">
        <f aca="false">IF($A110="","",Data_Engine!$AH110)</f>
        <v>0</v>
      </c>
      <c r="Q110" s="70" t="n">
        <f aca="false">IF($A110="","",Data_Engine!$AD110)</f>
        <v>0</v>
      </c>
      <c r="R110" s="69" t="n">
        <f aca="false">IF($A110="","",Data_Engine!$AF110)</f>
        <v>0</v>
      </c>
      <c r="S110" s="71" t="n">
        <f aca="false">IF($A110="","",$Q110-$R110)</f>
        <v>0</v>
      </c>
      <c r="T110" s="72" t="str">
        <f aca="false">IF($A110="","",IF(ROUND($R110,2)=0,"n/a",$S110/ABS($R110)))</f>
        <v>n/a</v>
      </c>
      <c r="U110" s="69" t="n">
        <f aca="false">IF($A110="","",Data_Engine!$AG110)</f>
        <v>0</v>
      </c>
      <c r="V110" s="73" t="n">
        <f aca="false">IF($A110="","",$Q110-$U110)</f>
        <v>0</v>
      </c>
      <c r="W110" s="72" t="str">
        <f aca="false">IF($A110="","",IF(ROUND($U110,2)=0,"n/a",$V110/ABS($U110)))</f>
        <v>n/a</v>
      </c>
      <c r="X110" s="74" t="str">
        <f aca="false">IF($A110="","",IF(AND(ROUND($Q110,2)=0,ROUND($R110,2)=0),"No Activity",IF(ABS($S110)&lt;Setup!$B$14,"Low",IF(ROUND($R110,2)=0,"High",IF(OR(ABS($S110/$R110)&gt;=Setup!$B$16,ABS($S110)&gt;=Setup!$B$17),"High",IF(ABS($S110/$R110)&gt;=Setup!$B$15,"Medium","Low"))))))</f>
        <v>No Activity</v>
      </c>
      <c r="Y110" s="57"/>
      <c r="Z110" s="75" t="n">
        <f aca="false">IF($A110="",-1000000000000000,IF(ROUND(ABS($S110),0)=0,-1000000000000000,ABS($S110)+ROW()/1000000))</f>
        <v>-1000000000000000</v>
      </c>
    </row>
    <row r="111" customFormat="false" ht="15" hidden="false" customHeight="false" outlineLevel="0" collapsed="false">
      <c r="A111" s="68" t="str">
        <f aca="false">IF(Data_Engine!$A111="","",Data_Engine!$A111)</f>
        <v>Interest Income</v>
      </c>
      <c r="B111" s="42" t="str">
        <f aca="false">IF($A111="","",Data_Engine!$B111)</f>
        <v>Other Income</v>
      </c>
      <c r="C111" s="42" t="str">
        <f aca="false">IF($A111="","",Data_Engine!$D111)</f>
        <v>Unallocated</v>
      </c>
      <c r="D111" s="69" t="n">
        <f aca="false">IF($A111="","",Data_Engine!$R111)</f>
        <v>0</v>
      </c>
      <c r="E111" s="69" t="n">
        <f aca="false">IF($A111="","",Data_Engine!$S111)</f>
        <v>0</v>
      </c>
      <c r="F111" s="69" t="n">
        <f aca="false">IF($A111="","",Data_Engine!$T111)</f>
        <v>0</v>
      </c>
      <c r="G111" s="69" t="n">
        <f aca="false">IF($A111="","",Data_Engine!$U111)</f>
        <v>0</v>
      </c>
      <c r="H111" s="69" t="n">
        <f aca="false">IF($A111="","",Data_Engine!$V111)</f>
        <v>0</v>
      </c>
      <c r="I111" s="69" t="n">
        <f aca="false">IF($A111="","",Data_Engine!$W111)</f>
        <v>0</v>
      </c>
      <c r="J111" s="69" t="n">
        <f aca="false">IF($A111="","",Data_Engine!$X111)</f>
        <v>0</v>
      </c>
      <c r="K111" s="69" t="n">
        <f aca="false">IF($A111="","",Data_Engine!$Y111)</f>
        <v>0</v>
      </c>
      <c r="L111" s="69" t="n">
        <f aca="false">IF($A111="","",Data_Engine!$Z111)</f>
        <v>0</v>
      </c>
      <c r="M111" s="69" t="n">
        <f aca="false">IF($A111="","",Data_Engine!$AA111)</f>
        <v>0</v>
      </c>
      <c r="N111" s="69" t="n">
        <f aca="false">IF($A111="","",Data_Engine!$AB111)</f>
        <v>0</v>
      </c>
      <c r="O111" s="69" t="n">
        <f aca="false">IF($A111="","",Data_Engine!$AC111)</f>
        <v>0</v>
      </c>
      <c r="P111" s="69" t="n">
        <f aca="false">IF($A111="","",Data_Engine!$AH111)</f>
        <v>0</v>
      </c>
      <c r="Q111" s="70" t="n">
        <f aca="false">IF($A111="","",Data_Engine!$AD111)</f>
        <v>0</v>
      </c>
      <c r="R111" s="69" t="n">
        <f aca="false">IF($A111="","",Data_Engine!$AF111)</f>
        <v>0</v>
      </c>
      <c r="S111" s="71" t="n">
        <f aca="false">IF($A111="","",$Q111-$R111)</f>
        <v>0</v>
      </c>
      <c r="T111" s="72" t="str">
        <f aca="false">IF($A111="","",IF(ROUND($R111,2)=0,"n/a",$S111/ABS($R111)))</f>
        <v>n/a</v>
      </c>
      <c r="U111" s="69" t="n">
        <f aca="false">IF($A111="","",Data_Engine!$AG111)</f>
        <v>0</v>
      </c>
      <c r="V111" s="73" t="n">
        <f aca="false">IF($A111="","",$Q111-$U111)</f>
        <v>0</v>
      </c>
      <c r="W111" s="72" t="str">
        <f aca="false">IF($A111="","",IF(ROUND($U111,2)=0,"n/a",$V111/ABS($U111)))</f>
        <v>n/a</v>
      </c>
      <c r="X111" s="74" t="str">
        <f aca="false">IF($A111="","",IF(AND(ROUND($Q111,2)=0,ROUND($R111,2)=0),"No Activity",IF(ABS($S111)&lt;Setup!$B$14,"Low",IF(ROUND($R111,2)=0,"High",IF(OR(ABS($S111/$R111)&gt;=Setup!$B$16,ABS($S111)&gt;=Setup!$B$17),"High",IF(ABS($S111/$R111)&gt;=Setup!$B$15,"Medium","Low"))))))</f>
        <v>No Activity</v>
      </c>
      <c r="Y111" s="57"/>
      <c r="Z111" s="75" t="n">
        <f aca="false">IF($A111="",-1000000000000000,IF(ROUND(ABS($S111),0)=0,-1000000000000000,ABS($S111)+ROW()/1000000))</f>
        <v>-1000000000000000</v>
      </c>
    </row>
    <row r="112" customFormat="false" ht="15" hidden="false" customHeight="false" outlineLevel="0" collapsed="false">
      <c r="A112" s="68" t="str">
        <f aca="false">IF(Data_Engine!$A112="","",Data_Engine!$A112)</f>
        <v>Interest Received</v>
      </c>
      <c r="B112" s="42" t="str">
        <f aca="false">IF($A112="","",Data_Engine!$B112)</f>
        <v>Other Income</v>
      </c>
      <c r="C112" s="42" t="str">
        <f aca="false">IF($A112="","",Data_Engine!$D112)</f>
        <v>Unallocated</v>
      </c>
      <c r="D112" s="69" t="n">
        <f aca="false">IF($A112="","",Data_Engine!$R112)</f>
        <v>0</v>
      </c>
      <c r="E112" s="69" t="n">
        <f aca="false">IF($A112="","",Data_Engine!$S112)</f>
        <v>0</v>
      </c>
      <c r="F112" s="69" t="n">
        <f aca="false">IF($A112="","",Data_Engine!$T112)</f>
        <v>0</v>
      </c>
      <c r="G112" s="69" t="n">
        <f aca="false">IF($A112="","",Data_Engine!$U112)</f>
        <v>0</v>
      </c>
      <c r="H112" s="69" t="n">
        <f aca="false">IF($A112="","",Data_Engine!$V112)</f>
        <v>0</v>
      </c>
      <c r="I112" s="69" t="n">
        <f aca="false">IF($A112="","",Data_Engine!$W112)</f>
        <v>0</v>
      </c>
      <c r="J112" s="69" t="n">
        <f aca="false">IF($A112="","",Data_Engine!$X112)</f>
        <v>0</v>
      </c>
      <c r="K112" s="69" t="n">
        <f aca="false">IF($A112="","",Data_Engine!$Y112)</f>
        <v>0</v>
      </c>
      <c r="L112" s="69" t="n">
        <f aca="false">IF($A112="","",Data_Engine!$Z112)</f>
        <v>0</v>
      </c>
      <c r="M112" s="69" t="n">
        <f aca="false">IF($A112="","",Data_Engine!$AA112)</f>
        <v>0</v>
      </c>
      <c r="N112" s="69" t="n">
        <f aca="false">IF($A112="","",Data_Engine!$AB112)</f>
        <v>0</v>
      </c>
      <c r="O112" s="69" t="n">
        <f aca="false">IF($A112="","",Data_Engine!$AC112)</f>
        <v>0</v>
      </c>
      <c r="P112" s="69" t="n">
        <f aca="false">IF($A112="","",Data_Engine!$AH112)</f>
        <v>0</v>
      </c>
      <c r="Q112" s="70" t="n">
        <f aca="false">IF($A112="","",Data_Engine!$AD112)</f>
        <v>0</v>
      </c>
      <c r="R112" s="69" t="n">
        <f aca="false">IF($A112="","",Data_Engine!$AF112)</f>
        <v>0</v>
      </c>
      <c r="S112" s="71" t="n">
        <f aca="false">IF($A112="","",$Q112-$R112)</f>
        <v>0</v>
      </c>
      <c r="T112" s="72" t="str">
        <f aca="false">IF($A112="","",IF(ROUND($R112,2)=0,"n/a",$S112/ABS($R112)))</f>
        <v>n/a</v>
      </c>
      <c r="U112" s="69" t="n">
        <f aca="false">IF($A112="","",Data_Engine!$AG112)</f>
        <v>0</v>
      </c>
      <c r="V112" s="73" t="n">
        <f aca="false">IF($A112="","",$Q112-$U112)</f>
        <v>0</v>
      </c>
      <c r="W112" s="72" t="str">
        <f aca="false">IF($A112="","",IF(ROUND($U112,2)=0,"n/a",$V112/ABS($U112)))</f>
        <v>n/a</v>
      </c>
      <c r="X112" s="74" t="str">
        <f aca="false">IF($A112="","",IF(AND(ROUND($Q112,2)=0,ROUND($R112,2)=0),"No Activity",IF(ABS($S112)&lt;Setup!$B$14,"Low",IF(ROUND($R112,2)=0,"High",IF(OR(ABS($S112/$R112)&gt;=Setup!$B$16,ABS($S112)&gt;=Setup!$B$17),"High",IF(ABS($S112/$R112)&gt;=Setup!$B$15,"Medium","Low"))))))</f>
        <v>No Activity</v>
      </c>
      <c r="Y112" s="57"/>
      <c r="Z112" s="75" t="n">
        <f aca="false">IF($A112="",-1000000000000000,IF(ROUND(ABS($S112),0)=0,-1000000000000000,ABS($S112)+ROW()/1000000))</f>
        <v>-1000000000000000</v>
      </c>
    </row>
    <row r="113" customFormat="false" ht="15" hidden="false" customHeight="false" outlineLevel="0" collapsed="false">
      <c r="A113" s="68" t="str">
        <f aca="false">IF(Data_Engine!$A113="","",Data_Engine!$A113)</f>
        <v>JobKeeper Subsidy</v>
      </c>
      <c r="B113" s="42" t="str">
        <f aca="false">IF($A113="","",Data_Engine!$B113)</f>
        <v>Other Income</v>
      </c>
      <c r="C113" s="42" t="str">
        <f aca="false">IF($A113="","",Data_Engine!$D113)</f>
        <v>Unallocated</v>
      </c>
      <c r="D113" s="69" t="n">
        <f aca="false">IF($A113="","",Data_Engine!$R113)</f>
        <v>0</v>
      </c>
      <c r="E113" s="69" t="n">
        <f aca="false">IF($A113="","",Data_Engine!$S113)</f>
        <v>0</v>
      </c>
      <c r="F113" s="69" t="n">
        <f aca="false">IF($A113="","",Data_Engine!$T113)</f>
        <v>0</v>
      </c>
      <c r="G113" s="69" t="n">
        <f aca="false">IF($A113="","",Data_Engine!$U113)</f>
        <v>0</v>
      </c>
      <c r="H113" s="69" t="n">
        <f aca="false">IF($A113="","",Data_Engine!$V113)</f>
        <v>0</v>
      </c>
      <c r="I113" s="69" t="n">
        <f aca="false">IF($A113="","",Data_Engine!$W113)</f>
        <v>0</v>
      </c>
      <c r="J113" s="69" t="n">
        <f aca="false">IF($A113="","",Data_Engine!$X113)</f>
        <v>0</v>
      </c>
      <c r="K113" s="69" t="n">
        <f aca="false">IF($A113="","",Data_Engine!$Y113)</f>
        <v>0</v>
      </c>
      <c r="L113" s="69" t="n">
        <f aca="false">IF($A113="","",Data_Engine!$Z113)</f>
        <v>0</v>
      </c>
      <c r="M113" s="69" t="n">
        <f aca="false">IF($A113="","",Data_Engine!$AA113)</f>
        <v>0</v>
      </c>
      <c r="N113" s="69" t="n">
        <f aca="false">IF($A113="","",Data_Engine!$AB113)</f>
        <v>0</v>
      </c>
      <c r="O113" s="69" t="n">
        <f aca="false">IF($A113="","",Data_Engine!$AC113)</f>
        <v>0</v>
      </c>
      <c r="P113" s="69" t="n">
        <f aca="false">IF($A113="","",Data_Engine!$AH113)</f>
        <v>0</v>
      </c>
      <c r="Q113" s="70" t="n">
        <f aca="false">IF($A113="","",Data_Engine!$AD113)</f>
        <v>0</v>
      </c>
      <c r="R113" s="69" t="n">
        <f aca="false">IF($A113="","",Data_Engine!$AF113)</f>
        <v>0</v>
      </c>
      <c r="S113" s="71" t="n">
        <f aca="false">IF($A113="","",$Q113-$R113)</f>
        <v>0</v>
      </c>
      <c r="T113" s="72" t="str">
        <f aca="false">IF($A113="","",IF(ROUND($R113,2)=0,"n/a",$S113/ABS($R113)))</f>
        <v>n/a</v>
      </c>
      <c r="U113" s="69" t="n">
        <f aca="false">IF($A113="","",Data_Engine!$AG113)</f>
        <v>0</v>
      </c>
      <c r="V113" s="73" t="n">
        <f aca="false">IF($A113="","",$Q113-$U113)</f>
        <v>0</v>
      </c>
      <c r="W113" s="72" t="str">
        <f aca="false">IF($A113="","",IF(ROUND($U113,2)=0,"n/a",$V113/ABS($U113)))</f>
        <v>n/a</v>
      </c>
      <c r="X113" s="74" t="str">
        <f aca="false">IF($A113="","",IF(AND(ROUND($Q113,2)=0,ROUND($R113,2)=0),"No Activity",IF(ABS($S113)&lt;Setup!$B$14,"Low",IF(ROUND($R113,2)=0,"High",IF(OR(ABS($S113/$R113)&gt;=Setup!$B$16,ABS($S113)&gt;=Setup!$B$17),"High",IF(ABS($S113/$R113)&gt;=Setup!$B$15,"Medium","Low"))))))</f>
        <v>No Activity</v>
      </c>
      <c r="Y113" s="57"/>
      <c r="Z113" s="75" t="n">
        <f aca="false">IF($A113="",-1000000000000000,IF(ROUND(ABS($S113),0)=0,-1000000000000000,ABS($S113)+ROW()/1000000))</f>
        <v>-1000000000000000</v>
      </c>
    </row>
    <row r="114" customFormat="false" ht="15" hidden="false" customHeight="false" outlineLevel="0" collapsed="false">
      <c r="A114" s="68" t="str">
        <f aca="false">IF(Data_Engine!$A114="","",Data_Engine!$A114)</f>
        <v>JobSaver Subsidy</v>
      </c>
      <c r="B114" s="42" t="str">
        <f aca="false">IF($A114="","",Data_Engine!$B114)</f>
        <v>Other Income</v>
      </c>
      <c r="C114" s="42" t="str">
        <f aca="false">IF($A114="","",Data_Engine!$D114)</f>
        <v>Unallocated</v>
      </c>
      <c r="D114" s="69" t="n">
        <f aca="false">IF($A114="","",Data_Engine!$R114)</f>
        <v>0</v>
      </c>
      <c r="E114" s="69" t="n">
        <f aca="false">IF($A114="","",Data_Engine!$S114)</f>
        <v>0</v>
      </c>
      <c r="F114" s="69" t="n">
        <f aca="false">IF($A114="","",Data_Engine!$T114)</f>
        <v>0</v>
      </c>
      <c r="G114" s="69" t="n">
        <f aca="false">IF($A114="","",Data_Engine!$U114)</f>
        <v>0</v>
      </c>
      <c r="H114" s="69" t="n">
        <f aca="false">IF($A114="","",Data_Engine!$V114)</f>
        <v>0</v>
      </c>
      <c r="I114" s="69" t="n">
        <f aca="false">IF($A114="","",Data_Engine!$W114)</f>
        <v>0</v>
      </c>
      <c r="J114" s="69" t="n">
        <f aca="false">IF($A114="","",Data_Engine!$X114)</f>
        <v>0</v>
      </c>
      <c r="K114" s="69" t="n">
        <f aca="false">IF($A114="","",Data_Engine!$Y114)</f>
        <v>0</v>
      </c>
      <c r="L114" s="69" t="n">
        <f aca="false">IF($A114="","",Data_Engine!$Z114)</f>
        <v>0</v>
      </c>
      <c r="M114" s="69" t="n">
        <f aca="false">IF($A114="","",Data_Engine!$AA114)</f>
        <v>0</v>
      </c>
      <c r="N114" s="69" t="n">
        <f aca="false">IF($A114="","",Data_Engine!$AB114)</f>
        <v>0</v>
      </c>
      <c r="O114" s="69" t="n">
        <f aca="false">IF($A114="","",Data_Engine!$AC114)</f>
        <v>0</v>
      </c>
      <c r="P114" s="69" t="n">
        <f aca="false">IF($A114="","",Data_Engine!$AH114)</f>
        <v>0</v>
      </c>
      <c r="Q114" s="70" t="n">
        <f aca="false">IF($A114="","",Data_Engine!$AD114)</f>
        <v>0</v>
      </c>
      <c r="R114" s="69" t="n">
        <f aca="false">IF($A114="","",Data_Engine!$AF114)</f>
        <v>0</v>
      </c>
      <c r="S114" s="71" t="n">
        <f aca="false">IF($A114="","",$Q114-$R114)</f>
        <v>0</v>
      </c>
      <c r="T114" s="72" t="str">
        <f aca="false">IF($A114="","",IF(ROUND($R114,2)=0,"n/a",$S114/ABS($R114)))</f>
        <v>n/a</v>
      </c>
      <c r="U114" s="69" t="n">
        <f aca="false">IF($A114="","",Data_Engine!$AG114)</f>
        <v>0</v>
      </c>
      <c r="V114" s="73" t="n">
        <f aca="false">IF($A114="","",$Q114-$U114)</f>
        <v>0</v>
      </c>
      <c r="W114" s="72" t="str">
        <f aca="false">IF($A114="","",IF(ROUND($U114,2)=0,"n/a",$V114/ABS($U114)))</f>
        <v>n/a</v>
      </c>
      <c r="X114" s="74" t="str">
        <f aca="false">IF($A114="","",IF(AND(ROUND($Q114,2)=0,ROUND($R114,2)=0),"No Activity",IF(ABS($S114)&lt;Setup!$B$14,"Low",IF(ROUND($R114,2)=0,"High",IF(OR(ABS($S114/$R114)&gt;=Setup!$B$16,ABS($S114)&gt;=Setup!$B$17),"High",IF(ABS($S114/$R114)&gt;=Setup!$B$15,"Medium","Low"))))))</f>
        <v>No Activity</v>
      </c>
      <c r="Y114" s="57"/>
      <c r="Z114" s="75" t="n">
        <f aca="false">IF($A114="",-1000000000000000,IF(ROUND(ABS($S114),0)=0,-1000000000000000,ABS($S114)+ROW()/1000000))</f>
        <v>-1000000000000000</v>
      </c>
    </row>
    <row r="115" customFormat="false" ht="15" hidden="false" customHeight="false" outlineLevel="0" collapsed="false">
      <c r="A115" s="68" t="str">
        <f aca="false">IF(Data_Engine!$A115="","",Data_Engine!$A115)</f>
        <v>Rental Income</v>
      </c>
      <c r="B115" s="42" t="str">
        <f aca="false">IF($A115="","",Data_Engine!$B115)</f>
        <v>Other Income</v>
      </c>
      <c r="C115" s="42" t="str">
        <f aca="false">IF($A115="","",Data_Engine!$D115)</f>
        <v>Unallocated</v>
      </c>
      <c r="D115" s="69" t="n">
        <f aca="false">IF($A115="","",Data_Engine!$R115)</f>
        <v>0</v>
      </c>
      <c r="E115" s="69" t="n">
        <f aca="false">IF($A115="","",Data_Engine!$S115)</f>
        <v>0</v>
      </c>
      <c r="F115" s="69" t="n">
        <f aca="false">IF($A115="","",Data_Engine!$T115)</f>
        <v>0</v>
      </c>
      <c r="G115" s="69" t="n">
        <f aca="false">IF($A115="","",Data_Engine!$U115)</f>
        <v>0</v>
      </c>
      <c r="H115" s="69" t="n">
        <f aca="false">IF($A115="","",Data_Engine!$V115)</f>
        <v>0</v>
      </c>
      <c r="I115" s="69" t="n">
        <f aca="false">IF($A115="","",Data_Engine!$W115)</f>
        <v>0</v>
      </c>
      <c r="J115" s="69" t="n">
        <f aca="false">IF($A115="","",Data_Engine!$X115)</f>
        <v>0</v>
      </c>
      <c r="K115" s="69" t="n">
        <f aca="false">IF($A115="","",Data_Engine!$Y115)</f>
        <v>0</v>
      </c>
      <c r="L115" s="69" t="n">
        <f aca="false">IF($A115="","",Data_Engine!$Z115)</f>
        <v>0</v>
      </c>
      <c r="M115" s="69" t="n">
        <f aca="false">IF($A115="","",Data_Engine!$AA115)</f>
        <v>0</v>
      </c>
      <c r="N115" s="69" t="n">
        <f aca="false">IF($A115="","",Data_Engine!$AB115)</f>
        <v>0</v>
      </c>
      <c r="O115" s="69" t="n">
        <f aca="false">IF($A115="","",Data_Engine!$AC115)</f>
        <v>0</v>
      </c>
      <c r="P115" s="69" t="n">
        <f aca="false">IF($A115="","",Data_Engine!$AH115)</f>
        <v>0</v>
      </c>
      <c r="Q115" s="70" t="n">
        <f aca="false">IF($A115="","",Data_Engine!$AD115)</f>
        <v>0</v>
      </c>
      <c r="R115" s="69" t="n">
        <f aca="false">IF($A115="","",Data_Engine!$AF115)</f>
        <v>0</v>
      </c>
      <c r="S115" s="71" t="n">
        <f aca="false">IF($A115="","",$Q115-$R115)</f>
        <v>0</v>
      </c>
      <c r="T115" s="72" t="str">
        <f aca="false">IF($A115="","",IF(ROUND($R115,2)=0,"n/a",$S115/ABS($R115)))</f>
        <v>n/a</v>
      </c>
      <c r="U115" s="69" t="n">
        <f aca="false">IF($A115="","",Data_Engine!$AG115)</f>
        <v>0</v>
      </c>
      <c r="V115" s="73" t="n">
        <f aca="false">IF($A115="","",$Q115-$U115)</f>
        <v>0</v>
      </c>
      <c r="W115" s="72" t="str">
        <f aca="false">IF($A115="","",IF(ROUND($U115,2)=0,"n/a",$V115/ABS($U115)))</f>
        <v>n/a</v>
      </c>
      <c r="X115" s="74" t="str">
        <f aca="false">IF($A115="","",IF(AND(ROUND($Q115,2)=0,ROUND($R115,2)=0),"No Activity",IF(ABS($S115)&lt;Setup!$B$14,"Low",IF(ROUND($R115,2)=0,"High",IF(OR(ABS($S115/$R115)&gt;=Setup!$B$16,ABS($S115)&gt;=Setup!$B$17),"High",IF(ABS($S115/$R115)&gt;=Setup!$B$15,"Medium","Low"))))))</f>
        <v>No Activity</v>
      </c>
      <c r="Y115" s="57"/>
      <c r="Z115" s="75" t="n">
        <f aca="false">IF($A115="",-1000000000000000,IF(ROUND(ABS($S115),0)=0,-1000000000000000,ABS($S115)+ROW()/1000000))</f>
        <v>-1000000000000000</v>
      </c>
    </row>
    <row r="116" customFormat="false" ht="15" hidden="false" customHeight="false" outlineLevel="0" collapsed="false">
      <c r="A116" s="68" t="str">
        <f aca="false">IF(Data_Engine!$A116="","",Data_Engine!$A116)</f>
        <v>1300 Number</v>
      </c>
      <c r="B116" s="42" t="str">
        <f aca="false">IF($A116="","",Data_Engine!$B116)</f>
        <v>Expenses</v>
      </c>
      <c r="C116" s="42" t="str">
        <f aca="false">IF($A116="","",Data_Engine!$D116)</f>
        <v>Unallocated</v>
      </c>
      <c r="D116" s="69" t="n">
        <f aca="false">IF($A116="","",Data_Engine!$R116)</f>
        <v>0</v>
      </c>
      <c r="E116" s="69" t="n">
        <f aca="false">IF($A116="","",Data_Engine!$S116)</f>
        <v>0</v>
      </c>
      <c r="F116" s="69" t="n">
        <f aca="false">IF($A116="","",Data_Engine!$T116)</f>
        <v>0</v>
      </c>
      <c r="G116" s="69" t="n">
        <f aca="false">IF($A116="","",Data_Engine!$U116)</f>
        <v>0</v>
      </c>
      <c r="H116" s="69" t="n">
        <f aca="false">IF($A116="","",Data_Engine!$V116)</f>
        <v>0</v>
      </c>
      <c r="I116" s="69" t="n">
        <f aca="false">IF($A116="","",Data_Engine!$W116)</f>
        <v>0</v>
      </c>
      <c r="J116" s="69" t="n">
        <f aca="false">IF($A116="","",Data_Engine!$X116)</f>
        <v>0</v>
      </c>
      <c r="K116" s="69" t="n">
        <f aca="false">IF($A116="","",Data_Engine!$Y116)</f>
        <v>0</v>
      </c>
      <c r="L116" s="69" t="n">
        <f aca="false">IF($A116="","",Data_Engine!$Z116)</f>
        <v>0</v>
      </c>
      <c r="M116" s="69" t="n">
        <f aca="false">IF($A116="","",Data_Engine!$AA116)</f>
        <v>0</v>
      </c>
      <c r="N116" s="69" t="n">
        <f aca="false">IF($A116="","",Data_Engine!$AB116)</f>
        <v>0</v>
      </c>
      <c r="O116" s="69" t="n">
        <f aca="false">IF($A116="","",Data_Engine!$AC116)</f>
        <v>0</v>
      </c>
      <c r="P116" s="69" t="n">
        <f aca="false">IF($A116="","",Data_Engine!$AH116)</f>
        <v>0</v>
      </c>
      <c r="Q116" s="70" t="n">
        <f aca="false">IF($A116="","",Data_Engine!$AD116)</f>
        <v>0</v>
      </c>
      <c r="R116" s="69" t="n">
        <f aca="false">IF($A116="","",Data_Engine!$AF116)</f>
        <v>0</v>
      </c>
      <c r="S116" s="71" t="n">
        <f aca="false">IF($A116="","",$Q116-$R116)</f>
        <v>0</v>
      </c>
      <c r="T116" s="72" t="str">
        <f aca="false">IF($A116="","",IF(ROUND($R116,2)=0,"n/a",$S116/ABS($R116)))</f>
        <v>n/a</v>
      </c>
      <c r="U116" s="69" t="n">
        <f aca="false">IF($A116="","",Data_Engine!$AG116)</f>
        <v>0</v>
      </c>
      <c r="V116" s="73" t="n">
        <f aca="false">IF($A116="","",$Q116-$U116)</f>
        <v>0</v>
      </c>
      <c r="W116" s="72" t="str">
        <f aca="false">IF($A116="","",IF(ROUND($U116,2)=0,"n/a",$V116/ABS($U116)))</f>
        <v>n/a</v>
      </c>
      <c r="X116" s="74" t="str">
        <f aca="false">IF($A116="","",IF(AND(ROUND($Q116,2)=0,ROUND($R116,2)=0),"No Activity",IF(ABS($S116)&lt;Setup!$B$14,"Low",IF(ROUND($R116,2)=0,"High",IF(OR(ABS($S116/$R116)&gt;=Setup!$B$16,ABS($S116)&gt;=Setup!$B$17),"High",IF(ABS($S116/$R116)&gt;=Setup!$B$15,"Medium","Low"))))))</f>
        <v>No Activity</v>
      </c>
      <c r="Y116" s="57"/>
      <c r="Z116" s="75" t="n">
        <f aca="false">IF($A116="",-1000000000000000,IF(ROUND(ABS($S116),0)=0,-1000000000000000,ABS($S116)+ROW()/1000000))</f>
        <v>-1000000000000000</v>
      </c>
    </row>
    <row r="117" customFormat="false" ht="15" hidden="false" customHeight="false" outlineLevel="0" collapsed="false">
      <c r="A117" s="68" t="str">
        <f aca="false">IF(Data_Engine!$A117="","",Data_Engine!$A117)</f>
        <v>Accounting Fees</v>
      </c>
      <c r="B117" s="42" t="str">
        <f aca="false">IF($A117="","",Data_Engine!$B117)</f>
        <v>Expenses</v>
      </c>
      <c r="C117" s="42" t="str">
        <f aca="false">IF($A117="","",Data_Engine!$D117)</f>
        <v>Unallocated</v>
      </c>
      <c r="D117" s="69" t="n">
        <f aca="false">IF($A117="","",Data_Engine!$R117)</f>
        <v>0</v>
      </c>
      <c r="E117" s="69" t="n">
        <f aca="false">IF($A117="","",Data_Engine!$S117)</f>
        <v>0</v>
      </c>
      <c r="F117" s="69" t="n">
        <f aca="false">IF($A117="","",Data_Engine!$T117)</f>
        <v>0</v>
      </c>
      <c r="G117" s="69" t="n">
        <f aca="false">IF($A117="","",Data_Engine!$U117)</f>
        <v>0</v>
      </c>
      <c r="H117" s="69" t="n">
        <f aca="false">IF($A117="","",Data_Engine!$V117)</f>
        <v>0</v>
      </c>
      <c r="I117" s="69" t="n">
        <f aca="false">IF($A117="","",Data_Engine!$W117)</f>
        <v>0</v>
      </c>
      <c r="J117" s="69" t="n">
        <f aca="false">IF($A117="","",Data_Engine!$X117)</f>
        <v>0</v>
      </c>
      <c r="K117" s="69" t="n">
        <f aca="false">IF($A117="","",Data_Engine!$Y117)</f>
        <v>0</v>
      </c>
      <c r="L117" s="69" t="n">
        <f aca="false">IF($A117="","",Data_Engine!$Z117)</f>
        <v>0</v>
      </c>
      <c r="M117" s="69" t="n">
        <f aca="false">IF($A117="","",Data_Engine!$AA117)</f>
        <v>0</v>
      </c>
      <c r="N117" s="69" t="n">
        <f aca="false">IF($A117="","",Data_Engine!$AB117)</f>
        <v>0</v>
      </c>
      <c r="O117" s="69" t="n">
        <f aca="false">IF($A117="","",Data_Engine!$AC117)</f>
        <v>0</v>
      </c>
      <c r="P117" s="69" t="n">
        <f aca="false">IF($A117="","",Data_Engine!$AH117)</f>
        <v>0</v>
      </c>
      <c r="Q117" s="70" t="n">
        <f aca="false">IF($A117="","",Data_Engine!$AD117)</f>
        <v>0</v>
      </c>
      <c r="R117" s="69" t="n">
        <f aca="false">IF($A117="","",Data_Engine!$AF117)</f>
        <v>0</v>
      </c>
      <c r="S117" s="71" t="n">
        <f aca="false">IF($A117="","",$Q117-$R117)</f>
        <v>0</v>
      </c>
      <c r="T117" s="72" t="str">
        <f aca="false">IF($A117="","",IF(ROUND($R117,2)=0,"n/a",$S117/ABS($R117)))</f>
        <v>n/a</v>
      </c>
      <c r="U117" s="69" t="n">
        <f aca="false">IF($A117="","",Data_Engine!$AG117)</f>
        <v>0</v>
      </c>
      <c r="V117" s="73" t="n">
        <f aca="false">IF($A117="","",$Q117-$U117)</f>
        <v>0</v>
      </c>
      <c r="W117" s="72" t="str">
        <f aca="false">IF($A117="","",IF(ROUND($U117,2)=0,"n/a",$V117/ABS($U117)))</f>
        <v>n/a</v>
      </c>
      <c r="X117" s="74" t="str">
        <f aca="false">IF($A117="","",IF(AND(ROUND($Q117,2)=0,ROUND($R117,2)=0),"No Activity",IF(ABS($S117)&lt;Setup!$B$14,"Low",IF(ROUND($R117,2)=0,"High",IF(OR(ABS($S117/$R117)&gt;=Setup!$B$16,ABS($S117)&gt;=Setup!$B$17),"High",IF(ABS($S117/$R117)&gt;=Setup!$B$15,"Medium","Low"))))))</f>
        <v>No Activity</v>
      </c>
      <c r="Y117" s="57"/>
      <c r="Z117" s="75" t="n">
        <f aca="false">IF($A117="",-1000000000000000,IF(ROUND(ABS($S117),0)=0,-1000000000000000,ABS($S117)+ROW()/1000000))</f>
        <v>-1000000000000000</v>
      </c>
    </row>
    <row r="118" customFormat="false" ht="15" hidden="false" customHeight="false" outlineLevel="0" collapsed="false">
      <c r="A118" s="68" t="str">
        <f aca="false">IF(Data_Engine!$A118="","",Data_Engine!$A118)</f>
        <v>Advertising</v>
      </c>
      <c r="B118" s="42" t="str">
        <f aca="false">IF($A118="","",Data_Engine!$B118)</f>
        <v>Expenses</v>
      </c>
      <c r="C118" s="42" t="str">
        <f aca="false">IF($A118="","",Data_Engine!$D118)</f>
        <v>Unallocated</v>
      </c>
      <c r="D118" s="69" t="n">
        <f aca="false">IF($A118="","",Data_Engine!$R118)</f>
        <v>0</v>
      </c>
      <c r="E118" s="69" t="n">
        <f aca="false">IF($A118="","",Data_Engine!$S118)</f>
        <v>0</v>
      </c>
      <c r="F118" s="69" t="n">
        <f aca="false">IF($A118="","",Data_Engine!$T118)</f>
        <v>0</v>
      </c>
      <c r="G118" s="69" t="n">
        <f aca="false">IF($A118="","",Data_Engine!$U118)</f>
        <v>0</v>
      </c>
      <c r="H118" s="69" t="n">
        <f aca="false">IF($A118="","",Data_Engine!$V118)</f>
        <v>0</v>
      </c>
      <c r="I118" s="69" t="n">
        <f aca="false">IF($A118="","",Data_Engine!$W118)</f>
        <v>0</v>
      </c>
      <c r="J118" s="69" t="n">
        <f aca="false">IF($A118="","",Data_Engine!$X118)</f>
        <v>0</v>
      </c>
      <c r="K118" s="69" t="n">
        <f aca="false">IF($A118="","",Data_Engine!$Y118)</f>
        <v>0</v>
      </c>
      <c r="L118" s="69" t="n">
        <f aca="false">IF($A118="","",Data_Engine!$Z118)</f>
        <v>0</v>
      </c>
      <c r="M118" s="69" t="n">
        <f aca="false">IF($A118="","",Data_Engine!$AA118)</f>
        <v>0</v>
      </c>
      <c r="N118" s="69" t="n">
        <f aca="false">IF($A118="","",Data_Engine!$AB118)</f>
        <v>0</v>
      </c>
      <c r="O118" s="69" t="n">
        <f aca="false">IF($A118="","",Data_Engine!$AC118)</f>
        <v>0</v>
      </c>
      <c r="P118" s="69" t="n">
        <f aca="false">IF($A118="","",Data_Engine!$AH118)</f>
        <v>0</v>
      </c>
      <c r="Q118" s="70" t="n">
        <f aca="false">IF($A118="","",Data_Engine!$AD118)</f>
        <v>0</v>
      </c>
      <c r="R118" s="69" t="n">
        <f aca="false">IF($A118="","",Data_Engine!$AF118)</f>
        <v>0</v>
      </c>
      <c r="S118" s="71" t="n">
        <f aca="false">IF($A118="","",$Q118-$R118)</f>
        <v>0</v>
      </c>
      <c r="T118" s="72" t="str">
        <f aca="false">IF($A118="","",IF(ROUND($R118,2)=0,"n/a",$S118/ABS($R118)))</f>
        <v>n/a</v>
      </c>
      <c r="U118" s="69" t="n">
        <f aca="false">IF($A118="","",Data_Engine!$AG118)</f>
        <v>0</v>
      </c>
      <c r="V118" s="73" t="n">
        <f aca="false">IF($A118="","",$Q118-$U118)</f>
        <v>0</v>
      </c>
      <c r="W118" s="72" t="str">
        <f aca="false">IF($A118="","",IF(ROUND($U118,2)=0,"n/a",$V118/ABS($U118)))</f>
        <v>n/a</v>
      </c>
      <c r="X118" s="74" t="str">
        <f aca="false">IF($A118="","",IF(AND(ROUND($Q118,2)=0,ROUND($R118,2)=0),"No Activity",IF(ABS($S118)&lt;Setup!$B$14,"Low",IF(ROUND($R118,2)=0,"High",IF(OR(ABS($S118/$R118)&gt;=Setup!$B$16,ABS($S118)&gt;=Setup!$B$17),"High",IF(ABS($S118/$R118)&gt;=Setup!$B$15,"Medium","Low"))))))</f>
        <v>No Activity</v>
      </c>
      <c r="Y118" s="57"/>
      <c r="Z118" s="75" t="n">
        <f aca="false">IF($A118="",-1000000000000000,IF(ROUND(ABS($S118),0)=0,-1000000000000000,ABS($S118)+ROW()/1000000))</f>
        <v>-1000000000000000</v>
      </c>
    </row>
    <row r="119" customFormat="false" ht="15" hidden="false" customHeight="false" outlineLevel="0" collapsed="false">
      <c r="A119" s="68" t="str">
        <f aca="false">IF(Data_Engine!$A119="","",Data_Engine!$A119)</f>
        <v>Bad Debts</v>
      </c>
      <c r="B119" s="42" t="str">
        <f aca="false">IF($A119="","",Data_Engine!$B119)</f>
        <v>Expenses</v>
      </c>
      <c r="C119" s="42" t="str">
        <f aca="false">IF($A119="","",Data_Engine!$D119)</f>
        <v>Unallocated</v>
      </c>
      <c r="D119" s="69" t="n">
        <f aca="false">IF($A119="","",Data_Engine!$R119)</f>
        <v>0</v>
      </c>
      <c r="E119" s="69" t="n">
        <f aca="false">IF($A119="","",Data_Engine!$S119)</f>
        <v>0</v>
      </c>
      <c r="F119" s="69" t="n">
        <f aca="false">IF($A119="","",Data_Engine!$T119)</f>
        <v>0</v>
      </c>
      <c r="G119" s="69" t="n">
        <f aca="false">IF($A119="","",Data_Engine!$U119)</f>
        <v>0</v>
      </c>
      <c r="H119" s="69" t="n">
        <f aca="false">IF($A119="","",Data_Engine!$V119)</f>
        <v>0</v>
      </c>
      <c r="I119" s="69" t="n">
        <f aca="false">IF($A119="","",Data_Engine!$W119)</f>
        <v>0</v>
      </c>
      <c r="J119" s="69" t="n">
        <f aca="false">IF($A119="","",Data_Engine!$X119)</f>
        <v>0</v>
      </c>
      <c r="K119" s="69" t="n">
        <f aca="false">IF($A119="","",Data_Engine!$Y119)</f>
        <v>0</v>
      </c>
      <c r="L119" s="69" t="n">
        <f aca="false">IF($A119="","",Data_Engine!$Z119)</f>
        <v>0</v>
      </c>
      <c r="M119" s="69" t="n">
        <f aca="false">IF($A119="","",Data_Engine!$AA119)</f>
        <v>0</v>
      </c>
      <c r="N119" s="69" t="n">
        <f aca="false">IF($A119="","",Data_Engine!$AB119)</f>
        <v>0</v>
      </c>
      <c r="O119" s="69" t="n">
        <f aca="false">IF($A119="","",Data_Engine!$AC119)</f>
        <v>0</v>
      </c>
      <c r="P119" s="69" t="n">
        <f aca="false">IF($A119="","",Data_Engine!$AH119)</f>
        <v>0</v>
      </c>
      <c r="Q119" s="70" t="n">
        <f aca="false">IF($A119="","",Data_Engine!$AD119)</f>
        <v>0</v>
      </c>
      <c r="R119" s="69" t="n">
        <f aca="false">IF($A119="","",Data_Engine!$AF119)</f>
        <v>0</v>
      </c>
      <c r="S119" s="71" t="n">
        <f aca="false">IF($A119="","",$Q119-$R119)</f>
        <v>0</v>
      </c>
      <c r="T119" s="72" t="str">
        <f aca="false">IF($A119="","",IF(ROUND($R119,2)=0,"n/a",$S119/ABS($R119)))</f>
        <v>n/a</v>
      </c>
      <c r="U119" s="69" t="n">
        <f aca="false">IF($A119="","",Data_Engine!$AG119)</f>
        <v>0</v>
      </c>
      <c r="V119" s="73" t="n">
        <f aca="false">IF($A119="","",$Q119-$U119)</f>
        <v>0</v>
      </c>
      <c r="W119" s="72" t="str">
        <f aca="false">IF($A119="","",IF(ROUND($U119,2)=0,"n/a",$V119/ABS($U119)))</f>
        <v>n/a</v>
      </c>
      <c r="X119" s="74" t="str">
        <f aca="false">IF($A119="","",IF(AND(ROUND($Q119,2)=0,ROUND($R119,2)=0),"No Activity",IF(ABS($S119)&lt;Setup!$B$14,"Low",IF(ROUND($R119,2)=0,"High",IF(OR(ABS($S119/$R119)&gt;=Setup!$B$16,ABS($S119)&gt;=Setup!$B$17),"High",IF(ABS($S119/$R119)&gt;=Setup!$B$15,"Medium","Low"))))))</f>
        <v>No Activity</v>
      </c>
      <c r="Y119" s="57"/>
      <c r="Z119" s="75" t="n">
        <f aca="false">IF($A119="",-1000000000000000,IF(ROUND(ABS($S119),0)=0,-1000000000000000,ABS($S119)+ROW()/1000000))</f>
        <v>-1000000000000000</v>
      </c>
    </row>
    <row r="120" customFormat="false" ht="15" hidden="false" customHeight="false" outlineLevel="0" collapsed="false">
      <c r="A120" s="68" t="str">
        <f aca="false">IF(Data_Engine!$A120="","",Data_Engine!$A120)</f>
        <v>Bank Charges</v>
      </c>
      <c r="B120" s="42" t="str">
        <f aca="false">IF($A120="","",Data_Engine!$B120)</f>
        <v>Expenses</v>
      </c>
      <c r="C120" s="42" t="str">
        <f aca="false">IF($A120="","",Data_Engine!$D120)</f>
        <v>Unallocated</v>
      </c>
      <c r="D120" s="69" t="n">
        <f aca="false">IF($A120="","",Data_Engine!$R120)</f>
        <v>0</v>
      </c>
      <c r="E120" s="69" t="n">
        <f aca="false">IF($A120="","",Data_Engine!$S120)</f>
        <v>0</v>
      </c>
      <c r="F120" s="69" t="n">
        <f aca="false">IF($A120="","",Data_Engine!$T120)</f>
        <v>0</v>
      </c>
      <c r="G120" s="69" t="n">
        <f aca="false">IF($A120="","",Data_Engine!$U120)</f>
        <v>0</v>
      </c>
      <c r="H120" s="69" t="n">
        <f aca="false">IF($A120="","",Data_Engine!$V120)</f>
        <v>0</v>
      </c>
      <c r="I120" s="69" t="n">
        <f aca="false">IF($A120="","",Data_Engine!$W120)</f>
        <v>0</v>
      </c>
      <c r="J120" s="69" t="n">
        <f aca="false">IF($A120="","",Data_Engine!$X120)</f>
        <v>0</v>
      </c>
      <c r="K120" s="69" t="n">
        <f aca="false">IF($A120="","",Data_Engine!$Y120)</f>
        <v>0</v>
      </c>
      <c r="L120" s="69" t="n">
        <f aca="false">IF($A120="","",Data_Engine!$Z120)</f>
        <v>0</v>
      </c>
      <c r="M120" s="69" t="n">
        <f aca="false">IF($A120="","",Data_Engine!$AA120)</f>
        <v>0</v>
      </c>
      <c r="N120" s="69" t="n">
        <f aca="false">IF($A120="","",Data_Engine!$AB120)</f>
        <v>0</v>
      </c>
      <c r="O120" s="69" t="n">
        <f aca="false">IF($A120="","",Data_Engine!$AC120)</f>
        <v>0</v>
      </c>
      <c r="P120" s="69" t="n">
        <f aca="false">IF($A120="","",Data_Engine!$AH120)</f>
        <v>0</v>
      </c>
      <c r="Q120" s="70" t="n">
        <f aca="false">IF($A120="","",Data_Engine!$AD120)</f>
        <v>0</v>
      </c>
      <c r="R120" s="69" t="n">
        <f aca="false">IF($A120="","",Data_Engine!$AF120)</f>
        <v>0</v>
      </c>
      <c r="S120" s="71" t="n">
        <f aca="false">IF($A120="","",$Q120-$R120)</f>
        <v>0</v>
      </c>
      <c r="T120" s="72" t="str">
        <f aca="false">IF($A120="","",IF(ROUND($R120,2)=0,"n/a",$S120/ABS($R120)))</f>
        <v>n/a</v>
      </c>
      <c r="U120" s="69" t="n">
        <f aca="false">IF($A120="","",Data_Engine!$AG120)</f>
        <v>0</v>
      </c>
      <c r="V120" s="73" t="n">
        <f aca="false">IF($A120="","",$Q120-$U120)</f>
        <v>0</v>
      </c>
      <c r="W120" s="72" t="str">
        <f aca="false">IF($A120="","",IF(ROUND($U120,2)=0,"n/a",$V120/ABS($U120)))</f>
        <v>n/a</v>
      </c>
      <c r="X120" s="74" t="str">
        <f aca="false">IF($A120="","",IF(AND(ROUND($Q120,2)=0,ROUND($R120,2)=0),"No Activity",IF(ABS($S120)&lt;Setup!$B$14,"Low",IF(ROUND($R120,2)=0,"High",IF(OR(ABS($S120/$R120)&gt;=Setup!$B$16,ABS($S120)&gt;=Setup!$B$17),"High",IF(ABS($S120/$R120)&gt;=Setup!$B$15,"Medium","Low"))))))</f>
        <v>No Activity</v>
      </c>
      <c r="Y120" s="57"/>
      <c r="Z120" s="75" t="n">
        <f aca="false">IF($A120="",-1000000000000000,IF(ROUND(ABS($S120),0)=0,-1000000000000000,ABS($S120)+ROW()/1000000))</f>
        <v>-1000000000000000</v>
      </c>
    </row>
    <row r="121" customFormat="false" ht="15" hidden="false" customHeight="false" outlineLevel="0" collapsed="false">
      <c r="A121" s="68" t="str">
        <f aca="false">IF(Data_Engine!$A121="","",Data_Engine!$A121)</f>
        <v>Bank Revaluations</v>
      </c>
      <c r="B121" s="42" t="str">
        <f aca="false">IF($A121="","",Data_Engine!$B121)</f>
        <v>Expenses</v>
      </c>
      <c r="C121" s="42" t="str">
        <f aca="false">IF($A121="","",Data_Engine!$D121)</f>
        <v>Unallocated</v>
      </c>
      <c r="D121" s="69" t="n">
        <f aca="false">IF($A121="","",Data_Engine!$R121)</f>
        <v>0</v>
      </c>
      <c r="E121" s="69" t="n">
        <f aca="false">IF($A121="","",Data_Engine!$S121)</f>
        <v>0</v>
      </c>
      <c r="F121" s="69" t="n">
        <f aca="false">IF($A121="","",Data_Engine!$T121)</f>
        <v>0</v>
      </c>
      <c r="G121" s="69" t="n">
        <f aca="false">IF($A121="","",Data_Engine!$U121)</f>
        <v>0</v>
      </c>
      <c r="H121" s="69" t="n">
        <f aca="false">IF($A121="","",Data_Engine!$V121)</f>
        <v>0</v>
      </c>
      <c r="I121" s="69" t="n">
        <f aca="false">IF($A121="","",Data_Engine!$W121)</f>
        <v>0</v>
      </c>
      <c r="J121" s="69" t="n">
        <f aca="false">IF($A121="","",Data_Engine!$X121)</f>
        <v>0</v>
      </c>
      <c r="K121" s="69" t="n">
        <f aca="false">IF($A121="","",Data_Engine!$Y121)</f>
        <v>0</v>
      </c>
      <c r="L121" s="69" t="n">
        <f aca="false">IF($A121="","",Data_Engine!$Z121)</f>
        <v>0</v>
      </c>
      <c r="M121" s="69" t="n">
        <f aca="false">IF($A121="","",Data_Engine!$AA121)</f>
        <v>0</v>
      </c>
      <c r="N121" s="69" t="n">
        <f aca="false">IF($A121="","",Data_Engine!$AB121)</f>
        <v>0</v>
      </c>
      <c r="O121" s="69" t="n">
        <f aca="false">IF($A121="","",Data_Engine!$AC121)</f>
        <v>0</v>
      </c>
      <c r="P121" s="69" t="n">
        <f aca="false">IF($A121="","",Data_Engine!$AH121)</f>
        <v>0</v>
      </c>
      <c r="Q121" s="70" t="n">
        <f aca="false">IF($A121="","",Data_Engine!$AD121)</f>
        <v>0</v>
      </c>
      <c r="R121" s="69" t="n">
        <f aca="false">IF($A121="","",Data_Engine!$AF121)</f>
        <v>0</v>
      </c>
      <c r="S121" s="71" t="n">
        <f aca="false">IF($A121="","",$Q121-$R121)</f>
        <v>0</v>
      </c>
      <c r="T121" s="72" t="str">
        <f aca="false">IF($A121="","",IF(ROUND($R121,2)=0,"n/a",$S121/ABS($R121)))</f>
        <v>n/a</v>
      </c>
      <c r="U121" s="69" t="n">
        <f aca="false">IF($A121="","",Data_Engine!$AG121)</f>
        <v>0</v>
      </c>
      <c r="V121" s="73" t="n">
        <f aca="false">IF($A121="","",$Q121-$U121)</f>
        <v>0</v>
      </c>
      <c r="W121" s="72" t="str">
        <f aca="false">IF($A121="","",IF(ROUND($U121,2)=0,"n/a",$V121/ABS($U121)))</f>
        <v>n/a</v>
      </c>
      <c r="X121" s="74" t="str">
        <f aca="false">IF($A121="","",IF(AND(ROUND($Q121,2)=0,ROUND($R121,2)=0),"No Activity",IF(ABS($S121)&lt;Setup!$B$14,"Low",IF(ROUND($R121,2)=0,"High",IF(OR(ABS($S121/$R121)&gt;=Setup!$B$16,ABS($S121)&gt;=Setup!$B$17),"High",IF(ABS($S121/$R121)&gt;=Setup!$B$15,"Medium","Low"))))))</f>
        <v>No Activity</v>
      </c>
      <c r="Y121" s="57"/>
      <c r="Z121" s="75" t="n">
        <f aca="false">IF($A121="",-1000000000000000,IF(ROUND(ABS($S121),0)=0,-1000000000000000,ABS($S121)+ROW()/1000000))</f>
        <v>-1000000000000000</v>
      </c>
    </row>
    <row r="122" customFormat="false" ht="15" hidden="false" customHeight="false" outlineLevel="0" collapsed="false">
      <c r="A122" s="68" t="str">
        <f aca="false">IF(Data_Engine!$A122="","",Data_Engine!$A122)</f>
        <v>Business Advisory</v>
      </c>
      <c r="B122" s="42" t="str">
        <f aca="false">IF($A122="","",Data_Engine!$B122)</f>
        <v>Expenses</v>
      </c>
      <c r="C122" s="42" t="str">
        <f aca="false">IF($A122="","",Data_Engine!$D122)</f>
        <v>Unallocated</v>
      </c>
      <c r="D122" s="69" t="n">
        <f aca="false">IF($A122="","",Data_Engine!$R122)</f>
        <v>0</v>
      </c>
      <c r="E122" s="69" t="n">
        <f aca="false">IF($A122="","",Data_Engine!$S122)</f>
        <v>0</v>
      </c>
      <c r="F122" s="69" t="n">
        <f aca="false">IF($A122="","",Data_Engine!$T122)</f>
        <v>0</v>
      </c>
      <c r="G122" s="69" t="n">
        <f aca="false">IF($A122="","",Data_Engine!$U122)</f>
        <v>0</v>
      </c>
      <c r="H122" s="69" t="n">
        <f aca="false">IF($A122="","",Data_Engine!$V122)</f>
        <v>0</v>
      </c>
      <c r="I122" s="69" t="n">
        <f aca="false">IF($A122="","",Data_Engine!$W122)</f>
        <v>0</v>
      </c>
      <c r="J122" s="69" t="n">
        <f aca="false">IF($A122="","",Data_Engine!$X122)</f>
        <v>0</v>
      </c>
      <c r="K122" s="69" t="n">
        <f aca="false">IF($A122="","",Data_Engine!$Y122)</f>
        <v>0</v>
      </c>
      <c r="L122" s="69" t="n">
        <f aca="false">IF($A122="","",Data_Engine!$Z122)</f>
        <v>0</v>
      </c>
      <c r="M122" s="69" t="n">
        <f aca="false">IF($A122="","",Data_Engine!$AA122)</f>
        <v>0</v>
      </c>
      <c r="N122" s="69" t="n">
        <f aca="false">IF($A122="","",Data_Engine!$AB122)</f>
        <v>0</v>
      </c>
      <c r="O122" s="69" t="n">
        <f aca="false">IF($A122="","",Data_Engine!$AC122)</f>
        <v>0</v>
      </c>
      <c r="P122" s="69" t="n">
        <f aca="false">IF($A122="","",Data_Engine!$AH122)</f>
        <v>0</v>
      </c>
      <c r="Q122" s="70" t="n">
        <f aca="false">IF($A122="","",Data_Engine!$AD122)</f>
        <v>0</v>
      </c>
      <c r="R122" s="69" t="n">
        <f aca="false">IF($A122="","",Data_Engine!$AF122)</f>
        <v>0</v>
      </c>
      <c r="S122" s="71" t="n">
        <f aca="false">IF($A122="","",$Q122-$R122)</f>
        <v>0</v>
      </c>
      <c r="T122" s="72" t="str">
        <f aca="false">IF($A122="","",IF(ROUND($R122,2)=0,"n/a",$S122/ABS($R122)))</f>
        <v>n/a</v>
      </c>
      <c r="U122" s="69" t="n">
        <f aca="false">IF($A122="","",Data_Engine!$AG122)</f>
        <v>0</v>
      </c>
      <c r="V122" s="73" t="n">
        <f aca="false">IF($A122="","",$Q122-$U122)</f>
        <v>0</v>
      </c>
      <c r="W122" s="72" t="str">
        <f aca="false">IF($A122="","",IF(ROUND($U122,2)=0,"n/a",$V122/ABS($U122)))</f>
        <v>n/a</v>
      </c>
      <c r="X122" s="74" t="str">
        <f aca="false">IF($A122="","",IF(AND(ROUND($Q122,2)=0,ROUND($R122,2)=0),"No Activity",IF(ABS($S122)&lt;Setup!$B$14,"Low",IF(ROUND($R122,2)=0,"High",IF(OR(ABS($S122/$R122)&gt;=Setup!$B$16,ABS($S122)&gt;=Setup!$B$17),"High",IF(ABS($S122/$R122)&gt;=Setup!$B$15,"Medium","Low"))))))</f>
        <v>No Activity</v>
      </c>
      <c r="Y122" s="57"/>
      <c r="Z122" s="75" t="n">
        <f aca="false">IF($A122="",-1000000000000000,IF(ROUND(ABS($S122),0)=0,-1000000000000000,ABS($S122)+ROW()/1000000))</f>
        <v>-1000000000000000</v>
      </c>
    </row>
    <row r="123" customFormat="false" ht="15" hidden="false" customHeight="false" outlineLevel="0" collapsed="false">
      <c r="A123" s="68" t="str">
        <f aca="false">IF(Data_Engine!$A123="","",Data_Engine!$A123)</f>
        <v>Business Combined</v>
      </c>
      <c r="B123" s="42" t="str">
        <f aca="false">IF($A123="","",Data_Engine!$B123)</f>
        <v>Expenses</v>
      </c>
      <c r="C123" s="42" t="str">
        <f aca="false">IF($A123="","",Data_Engine!$D123)</f>
        <v>Unallocated</v>
      </c>
      <c r="D123" s="69" t="n">
        <f aca="false">IF($A123="","",Data_Engine!$R123)</f>
        <v>0</v>
      </c>
      <c r="E123" s="69" t="n">
        <f aca="false">IF($A123="","",Data_Engine!$S123)</f>
        <v>0</v>
      </c>
      <c r="F123" s="69" t="n">
        <f aca="false">IF($A123="","",Data_Engine!$T123)</f>
        <v>0</v>
      </c>
      <c r="G123" s="69" t="n">
        <f aca="false">IF($A123="","",Data_Engine!$U123)</f>
        <v>0</v>
      </c>
      <c r="H123" s="69" t="n">
        <f aca="false">IF($A123="","",Data_Engine!$V123)</f>
        <v>0</v>
      </c>
      <c r="I123" s="69" t="n">
        <f aca="false">IF($A123="","",Data_Engine!$W123)</f>
        <v>0</v>
      </c>
      <c r="J123" s="69" t="n">
        <f aca="false">IF($A123="","",Data_Engine!$X123)</f>
        <v>0</v>
      </c>
      <c r="K123" s="69" t="n">
        <f aca="false">IF($A123="","",Data_Engine!$Y123)</f>
        <v>0</v>
      </c>
      <c r="L123" s="69" t="n">
        <f aca="false">IF($A123="","",Data_Engine!$Z123)</f>
        <v>0</v>
      </c>
      <c r="M123" s="69" t="n">
        <f aca="false">IF($A123="","",Data_Engine!$AA123)</f>
        <v>0</v>
      </c>
      <c r="N123" s="69" t="n">
        <f aca="false">IF($A123="","",Data_Engine!$AB123)</f>
        <v>0</v>
      </c>
      <c r="O123" s="69" t="n">
        <f aca="false">IF($A123="","",Data_Engine!$AC123)</f>
        <v>0</v>
      </c>
      <c r="P123" s="69" t="n">
        <f aca="false">IF($A123="","",Data_Engine!$AH123)</f>
        <v>0</v>
      </c>
      <c r="Q123" s="70" t="n">
        <f aca="false">IF($A123="","",Data_Engine!$AD123)</f>
        <v>0</v>
      </c>
      <c r="R123" s="69" t="n">
        <f aca="false">IF($A123="","",Data_Engine!$AF123)</f>
        <v>0</v>
      </c>
      <c r="S123" s="71" t="n">
        <f aca="false">IF($A123="","",$Q123-$R123)</f>
        <v>0</v>
      </c>
      <c r="T123" s="72" t="str">
        <f aca="false">IF($A123="","",IF(ROUND($R123,2)=0,"n/a",$S123/ABS($R123)))</f>
        <v>n/a</v>
      </c>
      <c r="U123" s="69" t="n">
        <f aca="false">IF($A123="","",Data_Engine!$AG123)</f>
        <v>0</v>
      </c>
      <c r="V123" s="73" t="n">
        <f aca="false">IF($A123="","",$Q123-$U123)</f>
        <v>0</v>
      </c>
      <c r="W123" s="72" t="str">
        <f aca="false">IF($A123="","",IF(ROUND($U123,2)=0,"n/a",$V123/ABS($U123)))</f>
        <v>n/a</v>
      </c>
      <c r="X123" s="74" t="str">
        <f aca="false">IF($A123="","",IF(AND(ROUND($Q123,2)=0,ROUND($R123,2)=0),"No Activity",IF(ABS($S123)&lt;Setup!$B$14,"Low",IF(ROUND($R123,2)=0,"High",IF(OR(ABS($S123/$R123)&gt;=Setup!$B$16,ABS($S123)&gt;=Setup!$B$17),"High",IF(ABS($S123/$R123)&gt;=Setup!$B$15,"Medium","Low"))))))</f>
        <v>No Activity</v>
      </c>
      <c r="Y123" s="57"/>
      <c r="Z123" s="75" t="n">
        <f aca="false">IF($A123="",-1000000000000000,IF(ROUND(ABS($S123),0)=0,-1000000000000000,ABS($S123)+ROW()/1000000))</f>
        <v>-1000000000000000</v>
      </c>
    </row>
    <row r="124" customFormat="false" ht="15" hidden="false" customHeight="false" outlineLevel="0" collapsed="false">
      <c r="A124" s="68" t="str">
        <f aca="false">IF(Data_Engine!$A124="","",Data_Engine!$A124)</f>
        <v>Client Entertainment</v>
      </c>
      <c r="B124" s="42" t="str">
        <f aca="false">IF($A124="","",Data_Engine!$B124)</f>
        <v>Expenses</v>
      </c>
      <c r="C124" s="42" t="str">
        <f aca="false">IF($A124="","",Data_Engine!$D124)</f>
        <v>Unallocated</v>
      </c>
      <c r="D124" s="69" t="n">
        <f aca="false">IF($A124="","",Data_Engine!$R124)</f>
        <v>0</v>
      </c>
      <c r="E124" s="69" t="n">
        <f aca="false">IF($A124="","",Data_Engine!$S124)</f>
        <v>0</v>
      </c>
      <c r="F124" s="69" t="n">
        <f aca="false">IF($A124="","",Data_Engine!$T124)</f>
        <v>0</v>
      </c>
      <c r="G124" s="69" t="n">
        <f aca="false">IF($A124="","",Data_Engine!$U124)</f>
        <v>0</v>
      </c>
      <c r="H124" s="69" t="n">
        <f aca="false">IF($A124="","",Data_Engine!$V124)</f>
        <v>0</v>
      </c>
      <c r="I124" s="69" t="n">
        <f aca="false">IF($A124="","",Data_Engine!$W124)</f>
        <v>0</v>
      </c>
      <c r="J124" s="69" t="n">
        <f aca="false">IF($A124="","",Data_Engine!$X124)</f>
        <v>0</v>
      </c>
      <c r="K124" s="69" t="n">
        <f aca="false">IF($A124="","",Data_Engine!$Y124)</f>
        <v>0</v>
      </c>
      <c r="L124" s="69" t="n">
        <f aca="false">IF($A124="","",Data_Engine!$Z124)</f>
        <v>0</v>
      </c>
      <c r="M124" s="69" t="n">
        <f aca="false">IF($A124="","",Data_Engine!$AA124)</f>
        <v>0</v>
      </c>
      <c r="N124" s="69" t="n">
        <f aca="false">IF($A124="","",Data_Engine!$AB124)</f>
        <v>0</v>
      </c>
      <c r="O124" s="69" t="n">
        <f aca="false">IF($A124="","",Data_Engine!$AC124)</f>
        <v>0</v>
      </c>
      <c r="P124" s="69" t="n">
        <f aca="false">IF($A124="","",Data_Engine!$AH124)</f>
        <v>0</v>
      </c>
      <c r="Q124" s="70" t="n">
        <f aca="false">IF($A124="","",Data_Engine!$AD124)</f>
        <v>0</v>
      </c>
      <c r="R124" s="69" t="n">
        <f aca="false">IF($A124="","",Data_Engine!$AF124)</f>
        <v>0</v>
      </c>
      <c r="S124" s="71" t="n">
        <f aca="false">IF($A124="","",$Q124-$R124)</f>
        <v>0</v>
      </c>
      <c r="T124" s="72" t="str">
        <f aca="false">IF($A124="","",IF(ROUND($R124,2)=0,"n/a",$S124/ABS($R124)))</f>
        <v>n/a</v>
      </c>
      <c r="U124" s="69" t="n">
        <f aca="false">IF($A124="","",Data_Engine!$AG124)</f>
        <v>0</v>
      </c>
      <c r="V124" s="73" t="n">
        <f aca="false">IF($A124="","",$Q124-$U124)</f>
        <v>0</v>
      </c>
      <c r="W124" s="72" t="str">
        <f aca="false">IF($A124="","",IF(ROUND($U124,2)=0,"n/a",$V124/ABS($U124)))</f>
        <v>n/a</v>
      </c>
      <c r="X124" s="74" t="str">
        <f aca="false">IF($A124="","",IF(AND(ROUND($Q124,2)=0,ROUND($R124,2)=0),"No Activity",IF(ABS($S124)&lt;Setup!$B$14,"Low",IF(ROUND($R124,2)=0,"High",IF(OR(ABS($S124/$R124)&gt;=Setup!$B$16,ABS($S124)&gt;=Setup!$B$17),"High",IF(ABS($S124/$R124)&gt;=Setup!$B$15,"Medium","Low"))))))</f>
        <v>No Activity</v>
      </c>
      <c r="Y124" s="57"/>
      <c r="Z124" s="75" t="n">
        <f aca="false">IF($A124="",-1000000000000000,IF(ROUND(ABS($S124),0)=0,-1000000000000000,ABS($S124)+ROW()/1000000))</f>
        <v>-1000000000000000</v>
      </c>
    </row>
    <row r="125" customFormat="false" ht="15" hidden="false" customHeight="false" outlineLevel="0" collapsed="false">
      <c r="A125" s="68" t="str">
        <f aca="false">IF(Data_Engine!$A125="","",Data_Engine!$A125)</f>
        <v>Credit Card Fees Paid</v>
      </c>
      <c r="B125" s="42" t="str">
        <f aca="false">IF($A125="","",Data_Engine!$B125)</f>
        <v>Expenses</v>
      </c>
      <c r="C125" s="42" t="str">
        <f aca="false">IF($A125="","",Data_Engine!$D125)</f>
        <v>Unallocated</v>
      </c>
      <c r="D125" s="69" t="n">
        <f aca="false">IF($A125="","",Data_Engine!$R125)</f>
        <v>0</v>
      </c>
      <c r="E125" s="69" t="n">
        <f aca="false">IF($A125="","",Data_Engine!$S125)</f>
        <v>0</v>
      </c>
      <c r="F125" s="69" t="n">
        <f aca="false">IF($A125="","",Data_Engine!$T125)</f>
        <v>0</v>
      </c>
      <c r="G125" s="69" t="n">
        <f aca="false">IF($A125="","",Data_Engine!$U125)</f>
        <v>0</v>
      </c>
      <c r="H125" s="69" t="n">
        <f aca="false">IF($A125="","",Data_Engine!$V125)</f>
        <v>0</v>
      </c>
      <c r="I125" s="69" t="n">
        <f aca="false">IF($A125="","",Data_Engine!$W125)</f>
        <v>0</v>
      </c>
      <c r="J125" s="69" t="n">
        <f aca="false">IF($A125="","",Data_Engine!$X125)</f>
        <v>0</v>
      </c>
      <c r="K125" s="69" t="n">
        <f aca="false">IF($A125="","",Data_Engine!$Y125)</f>
        <v>0</v>
      </c>
      <c r="L125" s="69" t="n">
        <f aca="false">IF($A125="","",Data_Engine!$Z125)</f>
        <v>0</v>
      </c>
      <c r="M125" s="69" t="n">
        <f aca="false">IF($A125="","",Data_Engine!$AA125)</f>
        <v>0</v>
      </c>
      <c r="N125" s="69" t="n">
        <f aca="false">IF($A125="","",Data_Engine!$AB125)</f>
        <v>0</v>
      </c>
      <c r="O125" s="69" t="n">
        <f aca="false">IF($A125="","",Data_Engine!$AC125)</f>
        <v>0</v>
      </c>
      <c r="P125" s="69" t="n">
        <f aca="false">IF($A125="","",Data_Engine!$AH125)</f>
        <v>0</v>
      </c>
      <c r="Q125" s="70" t="n">
        <f aca="false">IF($A125="","",Data_Engine!$AD125)</f>
        <v>0</v>
      </c>
      <c r="R125" s="69" t="n">
        <f aca="false">IF($A125="","",Data_Engine!$AF125)</f>
        <v>0</v>
      </c>
      <c r="S125" s="71" t="n">
        <f aca="false">IF($A125="","",$Q125-$R125)</f>
        <v>0</v>
      </c>
      <c r="T125" s="72" t="str">
        <f aca="false">IF($A125="","",IF(ROUND($R125,2)=0,"n/a",$S125/ABS($R125)))</f>
        <v>n/a</v>
      </c>
      <c r="U125" s="69" t="n">
        <f aca="false">IF($A125="","",Data_Engine!$AG125)</f>
        <v>0</v>
      </c>
      <c r="V125" s="73" t="n">
        <f aca="false">IF($A125="","",$Q125-$U125)</f>
        <v>0</v>
      </c>
      <c r="W125" s="72" t="str">
        <f aca="false">IF($A125="","",IF(ROUND($U125,2)=0,"n/a",$V125/ABS($U125)))</f>
        <v>n/a</v>
      </c>
      <c r="X125" s="74" t="str">
        <f aca="false">IF($A125="","",IF(AND(ROUND($Q125,2)=0,ROUND($R125,2)=0),"No Activity",IF(ABS($S125)&lt;Setup!$B$14,"Low",IF(ROUND($R125,2)=0,"High",IF(OR(ABS($S125/$R125)&gt;=Setup!$B$16,ABS($S125)&gt;=Setup!$B$17),"High",IF(ABS($S125/$R125)&gt;=Setup!$B$15,"Medium","Low"))))))</f>
        <v>No Activity</v>
      </c>
      <c r="Y125" s="57"/>
      <c r="Z125" s="75" t="n">
        <f aca="false">IF($A125="",-1000000000000000,IF(ROUND(ABS($S125),0)=0,-1000000000000000,ABS($S125)+ROW()/1000000))</f>
        <v>-1000000000000000</v>
      </c>
    </row>
    <row r="126" customFormat="false" ht="15" hidden="false" customHeight="false" outlineLevel="0" collapsed="false">
      <c r="A126" s="68" t="str">
        <f aca="false">IF(Data_Engine!$A126="","",Data_Engine!$A126)</f>
        <v>Custodian Vaults</v>
      </c>
      <c r="B126" s="42" t="str">
        <f aca="false">IF($A126="","",Data_Engine!$B126)</f>
        <v>Expenses</v>
      </c>
      <c r="C126" s="42" t="str">
        <f aca="false">IF($A126="","",Data_Engine!$D126)</f>
        <v>Unallocated</v>
      </c>
      <c r="D126" s="69" t="n">
        <f aca="false">IF($A126="","",Data_Engine!$R126)</f>
        <v>0</v>
      </c>
      <c r="E126" s="69" t="n">
        <f aca="false">IF($A126="","",Data_Engine!$S126)</f>
        <v>0</v>
      </c>
      <c r="F126" s="69" t="n">
        <f aca="false">IF($A126="","",Data_Engine!$T126)</f>
        <v>0</v>
      </c>
      <c r="G126" s="69" t="n">
        <f aca="false">IF($A126="","",Data_Engine!$U126)</f>
        <v>0</v>
      </c>
      <c r="H126" s="69" t="n">
        <f aca="false">IF($A126="","",Data_Engine!$V126)</f>
        <v>0</v>
      </c>
      <c r="I126" s="69" t="n">
        <f aca="false">IF($A126="","",Data_Engine!$W126)</f>
        <v>0</v>
      </c>
      <c r="J126" s="69" t="n">
        <f aca="false">IF($A126="","",Data_Engine!$X126)</f>
        <v>0</v>
      </c>
      <c r="K126" s="69" t="n">
        <f aca="false">IF($A126="","",Data_Engine!$Y126)</f>
        <v>0</v>
      </c>
      <c r="L126" s="69" t="n">
        <f aca="false">IF($A126="","",Data_Engine!$Z126)</f>
        <v>0</v>
      </c>
      <c r="M126" s="69" t="n">
        <f aca="false">IF($A126="","",Data_Engine!$AA126)</f>
        <v>0</v>
      </c>
      <c r="N126" s="69" t="n">
        <f aca="false">IF($A126="","",Data_Engine!$AB126)</f>
        <v>0</v>
      </c>
      <c r="O126" s="69" t="n">
        <f aca="false">IF($A126="","",Data_Engine!$AC126)</f>
        <v>0</v>
      </c>
      <c r="P126" s="69" t="n">
        <f aca="false">IF($A126="","",Data_Engine!$AH126)</f>
        <v>0</v>
      </c>
      <c r="Q126" s="70" t="n">
        <f aca="false">IF($A126="","",Data_Engine!$AD126)</f>
        <v>0</v>
      </c>
      <c r="R126" s="69" t="n">
        <f aca="false">IF($A126="","",Data_Engine!$AF126)</f>
        <v>0</v>
      </c>
      <c r="S126" s="71" t="n">
        <f aca="false">IF($A126="","",$Q126-$R126)</f>
        <v>0</v>
      </c>
      <c r="T126" s="72" t="str">
        <f aca="false">IF($A126="","",IF(ROUND($R126,2)=0,"n/a",$S126/ABS($R126)))</f>
        <v>n/a</v>
      </c>
      <c r="U126" s="69" t="n">
        <f aca="false">IF($A126="","",Data_Engine!$AG126)</f>
        <v>0</v>
      </c>
      <c r="V126" s="73" t="n">
        <f aca="false">IF($A126="","",$Q126-$U126)</f>
        <v>0</v>
      </c>
      <c r="W126" s="72" t="str">
        <f aca="false">IF($A126="","",IF(ROUND($U126,2)=0,"n/a",$V126/ABS($U126)))</f>
        <v>n/a</v>
      </c>
      <c r="X126" s="74" t="str">
        <f aca="false">IF($A126="","",IF(AND(ROUND($Q126,2)=0,ROUND($R126,2)=0),"No Activity",IF(ABS($S126)&lt;Setup!$B$14,"Low",IF(ROUND($R126,2)=0,"High",IF(OR(ABS($S126/$R126)&gt;=Setup!$B$16,ABS($S126)&gt;=Setup!$B$17),"High",IF(ABS($S126/$R126)&gt;=Setup!$B$15,"Medium","Low"))))))</f>
        <v>No Activity</v>
      </c>
      <c r="Y126" s="57"/>
      <c r="Z126" s="75" t="n">
        <f aca="false">IF($A126="",-1000000000000000,IF(ROUND(ABS($S126),0)=0,-1000000000000000,ABS($S126)+ROW()/1000000))</f>
        <v>-1000000000000000</v>
      </c>
    </row>
    <row r="127" customFormat="false" ht="15" hidden="false" customHeight="false" outlineLevel="0" collapsed="false">
      <c r="A127" s="68" t="str">
        <f aca="false">IF(Data_Engine!$A127="","",Data_Engine!$A127)</f>
        <v>Depreciation</v>
      </c>
      <c r="B127" s="42" t="str">
        <f aca="false">IF($A127="","",Data_Engine!$B127)</f>
        <v>Expenses</v>
      </c>
      <c r="C127" s="42" t="str">
        <f aca="false">IF($A127="","",Data_Engine!$D127)</f>
        <v>Unallocated</v>
      </c>
      <c r="D127" s="69" t="n">
        <f aca="false">IF($A127="","",Data_Engine!$R127)</f>
        <v>0</v>
      </c>
      <c r="E127" s="69" t="n">
        <f aca="false">IF($A127="","",Data_Engine!$S127)</f>
        <v>0</v>
      </c>
      <c r="F127" s="69" t="n">
        <f aca="false">IF($A127="","",Data_Engine!$T127)</f>
        <v>0</v>
      </c>
      <c r="G127" s="69" t="n">
        <f aca="false">IF($A127="","",Data_Engine!$U127)</f>
        <v>0</v>
      </c>
      <c r="H127" s="69" t="n">
        <f aca="false">IF($A127="","",Data_Engine!$V127)</f>
        <v>0</v>
      </c>
      <c r="I127" s="69" t="n">
        <f aca="false">IF($A127="","",Data_Engine!$W127)</f>
        <v>0</v>
      </c>
      <c r="J127" s="69" t="n">
        <f aca="false">IF($A127="","",Data_Engine!$X127)</f>
        <v>0</v>
      </c>
      <c r="K127" s="69" t="n">
        <f aca="false">IF($A127="","",Data_Engine!$Y127)</f>
        <v>0</v>
      </c>
      <c r="L127" s="69" t="n">
        <f aca="false">IF($A127="","",Data_Engine!$Z127)</f>
        <v>0</v>
      </c>
      <c r="M127" s="69" t="n">
        <f aca="false">IF($A127="","",Data_Engine!$AA127)</f>
        <v>0</v>
      </c>
      <c r="N127" s="69" t="n">
        <f aca="false">IF($A127="","",Data_Engine!$AB127)</f>
        <v>0</v>
      </c>
      <c r="O127" s="69" t="n">
        <f aca="false">IF($A127="","",Data_Engine!$AC127)</f>
        <v>0</v>
      </c>
      <c r="P127" s="69" t="n">
        <f aca="false">IF($A127="","",Data_Engine!$AH127)</f>
        <v>0</v>
      </c>
      <c r="Q127" s="70" t="n">
        <f aca="false">IF($A127="","",Data_Engine!$AD127)</f>
        <v>0</v>
      </c>
      <c r="R127" s="69" t="n">
        <f aca="false">IF($A127="","",Data_Engine!$AF127)</f>
        <v>0</v>
      </c>
      <c r="S127" s="71" t="n">
        <f aca="false">IF($A127="","",$Q127-$R127)</f>
        <v>0</v>
      </c>
      <c r="T127" s="72" t="str">
        <f aca="false">IF($A127="","",IF(ROUND($R127,2)=0,"n/a",$S127/ABS($R127)))</f>
        <v>n/a</v>
      </c>
      <c r="U127" s="69" t="n">
        <f aca="false">IF($A127="","",Data_Engine!$AG127)</f>
        <v>0</v>
      </c>
      <c r="V127" s="73" t="n">
        <f aca="false">IF($A127="","",$Q127-$U127)</f>
        <v>0</v>
      </c>
      <c r="W127" s="72" t="str">
        <f aca="false">IF($A127="","",IF(ROUND($U127,2)=0,"n/a",$V127/ABS($U127)))</f>
        <v>n/a</v>
      </c>
      <c r="X127" s="74" t="str">
        <f aca="false">IF($A127="","",IF(AND(ROUND($Q127,2)=0,ROUND($R127,2)=0),"No Activity",IF(ABS($S127)&lt;Setup!$B$14,"Low",IF(ROUND($R127,2)=0,"High",IF(OR(ABS($S127/$R127)&gt;=Setup!$B$16,ABS($S127)&gt;=Setup!$B$17),"High",IF(ABS($S127/$R127)&gt;=Setup!$B$15,"Medium","Low"))))))</f>
        <v>No Activity</v>
      </c>
      <c r="Y127" s="57"/>
      <c r="Z127" s="75" t="n">
        <f aca="false">IF($A127="",-1000000000000000,IF(ROUND(ABS($S127),0)=0,-1000000000000000,ABS($S127)+ROW()/1000000))</f>
        <v>-1000000000000000</v>
      </c>
    </row>
    <row r="128" customFormat="false" ht="15" hidden="false" customHeight="false" outlineLevel="0" collapsed="false">
      <c r="A128" s="68" t="str">
        <f aca="false">IF(Data_Engine!$A128="","",Data_Engine!$A128)</f>
        <v>Depreciation - ROU</v>
      </c>
      <c r="B128" s="42" t="str">
        <f aca="false">IF($A128="","",Data_Engine!$B128)</f>
        <v>Expenses</v>
      </c>
      <c r="C128" s="42" t="str">
        <f aca="false">IF($A128="","",Data_Engine!$D128)</f>
        <v>Unallocated</v>
      </c>
      <c r="D128" s="69" t="n">
        <f aca="false">IF($A128="","",Data_Engine!$R128)</f>
        <v>0</v>
      </c>
      <c r="E128" s="69" t="n">
        <f aca="false">IF($A128="","",Data_Engine!$S128)</f>
        <v>0</v>
      </c>
      <c r="F128" s="69" t="n">
        <f aca="false">IF($A128="","",Data_Engine!$T128)</f>
        <v>0</v>
      </c>
      <c r="G128" s="69" t="n">
        <f aca="false">IF($A128="","",Data_Engine!$U128)</f>
        <v>0</v>
      </c>
      <c r="H128" s="69" t="n">
        <f aca="false">IF($A128="","",Data_Engine!$V128)</f>
        <v>0</v>
      </c>
      <c r="I128" s="69" t="n">
        <f aca="false">IF($A128="","",Data_Engine!$W128)</f>
        <v>0</v>
      </c>
      <c r="J128" s="69" t="n">
        <f aca="false">IF($A128="","",Data_Engine!$X128)</f>
        <v>0</v>
      </c>
      <c r="K128" s="69" t="n">
        <f aca="false">IF($A128="","",Data_Engine!$Y128)</f>
        <v>0</v>
      </c>
      <c r="L128" s="69" t="n">
        <f aca="false">IF($A128="","",Data_Engine!$Z128)</f>
        <v>0</v>
      </c>
      <c r="M128" s="69" t="n">
        <f aca="false">IF($A128="","",Data_Engine!$AA128)</f>
        <v>0</v>
      </c>
      <c r="N128" s="69" t="n">
        <f aca="false">IF($A128="","",Data_Engine!$AB128)</f>
        <v>0</v>
      </c>
      <c r="O128" s="69" t="n">
        <f aca="false">IF($A128="","",Data_Engine!$AC128)</f>
        <v>0</v>
      </c>
      <c r="P128" s="69" t="n">
        <f aca="false">IF($A128="","",Data_Engine!$AH128)</f>
        <v>0</v>
      </c>
      <c r="Q128" s="70" t="n">
        <f aca="false">IF($A128="","",Data_Engine!$AD128)</f>
        <v>0</v>
      </c>
      <c r="R128" s="69" t="n">
        <f aca="false">IF($A128="","",Data_Engine!$AF128)</f>
        <v>0</v>
      </c>
      <c r="S128" s="71" t="n">
        <f aca="false">IF($A128="","",$Q128-$R128)</f>
        <v>0</v>
      </c>
      <c r="T128" s="72" t="str">
        <f aca="false">IF($A128="","",IF(ROUND($R128,2)=0,"n/a",$S128/ABS($R128)))</f>
        <v>n/a</v>
      </c>
      <c r="U128" s="69" t="n">
        <f aca="false">IF($A128="","",Data_Engine!$AG128)</f>
        <v>0</v>
      </c>
      <c r="V128" s="73" t="n">
        <f aca="false">IF($A128="","",$Q128-$U128)</f>
        <v>0</v>
      </c>
      <c r="W128" s="72" t="str">
        <f aca="false">IF($A128="","",IF(ROUND($U128,2)=0,"n/a",$V128/ABS($U128)))</f>
        <v>n/a</v>
      </c>
      <c r="X128" s="74" t="str">
        <f aca="false">IF($A128="","",IF(AND(ROUND($Q128,2)=0,ROUND($R128,2)=0),"No Activity",IF(ABS($S128)&lt;Setup!$B$14,"Low",IF(ROUND($R128,2)=0,"High",IF(OR(ABS($S128/$R128)&gt;=Setup!$B$16,ABS($S128)&gt;=Setup!$B$17),"High",IF(ABS($S128/$R128)&gt;=Setup!$B$15,"Medium","Low"))))))</f>
        <v>No Activity</v>
      </c>
      <c r="Y128" s="57"/>
      <c r="Z128" s="75" t="n">
        <f aca="false">IF($A128="",-1000000000000000,IF(ROUND(ABS($S128),0)=0,-1000000000000000,ABS($S128)+ROW()/1000000))</f>
        <v>-1000000000000000</v>
      </c>
    </row>
    <row r="129" customFormat="false" ht="15" hidden="false" customHeight="false" outlineLevel="0" collapsed="false">
      <c r="A129" s="68" t="str">
        <f aca="false">IF(Data_Engine!$A129="","",Data_Engine!$A129)</f>
        <v>Discounts Taken</v>
      </c>
      <c r="B129" s="42" t="str">
        <f aca="false">IF($A129="","",Data_Engine!$B129)</f>
        <v>Expenses</v>
      </c>
      <c r="C129" s="42" t="str">
        <f aca="false">IF($A129="","",Data_Engine!$D129)</f>
        <v>Unallocated</v>
      </c>
      <c r="D129" s="69" t="n">
        <f aca="false">IF($A129="","",Data_Engine!$R129)</f>
        <v>0</v>
      </c>
      <c r="E129" s="69" t="n">
        <f aca="false">IF($A129="","",Data_Engine!$S129)</f>
        <v>0</v>
      </c>
      <c r="F129" s="69" t="n">
        <f aca="false">IF($A129="","",Data_Engine!$T129)</f>
        <v>0</v>
      </c>
      <c r="G129" s="69" t="n">
        <f aca="false">IF($A129="","",Data_Engine!$U129)</f>
        <v>0</v>
      </c>
      <c r="H129" s="69" t="n">
        <f aca="false">IF($A129="","",Data_Engine!$V129)</f>
        <v>0</v>
      </c>
      <c r="I129" s="69" t="n">
        <f aca="false">IF($A129="","",Data_Engine!$W129)</f>
        <v>0</v>
      </c>
      <c r="J129" s="69" t="n">
        <f aca="false">IF($A129="","",Data_Engine!$X129)</f>
        <v>0</v>
      </c>
      <c r="K129" s="69" t="n">
        <f aca="false">IF($A129="","",Data_Engine!$Y129)</f>
        <v>0</v>
      </c>
      <c r="L129" s="69" t="n">
        <f aca="false">IF($A129="","",Data_Engine!$Z129)</f>
        <v>0</v>
      </c>
      <c r="M129" s="69" t="n">
        <f aca="false">IF($A129="","",Data_Engine!$AA129)</f>
        <v>0</v>
      </c>
      <c r="N129" s="69" t="n">
        <f aca="false">IF($A129="","",Data_Engine!$AB129)</f>
        <v>0</v>
      </c>
      <c r="O129" s="69" t="n">
        <f aca="false">IF($A129="","",Data_Engine!$AC129)</f>
        <v>0</v>
      </c>
      <c r="P129" s="69" t="n">
        <f aca="false">IF($A129="","",Data_Engine!$AH129)</f>
        <v>0</v>
      </c>
      <c r="Q129" s="70" t="n">
        <f aca="false">IF($A129="","",Data_Engine!$AD129)</f>
        <v>0</v>
      </c>
      <c r="R129" s="69" t="n">
        <f aca="false">IF($A129="","",Data_Engine!$AF129)</f>
        <v>0</v>
      </c>
      <c r="S129" s="71" t="n">
        <f aca="false">IF($A129="","",$Q129-$R129)</f>
        <v>0</v>
      </c>
      <c r="T129" s="72" t="str">
        <f aca="false">IF($A129="","",IF(ROUND($R129,2)=0,"n/a",$S129/ABS($R129)))</f>
        <v>n/a</v>
      </c>
      <c r="U129" s="69" t="n">
        <f aca="false">IF($A129="","",Data_Engine!$AG129)</f>
        <v>0</v>
      </c>
      <c r="V129" s="73" t="n">
        <f aca="false">IF($A129="","",$Q129-$U129)</f>
        <v>0</v>
      </c>
      <c r="W129" s="72" t="str">
        <f aca="false">IF($A129="","",IF(ROUND($U129,2)=0,"n/a",$V129/ABS($U129)))</f>
        <v>n/a</v>
      </c>
      <c r="X129" s="74" t="str">
        <f aca="false">IF($A129="","",IF(AND(ROUND($Q129,2)=0,ROUND($R129,2)=0),"No Activity",IF(ABS($S129)&lt;Setup!$B$14,"Low",IF(ROUND($R129,2)=0,"High",IF(OR(ABS($S129/$R129)&gt;=Setup!$B$16,ABS($S129)&gt;=Setup!$B$17),"High",IF(ABS($S129/$R129)&gt;=Setup!$B$15,"Medium","Low"))))))</f>
        <v>No Activity</v>
      </c>
      <c r="Y129" s="57"/>
      <c r="Z129" s="75" t="n">
        <f aca="false">IF($A129="",-1000000000000000,IF(ROUND(ABS($S129),0)=0,-1000000000000000,ABS($S129)+ROW()/1000000))</f>
        <v>-1000000000000000</v>
      </c>
    </row>
    <row r="130" customFormat="false" ht="15" hidden="false" customHeight="false" outlineLevel="0" collapsed="false">
      <c r="A130" s="68" t="str">
        <f aca="false">IF(Data_Engine!$A130="","",Data_Engine!$A130)</f>
        <v>Disposal of fixed assets</v>
      </c>
      <c r="B130" s="42" t="str">
        <f aca="false">IF($A130="","",Data_Engine!$B130)</f>
        <v>Expenses</v>
      </c>
      <c r="C130" s="42" t="str">
        <f aca="false">IF($A130="","",Data_Engine!$D130)</f>
        <v>Unallocated</v>
      </c>
      <c r="D130" s="69" t="n">
        <f aca="false">IF($A130="","",Data_Engine!$R130)</f>
        <v>0</v>
      </c>
      <c r="E130" s="69" t="n">
        <f aca="false">IF($A130="","",Data_Engine!$S130)</f>
        <v>0</v>
      </c>
      <c r="F130" s="69" t="n">
        <f aca="false">IF($A130="","",Data_Engine!$T130)</f>
        <v>0</v>
      </c>
      <c r="G130" s="69" t="n">
        <f aca="false">IF($A130="","",Data_Engine!$U130)</f>
        <v>0</v>
      </c>
      <c r="H130" s="69" t="n">
        <f aca="false">IF($A130="","",Data_Engine!$V130)</f>
        <v>0</v>
      </c>
      <c r="I130" s="69" t="n">
        <f aca="false">IF($A130="","",Data_Engine!$W130)</f>
        <v>0</v>
      </c>
      <c r="J130" s="69" t="n">
        <f aca="false">IF($A130="","",Data_Engine!$X130)</f>
        <v>0</v>
      </c>
      <c r="K130" s="69" t="n">
        <f aca="false">IF($A130="","",Data_Engine!$Y130)</f>
        <v>0</v>
      </c>
      <c r="L130" s="69" t="n">
        <f aca="false">IF($A130="","",Data_Engine!$Z130)</f>
        <v>0</v>
      </c>
      <c r="M130" s="69" t="n">
        <f aca="false">IF($A130="","",Data_Engine!$AA130)</f>
        <v>0</v>
      </c>
      <c r="N130" s="69" t="n">
        <f aca="false">IF($A130="","",Data_Engine!$AB130)</f>
        <v>0</v>
      </c>
      <c r="O130" s="69" t="n">
        <f aca="false">IF($A130="","",Data_Engine!$AC130)</f>
        <v>0</v>
      </c>
      <c r="P130" s="69" t="n">
        <f aca="false">IF($A130="","",Data_Engine!$AH130)</f>
        <v>0</v>
      </c>
      <c r="Q130" s="70" t="n">
        <f aca="false">IF($A130="","",Data_Engine!$AD130)</f>
        <v>0</v>
      </c>
      <c r="R130" s="69" t="n">
        <f aca="false">IF($A130="","",Data_Engine!$AF130)</f>
        <v>0</v>
      </c>
      <c r="S130" s="71" t="n">
        <f aca="false">IF($A130="","",$Q130-$R130)</f>
        <v>0</v>
      </c>
      <c r="T130" s="72" t="str">
        <f aca="false">IF($A130="","",IF(ROUND($R130,2)=0,"n/a",$S130/ABS($R130)))</f>
        <v>n/a</v>
      </c>
      <c r="U130" s="69" t="n">
        <f aca="false">IF($A130="","",Data_Engine!$AG130)</f>
        <v>0</v>
      </c>
      <c r="V130" s="73" t="n">
        <f aca="false">IF($A130="","",$Q130-$U130)</f>
        <v>0</v>
      </c>
      <c r="W130" s="72" t="str">
        <f aca="false">IF($A130="","",IF(ROUND($U130,2)=0,"n/a",$V130/ABS($U130)))</f>
        <v>n/a</v>
      </c>
      <c r="X130" s="74" t="str">
        <f aca="false">IF($A130="","",IF(AND(ROUND($Q130,2)=0,ROUND($R130,2)=0),"No Activity",IF(ABS($S130)&lt;Setup!$B$14,"Low",IF(ROUND($R130,2)=0,"High",IF(OR(ABS($S130/$R130)&gt;=Setup!$B$16,ABS($S130)&gt;=Setup!$B$17),"High",IF(ABS($S130/$R130)&gt;=Setup!$B$15,"Medium","Low"))))))</f>
        <v>No Activity</v>
      </c>
      <c r="Y130" s="57"/>
      <c r="Z130" s="75" t="n">
        <f aca="false">IF($A130="",-1000000000000000,IF(ROUND(ABS($S130),0)=0,-1000000000000000,ABS($S130)+ROW()/1000000))</f>
        <v>-1000000000000000</v>
      </c>
    </row>
    <row r="131" customFormat="false" ht="15" hidden="false" customHeight="false" outlineLevel="0" collapsed="false">
      <c r="A131" s="68" t="str">
        <f aca="false">IF(Data_Engine!$A131="","",Data_Engine!$A131)</f>
        <v>Dividend paid [93000]</v>
      </c>
      <c r="B131" s="42" t="str">
        <f aca="false">IF($A131="","",Data_Engine!$B131)</f>
        <v>Expenses</v>
      </c>
      <c r="C131" s="42" t="str">
        <f aca="false">IF($A131="","",Data_Engine!$D131)</f>
        <v>Unallocated</v>
      </c>
      <c r="D131" s="69" t="n">
        <f aca="false">IF($A131="","",Data_Engine!$R131)</f>
        <v>0</v>
      </c>
      <c r="E131" s="69" t="n">
        <f aca="false">IF($A131="","",Data_Engine!$S131)</f>
        <v>0</v>
      </c>
      <c r="F131" s="69" t="n">
        <f aca="false">IF($A131="","",Data_Engine!$T131)</f>
        <v>0</v>
      </c>
      <c r="G131" s="69" t="n">
        <f aca="false">IF($A131="","",Data_Engine!$U131)</f>
        <v>0</v>
      </c>
      <c r="H131" s="69" t="n">
        <f aca="false">IF($A131="","",Data_Engine!$V131)</f>
        <v>0</v>
      </c>
      <c r="I131" s="69" t="n">
        <f aca="false">IF($A131="","",Data_Engine!$W131)</f>
        <v>0</v>
      </c>
      <c r="J131" s="69" t="n">
        <f aca="false">IF($A131="","",Data_Engine!$X131)</f>
        <v>0</v>
      </c>
      <c r="K131" s="69" t="n">
        <f aca="false">IF($A131="","",Data_Engine!$Y131)</f>
        <v>0</v>
      </c>
      <c r="L131" s="69" t="n">
        <f aca="false">IF($A131="","",Data_Engine!$Z131)</f>
        <v>0</v>
      </c>
      <c r="M131" s="69" t="n">
        <f aca="false">IF($A131="","",Data_Engine!$AA131)</f>
        <v>0</v>
      </c>
      <c r="N131" s="69" t="n">
        <f aca="false">IF($A131="","",Data_Engine!$AB131)</f>
        <v>0</v>
      </c>
      <c r="O131" s="69" t="n">
        <f aca="false">IF($A131="","",Data_Engine!$AC131)</f>
        <v>0</v>
      </c>
      <c r="P131" s="69" t="n">
        <f aca="false">IF($A131="","",Data_Engine!$AH131)</f>
        <v>0</v>
      </c>
      <c r="Q131" s="70" t="n">
        <f aca="false">IF($A131="","",Data_Engine!$AD131)</f>
        <v>0</v>
      </c>
      <c r="R131" s="69" t="n">
        <f aca="false">IF($A131="","",Data_Engine!$AF131)</f>
        <v>0</v>
      </c>
      <c r="S131" s="71" t="n">
        <f aca="false">IF($A131="","",$Q131-$R131)</f>
        <v>0</v>
      </c>
      <c r="T131" s="72" t="str">
        <f aca="false">IF($A131="","",IF(ROUND($R131,2)=0,"n/a",$S131/ABS($R131)))</f>
        <v>n/a</v>
      </c>
      <c r="U131" s="69" t="n">
        <f aca="false">IF($A131="","",Data_Engine!$AG131)</f>
        <v>0</v>
      </c>
      <c r="V131" s="73" t="n">
        <f aca="false">IF($A131="","",$Q131-$U131)</f>
        <v>0</v>
      </c>
      <c r="W131" s="72" t="str">
        <f aca="false">IF($A131="","",IF(ROUND($U131,2)=0,"n/a",$V131/ABS($U131)))</f>
        <v>n/a</v>
      </c>
      <c r="X131" s="74" t="str">
        <f aca="false">IF($A131="","",IF(AND(ROUND($Q131,2)=0,ROUND($R131,2)=0),"No Activity",IF(ABS($S131)&lt;Setup!$B$14,"Low",IF(ROUND($R131,2)=0,"High",IF(OR(ABS($S131/$R131)&gt;=Setup!$B$16,ABS($S131)&gt;=Setup!$B$17),"High",IF(ABS($S131/$R131)&gt;=Setup!$B$15,"Medium","Low"))))))</f>
        <v>No Activity</v>
      </c>
      <c r="Y131" s="57"/>
      <c r="Z131" s="75" t="n">
        <f aca="false">IF($A131="",-1000000000000000,IF(ROUND(ABS($S131),0)=0,-1000000000000000,ABS($S131)+ROW()/1000000))</f>
        <v>-1000000000000000</v>
      </c>
    </row>
    <row r="132" customFormat="false" ht="15" hidden="false" customHeight="false" outlineLevel="0" collapsed="false">
      <c r="A132" s="68" t="str">
        <f aca="false">IF(Data_Engine!$A132="","",Data_Engine!$A132)</f>
        <v>Donations / Charity</v>
      </c>
      <c r="B132" s="42" t="str">
        <f aca="false">IF($A132="","",Data_Engine!$B132)</f>
        <v>Expenses</v>
      </c>
      <c r="C132" s="42" t="str">
        <f aca="false">IF($A132="","",Data_Engine!$D132)</f>
        <v>Unallocated</v>
      </c>
      <c r="D132" s="69" t="n">
        <f aca="false">IF($A132="","",Data_Engine!$R132)</f>
        <v>0</v>
      </c>
      <c r="E132" s="69" t="n">
        <f aca="false">IF($A132="","",Data_Engine!$S132)</f>
        <v>0</v>
      </c>
      <c r="F132" s="69" t="n">
        <f aca="false">IF($A132="","",Data_Engine!$T132)</f>
        <v>0</v>
      </c>
      <c r="G132" s="69" t="n">
        <f aca="false">IF($A132="","",Data_Engine!$U132)</f>
        <v>0</v>
      </c>
      <c r="H132" s="69" t="n">
        <f aca="false">IF($A132="","",Data_Engine!$V132)</f>
        <v>0</v>
      </c>
      <c r="I132" s="69" t="n">
        <f aca="false">IF($A132="","",Data_Engine!$W132)</f>
        <v>0</v>
      </c>
      <c r="J132" s="69" t="n">
        <f aca="false">IF($A132="","",Data_Engine!$X132)</f>
        <v>0</v>
      </c>
      <c r="K132" s="69" t="n">
        <f aca="false">IF($A132="","",Data_Engine!$Y132)</f>
        <v>0</v>
      </c>
      <c r="L132" s="69" t="n">
        <f aca="false">IF($A132="","",Data_Engine!$Z132)</f>
        <v>0</v>
      </c>
      <c r="M132" s="69" t="n">
        <f aca="false">IF($A132="","",Data_Engine!$AA132)</f>
        <v>0</v>
      </c>
      <c r="N132" s="69" t="n">
        <f aca="false">IF($A132="","",Data_Engine!$AB132)</f>
        <v>0</v>
      </c>
      <c r="O132" s="69" t="n">
        <f aca="false">IF($A132="","",Data_Engine!$AC132)</f>
        <v>0</v>
      </c>
      <c r="P132" s="69" t="n">
        <f aca="false">IF($A132="","",Data_Engine!$AH132)</f>
        <v>0</v>
      </c>
      <c r="Q132" s="70" t="n">
        <f aca="false">IF($A132="","",Data_Engine!$AD132)</f>
        <v>0</v>
      </c>
      <c r="R132" s="69" t="n">
        <f aca="false">IF($A132="","",Data_Engine!$AF132)</f>
        <v>0</v>
      </c>
      <c r="S132" s="71" t="n">
        <f aca="false">IF($A132="","",$Q132-$R132)</f>
        <v>0</v>
      </c>
      <c r="T132" s="72" t="str">
        <f aca="false">IF($A132="","",IF(ROUND($R132,2)=0,"n/a",$S132/ABS($R132)))</f>
        <v>n/a</v>
      </c>
      <c r="U132" s="69" t="n">
        <f aca="false">IF($A132="","",Data_Engine!$AG132)</f>
        <v>0</v>
      </c>
      <c r="V132" s="73" t="n">
        <f aca="false">IF($A132="","",$Q132-$U132)</f>
        <v>0</v>
      </c>
      <c r="W132" s="72" t="str">
        <f aca="false">IF($A132="","",IF(ROUND($U132,2)=0,"n/a",$V132/ABS($U132)))</f>
        <v>n/a</v>
      </c>
      <c r="X132" s="74" t="str">
        <f aca="false">IF($A132="","",IF(AND(ROUND($Q132,2)=0,ROUND($R132,2)=0),"No Activity",IF(ABS($S132)&lt;Setup!$B$14,"Low",IF(ROUND($R132,2)=0,"High",IF(OR(ABS($S132/$R132)&gt;=Setup!$B$16,ABS($S132)&gt;=Setup!$B$17),"High",IF(ABS($S132/$R132)&gt;=Setup!$B$15,"Medium","Low"))))))</f>
        <v>No Activity</v>
      </c>
      <c r="Y132" s="57"/>
      <c r="Z132" s="75" t="n">
        <f aca="false">IF($A132="",-1000000000000000,IF(ROUND(ABS($S132),0)=0,-1000000000000000,ABS($S132)+ROW()/1000000))</f>
        <v>-1000000000000000</v>
      </c>
    </row>
    <row r="133" customFormat="false" ht="15" hidden="false" customHeight="false" outlineLevel="0" collapsed="false">
      <c r="A133" s="68" t="str">
        <f aca="false">IF(Data_Engine!$A133="","",Data_Engine!$A133)</f>
        <v>Dues &amp; Subscriptions</v>
      </c>
      <c r="B133" s="42" t="str">
        <f aca="false">IF($A133="","",Data_Engine!$B133)</f>
        <v>Expenses</v>
      </c>
      <c r="C133" s="42" t="str">
        <f aca="false">IF($A133="","",Data_Engine!$D133)</f>
        <v>Unallocated</v>
      </c>
      <c r="D133" s="69" t="n">
        <f aca="false">IF($A133="","",Data_Engine!$R133)</f>
        <v>0</v>
      </c>
      <c r="E133" s="69" t="n">
        <f aca="false">IF($A133="","",Data_Engine!$S133)</f>
        <v>0</v>
      </c>
      <c r="F133" s="69" t="n">
        <f aca="false">IF($A133="","",Data_Engine!$T133)</f>
        <v>0</v>
      </c>
      <c r="G133" s="69" t="n">
        <f aca="false">IF($A133="","",Data_Engine!$U133)</f>
        <v>0</v>
      </c>
      <c r="H133" s="69" t="n">
        <f aca="false">IF($A133="","",Data_Engine!$V133)</f>
        <v>0</v>
      </c>
      <c r="I133" s="69" t="n">
        <f aca="false">IF($A133="","",Data_Engine!$W133)</f>
        <v>0</v>
      </c>
      <c r="J133" s="69" t="n">
        <f aca="false">IF($A133="","",Data_Engine!$X133)</f>
        <v>0</v>
      </c>
      <c r="K133" s="69" t="n">
        <f aca="false">IF($A133="","",Data_Engine!$Y133)</f>
        <v>0</v>
      </c>
      <c r="L133" s="69" t="n">
        <f aca="false">IF($A133="","",Data_Engine!$Z133)</f>
        <v>0</v>
      </c>
      <c r="M133" s="69" t="n">
        <f aca="false">IF($A133="","",Data_Engine!$AA133)</f>
        <v>0</v>
      </c>
      <c r="N133" s="69" t="n">
        <f aca="false">IF($A133="","",Data_Engine!$AB133)</f>
        <v>0</v>
      </c>
      <c r="O133" s="69" t="n">
        <f aca="false">IF($A133="","",Data_Engine!$AC133)</f>
        <v>0</v>
      </c>
      <c r="P133" s="69" t="n">
        <f aca="false">IF($A133="","",Data_Engine!$AH133)</f>
        <v>0</v>
      </c>
      <c r="Q133" s="70" t="n">
        <f aca="false">IF($A133="","",Data_Engine!$AD133)</f>
        <v>0</v>
      </c>
      <c r="R133" s="69" t="n">
        <f aca="false">IF($A133="","",Data_Engine!$AF133)</f>
        <v>0</v>
      </c>
      <c r="S133" s="71" t="n">
        <f aca="false">IF($A133="","",$Q133-$R133)</f>
        <v>0</v>
      </c>
      <c r="T133" s="72" t="str">
        <f aca="false">IF($A133="","",IF(ROUND($R133,2)=0,"n/a",$S133/ABS($R133)))</f>
        <v>n/a</v>
      </c>
      <c r="U133" s="69" t="n">
        <f aca="false">IF($A133="","",Data_Engine!$AG133)</f>
        <v>0</v>
      </c>
      <c r="V133" s="73" t="n">
        <f aca="false">IF($A133="","",$Q133-$U133)</f>
        <v>0</v>
      </c>
      <c r="W133" s="72" t="str">
        <f aca="false">IF($A133="","",IF(ROUND($U133,2)=0,"n/a",$V133/ABS($U133)))</f>
        <v>n/a</v>
      </c>
      <c r="X133" s="74" t="str">
        <f aca="false">IF($A133="","",IF(AND(ROUND($Q133,2)=0,ROUND($R133,2)=0),"No Activity",IF(ABS($S133)&lt;Setup!$B$14,"Low",IF(ROUND($R133,2)=0,"High",IF(OR(ABS($S133/$R133)&gt;=Setup!$B$16,ABS($S133)&gt;=Setup!$B$17),"High",IF(ABS($S133/$R133)&gt;=Setup!$B$15,"Medium","Low"))))))</f>
        <v>No Activity</v>
      </c>
      <c r="Y133" s="57"/>
      <c r="Z133" s="75" t="n">
        <f aca="false">IF($A133="",-1000000000000000,IF(ROUND(ABS($S133),0)=0,-1000000000000000,ABS($S133)+ROW()/1000000))</f>
        <v>-1000000000000000</v>
      </c>
    </row>
    <row r="134" customFormat="false" ht="15" hidden="false" customHeight="false" outlineLevel="0" collapsed="false">
      <c r="A134" s="68" t="str">
        <f aca="false">IF(Data_Engine!$A134="","",Data_Engine!$A134)</f>
        <v>Electricity</v>
      </c>
      <c r="B134" s="42" t="str">
        <f aca="false">IF($A134="","",Data_Engine!$B134)</f>
        <v>Expenses</v>
      </c>
      <c r="C134" s="42" t="str">
        <f aca="false">IF($A134="","",Data_Engine!$D134)</f>
        <v>Unallocated</v>
      </c>
      <c r="D134" s="69" t="n">
        <f aca="false">IF($A134="","",Data_Engine!$R134)</f>
        <v>0</v>
      </c>
      <c r="E134" s="69" t="n">
        <f aca="false">IF($A134="","",Data_Engine!$S134)</f>
        <v>0</v>
      </c>
      <c r="F134" s="69" t="n">
        <f aca="false">IF($A134="","",Data_Engine!$T134)</f>
        <v>0</v>
      </c>
      <c r="G134" s="69" t="n">
        <f aca="false">IF($A134="","",Data_Engine!$U134)</f>
        <v>0</v>
      </c>
      <c r="H134" s="69" t="n">
        <f aca="false">IF($A134="","",Data_Engine!$V134)</f>
        <v>0</v>
      </c>
      <c r="I134" s="69" t="n">
        <f aca="false">IF($A134="","",Data_Engine!$W134)</f>
        <v>0</v>
      </c>
      <c r="J134" s="69" t="n">
        <f aca="false">IF($A134="","",Data_Engine!$X134)</f>
        <v>0</v>
      </c>
      <c r="K134" s="69" t="n">
        <f aca="false">IF($A134="","",Data_Engine!$Y134)</f>
        <v>0</v>
      </c>
      <c r="L134" s="69" t="n">
        <f aca="false">IF($A134="","",Data_Engine!$Z134)</f>
        <v>0</v>
      </c>
      <c r="M134" s="69" t="n">
        <f aca="false">IF($A134="","",Data_Engine!$AA134)</f>
        <v>0</v>
      </c>
      <c r="N134" s="69" t="n">
        <f aca="false">IF($A134="","",Data_Engine!$AB134)</f>
        <v>0</v>
      </c>
      <c r="O134" s="69" t="n">
        <f aca="false">IF($A134="","",Data_Engine!$AC134)</f>
        <v>0</v>
      </c>
      <c r="P134" s="69" t="n">
        <f aca="false">IF($A134="","",Data_Engine!$AH134)</f>
        <v>0</v>
      </c>
      <c r="Q134" s="70" t="n">
        <f aca="false">IF($A134="","",Data_Engine!$AD134)</f>
        <v>0</v>
      </c>
      <c r="R134" s="69" t="n">
        <f aca="false">IF($A134="","",Data_Engine!$AF134)</f>
        <v>0</v>
      </c>
      <c r="S134" s="71" t="n">
        <f aca="false">IF($A134="","",$Q134-$R134)</f>
        <v>0</v>
      </c>
      <c r="T134" s="72" t="str">
        <f aca="false">IF($A134="","",IF(ROUND($R134,2)=0,"n/a",$S134/ABS($R134)))</f>
        <v>n/a</v>
      </c>
      <c r="U134" s="69" t="n">
        <f aca="false">IF($A134="","",Data_Engine!$AG134)</f>
        <v>0</v>
      </c>
      <c r="V134" s="73" t="n">
        <f aca="false">IF($A134="","",$Q134-$U134)</f>
        <v>0</v>
      </c>
      <c r="W134" s="72" t="str">
        <f aca="false">IF($A134="","",IF(ROUND($U134,2)=0,"n/a",$V134/ABS($U134)))</f>
        <v>n/a</v>
      </c>
      <c r="X134" s="74" t="str">
        <f aca="false">IF($A134="","",IF(AND(ROUND($Q134,2)=0,ROUND($R134,2)=0),"No Activity",IF(ABS($S134)&lt;Setup!$B$14,"Low",IF(ROUND($R134,2)=0,"High",IF(OR(ABS($S134/$R134)&gt;=Setup!$B$16,ABS($S134)&gt;=Setup!$B$17),"High",IF(ABS($S134/$R134)&gt;=Setup!$B$15,"Medium","Low"))))))</f>
        <v>No Activity</v>
      </c>
      <c r="Y134" s="57"/>
      <c r="Z134" s="75" t="n">
        <f aca="false">IF($A134="",-1000000000000000,IF(ROUND(ABS($S134),0)=0,-1000000000000000,ABS($S134)+ROW()/1000000))</f>
        <v>-1000000000000000</v>
      </c>
    </row>
    <row r="135" customFormat="false" ht="15" hidden="false" customHeight="false" outlineLevel="0" collapsed="false">
      <c r="A135" s="68" t="str">
        <f aca="false">IF(Data_Engine!$A135="","",Data_Engine!$A135)</f>
        <v>Fax</v>
      </c>
      <c r="B135" s="42" t="str">
        <f aca="false">IF($A135="","",Data_Engine!$B135)</f>
        <v>Expenses</v>
      </c>
      <c r="C135" s="42" t="str">
        <f aca="false">IF($A135="","",Data_Engine!$D135)</f>
        <v>Unallocated</v>
      </c>
      <c r="D135" s="69" t="n">
        <f aca="false">IF($A135="","",Data_Engine!$R135)</f>
        <v>0</v>
      </c>
      <c r="E135" s="69" t="n">
        <f aca="false">IF($A135="","",Data_Engine!$S135)</f>
        <v>0</v>
      </c>
      <c r="F135" s="69" t="n">
        <f aca="false">IF($A135="","",Data_Engine!$T135)</f>
        <v>0</v>
      </c>
      <c r="G135" s="69" t="n">
        <f aca="false">IF($A135="","",Data_Engine!$U135)</f>
        <v>0</v>
      </c>
      <c r="H135" s="69" t="n">
        <f aca="false">IF($A135="","",Data_Engine!$V135)</f>
        <v>0</v>
      </c>
      <c r="I135" s="69" t="n">
        <f aca="false">IF($A135="","",Data_Engine!$W135)</f>
        <v>0</v>
      </c>
      <c r="J135" s="69" t="n">
        <f aca="false">IF($A135="","",Data_Engine!$X135)</f>
        <v>0</v>
      </c>
      <c r="K135" s="69" t="n">
        <f aca="false">IF($A135="","",Data_Engine!$Y135)</f>
        <v>0</v>
      </c>
      <c r="L135" s="69" t="n">
        <f aca="false">IF($A135="","",Data_Engine!$Z135)</f>
        <v>0</v>
      </c>
      <c r="M135" s="69" t="n">
        <f aca="false">IF($A135="","",Data_Engine!$AA135)</f>
        <v>0</v>
      </c>
      <c r="N135" s="69" t="n">
        <f aca="false">IF($A135="","",Data_Engine!$AB135)</f>
        <v>0</v>
      </c>
      <c r="O135" s="69" t="n">
        <f aca="false">IF($A135="","",Data_Engine!$AC135)</f>
        <v>0</v>
      </c>
      <c r="P135" s="69" t="n">
        <f aca="false">IF($A135="","",Data_Engine!$AH135)</f>
        <v>0</v>
      </c>
      <c r="Q135" s="70" t="n">
        <f aca="false">IF($A135="","",Data_Engine!$AD135)</f>
        <v>0</v>
      </c>
      <c r="R135" s="69" t="n">
        <f aca="false">IF($A135="","",Data_Engine!$AF135)</f>
        <v>0</v>
      </c>
      <c r="S135" s="71" t="n">
        <f aca="false">IF($A135="","",$Q135-$R135)</f>
        <v>0</v>
      </c>
      <c r="T135" s="72" t="str">
        <f aca="false">IF($A135="","",IF(ROUND($R135,2)=0,"n/a",$S135/ABS($R135)))</f>
        <v>n/a</v>
      </c>
      <c r="U135" s="69" t="n">
        <f aca="false">IF($A135="","",Data_Engine!$AG135)</f>
        <v>0</v>
      </c>
      <c r="V135" s="73" t="n">
        <f aca="false">IF($A135="","",$Q135-$U135)</f>
        <v>0</v>
      </c>
      <c r="W135" s="72" t="str">
        <f aca="false">IF($A135="","",IF(ROUND($U135,2)=0,"n/a",$V135/ABS($U135)))</f>
        <v>n/a</v>
      </c>
      <c r="X135" s="74" t="str">
        <f aca="false">IF($A135="","",IF(AND(ROUND($Q135,2)=0,ROUND($R135,2)=0),"No Activity",IF(ABS($S135)&lt;Setup!$B$14,"Low",IF(ROUND($R135,2)=0,"High",IF(OR(ABS($S135/$R135)&gt;=Setup!$B$16,ABS($S135)&gt;=Setup!$B$17),"High",IF(ABS($S135/$R135)&gt;=Setup!$B$15,"Medium","Low"))))))</f>
        <v>No Activity</v>
      </c>
      <c r="Y135" s="57"/>
      <c r="Z135" s="75" t="n">
        <f aca="false">IF($A135="",-1000000000000000,IF(ROUND(ABS($S135),0)=0,-1000000000000000,ABS($S135)+ROW()/1000000))</f>
        <v>-1000000000000000</v>
      </c>
    </row>
    <row r="136" customFormat="false" ht="15" hidden="false" customHeight="false" outlineLevel="0" collapsed="false">
      <c r="A136" s="68" t="str">
        <f aca="false">IF(Data_Engine!$A136="","",Data_Engine!$A136)</f>
        <v>Filing Fee</v>
      </c>
      <c r="B136" s="42" t="str">
        <f aca="false">IF($A136="","",Data_Engine!$B136)</f>
        <v>Expenses</v>
      </c>
      <c r="C136" s="42" t="str">
        <f aca="false">IF($A136="","",Data_Engine!$D136)</f>
        <v>Unallocated</v>
      </c>
      <c r="D136" s="69" t="n">
        <f aca="false">IF($A136="","",Data_Engine!$R136)</f>
        <v>0</v>
      </c>
      <c r="E136" s="69" t="n">
        <f aca="false">IF($A136="","",Data_Engine!$S136)</f>
        <v>0</v>
      </c>
      <c r="F136" s="69" t="n">
        <f aca="false">IF($A136="","",Data_Engine!$T136)</f>
        <v>0</v>
      </c>
      <c r="G136" s="69" t="n">
        <f aca="false">IF($A136="","",Data_Engine!$U136)</f>
        <v>0</v>
      </c>
      <c r="H136" s="69" t="n">
        <f aca="false">IF($A136="","",Data_Engine!$V136)</f>
        <v>0</v>
      </c>
      <c r="I136" s="69" t="n">
        <f aca="false">IF($A136="","",Data_Engine!$W136)</f>
        <v>0</v>
      </c>
      <c r="J136" s="69" t="n">
        <f aca="false">IF($A136="","",Data_Engine!$X136)</f>
        <v>0</v>
      </c>
      <c r="K136" s="69" t="n">
        <f aca="false">IF($A136="","",Data_Engine!$Y136)</f>
        <v>0</v>
      </c>
      <c r="L136" s="69" t="n">
        <f aca="false">IF($A136="","",Data_Engine!$Z136)</f>
        <v>0</v>
      </c>
      <c r="M136" s="69" t="n">
        <f aca="false">IF($A136="","",Data_Engine!$AA136)</f>
        <v>0</v>
      </c>
      <c r="N136" s="69" t="n">
        <f aca="false">IF($A136="","",Data_Engine!$AB136)</f>
        <v>0</v>
      </c>
      <c r="O136" s="69" t="n">
        <f aca="false">IF($A136="","",Data_Engine!$AC136)</f>
        <v>0</v>
      </c>
      <c r="P136" s="69" t="n">
        <f aca="false">IF($A136="","",Data_Engine!$AH136)</f>
        <v>0</v>
      </c>
      <c r="Q136" s="70" t="n">
        <f aca="false">IF($A136="","",Data_Engine!$AD136)</f>
        <v>0</v>
      </c>
      <c r="R136" s="69" t="n">
        <f aca="false">IF($A136="","",Data_Engine!$AF136)</f>
        <v>0</v>
      </c>
      <c r="S136" s="71" t="n">
        <f aca="false">IF($A136="","",$Q136-$R136)</f>
        <v>0</v>
      </c>
      <c r="T136" s="72" t="str">
        <f aca="false">IF($A136="","",IF(ROUND($R136,2)=0,"n/a",$S136/ABS($R136)))</f>
        <v>n/a</v>
      </c>
      <c r="U136" s="69" t="n">
        <f aca="false">IF($A136="","",Data_Engine!$AG136)</f>
        <v>0</v>
      </c>
      <c r="V136" s="73" t="n">
        <f aca="false">IF($A136="","",$Q136-$U136)</f>
        <v>0</v>
      </c>
      <c r="W136" s="72" t="str">
        <f aca="false">IF($A136="","",IF(ROUND($U136,2)=0,"n/a",$V136/ABS($U136)))</f>
        <v>n/a</v>
      </c>
      <c r="X136" s="74" t="str">
        <f aca="false">IF($A136="","",IF(AND(ROUND($Q136,2)=0,ROUND($R136,2)=0),"No Activity",IF(ABS($S136)&lt;Setup!$B$14,"Low",IF(ROUND($R136,2)=0,"High",IF(OR(ABS($S136/$R136)&gt;=Setup!$B$16,ABS($S136)&gt;=Setup!$B$17),"High",IF(ABS($S136/$R136)&gt;=Setup!$B$15,"Medium","Low"))))))</f>
        <v>No Activity</v>
      </c>
      <c r="Y136" s="57"/>
      <c r="Z136" s="75" t="n">
        <f aca="false">IF($A136="",-1000000000000000,IF(ROUND(ABS($S136),0)=0,-1000000000000000,ABS($S136)+ROW()/1000000))</f>
        <v>-1000000000000000</v>
      </c>
    </row>
    <row r="137" customFormat="false" ht="15" hidden="false" customHeight="false" outlineLevel="0" collapsed="false">
      <c r="A137" s="68" t="str">
        <f aca="false">IF(Data_Engine!$A137="","",Data_Engine!$A137)</f>
        <v>Foreign Currency Translation*</v>
      </c>
      <c r="B137" s="42" t="str">
        <f aca="false">IF($A137="","",Data_Engine!$B137)</f>
        <v>Expenses</v>
      </c>
      <c r="C137" s="42" t="str">
        <f aca="false">IF($A137="","",Data_Engine!$D137)</f>
        <v>Unallocated</v>
      </c>
      <c r="D137" s="69" t="n">
        <f aca="false">IF($A137="","",Data_Engine!$R137)</f>
        <v>0</v>
      </c>
      <c r="E137" s="69" t="n">
        <f aca="false">IF($A137="","",Data_Engine!$S137)</f>
        <v>0</v>
      </c>
      <c r="F137" s="69" t="n">
        <f aca="false">IF($A137="","",Data_Engine!$T137)</f>
        <v>0</v>
      </c>
      <c r="G137" s="69" t="n">
        <f aca="false">IF($A137="","",Data_Engine!$U137)</f>
        <v>0</v>
      </c>
      <c r="H137" s="69" t="n">
        <f aca="false">IF($A137="","",Data_Engine!$V137)</f>
        <v>0</v>
      </c>
      <c r="I137" s="69" t="n">
        <f aca="false">IF($A137="","",Data_Engine!$W137)</f>
        <v>0</v>
      </c>
      <c r="J137" s="69" t="n">
        <f aca="false">IF($A137="","",Data_Engine!$X137)</f>
        <v>0</v>
      </c>
      <c r="K137" s="69" t="n">
        <f aca="false">IF($A137="","",Data_Engine!$Y137)</f>
        <v>0</v>
      </c>
      <c r="L137" s="69" t="n">
        <f aca="false">IF($A137="","",Data_Engine!$Z137)</f>
        <v>0</v>
      </c>
      <c r="M137" s="69" t="n">
        <f aca="false">IF($A137="","",Data_Engine!$AA137)</f>
        <v>0</v>
      </c>
      <c r="N137" s="69" t="n">
        <f aca="false">IF($A137="","",Data_Engine!$AB137)</f>
        <v>0</v>
      </c>
      <c r="O137" s="69" t="n">
        <f aca="false">IF($A137="","",Data_Engine!$AC137)</f>
        <v>0</v>
      </c>
      <c r="P137" s="69" t="n">
        <f aca="false">IF($A137="","",Data_Engine!$AH137)</f>
        <v>0</v>
      </c>
      <c r="Q137" s="70" t="n">
        <f aca="false">IF($A137="","",Data_Engine!$AD137)</f>
        <v>0</v>
      </c>
      <c r="R137" s="69" t="n">
        <f aca="false">IF($A137="","",Data_Engine!$AF137)</f>
        <v>0</v>
      </c>
      <c r="S137" s="71" t="n">
        <f aca="false">IF($A137="","",$Q137-$R137)</f>
        <v>0</v>
      </c>
      <c r="T137" s="72" t="str">
        <f aca="false">IF($A137="","",IF(ROUND($R137,2)=0,"n/a",$S137/ABS($R137)))</f>
        <v>n/a</v>
      </c>
      <c r="U137" s="69" t="n">
        <f aca="false">IF($A137="","",Data_Engine!$AG137)</f>
        <v>0</v>
      </c>
      <c r="V137" s="73" t="n">
        <f aca="false">IF($A137="","",$Q137-$U137)</f>
        <v>0</v>
      </c>
      <c r="W137" s="72" t="str">
        <f aca="false">IF($A137="","",IF(ROUND($U137,2)=0,"n/a",$V137/ABS($U137)))</f>
        <v>n/a</v>
      </c>
      <c r="X137" s="74" t="str">
        <f aca="false">IF($A137="","",IF(AND(ROUND($Q137,2)=0,ROUND($R137,2)=0),"No Activity",IF(ABS($S137)&lt;Setup!$B$14,"Low",IF(ROUND($R137,2)=0,"High",IF(OR(ABS($S137/$R137)&gt;=Setup!$B$16,ABS($S137)&gt;=Setup!$B$17),"High",IF(ABS($S137/$R137)&gt;=Setup!$B$15,"Medium","Low"))))))</f>
        <v>No Activity</v>
      </c>
      <c r="Y137" s="57"/>
      <c r="Z137" s="75" t="n">
        <f aca="false">IF($A137="",-1000000000000000,IF(ROUND(ABS($S137),0)=0,-1000000000000000,ABS($S137)+ROW()/1000000))</f>
        <v>-1000000000000000</v>
      </c>
    </row>
    <row r="138" customFormat="false" ht="15" hidden="false" customHeight="false" outlineLevel="0" collapsed="false">
      <c r="A138" s="68" t="str">
        <f aca="false">IF(Data_Engine!$A138="","",Data_Engine!$A138)</f>
        <v>Freight Paid</v>
      </c>
      <c r="B138" s="42" t="str">
        <f aca="false">IF($A138="","",Data_Engine!$B138)</f>
        <v>Expenses</v>
      </c>
      <c r="C138" s="42" t="str">
        <f aca="false">IF($A138="","",Data_Engine!$D138)</f>
        <v>Unallocated</v>
      </c>
      <c r="D138" s="69" t="n">
        <f aca="false">IF($A138="","",Data_Engine!$R138)</f>
        <v>0</v>
      </c>
      <c r="E138" s="69" t="n">
        <f aca="false">IF($A138="","",Data_Engine!$S138)</f>
        <v>0</v>
      </c>
      <c r="F138" s="69" t="n">
        <f aca="false">IF($A138="","",Data_Engine!$T138)</f>
        <v>0</v>
      </c>
      <c r="G138" s="69" t="n">
        <f aca="false">IF($A138="","",Data_Engine!$U138)</f>
        <v>0</v>
      </c>
      <c r="H138" s="69" t="n">
        <f aca="false">IF($A138="","",Data_Engine!$V138)</f>
        <v>0</v>
      </c>
      <c r="I138" s="69" t="n">
        <f aca="false">IF($A138="","",Data_Engine!$W138)</f>
        <v>0</v>
      </c>
      <c r="J138" s="69" t="n">
        <f aca="false">IF($A138="","",Data_Engine!$X138)</f>
        <v>0</v>
      </c>
      <c r="K138" s="69" t="n">
        <f aca="false">IF($A138="","",Data_Engine!$Y138)</f>
        <v>0</v>
      </c>
      <c r="L138" s="69" t="n">
        <f aca="false">IF($A138="","",Data_Engine!$Z138)</f>
        <v>0</v>
      </c>
      <c r="M138" s="69" t="n">
        <f aca="false">IF($A138="","",Data_Engine!$AA138)</f>
        <v>0</v>
      </c>
      <c r="N138" s="69" t="n">
        <f aca="false">IF($A138="","",Data_Engine!$AB138)</f>
        <v>0</v>
      </c>
      <c r="O138" s="69" t="n">
        <f aca="false">IF($A138="","",Data_Engine!$AC138)</f>
        <v>0</v>
      </c>
      <c r="P138" s="69" t="n">
        <f aca="false">IF($A138="","",Data_Engine!$AH138)</f>
        <v>0</v>
      </c>
      <c r="Q138" s="70" t="n">
        <f aca="false">IF($A138="","",Data_Engine!$AD138)</f>
        <v>0</v>
      </c>
      <c r="R138" s="69" t="n">
        <f aca="false">IF($A138="","",Data_Engine!$AF138)</f>
        <v>0</v>
      </c>
      <c r="S138" s="71" t="n">
        <f aca="false">IF($A138="","",$Q138-$R138)</f>
        <v>0</v>
      </c>
      <c r="T138" s="72" t="str">
        <f aca="false">IF($A138="","",IF(ROUND($R138,2)=0,"n/a",$S138/ABS($R138)))</f>
        <v>n/a</v>
      </c>
      <c r="U138" s="69" t="n">
        <f aca="false">IF($A138="","",Data_Engine!$AG138)</f>
        <v>0</v>
      </c>
      <c r="V138" s="73" t="n">
        <f aca="false">IF($A138="","",$Q138-$U138)</f>
        <v>0</v>
      </c>
      <c r="W138" s="72" t="str">
        <f aca="false">IF($A138="","",IF(ROUND($U138,2)=0,"n/a",$V138/ABS($U138)))</f>
        <v>n/a</v>
      </c>
      <c r="X138" s="74" t="str">
        <f aca="false">IF($A138="","",IF(AND(ROUND($Q138,2)=0,ROUND($R138,2)=0),"No Activity",IF(ABS($S138)&lt;Setup!$B$14,"Low",IF(ROUND($R138,2)=0,"High",IF(OR(ABS($S138/$R138)&gt;=Setup!$B$16,ABS($S138)&gt;=Setup!$B$17),"High",IF(ABS($S138/$R138)&gt;=Setup!$B$15,"Medium","Low"))))))</f>
        <v>No Activity</v>
      </c>
      <c r="Y138" s="57"/>
      <c r="Z138" s="75" t="n">
        <f aca="false">IF($A138="",-1000000000000000,IF(ROUND(ABS($S138),0)=0,-1000000000000000,ABS($S138)+ROW()/1000000))</f>
        <v>-1000000000000000</v>
      </c>
    </row>
    <row r="139" customFormat="false" ht="15" hidden="false" customHeight="false" outlineLevel="0" collapsed="false">
      <c r="A139" s="68" t="str">
        <f aca="false">IF(Data_Engine!$A139="","",Data_Engine!$A139)</f>
        <v>Fringe Benefits Tax</v>
      </c>
      <c r="B139" s="42" t="str">
        <f aca="false">IF($A139="","",Data_Engine!$B139)</f>
        <v>Expenses</v>
      </c>
      <c r="C139" s="42" t="str">
        <f aca="false">IF($A139="","",Data_Engine!$D139)</f>
        <v>Unallocated</v>
      </c>
      <c r="D139" s="69" t="n">
        <f aca="false">IF($A139="","",Data_Engine!$R139)</f>
        <v>0</v>
      </c>
      <c r="E139" s="69" t="n">
        <f aca="false">IF($A139="","",Data_Engine!$S139)</f>
        <v>0</v>
      </c>
      <c r="F139" s="69" t="n">
        <f aca="false">IF($A139="","",Data_Engine!$T139)</f>
        <v>0</v>
      </c>
      <c r="G139" s="69" t="n">
        <f aca="false">IF($A139="","",Data_Engine!$U139)</f>
        <v>0</v>
      </c>
      <c r="H139" s="69" t="n">
        <f aca="false">IF($A139="","",Data_Engine!$V139)</f>
        <v>0</v>
      </c>
      <c r="I139" s="69" t="n">
        <f aca="false">IF($A139="","",Data_Engine!$W139)</f>
        <v>0</v>
      </c>
      <c r="J139" s="69" t="n">
        <f aca="false">IF($A139="","",Data_Engine!$X139)</f>
        <v>0</v>
      </c>
      <c r="K139" s="69" t="n">
        <f aca="false">IF($A139="","",Data_Engine!$Y139)</f>
        <v>0</v>
      </c>
      <c r="L139" s="69" t="n">
        <f aca="false">IF($A139="","",Data_Engine!$Z139)</f>
        <v>0</v>
      </c>
      <c r="M139" s="69" t="n">
        <f aca="false">IF($A139="","",Data_Engine!$AA139)</f>
        <v>0</v>
      </c>
      <c r="N139" s="69" t="n">
        <f aca="false">IF($A139="","",Data_Engine!$AB139)</f>
        <v>0</v>
      </c>
      <c r="O139" s="69" t="n">
        <f aca="false">IF($A139="","",Data_Engine!$AC139)</f>
        <v>0</v>
      </c>
      <c r="P139" s="69" t="n">
        <f aca="false">IF($A139="","",Data_Engine!$AH139)</f>
        <v>0</v>
      </c>
      <c r="Q139" s="70" t="n">
        <f aca="false">IF($A139="","",Data_Engine!$AD139)</f>
        <v>0</v>
      </c>
      <c r="R139" s="69" t="n">
        <f aca="false">IF($A139="","",Data_Engine!$AF139)</f>
        <v>0</v>
      </c>
      <c r="S139" s="71" t="n">
        <f aca="false">IF($A139="","",$Q139-$R139)</f>
        <v>0</v>
      </c>
      <c r="T139" s="72" t="str">
        <f aca="false">IF($A139="","",IF(ROUND($R139,2)=0,"n/a",$S139/ABS($R139)))</f>
        <v>n/a</v>
      </c>
      <c r="U139" s="69" t="n">
        <f aca="false">IF($A139="","",Data_Engine!$AG139)</f>
        <v>0</v>
      </c>
      <c r="V139" s="73" t="n">
        <f aca="false">IF($A139="","",$Q139-$U139)</f>
        <v>0</v>
      </c>
      <c r="W139" s="72" t="str">
        <f aca="false">IF($A139="","",IF(ROUND($U139,2)=0,"n/a",$V139/ABS($U139)))</f>
        <v>n/a</v>
      </c>
      <c r="X139" s="74" t="str">
        <f aca="false">IF($A139="","",IF(AND(ROUND($Q139,2)=0,ROUND($R139,2)=0),"No Activity",IF(ABS($S139)&lt;Setup!$B$14,"Low",IF(ROUND($R139,2)=0,"High",IF(OR(ABS($S139/$R139)&gt;=Setup!$B$16,ABS($S139)&gt;=Setup!$B$17),"High",IF(ABS($S139/$R139)&gt;=Setup!$B$15,"Medium","Low"))))))</f>
        <v>No Activity</v>
      </c>
      <c r="Y139" s="57"/>
      <c r="Z139" s="75" t="n">
        <f aca="false">IF($A139="",-1000000000000000,IF(ROUND(ABS($S139),0)=0,-1000000000000000,ABS($S139)+ROW()/1000000))</f>
        <v>-1000000000000000</v>
      </c>
    </row>
    <row r="140" customFormat="false" ht="15" hidden="false" customHeight="false" outlineLevel="0" collapsed="false">
      <c r="A140" s="68" t="str">
        <f aca="false">IF(Data_Engine!$A140="","",Data_Engine!$A140)</f>
        <v>IT Network Service &amp; Support</v>
      </c>
      <c r="B140" s="42" t="str">
        <f aca="false">IF($A140="","",Data_Engine!$B140)</f>
        <v>Expenses</v>
      </c>
      <c r="C140" s="42" t="str">
        <f aca="false">IF($A140="","",Data_Engine!$D140)</f>
        <v>Unallocated</v>
      </c>
      <c r="D140" s="69" t="n">
        <f aca="false">IF($A140="","",Data_Engine!$R140)</f>
        <v>0</v>
      </c>
      <c r="E140" s="69" t="n">
        <f aca="false">IF($A140="","",Data_Engine!$S140)</f>
        <v>0</v>
      </c>
      <c r="F140" s="69" t="n">
        <f aca="false">IF($A140="","",Data_Engine!$T140)</f>
        <v>0</v>
      </c>
      <c r="G140" s="69" t="n">
        <f aca="false">IF($A140="","",Data_Engine!$U140)</f>
        <v>0</v>
      </c>
      <c r="H140" s="69" t="n">
        <f aca="false">IF($A140="","",Data_Engine!$V140)</f>
        <v>0</v>
      </c>
      <c r="I140" s="69" t="n">
        <f aca="false">IF($A140="","",Data_Engine!$W140)</f>
        <v>0</v>
      </c>
      <c r="J140" s="69" t="n">
        <f aca="false">IF($A140="","",Data_Engine!$X140)</f>
        <v>0</v>
      </c>
      <c r="K140" s="69" t="n">
        <f aca="false">IF($A140="","",Data_Engine!$Y140)</f>
        <v>0</v>
      </c>
      <c r="L140" s="69" t="n">
        <f aca="false">IF($A140="","",Data_Engine!$Z140)</f>
        <v>0</v>
      </c>
      <c r="M140" s="69" t="n">
        <f aca="false">IF($A140="","",Data_Engine!$AA140)</f>
        <v>0</v>
      </c>
      <c r="N140" s="69" t="n">
        <f aca="false">IF($A140="","",Data_Engine!$AB140)</f>
        <v>0</v>
      </c>
      <c r="O140" s="69" t="n">
        <f aca="false">IF($A140="","",Data_Engine!$AC140)</f>
        <v>0</v>
      </c>
      <c r="P140" s="69" t="n">
        <f aca="false">IF($A140="","",Data_Engine!$AH140)</f>
        <v>0</v>
      </c>
      <c r="Q140" s="70" t="n">
        <f aca="false">IF($A140="","",Data_Engine!$AD140)</f>
        <v>0</v>
      </c>
      <c r="R140" s="69" t="n">
        <f aca="false">IF($A140="","",Data_Engine!$AF140)</f>
        <v>0</v>
      </c>
      <c r="S140" s="71" t="n">
        <f aca="false">IF($A140="","",$Q140-$R140)</f>
        <v>0</v>
      </c>
      <c r="T140" s="72" t="str">
        <f aca="false">IF($A140="","",IF(ROUND($R140,2)=0,"n/a",$S140/ABS($R140)))</f>
        <v>n/a</v>
      </c>
      <c r="U140" s="69" t="n">
        <f aca="false">IF($A140="","",Data_Engine!$AG140)</f>
        <v>0</v>
      </c>
      <c r="V140" s="73" t="n">
        <f aca="false">IF($A140="","",$Q140-$U140)</f>
        <v>0</v>
      </c>
      <c r="W140" s="72" t="str">
        <f aca="false">IF($A140="","",IF(ROUND($U140,2)=0,"n/a",$V140/ABS($U140)))</f>
        <v>n/a</v>
      </c>
      <c r="X140" s="74" t="str">
        <f aca="false">IF($A140="","",IF(AND(ROUND($Q140,2)=0,ROUND($R140,2)=0),"No Activity",IF(ABS($S140)&lt;Setup!$B$14,"Low",IF(ROUND($R140,2)=0,"High",IF(OR(ABS($S140/$R140)&gt;=Setup!$B$16,ABS($S140)&gt;=Setup!$B$17),"High",IF(ABS($S140/$R140)&gt;=Setup!$B$15,"Medium","Low"))))))</f>
        <v>No Activity</v>
      </c>
      <c r="Y140" s="57"/>
      <c r="Z140" s="75" t="n">
        <f aca="false">IF($A140="",-1000000000000000,IF(ROUND(ABS($S140),0)=0,-1000000000000000,ABS($S140)+ROW()/1000000))</f>
        <v>-1000000000000000</v>
      </c>
    </row>
    <row r="141" customFormat="false" ht="15" hidden="false" customHeight="false" outlineLevel="0" collapsed="false">
      <c r="A141" s="68" t="str">
        <f aca="false">IF(Data_Engine!$A141="","",Data_Engine!$A141)</f>
        <v>Income Tax Expense</v>
      </c>
      <c r="B141" s="42" t="str">
        <f aca="false">IF($A141="","",Data_Engine!$B141)</f>
        <v>Expenses</v>
      </c>
      <c r="C141" s="42" t="str">
        <f aca="false">IF($A141="","",Data_Engine!$D141)</f>
        <v>Unallocated</v>
      </c>
      <c r="D141" s="69" t="n">
        <f aca="false">IF($A141="","",Data_Engine!$R141)</f>
        <v>0</v>
      </c>
      <c r="E141" s="69" t="n">
        <f aca="false">IF($A141="","",Data_Engine!$S141)</f>
        <v>0</v>
      </c>
      <c r="F141" s="69" t="n">
        <f aca="false">IF($A141="","",Data_Engine!$T141)</f>
        <v>0</v>
      </c>
      <c r="G141" s="69" t="n">
        <f aca="false">IF($A141="","",Data_Engine!$U141)</f>
        <v>0</v>
      </c>
      <c r="H141" s="69" t="n">
        <f aca="false">IF($A141="","",Data_Engine!$V141)</f>
        <v>0</v>
      </c>
      <c r="I141" s="69" t="n">
        <f aca="false">IF($A141="","",Data_Engine!$W141)</f>
        <v>0</v>
      </c>
      <c r="J141" s="69" t="n">
        <f aca="false">IF($A141="","",Data_Engine!$X141)</f>
        <v>0</v>
      </c>
      <c r="K141" s="69" t="n">
        <f aca="false">IF($A141="","",Data_Engine!$Y141)</f>
        <v>0</v>
      </c>
      <c r="L141" s="69" t="n">
        <f aca="false">IF($A141="","",Data_Engine!$Z141)</f>
        <v>0</v>
      </c>
      <c r="M141" s="69" t="n">
        <f aca="false">IF($A141="","",Data_Engine!$AA141)</f>
        <v>0</v>
      </c>
      <c r="N141" s="69" t="n">
        <f aca="false">IF($A141="","",Data_Engine!$AB141)</f>
        <v>0</v>
      </c>
      <c r="O141" s="69" t="n">
        <f aca="false">IF($A141="","",Data_Engine!$AC141)</f>
        <v>0</v>
      </c>
      <c r="P141" s="69" t="n">
        <f aca="false">IF($A141="","",Data_Engine!$AH141)</f>
        <v>0</v>
      </c>
      <c r="Q141" s="70" t="n">
        <f aca="false">IF($A141="","",Data_Engine!$AD141)</f>
        <v>0</v>
      </c>
      <c r="R141" s="69" t="n">
        <f aca="false">IF($A141="","",Data_Engine!$AF141)</f>
        <v>0</v>
      </c>
      <c r="S141" s="71" t="n">
        <f aca="false">IF($A141="","",$Q141-$R141)</f>
        <v>0</v>
      </c>
      <c r="T141" s="72" t="str">
        <f aca="false">IF($A141="","",IF(ROUND($R141,2)=0,"n/a",$S141/ABS($R141)))</f>
        <v>n/a</v>
      </c>
      <c r="U141" s="69" t="n">
        <f aca="false">IF($A141="","",Data_Engine!$AG141)</f>
        <v>0</v>
      </c>
      <c r="V141" s="73" t="n">
        <f aca="false">IF($A141="","",$Q141-$U141)</f>
        <v>0</v>
      </c>
      <c r="W141" s="72" t="str">
        <f aca="false">IF($A141="","",IF(ROUND($U141,2)=0,"n/a",$V141/ABS($U141)))</f>
        <v>n/a</v>
      </c>
      <c r="X141" s="74" t="str">
        <f aca="false">IF($A141="","",IF(AND(ROUND($Q141,2)=0,ROUND($R141,2)=0),"No Activity",IF(ABS($S141)&lt;Setup!$B$14,"Low",IF(ROUND($R141,2)=0,"High",IF(OR(ABS($S141/$R141)&gt;=Setup!$B$16,ABS($S141)&gt;=Setup!$B$17),"High",IF(ABS($S141/$R141)&gt;=Setup!$B$15,"Medium","Low"))))))</f>
        <v>No Activity</v>
      </c>
      <c r="Y141" s="57"/>
      <c r="Z141" s="75" t="n">
        <f aca="false">IF($A141="",-1000000000000000,IF(ROUND(ABS($S141),0)=0,-1000000000000000,ABS($S141)+ROW()/1000000))</f>
        <v>-1000000000000000</v>
      </c>
    </row>
    <row r="142" customFormat="false" ht="15" hidden="false" customHeight="false" outlineLevel="0" collapsed="false">
      <c r="A142" s="68" t="str">
        <f aca="false">IF(Data_Engine!$A142="","",Data_Engine!$A142)</f>
        <v>Indirect Salaries - ADMIN</v>
      </c>
      <c r="B142" s="42" t="str">
        <f aca="false">IF($A142="","",Data_Engine!$B142)</f>
        <v>Expenses</v>
      </c>
      <c r="C142" s="42" t="str">
        <f aca="false">IF($A142="","",Data_Engine!$D142)</f>
        <v>Admin</v>
      </c>
      <c r="D142" s="69" t="n">
        <f aca="false">IF($A142="","",Data_Engine!$R142)</f>
        <v>0</v>
      </c>
      <c r="E142" s="69" t="n">
        <f aca="false">IF($A142="","",Data_Engine!$S142)</f>
        <v>0</v>
      </c>
      <c r="F142" s="69" t="n">
        <f aca="false">IF($A142="","",Data_Engine!$T142)</f>
        <v>0</v>
      </c>
      <c r="G142" s="69" t="n">
        <f aca="false">IF($A142="","",Data_Engine!$U142)</f>
        <v>0</v>
      </c>
      <c r="H142" s="69" t="n">
        <f aca="false">IF($A142="","",Data_Engine!$V142)</f>
        <v>0</v>
      </c>
      <c r="I142" s="69" t="n">
        <f aca="false">IF($A142="","",Data_Engine!$W142)</f>
        <v>0</v>
      </c>
      <c r="J142" s="69" t="n">
        <f aca="false">IF($A142="","",Data_Engine!$X142)</f>
        <v>0</v>
      </c>
      <c r="K142" s="69" t="n">
        <f aca="false">IF($A142="","",Data_Engine!$Y142)</f>
        <v>0</v>
      </c>
      <c r="L142" s="69" t="n">
        <f aca="false">IF($A142="","",Data_Engine!$Z142)</f>
        <v>0</v>
      </c>
      <c r="M142" s="69" t="n">
        <f aca="false">IF($A142="","",Data_Engine!$AA142)</f>
        <v>0</v>
      </c>
      <c r="N142" s="69" t="n">
        <f aca="false">IF($A142="","",Data_Engine!$AB142)</f>
        <v>0</v>
      </c>
      <c r="O142" s="69" t="n">
        <f aca="false">IF($A142="","",Data_Engine!$AC142)</f>
        <v>0</v>
      </c>
      <c r="P142" s="69" t="n">
        <f aca="false">IF($A142="","",Data_Engine!$AH142)</f>
        <v>0</v>
      </c>
      <c r="Q142" s="70" t="n">
        <f aca="false">IF($A142="","",Data_Engine!$AD142)</f>
        <v>0</v>
      </c>
      <c r="R142" s="69" t="n">
        <f aca="false">IF($A142="","",Data_Engine!$AF142)</f>
        <v>0</v>
      </c>
      <c r="S142" s="71" t="n">
        <f aca="false">IF($A142="","",$Q142-$R142)</f>
        <v>0</v>
      </c>
      <c r="T142" s="72" t="str">
        <f aca="false">IF($A142="","",IF(ROUND($R142,2)=0,"n/a",$S142/ABS($R142)))</f>
        <v>n/a</v>
      </c>
      <c r="U142" s="69" t="n">
        <f aca="false">IF($A142="","",Data_Engine!$AG142)</f>
        <v>0</v>
      </c>
      <c r="V142" s="73" t="n">
        <f aca="false">IF($A142="","",$Q142-$U142)</f>
        <v>0</v>
      </c>
      <c r="W142" s="72" t="str">
        <f aca="false">IF($A142="","",IF(ROUND($U142,2)=0,"n/a",$V142/ABS($U142)))</f>
        <v>n/a</v>
      </c>
      <c r="X142" s="74" t="str">
        <f aca="false">IF($A142="","",IF(AND(ROUND($Q142,2)=0,ROUND($R142,2)=0),"No Activity",IF(ABS($S142)&lt;Setup!$B$14,"Low",IF(ROUND($R142,2)=0,"High",IF(OR(ABS($S142/$R142)&gt;=Setup!$B$16,ABS($S142)&gt;=Setup!$B$17),"High",IF(ABS($S142/$R142)&gt;=Setup!$B$15,"Medium","Low"))))))</f>
        <v>No Activity</v>
      </c>
      <c r="Y142" s="57"/>
      <c r="Z142" s="75" t="n">
        <f aca="false">IF($A142="",-1000000000000000,IF(ROUND(ABS($S142),0)=0,-1000000000000000,ABS($S142)+ROW()/1000000))</f>
        <v>-1000000000000000</v>
      </c>
    </row>
    <row r="143" customFormat="false" ht="15" hidden="false" customHeight="false" outlineLevel="0" collapsed="false">
      <c r="A143" s="68" t="str">
        <f aca="false">IF(Data_Engine!$A143="","",Data_Engine!$A143)</f>
        <v>Indirect Salaries - CONS</v>
      </c>
      <c r="B143" s="42" t="str">
        <f aca="false">IF($A143="","",Data_Engine!$B143)</f>
        <v>Expenses</v>
      </c>
      <c r="C143" s="42" t="str">
        <f aca="false">IF($A143="","",Data_Engine!$D143)</f>
        <v>Consulting</v>
      </c>
      <c r="D143" s="69" t="n">
        <f aca="false">IF($A143="","",Data_Engine!$R143)</f>
        <v>0</v>
      </c>
      <c r="E143" s="69" t="n">
        <f aca="false">IF($A143="","",Data_Engine!$S143)</f>
        <v>0</v>
      </c>
      <c r="F143" s="69" t="n">
        <f aca="false">IF($A143="","",Data_Engine!$T143)</f>
        <v>0</v>
      </c>
      <c r="G143" s="69" t="n">
        <f aca="false">IF($A143="","",Data_Engine!$U143)</f>
        <v>0</v>
      </c>
      <c r="H143" s="69" t="n">
        <f aca="false">IF($A143="","",Data_Engine!$V143)</f>
        <v>0</v>
      </c>
      <c r="I143" s="69" t="n">
        <f aca="false">IF($A143="","",Data_Engine!$W143)</f>
        <v>0</v>
      </c>
      <c r="J143" s="69" t="n">
        <f aca="false">IF($A143="","",Data_Engine!$X143)</f>
        <v>0</v>
      </c>
      <c r="K143" s="69" t="n">
        <f aca="false">IF($A143="","",Data_Engine!$Y143)</f>
        <v>0</v>
      </c>
      <c r="L143" s="69" t="n">
        <f aca="false">IF($A143="","",Data_Engine!$Z143)</f>
        <v>0</v>
      </c>
      <c r="M143" s="69" t="n">
        <f aca="false">IF($A143="","",Data_Engine!$AA143)</f>
        <v>0</v>
      </c>
      <c r="N143" s="69" t="n">
        <f aca="false">IF($A143="","",Data_Engine!$AB143)</f>
        <v>0</v>
      </c>
      <c r="O143" s="69" t="n">
        <f aca="false">IF($A143="","",Data_Engine!$AC143)</f>
        <v>0</v>
      </c>
      <c r="P143" s="69" t="n">
        <f aca="false">IF($A143="","",Data_Engine!$AH143)</f>
        <v>0</v>
      </c>
      <c r="Q143" s="70" t="n">
        <f aca="false">IF($A143="","",Data_Engine!$AD143)</f>
        <v>0</v>
      </c>
      <c r="R143" s="69" t="n">
        <f aca="false">IF($A143="","",Data_Engine!$AF143)</f>
        <v>0</v>
      </c>
      <c r="S143" s="71" t="n">
        <f aca="false">IF($A143="","",$Q143-$R143)</f>
        <v>0</v>
      </c>
      <c r="T143" s="72" t="str">
        <f aca="false">IF($A143="","",IF(ROUND($R143,2)=0,"n/a",$S143/ABS($R143)))</f>
        <v>n/a</v>
      </c>
      <c r="U143" s="69" t="n">
        <f aca="false">IF($A143="","",Data_Engine!$AG143)</f>
        <v>0</v>
      </c>
      <c r="V143" s="73" t="n">
        <f aca="false">IF($A143="","",$Q143-$U143)</f>
        <v>0</v>
      </c>
      <c r="W143" s="72" t="str">
        <f aca="false">IF($A143="","",IF(ROUND($U143,2)=0,"n/a",$V143/ABS($U143)))</f>
        <v>n/a</v>
      </c>
      <c r="X143" s="74" t="str">
        <f aca="false">IF($A143="","",IF(AND(ROUND($Q143,2)=0,ROUND($R143,2)=0),"No Activity",IF(ABS($S143)&lt;Setup!$B$14,"Low",IF(ROUND($R143,2)=0,"High",IF(OR(ABS($S143/$R143)&gt;=Setup!$B$16,ABS($S143)&gt;=Setup!$B$17),"High",IF(ABS($S143/$R143)&gt;=Setup!$B$15,"Medium","Low"))))))</f>
        <v>No Activity</v>
      </c>
      <c r="Y143" s="57"/>
      <c r="Z143" s="75" t="n">
        <f aca="false">IF($A143="",-1000000000000000,IF(ROUND(ABS($S143),0)=0,-1000000000000000,ABS($S143)+ROW()/1000000))</f>
        <v>-1000000000000000</v>
      </c>
    </row>
    <row r="144" customFormat="false" ht="15" hidden="false" customHeight="false" outlineLevel="0" collapsed="false">
      <c r="A144" s="68" t="str">
        <f aca="false">IF(Data_Engine!$A144="","",Data_Engine!$A144)</f>
        <v>Indirect Salaries - INTEGRATION</v>
      </c>
      <c r="B144" s="42" t="str">
        <f aca="false">IF($A144="","",Data_Engine!$B144)</f>
        <v>Expenses</v>
      </c>
      <c r="C144" s="42" t="str">
        <f aca="false">IF($A144="","",Data_Engine!$D144)</f>
        <v>Integration</v>
      </c>
      <c r="D144" s="69" t="n">
        <f aca="false">IF($A144="","",Data_Engine!$R144)</f>
        <v>0</v>
      </c>
      <c r="E144" s="69" t="n">
        <f aca="false">IF($A144="","",Data_Engine!$S144)</f>
        <v>0</v>
      </c>
      <c r="F144" s="69" t="n">
        <f aca="false">IF($A144="","",Data_Engine!$T144)</f>
        <v>0</v>
      </c>
      <c r="G144" s="69" t="n">
        <f aca="false">IF($A144="","",Data_Engine!$U144)</f>
        <v>0</v>
      </c>
      <c r="H144" s="69" t="n">
        <f aca="false">IF($A144="","",Data_Engine!$V144)</f>
        <v>0</v>
      </c>
      <c r="I144" s="69" t="n">
        <f aca="false">IF($A144="","",Data_Engine!$W144)</f>
        <v>0</v>
      </c>
      <c r="J144" s="69" t="n">
        <f aca="false">IF($A144="","",Data_Engine!$X144)</f>
        <v>0</v>
      </c>
      <c r="K144" s="69" t="n">
        <f aca="false">IF($A144="","",Data_Engine!$Y144)</f>
        <v>0</v>
      </c>
      <c r="L144" s="69" t="n">
        <f aca="false">IF($A144="","",Data_Engine!$Z144)</f>
        <v>0</v>
      </c>
      <c r="M144" s="69" t="n">
        <f aca="false">IF($A144="","",Data_Engine!$AA144)</f>
        <v>0</v>
      </c>
      <c r="N144" s="69" t="n">
        <f aca="false">IF($A144="","",Data_Engine!$AB144)</f>
        <v>0</v>
      </c>
      <c r="O144" s="69" t="n">
        <f aca="false">IF($A144="","",Data_Engine!$AC144)</f>
        <v>0</v>
      </c>
      <c r="P144" s="69" t="n">
        <f aca="false">IF($A144="","",Data_Engine!$AH144)</f>
        <v>0</v>
      </c>
      <c r="Q144" s="70" t="n">
        <f aca="false">IF($A144="","",Data_Engine!$AD144)</f>
        <v>0</v>
      </c>
      <c r="R144" s="69" t="n">
        <f aca="false">IF($A144="","",Data_Engine!$AF144)</f>
        <v>0</v>
      </c>
      <c r="S144" s="71" t="n">
        <f aca="false">IF($A144="","",$Q144-$R144)</f>
        <v>0</v>
      </c>
      <c r="T144" s="72" t="str">
        <f aca="false">IF($A144="","",IF(ROUND($R144,2)=0,"n/a",$S144/ABS($R144)))</f>
        <v>n/a</v>
      </c>
      <c r="U144" s="69" t="n">
        <f aca="false">IF($A144="","",Data_Engine!$AG144)</f>
        <v>0</v>
      </c>
      <c r="V144" s="73" t="n">
        <f aca="false">IF($A144="","",$Q144-$U144)</f>
        <v>0</v>
      </c>
      <c r="W144" s="72" t="str">
        <f aca="false">IF($A144="","",IF(ROUND($U144,2)=0,"n/a",$V144/ABS($U144)))</f>
        <v>n/a</v>
      </c>
      <c r="X144" s="74" t="str">
        <f aca="false">IF($A144="","",IF(AND(ROUND($Q144,2)=0,ROUND($R144,2)=0),"No Activity",IF(ABS($S144)&lt;Setup!$B$14,"Low",IF(ROUND($R144,2)=0,"High",IF(OR(ABS($S144/$R144)&gt;=Setup!$B$16,ABS($S144)&gt;=Setup!$B$17),"High",IF(ABS($S144/$R144)&gt;=Setup!$B$15,"Medium","Low"))))))</f>
        <v>No Activity</v>
      </c>
      <c r="Y144" s="57"/>
      <c r="Z144" s="75" t="n">
        <f aca="false">IF($A144="",-1000000000000000,IF(ROUND(ABS($S144),0)=0,-1000000000000000,ABS($S144)+ROW()/1000000))</f>
        <v>-1000000000000000</v>
      </c>
    </row>
    <row r="145" customFormat="false" ht="15" hidden="false" customHeight="false" outlineLevel="0" collapsed="false">
      <c r="A145" s="68" t="str">
        <f aca="false">IF(Data_Engine!$A145="","",Data_Engine!$A145)</f>
        <v>Indirect Salaries - ONS</v>
      </c>
      <c r="B145" s="42" t="str">
        <f aca="false">IF($A145="","",Data_Engine!$B145)</f>
        <v>Expenses</v>
      </c>
      <c r="C145" s="42" t="str">
        <f aca="false">IF($A145="","",Data_Engine!$D145)</f>
        <v>Onsite</v>
      </c>
      <c r="D145" s="69" t="n">
        <f aca="false">IF($A145="","",Data_Engine!$R145)</f>
        <v>0</v>
      </c>
      <c r="E145" s="69" t="n">
        <f aca="false">IF($A145="","",Data_Engine!$S145)</f>
        <v>0</v>
      </c>
      <c r="F145" s="69" t="n">
        <f aca="false">IF($A145="","",Data_Engine!$T145)</f>
        <v>0</v>
      </c>
      <c r="G145" s="69" t="n">
        <f aca="false">IF($A145="","",Data_Engine!$U145)</f>
        <v>0</v>
      </c>
      <c r="H145" s="69" t="n">
        <f aca="false">IF($A145="","",Data_Engine!$V145)</f>
        <v>0</v>
      </c>
      <c r="I145" s="69" t="n">
        <f aca="false">IF($A145="","",Data_Engine!$W145)</f>
        <v>0</v>
      </c>
      <c r="J145" s="69" t="n">
        <f aca="false">IF($A145="","",Data_Engine!$X145)</f>
        <v>0</v>
      </c>
      <c r="K145" s="69" t="n">
        <f aca="false">IF($A145="","",Data_Engine!$Y145)</f>
        <v>0</v>
      </c>
      <c r="L145" s="69" t="n">
        <f aca="false">IF($A145="","",Data_Engine!$Z145)</f>
        <v>0</v>
      </c>
      <c r="M145" s="69" t="n">
        <f aca="false">IF($A145="","",Data_Engine!$AA145)</f>
        <v>0</v>
      </c>
      <c r="N145" s="69" t="n">
        <f aca="false">IF($A145="","",Data_Engine!$AB145)</f>
        <v>0</v>
      </c>
      <c r="O145" s="69" t="n">
        <f aca="false">IF($A145="","",Data_Engine!$AC145)</f>
        <v>0</v>
      </c>
      <c r="P145" s="69" t="n">
        <f aca="false">IF($A145="","",Data_Engine!$AH145)</f>
        <v>0</v>
      </c>
      <c r="Q145" s="70" t="n">
        <f aca="false">IF($A145="","",Data_Engine!$AD145)</f>
        <v>0</v>
      </c>
      <c r="R145" s="69" t="n">
        <f aca="false">IF($A145="","",Data_Engine!$AF145)</f>
        <v>0</v>
      </c>
      <c r="S145" s="71" t="n">
        <f aca="false">IF($A145="","",$Q145-$R145)</f>
        <v>0</v>
      </c>
      <c r="T145" s="72" t="str">
        <f aca="false">IF($A145="","",IF(ROUND($R145,2)=0,"n/a",$S145/ABS($R145)))</f>
        <v>n/a</v>
      </c>
      <c r="U145" s="69" t="n">
        <f aca="false">IF($A145="","",Data_Engine!$AG145)</f>
        <v>0</v>
      </c>
      <c r="V145" s="73" t="n">
        <f aca="false">IF($A145="","",$Q145-$U145)</f>
        <v>0</v>
      </c>
      <c r="W145" s="72" t="str">
        <f aca="false">IF($A145="","",IF(ROUND($U145,2)=0,"n/a",$V145/ABS($U145)))</f>
        <v>n/a</v>
      </c>
      <c r="X145" s="74" t="str">
        <f aca="false">IF($A145="","",IF(AND(ROUND($Q145,2)=0,ROUND($R145,2)=0),"No Activity",IF(ABS($S145)&lt;Setup!$B$14,"Low",IF(ROUND($R145,2)=0,"High",IF(OR(ABS($S145/$R145)&gt;=Setup!$B$16,ABS($S145)&gt;=Setup!$B$17),"High",IF(ABS($S145/$R145)&gt;=Setup!$B$15,"Medium","Low"))))))</f>
        <v>No Activity</v>
      </c>
      <c r="Y145" s="57"/>
      <c r="Z145" s="75" t="n">
        <f aca="false">IF($A145="",-1000000000000000,IF(ROUND(ABS($S145),0)=0,-1000000000000000,ABS($S145)+ROW()/1000000))</f>
        <v>-1000000000000000</v>
      </c>
    </row>
    <row r="146" customFormat="false" ht="15" hidden="false" customHeight="false" outlineLevel="0" collapsed="false">
      <c r="A146" s="68" t="str">
        <f aca="false">IF(Data_Engine!$A146="","",Data_Engine!$A146)</f>
        <v>Indirect Salaries - PRD</v>
      </c>
      <c r="B146" s="42" t="str">
        <f aca="false">IF($A146="","",Data_Engine!$B146)</f>
        <v>Expenses</v>
      </c>
      <c r="C146" s="42" t="str">
        <f aca="false">IF($A146="","",Data_Engine!$D146)</f>
        <v>Production</v>
      </c>
      <c r="D146" s="69" t="n">
        <f aca="false">IF($A146="","",Data_Engine!$R146)</f>
        <v>0</v>
      </c>
      <c r="E146" s="69" t="n">
        <f aca="false">IF($A146="","",Data_Engine!$S146)</f>
        <v>0</v>
      </c>
      <c r="F146" s="69" t="n">
        <f aca="false">IF($A146="","",Data_Engine!$T146)</f>
        <v>0</v>
      </c>
      <c r="G146" s="69" t="n">
        <f aca="false">IF($A146="","",Data_Engine!$U146)</f>
        <v>0</v>
      </c>
      <c r="H146" s="69" t="n">
        <f aca="false">IF($A146="","",Data_Engine!$V146)</f>
        <v>0</v>
      </c>
      <c r="I146" s="69" t="n">
        <f aca="false">IF($A146="","",Data_Engine!$W146)</f>
        <v>0</v>
      </c>
      <c r="J146" s="69" t="n">
        <f aca="false">IF($A146="","",Data_Engine!$X146)</f>
        <v>0</v>
      </c>
      <c r="K146" s="69" t="n">
        <f aca="false">IF($A146="","",Data_Engine!$Y146)</f>
        <v>0</v>
      </c>
      <c r="L146" s="69" t="n">
        <f aca="false">IF($A146="","",Data_Engine!$Z146)</f>
        <v>0</v>
      </c>
      <c r="M146" s="69" t="n">
        <f aca="false">IF($A146="","",Data_Engine!$AA146)</f>
        <v>0</v>
      </c>
      <c r="N146" s="69" t="n">
        <f aca="false">IF($A146="","",Data_Engine!$AB146)</f>
        <v>0</v>
      </c>
      <c r="O146" s="69" t="n">
        <f aca="false">IF($A146="","",Data_Engine!$AC146)</f>
        <v>0</v>
      </c>
      <c r="P146" s="69" t="n">
        <f aca="false">IF($A146="","",Data_Engine!$AH146)</f>
        <v>0</v>
      </c>
      <c r="Q146" s="70" t="n">
        <f aca="false">IF($A146="","",Data_Engine!$AD146)</f>
        <v>0</v>
      </c>
      <c r="R146" s="69" t="n">
        <f aca="false">IF($A146="","",Data_Engine!$AF146)</f>
        <v>0</v>
      </c>
      <c r="S146" s="71" t="n">
        <f aca="false">IF($A146="","",$Q146-$R146)</f>
        <v>0</v>
      </c>
      <c r="T146" s="72" t="str">
        <f aca="false">IF($A146="","",IF(ROUND($R146,2)=0,"n/a",$S146/ABS($R146)))</f>
        <v>n/a</v>
      </c>
      <c r="U146" s="69" t="n">
        <f aca="false">IF($A146="","",Data_Engine!$AG146)</f>
        <v>0</v>
      </c>
      <c r="V146" s="73" t="n">
        <f aca="false">IF($A146="","",$Q146-$U146)</f>
        <v>0</v>
      </c>
      <c r="W146" s="72" t="str">
        <f aca="false">IF($A146="","",IF(ROUND($U146,2)=0,"n/a",$V146/ABS($U146)))</f>
        <v>n/a</v>
      </c>
      <c r="X146" s="74" t="str">
        <f aca="false">IF($A146="","",IF(AND(ROUND($Q146,2)=0,ROUND($R146,2)=0),"No Activity",IF(ABS($S146)&lt;Setup!$B$14,"Low",IF(ROUND($R146,2)=0,"High",IF(OR(ABS($S146/$R146)&gt;=Setup!$B$16,ABS($S146)&gt;=Setup!$B$17),"High",IF(ABS($S146/$R146)&gt;=Setup!$B$15,"Medium","Low"))))))</f>
        <v>No Activity</v>
      </c>
      <c r="Y146" s="57"/>
      <c r="Z146" s="75" t="n">
        <f aca="false">IF($A146="",-1000000000000000,IF(ROUND(ABS($S146),0)=0,-1000000000000000,ABS($S146)+ROW()/1000000))</f>
        <v>-1000000000000000</v>
      </c>
    </row>
    <row r="147" customFormat="false" ht="15" hidden="false" customHeight="false" outlineLevel="0" collapsed="false">
      <c r="A147" s="68" t="str">
        <f aca="false">IF(Data_Engine!$A147="","",Data_Engine!$A147)</f>
        <v>Indirect Salaries - VID</v>
      </c>
      <c r="B147" s="42" t="str">
        <f aca="false">IF($A147="","",Data_Engine!$B147)</f>
        <v>Expenses</v>
      </c>
      <c r="C147" s="42" t="str">
        <f aca="false">IF($A147="","",Data_Engine!$D147)</f>
        <v>Video</v>
      </c>
      <c r="D147" s="69" t="n">
        <f aca="false">IF($A147="","",Data_Engine!$R147)</f>
        <v>0</v>
      </c>
      <c r="E147" s="69" t="n">
        <f aca="false">IF($A147="","",Data_Engine!$S147)</f>
        <v>0</v>
      </c>
      <c r="F147" s="69" t="n">
        <f aca="false">IF($A147="","",Data_Engine!$T147)</f>
        <v>0</v>
      </c>
      <c r="G147" s="69" t="n">
        <f aca="false">IF($A147="","",Data_Engine!$U147)</f>
        <v>0</v>
      </c>
      <c r="H147" s="69" t="n">
        <f aca="false">IF($A147="","",Data_Engine!$V147)</f>
        <v>0</v>
      </c>
      <c r="I147" s="69" t="n">
        <f aca="false">IF($A147="","",Data_Engine!$W147)</f>
        <v>0</v>
      </c>
      <c r="J147" s="69" t="n">
        <f aca="false">IF($A147="","",Data_Engine!$X147)</f>
        <v>0</v>
      </c>
      <c r="K147" s="69" t="n">
        <f aca="false">IF($A147="","",Data_Engine!$Y147)</f>
        <v>0</v>
      </c>
      <c r="L147" s="69" t="n">
        <f aca="false">IF($A147="","",Data_Engine!$Z147)</f>
        <v>0</v>
      </c>
      <c r="M147" s="69" t="n">
        <f aca="false">IF($A147="","",Data_Engine!$AA147)</f>
        <v>0</v>
      </c>
      <c r="N147" s="69" t="n">
        <f aca="false">IF($A147="","",Data_Engine!$AB147)</f>
        <v>0</v>
      </c>
      <c r="O147" s="69" t="n">
        <f aca="false">IF($A147="","",Data_Engine!$AC147)</f>
        <v>0</v>
      </c>
      <c r="P147" s="69" t="n">
        <f aca="false">IF($A147="","",Data_Engine!$AH147)</f>
        <v>0</v>
      </c>
      <c r="Q147" s="70" t="n">
        <f aca="false">IF($A147="","",Data_Engine!$AD147)</f>
        <v>0</v>
      </c>
      <c r="R147" s="69" t="n">
        <f aca="false">IF($A147="","",Data_Engine!$AF147)</f>
        <v>0</v>
      </c>
      <c r="S147" s="71" t="n">
        <f aca="false">IF($A147="","",$Q147-$R147)</f>
        <v>0</v>
      </c>
      <c r="T147" s="72" t="str">
        <f aca="false">IF($A147="","",IF(ROUND($R147,2)=0,"n/a",$S147/ABS($R147)))</f>
        <v>n/a</v>
      </c>
      <c r="U147" s="69" t="n">
        <f aca="false">IF($A147="","",Data_Engine!$AG147)</f>
        <v>0</v>
      </c>
      <c r="V147" s="73" t="n">
        <f aca="false">IF($A147="","",$Q147-$U147)</f>
        <v>0</v>
      </c>
      <c r="W147" s="72" t="str">
        <f aca="false">IF($A147="","",IF(ROUND($U147,2)=0,"n/a",$V147/ABS($U147)))</f>
        <v>n/a</v>
      </c>
      <c r="X147" s="74" t="str">
        <f aca="false">IF($A147="","",IF(AND(ROUND($Q147,2)=0,ROUND($R147,2)=0),"No Activity",IF(ABS($S147)&lt;Setup!$B$14,"Low",IF(ROUND($R147,2)=0,"High",IF(OR(ABS($S147/$R147)&gt;=Setup!$B$16,ABS($S147)&gt;=Setup!$B$17),"High",IF(ABS($S147/$R147)&gt;=Setup!$B$15,"Medium","Low"))))))</f>
        <v>No Activity</v>
      </c>
      <c r="Y147" s="57"/>
      <c r="Z147" s="75" t="n">
        <f aca="false">IF($A147="",-1000000000000000,IF(ROUND(ABS($S147),0)=0,-1000000000000000,ABS($S147)+ROW()/1000000))</f>
        <v>-1000000000000000</v>
      </c>
    </row>
    <row r="148" customFormat="false" ht="15" hidden="false" customHeight="false" outlineLevel="0" collapsed="false">
      <c r="A148" s="68" t="str">
        <f aca="false">IF(Data_Engine!$A148="","",Data_Engine!$A148)</f>
        <v>Indirect Wages - ADMIN</v>
      </c>
      <c r="B148" s="42" t="str">
        <f aca="false">IF($A148="","",Data_Engine!$B148)</f>
        <v>Expenses</v>
      </c>
      <c r="C148" s="42" t="str">
        <f aca="false">IF($A148="","",Data_Engine!$D148)</f>
        <v>Admin</v>
      </c>
      <c r="D148" s="69" t="n">
        <f aca="false">IF($A148="","",Data_Engine!$R148)</f>
        <v>0</v>
      </c>
      <c r="E148" s="69" t="n">
        <f aca="false">IF($A148="","",Data_Engine!$S148)</f>
        <v>0</v>
      </c>
      <c r="F148" s="69" t="n">
        <f aca="false">IF($A148="","",Data_Engine!$T148)</f>
        <v>0</v>
      </c>
      <c r="G148" s="69" t="n">
        <f aca="false">IF($A148="","",Data_Engine!$U148)</f>
        <v>0</v>
      </c>
      <c r="H148" s="69" t="n">
        <f aca="false">IF($A148="","",Data_Engine!$V148)</f>
        <v>0</v>
      </c>
      <c r="I148" s="69" t="n">
        <f aca="false">IF($A148="","",Data_Engine!$W148)</f>
        <v>0</v>
      </c>
      <c r="J148" s="69" t="n">
        <f aca="false">IF($A148="","",Data_Engine!$X148)</f>
        <v>0</v>
      </c>
      <c r="K148" s="69" t="n">
        <f aca="false">IF($A148="","",Data_Engine!$Y148)</f>
        <v>0</v>
      </c>
      <c r="L148" s="69" t="n">
        <f aca="false">IF($A148="","",Data_Engine!$Z148)</f>
        <v>0</v>
      </c>
      <c r="M148" s="69" t="n">
        <f aca="false">IF($A148="","",Data_Engine!$AA148)</f>
        <v>0</v>
      </c>
      <c r="N148" s="69" t="n">
        <f aca="false">IF($A148="","",Data_Engine!$AB148)</f>
        <v>0</v>
      </c>
      <c r="O148" s="69" t="n">
        <f aca="false">IF($A148="","",Data_Engine!$AC148)</f>
        <v>0</v>
      </c>
      <c r="P148" s="69" t="n">
        <f aca="false">IF($A148="","",Data_Engine!$AH148)</f>
        <v>0</v>
      </c>
      <c r="Q148" s="70" t="n">
        <f aca="false">IF($A148="","",Data_Engine!$AD148)</f>
        <v>0</v>
      </c>
      <c r="R148" s="69" t="n">
        <f aca="false">IF($A148="","",Data_Engine!$AF148)</f>
        <v>0</v>
      </c>
      <c r="S148" s="71" t="n">
        <f aca="false">IF($A148="","",$Q148-$R148)</f>
        <v>0</v>
      </c>
      <c r="T148" s="72" t="str">
        <f aca="false">IF($A148="","",IF(ROUND($R148,2)=0,"n/a",$S148/ABS($R148)))</f>
        <v>n/a</v>
      </c>
      <c r="U148" s="69" t="n">
        <f aca="false">IF($A148="","",Data_Engine!$AG148)</f>
        <v>0</v>
      </c>
      <c r="V148" s="73" t="n">
        <f aca="false">IF($A148="","",$Q148-$U148)</f>
        <v>0</v>
      </c>
      <c r="W148" s="72" t="str">
        <f aca="false">IF($A148="","",IF(ROUND($U148,2)=0,"n/a",$V148/ABS($U148)))</f>
        <v>n/a</v>
      </c>
      <c r="X148" s="74" t="str">
        <f aca="false">IF($A148="","",IF(AND(ROUND($Q148,2)=0,ROUND($R148,2)=0),"No Activity",IF(ABS($S148)&lt;Setup!$B$14,"Low",IF(ROUND($R148,2)=0,"High",IF(OR(ABS($S148/$R148)&gt;=Setup!$B$16,ABS($S148)&gt;=Setup!$B$17),"High",IF(ABS($S148/$R148)&gt;=Setup!$B$15,"Medium","Low"))))))</f>
        <v>No Activity</v>
      </c>
      <c r="Y148" s="57"/>
      <c r="Z148" s="75" t="n">
        <f aca="false">IF($A148="",-1000000000000000,IF(ROUND(ABS($S148),0)=0,-1000000000000000,ABS($S148)+ROW()/1000000))</f>
        <v>-1000000000000000</v>
      </c>
    </row>
    <row r="149" customFormat="false" ht="15" hidden="false" customHeight="false" outlineLevel="0" collapsed="false">
      <c r="A149" s="68" t="str">
        <f aca="false">IF(Data_Engine!$A149="","",Data_Engine!$A149)</f>
        <v>Indirect Wages - CONS</v>
      </c>
      <c r="B149" s="42" t="str">
        <f aca="false">IF($A149="","",Data_Engine!$B149)</f>
        <v>Expenses</v>
      </c>
      <c r="C149" s="42" t="str">
        <f aca="false">IF($A149="","",Data_Engine!$D149)</f>
        <v>Consulting</v>
      </c>
      <c r="D149" s="69" t="n">
        <f aca="false">IF($A149="","",Data_Engine!$R149)</f>
        <v>0</v>
      </c>
      <c r="E149" s="69" t="n">
        <f aca="false">IF($A149="","",Data_Engine!$S149)</f>
        <v>0</v>
      </c>
      <c r="F149" s="69" t="n">
        <f aca="false">IF($A149="","",Data_Engine!$T149)</f>
        <v>0</v>
      </c>
      <c r="G149" s="69" t="n">
        <f aca="false">IF($A149="","",Data_Engine!$U149)</f>
        <v>0</v>
      </c>
      <c r="H149" s="69" t="n">
        <f aca="false">IF($A149="","",Data_Engine!$V149)</f>
        <v>0</v>
      </c>
      <c r="I149" s="69" t="n">
        <f aca="false">IF($A149="","",Data_Engine!$W149)</f>
        <v>0</v>
      </c>
      <c r="J149" s="69" t="n">
        <f aca="false">IF($A149="","",Data_Engine!$X149)</f>
        <v>0</v>
      </c>
      <c r="K149" s="69" t="n">
        <f aca="false">IF($A149="","",Data_Engine!$Y149)</f>
        <v>0</v>
      </c>
      <c r="L149" s="69" t="n">
        <f aca="false">IF($A149="","",Data_Engine!$Z149)</f>
        <v>0</v>
      </c>
      <c r="M149" s="69" t="n">
        <f aca="false">IF($A149="","",Data_Engine!$AA149)</f>
        <v>0</v>
      </c>
      <c r="N149" s="69" t="n">
        <f aca="false">IF($A149="","",Data_Engine!$AB149)</f>
        <v>0</v>
      </c>
      <c r="O149" s="69" t="n">
        <f aca="false">IF($A149="","",Data_Engine!$AC149)</f>
        <v>0</v>
      </c>
      <c r="P149" s="69" t="n">
        <f aca="false">IF($A149="","",Data_Engine!$AH149)</f>
        <v>0</v>
      </c>
      <c r="Q149" s="70" t="n">
        <f aca="false">IF($A149="","",Data_Engine!$AD149)</f>
        <v>0</v>
      </c>
      <c r="R149" s="69" t="n">
        <f aca="false">IF($A149="","",Data_Engine!$AF149)</f>
        <v>0</v>
      </c>
      <c r="S149" s="71" t="n">
        <f aca="false">IF($A149="","",$Q149-$R149)</f>
        <v>0</v>
      </c>
      <c r="T149" s="72" t="str">
        <f aca="false">IF($A149="","",IF(ROUND($R149,2)=0,"n/a",$S149/ABS($R149)))</f>
        <v>n/a</v>
      </c>
      <c r="U149" s="69" t="n">
        <f aca="false">IF($A149="","",Data_Engine!$AG149)</f>
        <v>0</v>
      </c>
      <c r="V149" s="73" t="n">
        <f aca="false">IF($A149="","",$Q149-$U149)</f>
        <v>0</v>
      </c>
      <c r="W149" s="72" t="str">
        <f aca="false">IF($A149="","",IF(ROUND($U149,2)=0,"n/a",$V149/ABS($U149)))</f>
        <v>n/a</v>
      </c>
      <c r="X149" s="74" t="str">
        <f aca="false">IF($A149="","",IF(AND(ROUND($Q149,2)=0,ROUND($R149,2)=0),"No Activity",IF(ABS($S149)&lt;Setup!$B$14,"Low",IF(ROUND($R149,2)=0,"High",IF(OR(ABS($S149/$R149)&gt;=Setup!$B$16,ABS($S149)&gt;=Setup!$B$17),"High",IF(ABS($S149/$R149)&gt;=Setup!$B$15,"Medium","Low"))))))</f>
        <v>No Activity</v>
      </c>
      <c r="Y149" s="57"/>
      <c r="Z149" s="75" t="n">
        <f aca="false">IF($A149="",-1000000000000000,IF(ROUND(ABS($S149),0)=0,-1000000000000000,ABS($S149)+ROW()/1000000))</f>
        <v>-1000000000000000</v>
      </c>
    </row>
    <row r="150" customFormat="false" ht="15" hidden="false" customHeight="false" outlineLevel="0" collapsed="false">
      <c r="A150" s="68" t="str">
        <f aca="false">IF(Data_Engine!$A150="","",Data_Engine!$A150)</f>
        <v>Indirect Wages - INTEGRATION</v>
      </c>
      <c r="B150" s="42" t="str">
        <f aca="false">IF($A150="","",Data_Engine!$B150)</f>
        <v>Expenses</v>
      </c>
      <c r="C150" s="42" t="str">
        <f aca="false">IF($A150="","",Data_Engine!$D150)</f>
        <v>Integration</v>
      </c>
      <c r="D150" s="69" t="n">
        <f aca="false">IF($A150="","",Data_Engine!$R150)</f>
        <v>0</v>
      </c>
      <c r="E150" s="69" t="n">
        <f aca="false">IF($A150="","",Data_Engine!$S150)</f>
        <v>0</v>
      </c>
      <c r="F150" s="69" t="n">
        <f aca="false">IF($A150="","",Data_Engine!$T150)</f>
        <v>0</v>
      </c>
      <c r="G150" s="69" t="n">
        <f aca="false">IF($A150="","",Data_Engine!$U150)</f>
        <v>0</v>
      </c>
      <c r="H150" s="69" t="n">
        <f aca="false">IF($A150="","",Data_Engine!$V150)</f>
        <v>0</v>
      </c>
      <c r="I150" s="69" t="n">
        <f aca="false">IF($A150="","",Data_Engine!$W150)</f>
        <v>0</v>
      </c>
      <c r="J150" s="69" t="n">
        <f aca="false">IF($A150="","",Data_Engine!$X150)</f>
        <v>0</v>
      </c>
      <c r="K150" s="69" t="n">
        <f aca="false">IF($A150="","",Data_Engine!$Y150)</f>
        <v>0</v>
      </c>
      <c r="L150" s="69" t="n">
        <f aca="false">IF($A150="","",Data_Engine!$Z150)</f>
        <v>0</v>
      </c>
      <c r="M150" s="69" t="n">
        <f aca="false">IF($A150="","",Data_Engine!$AA150)</f>
        <v>0</v>
      </c>
      <c r="N150" s="69" t="n">
        <f aca="false">IF($A150="","",Data_Engine!$AB150)</f>
        <v>0</v>
      </c>
      <c r="O150" s="69" t="n">
        <f aca="false">IF($A150="","",Data_Engine!$AC150)</f>
        <v>0</v>
      </c>
      <c r="P150" s="69" t="n">
        <f aca="false">IF($A150="","",Data_Engine!$AH150)</f>
        <v>0</v>
      </c>
      <c r="Q150" s="70" t="n">
        <f aca="false">IF($A150="","",Data_Engine!$AD150)</f>
        <v>0</v>
      </c>
      <c r="R150" s="69" t="n">
        <f aca="false">IF($A150="","",Data_Engine!$AF150)</f>
        <v>0</v>
      </c>
      <c r="S150" s="71" t="n">
        <f aca="false">IF($A150="","",$Q150-$R150)</f>
        <v>0</v>
      </c>
      <c r="T150" s="72" t="str">
        <f aca="false">IF($A150="","",IF(ROUND($R150,2)=0,"n/a",$S150/ABS($R150)))</f>
        <v>n/a</v>
      </c>
      <c r="U150" s="69" t="n">
        <f aca="false">IF($A150="","",Data_Engine!$AG150)</f>
        <v>0</v>
      </c>
      <c r="V150" s="73" t="n">
        <f aca="false">IF($A150="","",$Q150-$U150)</f>
        <v>0</v>
      </c>
      <c r="W150" s="72" t="str">
        <f aca="false">IF($A150="","",IF(ROUND($U150,2)=0,"n/a",$V150/ABS($U150)))</f>
        <v>n/a</v>
      </c>
      <c r="X150" s="74" t="str">
        <f aca="false">IF($A150="","",IF(AND(ROUND($Q150,2)=0,ROUND($R150,2)=0),"No Activity",IF(ABS($S150)&lt;Setup!$B$14,"Low",IF(ROUND($R150,2)=0,"High",IF(OR(ABS($S150/$R150)&gt;=Setup!$B$16,ABS($S150)&gt;=Setup!$B$17),"High",IF(ABS($S150/$R150)&gt;=Setup!$B$15,"Medium","Low"))))))</f>
        <v>No Activity</v>
      </c>
      <c r="Y150" s="57"/>
      <c r="Z150" s="75" t="n">
        <f aca="false">IF($A150="",-1000000000000000,IF(ROUND(ABS($S150),0)=0,-1000000000000000,ABS($S150)+ROW()/1000000))</f>
        <v>-1000000000000000</v>
      </c>
    </row>
    <row r="151" customFormat="false" ht="15" hidden="false" customHeight="false" outlineLevel="0" collapsed="false">
      <c r="A151" s="68" t="str">
        <f aca="false">IF(Data_Engine!$A151="","",Data_Engine!$A151)</f>
        <v>Indirect Wages - ONS</v>
      </c>
      <c r="B151" s="42" t="str">
        <f aca="false">IF($A151="","",Data_Engine!$B151)</f>
        <v>Expenses</v>
      </c>
      <c r="C151" s="42" t="str">
        <f aca="false">IF($A151="","",Data_Engine!$D151)</f>
        <v>Onsite</v>
      </c>
      <c r="D151" s="69" t="n">
        <f aca="false">IF($A151="","",Data_Engine!$R151)</f>
        <v>0</v>
      </c>
      <c r="E151" s="69" t="n">
        <f aca="false">IF($A151="","",Data_Engine!$S151)</f>
        <v>0</v>
      </c>
      <c r="F151" s="69" t="n">
        <f aca="false">IF($A151="","",Data_Engine!$T151)</f>
        <v>0</v>
      </c>
      <c r="G151" s="69" t="n">
        <f aca="false">IF($A151="","",Data_Engine!$U151)</f>
        <v>0</v>
      </c>
      <c r="H151" s="69" t="n">
        <f aca="false">IF($A151="","",Data_Engine!$V151)</f>
        <v>0</v>
      </c>
      <c r="I151" s="69" t="n">
        <f aca="false">IF($A151="","",Data_Engine!$W151)</f>
        <v>0</v>
      </c>
      <c r="J151" s="69" t="n">
        <f aca="false">IF($A151="","",Data_Engine!$X151)</f>
        <v>0</v>
      </c>
      <c r="K151" s="69" t="n">
        <f aca="false">IF($A151="","",Data_Engine!$Y151)</f>
        <v>0</v>
      </c>
      <c r="L151" s="69" t="n">
        <f aca="false">IF($A151="","",Data_Engine!$Z151)</f>
        <v>0</v>
      </c>
      <c r="M151" s="69" t="n">
        <f aca="false">IF($A151="","",Data_Engine!$AA151)</f>
        <v>0</v>
      </c>
      <c r="N151" s="69" t="n">
        <f aca="false">IF($A151="","",Data_Engine!$AB151)</f>
        <v>0</v>
      </c>
      <c r="O151" s="69" t="n">
        <f aca="false">IF($A151="","",Data_Engine!$AC151)</f>
        <v>0</v>
      </c>
      <c r="P151" s="69" t="n">
        <f aca="false">IF($A151="","",Data_Engine!$AH151)</f>
        <v>0</v>
      </c>
      <c r="Q151" s="70" t="n">
        <f aca="false">IF($A151="","",Data_Engine!$AD151)</f>
        <v>0</v>
      </c>
      <c r="R151" s="69" t="n">
        <f aca="false">IF($A151="","",Data_Engine!$AF151)</f>
        <v>0</v>
      </c>
      <c r="S151" s="71" t="n">
        <f aca="false">IF($A151="","",$Q151-$R151)</f>
        <v>0</v>
      </c>
      <c r="T151" s="72" t="str">
        <f aca="false">IF($A151="","",IF(ROUND($R151,2)=0,"n/a",$S151/ABS($R151)))</f>
        <v>n/a</v>
      </c>
      <c r="U151" s="69" t="n">
        <f aca="false">IF($A151="","",Data_Engine!$AG151)</f>
        <v>0</v>
      </c>
      <c r="V151" s="73" t="n">
        <f aca="false">IF($A151="","",$Q151-$U151)</f>
        <v>0</v>
      </c>
      <c r="W151" s="72" t="str">
        <f aca="false">IF($A151="","",IF(ROUND($U151,2)=0,"n/a",$V151/ABS($U151)))</f>
        <v>n/a</v>
      </c>
      <c r="X151" s="74" t="str">
        <f aca="false">IF($A151="","",IF(AND(ROUND($Q151,2)=0,ROUND($R151,2)=0),"No Activity",IF(ABS($S151)&lt;Setup!$B$14,"Low",IF(ROUND($R151,2)=0,"High",IF(OR(ABS($S151/$R151)&gt;=Setup!$B$16,ABS($S151)&gt;=Setup!$B$17),"High",IF(ABS($S151/$R151)&gt;=Setup!$B$15,"Medium","Low"))))))</f>
        <v>No Activity</v>
      </c>
      <c r="Y151" s="57"/>
      <c r="Z151" s="75" t="n">
        <f aca="false">IF($A151="",-1000000000000000,IF(ROUND(ABS($S151),0)=0,-1000000000000000,ABS($S151)+ROW()/1000000))</f>
        <v>-1000000000000000</v>
      </c>
    </row>
    <row r="152" customFormat="false" ht="15" hidden="false" customHeight="false" outlineLevel="0" collapsed="false">
      <c r="A152" s="68" t="str">
        <f aca="false">IF(Data_Engine!$A152="","",Data_Engine!$A152)</f>
        <v>Indirect Wages - PRD</v>
      </c>
      <c r="B152" s="42" t="str">
        <f aca="false">IF($A152="","",Data_Engine!$B152)</f>
        <v>Expenses</v>
      </c>
      <c r="C152" s="42" t="str">
        <f aca="false">IF($A152="","",Data_Engine!$D152)</f>
        <v>Production</v>
      </c>
      <c r="D152" s="69" t="n">
        <f aca="false">IF($A152="","",Data_Engine!$R152)</f>
        <v>0</v>
      </c>
      <c r="E152" s="69" t="n">
        <f aca="false">IF($A152="","",Data_Engine!$S152)</f>
        <v>0</v>
      </c>
      <c r="F152" s="69" t="n">
        <f aca="false">IF($A152="","",Data_Engine!$T152)</f>
        <v>0</v>
      </c>
      <c r="G152" s="69" t="n">
        <f aca="false">IF($A152="","",Data_Engine!$U152)</f>
        <v>0</v>
      </c>
      <c r="H152" s="69" t="n">
        <f aca="false">IF($A152="","",Data_Engine!$V152)</f>
        <v>0</v>
      </c>
      <c r="I152" s="69" t="n">
        <f aca="false">IF($A152="","",Data_Engine!$W152)</f>
        <v>0</v>
      </c>
      <c r="J152" s="69" t="n">
        <f aca="false">IF($A152="","",Data_Engine!$X152)</f>
        <v>0</v>
      </c>
      <c r="K152" s="69" t="n">
        <f aca="false">IF($A152="","",Data_Engine!$Y152)</f>
        <v>0</v>
      </c>
      <c r="L152" s="69" t="n">
        <f aca="false">IF($A152="","",Data_Engine!$Z152)</f>
        <v>0</v>
      </c>
      <c r="M152" s="69" t="n">
        <f aca="false">IF($A152="","",Data_Engine!$AA152)</f>
        <v>0</v>
      </c>
      <c r="N152" s="69" t="n">
        <f aca="false">IF($A152="","",Data_Engine!$AB152)</f>
        <v>0</v>
      </c>
      <c r="O152" s="69" t="n">
        <f aca="false">IF($A152="","",Data_Engine!$AC152)</f>
        <v>0</v>
      </c>
      <c r="P152" s="69" t="n">
        <f aca="false">IF($A152="","",Data_Engine!$AH152)</f>
        <v>0</v>
      </c>
      <c r="Q152" s="70" t="n">
        <f aca="false">IF($A152="","",Data_Engine!$AD152)</f>
        <v>0</v>
      </c>
      <c r="R152" s="69" t="n">
        <f aca="false">IF($A152="","",Data_Engine!$AF152)</f>
        <v>0</v>
      </c>
      <c r="S152" s="71" t="n">
        <f aca="false">IF($A152="","",$Q152-$R152)</f>
        <v>0</v>
      </c>
      <c r="T152" s="72" t="str">
        <f aca="false">IF($A152="","",IF(ROUND($R152,2)=0,"n/a",$S152/ABS($R152)))</f>
        <v>n/a</v>
      </c>
      <c r="U152" s="69" t="n">
        <f aca="false">IF($A152="","",Data_Engine!$AG152)</f>
        <v>0</v>
      </c>
      <c r="V152" s="73" t="n">
        <f aca="false">IF($A152="","",$Q152-$U152)</f>
        <v>0</v>
      </c>
      <c r="W152" s="72" t="str">
        <f aca="false">IF($A152="","",IF(ROUND($U152,2)=0,"n/a",$V152/ABS($U152)))</f>
        <v>n/a</v>
      </c>
      <c r="X152" s="74" t="str">
        <f aca="false">IF($A152="","",IF(AND(ROUND($Q152,2)=0,ROUND($R152,2)=0),"No Activity",IF(ABS($S152)&lt;Setup!$B$14,"Low",IF(ROUND($R152,2)=0,"High",IF(OR(ABS($S152/$R152)&gt;=Setup!$B$16,ABS($S152)&gt;=Setup!$B$17),"High",IF(ABS($S152/$R152)&gt;=Setup!$B$15,"Medium","Low"))))))</f>
        <v>No Activity</v>
      </c>
      <c r="Y152" s="57"/>
      <c r="Z152" s="75" t="n">
        <f aca="false">IF($A152="",-1000000000000000,IF(ROUND(ABS($S152),0)=0,-1000000000000000,ABS($S152)+ROW()/1000000))</f>
        <v>-1000000000000000</v>
      </c>
    </row>
    <row r="153" customFormat="false" ht="15" hidden="false" customHeight="false" outlineLevel="0" collapsed="false">
      <c r="A153" s="68" t="str">
        <f aca="false">IF(Data_Engine!$A153="","",Data_Engine!$A153)</f>
        <v>Indirect Wages - VID</v>
      </c>
      <c r="B153" s="42" t="str">
        <f aca="false">IF($A153="","",Data_Engine!$B153)</f>
        <v>Expenses</v>
      </c>
      <c r="C153" s="42" t="str">
        <f aca="false">IF($A153="","",Data_Engine!$D153)</f>
        <v>Video</v>
      </c>
      <c r="D153" s="69" t="n">
        <f aca="false">IF($A153="","",Data_Engine!$R153)</f>
        <v>0</v>
      </c>
      <c r="E153" s="69" t="n">
        <f aca="false">IF($A153="","",Data_Engine!$S153)</f>
        <v>0</v>
      </c>
      <c r="F153" s="69" t="n">
        <f aca="false">IF($A153="","",Data_Engine!$T153)</f>
        <v>0</v>
      </c>
      <c r="G153" s="69" t="n">
        <f aca="false">IF($A153="","",Data_Engine!$U153)</f>
        <v>0</v>
      </c>
      <c r="H153" s="69" t="n">
        <f aca="false">IF($A153="","",Data_Engine!$V153)</f>
        <v>0</v>
      </c>
      <c r="I153" s="69" t="n">
        <f aca="false">IF($A153="","",Data_Engine!$W153)</f>
        <v>0</v>
      </c>
      <c r="J153" s="69" t="n">
        <f aca="false">IF($A153="","",Data_Engine!$X153)</f>
        <v>0</v>
      </c>
      <c r="K153" s="69" t="n">
        <f aca="false">IF($A153="","",Data_Engine!$Y153)</f>
        <v>0</v>
      </c>
      <c r="L153" s="69" t="n">
        <f aca="false">IF($A153="","",Data_Engine!$Z153)</f>
        <v>0</v>
      </c>
      <c r="M153" s="69" t="n">
        <f aca="false">IF($A153="","",Data_Engine!$AA153)</f>
        <v>0</v>
      </c>
      <c r="N153" s="69" t="n">
        <f aca="false">IF($A153="","",Data_Engine!$AB153)</f>
        <v>0</v>
      </c>
      <c r="O153" s="69" t="n">
        <f aca="false">IF($A153="","",Data_Engine!$AC153)</f>
        <v>0</v>
      </c>
      <c r="P153" s="69" t="n">
        <f aca="false">IF($A153="","",Data_Engine!$AH153)</f>
        <v>0</v>
      </c>
      <c r="Q153" s="70" t="n">
        <f aca="false">IF($A153="","",Data_Engine!$AD153)</f>
        <v>0</v>
      </c>
      <c r="R153" s="69" t="n">
        <f aca="false">IF($A153="","",Data_Engine!$AF153)</f>
        <v>0</v>
      </c>
      <c r="S153" s="71" t="n">
        <f aca="false">IF($A153="","",$Q153-$R153)</f>
        <v>0</v>
      </c>
      <c r="T153" s="72" t="str">
        <f aca="false">IF($A153="","",IF(ROUND($R153,2)=0,"n/a",$S153/ABS($R153)))</f>
        <v>n/a</v>
      </c>
      <c r="U153" s="69" t="n">
        <f aca="false">IF($A153="","",Data_Engine!$AG153)</f>
        <v>0</v>
      </c>
      <c r="V153" s="73" t="n">
        <f aca="false">IF($A153="","",$Q153-$U153)</f>
        <v>0</v>
      </c>
      <c r="W153" s="72" t="str">
        <f aca="false">IF($A153="","",IF(ROUND($U153,2)=0,"n/a",$V153/ABS($U153)))</f>
        <v>n/a</v>
      </c>
      <c r="X153" s="74" t="str">
        <f aca="false">IF($A153="","",IF(AND(ROUND($Q153,2)=0,ROUND($R153,2)=0),"No Activity",IF(ABS($S153)&lt;Setup!$B$14,"Low",IF(ROUND($R153,2)=0,"High",IF(OR(ABS($S153/$R153)&gt;=Setup!$B$16,ABS($S153)&gt;=Setup!$B$17),"High",IF(ABS($S153/$R153)&gt;=Setup!$B$15,"Medium","Low"))))))</f>
        <v>No Activity</v>
      </c>
      <c r="Y153" s="57"/>
      <c r="Z153" s="75" t="n">
        <f aca="false">IF($A153="",-1000000000000000,IF(ROUND(ABS($S153),0)=0,-1000000000000000,ABS($S153)+ROW()/1000000))</f>
        <v>-1000000000000000</v>
      </c>
    </row>
    <row r="154" customFormat="false" ht="15" hidden="false" customHeight="false" outlineLevel="0" collapsed="false">
      <c r="A154" s="68" t="str">
        <f aca="false">IF(Data_Engine!$A154="","",Data_Engine!$A154)</f>
        <v>Instant Asset Write Off</v>
      </c>
      <c r="B154" s="42" t="str">
        <f aca="false">IF($A154="","",Data_Engine!$B154)</f>
        <v>Expenses</v>
      </c>
      <c r="C154" s="42" t="str">
        <f aca="false">IF($A154="","",Data_Engine!$D154)</f>
        <v>Unallocated</v>
      </c>
      <c r="D154" s="69" t="n">
        <f aca="false">IF($A154="","",Data_Engine!$R154)</f>
        <v>0</v>
      </c>
      <c r="E154" s="69" t="n">
        <f aca="false">IF($A154="","",Data_Engine!$S154)</f>
        <v>0</v>
      </c>
      <c r="F154" s="69" t="n">
        <f aca="false">IF($A154="","",Data_Engine!$T154)</f>
        <v>0</v>
      </c>
      <c r="G154" s="69" t="n">
        <f aca="false">IF($A154="","",Data_Engine!$U154)</f>
        <v>0</v>
      </c>
      <c r="H154" s="69" t="n">
        <f aca="false">IF($A154="","",Data_Engine!$V154)</f>
        <v>0</v>
      </c>
      <c r="I154" s="69" t="n">
        <f aca="false">IF($A154="","",Data_Engine!$W154)</f>
        <v>0</v>
      </c>
      <c r="J154" s="69" t="n">
        <f aca="false">IF($A154="","",Data_Engine!$X154)</f>
        <v>0</v>
      </c>
      <c r="K154" s="69" t="n">
        <f aca="false">IF($A154="","",Data_Engine!$Y154)</f>
        <v>0</v>
      </c>
      <c r="L154" s="69" t="n">
        <f aca="false">IF($A154="","",Data_Engine!$Z154)</f>
        <v>0</v>
      </c>
      <c r="M154" s="69" t="n">
        <f aca="false">IF($A154="","",Data_Engine!$AA154)</f>
        <v>0</v>
      </c>
      <c r="N154" s="69" t="n">
        <f aca="false">IF($A154="","",Data_Engine!$AB154)</f>
        <v>0</v>
      </c>
      <c r="O154" s="69" t="n">
        <f aca="false">IF($A154="","",Data_Engine!$AC154)</f>
        <v>0</v>
      </c>
      <c r="P154" s="69" t="n">
        <f aca="false">IF($A154="","",Data_Engine!$AH154)</f>
        <v>0</v>
      </c>
      <c r="Q154" s="70" t="n">
        <f aca="false">IF($A154="","",Data_Engine!$AD154)</f>
        <v>0</v>
      </c>
      <c r="R154" s="69" t="n">
        <f aca="false">IF($A154="","",Data_Engine!$AF154)</f>
        <v>0</v>
      </c>
      <c r="S154" s="71" t="n">
        <f aca="false">IF($A154="","",$Q154-$R154)</f>
        <v>0</v>
      </c>
      <c r="T154" s="72" t="str">
        <f aca="false">IF($A154="","",IF(ROUND($R154,2)=0,"n/a",$S154/ABS($R154)))</f>
        <v>n/a</v>
      </c>
      <c r="U154" s="69" t="n">
        <f aca="false">IF($A154="","",Data_Engine!$AG154)</f>
        <v>0</v>
      </c>
      <c r="V154" s="73" t="n">
        <f aca="false">IF($A154="","",$Q154-$U154)</f>
        <v>0</v>
      </c>
      <c r="W154" s="72" t="str">
        <f aca="false">IF($A154="","",IF(ROUND($U154,2)=0,"n/a",$V154/ABS($U154)))</f>
        <v>n/a</v>
      </c>
      <c r="X154" s="74" t="str">
        <f aca="false">IF($A154="","",IF(AND(ROUND($Q154,2)=0,ROUND($R154,2)=0),"No Activity",IF(ABS($S154)&lt;Setup!$B$14,"Low",IF(ROUND($R154,2)=0,"High",IF(OR(ABS($S154/$R154)&gt;=Setup!$B$16,ABS($S154)&gt;=Setup!$B$17),"High",IF(ABS($S154/$R154)&gt;=Setup!$B$15,"Medium","Low"))))))</f>
        <v>No Activity</v>
      </c>
      <c r="Y154" s="57"/>
      <c r="Z154" s="75" t="n">
        <f aca="false">IF($A154="",-1000000000000000,IF(ROUND(ABS($S154),0)=0,-1000000000000000,ABS($S154)+ROW()/1000000))</f>
        <v>-1000000000000000</v>
      </c>
    </row>
    <row r="155" customFormat="false" ht="15" hidden="false" customHeight="false" outlineLevel="0" collapsed="false">
      <c r="A155" s="68" t="str">
        <f aca="false">IF(Data_Engine!$A155="","",Data_Engine!$A155)</f>
        <v>Insurance</v>
      </c>
      <c r="B155" s="42" t="str">
        <f aca="false">IF($A155="","",Data_Engine!$B155)</f>
        <v>Expenses</v>
      </c>
      <c r="C155" s="42" t="str">
        <f aca="false">IF($A155="","",Data_Engine!$D155)</f>
        <v>Unallocated</v>
      </c>
      <c r="D155" s="69" t="n">
        <f aca="false">IF($A155="","",Data_Engine!$R155)</f>
        <v>0</v>
      </c>
      <c r="E155" s="69" t="n">
        <f aca="false">IF($A155="","",Data_Engine!$S155)</f>
        <v>0</v>
      </c>
      <c r="F155" s="69" t="n">
        <f aca="false">IF($A155="","",Data_Engine!$T155)</f>
        <v>0</v>
      </c>
      <c r="G155" s="69" t="n">
        <f aca="false">IF($A155="","",Data_Engine!$U155)</f>
        <v>0</v>
      </c>
      <c r="H155" s="69" t="n">
        <f aca="false">IF($A155="","",Data_Engine!$V155)</f>
        <v>0</v>
      </c>
      <c r="I155" s="69" t="n">
        <f aca="false">IF($A155="","",Data_Engine!$W155)</f>
        <v>0</v>
      </c>
      <c r="J155" s="69" t="n">
        <f aca="false">IF($A155="","",Data_Engine!$X155)</f>
        <v>0</v>
      </c>
      <c r="K155" s="69" t="n">
        <f aca="false">IF($A155="","",Data_Engine!$Y155)</f>
        <v>0</v>
      </c>
      <c r="L155" s="69" t="n">
        <f aca="false">IF($A155="","",Data_Engine!$Z155)</f>
        <v>0</v>
      </c>
      <c r="M155" s="69" t="n">
        <f aca="false">IF($A155="","",Data_Engine!$AA155)</f>
        <v>0</v>
      </c>
      <c r="N155" s="69" t="n">
        <f aca="false">IF($A155="","",Data_Engine!$AB155)</f>
        <v>0</v>
      </c>
      <c r="O155" s="69" t="n">
        <f aca="false">IF($A155="","",Data_Engine!$AC155)</f>
        <v>0</v>
      </c>
      <c r="P155" s="69" t="n">
        <f aca="false">IF($A155="","",Data_Engine!$AH155)</f>
        <v>0</v>
      </c>
      <c r="Q155" s="70" t="n">
        <f aca="false">IF($A155="","",Data_Engine!$AD155)</f>
        <v>0</v>
      </c>
      <c r="R155" s="69" t="n">
        <f aca="false">IF($A155="","",Data_Engine!$AF155)</f>
        <v>0</v>
      </c>
      <c r="S155" s="71" t="n">
        <f aca="false">IF($A155="","",$Q155-$R155)</f>
        <v>0</v>
      </c>
      <c r="T155" s="72" t="str">
        <f aca="false">IF($A155="","",IF(ROUND($R155,2)=0,"n/a",$S155/ABS($R155)))</f>
        <v>n/a</v>
      </c>
      <c r="U155" s="69" t="n">
        <f aca="false">IF($A155="","",Data_Engine!$AG155)</f>
        <v>0</v>
      </c>
      <c r="V155" s="73" t="n">
        <f aca="false">IF($A155="","",$Q155-$U155)</f>
        <v>0</v>
      </c>
      <c r="W155" s="72" t="str">
        <f aca="false">IF($A155="","",IF(ROUND($U155,2)=0,"n/a",$V155/ABS($U155)))</f>
        <v>n/a</v>
      </c>
      <c r="X155" s="74" t="str">
        <f aca="false">IF($A155="","",IF(AND(ROUND($Q155,2)=0,ROUND($R155,2)=0),"No Activity",IF(ABS($S155)&lt;Setup!$B$14,"Low",IF(ROUND($R155,2)=0,"High",IF(OR(ABS($S155/$R155)&gt;=Setup!$B$16,ABS($S155)&gt;=Setup!$B$17),"High",IF(ABS($S155/$R155)&gt;=Setup!$B$15,"Medium","Low"))))))</f>
        <v>No Activity</v>
      </c>
      <c r="Y155" s="57"/>
      <c r="Z155" s="75" t="n">
        <f aca="false">IF($A155="",-1000000000000000,IF(ROUND(ABS($S155),0)=0,-1000000000000000,ABS($S155)+ROW()/1000000))</f>
        <v>-1000000000000000</v>
      </c>
    </row>
    <row r="156" customFormat="false" ht="15" hidden="false" customHeight="false" outlineLevel="0" collapsed="false">
      <c r="A156" s="68" t="str">
        <f aca="false">IF(Data_Engine!$A156="","",Data_Engine!$A156)</f>
        <v>Interest Expense</v>
      </c>
      <c r="B156" s="42" t="str">
        <f aca="false">IF($A156="","",Data_Engine!$B156)</f>
        <v>Expenses</v>
      </c>
      <c r="C156" s="42" t="str">
        <f aca="false">IF($A156="","",Data_Engine!$D156)</f>
        <v>Unallocated</v>
      </c>
      <c r="D156" s="69" t="n">
        <f aca="false">IF($A156="","",Data_Engine!$R156)</f>
        <v>0</v>
      </c>
      <c r="E156" s="69" t="n">
        <f aca="false">IF($A156="","",Data_Engine!$S156)</f>
        <v>0</v>
      </c>
      <c r="F156" s="69" t="n">
        <f aca="false">IF($A156="","",Data_Engine!$T156)</f>
        <v>0</v>
      </c>
      <c r="G156" s="69" t="n">
        <f aca="false">IF($A156="","",Data_Engine!$U156)</f>
        <v>0</v>
      </c>
      <c r="H156" s="69" t="n">
        <f aca="false">IF($A156="","",Data_Engine!$V156)</f>
        <v>0</v>
      </c>
      <c r="I156" s="69" t="n">
        <f aca="false">IF($A156="","",Data_Engine!$W156)</f>
        <v>0</v>
      </c>
      <c r="J156" s="69" t="n">
        <f aca="false">IF($A156="","",Data_Engine!$X156)</f>
        <v>0</v>
      </c>
      <c r="K156" s="69" t="n">
        <f aca="false">IF($A156="","",Data_Engine!$Y156)</f>
        <v>0</v>
      </c>
      <c r="L156" s="69" t="n">
        <f aca="false">IF($A156="","",Data_Engine!$Z156)</f>
        <v>0</v>
      </c>
      <c r="M156" s="69" t="n">
        <f aca="false">IF($A156="","",Data_Engine!$AA156)</f>
        <v>0</v>
      </c>
      <c r="N156" s="69" t="n">
        <f aca="false">IF($A156="","",Data_Engine!$AB156)</f>
        <v>0</v>
      </c>
      <c r="O156" s="69" t="n">
        <f aca="false">IF($A156="","",Data_Engine!$AC156)</f>
        <v>0</v>
      </c>
      <c r="P156" s="69" t="n">
        <f aca="false">IF($A156="","",Data_Engine!$AH156)</f>
        <v>0</v>
      </c>
      <c r="Q156" s="70" t="n">
        <f aca="false">IF($A156="","",Data_Engine!$AD156)</f>
        <v>0</v>
      </c>
      <c r="R156" s="69" t="n">
        <f aca="false">IF($A156="","",Data_Engine!$AF156)</f>
        <v>0</v>
      </c>
      <c r="S156" s="71" t="n">
        <f aca="false">IF($A156="","",$Q156-$R156)</f>
        <v>0</v>
      </c>
      <c r="T156" s="72" t="str">
        <f aca="false">IF($A156="","",IF(ROUND($R156,2)=0,"n/a",$S156/ABS($R156)))</f>
        <v>n/a</v>
      </c>
      <c r="U156" s="69" t="n">
        <f aca="false">IF($A156="","",Data_Engine!$AG156)</f>
        <v>0</v>
      </c>
      <c r="V156" s="73" t="n">
        <f aca="false">IF($A156="","",$Q156-$U156)</f>
        <v>0</v>
      </c>
      <c r="W156" s="72" t="str">
        <f aca="false">IF($A156="","",IF(ROUND($U156,2)=0,"n/a",$V156/ABS($U156)))</f>
        <v>n/a</v>
      </c>
      <c r="X156" s="74" t="str">
        <f aca="false">IF($A156="","",IF(AND(ROUND($Q156,2)=0,ROUND($R156,2)=0),"No Activity",IF(ABS($S156)&lt;Setup!$B$14,"Low",IF(ROUND($R156,2)=0,"High",IF(OR(ABS($S156/$R156)&gt;=Setup!$B$16,ABS($S156)&gt;=Setup!$B$17),"High",IF(ABS($S156/$R156)&gt;=Setup!$B$15,"Medium","Low"))))))</f>
        <v>No Activity</v>
      </c>
      <c r="Y156" s="57"/>
      <c r="Z156" s="75" t="n">
        <f aca="false">IF($A156="",-1000000000000000,IF(ROUND(ABS($S156),0)=0,-1000000000000000,ABS($S156)+ROW()/1000000))</f>
        <v>-1000000000000000</v>
      </c>
    </row>
    <row r="157" customFormat="false" ht="15" hidden="false" customHeight="false" outlineLevel="0" collapsed="false">
      <c r="A157" s="68" t="str">
        <f aca="false">IF(Data_Engine!$A157="","",Data_Engine!$A157)</f>
        <v>Internet</v>
      </c>
      <c r="B157" s="42" t="str">
        <f aca="false">IF($A157="","",Data_Engine!$B157)</f>
        <v>Expenses</v>
      </c>
      <c r="C157" s="42" t="str">
        <f aca="false">IF($A157="","",Data_Engine!$D157)</f>
        <v>Unallocated</v>
      </c>
      <c r="D157" s="69" t="n">
        <f aca="false">IF($A157="","",Data_Engine!$R157)</f>
        <v>0</v>
      </c>
      <c r="E157" s="69" t="n">
        <f aca="false">IF($A157="","",Data_Engine!$S157)</f>
        <v>0</v>
      </c>
      <c r="F157" s="69" t="n">
        <f aca="false">IF($A157="","",Data_Engine!$T157)</f>
        <v>0</v>
      </c>
      <c r="G157" s="69" t="n">
        <f aca="false">IF($A157="","",Data_Engine!$U157)</f>
        <v>0</v>
      </c>
      <c r="H157" s="69" t="n">
        <f aca="false">IF($A157="","",Data_Engine!$V157)</f>
        <v>0</v>
      </c>
      <c r="I157" s="69" t="n">
        <f aca="false">IF($A157="","",Data_Engine!$W157)</f>
        <v>0</v>
      </c>
      <c r="J157" s="69" t="n">
        <f aca="false">IF($A157="","",Data_Engine!$X157)</f>
        <v>0</v>
      </c>
      <c r="K157" s="69" t="n">
        <f aca="false">IF($A157="","",Data_Engine!$Y157)</f>
        <v>0</v>
      </c>
      <c r="L157" s="69" t="n">
        <f aca="false">IF($A157="","",Data_Engine!$Z157)</f>
        <v>0</v>
      </c>
      <c r="M157" s="69" t="n">
        <f aca="false">IF($A157="","",Data_Engine!$AA157)</f>
        <v>0</v>
      </c>
      <c r="N157" s="69" t="n">
        <f aca="false">IF($A157="","",Data_Engine!$AB157)</f>
        <v>0</v>
      </c>
      <c r="O157" s="69" t="n">
        <f aca="false">IF($A157="","",Data_Engine!$AC157)</f>
        <v>0</v>
      </c>
      <c r="P157" s="69" t="n">
        <f aca="false">IF($A157="","",Data_Engine!$AH157)</f>
        <v>0</v>
      </c>
      <c r="Q157" s="70" t="n">
        <f aca="false">IF($A157="","",Data_Engine!$AD157)</f>
        <v>0</v>
      </c>
      <c r="R157" s="69" t="n">
        <f aca="false">IF($A157="","",Data_Engine!$AF157)</f>
        <v>0</v>
      </c>
      <c r="S157" s="71" t="n">
        <f aca="false">IF($A157="","",$Q157-$R157)</f>
        <v>0</v>
      </c>
      <c r="T157" s="72" t="str">
        <f aca="false">IF($A157="","",IF(ROUND($R157,2)=0,"n/a",$S157/ABS($R157)))</f>
        <v>n/a</v>
      </c>
      <c r="U157" s="69" t="n">
        <f aca="false">IF($A157="","",Data_Engine!$AG157)</f>
        <v>0</v>
      </c>
      <c r="V157" s="73" t="n">
        <f aca="false">IF($A157="","",$Q157-$U157)</f>
        <v>0</v>
      </c>
      <c r="W157" s="72" t="str">
        <f aca="false">IF($A157="","",IF(ROUND($U157,2)=0,"n/a",$V157/ABS($U157)))</f>
        <v>n/a</v>
      </c>
      <c r="X157" s="74" t="str">
        <f aca="false">IF($A157="","",IF(AND(ROUND($Q157,2)=0,ROUND($R157,2)=0),"No Activity",IF(ABS($S157)&lt;Setup!$B$14,"Low",IF(ROUND($R157,2)=0,"High",IF(OR(ABS($S157/$R157)&gt;=Setup!$B$16,ABS($S157)&gt;=Setup!$B$17),"High",IF(ABS($S157/$R157)&gt;=Setup!$B$15,"Medium","Low"))))))</f>
        <v>No Activity</v>
      </c>
      <c r="Y157" s="57"/>
      <c r="Z157" s="75" t="n">
        <f aca="false">IF($A157="",-1000000000000000,IF(ROUND(ABS($S157),0)=0,-1000000000000000,ABS($S157)+ROW()/1000000))</f>
        <v>-1000000000000000</v>
      </c>
    </row>
    <row r="158" customFormat="false" ht="15" hidden="false" customHeight="false" outlineLevel="0" collapsed="false">
      <c r="A158" s="68" t="str">
        <f aca="false">IF(Data_Engine!$A158="","",Data_Engine!$A158)</f>
        <v>Leave expense (Annual)</v>
      </c>
      <c r="B158" s="42" t="str">
        <f aca="false">IF($A158="","",Data_Engine!$B158)</f>
        <v>Expenses</v>
      </c>
      <c r="C158" s="42" t="str">
        <f aca="false">IF($A158="","",Data_Engine!$D158)</f>
        <v>Unallocated</v>
      </c>
      <c r="D158" s="69" t="n">
        <f aca="false">IF($A158="","",Data_Engine!$R158)</f>
        <v>0</v>
      </c>
      <c r="E158" s="69" t="n">
        <f aca="false">IF($A158="","",Data_Engine!$S158)</f>
        <v>0</v>
      </c>
      <c r="F158" s="69" t="n">
        <f aca="false">IF($A158="","",Data_Engine!$T158)</f>
        <v>0</v>
      </c>
      <c r="G158" s="69" t="n">
        <f aca="false">IF($A158="","",Data_Engine!$U158)</f>
        <v>0</v>
      </c>
      <c r="H158" s="69" t="n">
        <f aca="false">IF($A158="","",Data_Engine!$V158)</f>
        <v>0</v>
      </c>
      <c r="I158" s="69" t="n">
        <f aca="false">IF($A158="","",Data_Engine!$W158)</f>
        <v>0</v>
      </c>
      <c r="J158" s="69" t="n">
        <f aca="false">IF($A158="","",Data_Engine!$X158)</f>
        <v>0</v>
      </c>
      <c r="K158" s="69" t="n">
        <f aca="false">IF($A158="","",Data_Engine!$Y158)</f>
        <v>0</v>
      </c>
      <c r="L158" s="69" t="n">
        <f aca="false">IF($A158="","",Data_Engine!$Z158)</f>
        <v>0</v>
      </c>
      <c r="M158" s="69" t="n">
        <f aca="false">IF($A158="","",Data_Engine!$AA158)</f>
        <v>0</v>
      </c>
      <c r="N158" s="69" t="n">
        <f aca="false">IF($A158="","",Data_Engine!$AB158)</f>
        <v>0</v>
      </c>
      <c r="O158" s="69" t="n">
        <f aca="false">IF($A158="","",Data_Engine!$AC158)</f>
        <v>0</v>
      </c>
      <c r="P158" s="69" t="n">
        <f aca="false">IF($A158="","",Data_Engine!$AH158)</f>
        <v>0</v>
      </c>
      <c r="Q158" s="70" t="n">
        <f aca="false">IF($A158="","",Data_Engine!$AD158)</f>
        <v>0</v>
      </c>
      <c r="R158" s="69" t="n">
        <f aca="false">IF($A158="","",Data_Engine!$AF158)</f>
        <v>0</v>
      </c>
      <c r="S158" s="71" t="n">
        <f aca="false">IF($A158="","",$Q158-$R158)</f>
        <v>0</v>
      </c>
      <c r="T158" s="72" t="str">
        <f aca="false">IF($A158="","",IF(ROUND($R158,2)=0,"n/a",$S158/ABS($R158)))</f>
        <v>n/a</v>
      </c>
      <c r="U158" s="69" t="n">
        <f aca="false">IF($A158="","",Data_Engine!$AG158)</f>
        <v>0</v>
      </c>
      <c r="V158" s="73" t="n">
        <f aca="false">IF($A158="","",$Q158-$U158)</f>
        <v>0</v>
      </c>
      <c r="W158" s="72" t="str">
        <f aca="false">IF($A158="","",IF(ROUND($U158,2)=0,"n/a",$V158/ABS($U158)))</f>
        <v>n/a</v>
      </c>
      <c r="X158" s="74" t="str">
        <f aca="false">IF($A158="","",IF(AND(ROUND($Q158,2)=0,ROUND($R158,2)=0),"No Activity",IF(ABS($S158)&lt;Setup!$B$14,"Low",IF(ROUND($R158,2)=0,"High",IF(OR(ABS($S158/$R158)&gt;=Setup!$B$16,ABS($S158)&gt;=Setup!$B$17),"High",IF(ABS($S158/$R158)&gt;=Setup!$B$15,"Medium","Low"))))))</f>
        <v>No Activity</v>
      </c>
      <c r="Y158" s="57"/>
      <c r="Z158" s="75" t="n">
        <f aca="false">IF($A158="",-1000000000000000,IF(ROUND(ABS($S158),0)=0,-1000000000000000,ABS($S158)+ROW()/1000000))</f>
        <v>-1000000000000000</v>
      </c>
    </row>
    <row r="159" customFormat="false" ht="15" hidden="false" customHeight="false" outlineLevel="0" collapsed="false">
      <c r="A159" s="68" t="str">
        <f aca="false">IF(Data_Engine!$A159="","",Data_Engine!$A159)</f>
        <v>Leave expense (Long Service)</v>
      </c>
      <c r="B159" s="42" t="str">
        <f aca="false">IF($A159="","",Data_Engine!$B159)</f>
        <v>Expenses</v>
      </c>
      <c r="C159" s="42" t="str">
        <f aca="false">IF($A159="","",Data_Engine!$D159)</f>
        <v>Unallocated</v>
      </c>
      <c r="D159" s="69" t="n">
        <f aca="false">IF($A159="","",Data_Engine!$R159)</f>
        <v>0</v>
      </c>
      <c r="E159" s="69" t="n">
        <f aca="false">IF($A159="","",Data_Engine!$S159)</f>
        <v>0</v>
      </c>
      <c r="F159" s="69" t="n">
        <f aca="false">IF($A159="","",Data_Engine!$T159)</f>
        <v>0</v>
      </c>
      <c r="G159" s="69" t="n">
        <f aca="false">IF($A159="","",Data_Engine!$U159)</f>
        <v>0</v>
      </c>
      <c r="H159" s="69" t="n">
        <f aca="false">IF($A159="","",Data_Engine!$V159)</f>
        <v>0</v>
      </c>
      <c r="I159" s="69" t="n">
        <f aca="false">IF($A159="","",Data_Engine!$W159)</f>
        <v>0</v>
      </c>
      <c r="J159" s="69" t="n">
        <f aca="false">IF($A159="","",Data_Engine!$X159)</f>
        <v>0</v>
      </c>
      <c r="K159" s="69" t="n">
        <f aca="false">IF($A159="","",Data_Engine!$Y159)</f>
        <v>0</v>
      </c>
      <c r="L159" s="69" t="n">
        <f aca="false">IF($A159="","",Data_Engine!$Z159)</f>
        <v>0</v>
      </c>
      <c r="M159" s="69" t="n">
        <f aca="false">IF($A159="","",Data_Engine!$AA159)</f>
        <v>0</v>
      </c>
      <c r="N159" s="69" t="n">
        <f aca="false">IF($A159="","",Data_Engine!$AB159)</f>
        <v>0</v>
      </c>
      <c r="O159" s="69" t="n">
        <f aca="false">IF($A159="","",Data_Engine!$AC159)</f>
        <v>0</v>
      </c>
      <c r="P159" s="69" t="n">
        <f aca="false">IF($A159="","",Data_Engine!$AH159)</f>
        <v>0</v>
      </c>
      <c r="Q159" s="70" t="n">
        <f aca="false">IF($A159="","",Data_Engine!$AD159)</f>
        <v>0</v>
      </c>
      <c r="R159" s="69" t="n">
        <f aca="false">IF($A159="","",Data_Engine!$AF159)</f>
        <v>0</v>
      </c>
      <c r="S159" s="71" t="n">
        <f aca="false">IF($A159="","",$Q159-$R159)</f>
        <v>0</v>
      </c>
      <c r="T159" s="72" t="str">
        <f aca="false">IF($A159="","",IF(ROUND($R159,2)=0,"n/a",$S159/ABS($R159)))</f>
        <v>n/a</v>
      </c>
      <c r="U159" s="69" t="n">
        <f aca="false">IF($A159="","",Data_Engine!$AG159)</f>
        <v>0</v>
      </c>
      <c r="V159" s="73" t="n">
        <f aca="false">IF($A159="","",$Q159-$U159)</f>
        <v>0</v>
      </c>
      <c r="W159" s="72" t="str">
        <f aca="false">IF($A159="","",IF(ROUND($U159,2)=0,"n/a",$V159/ABS($U159)))</f>
        <v>n/a</v>
      </c>
      <c r="X159" s="74" t="str">
        <f aca="false">IF($A159="","",IF(AND(ROUND($Q159,2)=0,ROUND($R159,2)=0),"No Activity",IF(ABS($S159)&lt;Setup!$B$14,"Low",IF(ROUND($R159,2)=0,"High",IF(OR(ABS($S159/$R159)&gt;=Setup!$B$16,ABS($S159)&gt;=Setup!$B$17),"High",IF(ABS($S159/$R159)&gt;=Setup!$B$15,"Medium","Low"))))))</f>
        <v>No Activity</v>
      </c>
      <c r="Y159" s="57"/>
      <c r="Z159" s="75" t="n">
        <f aca="false">IF($A159="",-1000000000000000,IF(ROUND(ABS($S159),0)=0,-1000000000000000,ABS($S159)+ROW()/1000000))</f>
        <v>-1000000000000000</v>
      </c>
    </row>
    <row r="160" customFormat="false" ht="15" hidden="false" customHeight="false" outlineLevel="0" collapsed="false">
      <c r="A160" s="68" t="str">
        <f aca="false">IF(Data_Engine!$A160="","",Data_Engine!$A160)</f>
        <v>Legal Fees</v>
      </c>
      <c r="B160" s="42" t="str">
        <f aca="false">IF($A160="","",Data_Engine!$B160)</f>
        <v>Expenses</v>
      </c>
      <c r="C160" s="42" t="str">
        <f aca="false">IF($A160="","",Data_Engine!$D160)</f>
        <v>Unallocated</v>
      </c>
      <c r="D160" s="69" t="n">
        <f aca="false">IF($A160="","",Data_Engine!$R160)</f>
        <v>0</v>
      </c>
      <c r="E160" s="69" t="n">
        <f aca="false">IF($A160="","",Data_Engine!$S160)</f>
        <v>0</v>
      </c>
      <c r="F160" s="69" t="n">
        <f aca="false">IF($A160="","",Data_Engine!$T160)</f>
        <v>0</v>
      </c>
      <c r="G160" s="69" t="n">
        <f aca="false">IF($A160="","",Data_Engine!$U160)</f>
        <v>0</v>
      </c>
      <c r="H160" s="69" t="n">
        <f aca="false">IF($A160="","",Data_Engine!$V160)</f>
        <v>0</v>
      </c>
      <c r="I160" s="69" t="n">
        <f aca="false">IF($A160="","",Data_Engine!$W160)</f>
        <v>0</v>
      </c>
      <c r="J160" s="69" t="n">
        <f aca="false">IF($A160="","",Data_Engine!$X160)</f>
        <v>0</v>
      </c>
      <c r="K160" s="69" t="n">
        <f aca="false">IF($A160="","",Data_Engine!$Y160)</f>
        <v>0</v>
      </c>
      <c r="L160" s="69" t="n">
        <f aca="false">IF($A160="","",Data_Engine!$Z160)</f>
        <v>0</v>
      </c>
      <c r="M160" s="69" t="n">
        <f aca="false">IF($A160="","",Data_Engine!$AA160)</f>
        <v>0</v>
      </c>
      <c r="N160" s="69" t="n">
        <f aca="false">IF($A160="","",Data_Engine!$AB160)</f>
        <v>0</v>
      </c>
      <c r="O160" s="69" t="n">
        <f aca="false">IF($A160="","",Data_Engine!$AC160)</f>
        <v>0</v>
      </c>
      <c r="P160" s="69" t="n">
        <f aca="false">IF($A160="","",Data_Engine!$AH160)</f>
        <v>0</v>
      </c>
      <c r="Q160" s="70" t="n">
        <f aca="false">IF($A160="","",Data_Engine!$AD160)</f>
        <v>0</v>
      </c>
      <c r="R160" s="69" t="n">
        <f aca="false">IF($A160="","",Data_Engine!$AF160)</f>
        <v>0</v>
      </c>
      <c r="S160" s="71" t="n">
        <f aca="false">IF($A160="","",$Q160-$R160)</f>
        <v>0</v>
      </c>
      <c r="T160" s="72" t="str">
        <f aca="false">IF($A160="","",IF(ROUND($R160,2)=0,"n/a",$S160/ABS($R160)))</f>
        <v>n/a</v>
      </c>
      <c r="U160" s="69" t="n">
        <f aca="false">IF($A160="","",Data_Engine!$AG160)</f>
        <v>0</v>
      </c>
      <c r="V160" s="73" t="n">
        <f aca="false">IF($A160="","",$Q160-$U160)</f>
        <v>0</v>
      </c>
      <c r="W160" s="72" t="str">
        <f aca="false">IF($A160="","",IF(ROUND($U160,2)=0,"n/a",$V160/ABS($U160)))</f>
        <v>n/a</v>
      </c>
      <c r="X160" s="74" t="str">
        <f aca="false">IF($A160="","",IF(AND(ROUND($Q160,2)=0,ROUND($R160,2)=0),"No Activity",IF(ABS($S160)&lt;Setup!$B$14,"Low",IF(ROUND($R160,2)=0,"High",IF(OR(ABS($S160/$R160)&gt;=Setup!$B$16,ABS($S160)&gt;=Setup!$B$17),"High",IF(ABS($S160/$R160)&gt;=Setup!$B$15,"Medium","Low"))))))</f>
        <v>No Activity</v>
      </c>
      <c r="Y160" s="57"/>
      <c r="Z160" s="75" t="n">
        <f aca="false">IF($A160="",-1000000000000000,IF(ROUND(ABS($S160),0)=0,-1000000000000000,ABS($S160)+ROW()/1000000))</f>
        <v>-1000000000000000</v>
      </c>
    </row>
    <row r="161" customFormat="false" ht="15" hidden="false" customHeight="false" outlineLevel="0" collapsed="false">
      <c r="A161" s="68" t="str">
        <f aca="false">IF(Data_Engine!$A161="","",Data_Engine!$A161)</f>
        <v>Mobile Phones</v>
      </c>
      <c r="B161" s="42" t="str">
        <f aca="false">IF($A161="","",Data_Engine!$B161)</f>
        <v>Expenses</v>
      </c>
      <c r="C161" s="42" t="str">
        <f aca="false">IF($A161="","",Data_Engine!$D161)</f>
        <v>Unallocated</v>
      </c>
      <c r="D161" s="69" t="n">
        <f aca="false">IF($A161="","",Data_Engine!$R161)</f>
        <v>0</v>
      </c>
      <c r="E161" s="69" t="n">
        <f aca="false">IF($A161="","",Data_Engine!$S161)</f>
        <v>0</v>
      </c>
      <c r="F161" s="69" t="n">
        <f aca="false">IF($A161="","",Data_Engine!$T161)</f>
        <v>0</v>
      </c>
      <c r="G161" s="69" t="n">
        <f aca="false">IF($A161="","",Data_Engine!$U161)</f>
        <v>0</v>
      </c>
      <c r="H161" s="69" t="n">
        <f aca="false">IF($A161="","",Data_Engine!$V161)</f>
        <v>0</v>
      </c>
      <c r="I161" s="69" t="n">
        <f aca="false">IF($A161="","",Data_Engine!$W161)</f>
        <v>0</v>
      </c>
      <c r="J161" s="69" t="n">
        <f aca="false">IF($A161="","",Data_Engine!$X161)</f>
        <v>0</v>
      </c>
      <c r="K161" s="69" t="n">
        <f aca="false">IF($A161="","",Data_Engine!$Y161)</f>
        <v>0</v>
      </c>
      <c r="L161" s="69" t="n">
        <f aca="false">IF($A161="","",Data_Engine!$Z161)</f>
        <v>0</v>
      </c>
      <c r="M161" s="69" t="n">
        <f aca="false">IF($A161="","",Data_Engine!$AA161)</f>
        <v>0</v>
      </c>
      <c r="N161" s="69" t="n">
        <f aca="false">IF($A161="","",Data_Engine!$AB161)</f>
        <v>0</v>
      </c>
      <c r="O161" s="69" t="n">
        <f aca="false">IF($A161="","",Data_Engine!$AC161)</f>
        <v>0</v>
      </c>
      <c r="P161" s="69" t="n">
        <f aca="false">IF($A161="","",Data_Engine!$AH161)</f>
        <v>0</v>
      </c>
      <c r="Q161" s="70" t="n">
        <f aca="false">IF($A161="","",Data_Engine!$AD161)</f>
        <v>0</v>
      </c>
      <c r="R161" s="69" t="n">
        <f aca="false">IF($A161="","",Data_Engine!$AF161)</f>
        <v>0</v>
      </c>
      <c r="S161" s="71" t="n">
        <f aca="false">IF($A161="","",$Q161-$R161)</f>
        <v>0</v>
      </c>
      <c r="T161" s="72" t="str">
        <f aca="false">IF($A161="","",IF(ROUND($R161,2)=0,"n/a",$S161/ABS($R161)))</f>
        <v>n/a</v>
      </c>
      <c r="U161" s="69" t="n">
        <f aca="false">IF($A161="","",Data_Engine!$AG161)</f>
        <v>0</v>
      </c>
      <c r="V161" s="73" t="n">
        <f aca="false">IF($A161="","",$Q161-$U161)</f>
        <v>0</v>
      </c>
      <c r="W161" s="72" t="str">
        <f aca="false">IF($A161="","",IF(ROUND($U161,2)=0,"n/a",$V161/ABS($U161)))</f>
        <v>n/a</v>
      </c>
      <c r="X161" s="74" t="str">
        <f aca="false">IF($A161="","",IF(AND(ROUND($Q161,2)=0,ROUND($R161,2)=0),"No Activity",IF(ABS($S161)&lt;Setup!$B$14,"Low",IF(ROUND($R161,2)=0,"High",IF(OR(ABS($S161/$R161)&gt;=Setup!$B$16,ABS($S161)&gt;=Setup!$B$17),"High",IF(ABS($S161/$R161)&gt;=Setup!$B$15,"Medium","Low"))))))</f>
        <v>No Activity</v>
      </c>
      <c r="Y161" s="57"/>
      <c r="Z161" s="75" t="n">
        <f aca="false">IF($A161="",-1000000000000000,IF(ROUND(ABS($S161),0)=0,-1000000000000000,ABS($S161)+ROW()/1000000))</f>
        <v>-1000000000000000</v>
      </c>
    </row>
    <row r="162" customFormat="false" ht="15" hidden="false" customHeight="false" outlineLevel="0" collapsed="false">
      <c r="A162" s="68" t="str">
        <f aca="false">IF(Data_Engine!$A162="","",Data_Engine!$A162)</f>
        <v>Office Cleaning</v>
      </c>
      <c r="B162" s="42" t="str">
        <f aca="false">IF($A162="","",Data_Engine!$B162)</f>
        <v>Expenses</v>
      </c>
      <c r="C162" s="42" t="str">
        <f aca="false">IF($A162="","",Data_Engine!$D162)</f>
        <v>Unallocated</v>
      </c>
      <c r="D162" s="69" t="n">
        <f aca="false">IF($A162="","",Data_Engine!$R162)</f>
        <v>0</v>
      </c>
      <c r="E162" s="69" t="n">
        <f aca="false">IF($A162="","",Data_Engine!$S162)</f>
        <v>0</v>
      </c>
      <c r="F162" s="69" t="n">
        <f aca="false">IF($A162="","",Data_Engine!$T162)</f>
        <v>0</v>
      </c>
      <c r="G162" s="69" t="n">
        <f aca="false">IF($A162="","",Data_Engine!$U162)</f>
        <v>0</v>
      </c>
      <c r="H162" s="69" t="n">
        <f aca="false">IF($A162="","",Data_Engine!$V162)</f>
        <v>0</v>
      </c>
      <c r="I162" s="69" t="n">
        <f aca="false">IF($A162="","",Data_Engine!$W162)</f>
        <v>0</v>
      </c>
      <c r="J162" s="69" t="n">
        <f aca="false">IF($A162="","",Data_Engine!$X162)</f>
        <v>0</v>
      </c>
      <c r="K162" s="69" t="n">
        <f aca="false">IF($A162="","",Data_Engine!$Y162)</f>
        <v>0</v>
      </c>
      <c r="L162" s="69" t="n">
        <f aca="false">IF($A162="","",Data_Engine!$Z162)</f>
        <v>0</v>
      </c>
      <c r="M162" s="69" t="n">
        <f aca="false">IF($A162="","",Data_Engine!$AA162)</f>
        <v>0</v>
      </c>
      <c r="N162" s="69" t="n">
        <f aca="false">IF($A162="","",Data_Engine!$AB162)</f>
        <v>0</v>
      </c>
      <c r="O162" s="69" t="n">
        <f aca="false">IF($A162="","",Data_Engine!$AC162)</f>
        <v>0</v>
      </c>
      <c r="P162" s="69" t="n">
        <f aca="false">IF($A162="","",Data_Engine!$AH162)</f>
        <v>0</v>
      </c>
      <c r="Q162" s="70" t="n">
        <f aca="false">IF($A162="","",Data_Engine!$AD162)</f>
        <v>0</v>
      </c>
      <c r="R162" s="69" t="n">
        <f aca="false">IF($A162="","",Data_Engine!$AF162)</f>
        <v>0</v>
      </c>
      <c r="S162" s="71" t="n">
        <f aca="false">IF($A162="","",$Q162-$R162)</f>
        <v>0</v>
      </c>
      <c r="T162" s="72" t="str">
        <f aca="false">IF($A162="","",IF(ROUND($R162,2)=0,"n/a",$S162/ABS($R162)))</f>
        <v>n/a</v>
      </c>
      <c r="U162" s="69" t="n">
        <f aca="false">IF($A162="","",Data_Engine!$AG162)</f>
        <v>0</v>
      </c>
      <c r="V162" s="73" t="n">
        <f aca="false">IF($A162="","",$Q162-$U162)</f>
        <v>0</v>
      </c>
      <c r="W162" s="72" t="str">
        <f aca="false">IF($A162="","",IF(ROUND($U162,2)=0,"n/a",$V162/ABS($U162)))</f>
        <v>n/a</v>
      </c>
      <c r="X162" s="74" t="str">
        <f aca="false">IF($A162="","",IF(AND(ROUND($Q162,2)=0,ROUND($R162,2)=0),"No Activity",IF(ABS($S162)&lt;Setup!$B$14,"Low",IF(ROUND($R162,2)=0,"High",IF(OR(ABS($S162/$R162)&gt;=Setup!$B$16,ABS($S162)&gt;=Setup!$B$17),"High",IF(ABS($S162/$R162)&gt;=Setup!$B$15,"Medium","Low"))))))</f>
        <v>No Activity</v>
      </c>
      <c r="Y162" s="57"/>
      <c r="Z162" s="75" t="n">
        <f aca="false">IF($A162="",-1000000000000000,IF(ROUND(ABS($S162),0)=0,-1000000000000000,ABS($S162)+ROW()/1000000))</f>
        <v>-1000000000000000</v>
      </c>
    </row>
    <row r="163" customFormat="false" ht="15" hidden="false" customHeight="false" outlineLevel="0" collapsed="false">
      <c r="A163" s="68" t="str">
        <f aca="false">IF(Data_Engine!$A163="","",Data_Engine!$A163)</f>
        <v>Office Phones</v>
      </c>
      <c r="B163" s="42" t="str">
        <f aca="false">IF($A163="","",Data_Engine!$B163)</f>
        <v>Expenses</v>
      </c>
      <c r="C163" s="42" t="str">
        <f aca="false">IF($A163="","",Data_Engine!$D163)</f>
        <v>Unallocated</v>
      </c>
      <c r="D163" s="69" t="n">
        <f aca="false">IF($A163="","",Data_Engine!$R163)</f>
        <v>0</v>
      </c>
      <c r="E163" s="69" t="n">
        <f aca="false">IF($A163="","",Data_Engine!$S163)</f>
        <v>0</v>
      </c>
      <c r="F163" s="69" t="n">
        <f aca="false">IF($A163="","",Data_Engine!$T163)</f>
        <v>0</v>
      </c>
      <c r="G163" s="69" t="n">
        <f aca="false">IF($A163="","",Data_Engine!$U163)</f>
        <v>0</v>
      </c>
      <c r="H163" s="69" t="n">
        <f aca="false">IF($A163="","",Data_Engine!$V163)</f>
        <v>0</v>
      </c>
      <c r="I163" s="69" t="n">
        <f aca="false">IF($A163="","",Data_Engine!$W163)</f>
        <v>0</v>
      </c>
      <c r="J163" s="69" t="n">
        <f aca="false">IF($A163="","",Data_Engine!$X163)</f>
        <v>0</v>
      </c>
      <c r="K163" s="69" t="n">
        <f aca="false">IF($A163="","",Data_Engine!$Y163)</f>
        <v>0</v>
      </c>
      <c r="L163" s="69" t="n">
        <f aca="false">IF($A163="","",Data_Engine!$Z163)</f>
        <v>0</v>
      </c>
      <c r="M163" s="69" t="n">
        <f aca="false">IF($A163="","",Data_Engine!$AA163)</f>
        <v>0</v>
      </c>
      <c r="N163" s="69" t="n">
        <f aca="false">IF($A163="","",Data_Engine!$AB163)</f>
        <v>0</v>
      </c>
      <c r="O163" s="69" t="n">
        <f aca="false">IF($A163="","",Data_Engine!$AC163)</f>
        <v>0</v>
      </c>
      <c r="P163" s="69" t="n">
        <f aca="false">IF($A163="","",Data_Engine!$AH163)</f>
        <v>0</v>
      </c>
      <c r="Q163" s="70" t="n">
        <f aca="false">IF($A163="","",Data_Engine!$AD163)</f>
        <v>0</v>
      </c>
      <c r="R163" s="69" t="n">
        <f aca="false">IF($A163="","",Data_Engine!$AF163)</f>
        <v>0</v>
      </c>
      <c r="S163" s="71" t="n">
        <f aca="false">IF($A163="","",$Q163-$R163)</f>
        <v>0</v>
      </c>
      <c r="T163" s="72" t="str">
        <f aca="false">IF($A163="","",IF(ROUND($R163,2)=0,"n/a",$S163/ABS($R163)))</f>
        <v>n/a</v>
      </c>
      <c r="U163" s="69" t="n">
        <f aca="false">IF($A163="","",Data_Engine!$AG163)</f>
        <v>0</v>
      </c>
      <c r="V163" s="73" t="n">
        <f aca="false">IF($A163="","",$Q163-$U163)</f>
        <v>0</v>
      </c>
      <c r="W163" s="72" t="str">
        <f aca="false">IF($A163="","",IF(ROUND($U163,2)=0,"n/a",$V163/ABS($U163)))</f>
        <v>n/a</v>
      </c>
      <c r="X163" s="74" t="str">
        <f aca="false">IF($A163="","",IF(AND(ROUND($Q163,2)=0,ROUND($R163,2)=0),"No Activity",IF(ABS($S163)&lt;Setup!$B$14,"Low",IF(ROUND($R163,2)=0,"High",IF(OR(ABS($S163/$R163)&gt;=Setup!$B$16,ABS($S163)&gt;=Setup!$B$17),"High",IF(ABS($S163/$R163)&gt;=Setup!$B$15,"Medium","Low"))))))</f>
        <v>No Activity</v>
      </c>
      <c r="Y163" s="57"/>
      <c r="Z163" s="75" t="n">
        <f aca="false">IF($A163="",-1000000000000000,IF(ROUND(ABS($S163),0)=0,-1000000000000000,ABS($S163)+ROW()/1000000))</f>
        <v>-1000000000000000</v>
      </c>
    </row>
    <row r="164" customFormat="false" ht="15" hidden="false" customHeight="false" outlineLevel="0" collapsed="false">
      <c r="A164" s="68" t="str">
        <f aca="false">IF(Data_Engine!$A164="","",Data_Engine!$A164)</f>
        <v>Office Rentals</v>
      </c>
      <c r="B164" s="42" t="str">
        <f aca="false">IF($A164="","",Data_Engine!$B164)</f>
        <v>Expenses</v>
      </c>
      <c r="C164" s="42" t="str">
        <f aca="false">IF($A164="","",Data_Engine!$D164)</f>
        <v>Unallocated</v>
      </c>
      <c r="D164" s="69" t="n">
        <f aca="false">IF($A164="","",Data_Engine!$R164)</f>
        <v>0</v>
      </c>
      <c r="E164" s="69" t="n">
        <f aca="false">IF($A164="","",Data_Engine!$S164)</f>
        <v>0</v>
      </c>
      <c r="F164" s="69" t="n">
        <f aca="false">IF($A164="","",Data_Engine!$T164)</f>
        <v>0</v>
      </c>
      <c r="G164" s="69" t="n">
        <f aca="false">IF($A164="","",Data_Engine!$U164)</f>
        <v>0</v>
      </c>
      <c r="H164" s="69" t="n">
        <f aca="false">IF($A164="","",Data_Engine!$V164)</f>
        <v>0</v>
      </c>
      <c r="I164" s="69" t="n">
        <f aca="false">IF($A164="","",Data_Engine!$W164)</f>
        <v>0</v>
      </c>
      <c r="J164" s="69" t="n">
        <f aca="false">IF($A164="","",Data_Engine!$X164)</f>
        <v>0</v>
      </c>
      <c r="K164" s="69" t="n">
        <f aca="false">IF($A164="","",Data_Engine!$Y164)</f>
        <v>0</v>
      </c>
      <c r="L164" s="69" t="n">
        <f aca="false">IF($A164="","",Data_Engine!$Z164)</f>
        <v>0</v>
      </c>
      <c r="M164" s="69" t="n">
        <f aca="false">IF($A164="","",Data_Engine!$AA164)</f>
        <v>0</v>
      </c>
      <c r="N164" s="69" t="n">
        <f aca="false">IF($A164="","",Data_Engine!$AB164)</f>
        <v>0</v>
      </c>
      <c r="O164" s="69" t="n">
        <f aca="false">IF($A164="","",Data_Engine!$AC164)</f>
        <v>0</v>
      </c>
      <c r="P164" s="69" t="n">
        <f aca="false">IF($A164="","",Data_Engine!$AH164)</f>
        <v>0</v>
      </c>
      <c r="Q164" s="70" t="n">
        <f aca="false">IF($A164="","",Data_Engine!$AD164)</f>
        <v>0</v>
      </c>
      <c r="R164" s="69" t="n">
        <f aca="false">IF($A164="","",Data_Engine!$AF164)</f>
        <v>0</v>
      </c>
      <c r="S164" s="71" t="n">
        <f aca="false">IF($A164="","",$Q164-$R164)</f>
        <v>0</v>
      </c>
      <c r="T164" s="72" t="str">
        <f aca="false">IF($A164="","",IF(ROUND($R164,2)=0,"n/a",$S164/ABS($R164)))</f>
        <v>n/a</v>
      </c>
      <c r="U164" s="69" t="n">
        <f aca="false">IF($A164="","",Data_Engine!$AG164)</f>
        <v>0</v>
      </c>
      <c r="V164" s="73" t="n">
        <f aca="false">IF($A164="","",$Q164-$U164)</f>
        <v>0</v>
      </c>
      <c r="W164" s="72" t="str">
        <f aca="false">IF($A164="","",IF(ROUND($U164,2)=0,"n/a",$V164/ABS($U164)))</f>
        <v>n/a</v>
      </c>
      <c r="X164" s="74" t="str">
        <f aca="false">IF($A164="","",IF(AND(ROUND($Q164,2)=0,ROUND($R164,2)=0),"No Activity",IF(ABS($S164)&lt;Setup!$B$14,"Low",IF(ROUND($R164,2)=0,"High",IF(OR(ABS($S164/$R164)&gt;=Setup!$B$16,ABS($S164)&gt;=Setup!$B$17),"High",IF(ABS($S164/$R164)&gt;=Setup!$B$15,"Medium","Low"))))))</f>
        <v>No Activity</v>
      </c>
      <c r="Y164" s="57"/>
      <c r="Z164" s="75" t="n">
        <f aca="false">IF($A164="",-1000000000000000,IF(ROUND(ABS($S164),0)=0,-1000000000000000,ABS($S164)+ROW()/1000000))</f>
        <v>-1000000000000000</v>
      </c>
    </row>
    <row r="165" customFormat="false" ht="15" hidden="false" customHeight="false" outlineLevel="0" collapsed="false">
      <c r="A165" s="68" t="str">
        <f aca="false">IF(Data_Engine!$A165="","",Data_Engine!$A165)</f>
        <v>Office Supplies</v>
      </c>
      <c r="B165" s="42" t="str">
        <f aca="false">IF($A165="","",Data_Engine!$B165)</f>
        <v>Expenses</v>
      </c>
      <c r="C165" s="42" t="str">
        <f aca="false">IF($A165="","",Data_Engine!$D165)</f>
        <v>Unallocated</v>
      </c>
      <c r="D165" s="69" t="n">
        <f aca="false">IF($A165="","",Data_Engine!$R165)</f>
        <v>0</v>
      </c>
      <c r="E165" s="69" t="n">
        <f aca="false">IF($A165="","",Data_Engine!$S165)</f>
        <v>0</v>
      </c>
      <c r="F165" s="69" t="n">
        <f aca="false">IF($A165="","",Data_Engine!$T165)</f>
        <v>0</v>
      </c>
      <c r="G165" s="69" t="n">
        <f aca="false">IF($A165="","",Data_Engine!$U165)</f>
        <v>0</v>
      </c>
      <c r="H165" s="69" t="n">
        <f aca="false">IF($A165="","",Data_Engine!$V165)</f>
        <v>0</v>
      </c>
      <c r="I165" s="69" t="n">
        <f aca="false">IF($A165="","",Data_Engine!$W165)</f>
        <v>0</v>
      </c>
      <c r="J165" s="69" t="n">
        <f aca="false">IF($A165="","",Data_Engine!$X165)</f>
        <v>0</v>
      </c>
      <c r="K165" s="69" t="n">
        <f aca="false">IF($A165="","",Data_Engine!$Y165)</f>
        <v>0</v>
      </c>
      <c r="L165" s="69" t="n">
        <f aca="false">IF($A165="","",Data_Engine!$Z165)</f>
        <v>0</v>
      </c>
      <c r="M165" s="69" t="n">
        <f aca="false">IF($A165="","",Data_Engine!$AA165)</f>
        <v>0</v>
      </c>
      <c r="N165" s="69" t="n">
        <f aca="false">IF($A165="","",Data_Engine!$AB165)</f>
        <v>0</v>
      </c>
      <c r="O165" s="69" t="n">
        <f aca="false">IF($A165="","",Data_Engine!$AC165)</f>
        <v>0</v>
      </c>
      <c r="P165" s="69" t="n">
        <f aca="false">IF($A165="","",Data_Engine!$AH165)</f>
        <v>0</v>
      </c>
      <c r="Q165" s="70" t="n">
        <f aca="false">IF($A165="","",Data_Engine!$AD165)</f>
        <v>0</v>
      </c>
      <c r="R165" s="69" t="n">
        <f aca="false">IF($A165="","",Data_Engine!$AF165)</f>
        <v>0</v>
      </c>
      <c r="S165" s="71" t="n">
        <f aca="false">IF($A165="","",$Q165-$R165)</f>
        <v>0</v>
      </c>
      <c r="T165" s="72" t="str">
        <f aca="false">IF($A165="","",IF(ROUND($R165,2)=0,"n/a",$S165/ABS($R165)))</f>
        <v>n/a</v>
      </c>
      <c r="U165" s="69" t="n">
        <f aca="false">IF($A165="","",Data_Engine!$AG165)</f>
        <v>0</v>
      </c>
      <c r="V165" s="73" t="n">
        <f aca="false">IF($A165="","",$Q165-$U165)</f>
        <v>0</v>
      </c>
      <c r="W165" s="72" t="str">
        <f aca="false">IF($A165="","",IF(ROUND($U165,2)=0,"n/a",$V165/ABS($U165)))</f>
        <v>n/a</v>
      </c>
      <c r="X165" s="74" t="str">
        <f aca="false">IF($A165="","",IF(AND(ROUND($Q165,2)=0,ROUND($R165,2)=0),"No Activity",IF(ABS($S165)&lt;Setup!$B$14,"Low",IF(ROUND($R165,2)=0,"High",IF(OR(ABS($S165/$R165)&gt;=Setup!$B$16,ABS($S165)&gt;=Setup!$B$17),"High",IF(ABS($S165/$R165)&gt;=Setup!$B$15,"Medium","Low"))))))</f>
        <v>No Activity</v>
      </c>
      <c r="Y165" s="57"/>
      <c r="Z165" s="75" t="n">
        <f aca="false">IF($A165="",-1000000000000000,IF(ROUND(ABS($S165),0)=0,-1000000000000000,ABS($S165)+ROW()/1000000))</f>
        <v>-1000000000000000</v>
      </c>
    </row>
    <row r="166" customFormat="false" ht="15" hidden="false" customHeight="false" outlineLevel="0" collapsed="false">
      <c r="A166" s="68" t="str">
        <f aca="false">IF(Data_Engine!$A166="","",Data_Engine!$A166)</f>
        <v>Office Supplies [61500]</v>
      </c>
      <c r="B166" s="42" t="str">
        <f aca="false">IF($A166="","",Data_Engine!$B166)</f>
        <v>Expenses</v>
      </c>
      <c r="C166" s="42" t="str">
        <f aca="false">IF($A166="","",Data_Engine!$D166)</f>
        <v>Unallocated</v>
      </c>
      <c r="D166" s="69" t="n">
        <f aca="false">IF($A166="","",Data_Engine!$R166)</f>
        <v>0</v>
      </c>
      <c r="E166" s="69" t="n">
        <f aca="false">IF($A166="","",Data_Engine!$S166)</f>
        <v>0</v>
      </c>
      <c r="F166" s="69" t="n">
        <f aca="false">IF($A166="","",Data_Engine!$T166)</f>
        <v>0</v>
      </c>
      <c r="G166" s="69" t="n">
        <f aca="false">IF($A166="","",Data_Engine!$U166)</f>
        <v>0</v>
      </c>
      <c r="H166" s="69" t="n">
        <f aca="false">IF($A166="","",Data_Engine!$V166)</f>
        <v>0</v>
      </c>
      <c r="I166" s="69" t="n">
        <f aca="false">IF($A166="","",Data_Engine!$W166)</f>
        <v>0</v>
      </c>
      <c r="J166" s="69" t="n">
        <f aca="false">IF($A166="","",Data_Engine!$X166)</f>
        <v>0</v>
      </c>
      <c r="K166" s="69" t="n">
        <f aca="false">IF($A166="","",Data_Engine!$Y166)</f>
        <v>0</v>
      </c>
      <c r="L166" s="69" t="n">
        <f aca="false">IF($A166="","",Data_Engine!$Z166)</f>
        <v>0</v>
      </c>
      <c r="M166" s="69" t="n">
        <f aca="false">IF($A166="","",Data_Engine!$AA166)</f>
        <v>0</v>
      </c>
      <c r="N166" s="69" t="n">
        <f aca="false">IF($A166="","",Data_Engine!$AB166)</f>
        <v>0</v>
      </c>
      <c r="O166" s="69" t="n">
        <f aca="false">IF($A166="","",Data_Engine!$AC166)</f>
        <v>0</v>
      </c>
      <c r="P166" s="69" t="n">
        <f aca="false">IF($A166="","",Data_Engine!$AH166)</f>
        <v>0</v>
      </c>
      <c r="Q166" s="70" t="n">
        <f aca="false">IF($A166="","",Data_Engine!$AD166)</f>
        <v>0</v>
      </c>
      <c r="R166" s="69" t="n">
        <f aca="false">IF($A166="","",Data_Engine!$AF166)</f>
        <v>0</v>
      </c>
      <c r="S166" s="71" t="n">
        <f aca="false">IF($A166="","",$Q166-$R166)</f>
        <v>0</v>
      </c>
      <c r="T166" s="72" t="str">
        <f aca="false">IF($A166="","",IF(ROUND($R166,2)=0,"n/a",$S166/ABS($R166)))</f>
        <v>n/a</v>
      </c>
      <c r="U166" s="69" t="n">
        <f aca="false">IF($A166="","",Data_Engine!$AG166)</f>
        <v>0</v>
      </c>
      <c r="V166" s="73" t="n">
        <f aca="false">IF($A166="","",$Q166-$U166)</f>
        <v>0</v>
      </c>
      <c r="W166" s="72" t="str">
        <f aca="false">IF($A166="","",IF(ROUND($U166,2)=0,"n/a",$V166/ABS($U166)))</f>
        <v>n/a</v>
      </c>
      <c r="X166" s="74" t="str">
        <f aca="false">IF($A166="","",IF(AND(ROUND($Q166,2)=0,ROUND($R166,2)=0),"No Activity",IF(ABS($S166)&lt;Setup!$B$14,"Low",IF(ROUND($R166,2)=0,"High",IF(OR(ABS($S166/$R166)&gt;=Setup!$B$16,ABS($S166)&gt;=Setup!$B$17),"High",IF(ABS($S166/$R166)&gt;=Setup!$B$15,"Medium","Low"))))))</f>
        <v>No Activity</v>
      </c>
      <c r="Y166" s="57"/>
      <c r="Z166" s="75" t="n">
        <f aca="false">IF($A166="",-1000000000000000,IF(ROUND(ABS($S166),0)=0,-1000000000000000,ABS($S166)+ROW()/1000000))</f>
        <v>-1000000000000000</v>
      </c>
    </row>
    <row r="167" customFormat="false" ht="15" hidden="false" customHeight="false" outlineLevel="0" collapsed="false">
      <c r="A167" s="68" t="str">
        <f aca="false">IF(Data_Engine!$A167="","",Data_Engine!$A167)</f>
        <v>Other Expenses [64900]</v>
      </c>
      <c r="B167" s="42" t="str">
        <f aca="false">IF($A167="","",Data_Engine!$B167)</f>
        <v>Expenses</v>
      </c>
      <c r="C167" s="42" t="str">
        <f aca="false">IF($A167="","",Data_Engine!$D167)</f>
        <v>Unallocated</v>
      </c>
      <c r="D167" s="69" t="n">
        <f aca="false">IF($A167="","",Data_Engine!$R167)</f>
        <v>0</v>
      </c>
      <c r="E167" s="69" t="n">
        <f aca="false">IF($A167="","",Data_Engine!$S167)</f>
        <v>0</v>
      </c>
      <c r="F167" s="69" t="n">
        <f aca="false">IF($A167="","",Data_Engine!$T167)</f>
        <v>0</v>
      </c>
      <c r="G167" s="69" t="n">
        <f aca="false">IF($A167="","",Data_Engine!$U167)</f>
        <v>0</v>
      </c>
      <c r="H167" s="69" t="n">
        <f aca="false">IF($A167="","",Data_Engine!$V167)</f>
        <v>0</v>
      </c>
      <c r="I167" s="69" t="n">
        <f aca="false">IF($A167="","",Data_Engine!$W167)</f>
        <v>0</v>
      </c>
      <c r="J167" s="69" t="n">
        <f aca="false">IF($A167="","",Data_Engine!$X167)</f>
        <v>0</v>
      </c>
      <c r="K167" s="69" t="n">
        <f aca="false">IF($A167="","",Data_Engine!$Y167)</f>
        <v>0</v>
      </c>
      <c r="L167" s="69" t="n">
        <f aca="false">IF($A167="","",Data_Engine!$Z167)</f>
        <v>0</v>
      </c>
      <c r="M167" s="69" t="n">
        <f aca="false">IF($A167="","",Data_Engine!$AA167)</f>
        <v>0</v>
      </c>
      <c r="N167" s="69" t="n">
        <f aca="false">IF($A167="","",Data_Engine!$AB167)</f>
        <v>0</v>
      </c>
      <c r="O167" s="69" t="n">
        <f aca="false">IF($A167="","",Data_Engine!$AC167)</f>
        <v>0</v>
      </c>
      <c r="P167" s="69" t="n">
        <f aca="false">IF($A167="","",Data_Engine!$AH167)</f>
        <v>0</v>
      </c>
      <c r="Q167" s="70" t="n">
        <f aca="false">IF($A167="","",Data_Engine!$AD167)</f>
        <v>0</v>
      </c>
      <c r="R167" s="69" t="n">
        <f aca="false">IF($A167="","",Data_Engine!$AF167)</f>
        <v>0</v>
      </c>
      <c r="S167" s="71" t="n">
        <f aca="false">IF($A167="","",$Q167-$R167)</f>
        <v>0</v>
      </c>
      <c r="T167" s="72" t="str">
        <f aca="false">IF($A167="","",IF(ROUND($R167,2)=0,"n/a",$S167/ABS($R167)))</f>
        <v>n/a</v>
      </c>
      <c r="U167" s="69" t="n">
        <f aca="false">IF($A167="","",Data_Engine!$AG167)</f>
        <v>0</v>
      </c>
      <c r="V167" s="73" t="n">
        <f aca="false">IF($A167="","",$Q167-$U167)</f>
        <v>0</v>
      </c>
      <c r="W167" s="72" t="str">
        <f aca="false">IF($A167="","",IF(ROUND($U167,2)=0,"n/a",$V167/ABS($U167)))</f>
        <v>n/a</v>
      </c>
      <c r="X167" s="74" t="str">
        <f aca="false">IF($A167="","",IF(AND(ROUND($Q167,2)=0,ROUND($R167,2)=0),"No Activity",IF(ABS($S167)&lt;Setup!$B$14,"Low",IF(ROUND($R167,2)=0,"High",IF(OR(ABS($S167/$R167)&gt;=Setup!$B$16,ABS($S167)&gt;=Setup!$B$17),"High",IF(ABS($S167/$R167)&gt;=Setup!$B$15,"Medium","Low"))))))</f>
        <v>No Activity</v>
      </c>
      <c r="Y167" s="57"/>
      <c r="Z167" s="75" t="n">
        <f aca="false">IF($A167="",-1000000000000000,IF(ROUND(ABS($S167),0)=0,-1000000000000000,ABS($S167)+ROW()/1000000))</f>
        <v>-1000000000000000</v>
      </c>
    </row>
    <row r="168" customFormat="false" ht="15" hidden="false" customHeight="false" outlineLevel="0" collapsed="false">
      <c r="A168" s="68" t="str">
        <f aca="false">IF(Data_Engine!$A168="","",Data_Engine!$A168)</f>
        <v>Other Insurance</v>
      </c>
      <c r="B168" s="42" t="str">
        <f aca="false">IF($A168="","",Data_Engine!$B168)</f>
        <v>Expenses</v>
      </c>
      <c r="C168" s="42" t="str">
        <f aca="false">IF($A168="","",Data_Engine!$D168)</f>
        <v>Unallocated</v>
      </c>
      <c r="D168" s="69" t="n">
        <f aca="false">IF($A168="","",Data_Engine!$R168)</f>
        <v>0</v>
      </c>
      <c r="E168" s="69" t="n">
        <f aca="false">IF($A168="","",Data_Engine!$S168)</f>
        <v>0</v>
      </c>
      <c r="F168" s="69" t="n">
        <f aca="false">IF($A168="","",Data_Engine!$T168)</f>
        <v>0</v>
      </c>
      <c r="G168" s="69" t="n">
        <f aca="false">IF($A168="","",Data_Engine!$U168)</f>
        <v>0</v>
      </c>
      <c r="H168" s="69" t="n">
        <f aca="false">IF($A168="","",Data_Engine!$V168)</f>
        <v>0</v>
      </c>
      <c r="I168" s="69" t="n">
        <f aca="false">IF($A168="","",Data_Engine!$W168)</f>
        <v>0</v>
      </c>
      <c r="J168" s="69" t="n">
        <f aca="false">IF($A168="","",Data_Engine!$X168)</f>
        <v>0</v>
      </c>
      <c r="K168" s="69" t="n">
        <f aca="false">IF($A168="","",Data_Engine!$Y168)</f>
        <v>0</v>
      </c>
      <c r="L168" s="69" t="n">
        <f aca="false">IF($A168="","",Data_Engine!$Z168)</f>
        <v>0</v>
      </c>
      <c r="M168" s="69" t="n">
        <f aca="false">IF($A168="","",Data_Engine!$AA168)</f>
        <v>0</v>
      </c>
      <c r="N168" s="69" t="n">
        <f aca="false">IF($A168="","",Data_Engine!$AB168)</f>
        <v>0</v>
      </c>
      <c r="O168" s="69" t="n">
        <f aca="false">IF($A168="","",Data_Engine!$AC168)</f>
        <v>0</v>
      </c>
      <c r="P168" s="69" t="n">
        <f aca="false">IF($A168="","",Data_Engine!$AH168)</f>
        <v>0</v>
      </c>
      <c r="Q168" s="70" t="n">
        <f aca="false">IF($A168="","",Data_Engine!$AD168)</f>
        <v>0</v>
      </c>
      <c r="R168" s="69" t="n">
        <f aca="false">IF($A168="","",Data_Engine!$AF168)</f>
        <v>0</v>
      </c>
      <c r="S168" s="71" t="n">
        <f aca="false">IF($A168="","",$Q168-$R168)</f>
        <v>0</v>
      </c>
      <c r="T168" s="72" t="str">
        <f aca="false">IF($A168="","",IF(ROUND($R168,2)=0,"n/a",$S168/ABS($R168)))</f>
        <v>n/a</v>
      </c>
      <c r="U168" s="69" t="n">
        <f aca="false">IF($A168="","",Data_Engine!$AG168)</f>
        <v>0</v>
      </c>
      <c r="V168" s="73" t="n">
        <f aca="false">IF($A168="","",$Q168-$U168)</f>
        <v>0</v>
      </c>
      <c r="W168" s="72" t="str">
        <f aca="false">IF($A168="","",IF(ROUND($U168,2)=0,"n/a",$V168/ABS($U168)))</f>
        <v>n/a</v>
      </c>
      <c r="X168" s="74" t="str">
        <f aca="false">IF($A168="","",IF(AND(ROUND($Q168,2)=0,ROUND($R168,2)=0),"No Activity",IF(ABS($S168)&lt;Setup!$B$14,"Low",IF(ROUND($R168,2)=0,"High",IF(OR(ABS($S168/$R168)&gt;=Setup!$B$16,ABS($S168)&gt;=Setup!$B$17),"High",IF(ABS($S168/$R168)&gt;=Setup!$B$15,"Medium","Low"))))))</f>
        <v>No Activity</v>
      </c>
      <c r="Y168" s="57"/>
      <c r="Z168" s="75" t="n">
        <f aca="false">IF($A168="",-1000000000000000,IF(ROUND(ABS($S168),0)=0,-1000000000000000,ABS($S168)+ROW()/1000000))</f>
        <v>-1000000000000000</v>
      </c>
    </row>
    <row r="169" customFormat="false" ht="15" hidden="false" customHeight="false" outlineLevel="0" collapsed="false">
      <c r="A169" s="68" t="str">
        <f aca="false">IF(Data_Engine!$A169="","",Data_Engine!$A169)</f>
        <v>Other Telco Expenses</v>
      </c>
      <c r="B169" s="42" t="str">
        <f aca="false">IF($A169="","",Data_Engine!$B169)</f>
        <v>Expenses</v>
      </c>
      <c r="C169" s="42" t="str">
        <f aca="false">IF($A169="","",Data_Engine!$D169)</f>
        <v>Unallocated</v>
      </c>
      <c r="D169" s="69" t="n">
        <f aca="false">IF($A169="","",Data_Engine!$R169)</f>
        <v>0</v>
      </c>
      <c r="E169" s="69" t="n">
        <f aca="false">IF($A169="","",Data_Engine!$S169)</f>
        <v>0</v>
      </c>
      <c r="F169" s="69" t="n">
        <f aca="false">IF($A169="","",Data_Engine!$T169)</f>
        <v>0</v>
      </c>
      <c r="G169" s="69" t="n">
        <f aca="false">IF($A169="","",Data_Engine!$U169)</f>
        <v>0</v>
      </c>
      <c r="H169" s="69" t="n">
        <f aca="false">IF($A169="","",Data_Engine!$V169)</f>
        <v>0</v>
      </c>
      <c r="I169" s="69" t="n">
        <f aca="false">IF($A169="","",Data_Engine!$W169)</f>
        <v>0</v>
      </c>
      <c r="J169" s="69" t="n">
        <f aca="false">IF($A169="","",Data_Engine!$X169)</f>
        <v>0</v>
      </c>
      <c r="K169" s="69" t="n">
        <f aca="false">IF($A169="","",Data_Engine!$Y169)</f>
        <v>0</v>
      </c>
      <c r="L169" s="69" t="n">
        <f aca="false">IF($A169="","",Data_Engine!$Z169)</f>
        <v>0</v>
      </c>
      <c r="M169" s="69" t="n">
        <f aca="false">IF($A169="","",Data_Engine!$AA169)</f>
        <v>0</v>
      </c>
      <c r="N169" s="69" t="n">
        <f aca="false">IF($A169="","",Data_Engine!$AB169)</f>
        <v>0</v>
      </c>
      <c r="O169" s="69" t="n">
        <f aca="false">IF($A169="","",Data_Engine!$AC169)</f>
        <v>0</v>
      </c>
      <c r="P169" s="69" t="n">
        <f aca="false">IF($A169="","",Data_Engine!$AH169)</f>
        <v>0</v>
      </c>
      <c r="Q169" s="70" t="n">
        <f aca="false">IF($A169="","",Data_Engine!$AD169)</f>
        <v>0</v>
      </c>
      <c r="R169" s="69" t="n">
        <f aca="false">IF($A169="","",Data_Engine!$AF169)</f>
        <v>0</v>
      </c>
      <c r="S169" s="71" t="n">
        <f aca="false">IF($A169="","",$Q169-$R169)</f>
        <v>0</v>
      </c>
      <c r="T169" s="72" t="str">
        <f aca="false">IF($A169="","",IF(ROUND($R169,2)=0,"n/a",$S169/ABS($R169)))</f>
        <v>n/a</v>
      </c>
      <c r="U169" s="69" t="n">
        <f aca="false">IF($A169="","",Data_Engine!$AG169)</f>
        <v>0</v>
      </c>
      <c r="V169" s="73" t="n">
        <f aca="false">IF($A169="","",$Q169-$U169)</f>
        <v>0</v>
      </c>
      <c r="W169" s="72" t="str">
        <f aca="false">IF($A169="","",IF(ROUND($U169,2)=0,"n/a",$V169/ABS($U169)))</f>
        <v>n/a</v>
      </c>
      <c r="X169" s="74" t="str">
        <f aca="false">IF($A169="","",IF(AND(ROUND($Q169,2)=0,ROUND($R169,2)=0),"No Activity",IF(ABS($S169)&lt;Setup!$B$14,"Low",IF(ROUND($R169,2)=0,"High",IF(OR(ABS($S169/$R169)&gt;=Setup!$B$16,ABS($S169)&gt;=Setup!$B$17),"High",IF(ABS($S169/$R169)&gt;=Setup!$B$15,"Medium","Low"))))))</f>
        <v>No Activity</v>
      </c>
      <c r="Y169" s="57"/>
      <c r="Z169" s="75" t="n">
        <f aca="false">IF($A169="",-1000000000000000,IF(ROUND(ABS($S169),0)=0,-1000000000000000,ABS($S169)+ROW()/1000000))</f>
        <v>-1000000000000000</v>
      </c>
    </row>
    <row r="170" customFormat="false" ht="15" hidden="false" customHeight="false" outlineLevel="0" collapsed="false">
      <c r="A170" s="68" t="str">
        <f aca="false">IF(Data_Engine!$A170="","",Data_Engine!$A170)</f>
        <v>Pager</v>
      </c>
      <c r="B170" s="42" t="str">
        <f aca="false">IF($A170="","",Data_Engine!$B170)</f>
        <v>Expenses</v>
      </c>
      <c r="C170" s="42" t="str">
        <f aca="false">IF($A170="","",Data_Engine!$D170)</f>
        <v>Unallocated</v>
      </c>
      <c r="D170" s="69" t="n">
        <f aca="false">IF($A170="","",Data_Engine!$R170)</f>
        <v>0</v>
      </c>
      <c r="E170" s="69" t="n">
        <f aca="false">IF($A170="","",Data_Engine!$S170)</f>
        <v>0</v>
      </c>
      <c r="F170" s="69" t="n">
        <f aca="false">IF($A170="","",Data_Engine!$T170)</f>
        <v>0</v>
      </c>
      <c r="G170" s="69" t="n">
        <f aca="false">IF($A170="","",Data_Engine!$U170)</f>
        <v>0</v>
      </c>
      <c r="H170" s="69" t="n">
        <f aca="false">IF($A170="","",Data_Engine!$V170)</f>
        <v>0</v>
      </c>
      <c r="I170" s="69" t="n">
        <f aca="false">IF($A170="","",Data_Engine!$W170)</f>
        <v>0</v>
      </c>
      <c r="J170" s="69" t="n">
        <f aca="false">IF($A170="","",Data_Engine!$X170)</f>
        <v>0</v>
      </c>
      <c r="K170" s="69" t="n">
        <f aca="false">IF($A170="","",Data_Engine!$Y170)</f>
        <v>0</v>
      </c>
      <c r="L170" s="69" t="n">
        <f aca="false">IF($A170="","",Data_Engine!$Z170)</f>
        <v>0</v>
      </c>
      <c r="M170" s="69" t="n">
        <f aca="false">IF($A170="","",Data_Engine!$AA170)</f>
        <v>0</v>
      </c>
      <c r="N170" s="69" t="n">
        <f aca="false">IF($A170="","",Data_Engine!$AB170)</f>
        <v>0</v>
      </c>
      <c r="O170" s="69" t="n">
        <f aca="false">IF($A170="","",Data_Engine!$AC170)</f>
        <v>0</v>
      </c>
      <c r="P170" s="69" t="n">
        <f aca="false">IF($A170="","",Data_Engine!$AH170)</f>
        <v>0</v>
      </c>
      <c r="Q170" s="70" t="n">
        <f aca="false">IF($A170="","",Data_Engine!$AD170)</f>
        <v>0</v>
      </c>
      <c r="R170" s="69" t="n">
        <f aca="false">IF($A170="","",Data_Engine!$AF170)</f>
        <v>0</v>
      </c>
      <c r="S170" s="71" t="n">
        <f aca="false">IF($A170="","",$Q170-$R170)</f>
        <v>0</v>
      </c>
      <c r="T170" s="72" t="str">
        <f aca="false">IF($A170="","",IF(ROUND($R170,2)=0,"n/a",$S170/ABS($R170)))</f>
        <v>n/a</v>
      </c>
      <c r="U170" s="69" t="n">
        <f aca="false">IF($A170="","",Data_Engine!$AG170)</f>
        <v>0</v>
      </c>
      <c r="V170" s="73" t="n">
        <f aca="false">IF($A170="","",$Q170-$U170)</f>
        <v>0</v>
      </c>
      <c r="W170" s="72" t="str">
        <f aca="false">IF($A170="","",IF(ROUND($U170,2)=0,"n/a",$V170/ABS($U170)))</f>
        <v>n/a</v>
      </c>
      <c r="X170" s="74" t="str">
        <f aca="false">IF($A170="","",IF(AND(ROUND($Q170,2)=0,ROUND($R170,2)=0),"No Activity",IF(ABS($S170)&lt;Setup!$B$14,"Low",IF(ROUND($R170,2)=0,"High",IF(OR(ABS($S170/$R170)&gt;=Setup!$B$16,ABS($S170)&gt;=Setup!$B$17),"High",IF(ABS($S170/$R170)&gt;=Setup!$B$15,"Medium","Low"))))))</f>
        <v>No Activity</v>
      </c>
      <c r="Y170" s="57"/>
      <c r="Z170" s="75" t="n">
        <f aca="false">IF($A170="",-1000000000000000,IF(ROUND(ABS($S170),0)=0,-1000000000000000,ABS($S170)+ROW()/1000000))</f>
        <v>-1000000000000000</v>
      </c>
    </row>
    <row r="171" customFormat="false" ht="15" hidden="false" customHeight="false" outlineLevel="0" collapsed="false">
      <c r="A171" s="68" t="str">
        <f aca="false">IF(Data_Engine!$A171="","",Data_Engine!$A171)</f>
        <v>Payroll Processing Fee</v>
      </c>
      <c r="B171" s="42" t="str">
        <f aca="false">IF($A171="","",Data_Engine!$B171)</f>
        <v>Expenses</v>
      </c>
      <c r="C171" s="42" t="str">
        <f aca="false">IF($A171="","",Data_Engine!$D171)</f>
        <v>Unallocated</v>
      </c>
      <c r="D171" s="69" t="n">
        <f aca="false">IF($A171="","",Data_Engine!$R171)</f>
        <v>0</v>
      </c>
      <c r="E171" s="69" t="n">
        <f aca="false">IF($A171="","",Data_Engine!$S171)</f>
        <v>0</v>
      </c>
      <c r="F171" s="69" t="n">
        <f aca="false">IF($A171="","",Data_Engine!$T171)</f>
        <v>0</v>
      </c>
      <c r="G171" s="69" t="n">
        <f aca="false">IF($A171="","",Data_Engine!$U171)</f>
        <v>0</v>
      </c>
      <c r="H171" s="69" t="n">
        <f aca="false">IF($A171="","",Data_Engine!$V171)</f>
        <v>0</v>
      </c>
      <c r="I171" s="69" t="n">
        <f aca="false">IF($A171="","",Data_Engine!$W171)</f>
        <v>0</v>
      </c>
      <c r="J171" s="69" t="n">
        <f aca="false">IF($A171="","",Data_Engine!$X171)</f>
        <v>0</v>
      </c>
      <c r="K171" s="69" t="n">
        <f aca="false">IF($A171="","",Data_Engine!$Y171)</f>
        <v>0</v>
      </c>
      <c r="L171" s="69" t="n">
        <f aca="false">IF($A171="","",Data_Engine!$Z171)</f>
        <v>0</v>
      </c>
      <c r="M171" s="69" t="n">
        <f aca="false">IF($A171="","",Data_Engine!$AA171)</f>
        <v>0</v>
      </c>
      <c r="N171" s="69" t="n">
        <f aca="false">IF($A171="","",Data_Engine!$AB171)</f>
        <v>0</v>
      </c>
      <c r="O171" s="69" t="n">
        <f aca="false">IF($A171="","",Data_Engine!$AC171)</f>
        <v>0</v>
      </c>
      <c r="P171" s="69" t="n">
        <f aca="false">IF($A171="","",Data_Engine!$AH171)</f>
        <v>0</v>
      </c>
      <c r="Q171" s="70" t="n">
        <f aca="false">IF($A171="","",Data_Engine!$AD171)</f>
        <v>0</v>
      </c>
      <c r="R171" s="69" t="n">
        <f aca="false">IF($A171="","",Data_Engine!$AF171)</f>
        <v>0</v>
      </c>
      <c r="S171" s="71" t="n">
        <f aca="false">IF($A171="","",$Q171-$R171)</f>
        <v>0</v>
      </c>
      <c r="T171" s="72" t="str">
        <f aca="false">IF($A171="","",IF(ROUND($R171,2)=0,"n/a",$S171/ABS($R171)))</f>
        <v>n/a</v>
      </c>
      <c r="U171" s="69" t="n">
        <f aca="false">IF($A171="","",Data_Engine!$AG171)</f>
        <v>0</v>
      </c>
      <c r="V171" s="73" t="n">
        <f aca="false">IF($A171="","",$Q171-$U171)</f>
        <v>0</v>
      </c>
      <c r="W171" s="72" t="str">
        <f aca="false">IF($A171="","",IF(ROUND($U171,2)=0,"n/a",$V171/ABS($U171)))</f>
        <v>n/a</v>
      </c>
      <c r="X171" s="74" t="str">
        <f aca="false">IF($A171="","",IF(AND(ROUND($Q171,2)=0,ROUND($R171,2)=0),"No Activity",IF(ABS($S171)&lt;Setup!$B$14,"Low",IF(ROUND($R171,2)=0,"High",IF(OR(ABS($S171/$R171)&gt;=Setup!$B$16,ABS($S171)&gt;=Setup!$B$17),"High",IF(ABS($S171/$R171)&gt;=Setup!$B$15,"Medium","Low"))))))</f>
        <v>No Activity</v>
      </c>
      <c r="Y171" s="57"/>
      <c r="Z171" s="75" t="n">
        <f aca="false">IF($A171="",-1000000000000000,IF(ROUND(ABS($S171),0)=0,-1000000000000000,ABS($S171)+ROW()/1000000))</f>
        <v>-1000000000000000</v>
      </c>
    </row>
    <row r="172" customFormat="false" ht="15" hidden="false" customHeight="false" outlineLevel="0" collapsed="false">
      <c r="A172" s="68" t="str">
        <f aca="false">IF(Data_Engine!$A172="","",Data_Engine!$A172)</f>
        <v>Payroll Tax</v>
      </c>
      <c r="B172" s="42" t="str">
        <f aca="false">IF($A172="","",Data_Engine!$B172)</f>
        <v>Expenses</v>
      </c>
      <c r="C172" s="42" t="str">
        <f aca="false">IF($A172="","",Data_Engine!$D172)</f>
        <v>Unallocated</v>
      </c>
      <c r="D172" s="69" t="n">
        <f aca="false">IF($A172="","",Data_Engine!$R172)</f>
        <v>0</v>
      </c>
      <c r="E172" s="69" t="n">
        <f aca="false">IF($A172="","",Data_Engine!$S172)</f>
        <v>0</v>
      </c>
      <c r="F172" s="69" t="n">
        <f aca="false">IF($A172="","",Data_Engine!$T172)</f>
        <v>0</v>
      </c>
      <c r="G172" s="69" t="n">
        <f aca="false">IF($A172="","",Data_Engine!$U172)</f>
        <v>0</v>
      </c>
      <c r="H172" s="69" t="n">
        <f aca="false">IF($A172="","",Data_Engine!$V172)</f>
        <v>0</v>
      </c>
      <c r="I172" s="69" t="n">
        <f aca="false">IF($A172="","",Data_Engine!$W172)</f>
        <v>0</v>
      </c>
      <c r="J172" s="69" t="n">
        <f aca="false">IF($A172="","",Data_Engine!$X172)</f>
        <v>0</v>
      </c>
      <c r="K172" s="69" t="n">
        <f aca="false">IF($A172="","",Data_Engine!$Y172)</f>
        <v>0</v>
      </c>
      <c r="L172" s="69" t="n">
        <f aca="false">IF($A172="","",Data_Engine!$Z172)</f>
        <v>0</v>
      </c>
      <c r="M172" s="69" t="n">
        <f aca="false">IF($A172="","",Data_Engine!$AA172)</f>
        <v>0</v>
      </c>
      <c r="N172" s="69" t="n">
        <f aca="false">IF($A172="","",Data_Engine!$AB172)</f>
        <v>0</v>
      </c>
      <c r="O172" s="69" t="n">
        <f aca="false">IF($A172="","",Data_Engine!$AC172)</f>
        <v>0</v>
      </c>
      <c r="P172" s="69" t="n">
        <f aca="false">IF($A172="","",Data_Engine!$AH172)</f>
        <v>0</v>
      </c>
      <c r="Q172" s="70" t="n">
        <f aca="false">IF($A172="","",Data_Engine!$AD172)</f>
        <v>0</v>
      </c>
      <c r="R172" s="69" t="n">
        <f aca="false">IF($A172="","",Data_Engine!$AF172)</f>
        <v>0</v>
      </c>
      <c r="S172" s="71" t="n">
        <f aca="false">IF($A172="","",$Q172-$R172)</f>
        <v>0</v>
      </c>
      <c r="T172" s="72" t="str">
        <f aca="false">IF($A172="","",IF(ROUND($R172,2)=0,"n/a",$S172/ABS($R172)))</f>
        <v>n/a</v>
      </c>
      <c r="U172" s="69" t="n">
        <f aca="false">IF($A172="","",Data_Engine!$AG172)</f>
        <v>0</v>
      </c>
      <c r="V172" s="73" t="n">
        <f aca="false">IF($A172="","",$Q172-$U172)</f>
        <v>0</v>
      </c>
      <c r="W172" s="72" t="str">
        <f aca="false">IF($A172="","",IF(ROUND($U172,2)=0,"n/a",$V172/ABS($U172)))</f>
        <v>n/a</v>
      </c>
      <c r="X172" s="74" t="str">
        <f aca="false">IF($A172="","",IF(AND(ROUND($Q172,2)=0,ROUND($R172,2)=0),"No Activity",IF(ABS($S172)&lt;Setup!$B$14,"Low",IF(ROUND($R172,2)=0,"High",IF(OR(ABS($S172/$R172)&gt;=Setup!$B$16,ABS($S172)&gt;=Setup!$B$17),"High",IF(ABS($S172/$R172)&gt;=Setup!$B$15,"Medium","Low"))))))</f>
        <v>No Activity</v>
      </c>
      <c r="Y172" s="57"/>
      <c r="Z172" s="75" t="n">
        <f aca="false">IF($A172="",-1000000000000000,IF(ROUND(ABS($S172),0)=0,-1000000000000000,ABS($S172)+ROW()/1000000))</f>
        <v>-1000000000000000</v>
      </c>
    </row>
    <row r="173" customFormat="false" ht="15" hidden="false" customHeight="false" outlineLevel="0" collapsed="false">
      <c r="A173" s="68" t="str">
        <f aca="false">IF(Data_Engine!$A173="","",Data_Engine!$A173)</f>
        <v>Postage</v>
      </c>
      <c r="B173" s="42" t="str">
        <f aca="false">IF($A173="","",Data_Engine!$B173)</f>
        <v>Expenses</v>
      </c>
      <c r="C173" s="42" t="str">
        <f aca="false">IF($A173="","",Data_Engine!$D173)</f>
        <v>Unallocated</v>
      </c>
      <c r="D173" s="69" t="n">
        <f aca="false">IF($A173="","",Data_Engine!$R173)</f>
        <v>0</v>
      </c>
      <c r="E173" s="69" t="n">
        <f aca="false">IF($A173="","",Data_Engine!$S173)</f>
        <v>0</v>
      </c>
      <c r="F173" s="69" t="n">
        <f aca="false">IF($A173="","",Data_Engine!$T173)</f>
        <v>0</v>
      </c>
      <c r="G173" s="69" t="n">
        <f aca="false">IF($A173="","",Data_Engine!$U173)</f>
        <v>0</v>
      </c>
      <c r="H173" s="69" t="n">
        <f aca="false">IF($A173="","",Data_Engine!$V173)</f>
        <v>0</v>
      </c>
      <c r="I173" s="69" t="n">
        <f aca="false">IF($A173="","",Data_Engine!$W173)</f>
        <v>0</v>
      </c>
      <c r="J173" s="69" t="n">
        <f aca="false">IF($A173="","",Data_Engine!$X173)</f>
        <v>0</v>
      </c>
      <c r="K173" s="69" t="n">
        <f aca="false">IF($A173="","",Data_Engine!$Y173)</f>
        <v>0</v>
      </c>
      <c r="L173" s="69" t="n">
        <f aca="false">IF($A173="","",Data_Engine!$Z173)</f>
        <v>0</v>
      </c>
      <c r="M173" s="69" t="n">
        <f aca="false">IF($A173="","",Data_Engine!$AA173)</f>
        <v>0</v>
      </c>
      <c r="N173" s="69" t="n">
        <f aca="false">IF($A173="","",Data_Engine!$AB173)</f>
        <v>0</v>
      </c>
      <c r="O173" s="69" t="n">
        <f aca="false">IF($A173="","",Data_Engine!$AC173)</f>
        <v>0</v>
      </c>
      <c r="P173" s="69" t="n">
        <f aca="false">IF($A173="","",Data_Engine!$AH173)</f>
        <v>0</v>
      </c>
      <c r="Q173" s="70" t="n">
        <f aca="false">IF($A173="","",Data_Engine!$AD173)</f>
        <v>0</v>
      </c>
      <c r="R173" s="69" t="n">
        <f aca="false">IF($A173="","",Data_Engine!$AF173)</f>
        <v>0</v>
      </c>
      <c r="S173" s="71" t="n">
        <f aca="false">IF($A173="","",$Q173-$R173)</f>
        <v>0</v>
      </c>
      <c r="T173" s="72" t="str">
        <f aca="false">IF($A173="","",IF(ROUND($R173,2)=0,"n/a",$S173/ABS($R173)))</f>
        <v>n/a</v>
      </c>
      <c r="U173" s="69" t="n">
        <f aca="false">IF($A173="","",Data_Engine!$AG173)</f>
        <v>0</v>
      </c>
      <c r="V173" s="73" t="n">
        <f aca="false">IF($A173="","",$Q173-$U173)</f>
        <v>0</v>
      </c>
      <c r="W173" s="72" t="str">
        <f aca="false">IF($A173="","",IF(ROUND($U173,2)=0,"n/a",$V173/ABS($U173)))</f>
        <v>n/a</v>
      </c>
      <c r="X173" s="74" t="str">
        <f aca="false">IF($A173="","",IF(AND(ROUND($Q173,2)=0,ROUND($R173,2)=0),"No Activity",IF(ABS($S173)&lt;Setup!$B$14,"Low",IF(ROUND($R173,2)=0,"High",IF(OR(ABS($S173/$R173)&gt;=Setup!$B$16,ABS($S173)&gt;=Setup!$B$17),"High",IF(ABS($S173/$R173)&gt;=Setup!$B$15,"Medium","Low"))))))</f>
        <v>No Activity</v>
      </c>
      <c r="Y173" s="57"/>
      <c r="Z173" s="75" t="n">
        <f aca="false">IF($A173="",-1000000000000000,IF(ROUND(ABS($S173),0)=0,-1000000000000000,ABS($S173)+ROW()/1000000))</f>
        <v>-1000000000000000</v>
      </c>
    </row>
    <row r="174" customFormat="false" ht="15" hidden="false" customHeight="false" outlineLevel="0" collapsed="false">
      <c r="A174" s="68" t="str">
        <f aca="false">IF(Data_Engine!$A174="","",Data_Engine!$A174)</f>
        <v>Printing</v>
      </c>
      <c r="B174" s="42" t="str">
        <f aca="false">IF($A174="","",Data_Engine!$B174)</f>
        <v>Expenses</v>
      </c>
      <c r="C174" s="42" t="str">
        <f aca="false">IF($A174="","",Data_Engine!$D174)</f>
        <v>Unallocated</v>
      </c>
      <c r="D174" s="69" t="n">
        <f aca="false">IF($A174="","",Data_Engine!$R174)</f>
        <v>0</v>
      </c>
      <c r="E174" s="69" t="n">
        <f aca="false">IF($A174="","",Data_Engine!$S174)</f>
        <v>0</v>
      </c>
      <c r="F174" s="69" t="n">
        <f aca="false">IF($A174="","",Data_Engine!$T174)</f>
        <v>0</v>
      </c>
      <c r="G174" s="69" t="n">
        <f aca="false">IF($A174="","",Data_Engine!$U174)</f>
        <v>0</v>
      </c>
      <c r="H174" s="69" t="n">
        <f aca="false">IF($A174="","",Data_Engine!$V174)</f>
        <v>0</v>
      </c>
      <c r="I174" s="69" t="n">
        <f aca="false">IF($A174="","",Data_Engine!$W174)</f>
        <v>0</v>
      </c>
      <c r="J174" s="69" t="n">
        <f aca="false">IF($A174="","",Data_Engine!$X174)</f>
        <v>0</v>
      </c>
      <c r="K174" s="69" t="n">
        <f aca="false">IF($A174="","",Data_Engine!$Y174)</f>
        <v>0</v>
      </c>
      <c r="L174" s="69" t="n">
        <f aca="false">IF($A174="","",Data_Engine!$Z174)</f>
        <v>0</v>
      </c>
      <c r="M174" s="69" t="n">
        <f aca="false">IF($A174="","",Data_Engine!$AA174)</f>
        <v>0</v>
      </c>
      <c r="N174" s="69" t="n">
        <f aca="false">IF($A174="","",Data_Engine!$AB174)</f>
        <v>0</v>
      </c>
      <c r="O174" s="69" t="n">
        <f aca="false">IF($A174="","",Data_Engine!$AC174)</f>
        <v>0</v>
      </c>
      <c r="P174" s="69" t="n">
        <f aca="false">IF($A174="","",Data_Engine!$AH174)</f>
        <v>0</v>
      </c>
      <c r="Q174" s="70" t="n">
        <f aca="false">IF($A174="","",Data_Engine!$AD174)</f>
        <v>0</v>
      </c>
      <c r="R174" s="69" t="n">
        <f aca="false">IF($A174="","",Data_Engine!$AF174)</f>
        <v>0</v>
      </c>
      <c r="S174" s="71" t="n">
        <f aca="false">IF($A174="","",$Q174-$R174)</f>
        <v>0</v>
      </c>
      <c r="T174" s="72" t="str">
        <f aca="false">IF($A174="","",IF(ROUND($R174,2)=0,"n/a",$S174/ABS($R174)))</f>
        <v>n/a</v>
      </c>
      <c r="U174" s="69" t="n">
        <f aca="false">IF($A174="","",Data_Engine!$AG174)</f>
        <v>0</v>
      </c>
      <c r="V174" s="73" t="n">
        <f aca="false">IF($A174="","",$Q174-$U174)</f>
        <v>0</v>
      </c>
      <c r="W174" s="72" t="str">
        <f aca="false">IF($A174="","",IF(ROUND($U174,2)=0,"n/a",$V174/ABS($U174)))</f>
        <v>n/a</v>
      </c>
      <c r="X174" s="74" t="str">
        <f aca="false">IF($A174="","",IF(AND(ROUND($Q174,2)=0,ROUND($R174,2)=0),"No Activity",IF(ABS($S174)&lt;Setup!$B$14,"Low",IF(ROUND($R174,2)=0,"High",IF(OR(ABS($S174/$R174)&gt;=Setup!$B$16,ABS($S174)&gt;=Setup!$B$17),"High",IF(ABS($S174/$R174)&gt;=Setup!$B$15,"Medium","Low"))))))</f>
        <v>No Activity</v>
      </c>
      <c r="Y174" s="57"/>
      <c r="Z174" s="75" t="n">
        <f aca="false">IF($A174="",-1000000000000000,IF(ROUND(ABS($S174),0)=0,-1000000000000000,ABS($S174)+ROW()/1000000))</f>
        <v>-1000000000000000</v>
      </c>
    </row>
    <row r="175" customFormat="false" ht="15" hidden="false" customHeight="false" outlineLevel="0" collapsed="false">
      <c r="A175" s="68" t="str">
        <f aca="false">IF(Data_Engine!$A175="","",Data_Engine!$A175)</f>
        <v>Professional Indemnity</v>
      </c>
      <c r="B175" s="42" t="str">
        <f aca="false">IF($A175="","",Data_Engine!$B175)</f>
        <v>Expenses</v>
      </c>
      <c r="C175" s="42" t="str">
        <f aca="false">IF($A175="","",Data_Engine!$D175)</f>
        <v>Unallocated</v>
      </c>
      <c r="D175" s="69" t="n">
        <f aca="false">IF($A175="","",Data_Engine!$R175)</f>
        <v>0</v>
      </c>
      <c r="E175" s="69" t="n">
        <f aca="false">IF($A175="","",Data_Engine!$S175)</f>
        <v>0</v>
      </c>
      <c r="F175" s="69" t="n">
        <f aca="false">IF($A175="","",Data_Engine!$T175)</f>
        <v>0</v>
      </c>
      <c r="G175" s="69" t="n">
        <f aca="false">IF($A175="","",Data_Engine!$U175)</f>
        <v>0</v>
      </c>
      <c r="H175" s="69" t="n">
        <f aca="false">IF($A175="","",Data_Engine!$V175)</f>
        <v>0</v>
      </c>
      <c r="I175" s="69" t="n">
        <f aca="false">IF($A175="","",Data_Engine!$W175)</f>
        <v>0</v>
      </c>
      <c r="J175" s="69" t="n">
        <f aca="false">IF($A175="","",Data_Engine!$X175)</f>
        <v>0</v>
      </c>
      <c r="K175" s="69" t="n">
        <f aca="false">IF($A175="","",Data_Engine!$Y175)</f>
        <v>0</v>
      </c>
      <c r="L175" s="69" t="n">
        <f aca="false">IF($A175="","",Data_Engine!$Z175)</f>
        <v>0</v>
      </c>
      <c r="M175" s="69" t="n">
        <f aca="false">IF($A175="","",Data_Engine!$AA175)</f>
        <v>0</v>
      </c>
      <c r="N175" s="69" t="n">
        <f aca="false">IF($A175="","",Data_Engine!$AB175)</f>
        <v>0</v>
      </c>
      <c r="O175" s="69" t="n">
        <f aca="false">IF($A175="","",Data_Engine!$AC175)</f>
        <v>0</v>
      </c>
      <c r="P175" s="69" t="n">
        <f aca="false">IF($A175="","",Data_Engine!$AH175)</f>
        <v>0</v>
      </c>
      <c r="Q175" s="70" t="n">
        <f aca="false">IF($A175="","",Data_Engine!$AD175)</f>
        <v>0</v>
      </c>
      <c r="R175" s="69" t="n">
        <f aca="false">IF($A175="","",Data_Engine!$AF175)</f>
        <v>0</v>
      </c>
      <c r="S175" s="71" t="n">
        <f aca="false">IF($A175="","",$Q175-$R175)</f>
        <v>0</v>
      </c>
      <c r="T175" s="72" t="str">
        <f aca="false">IF($A175="","",IF(ROUND($R175,2)=0,"n/a",$S175/ABS($R175)))</f>
        <v>n/a</v>
      </c>
      <c r="U175" s="69" t="n">
        <f aca="false">IF($A175="","",Data_Engine!$AG175)</f>
        <v>0</v>
      </c>
      <c r="V175" s="73" t="n">
        <f aca="false">IF($A175="","",$Q175-$U175)</f>
        <v>0</v>
      </c>
      <c r="W175" s="72" t="str">
        <f aca="false">IF($A175="","",IF(ROUND($U175,2)=0,"n/a",$V175/ABS($U175)))</f>
        <v>n/a</v>
      </c>
      <c r="X175" s="74" t="str">
        <f aca="false">IF($A175="","",IF(AND(ROUND($Q175,2)=0,ROUND($R175,2)=0),"No Activity",IF(ABS($S175)&lt;Setup!$B$14,"Low",IF(ROUND($R175,2)=0,"High",IF(OR(ABS($S175/$R175)&gt;=Setup!$B$16,ABS($S175)&gt;=Setup!$B$17),"High",IF(ABS($S175/$R175)&gt;=Setup!$B$15,"Medium","Low"))))))</f>
        <v>No Activity</v>
      </c>
      <c r="Y175" s="57"/>
      <c r="Z175" s="75" t="n">
        <f aca="false">IF($A175="",-1000000000000000,IF(ROUND(ABS($S175),0)=0,-1000000000000000,ABS($S175)+ROW()/1000000))</f>
        <v>-1000000000000000</v>
      </c>
    </row>
    <row r="176" customFormat="false" ht="15" hidden="false" customHeight="false" outlineLevel="0" collapsed="false">
      <c r="A176" s="68" t="str">
        <f aca="false">IF(Data_Engine!$A176="","",Data_Engine!$A176)</f>
        <v>Realised Currency Gains</v>
      </c>
      <c r="B176" s="42" t="str">
        <f aca="false">IF($A176="","",Data_Engine!$B176)</f>
        <v>Expenses</v>
      </c>
      <c r="C176" s="42" t="str">
        <f aca="false">IF($A176="","",Data_Engine!$D176)</f>
        <v>Unallocated</v>
      </c>
      <c r="D176" s="69" t="n">
        <f aca="false">IF($A176="","",Data_Engine!$R176)</f>
        <v>0</v>
      </c>
      <c r="E176" s="69" t="n">
        <f aca="false">IF($A176="","",Data_Engine!$S176)</f>
        <v>0</v>
      </c>
      <c r="F176" s="69" t="n">
        <f aca="false">IF($A176="","",Data_Engine!$T176)</f>
        <v>0</v>
      </c>
      <c r="G176" s="69" t="n">
        <f aca="false">IF($A176="","",Data_Engine!$U176)</f>
        <v>0</v>
      </c>
      <c r="H176" s="69" t="n">
        <f aca="false">IF($A176="","",Data_Engine!$V176)</f>
        <v>0</v>
      </c>
      <c r="I176" s="69" t="n">
        <f aca="false">IF($A176="","",Data_Engine!$W176)</f>
        <v>0</v>
      </c>
      <c r="J176" s="69" t="n">
        <f aca="false">IF($A176="","",Data_Engine!$X176)</f>
        <v>0</v>
      </c>
      <c r="K176" s="69" t="n">
        <f aca="false">IF($A176="","",Data_Engine!$Y176)</f>
        <v>0</v>
      </c>
      <c r="L176" s="69" t="n">
        <f aca="false">IF($A176="","",Data_Engine!$Z176)</f>
        <v>0</v>
      </c>
      <c r="M176" s="69" t="n">
        <f aca="false">IF($A176="","",Data_Engine!$AA176)</f>
        <v>0</v>
      </c>
      <c r="N176" s="69" t="n">
        <f aca="false">IF($A176="","",Data_Engine!$AB176)</f>
        <v>0</v>
      </c>
      <c r="O176" s="69" t="n">
        <f aca="false">IF($A176="","",Data_Engine!$AC176)</f>
        <v>0</v>
      </c>
      <c r="P176" s="69" t="n">
        <f aca="false">IF($A176="","",Data_Engine!$AH176)</f>
        <v>0</v>
      </c>
      <c r="Q176" s="70" t="n">
        <f aca="false">IF($A176="","",Data_Engine!$AD176)</f>
        <v>0</v>
      </c>
      <c r="R176" s="69" t="n">
        <f aca="false">IF($A176="","",Data_Engine!$AF176)</f>
        <v>0</v>
      </c>
      <c r="S176" s="71" t="n">
        <f aca="false">IF($A176="","",$Q176-$R176)</f>
        <v>0</v>
      </c>
      <c r="T176" s="72" t="str">
        <f aca="false">IF($A176="","",IF(ROUND($R176,2)=0,"n/a",$S176/ABS($R176)))</f>
        <v>n/a</v>
      </c>
      <c r="U176" s="69" t="n">
        <f aca="false">IF($A176="","",Data_Engine!$AG176)</f>
        <v>0</v>
      </c>
      <c r="V176" s="73" t="n">
        <f aca="false">IF($A176="","",$Q176-$U176)</f>
        <v>0</v>
      </c>
      <c r="W176" s="72" t="str">
        <f aca="false">IF($A176="","",IF(ROUND($U176,2)=0,"n/a",$V176/ABS($U176)))</f>
        <v>n/a</v>
      </c>
      <c r="X176" s="74" t="str">
        <f aca="false">IF($A176="","",IF(AND(ROUND($Q176,2)=0,ROUND($R176,2)=0),"No Activity",IF(ABS($S176)&lt;Setup!$B$14,"Low",IF(ROUND($R176,2)=0,"High",IF(OR(ABS($S176/$R176)&gt;=Setup!$B$16,ABS($S176)&gt;=Setup!$B$17),"High",IF(ABS($S176/$R176)&gt;=Setup!$B$15,"Medium","Low"))))))</f>
        <v>No Activity</v>
      </c>
      <c r="Y176" s="57"/>
      <c r="Z176" s="75" t="n">
        <f aca="false">IF($A176="",-1000000000000000,IF(ROUND(ABS($S176),0)=0,-1000000000000000,ABS($S176)+ROW()/1000000))</f>
        <v>-1000000000000000</v>
      </c>
    </row>
    <row r="177" customFormat="false" ht="15" hidden="false" customHeight="false" outlineLevel="0" collapsed="false">
      <c r="A177" s="68" t="str">
        <f aca="false">IF(Data_Engine!$A177="","",Data_Engine!$A177)</f>
        <v>Recruitment</v>
      </c>
      <c r="B177" s="42" t="str">
        <f aca="false">IF($A177="","",Data_Engine!$B177)</f>
        <v>Expenses</v>
      </c>
      <c r="C177" s="42" t="str">
        <f aca="false">IF($A177="","",Data_Engine!$D177)</f>
        <v>Unallocated</v>
      </c>
      <c r="D177" s="69" t="n">
        <f aca="false">IF($A177="","",Data_Engine!$R177)</f>
        <v>0</v>
      </c>
      <c r="E177" s="69" t="n">
        <f aca="false">IF($A177="","",Data_Engine!$S177)</f>
        <v>0</v>
      </c>
      <c r="F177" s="69" t="n">
        <f aca="false">IF($A177="","",Data_Engine!$T177)</f>
        <v>0</v>
      </c>
      <c r="G177" s="69" t="n">
        <f aca="false">IF($A177="","",Data_Engine!$U177)</f>
        <v>0</v>
      </c>
      <c r="H177" s="69" t="n">
        <f aca="false">IF($A177="","",Data_Engine!$V177)</f>
        <v>0</v>
      </c>
      <c r="I177" s="69" t="n">
        <f aca="false">IF($A177="","",Data_Engine!$W177)</f>
        <v>0</v>
      </c>
      <c r="J177" s="69" t="n">
        <f aca="false">IF($A177="","",Data_Engine!$X177)</f>
        <v>0</v>
      </c>
      <c r="K177" s="69" t="n">
        <f aca="false">IF($A177="","",Data_Engine!$Y177)</f>
        <v>0</v>
      </c>
      <c r="L177" s="69" t="n">
        <f aca="false">IF($A177="","",Data_Engine!$Z177)</f>
        <v>0</v>
      </c>
      <c r="M177" s="69" t="n">
        <f aca="false">IF($A177="","",Data_Engine!$AA177)</f>
        <v>0</v>
      </c>
      <c r="N177" s="69" t="n">
        <f aca="false">IF($A177="","",Data_Engine!$AB177)</f>
        <v>0</v>
      </c>
      <c r="O177" s="69" t="n">
        <f aca="false">IF($A177="","",Data_Engine!$AC177)</f>
        <v>0</v>
      </c>
      <c r="P177" s="69" t="n">
        <f aca="false">IF($A177="","",Data_Engine!$AH177)</f>
        <v>0</v>
      </c>
      <c r="Q177" s="70" t="n">
        <f aca="false">IF($A177="","",Data_Engine!$AD177)</f>
        <v>0</v>
      </c>
      <c r="R177" s="69" t="n">
        <f aca="false">IF($A177="","",Data_Engine!$AF177)</f>
        <v>0</v>
      </c>
      <c r="S177" s="71" t="n">
        <f aca="false">IF($A177="","",$Q177-$R177)</f>
        <v>0</v>
      </c>
      <c r="T177" s="72" t="str">
        <f aca="false">IF($A177="","",IF(ROUND($R177,2)=0,"n/a",$S177/ABS($R177)))</f>
        <v>n/a</v>
      </c>
      <c r="U177" s="69" t="n">
        <f aca="false">IF($A177="","",Data_Engine!$AG177)</f>
        <v>0</v>
      </c>
      <c r="V177" s="73" t="n">
        <f aca="false">IF($A177="","",$Q177-$U177)</f>
        <v>0</v>
      </c>
      <c r="W177" s="72" t="str">
        <f aca="false">IF($A177="","",IF(ROUND($U177,2)=0,"n/a",$V177/ABS($U177)))</f>
        <v>n/a</v>
      </c>
      <c r="X177" s="74" t="str">
        <f aca="false">IF($A177="","",IF(AND(ROUND($Q177,2)=0,ROUND($R177,2)=0),"No Activity",IF(ABS($S177)&lt;Setup!$B$14,"Low",IF(ROUND($R177,2)=0,"High",IF(OR(ABS($S177/$R177)&gt;=Setup!$B$16,ABS($S177)&gt;=Setup!$B$17),"High",IF(ABS($S177/$R177)&gt;=Setup!$B$15,"Medium","Low"))))))</f>
        <v>No Activity</v>
      </c>
      <c r="Y177" s="57"/>
      <c r="Z177" s="75" t="n">
        <f aca="false">IF($A177="",-1000000000000000,IF(ROUND(ABS($S177),0)=0,-1000000000000000,ABS($S177)+ROW()/1000000))</f>
        <v>-1000000000000000</v>
      </c>
    </row>
    <row r="178" customFormat="false" ht="15" hidden="false" customHeight="false" outlineLevel="0" collapsed="false">
      <c r="A178" s="68" t="str">
        <f aca="false">IF(Data_Engine!$A178="","",Data_Engine!$A178)</f>
        <v>Rent</v>
      </c>
      <c r="B178" s="42" t="str">
        <f aca="false">IF($A178="","",Data_Engine!$B178)</f>
        <v>Expenses</v>
      </c>
      <c r="C178" s="42" t="str">
        <f aca="false">IF($A178="","",Data_Engine!$D178)</f>
        <v>Unallocated</v>
      </c>
      <c r="D178" s="69" t="n">
        <f aca="false">IF($A178="","",Data_Engine!$R178)</f>
        <v>0</v>
      </c>
      <c r="E178" s="69" t="n">
        <f aca="false">IF($A178="","",Data_Engine!$S178)</f>
        <v>0</v>
      </c>
      <c r="F178" s="69" t="n">
        <f aca="false">IF($A178="","",Data_Engine!$T178)</f>
        <v>0</v>
      </c>
      <c r="G178" s="69" t="n">
        <f aca="false">IF($A178="","",Data_Engine!$U178)</f>
        <v>0</v>
      </c>
      <c r="H178" s="69" t="n">
        <f aca="false">IF($A178="","",Data_Engine!$V178)</f>
        <v>0</v>
      </c>
      <c r="I178" s="69" t="n">
        <f aca="false">IF($A178="","",Data_Engine!$W178)</f>
        <v>0</v>
      </c>
      <c r="J178" s="69" t="n">
        <f aca="false">IF($A178="","",Data_Engine!$X178)</f>
        <v>0</v>
      </c>
      <c r="K178" s="69" t="n">
        <f aca="false">IF($A178="","",Data_Engine!$Y178)</f>
        <v>0</v>
      </c>
      <c r="L178" s="69" t="n">
        <f aca="false">IF($A178="","",Data_Engine!$Z178)</f>
        <v>0</v>
      </c>
      <c r="M178" s="69" t="n">
        <f aca="false">IF($A178="","",Data_Engine!$AA178)</f>
        <v>0</v>
      </c>
      <c r="N178" s="69" t="n">
        <f aca="false">IF($A178="","",Data_Engine!$AB178)</f>
        <v>0</v>
      </c>
      <c r="O178" s="69" t="n">
        <f aca="false">IF($A178="","",Data_Engine!$AC178)</f>
        <v>0</v>
      </c>
      <c r="P178" s="69" t="n">
        <f aca="false">IF($A178="","",Data_Engine!$AH178)</f>
        <v>0</v>
      </c>
      <c r="Q178" s="70" t="n">
        <f aca="false">IF($A178="","",Data_Engine!$AD178)</f>
        <v>0</v>
      </c>
      <c r="R178" s="69" t="n">
        <f aca="false">IF($A178="","",Data_Engine!$AF178)</f>
        <v>0</v>
      </c>
      <c r="S178" s="71" t="n">
        <f aca="false">IF($A178="","",$Q178-$R178)</f>
        <v>0</v>
      </c>
      <c r="T178" s="72" t="str">
        <f aca="false">IF($A178="","",IF(ROUND($R178,2)=0,"n/a",$S178/ABS($R178)))</f>
        <v>n/a</v>
      </c>
      <c r="U178" s="69" t="n">
        <f aca="false">IF($A178="","",Data_Engine!$AG178)</f>
        <v>0</v>
      </c>
      <c r="V178" s="73" t="n">
        <f aca="false">IF($A178="","",$Q178-$U178)</f>
        <v>0</v>
      </c>
      <c r="W178" s="72" t="str">
        <f aca="false">IF($A178="","",IF(ROUND($U178,2)=0,"n/a",$V178/ABS($U178)))</f>
        <v>n/a</v>
      </c>
      <c r="X178" s="74" t="str">
        <f aca="false">IF($A178="","",IF(AND(ROUND($Q178,2)=0,ROUND($R178,2)=0),"No Activity",IF(ABS($S178)&lt;Setup!$B$14,"Low",IF(ROUND($R178,2)=0,"High",IF(OR(ABS($S178/$R178)&gt;=Setup!$B$16,ABS($S178)&gt;=Setup!$B$17),"High",IF(ABS($S178/$R178)&gt;=Setup!$B$15,"Medium","Low"))))))</f>
        <v>No Activity</v>
      </c>
      <c r="Y178" s="57"/>
      <c r="Z178" s="75" t="n">
        <f aca="false">IF($A178="",-1000000000000000,IF(ROUND(ABS($S178),0)=0,-1000000000000000,ABS($S178)+ROW()/1000000))</f>
        <v>-1000000000000000</v>
      </c>
    </row>
    <row r="179" customFormat="false" ht="15" hidden="false" customHeight="false" outlineLevel="0" collapsed="false">
      <c r="A179" s="68" t="str">
        <f aca="false">IF(Data_Engine!$A179="","",Data_Engine!$A179)</f>
        <v>Rental Outgoings</v>
      </c>
      <c r="B179" s="42" t="str">
        <f aca="false">IF($A179="","",Data_Engine!$B179)</f>
        <v>Expenses</v>
      </c>
      <c r="C179" s="42" t="str">
        <f aca="false">IF($A179="","",Data_Engine!$D179)</f>
        <v>Unallocated</v>
      </c>
      <c r="D179" s="69" t="n">
        <f aca="false">IF($A179="","",Data_Engine!$R179)</f>
        <v>0</v>
      </c>
      <c r="E179" s="69" t="n">
        <f aca="false">IF($A179="","",Data_Engine!$S179)</f>
        <v>0</v>
      </c>
      <c r="F179" s="69" t="n">
        <f aca="false">IF($A179="","",Data_Engine!$T179)</f>
        <v>0</v>
      </c>
      <c r="G179" s="69" t="n">
        <f aca="false">IF($A179="","",Data_Engine!$U179)</f>
        <v>0</v>
      </c>
      <c r="H179" s="69" t="n">
        <f aca="false">IF($A179="","",Data_Engine!$V179)</f>
        <v>0</v>
      </c>
      <c r="I179" s="69" t="n">
        <f aca="false">IF($A179="","",Data_Engine!$W179)</f>
        <v>0</v>
      </c>
      <c r="J179" s="69" t="n">
        <f aca="false">IF($A179="","",Data_Engine!$X179)</f>
        <v>0</v>
      </c>
      <c r="K179" s="69" t="n">
        <f aca="false">IF($A179="","",Data_Engine!$Y179)</f>
        <v>0</v>
      </c>
      <c r="L179" s="69" t="n">
        <f aca="false">IF($A179="","",Data_Engine!$Z179)</f>
        <v>0</v>
      </c>
      <c r="M179" s="69" t="n">
        <f aca="false">IF($A179="","",Data_Engine!$AA179)</f>
        <v>0</v>
      </c>
      <c r="N179" s="69" t="n">
        <f aca="false">IF($A179="","",Data_Engine!$AB179)</f>
        <v>0</v>
      </c>
      <c r="O179" s="69" t="n">
        <f aca="false">IF($A179="","",Data_Engine!$AC179)</f>
        <v>0</v>
      </c>
      <c r="P179" s="69" t="n">
        <f aca="false">IF($A179="","",Data_Engine!$AH179)</f>
        <v>0</v>
      </c>
      <c r="Q179" s="70" t="n">
        <f aca="false">IF($A179="","",Data_Engine!$AD179)</f>
        <v>0</v>
      </c>
      <c r="R179" s="69" t="n">
        <f aca="false">IF($A179="","",Data_Engine!$AF179)</f>
        <v>0</v>
      </c>
      <c r="S179" s="71" t="n">
        <f aca="false">IF($A179="","",$Q179-$R179)</f>
        <v>0</v>
      </c>
      <c r="T179" s="72" t="str">
        <f aca="false">IF($A179="","",IF(ROUND($R179,2)=0,"n/a",$S179/ABS($R179)))</f>
        <v>n/a</v>
      </c>
      <c r="U179" s="69" t="n">
        <f aca="false">IF($A179="","",Data_Engine!$AG179)</f>
        <v>0</v>
      </c>
      <c r="V179" s="73" t="n">
        <f aca="false">IF($A179="","",$Q179-$U179)</f>
        <v>0</v>
      </c>
      <c r="W179" s="72" t="str">
        <f aca="false">IF($A179="","",IF(ROUND($U179,2)=0,"n/a",$V179/ABS($U179)))</f>
        <v>n/a</v>
      </c>
      <c r="X179" s="74" t="str">
        <f aca="false">IF($A179="","",IF(AND(ROUND($Q179,2)=0,ROUND($R179,2)=0),"No Activity",IF(ABS($S179)&lt;Setup!$B$14,"Low",IF(ROUND($R179,2)=0,"High",IF(OR(ABS($S179/$R179)&gt;=Setup!$B$16,ABS($S179)&gt;=Setup!$B$17),"High",IF(ABS($S179/$R179)&gt;=Setup!$B$15,"Medium","Low"))))))</f>
        <v>No Activity</v>
      </c>
      <c r="Y179" s="57"/>
      <c r="Z179" s="75" t="n">
        <f aca="false">IF($A179="",-1000000000000000,IF(ROUND(ABS($S179),0)=0,-1000000000000000,ABS($S179)+ROW()/1000000))</f>
        <v>-1000000000000000</v>
      </c>
    </row>
    <row r="180" customFormat="false" ht="15" hidden="false" customHeight="false" outlineLevel="0" collapsed="false">
      <c r="A180" s="68" t="str">
        <f aca="false">IF(Data_Engine!$A180="","",Data_Engine!$A180)</f>
        <v>Repairs &amp; Maintenance</v>
      </c>
      <c r="B180" s="42" t="str">
        <f aca="false">IF($A180="","",Data_Engine!$B180)</f>
        <v>Expenses</v>
      </c>
      <c r="C180" s="42" t="str">
        <f aca="false">IF($A180="","",Data_Engine!$D180)</f>
        <v>Unallocated</v>
      </c>
      <c r="D180" s="69" t="n">
        <f aca="false">IF($A180="","",Data_Engine!$R180)</f>
        <v>0</v>
      </c>
      <c r="E180" s="69" t="n">
        <f aca="false">IF($A180="","",Data_Engine!$S180)</f>
        <v>0</v>
      </c>
      <c r="F180" s="69" t="n">
        <f aca="false">IF($A180="","",Data_Engine!$T180)</f>
        <v>0</v>
      </c>
      <c r="G180" s="69" t="n">
        <f aca="false">IF($A180="","",Data_Engine!$U180)</f>
        <v>0</v>
      </c>
      <c r="H180" s="69" t="n">
        <f aca="false">IF($A180="","",Data_Engine!$V180)</f>
        <v>0</v>
      </c>
      <c r="I180" s="69" t="n">
        <f aca="false">IF($A180="","",Data_Engine!$W180)</f>
        <v>0</v>
      </c>
      <c r="J180" s="69" t="n">
        <f aca="false">IF($A180="","",Data_Engine!$X180)</f>
        <v>0</v>
      </c>
      <c r="K180" s="69" t="n">
        <f aca="false">IF($A180="","",Data_Engine!$Y180)</f>
        <v>0</v>
      </c>
      <c r="L180" s="69" t="n">
        <f aca="false">IF($A180="","",Data_Engine!$Z180)</f>
        <v>0</v>
      </c>
      <c r="M180" s="69" t="n">
        <f aca="false">IF($A180="","",Data_Engine!$AA180)</f>
        <v>0</v>
      </c>
      <c r="N180" s="69" t="n">
        <f aca="false">IF($A180="","",Data_Engine!$AB180)</f>
        <v>0</v>
      </c>
      <c r="O180" s="69" t="n">
        <f aca="false">IF($A180="","",Data_Engine!$AC180)</f>
        <v>0</v>
      </c>
      <c r="P180" s="69" t="n">
        <f aca="false">IF($A180="","",Data_Engine!$AH180)</f>
        <v>0</v>
      </c>
      <c r="Q180" s="70" t="n">
        <f aca="false">IF($A180="","",Data_Engine!$AD180)</f>
        <v>0</v>
      </c>
      <c r="R180" s="69" t="n">
        <f aca="false">IF($A180="","",Data_Engine!$AF180)</f>
        <v>0</v>
      </c>
      <c r="S180" s="71" t="n">
        <f aca="false">IF($A180="","",$Q180-$R180)</f>
        <v>0</v>
      </c>
      <c r="T180" s="72" t="str">
        <f aca="false">IF($A180="","",IF(ROUND($R180,2)=0,"n/a",$S180/ABS($R180)))</f>
        <v>n/a</v>
      </c>
      <c r="U180" s="69" t="n">
        <f aca="false">IF($A180="","",Data_Engine!$AG180)</f>
        <v>0</v>
      </c>
      <c r="V180" s="73" t="n">
        <f aca="false">IF($A180="","",$Q180-$U180)</f>
        <v>0</v>
      </c>
      <c r="W180" s="72" t="str">
        <f aca="false">IF($A180="","",IF(ROUND($U180,2)=0,"n/a",$V180/ABS($U180)))</f>
        <v>n/a</v>
      </c>
      <c r="X180" s="74" t="str">
        <f aca="false">IF($A180="","",IF(AND(ROUND($Q180,2)=0,ROUND($R180,2)=0),"No Activity",IF(ABS($S180)&lt;Setup!$B$14,"Low",IF(ROUND($R180,2)=0,"High",IF(OR(ABS($S180/$R180)&gt;=Setup!$B$16,ABS($S180)&gt;=Setup!$B$17),"High",IF(ABS($S180/$R180)&gt;=Setup!$B$15,"Medium","Low"))))))</f>
        <v>No Activity</v>
      </c>
      <c r="Y180" s="57"/>
      <c r="Z180" s="75" t="n">
        <f aca="false">IF($A180="",-1000000000000000,IF(ROUND(ABS($S180),0)=0,-1000000000000000,ABS($S180)+ROW()/1000000))</f>
        <v>-1000000000000000</v>
      </c>
    </row>
    <row r="181" customFormat="false" ht="15" hidden="false" customHeight="false" outlineLevel="0" collapsed="false">
      <c r="A181" s="68" t="str">
        <f aca="false">IF(Data_Engine!$A181="","",Data_Engine!$A181)</f>
        <v>Replacements</v>
      </c>
      <c r="B181" s="42" t="str">
        <f aca="false">IF($A181="","",Data_Engine!$B181)</f>
        <v>Expenses</v>
      </c>
      <c r="C181" s="42" t="str">
        <f aca="false">IF($A181="","",Data_Engine!$D181)</f>
        <v>Unallocated</v>
      </c>
      <c r="D181" s="69" t="n">
        <f aca="false">IF($A181="","",Data_Engine!$R181)</f>
        <v>0</v>
      </c>
      <c r="E181" s="69" t="n">
        <f aca="false">IF($A181="","",Data_Engine!$S181)</f>
        <v>0</v>
      </c>
      <c r="F181" s="69" t="n">
        <f aca="false">IF($A181="","",Data_Engine!$T181)</f>
        <v>0</v>
      </c>
      <c r="G181" s="69" t="n">
        <f aca="false">IF($A181="","",Data_Engine!$U181)</f>
        <v>0</v>
      </c>
      <c r="H181" s="69" t="n">
        <f aca="false">IF($A181="","",Data_Engine!$V181)</f>
        <v>0</v>
      </c>
      <c r="I181" s="69" t="n">
        <f aca="false">IF($A181="","",Data_Engine!$W181)</f>
        <v>0</v>
      </c>
      <c r="J181" s="69" t="n">
        <f aca="false">IF($A181="","",Data_Engine!$X181)</f>
        <v>0</v>
      </c>
      <c r="K181" s="69" t="n">
        <f aca="false">IF($A181="","",Data_Engine!$Y181)</f>
        <v>0</v>
      </c>
      <c r="L181" s="69" t="n">
        <f aca="false">IF($A181="","",Data_Engine!$Z181)</f>
        <v>0</v>
      </c>
      <c r="M181" s="69" t="n">
        <f aca="false">IF($A181="","",Data_Engine!$AA181)</f>
        <v>0</v>
      </c>
      <c r="N181" s="69" t="n">
        <f aca="false">IF($A181="","",Data_Engine!$AB181)</f>
        <v>0</v>
      </c>
      <c r="O181" s="69" t="n">
        <f aca="false">IF($A181="","",Data_Engine!$AC181)</f>
        <v>0</v>
      </c>
      <c r="P181" s="69" t="n">
        <f aca="false">IF($A181="","",Data_Engine!$AH181)</f>
        <v>0</v>
      </c>
      <c r="Q181" s="70" t="n">
        <f aca="false">IF($A181="","",Data_Engine!$AD181)</f>
        <v>0</v>
      </c>
      <c r="R181" s="69" t="n">
        <f aca="false">IF($A181="","",Data_Engine!$AF181)</f>
        <v>0</v>
      </c>
      <c r="S181" s="71" t="n">
        <f aca="false">IF($A181="","",$Q181-$R181)</f>
        <v>0</v>
      </c>
      <c r="T181" s="72" t="str">
        <f aca="false">IF($A181="","",IF(ROUND($R181,2)=0,"n/a",$S181/ABS($R181)))</f>
        <v>n/a</v>
      </c>
      <c r="U181" s="69" t="n">
        <f aca="false">IF($A181="","",Data_Engine!$AG181)</f>
        <v>0</v>
      </c>
      <c r="V181" s="73" t="n">
        <f aca="false">IF($A181="","",$Q181-$U181)</f>
        <v>0</v>
      </c>
      <c r="W181" s="72" t="str">
        <f aca="false">IF($A181="","",IF(ROUND($U181,2)=0,"n/a",$V181/ABS($U181)))</f>
        <v>n/a</v>
      </c>
      <c r="X181" s="74" t="str">
        <f aca="false">IF($A181="","",IF(AND(ROUND($Q181,2)=0,ROUND($R181,2)=0),"No Activity",IF(ABS($S181)&lt;Setup!$B$14,"Low",IF(ROUND($R181,2)=0,"High",IF(OR(ABS($S181/$R181)&gt;=Setup!$B$16,ABS($S181)&gt;=Setup!$B$17),"High",IF(ABS($S181/$R181)&gt;=Setup!$B$15,"Medium","Low"))))))</f>
        <v>No Activity</v>
      </c>
      <c r="Y181" s="57"/>
      <c r="Z181" s="75" t="n">
        <f aca="false">IF($A181="",-1000000000000000,IF(ROUND(ABS($S181),0)=0,-1000000000000000,ABS($S181)+ROW()/1000000))</f>
        <v>-1000000000000000</v>
      </c>
    </row>
    <row r="182" customFormat="false" ht="15" hidden="false" customHeight="false" outlineLevel="0" collapsed="false">
      <c r="A182" s="68" t="str">
        <f aca="false">IF(Data_Engine!$A182="","",Data_Engine!$A182)</f>
        <v>SGC Penalties</v>
      </c>
      <c r="B182" s="42" t="str">
        <f aca="false">IF($A182="","",Data_Engine!$B182)</f>
        <v>Expenses</v>
      </c>
      <c r="C182" s="42" t="str">
        <f aca="false">IF($A182="","",Data_Engine!$D182)</f>
        <v>Unallocated</v>
      </c>
      <c r="D182" s="69" t="n">
        <f aca="false">IF($A182="","",Data_Engine!$R182)</f>
        <v>0</v>
      </c>
      <c r="E182" s="69" t="n">
        <f aca="false">IF($A182="","",Data_Engine!$S182)</f>
        <v>0</v>
      </c>
      <c r="F182" s="69" t="n">
        <f aca="false">IF($A182="","",Data_Engine!$T182)</f>
        <v>0</v>
      </c>
      <c r="G182" s="69" t="n">
        <f aca="false">IF($A182="","",Data_Engine!$U182)</f>
        <v>0</v>
      </c>
      <c r="H182" s="69" t="n">
        <f aca="false">IF($A182="","",Data_Engine!$V182)</f>
        <v>0</v>
      </c>
      <c r="I182" s="69" t="n">
        <f aca="false">IF($A182="","",Data_Engine!$W182)</f>
        <v>0</v>
      </c>
      <c r="J182" s="69" t="n">
        <f aca="false">IF($A182="","",Data_Engine!$X182)</f>
        <v>0</v>
      </c>
      <c r="K182" s="69" t="n">
        <f aca="false">IF($A182="","",Data_Engine!$Y182)</f>
        <v>0</v>
      </c>
      <c r="L182" s="69" t="n">
        <f aca="false">IF($A182="","",Data_Engine!$Z182)</f>
        <v>0</v>
      </c>
      <c r="M182" s="69" t="n">
        <f aca="false">IF($A182="","",Data_Engine!$AA182)</f>
        <v>0</v>
      </c>
      <c r="N182" s="69" t="n">
        <f aca="false">IF($A182="","",Data_Engine!$AB182)</f>
        <v>0</v>
      </c>
      <c r="O182" s="69" t="n">
        <f aca="false">IF($A182="","",Data_Engine!$AC182)</f>
        <v>0</v>
      </c>
      <c r="P182" s="69" t="n">
        <f aca="false">IF($A182="","",Data_Engine!$AH182)</f>
        <v>0</v>
      </c>
      <c r="Q182" s="70" t="n">
        <f aca="false">IF($A182="","",Data_Engine!$AD182)</f>
        <v>0</v>
      </c>
      <c r="R182" s="69" t="n">
        <f aca="false">IF($A182="","",Data_Engine!$AF182)</f>
        <v>0</v>
      </c>
      <c r="S182" s="71" t="n">
        <f aca="false">IF($A182="","",$Q182-$R182)</f>
        <v>0</v>
      </c>
      <c r="T182" s="72" t="str">
        <f aca="false">IF($A182="","",IF(ROUND($R182,2)=0,"n/a",$S182/ABS($R182)))</f>
        <v>n/a</v>
      </c>
      <c r="U182" s="69" t="n">
        <f aca="false">IF($A182="","",Data_Engine!$AG182)</f>
        <v>0</v>
      </c>
      <c r="V182" s="73" t="n">
        <f aca="false">IF($A182="","",$Q182-$U182)</f>
        <v>0</v>
      </c>
      <c r="W182" s="72" t="str">
        <f aca="false">IF($A182="","",IF(ROUND($U182,2)=0,"n/a",$V182/ABS($U182)))</f>
        <v>n/a</v>
      </c>
      <c r="X182" s="74" t="str">
        <f aca="false">IF($A182="","",IF(AND(ROUND($Q182,2)=0,ROUND($R182,2)=0),"No Activity",IF(ABS($S182)&lt;Setup!$B$14,"Low",IF(ROUND($R182,2)=0,"High",IF(OR(ABS($S182/$R182)&gt;=Setup!$B$16,ABS($S182)&gt;=Setup!$B$17),"High",IF(ABS($S182/$R182)&gt;=Setup!$B$15,"Medium","Low"))))))</f>
        <v>No Activity</v>
      </c>
      <c r="Y182" s="57"/>
      <c r="Z182" s="75" t="n">
        <f aca="false">IF($A182="",-1000000000000000,IF(ROUND(ABS($S182),0)=0,-1000000000000000,ABS($S182)+ROW()/1000000))</f>
        <v>-1000000000000000</v>
      </c>
    </row>
    <row r="183" customFormat="false" ht="15" hidden="false" customHeight="false" outlineLevel="0" collapsed="false">
      <c r="A183" s="68" t="str">
        <f aca="false">IF(Data_Engine!$A183="","",Data_Engine!$A183)</f>
        <v>Staff Amenities</v>
      </c>
      <c r="B183" s="42" t="str">
        <f aca="false">IF($A183="","",Data_Engine!$B183)</f>
        <v>Expenses</v>
      </c>
      <c r="C183" s="42" t="str">
        <f aca="false">IF($A183="","",Data_Engine!$D183)</f>
        <v>Unallocated</v>
      </c>
      <c r="D183" s="69" t="n">
        <f aca="false">IF($A183="","",Data_Engine!$R183)</f>
        <v>0</v>
      </c>
      <c r="E183" s="69" t="n">
        <f aca="false">IF($A183="","",Data_Engine!$S183)</f>
        <v>0</v>
      </c>
      <c r="F183" s="69" t="n">
        <f aca="false">IF($A183="","",Data_Engine!$T183)</f>
        <v>0</v>
      </c>
      <c r="G183" s="69" t="n">
        <f aca="false">IF($A183="","",Data_Engine!$U183)</f>
        <v>0</v>
      </c>
      <c r="H183" s="69" t="n">
        <f aca="false">IF($A183="","",Data_Engine!$V183)</f>
        <v>0</v>
      </c>
      <c r="I183" s="69" t="n">
        <f aca="false">IF($A183="","",Data_Engine!$W183)</f>
        <v>0</v>
      </c>
      <c r="J183" s="69" t="n">
        <f aca="false">IF($A183="","",Data_Engine!$X183)</f>
        <v>0</v>
      </c>
      <c r="K183" s="69" t="n">
        <f aca="false">IF($A183="","",Data_Engine!$Y183)</f>
        <v>0</v>
      </c>
      <c r="L183" s="69" t="n">
        <f aca="false">IF($A183="","",Data_Engine!$Z183)</f>
        <v>0</v>
      </c>
      <c r="M183" s="69" t="n">
        <f aca="false">IF($A183="","",Data_Engine!$AA183)</f>
        <v>0</v>
      </c>
      <c r="N183" s="69" t="n">
        <f aca="false">IF($A183="","",Data_Engine!$AB183)</f>
        <v>0</v>
      </c>
      <c r="O183" s="69" t="n">
        <f aca="false">IF($A183="","",Data_Engine!$AC183)</f>
        <v>0</v>
      </c>
      <c r="P183" s="69" t="n">
        <f aca="false">IF($A183="","",Data_Engine!$AH183)</f>
        <v>0</v>
      </c>
      <c r="Q183" s="70" t="n">
        <f aca="false">IF($A183="","",Data_Engine!$AD183)</f>
        <v>0</v>
      </c>
      <c r="R183" s="69" t="n">
        <f aca="false">IF($A183="","",Data_Engine!$AF183)</f>
        <v>0</v>
      </c>
      <c r="S183" s="71" t="n">
        <f aca="false">IF($A183="","",$Q183-$R183)</f>
        <v>0</v>
      </c>
      <c r="T183" s="72" t="str">
        <f aca="false">IF($A183="","",IF(ROUND($R183,2)=0,"n/a",$S183/ABS($R183)))</f>
        <v>n/a</v>
      </c>
      <c r="U183" s="69" t="n">
        <f aca="false">IF($A183="","",Data_Engine!$AG183)</f>
        <v>0</v>
      </c>
      <c r="V183" s="73" t="n">
        <f aca="false">IF($A183="","",$Q183-$U183)</f>
        <v>0</v>
      </c>
      <c r="W183" s="72" t="str">
        <f aca="false">IF($A183="","",IF(ROUND($U183,2)=0,"n/a",$V183/ABS($U183)))</f>
        <v>n/a</v>
      </c>
      <c r="X183" s="74" t="str">
        <f aca="false">IF($A183="","",IF(AND(ROUND($Q183,2)=0,ROUND($R183,2)=0),"No Activity",IF(ABS($S183)&lt;Setup!$B$14,"Low",IF(ROUND($R183,2)=0,"High",IF(OR(ABS($S183/$R183)&gt;=Setup!$B$16,ABS($S183)&gt;=Setup!$B$17),"High",IF(ABS($S183/$R183)&gt;=Setup!$B$15,"Medium","Low"))))))</f>
        <v>No Activity</v>
      </c>
      <c r="Y183" s="57"/>
      <c r="Z183" s="75" t="n">
        <f aca="false">IF($A183="",-1000000000000000,IF(ROUND(ABS($S183),0)=0,-1000000000000000,ABS($S183)+ROW()/1000000))</f>
        <v>-1000000000000000</v>
      </c>
    </row>
    <row r="184" customFormat="false" ht="15" hidden="false" customHeight="false" outlineLevel="0" collapsed="false">
      <c r="A184" s="68" t="str">
        <f aca="false">IF(Data_Engine!$A184="","",Data_Engine!$A184)</f>
        <v>Staff Entertainment</v>
      </c>
      <c r="B184" s="42" t="str">
        <f aca="false">IF($A184="","",Data_Engine!$B184)</f>
        <v>Expenses</v>
      </c>
      <c r="C184" s="42" t="str">
        <f aca="false">IF($A184="","",Data_Engine!$D184)</f>
        <v>Unallocated</v>
      </c>
      <c r="D184" s="69" t="n">
        <f aca="false">IF($A184="","",Data_Engine!$R184)</f>
        <v>0</v>
      </c>
      <c r="E184" s="69" t="n">
        <f aca="false">IF($A184="","",Data_Engine!$S184)</f>
        <v>0</v>
      </c>
      <c r="F184" s="69" t="n">
        <f aca="false">IF($A184="","",Data_Engine!$T184)</f>
        <v>0</v>
      </c>
      <c r="G184" s="69" t="n">
        <f aca="false">IF($A184="","",Data_Engine!$U184)</f>
        <v>0</v>
      </c>
      <c r="H184" s="69" t="n">
        <f aca="false">IF($A184="","",Data_Engine!$V184)</f>
        <v>0</v>
      </c>
      <c r="I184" s="69" t="n">
        <f aca="false">IF($A184="","",Data_Engine!$W184)</f>
        <v>0</v>
      </c>
      <c r="J184" s="69" t="n">
        <f aca="false">IF($A184="","",Data_Engine!$X184)</f>
        <v>0</v>
      </c>
      <c r="K184" s="69" t="n">
        <f aca="false">IF($A184="","",Data_Engine!$Y184)</f>
        <v>0</v>
      </c>
      <c r="L184" s="69" t="n">
        <f aca="false">IF($A184="","",Data_Engine!$Z184)</f>
        <v>0</v>
      </c>
      <c r="M184" s="69" t="n">
        <f aca="false">IF($A184="","",Data_Engine!$AA184)</f>
        <v>0</v>
      </c>
      <c r="N184" s="69" t="n">
        <f aca="false">IF($A184="","",Data_Engine!$AB184)</f>
        <v>0</v>
      </c>
      <c r="O184" s="69" t="n">
        <f aca="false">IF($A184="","",Data_Engine!$AC184)</f>
        <v>0</v>
      </c>
      <c r="P184" s="69" t="n">
        <f aca="false">IF($A184="","",Data_Engine!$AH184)</f>
        <v>0</v>
      </c>
      <c r="Q184" s="70" t="n">
        <f aca="false">IF($A184="","",Data_Engine!$AD184)</f>
        <v>0</v>
      </c>
      <c r="R184" s="69" t="n">
        <f aca="false">IF($A184="","",Data_Engine!$AF184)</f>
        <v>0</v>
      </c>
      <c r="S184" s="71" t="n">
        <f aca="false">IF($A184="","",$Q184-$R184)</f>
        <v>0</v>
      </c>
      <c r="T184" s="72" t="str">
        <f aca="false">IF($A184="","",IF(ROUND($R184,2)=0,"n/a",$S184/ABS($R184)))</f>
        <v>n/a</v>
      </c>
      <c r="U184" s="69" t="n">
        <f aca="false">IF($A184="","",Data_Engine!$AG184)</f>
        <v>0</v>
      </c>
      <c r="V184" s="73" t="n">
        <f aca="false">IF($A184="","",$Q184-$U184)</f>
        <v>0</v>
      </c>
      <c r="W184" s="72" t="str">
        <f aca="false">IF($A184="","",IF(ROUND($U184,2)=0,"n/a",$V184/ABS($U184)))</f>
        <v>n/a</v>
      </c>
      <c r="X184" s="74" t="str">
        <f aca="false">IF($A184="","",IF(AND(ROUND($Q184,2)=0,ROUND($R184,2)=0),"No Activity",IF(ABS($S184)&lt;Setup!$B$14,"Low",IF(ROUND($R184,2)=0,"High",IF(OR(ABS($S184/$R184)&gt;=Setup!$B$16,ABS($S184)&gt;=Setup!$B$17),"High",IF(ABS($S184/$R184)&gt;=Setup!$B$15,"Medium","Low"))))))</f>
        <v>No Activity</v>
      </c>
      <c r="Y184" s="57"/>
      <c r="Z184" s="75" t="n">
        <f aca="false">IF($A184="",-1000000000000000,IF(ROUND(ABS($S184),0)=0,-1000000000000000,ABS($S184)+ROW()/1000000))</f>
        <v>-1000000000000000</v>
      </c>
    </row>
    <row r="185" customFormat="false" ht="15" hidden="false" customHeight="false" outlineLevel="0" collapsed="false">
      <c r="A185" s="68" t="str">
        <f aca="false">IF(Data_Engine!$A185="","",Data_Engine!$A185)</f>
        <v>Stamp Duty (Indirect)</v>
      </c>
      <c r="B185" s="42" t="str">
        <f aca="false">IF($A185="","",Data_Engine!$B185)</f>
        <v>Expenses</v>
      </c>
      <c r="C185" s="42" t="str">
        <f aca="false">IF($A185="","",Data_Engine!$D185)</f>
        <v>Unallocated</v>
      </c>
      <c r="D185" s="69" t="n">
        <f aca="false">IF($A185="","",Data_Engine!$R185)</f>
        <v>0</v>
      </c>
      <c r="E185" s="69" t="n">
        <f aca="false">IF($A185="","",Data_Engine!$S185)</f>
        <v>0</v>
      </c>
      <c r="F185" s="69" t="n">
        <f aca="false">IF($A185="","",Data_Engine!$T185)</f>
        <v>0</v>
      </c>
      <c r="G185" s="69" t="n">
        <f aca="false">IF($A185="","",Data_Engine!$U185)</f>
        <v>0</v>
      </c>
      <c r="H185" s="69" t="n">
        <f aca="false">IF($A185="","",Data_Engine!$V185)</f>
        <v>0</v>
      </c>
      <c r="I185" s="69" t="n">
        <f aca="false">IF($A185="","",Data_Engine!$W185)</f>
        <v>0</v>
      </c>
      <c r="J185" s="69" t="n">
        <f aca="false">IF($A185="","",Data_Engine!$X185)</f>
        <v>0</v>
      </c>
      <c r="K185" s="69" t="n">
        <f aca="false">IF($A185="","",Data_Engine!$Y185)</f>
        <v>0</v>
      </c>
      <c r="L185" s="69" t="n">
        <f aca="false">IF($A185="","",Data_Engine!$Z185)</f>
        <v>0</v>
      </c>
      <c r="M185" s="69" t="n">
        <f aca="false">IF($A185="","",Data_Engine!$AA185)</f>
        <v>0</v>
      </c>
      <c r="N185" s="69" t="n">
        <f aca="false">IF($A185="","",Data_Engine!$AB185)</f>
        <v>0</v>
      </c>
      <c r="O185" s="69" t="n">
        <f aca="false">IF($A185="","",Data_Engine!$AC185)</f>
        <v>0</v>
      </c>
      <c r="P185" s="69" t="n">
        <f aca="false">IF($A185="","",Data_Engine!$AH185)</f>
        <v>0</v>
      </c>
      <c r="Q185" s="70" t="n">
        <f aca="false">IF($A185="","",Data_Engine!$AD185)</f>
        <v>0</v>
      </c>
      <c r="R185" s="69" t="n">
        <f aca="false">IF($A185="","",Data_Engine!$AF185)</f>
        <v>0</v>
      </c>
      <c r="S185" s="71" t="n">
        <f aca="false">IF($A185="","",$Q185-$R185)</f>
        <v>0</v>
      </c>
      <c r="T185" s="72" t="str">
        <f aca="false">IF($A185="","",IF(ROUND($R185,2)=0,"n/a",$S185/ABS($R185)))</f>
        <v>n/a</v>
      </c>
      <c r="U185" s="69" t="n">
        <f aca="false">IF($A185="","",Data_Engine!$AG185)</f>
        <v>0</v>
      </c>
      <c r="V185" s="73" t="n">
        <f aca="false">IF($A185="","",$Q185-$U185)</f>
        <v>0</v>
      </c>
      <c r="W185" s="72" t="str">
        <f aca="false">IF($A185="","",IF(ROUND($U185,2)=0,"n/a",$V185/ABS($U185)))</f>
        <v>n/a</v>
      </c>
      <c r="X185" s="74" t="str">
        <f aca="false">IF($A185="","",IF(AND(ROUND($Q185,2)=0,ROUND($R185,2)=0),"No Activity",IF(ABS($S185)&lt;Setup!$B$14,"Low",IF(ROUND($R185,2)=0,"High",IF(OR(ABS($S185/$R185)&gt;=Setup!$B$16,ABS($S185)&gt;=Setup!$B$17),"High",IF(ABS($S185/$R185)&gt;=Setup!$B$15,"Medium","Low"))))))</f>
        <v>No Activity</v>
      </c>
      <c r="Y185" s="57"/>
      <c r="Z185" s="75" t="n">
        <f aca="false">IF($A185="",-1000000000000000,IF(ROUND(ABS($S185),0)=0,-1000000000000000,ABS($S185)+ROW()/1000000))</f>
        <v>-1000000000000000</v>
      </c>
    </row>
    <row r="186" customFormat="false" ht="15" hidden="false" customHeight="false" outlineLevel="0" collapsed="false">
      <c r="A186" s="68" t="str">
        <f aca="false">IF(Data_Engine!$A186="","",Data_Engine!$A186)</f>
        <v>Storage Fees</v>
      </c>
      <c r="B186" s="42" t="str">
        <f aca="false">IF($A186="","",Data_Engine!$B186)</f>
        <v>Expenses</v>
      </c>
      <c r="C186" s="42" t="str">
        <f aca="false">IF($A186="","",Data_Engine!$D186)</f>
        <v>Unallocated</v>
      </c>
      <c r="D186" s="69" t="n">
        <f aca="false">IF($A186="","",Data_Engine!$R186)</f>
        <v>0</v>
      </c>
      <c r="E186" s="69" t="n">
        <f aca="false">IF($A186="","",Data_Engine!$S186)</f>
        <v>0</v>
      </c>
      <c r="F186" s="69" t="n">
        <f aca="false">IF($A186="","",Data_Engine!$T186)</f>
        <v>0</v>
      </c>
      <c r="G186" s="69" t="n">
        <f aca="false">IF($A186="","",Data_Engine!$U186)</f>
        <v>0</v>
      </c>
      <c r="H186" s="69" t="n">
        <f aca="false">IF($A186="","",Data_Engine!$V186)</f>
        <v>0</v>
      </c>
      <c r="I186" s="69" t="n">
        <f aca="false">IF($A186="","",Data_Engine!$W186)</f>
        <v>0</v>
      </c>
      <c r="J186" s="69" t="n">
        <f aca="false">IF($A186="","",Data_Engine!$X186)</f>
        <v>0</v>
      </c>
      <c r="K186" s="69" t="n">
        <f aca="false">IF($A186="","",Data_Engine!$Y186)</f>
        <v>0</v>
      </c>
      <c r="L186" s="69" t="n">
        <f aca="false">IF($A186="","",Data_Engine!$Z186)</f>
        <v>0</v>
      </c>
      <c r="M186" s="69" t="n">
        <f aca="false">IF($A186="","",Data_Engine!$AA186)</f>
        <v>0</v>
      </c>
      <c r="N186" s="69" t="n">
        <f aca="false">IF($A186="","",Data_Engine!$AB186)</f>
        <v>0</v>
      </c>
      <c r="O186" s="69" t="n">
        <f aca="false">IF($A186="","",Data_Engine!$AC186)</f>
        <v>0</v>
      </c>
      <c r="P186" s="69" t="n">
        <f aca="false">IF($A186="","",Data_Engine!$AH186)</f>
        <v>0</v>
      </c>
      <c r="Q186" s="70" t="n">
        <f aca="false">IF($A186="","",Data_Engine!$AD186)</f>
        <v>0</v>
      </c>
      <c r="R186" s="69" t="n">
        <f aca="false">IF($A186="","",Data_Engine!$AF186)</f>
        <v>0</v>
      </c>
      <c r="S186" s="71" t="n">
        <f aca="false">IF($A186="","",$Q186-$R186)</f>
        <v>0</v>
      </c>
      <c r="T186" s="72" t="str">
        <f aca="false">IF($A186="","",IF(ROUND($R186,2)=0,"n/a",$S186/ABS($R186)))</f>
        <v>n/a</v>
      </c>
      <c r="U186" s="69" t="n">
        <f aca="false">IF($A186="","",Data_Engine!$AG186)</f>
        <v>0</v>
      </c>
      <c r="V186" s="73" t="n">
        <f aca="false">IF($A186="","",$Q186-$U186)</f>
        <v>0</v>
      </c>
      <c r="W186" s="72" t="str">
        <f aca="false">IF($A186="","",IF(ROUND($U186,2)=0,"n/a",$V186/ABS($U186)))</f>
        <v>n/a</v>
      </c>
      <c r="X186" s="74" t="str">
        <f aca="false">IF($A186="","",IF(AND(ROUND($Q186,2)=0,ROUND($R186,2)=0),"No Activity",IF(ABS($S186)&lt;Setup!$B$14,"Low",IF(ROUND($R186,2)=0,"High",IF(OR(ABS($S186/$R186)&gt;=Setup!$B$16,ABS($S186)&gt;=Setup!$B$17),"High",IF(ABS($S186/$R186)&gt;=Setup!$B$15,"Medium","Low"))))))</f>
        <v>No Activity</v>
      </c>
      <c r="Y186" s="57"/>
      <c r="Z186" s="75" t="n">
        <f aca="false">IF($A186="",-1000000000000000,IF(ROUND(ABS($S186),0)=0,-1000000000000000,ABS($S186)+ROW()/1000000))</f>
        <v>-1000000000000000</v>
      </c>
    </row>
    <row r="187" customFormat="false" ht="15" hidden="false" customHeight="false" outlineLevel="0" collapsed="false">
      <c r="A187" s="68" t="str">
        <f aca="false">IF(Data_Engine!$A187="","",Data_Engine!$A187)</f>
        <v>Stripe Fees</v>
      </c>
      <c r="B187" s="42" t="str">
        <f aca="false">IF($A187="","",Data_Engine!$B187)</f>
        <v>Expenses</v>
      </c>
      <c r="C187" s="42" t="str">
        <f aca="false">IF($A187="","",Data_Engine!$D187)</f>
        <v>Unallocated</v>
      </c>
      <c r="D187" s="69" t="n">
        <f aca="false">IF($A187="","",Data_Engine!$R187)</f>
        <v>0</v>
      </c>
      <c r="E187" s="69" t="n">
        <f aca="false">IF($A187="","",Data_Engine!$S187)</f>
        <v>0</v>
      </c>
      <c r="F187" s="69" t="n">
        <f aca="false">IF($A187="","",Data_Engine!$T187)</f>
        <v>0</v>
      </c>
      <c r="G187" s="69" t="n">
        <f aca="false">IF($A187="","",Data_Engine!$U187)</f>
        <v>0</v>
      </c>
      <c r="H187" s="69" t="n">
        <f aca="false">IF($A187="","",Data_Engine!$V187)</f>
        <v>0</v>
      </c>
      <c r="I187" s="69" t="n">
        <f aca="false">IF($A187="","",Data_Engine!$W187)</f>
        <v>0</v>
      </c>
      <c r="J187" s="69" t="n">
        <f aca="false">IF($A187="","",Data_Engine!$X187)</f>
        <v>0</v>
      </c>
      <c r="K187" s="69" t="n">
        <f aca="false">IF($A187="","",Data_Engine!$Y187)</f>
        <v>0</v>
      </c>
      <c r="L187" s="69" t="n">
        <f aca="false">IF($A187="","",Data_Engine!$Z187)</f>
        <v>0</v>
      </c>
      <c r="M187" s="69" t="n">
        <f aca="false">IF($A187="","",Data_Engine!$AA187)</f>
        <v>0</v>
      </c>
      <c r="N187" s="69" t="n">
        <f aca="false">IF($A187="","",Data_Engine!$AB187)</f>
        <v>0</v>
      </c>
      <c r="O187" s="69" t="n">
        <f aca="false">IF($A187="","",Data_Engine!$AC187)</f>
        <v>0</v>
      </c>
      <c r="P187" s="69" t="n">
        <f aca="false">IF($A187="","",Data_Engine!$AH187)</f>
        <v>0</v>
      </c>
      <c r="Q187" s="70" t="n">
        <f aca="false">IF($A187="","",Data_Engine!$AD187)</f>
        <v>0</v>
      </c>
      <c r="R187" s="69" t="n">
        <f aca="false">IF($A187="","",Data_Engine!$AF187)</f>
        <v>0</v>
      </c>
      <c r="S187" s="71" t="n">
        <f aca="false">IF($A187="","",$Q187-$R187)</f>
        <v>0</v>
      </c>
      <c r="T187" s="72" t="str">
        <f aca="false">IF($A187="","",IF(ROUND($R187,2)=0,"n/a",$S187/ABS($R187)))</f>
        <v>n/a</v>
      </c>
      <c r="U187" s="69" t="n">
        <f aca="false">IF($A187="","",Data_Engine!$AG187)</f>
        <v>0</v>
      </c>
      <c r="V187" s="73" t="n">
        <f aca="false">IF($A187="","",$Q187-$U187)</f>
        <v>0</v>
      </c>
      <c r="W187" s="72" t="str">
        <f aca="false">IF($A187="","",IF(ROUND($U187,2)=0,"n/a",$V187/ABS($U187)))</f>
        <v>n/a</v>
      </c>
      <c r="X187" s="74" t="str">
        <f aca="false">IF($A187="","",IF(AND(ROUND($Q187,2)=0,ROUND($R187,2)=0),"No Activity",IF(ABS($S187)&lt;Setup!$B$14,"Low",IF(ROUND($R187,2)=0,"High",IF(OR(ABS($S187/$R187)&gt;=Setup!$B$16,ABS($S187)&gt;=Setup!$B$17),"High",IF(ABS($S187/$R187)&gt;=Setup!$B$15,"Medium","Low"))))))</f>
        <v>No Activity</v>
      </c>
      <c r="Y187" s="57"/>
      <c r="Z187" s="75" t="n">
        <f aca="false">IF($A187="",-1000000000000000,IF(ROUND(ABS($S187),0)=0,-1000000000000000,ABS($S187)+ROW()/1000000))</f>
        <v>-1000000000000000</v>
      </c>
    </row>
    <row r="188" customFormat="false" ht="15" hidden="false" customHeight="false" outlineLevel="0" collapsed="false">
      <c r="A188" s="68" t="str">
        <f aca="false">IF(Data_Engine!$A188="","",Data_Engine!$A188)</f>
        <v>Superannuation</v>
      </c>
      <c r="B188" s="42" t="str">
        <f aca="false">IF($A188="","",Data_Engine!$B188)</f>
        <v>Expenses</v>
      </c>
      <c r="C188" s="42" t="str">
        <f aca="false">IF($A188="","",Data_Engine!$D188)</f>
        <v>Unallocated</v>
      </c>
      <c r="D188" s="69" t="n">
        <f aca="false">IF($A188="","",Data_Engine!$R188)</f>
        <v>0</v>
      </c>
      <c r="E188" s="69" t="n">
        <f aca="false">IF($A188="","",Data_Engine!$S188)</f>
        <v>0</v>
      </c>
      <c r="F188" s="69" t="n">
        <f aca="false">IF($A188="","",Data_Engine!$T188)</f>
        <v>0</v>
      </c>
      <c r="G188" s="69" t="n">
        <f aca="false">IF($A188="","",Data_Engine!$U188)</f>
        <v>0</v>
      </c>
      <c r="H188" s="69" t="n">
        <f aca="false">IF($A188="","",Data_Engine!$V188)</f>
        <v>0</v>
      </c>
      <c r="I188" s="69" t="n">
        <f aca="false">IF($A188="","",Data_Engine!$W188)</f>
        <v>0</v>
      </c>
      <c r="J188" s="69" t="n">
        <f aca="false">IF($A188="","",Data_Engine!$X188)</f>
        <v>0</v>
      </c>
      <c r="K188" s="69" t="n">
        <f aca="false">IF($A188="","",Data_Engine!$Y188)</f>
        <v>0</v>
      </c>
      <c r="L188" s="69" t="n">
        <f aca="false">IF($A188="","",Data_Engine!$Z188)</f>
        <v>0</v>
      </c>
      <c r="M188" s="69" t="n">
        <f aca="false">IF($A188="","",Data_Engine!$AA188)</f>
        <v>0</v>
      </c>
      <c r="N188" s="69" t="n">
        <f aca="false">IF($A188="","",Data_Engine!$AB188)</f>
        <v>0</v>
      </c>
      <c r="O188" s="69" t="n">
        <f aca="false">IF($A188="","",Data_Engine!$AC188)</f>
        <v>0</v>
      </c>
      <c r="P188" s="69" t="n">
        <f aca="false">IF($A188="","",Data_Engine!$AH188)</f>
        <v>0</v>
      </c>
      <c r="Q188" s="70" t="n">
        <f aca="false">IF($A188="","",Data_Engine!$AD188)</f>
        <v>0</v>
      </c>
      <c r="R188" s="69" t="n">
        <f aca="false">IF($A188="","",Data_Engine!$AF188)</f>
        <v>0</v>
      </c>
      <c r="S188" s="71" t="n">
        <f aca="false">IF($A188="","",$Q188-$R188)</f>
        <v>0</v>
      </c>
      <c r="T188" s="72" t="str">
        <f aca="false">IF($A188="","",IF(ROUND($R188,2)=0,"n/a",$S188/ABS($R188)))</f>
        <v>n/a</v>
      </c>
      <c r="U188" s="69" t="n">
        <f aca="false">IF($A188="","",Data_Engine!$AG188)</f>
        <v>0</v>
      </c>
      <c r="V188" s="73" t="n">
        <f aca="false">IF($A188="","",$Q188-$U188)</f>
        <v>0</v>
      </c>
      <c r="W188" s="72" t="str">
        <f aca="false">IF($A188="","",IF(ROUND($U188,2)=0,"n/a",$V188/ABS($U188)))</f>
        <v>n/a</v>
      </c>
      <c r="X188" s="74" t="str">
        <f aca="false">IF($A188="","",IF(AND(ROUND($Q188,2)=0,ROUND($R188,2)=0),"No Activity",IF(ABS($S188)&lt;Setup!$B$14,"Low",IF(ROUND($R188,2)=0,"High",IF(OR(ABS($S188/$R188)&gt;=Setup!$B$16,ABS($S188)&gt;=Setup!$B$17),"High",IF(ABS($S188/$R188)&gt;=Setup!$B$15,"Medium","Low"))))))</f>
        <v>No Activity</v>
      </c>
      <c r="Y188" s="57"/>
      <c r="Z188" s="75" t="n">
        <f aca="false">IF($A188="",-1000000000000000,IF(ROUND(ABS($S188),0)=0,-1000000000000000,ABS($S188)+ROW()/1000000))</f>
        <v>-1000000000000000</v>
      </c>
    </row>
    <row r="189" customFormat="false" ht="15" hidden="false" customHeight="false" outlineLevel="0" collapsed="false">
      <c r="A189" s="68" t="str">
        <f aca="false">IF(Data_Engine!$A189="","",Data_Engine!$A189)</f>
        <v>Taxis/Parking</v>
      </c>
      <c r="B189" s="42" t="str">
        <f aca="false">IF($A189="","",Data_Engine!$B189)</f>
        <v>Expenses</v>
      </c>
      <c r="C189" s="42" t="str">
        <f aca="false">IF($A189="","",Data_Engine!$D189)</f>
        <v>Unallocated</v>
      </c>
      <c r="D189" s="69" t="n">
        <f aca="false">IF($A189="","",Data_Engine!$R189)</f>
        <v>0</v>
      </c>
      <c r="E189" s="69" t="n">
        <f aca="false">IF($A189="","",Data_Engine!$S189)</f>
        <v>0</v>
      </c>
      <c r="F189" s="69" t="n">
        <f aca="false">IF($A189="","",Data_Engine!$T189)</f>
        <v>0</v>
      </c>
      <c r="G189" s="69" t="n">
        <f aca="false">IF($A189="","",Data_Engine!$U189)</f>
        <v>0</v>
      </c>
      <c r="H189" s="69" t="n">
        <f aca="false">IF($A189="","",Data_Engine!$V189)</f>
        <v>0</v>
      </c>
      <c r="I189" s="69" t="n">
        <f aca="false">IF($A189="","",Data_Engine!$W189)</f>
        <v>0</v>
      </c>
      <c r="J189" s="69" t="n">
        <f aca="false">IF($A189="","",Data_Engine!$X189)</f>
        <v>0</v>
      </c>
      <c r="K189" s="69" t="n">
        <f aca="false">IF($A189="","",Data_Engine!$Y189)</f>
        <v>0</v>
      </c>
      <c r="L189" s="69" t="n">
        <f aca="false">IF($A189="","",Data_Engine!$Z189)</f>
        <v>0</v>
      </c>
      <c r="M189" s="69" t="n">
        <f aca="false">IF($A189="","",Data_Engine!$AA189)</f>
        <v>0</v>
      </c>
      <c r="N189" s="69" t="n">
        <f aca="false">IF($A189="","",Data_Engine!$AB189)</f>
        <v>0</v>
      </c>
      <c r="O189" s="69" t="n">
        <f aca="false">IF($A189="","",Data_Engine!$AC189)</f>
        <v>0</v>
      </c>
      <c r="P189" s="69" t="n">
        <f aca="false">IF($A189="","",Data_Engine!$AH189)</f>
        <v>0</v>
      </c>
      <c r="Q189" s="70" t="n">
        <f aca="false">IF($A189="","",Data_Engine!$AD189)</f>
        <v>0</v>
      </c>
      <c r="R189" s="69" t="n">
        <f aca="false">IF($A189="","",Data_Engine!$AF189)</f>
        <v>0</v>
      </c>
      <c r="S189" s="71" t="n">
        <f aca="false">IF($A189="","",$Q189-$R189)</f>
        <v>0</v>
      </c>
      <c r="T189" s="72" t="str">
        <f aca="false">IF($A189="","",IF(ROUND($R189,2)=0,"n/a",$S189/ABS($R189)))</f>
        <v>n/a</v>
      </c>
      <c r="U189" s="69" t="n">
        <f aca="false">IF($A189="","",Data_Engine!$AG189)</f>
        <v>0</v>
      </c>
      <c r="V189" s="73" t="n">
        <f aca="false">IF($A189="","",$Q189-$U189)</f>
        <v>0</v>
      </c>
      <c r="W189" s="72" t="str">
        <f aca="false">IF($A189="","",IF(ROUND($U189,2)=0,"n/a",$V189/ABS($U189)))</f>
        <v>n/a</v>
      </c>
      <c r="X189" s="74" t="str">
        <f aca="false">IF($A189="","",IF(AND(ROUND($Q189,2)=0,ROUND($R189,2)=0),"No Activity",IF(ABS($S189)&lt;Setup!$B$14,"Low",IF(ROUND($R189,2)=0,"High",IF(OR(ABS($S189/$R189)&gt;=Setup!$B$16,ABS($S189)&gt;=Setup!$B$17),"High",IF(ABS($S189/$R189)&gt;=Setup!$B$15,"Medium","Low"))))))</f>
        <v>No Activity</v>
      </c>
      <c r="Y189" s="57"/>
      <c r="Z189" s="75" t="n">
        <f aca="false">IF($A189="",-1000000000000000,IF(ROUND(ABS($S189),0)=0,-1000000000000000,ABS($S189)+ROW()/1000000))</f>
        <v>-1000000000000000</v>
      </c>
    </row>
    <row r="190" customFormat="false" ht="15" hidden="false" customHeight="false" outlineLevel="0" collapsed="false">
      <c r="A190" s="68" t="str">
        <f aca="false">IF(Data_Engine!$A190="","",Data_Engine!$A190)</f>
        <v>Training Material &amp; Courses</v>
      </c>
      <c r="B190" s="42" t="str">
        <f aca="false">IF($A190="","",Data_Engine!$B190)</f>
        <v>Expenses</v>
      </c>
      <c r="C190" s="42" t="str">
        <f aca="false">IF($A190="","",Data_Engine!$D190)</f>
        <v>Unallocated</v>
      </c>
      <c r="D190" s="69" t="n">
        <f aca="false">IF($A190="","",Data_Engine!$R190)</f>
        <v>0</v>
      </c>
      <c r="E190" s="69" t="n">
        <f aca="false">IF($A190="","",Data_Engine!$S190)</f>
        <v>0</v>
      </c>
      <c r="F190" s="69" t="n">
        <f aca="false">IF($A190="","",Data_Engine!$T190)</f>
        <v>0</v>
      </c>
      <c r="G190" s="69" t="n">
        <f aca="false">IF($A190="","",Data_Engine!$U190)</f>
        <v>0</v>
      </c>
      <c r="H190" s="69" t="n">
        <f aca="false">IF($A190="","",Data_Engine!$V190)</f>
        <v>0</v>
      </c>
      <c r="I190" s="69" t="n">
        <f aca="false">IF($A190="","",Data_Engine!$W190)</f>
        <v>0</v>
      </c>
      <c r="J190" s="69" t="n">
        <f aca="false">IF($A190="","",Data_Engine!$X190)</f>
        <v>0</v>
      </c>
      <c r="K190" s="69" t="n">
        <f aca="false">IF($A190="","",Data_Engine!$Y190)</f>
        <v>0</v>
      </c>
      <c r="L190" s="69" t="n">
        <f aca="false">IF($A190="","",Data_Engine!$Z190)</f>
        <v>0</v>
      </c>
      <c r="M190" s="69" t="n">
        <f aca="false">IF($A190="","",Data_Engine!$AA190)</f>
        <v>0</v>
      </c>
      <c r="N190" s="69" t="n">
        <f aca="false">IF($A190="","",Data_Engine!$AB190)</f>
        <v>0</v>
      </c>
      <c r="O190" s="69" t="n">
        <f aca="false">IF($A190="","",Data_Engine!$AC190)</f>
        <v>0</v>
      </c>
      <c r="P190" s="69" t="n">
        <f aca="false">IF($A190="","",Data_Engine!$AH190)</f>
        <v>0</v>
      </c>
      <c r="Q190" s="70" t="n">
        <f aca="false">IF($A190="","",Data_Engine!$AD190)</f>
        <v>0</v>
      </c>
      <c r="R190" s="69" t="n">
        <f aca="false">IF($A190="","",Data_Engine!$AF190)</f>
        <v>0</v>
      </c>
      <c r="S190" s="71" t="n">
        <f aca="false">IF($A190="","",$Q190-$R190)</f>
        <v>0</v>
      </c>
      <c r="T190" s="72" t="str">
        <f aca="false">IF($A190="","",IF(ROUND($R190,2)=0,"n/a",$S190/ABS($R190)))</f>
        <v>n/a</v>
      </c>
      <c r="U190" s="69" t="n">
        <f aca="false">IF($A190="","",Data_Engine!$AG190)</f>
        <v>0</v>
      </c>
      <c r="V190" s="73" t="n">
        <f aca="false">IF($A190="","",$Q190-$U190)</f>
        <v>0</v>
      </c>
      <c r="W190" s="72" t="str">
        <f aca="false">IF($A190="","",IF(ROUND($U190,2)=0,"n/a",$V190/ABS($U190)))</f>
        <v>n/a</v>
      </c>
      <c r="X190" s="74" t="str">
        <f aca="false">IF($A190="","",IF(AND(ROUND($Q190,2)=0,ROUND($R190,2)=0),"No Activity",IF(ABS($S190)&lt;Setup!$B$14,"Low",IF(ROUND($R190,2)=0,"High",IF(OR(ABS($S190/$R190)&gt;=Setup!$B$16,ABS($S190)&gt;=Setup!$B$17),"High",IF(ABS($S190/$R190)&gt;=Setup!$B$15,"Medium","Low"))))))</f>
        <v>No Activity</v>
      </c>
      <c r="Y190" s="57"/>
      <c r="Z190" s="75" t="n">
        <f aca="false">IF($A190="",-1000000000000000,IF(ROUND(ABS($S190),0)=0,-1000000000000000,ABS($S190)+ROW()/1000000))</f>
        <v>-1000000000000000</v>
      </c>
    </row>
    <row r="191" customFormat="false" ht="15" hidden="false" customHeight="false" outlineLevel="0" collapsed="false">
      <c r="A191" s="68" t="str">
        <f aca="false">IF(Data_Engine!$A191="","",Data_Engine!$A191)</f>
        <v>Travel &amp; Per Diems</v>
      </c>
      <c r="B191" s="42" t="str">
        <f aca="false">IF($A191="","",Data_Engine!$B191)</f>
        <v>Expenses</v>
      </c>
      <c r="C191" s="42" t="str">
        <f aca="false">IF($A191="","",Data_Engine!$D191)</f>
        <v>Unallocated</v>
      </c>
      <c r="D191" s="69" t="n">
        <f aca="false">IF($A191="","",Data_Engine!$R191)</f>
        <v>0</v>
      </c>
      <c r="E191" s="69" t="n">
        <f aca="false">IF($A191="","",Data_Engine!$S191)</f>
        <v>0</v>
      </c>
      <c r="F191" s="69" t="n">
        <f aca="false">IF($A191="","",Data_Engine!$T191)</f>
        <v>0</v>
      </c>
      <c r="G191" s="69" t="n">
        <f aca="false">IF($A191="","",Data_Engine!$U191)</f>
        <v>0</v>
      </c>
      <c r="H191" s="69" t="n">
        <f aca="false">IF($A191="","",Data_Engine!$V191)</f>
        <v>0</v>
      </c>
      <c r="I191" s="69" t="n">
        <f aca="false">IF($A191="","",Data_Engine!$W191)</f>
        <v>0</v>
      </c>
      <c r="J191" s="69" t="n">
        <f aca="false">IF($A191="","",Data_Engine!$X191)</f>
        <v>0</v>
      </c>
      <c r="K191" s="69" t="n">
        <f aca="false">IF($A191="","",Data_Engine!$Y191)</f>
        <v>0</v>
      </c>
      <c r="L191" s="69" t="n">
        <f aca="false">IF($A191="","",Data_Engine!$Z191)</f>
        <v>0</v>
      </c>
      <c r="M191" s="69" t="n">
        <f aca="false">IF($A191="","",Data_Engine!$AA191)</f>
        <v>0</v>
      </c>
      <c r="N191" s="69" t="n">
        <f aca="false">IF($A191="","",Data_Engine!$AB191)</f>
        <v>0</v>
      </c>
      <c r="O191" s="69" t="n">
        <f aca="false">IF($A191="","",Data_Engine!$AC191)</f>
        <v>0</v>
      </c>
      <c r="P191" s="69" t="n">
        <f aca="false">IF($A191="","",Data_Engine!$AH191)</f>
        <v>0</v>
      </c>
      <c r="Q191" s="70" t="n">
        <f aca="false">IF($A191="","",Data_Engine!$AD191)</f>
        <v>0</v>
      </c>
      <c r="R191" s="69" t="n">
        <f aca="false">IF($A191="","",Data_Engine!$AF191)</f>
        <v>0</v>
      </c>
      <c r="S191" s="71" t="n">
        <f aca="false">IF($A191="","",$Q191-$R191)</f>
        <v>0</v>
      </c>
      <c r="T191" s="72" t="str">
        <f aca="false">IF($A191="","",IF(ROUND($R191,2)=0,"n/a",$S191/ABS($R191)))</f>
        <v>n/a</v>
      </c>
      <c r="U191" s="69" t="n">
        <f aca="false">IF($A191="","",Data_Engine!$AG191)</f>
        <v>0</v>
      </c>
      <c r="V191" s="73" t="n">
        <f aca="false">IF($A191="","",$Q191-$U191)</f>
        <v>0</v>
      </c>
      <c r="W191" s="72" t="str">
        <f aca="false">IF($A191="","",IF(ROUND($U191,2)=0,"n/a",$V191/ABS($U191)))</f>
        <v>n/a</v>
      </c>
      <c r="X191" s="74" t="str">
        <f aca="false">IF($A191="","",IF(AND(ROUND($Q191,2)=0,ROUND($R191,2)=0),"No Activity",IF(ABS($S191)&lt;Setup!$B$14,"Low",IF(ROUND($R191,2)=0,"High",IF(OR(ABS($S191/$R191)&gt;=Setup!$B$16,ABS($S191)&gt;=Setup!$B$17),"High",IF(ABS($S191/$R191)&gt;=Setup!$B$15,"Medium","Low"))))))</f>
        <v>No Activity</v>
      </c>
      <c r="Y191" s="57"/>
      <c r="Z191" s="75" t="n">
        <f aca="false">IF($A191="",-1000000000000000,IF(ROUND(ABS($S191),0)=0,-1000000000000000,ABS($S191)+ROW()/1000000))</f>
        <v>-1000000000000000</v>
      </c>
    </row>
    <row r="192" customFormat="false" ht="15" hidden="false" customHeight="false" outlineLevel="0" collapsed="false">
      <c r="A192" s="68" t="str">
        <f aca="false">IF(Data_Engine!$A192="","",Data_Engine!$A192)</f>
        <v>Travel Insurance</v>
      </c>
      <c r="B192" s="42" t="str">
        <f aca="false">IF($A192="","",Data_Engine!$B192)</f>
        <v>Expenses</v>
      </c>
      <c r="C192" s="42" t="str">
        <f aca="false">IF($A192="","",Data_Engine!$D192)</f>
        <v>Unallocated</v>
      </c>
      <c r="D192" s="69" t="n">
        <f aca="false">IF($A192="","",Data_Engine!$R192)</f>
        <v>0</v>
      </c>
      <c r="E192" s="69" t="n">
        <f aca="false">IF($A192="","",Data_Engine!$S192)</f>
        <v>0</v>
      </c>
      <c r="F192" s="69" t="n">
        <f aca="false">IF($A192="","",Data_Engine!$T192)</f>
        <v>0</v>
      </c>
      <c r="G192" s="69" t="n">
        <f aca="false">IF($A192="","",Data_Engine!$U192)</f>
        <v>0</v>
      </c>
      <c r="H192" s="69" t="n">
        <f aca="false">IF($A192="","",Data_Engine!$V192)</f>
        <v>0</v>
      </c>
      <c r="I192" s="69" t="n">
        <f aca="false">IF($A192="","",Data_Engine!$W192)</f>
        <v>0</v>
      </c>
      <c r="J192" s="69" t="n">
        <f aca="false">IF($A192="","",Data_Engine!$X192)</f>
        <v>0</v>
      </c>
      <c r="K192" s="69" t="n">
        <f aca="false">IF($A192="","",Data_Engine!$Y192)</f>
        <v>0</v>
      </c>
      <c r="L192" s="69" t="n">
        <f aca="false">IF($A192="","",Data_Engine!$Z192)</f>
        <v>0</v>
      </c>
      <c r="M192" s="69" t="n">
        <f aca="false">IF($A192="","",Data_Engine!$AA192)</f>
        <v>0</v>
      </c>
      <c r="N192" s="69" t="n">
        <f aca="false">IF($A192="","",Data_Engine!$AB192)</f>
        <v>0</v>
      </c>
      <c r="O192" s="69" t="n">
        <f aca="false">IF($A192="","",Data_Engine!$AC192)</f>
        <v>0</v>
      </c>
      <c r="P192" s="69" t="n">
        <f aca="false">IF($A192="","",Data_Engine!$AH192)</f>
        <v>0</v>
      </c>
      <c r="Q192" s="70" t="n">
        <f aca="false">IF($A192="","",Data_Engine!$AD192)</f>
        <v>0</v>
      </c>
      <c r="R192" s="69" t="n">
        <f aca="false">IF($A192="","",Data_Engine!$AF192)</f>
        <v>0</v>
      </c>
      <c r="S192" s="71" t="n">
        <f aca="false">IF($A192="","",$Q192-$R192)</f>
        <v>0</v>
      </c>
      <c r="T192" s="72" t="str">
        <f aca="false">IF($A192="","",IF(ROUND($R192,2)=0,"n/a",$S192/ABS($R192)))</f>
        <v>n/a</v>
      </c>
      <c r="U192" s="69" t="n">
        <f aca="false">IF($A192="","",Data_Engine!$AG192)</f>
        <v>0</v>
      </c>
      <c r="V192" s="73" t="n">
        <f aca="false">IF($A192="","",$Q192-$U192)</f>
        <v>0</v>
      </c>
      <c r="W192" s="72" t="str">
        <f aca="false">IF($A192="","",IF(ROUND($U192,2)=0,"n/a",$V192/ABS($U192)))</f>
        <v>n/a</v>
      </c>
      <c r="X192" s="74" t="str">
        <f aca="false">IF($A192="","",IF(AND(ROUND($Q192,2)=0,ROUND($R192,2)=0),"No Activity",IF(ABS($S192)&lt;Setup!$B$14,"Low",IF(ROUND($R192,2)=0,"High",IF(OR(ABS($S192/$R192)&gt;=Setup!$B$16,ABS($S192)&gt;=Setup!$B$17),"High",IF(ABS($S192/$R192)&gt;=Setup!$B$15,"Medium","Low"))))))</f>
        <v>No Activity</v>
      </c>
      <c r="Y192" s="57"/>
      <c r="Z192" s="75" t="n">
        <f aca="false">IF($A192="",-1000000000000000,IF(ROUND(ABS($S192),0)=0,-1000000000000000,ABS($S192)+ROW()/1000000))</f>
        <v>-1000000000000000</v>
      </c>
    </row>
    <row r="193" customFormat="false" ht="15" hidden="false" customHeight="false" outlineLevel="0" collapsed="false">
      <c r="A193" s="68" t="str">
        <f aca="false">IF(Data_Engine!$A193="","",Data_Engine!$A193)</f>
        <v>Under/(Over) provision for tax</v>
      </c>
      <c r="B193" s="42" t="str">
        <f aca="false">IF($A193="","",Data_Engine!$B193)</f>
        <v>Expenses</v>
      </c>
      <c r="C193" s="42" t="str">
        <f aca="false">IF($A193="","",Data_Engine!$D193)</f>
        <v>Unallocated</v>
      </c>
      <c r="D193" s="69" t="n">
        <f aca="false">IF($A193="","",Data_Engine!$R193)</f>
        <v>0</v>
      </c>
      <c r="E193" s="69" t="n">
        <f aca="false">IF($A193="","",Data_Engine!$S193)</f>
        <v>0</v>
      </c>
      <c r="F193" s="69" t="n">
        <f aca="false">IF($A193="","",Data_Engine!$T193)</f>
        <v>0</v>
      </c>
      <c r="G193" s="69" t="n">
        <f aca="false">IF($A193="","",Data_Engine!$U193)</f>
        <v>0</v>
      </c>
      <c r="H193" s="69" t="n">
        <f aca="false">IF($A193="","",Data_Engine!$V193)</f>
        <v>0</v>
      </c>
      <c r="I193" s="69" t="n">
        <f aca="false">IF($A193="","",Data_Engine!$W193)</f>
        <v>0</v>
      </c>
      <c r="J193" s="69" t="n">
        <f aca="false">IF($A193="","",Data_Engine!$X193)</f>
        <v>0</v>
      </c>
      <c r="K193" s="69" t="n">
        <f aca="false">IF($A193="","",Data_Engine!$Y193)</f>
        <v>0</v>
      </c>
      <c r="L193" s="69" t="n">
        <f aca="false">IF($A193="","",Data_Engine!$Z193)</f>
        <v>0</v>
      </c>
      <c r="M193" s="69" t="n">
        <f aca="false">IF($A193="","",Data_Engine!$AA193)</f>
        <v>0</v>
      </c>
      <c r="N193" s="69" t="n">
        <f aca="false">IF($A193="","",Data_Engine!$AB193)</f>
        <v>0</v>
      </c>
      <c r="O193" s="69" t="n">
        <f aca="false">IF($A193="","",Data_Engine!$AC193)</f>
        <v>0</v>
      </c>
      <c r="P193" s="69" t="n">
        <f aca="false">IF($A193="","",Data_Engine!$AH193)</f>
        <v>0</v>
      </c>
      <c r="Q193" s="70" t="n">
        <f aca="false">IF($A193="","",Data_Engine!$AD193)</f>
        <v>0</v>
      </c>
      <c r="R193" s="69" t="n">
        <f aca="false">IF($A193="","",Data_Engine!$AF193)</f>
        <v>0</v>
      </c>
      <c r="S193" s="71" t="n">
        <f aca="false">IF($A193="","",$Q193-$R193)</f>
        <v>0</v>
      </c>
      <c r="T193" s="72" t="str">
        <f aca="false">IF($A193="","",IF(ROUND($R193,2)=0,"n/a",$S193/ABS($R193)))</f>
        <v>n/a</v>
      </c>
      <c r="U193" s="69" t="n">
        <f aca="false">IF($A193="","",Data_Engine!$AG193)</f>
        <v>0</v>
      </c>
      <c r="V193" s="73" t="n">
        <f aca="false">IF($A193="","",$Q193-$U193)</f>
        <v>0</v>
      </c>
      <c r="W193" s="72" t="str">
        <f aca="false">IF($A193="","",IF(ROUND($U193,2)=0,"n/a",$V193/ABS($U193)))</f>
        <v>n/a</v>
      </c>
      <c r="X193" s="74" t="str">
        <f aca="false">IF($A193="","",IF(AND(ROUND($Q193,2)=0,ROUND($R193,2)=0),"No Activity",IF(ABS($S193)&lt;Setup!$B$14,"Low",IF(ROUND($R193,2)=0,"High",IF(OR(ABS($S193/$R193)&gt;=Setup!$B$16,ABS($S193)&gt;=Setup!$B$17),"High",IF(ABS($S193/$R193)&gt;=Setup!$B$15,"Medium","Low"))))))</f>
        <v>No Activity</v>
      </c>
      <c r="Y193" s="57"/>
      <c r="Z193" s="75" t="n">
        <f aca="false">IF($A193="",-1000000000000000,IF(ROUND(ABS($S193),0)=0,-1000000000000000,ABS($S193)+ROW()/1000000))</f>
        <v>-1000000000000000</v>
      </c>
    </row>
    <row r="194" customFormat="false" ht="15" hidden="false" customHeight="false" outlineLevel="0" collapsed="false">
      <c r="A194" s="68" t="str">
        <f aca="false">IF(Data_Engine!$A194="","",Data_Engine!$A194)</f>
        <v>Unrealised Currency Gains</v>
      </c>
      <c r="B194" s="42" t="str">
        <f aca="false">IF($A194="","",Data_Engine!$B194)</f>
        <v>Expenses</v>
      </c>
      <c r="C194" s="42" t="str">
        <f aca="false">IF($A194="","",Data_Engine!$D194)</f>
        <v>Unallocated</v>
      </c>
      <c r="D194" s="69" t="n">
        <f aca="false">IF($A194="","",Data_Engine!$R194)</f>
        <v>0</v>
      </c>
      <c r="E194" s="69" t="n">
        <f aca="false">IF($A194="","",Data_Engine!$S194)</f>
        <v>0</v>
      </c>
      <c r="F194" s="69" t="n">
        <f aca="false">IF($A194="","",Data_Engine!$T194)</f>
        <v>0</v>
      </c>
      <c r="G194" s="69" t="n">
        <f aca="false">IF($A194="","",Data_Engine!$U194)</f>
        <v>0</v>
      </c>
      <c r="H194" s="69" t="n">
        <f aca="false">IF($A194="","",Data_Engine!$V194)</f>
        <v>0</v>
      </c>
      <c r="I194" s="69" t="n">
        <f aca="false">IF($A194="","",Data_Engine!$W194)</f>
        <v>0</v>
      </c>
      <c r="J194" s="69" t="n">
        <f aca="false">IF($A194="","",Data_Engine!$X194)</f>
        <v>0</v>
      </c>
      <c r="K194" s="69" t="n">
        <f aca="false">IF($A194="","",Data_Engine!$Y194)</f>
        <v>0</v>
      </c>
      <c r="L194" s="69" t="n">
        <f aca="false">IF($A194="","",Data_Engine!$Z194)</f>
        <v>0</v>
      </c>
      <c r="M194" s="69" t="n">
        <f aca="false">IF($A194="","",Data_Engine!$AA194)</f>
        <v>0</v>
      </c>
      <c r="N194" s="69" t="n">
        <f aca="false">IF($A194="","",Data_Engine!$AB194)</f>
        <v>0</v>
      </c>
      <c r="O194" s="69" t="n">
        <f aca="false">IF($A194="","",Data_Engine!$AC194)</f>
        <v>0</v>
      </c>
      <c r="P194" s="69" t="n">
        <f aca="false">IF($A194="","",Data_Engine!$AH194)</f>
        <v>0</v>
      </c>
      <c r="Q194" s="70" t="n">
        <f aca="false">IF($A194="","",Data_Engine!$AD194)</f>
        <v>0</v>
      </c>
      <c r="R194" s="69" t="n">
        <f aca="false">IF($A194="","",Data_Engine!$AF194)</f>
        <v>0</v>
      </c>
      <c r="S194" s="71" t="n">
        <f aca="false">IF($A194="","",$Q194-$R194)</f>
        <v>0</v>
      </c>
      <c r="T194" s="72" t="str">
        <f aca="false">IF($A194="","",IF(ROUND($R194,2)=0,"n/a",$S194/ABS($R194)))</f>
        <v>n/a</v>
      </c>
      <c r="U194" s="69" t="n">
        <f aca="false">IF($A194="","",Data_Engine!$AG194)</f>
        <v>0</v>
      </c>
      <c r="V194" s="73" t="n">
        <f aca="false">IF($A194="","",$Q194-$U194)</f>
        <v>0</v>
      </c>
      <c r="W194" s="72" t="str">
        <f aca="false">IF($A194="","",IF(ROUND($U194,2)=0,"n/a",$V194/ABS($U194)))</f>
        <v>n/a</v>
      </c>
      <c r="X194" s="74" t="str">
        <f aca="false">IF($A194="","",IF(AND(ROUND($Q194,2)=0,ROUND($R194,2)=0),"No Activity",IF(ABS($S194)&lt;Setup!$B$14,"Low",IF(ROUND($R194,2)=0,"High",IF(OR(ABS($S194/$R194)&gt;=Setup!$B$16,ABS($S194)&gt;=Setup!$B$17),"High",IF(ABS($S194/$R194)&gt;=Setup!$B$15,"Medium","Low"))))))</f>
        <v>No Activity</v>
      </c>
      <c r="Y194" s="57"/>
      <c r="Z194" s="75" t="n">
        <f aca="false">IF($A194="",-1000000000000000,IF(ROUND(ABS($S194),0)=0,-1000000000000000,ABS($S194)+ROW()/1000000))</f>
        <v>-1000000000000000</v>
      </c>
    </row>
    <row r="195" customFormat="false" ht="15" hidden="false" customHeight="false" outlineLevel="0" collapsed="false">
      <c r="A195" s="68" t="str">
        <f aca="false">IF(Data_Engine!$A195="","",Data_Engine!$A195)</f>
        <v>Workers' Compensation</v>
      </c>
      <c r="B195" s="42" t="str">
        <f aca="false">IF($A195="","",Data_Engine!$B195)</f>
        <v>Expenses</v>
      </c>
      <c r="C195" s="42" t="str">
        <f aca="false">IF($A195="","",Data_Engine!$D195)</f>
        <v>Unallocated</v>
      </c>
      <c r="D195" s="69" t="n">
        <f aca="false">IF($A195="","",Data_Engine!$R195)</f>
        <v>0</v>
      </c>
      <c r="E195" s="69" t="n">
        <f aca="false">IF($A195="","",Data_Engine!$S195)</f>
        <v>0</v>
      </c>
      <c r="F195" s="69" t="n">
        <f aca="false">IF($A195="","",Data_Engine!$T195)</f>
        <v>0</v>
      </c>
      <c r="G195" s="69" t="n">
        <f aca="false">IF($A195="","",Data_Engine!$U195)</f>
        <v>0</v>
      </c>
      <c r="H195" s="69" t="n">
        <f aca="false">IF($A195="","",Data_Engine!$V195)</f>
        <v>0</v>
      </c>
      <c r="I195" s="69" t="n">
        <f aca="false">IF($A195="","",Data_Engine!$W195)</f>
        <v>0</v>
      </c>
      <c r="J195" s="69" t="n">
        <f aca="false">IF($A195="","",Data_Engine!$X195)</f>
        <v>0</v>
      </c>
      <c r="K195" s="69" t="n">
        <f aca="false">IF($A195="","",Data_Engine!$Y195)</f>
        <v>0</v>
      </c>
      <c r="L195" s="69" t="n">
        <f aca="false">IF($A195="","",Data_Engine!$Z195)</f>
        <v>0</v>
      </c>
      <c r="M195" s="69" t="n">
        <f aca="false">IF($A195="","",Data_Engine!$AA195)</f>
        <v>0</v>
      </c>
      <c r="N195" s="69" t="n">
        <f aca="false">IF($A195="","",Data_Engine!$AB195)</f>
        <v>0</v>
      </c>
      <c r="O195" s="69" t="n">
        <f aca="false">IF($A195="","",Data_Engine!$AC195)</f>
        <v>0</v>
      </c>
      <c r="P195" s="69" t="n">
        <f aca="false">IF($A195="","",Data_Engine!$AH195)</f>
        <v>0</v>
      </c>
      <c r="Q195" s="70" t="n">
        <f aca="false">IF($A195="","",Data_Engine!$AD195)</f>
        <v>0</v>
      </c>
      <c r="R195" s="69" t="n">
        <f aca="false">IF($A195="","",Data_Engine!$AF195)</f>
        <v>0</v>
      </c>
      <c r="S195" s="71" t="n">
        <f aca="false">IF($A195="","",$Q195-$R195)</f>
        <v>0</v>
      </c>
      <c r="T195" s="72" t="str">
        <f aca="false">IF($A195="","",IF(ROUND($R195,2)=0,"n/a",$S195/ABS($R195)))</f>
        <v>n/a</v>
      </c>
      <c r="U195" s="69" t="n">
        <f aca="false">IF($A195="","",Data_Engine!$AG195)</f>
        <v>0</v>
      </c>
      <c r="V195" s="73" t="n">
        <f aca="false">IF($A195="","",$Q195-$U195)</f>
        <v>0</v>
      </c>
      <c r="W195" s="72" t="str">
        <f aca="false">IF($A195="","",IF(ROUND($U195,2)=0,"n/a",$V195/ABS($U195)))</f>
        <v>n/a</v>
      </c>
      <c r="X195" s="74" t="str">
        <f aca="false">IF($A195="","",IF(AND(ROUND($Q195,2)=0,ROUND($R195,2)=0),"No Activity",IF(ABS($S195)&lt;Setup!$B$14,"Low",IF(ROUND($R195,2)=0,"High",IF(OR(ABS($S195/$R195)&gt;=Setup!$B$16,ABS($S195)&gt;=Setup!$B$17),"High",IF(ABS($S195/$R195)&gt;=Setup!$B$15,"Medium","Low"))))))</f>
        <v>No Activity</v>
      </c>
      <c r="Y195" s="57"/>
      <c r="Z195" s="75" t="n">
        <f aca="false">IF($A195="",-1000000000000000,IF(ROUND(ABS($S195),0)=0,-1000000000000000,ABS($S195)+ROW()/1000000))</f>
        <v>-1000000000000000</v>
      </c>
    </row>
    <row r="196" customFormat="false" ht="15" hidden="false" customHeight="false" outlineLevel="0" collapsed="false">
      <c r="A196" s="68" t="str">
        <f aca="false">IF(Data_Engine!$A196="","",Data_Engine!$A196)</f>
        <v/>
      </c>
      <c r="B196" s="42" t="str">
        <f aca="false">IF($A196="","",Data_Engine!$B196)</f>
        <v/>
      </c>
      <c r="C196" s="42" t="str">
        <f aca="false">IF($A196="","",Data_Engine!$D196)</f>
        <v/>
      </c>
      <c r="D196" s="69" t="str">
        <f aca="false">IF($A196="","",Data_Engine!$R196)</f>
        <v/>
      </c>
      <c r="E196" s="69" t="str">
        <f aca="false">IF($A196="","",Data_Engine!$S196)</f>
        <v/>
      </c>
      <c r="F196" s="69" t="str">
        <f aca="false">IF($A196="","",Data_Engine!$T196)</f>
        <v/>
      </c>
      <c r="G196" s="69" t="str">
        <f aca="false">IF($A196="","",Data_Engine!$U196)</f>
        <v/>
      </c>
      <c r="H196" s="69" t="str">
        <f aca="false">IF($A196="","",Data_Engine!$V196)</f>
        <v/>
      </c>
      <c r="I196" s="69" t="str">
        <f aca="false">IF($A196="","",Data_Engine!$W196)</f>
        <v/>
      </c>
      <c r="J196" s="69" t="str">
        <f aca="false">IF($A196="","",Data_Engine!$X196)</f>
        <v/>
      </c>
      <c r="K196" s="69" t="str">
        <f aca="false">IF($A196="","",Data_Engine!$Y196)</f>
        <v/>
      </c>
      <c r="L196" s="69" t="str">
        <f aca="false">IF($A196="","",Data_Engine!$Z196)</f>
        <v/>
      </c>
      <c r="M196" s="69" t="str">
        <f aca="false">IF($A196="","",Data_Engine!$AA196)</f>
        <v/>
      </c>
      <c r="N196" s="69" t="str">
        <f aca="false">IF($A196="","",Data_Engine!$AB196)</f>
        <v/>
      </c>
      <c r="O196" s="69" t="str">
        <f aca="false">IF($A196="","",Data_Engine!$AC196)</f>
        <v/>
      </c>
      <c r="P196" s="69" t="str">
        <f aca="false">IF($A196="","",Data_Engine!$AH196)</f>
        <v/>
      </c>
      <c r="Q196" s="70" t="str">
        <f aca="false">IF($A196="","",Data_Engine!$AD196)</f>
        <v/>
      </c>
      <c r="R196" s="69" t="str">
        <f aca="false">IF($A196="","",Data_Engine!$AF196)</f>
        <v/>
      </c>
      <c r="S196" s="71" t="str">
        <f aca="false">IF($A196="","",$Q196-$R196)</f>
        <v/>
      </c>
      <c r="T196" s="72" t="str">
        <f aca="false">IF($A196="","",IF(ROUND($R196,2)=0,"n/a",$S196/ABS($R196)))</f>
        <v/>
      </c>
      <c r="U196" s="69" t="str">
        <f aca="false">IF($A196="","",Data_Engine!$AG196)</f>
        <v/>
      </c>
      <c r="V196" s="73" t="str">
        <f aca="false">IF($A196="","",$Q196-$U196)</f>
        <v/>
      </c>
      <c r="W196" s="72" t="str">
        <f aca="false">IF($A196="","",IF(ROUND($U196,2)=0,"n/a",$V196/ABS($U196)))</f>
        <v/>
      </c>
      <c r="X196" s="74" t="str">
        <f aca="false">IF($A196="","",IF(AND(ROUND($Q196,2)=0,ROUND($R196,2)=0),"No Activity",IF(ABS($S196)&lt;Setup!$B$14,"Low",IF(ROUND($R196,2)=0,"High",IF(OR(ABS($S196/$R196)&gt;=Setup!$B$16,ABS($S196)&gt;=Setup!$B$17),"High",IF(ABS($S196/$R196)&gt;=Setup!$B$15,"Medium","Low"))))))</f>
        <v/>
      </c>
      <c r="Y196" s="57"/>
      <c r="Z196" s="75" t="n">
        <f aca="false">IF($A196="",-1000000000000000,IF(ROUND(ABS($S196),0)=0,-1000000000000000,ABS($S196)+ROW()/1000000))</f>
        <v>-1000000000000000</v>
      </c>
    </row>
    <row r="197" customFormat="false" ht="15" hidden="false" customHeight="false" outlineLevel="0" collapsed="false">
      <c r="A197" s="68" t="str">
        <f aca="false">IF(Data_Engine!$A197="","",Data_Engine!$A197)</f>
        <v/>
      </c>
      <c r="B197" s="42" t="str">
        <f aca="false">IF($A197="","",Data_Engine!$B197)</f>
        <v/>
      </c>
      <c r="C197" s="42" t="str">
        <f aca="false">IF($A197="","",Data_Engine!$D197)</f>
        <v/>
      </c>
      <c r="D197" s="69" t="str">
        <f aca="false">IF($A197="","",Data_Engine!$R197)</f>
        <v/>
      </c>
      <c r="E197" s="69" t="str">
        <f aca="false">IF($A197="","",Data_Engine!$S197)</f>
        <v/>
      </c>
      <c r="F197" s="69" t="str">
        <f aca="false">IF($A197="","",Data_Engine!$T197)</f>
        <v/>
      </c>
      <c r="G197" s="69" t="str">
        <f aca="false">IF($A197="","",Data_Engine!$U197)</f>
        <v/>
      </c>
      <c r="H197" s="69" t="str">
        <f aca="false">IF($A197="","",Data_Engine!$V197)</f>
        <v/>
      </c>
      <c r="I197" s="69" t="str">
        <f aca="false">IF($A197="","",Data_Engine!$W197)</f>
        <v/>
      </c>
      <c r="J197" s="69" t="str">
        <f aca="false">IF($A197="","",Data_Engine!$X197)</f>
        <v/>
      </c>
      <c r="K197" s="69" t="str">
        <f aca="false">IF($A197="","",Data_Engine!$Y197)</f>
        <v/>
      </c>
      <c r="L197" s="69" t="str">
        <f aca="false">IF($A197="","",Data_Engine!$Z197)</f>
        <v/>
      </c>
      <c r="M197" s="69" t="str">
        <f aca="false">IF($A197="","",Data_Engine!$AA197)</f>
        <v/>
      </c>
      <c r="N197" s="69" t="str">
        <f aca="false">IF($A197="","",Data_Engine!$AB197)</f>
        <v/>
      </c>
      <c r="O197" s="69" t="str">
        <f aca="false">IF($A197="","",Data_Engine!$AC197)</f>
        <v/>
      </c>
      <c r="P197" s="69" t="str">
        <f aca="false">IF($A197="","",Data_Engine!$AH197)</f>
        <v/>
      </c>
      <c r="Q197" s="70" t="str">
        <f aca="false">IF($A197="","",Data_Engine!$AD197)</f>
        <v/>
      </c>
      <c r="R197" s="69" t="str">
        <f aca="false">IF($A197="","",Data_Engine!$AF197)</f>
        <v/>
      </c>
      <c r="S197" s="71" t="str">
        <f aca="false">IF($A197="","",$Q197-$R197)</f>
        <v/>
      </c>
      <c r="T197" s="72" t="str">
        <f aca="false">IF($A197="","",IF(ROUND($R197,2)=0,"n/a",$S197/ABS($R197)))</f>
        <v/>
      </c>
      <c r="U197" s="69" t="str">
        <f aca="false">IF($A197="","",Data_Engine!$AG197)</f>
        <v/>
      </c>
      <c r="V197" s="73" t="str">
        <f aca="false">IF($A197="","",$Q197-$U197)</f>
        <v/>
      </c>
      <c r="W197" s="72" t="str">
        <f aca="false">IF($A197="","",IF(ROUND($U197,2)=0,"n/a",$V197/ABS($U197)))</f>
        <v/>
      </c>
      <c r="X197" s="74" t="str">
        <f aca="false">IF($A197="","",IF(AND(ROUND($Q197,2)=0,ROUND($R197,2)=0),"No Activity",IF(ABS($S197)&lt;Setup!$B$14,"Low",IF(ROUND($R197,2)=0,"High",IF(OR(ABS($S197/$R197)&gt;=Setup!$B$16,ABS($S197)&gt;=Setup!$B$17),"High",IF(ABS($S197/$R197)&gt;=Setup!$B$15,"Medium","Low"))))))</f>
        <v/>
      </c>
      <c r="Y197" s="57"/>
      <c r="Z197" s="75" t="n">
        <f aca="false">IF($A197="",-1000000000000000,IF(ROUND(ABS($S197),0)=0,-1000000000000000,ABS($S197)+ROW()/1000000))</f>
        <v>-1000000000000000</v>
      </c>
    </row>
    <row r="198" customFormat="false" ht="15" hidden="false" customHeight="false" outlineLevel="0" collapsed="false">
      <c r="A198" s="68" t="str">
        <f aca="false">IF(Data_Engine!$A198="","",Data_Engine!$A198)</f>
        <v/>
      </c>
      <c r="B198" s="42" t="str">
        <f aca="false">IF($A198="","",Data_Engine!$B198)</f>
        <v/>
      </c>
      <c r="C198" s="42" t="str">
        <f aca="false">IF($A198="","",Data_Engine!$D198)</f>
        <v/>
      </c>
      <c r="D198" s="69" t="str">
        <f aca="false">IF($A198="","",Data_Engine!$R198)</f>
        <v/>
      </c>
      <c r="E198" s="69" t="str">
        <f aca="false">IF($A198="","",Data_Engine!$S198)</f>
        <v/>
      </c>
      <c r="F198" s="69" t="str">
        <f aca="false">IF($A198="","",Data_Engine!$T198)</f>
        <v/>
      </c>
      <c r="G198" s="69" t="str">
        <f aca="false">IF($A198="","",Data_Engine!$U198)</f>
        <v/>
      </c>
      <c r="H198" s="69" t="str">
        <f aca="false">IF($A198="","",Data_Engine!$V198)</f>
        <v/>
      </c>
      <c r="I198" s="69" t="str">
        <f aca="false">IF($A198="","",Data_Engine!$W198)</f>
        <v/>
      </c>
      <c r="J198" s="69" t="str">
        <f aca="false">IF($A198="","",Data_Engine!$X198)</f>
        <v/>
      </c>
      <c r="K198" s="69" t="str">
        <f aca="false">IF($A198="","",Data_Engine!$Y198)</f>
        <v/>
      </c>
      <c r="L198" s="69" t="str">
        <f aca="false">IF($A198="","",Data_Engine!$Z198)</f>
        <v/>
      </c>
      <c r="M198" s="69" t="str">
        <f aca="false">IF($A198="","",Data_Engine!$AA198)</f>
        <v/>
      </c>
      <c r="N198" s="69" t="str">
        <f aca="false">IF($A198="","",Data_Engine!$AB198)</f>
        <v/>
      </c>
      <c r="O198" s="69" t="str">
        <f aca="false">IF($A198="","",Data_Engine!$AC198)</f>
        <v/>
      </c>
      <c r="P198" s="69" t="str">
        <f aca="false">IF($A198="","",Data_Engine!$AH198)</f>
        <v/>
      </c>
      <c r="Q198" s="70" t="str">
        <f aca="false">IF($A198="","",Data_Engine!$AD198)</f>
        <v/>
      </c>
      <c r="R198" s="69" t="str">
        <f aca="false">IF($A198="","",Data_Engine!$AF198)</f>
        <v/>
      </c>
      <c r="S198" s="71" t="str">
        <f aca="false">IF($A198="","",$Q198-$R198)</f>
        <v/>
      </c>
      <c r="T198" s="72" t="str">
        <f aca="false">IF($A198="","",IF(ROUND($R198,2)=0,"n/a",$S198/ABS($R198)))</f>
        <v/>
      </c>
      <c r="U198" s="69" t="str">
        <f aca="false">IF($A198="","",Data_Engine!$AG198)</f>
        <v/>
      </c>
      <c r="V198" s="73" t="str">
        <f aca="false">IF($A198="","",$Q198-$U198)</f>
        <v/>
      </c>
      <c r="W198" s="72" t="str">
        <f aca="false">IF($A198="","",IF(ROUND($U198,2)=0,"n/a",$V198/ABS($U198)))</f>
        <v/>
      </c>
      <c r="X198" s="74" t="str">
        <f aca="false">IF($A198="","",IF(AND(ROUND($Q198,2)=0,ROUND($R198,2)=0),"No Activity",IF(ABS($S198)&lt;Setup!$B$14,"Low",IF(ROUND($R198,2)=0,"High",IF(OR(ABS($S198/$R198)&gt;=Setup!$B$16,ABS($S198)&gt;=Setup!$B$17),"High",IF(ABS($S198/$R198)&gt;=Setup!$B$15,"Medium","Low"))))))</f>
        <v/>
      </c>
      <c r="Y198" s="57"/>
      <c r="Z198" s="75" t="n">
        <f aca="false">IF($A198="",-1000000000000000,IF(ROUND(ABS($S198),0)=0,-1000000000000000,ABS($S198)+ROW()/1000000))</f>
        <v>-1000000000000000</v>
      </c>
    </row>
    <row r="199" customFormat="false" ht="15" hidden="false" customHeight="false" outlineLevel="0" collapsed="false">
      <c r="A199" s="68" t="str">
        <f aca="false">IF(Data_Engine!$A199="","",Data_Engine!$A199)</f>
        <v/>
      </c>
      <c r="B199" s="42" t="str">
        <f aca="false">IF($A199="","",Data_Engine!$B199)</f>
        <v/>
      </c>
      <c r="C199" s="42" t="str">
        <f aca="false">IF($A199="","",Data_Engine!$D199)</f>
        <v/>
      </c>
      <c r="D199" s="69" t="str">
        <f aca="false">IF($A199="","",Data_Engine!$R199)</f>
        <v/>
      </c>
      <c r="E199" s="69" t="str">
        <f aca="false">IF($A199="","",Data_Engine!$S199)</f>
        <v/>
      </c>
      <c r="F199" s="69" t="str">
        <f aca="false">IF($A199="","",Data_Engine!$T199)</f>
        <v/>
      </c>
      <c r="G199" s="69" t="str">
        <f aca="false">IF($A199="","",Data_Engine!$U199)</f>
        <v/>
      </c>
      <c r="H199" s="69" t="str">
        <f aca="false">IF($A199="","",Data_Engine!$V199)</f>
        <v/>
      </c>
      <c r="I199" s="69" t="str">
        <f aca="false">IF($A199="","",Data_Engine!$W199)</f>
        <v/>
      </c>
      <c r="J199" s="69" t="str">
        <f aca="false">IF($A199="","",Data_Engine!$X199)</f>
        <v/>
      </c>
      <c r="K199" s="69" t="str">
        <f aca="false">IF($A199="","",Data_Engine!$Y199)</f>
        <v/>
      </c>
      <c r="L199" s="69" t="str">
        <f aca="false">IF($A199="","",Data_Engine!$Z199)</f>
        <v/>
      </c>
      <c r="M199" s="69" t="str">
        <f aca="false">IF($A199="","",Data_Engine!$AA199)</f>
        <v/>
      </c>
      <c r="N199" s="69" t="str">
        <f aca="false">IF($A199="","",Data_Engine!$AB199)</f>
        <v/>
      </c>
      <c r="O199" s="69" t="str">
        <f aca="false">IF($A199="","",Data_Engine!$AC199)</f>
        <v/>
      </c>
      <c r="P199" s="69" t="str">
        <f aca="false">IF($A199="","",Data_Engine!$AH199)</f>
        <v/>
      </c>
      <c r="Q199" s="70" t="str">
        <f aca="false">IF($A199="","",Data_Engine!$AD199)</f>
        <v/>
      </c>
      <c r="R199" s="69" t="str">
        <f aca="false">IF($A199="","",Data_Engine!$AF199)</f>
        <v/>
      </c>
      <c r="S199" s="71" t="str">
        <f aca="false">IF($A199="","",$Q199-$R199)</f>
        <v/>
      </c>
      <c r="T199" s="72" t="str">
        <f aca="false">IF($A199="","",IF(ROUND($R199,2)=0,"n/a",$S199/ABS($R199)))</f>
        <v/>
      </c>
      <c r="U199" s="69" t="str">
        <f aca="false">IF($A199="","",Data_Engine!$AG199)</f>
        <v/>
      </c>
      <c r="V199" s="73" t="str">
        <f aca="false">IF($A199="","",$Q199-$U199)</f>
        <v/>
      </c>
      <c r="W199" s="72" t="str">
        <f aca="false">IF($A199="","",IF(ROUND($U199,2)=0,"n/a",$V199/ABS($U199)))</f>
        <v/>
      </c>
      <c r="X199" s="74" t="str">
        <f aca="false">IF($A199="","",IF(AND(ROUND($Q199,2)=0,ROUND($R199,2)=0),"No Activity",IF(ABS($S199)&lt;Setup!$B$14,"Low",IF(ROUND($R199,2)=0,"High",IF(OR(ABS($S199/$R199)&gt;=Setup!$B$16,ABS($S199)&gt;=Setup!$B$17),"High",IF(ABS($S199/$R199)&gt;=Setup!$B$15,"Medium","Low"))))))</f>
        <v/>
      </c>
      <c r="Y199" s="57"/>
      <c r="Z199" s="75" t="n">
        <f aca="false">IF($A199="",-1000000000000000,IF(ROUND(ABS($S199),0)=0,-1000000000000000,ABS($S199)+ROW()/1000000))</f>
        <v>-1000000000000000</v>
      </c>
    </row>
    <row r="200" customFormat="false" ht="15" hidden="false" customHeight="false" outlineLevel="0" collapsed="false">
      <c r="A200" s="68" t="str">
        <f aca="false">IF(Data_Engine!$A200="","",Data_Engine!$A200)</f>
        <v/>
      </c>
      <c r="B200" s="42" t="str">
        <f aca="false">IF($A200="","",Data_Engine!$B200)</f>
        <v/>
      </c>
      <c r="C200" s="42" t="str">
        <f aca="false">IF($A200="","",Data_Engine!$D200)</f>
        <v/>
      </c>
      <c r="D200" s="69" t="str">
        <f aca="false">IF($A200="","",Data_Engine!$R200)</f>
        <v/>
      </c>
      <c r="E200" s="69" t="str">
        <f aca="false">IF($A200="","",Data_Engine!$S200)</f>
        <v/>
      </c>
      <c r="F200" s="69" t="str">
        <f aca="false">IF($A200="","",Data_Engine!$T200)</f>
        <v/>
      </c>
      <c r="G200" s="69" t="str">
        <f aca="false">IF($A200="","",Data_Engine!$U200)</f>
        <v/>
      </c>
      <c r="H200" s="69" t="str">
        <f aca="false">IF($A200="","",Data_Engine!$V200)</f>
        <v/>
      </c>
      <c r="I200" s="69" t="str">
        <f aca="false">IF($A200="","",Data_Engine!$W200)</f>
        <v/>
      </c>
      <c r="J200" s="69" t="str">
        <f aca="false">IF($A200="","",Data_Engine!$X200)</f>
        <v/>
      </c>
      <c r="K200" s="69" t="str">
        <f aca="false">IF($A200="","",Data_Engine!$Y200)</f>
        <v/>
      </c>
      <c r="L200" s="69" t="str">
        <f aca="false">IF($A200="","",Data_Engine!$Z200)</f>
        <v/>
      </c>
      <c r="M200" s="69" t="str">
        <f aca="false">IF($A200="","",Data_Engine!$AA200)</f>
        <v/>
      </c>
      <c r="N200" s="69" t="str">
        <f aca="false">IF($A200="","",Data_Engine!$AB200)</f>
        <v/>
      </c>
      <c r="O200" s="69" t="str">
        <f aca="false">IF($A200="","",Data_Engine!$AC200)</f>
        <v/>
      </c>
      <c r="P200" s="69" t="str">
        <f aca="false">IF($A200="","",Data_Engine!$AH200)</f>
        <v/>
      </c>
      <c r="Q200" s="70" t="str">
        <f aca="false">IF($A200="","",Data_Engine!$AD200)</f>
        <v/>
      </c>
      <c r="R200" s="69" t="str">
        <f aca="false">IF($A200="","",Data_Engine!$AF200)</f>
        <v/>
      </c>
      <c r="S200" s="71" t="str">
        <f aca="false">IF($A200="","",$Q200-$R200)</f>
        <v/>
      </c>
      <c r="T200" s="72" t="str">
        <f aca="false">IF($A200="","",IF(ROUND($R200,2)=0,"n/a",$S200/ABS($R200)))</f>
        <v/>
      </c>
      <c r="U200" s="69" t="str">
        <f aca="false">IF($A200="","",Data_Engine!$AG200)</f>
        <v/>
      </c>
      <c r="V200" s="73" t="str">
        <f aca="false">IF($A200="","",$Q200-$U200)</f>
        <v/>
      </c>
      <c r="W200" s="72" t="str">
        <f aca="false">IF($A200="","",IF(ROUND($U200,2)=0,"n/a",$V200/ABS($U200)))</f>
        <v/>
      </c>
      <c r="X200" s="74" t="str">
        <f aca="false">IF($A200="","",IF(AND(ROUND($Q200,2)=0,ROUND($R200,2)=0),"No Activity",IF(ABS($S200)&lt;Setup!$B$14,"Low",IF(ROUND($R200,2)=0,"High",IF(OR(ABS($S200/$R200)&gt;=Setup!$B$16,ABS($S200)&gt;=Setup!$B$17),"High",IF(ABS($S200/$R200)&gt;=Setup!$B$15,"Medium","Low"))))))</f>
        <v/>
      </c>
      <c r="Y200" s="57"/>
      <c r="Z200" s="75" t="n">
        <f aca="false">IF($A200="",-1000000000000000,IF(ROUND(ABS($S200),0)=0,-1000000000000000,ABS($S200)+ROW()/1000000))</f>
        <v>-1000000000000000</v>
      </c>
    </row>
    <row r="201" customFormat="false" ht="15" hidden="false" customHeight="false" outlineLevel="0" collapsed="false">
      <c r="A201" s="68" t="str">
        <f aca="false">IF(Data_Engine!$A201="","",Data_Engine!$A201)</f>
        <v/>
      </c>
      <c r="B201" s="42" t="str">
        <f aca="false">IF($A201="","",Data_Engine!$B201)</f>
        <v/>
      </c>
      <c r="C201" s="42" t="str">
        <f aca="false">IF($A201="","",Data_Engine!$D201)</f>
        <v/>
      </c>
      <c r="D201" s="69" t="str">
        <f aca="false">IF($A201="","",Data_Engine!$R201)</f>
        <v/>
      </c>
      <c r="E201" s="69" t="str">
        <f aca="false">IF($A201="","",Data_Engine!$S201)</f>
        <v/>
      </c>
      <c r="F201" s="69" t="str">
        <f aca="false">IF($A201="","",Data_Engine!$T201)</f>
        <v/>
      </c>
      <c r="G201" s="69" t="str">
        <f aca="false">IF($A201="","",Data_Engine!$U201)</f>
        <v/>
      </c>
      <c r="H201" s="69" t="str">
        <f aca="false">IF($A201="","",Data_Engine!$V201)</f>
        <v/>
      </c>
      <c r="I201" s="69" t="str">
        <f aca="false">IF($A201="","",Data_Engine!$W201)</f>
        <v/>
      </c>
      <c r="J201" s="69" t="str">
        <f aca="false">IF($A201="","",Data_Engine!$X201)</f>
        <v/>
      </c>
      <c r="K201" s="69" t="str">
        <f aca="false">IF($A201="","",Data_Engine!$Y201)</f>
        <v/>
      </c>
      <c r="L201" s="69" t="str">
        <f aca="false">IF($A201="","",Data_Engine!$Z201)</f>
        <v/>
      </c>
      <c r="M201" s="69" t="str">
        <f aca="false">IF($A201="","",Data_Engine!$AA201)</f>
        <v/>
      </c>
      <c r="N201" s="69" t="str">
        <f aca="false">IF($A201="","",Data_Engine!$AB201)</f>
        <v/>
      </c>
      <c r="O201" s="69" t="str">
        <f aca="false">IF($A201="","",Data_Engine!$AC201)</f>
        <v/>
      </c>
      <c r="P201" s="69" t="str">
        <f aca="false">IF($A201="","",Data_Engine!$AH201)</f>
        <v/>
      </c>
      <c r="Q201" s="70" t="str">
        <f aca="false">IF($A201="","",Data_Engine!$AD201)</f>
        <v/>
      </c>
      <c r="R201" s="69" t="str">
        <f aca="false">IF($A201="","",Data_Engine!$AF201)</f>
        <v/>
      </c>
      <c r="S201" s="71" t="str">
        <f aca="false">IF($A201="","",$Q201-$R201)</f>
        <v/>
      </c>
      <c r="T201" s="72" t="str">
        <f aca="false">IF($A201="","",IF(ROUND($R201,2)=0,"n/a",$S201/ABS($R201)))</f>
        <v/>
      </c>
      <c r="U201" s="69" t="str">
        <f aca="false">IF($A201="","",Data_Engine!$AG201)</f>
        <v/>
      </c>
      <c r="V201" s="73" t="str">
        <f aca="false">IF($A201="","",$Q201-$U201)</f>
        <v/>
      </c>
      <c r="W201" s="72" t="str">
        <f aca="false">IF($A201="","",IF(ROUND($U201,2)=0,"n/a",$V201/ABS($U201)))</f>
        <v/>
      </c>
      <c r="X201" s="74" t="str">
        <f aca="false">IF($A201="","",IF(AND(ROUND($Q201,2)=0,ROUND($R201,2)=0),"No Activity",IF(ABS($S201)&lt;Setup!$B$14,"Low",IF(ROUND($R201,2)=0,"High",IF(OR(ABS($S201/$R201)&gt;=Setup!$B$16,ABS($S201)&gt;=Setup!$B$17),"High",IF(ABS($S201/$R201)&gt;=Setup!$B$15,"Medium","Low"))))))</f>
        <v/>
      </c>
      <c r="Y201" s="57"/>
      <c r="Z201" s="75" t="n">
        <f aca="false">IF($A201="",-1000000000000000,IF(ROUND(ABS($S201),0)=0,-1000000000000000,ABS($S201)+ROW()/1000000))</f>
        <v>-1000000000000000</v>
      </c>
    </row>
    <row r="202" customFormat="false" ht="15" hidden="false" customHeight="false" outlineLevel="0" collapsed="false">
      <c r="A202" s="68" t="str">
        <f aca="false">IF(Data_Engine!$A202="","",Data_Engine!$A202)</f>
        <v/>
      </c>
      <c r="B202" s="42" t="str">
        <f aca="false">IF($A202="","",Data_Engine!$B202)</f>
        <v/>
      </c>
      <c r="C202" s="42" t="str">
        <f aca="false">IF($A202="","",Data_Engine!$D202)</f>
        <v/>
      </c>
      <c r="D202" s="69" t="str">
        <f aca="false">IF($A202="","",Data_Engine!$R202)</f>
        <v/>
      </c>
      <c r="E202" s="69" t="str">
        <f aca="false">IF($A202="","",Data_Engine!$S202)</f>
        <v/>
      </c>
      <c r="F202" s="69" t="str">
        <f aca="false">IF($A202="","",Data_Engine!$T202)</f>
        <v/>
      </c>
      <c r="G202" s="69" t="str">
        <f aca="false">IF($A202="","",Data_Engine!$U202)</f>
        <v/>
      </c>
      <c r="H202" s="69" t="str">
        <f aca="false">IF($A202="","",Data_Engine!$V202)</f>
        <v/>
      </c>
      <c r="I202" s="69" t="str">
        <f aca="false">IF($A202="","",Data_Engine!$W202)</f>
        <v/>
      </c>
      <c r="J202" s="69" t="str">
        <f aca="false">IF($A202="","",Data_Engine!$X202)</f>
        <v/>
      </c>
      <c r="K202" s="69" t="str">
        <f aca="false">IF($A202="","",Data_Engine!$Y202)</f>
        <v/>
      </c>
      <c r="L202" s="69" t="str">
        <f aca="false">IF($A202="","",Data_Engine!$Z202)</f>
        <v/>
      </c>
      <c r="M202" s="69" t="str">
        <f aca="false">IF($A202="","",Data_Engine!$AA202)</f>
        <v/>
      </c>
      <c r="N202" s="69" t="str">
        <f aca="false">IF($A202="","",Data_Engine!$AB202)</f>
        <v/>
      </c>
      <c r="O202" s="69" t="str">
        <f aca="false">IF($A202="","",Data_Engine!$AC202)</f>
        <v/>
      </c>
      <c r="P202" s="69" t="str">
        <f aca="false">IF($A202="","",Data_Engine!$AH202)</f>
        <v/>
      </c>
      <c r="Q202" s="70" t="str">
        <f aca="false">IF($A202="","",Data_Engine!$AD202)</f>
        <v/>
      </c>
      <c r="R202" s="69" t="str">
        <f aca="false">IF($A202="","",Data_Engine!$AF202)</f>
        <v/>
      </c>
      <c r="S202" s="71" t="str">
        <f aca="false">IF($A202="","",$Q202-$R202)</f>
        <v/>
      </c>
      <c r="T202" s="72" t="str">
        <f aca="false">IF($A202="","",IF(ROUND($R202,2)=0,"n/a",$S202/ABS($R202)))</f>
        <v/>
      </c>
      <c r="U202" s="69" t="str">
        <f aca="false">IF($A202="","",Data_Engine!$AG202)</f>
        <v/>
      </c>
      <c r="V202" s="73" t="str">
        <f aca="false">IF($A202="","",$Q202-$U202)</f>
        <v/>
      </c>
      <c r="W202" s="72" t="str">
        <f aca="false">IF($A202="","",IF(ROUND($U202,2)=0,"n/a",$V202/ABS($U202)))</f>
        <v/>
      </c>
      <c r="X202" s="74" t="str">
        <f aca="false">IF($A202="","",IF(AND(ROUND($Q202,2)=0,ROUND($R202,2)=0),"No Activity",IF(ABS($S202)&lt;Setup!$B$14,"Low",IF(ROUND($R202,2)=0,"High",IF(OR(ABS($S202/$R202)&gt;=Setup!$B$16,ABS($S202)&gt;=Setup!$B$17),"High",IF(ABS($S202/$R202)&gt;=Setup!$B$15,"Medium","Low"))))))</f>
        <v/>
      </c>
      <c r="Y202" s="57"/>
      <c r="Z202" s="75" t="n">
        <f aca="false">IF($A202="",-1000000000000000,IF(ROUND(ABS($S202),0)=0,-1000000000000000,ABS($S202)+ROW()/1000000))</f>
        <v>-1000000000000000</v>
      </c>
    </row>
    <row r="203" customFormat="false" ht="15" hidden="false" customHeight="false" outlineLevel="0" collapsed="false">
      <c r="A203" s="68" t="str">
        <f aca="false">IF(Data_Engine!$A203="","",Data_Engine!$A203)</f>
        <v/>
      </c>
      <c r="B203" s="42" t="str">
        <f aca="false">IF($A203="","",Data_Engine!$B203)</f>
        <v/>
      </c>
      <c r="C203" s="42" t="str">
        <f aca="false">IF($A203="","",Data_Engine!$D203)</f>
        <v/>
      </c>
      <c r="D203" s="69" t="str">
        <f aca="false">IF($A203="","",Data_Engine!$R203)</f>
        <v/>
      </c>
      <c r="E203" s="69" t="str">
        <f aca="false">IF($A203="","",Data_Engine!$S203)</f>
        <v/>
      </c>
      <c r="F203" s="69" t="str">
        <f aca="false">IF($A203="","",Data_Engine!$T203)</f>
        <v/>
      </c>
      <c r="G203" s="69" t="str">
        <f aca="false">IF($A203="","",Data_Engine!$U203)</f>
        <v/>
      </c>
      <c r="H203" s="69" t="str">
        <f aca="false">IF($A203="","",Data_Engine!$V203)</f>
        <v/>
      </c>
      <c r="I203" s="69" t="str">
        <f aca="false">IF($A203="","",Data_Engine!$W203)</f>
        <v/>
      </c>
      <c r="J203" s="69" t="str">
        <f aca="false">IF($A203="","",Data_Engine!$X203)</f>
        <v/>
      </c>
      <c r="K203" s="69" t="str">
        <f aca="false">IF($A203="","",Data_Engine!$Y203)</f>
        <v/>
      </c>
      <c r="L203" s="69" t="str">
        <f aca="false">IF($A203="","",Data_Engine!$Z203)</f>
        <v/>
      </c>
      <c r="M203" s="69" t="str">
        <f aca="false">IF($A203="","",Data_Engine!$AA203)</f>
        <v/>
      </c>
      <c r="N203" s="69" t="str">
        <f aca="false">IF($A203="","",Data_Engine!$AB203)</f>
        <v/>
      </c>
      <c r="O203" s="69" t="str">
        <f aca="false">IF($A203="","",Data_Engine!$AC203)</f>
        <v/>
      </c>
      <c r="P203" s="69" t="str">
        <f aca="false">IF($A203="","",Data_Engine!$AH203)</f>
        <v/>
      </c>
      <c r="Q203" s="70" t="str">
        <f aca="false">IF($A203="","",Data_Engine!$AD203)</f>
        <v/>
      </c>
      <c r="R203" s="69" t="str">
        <f aca="false">IF($A203="","",Data_Engine!$AF203)</f>
        <v/>
      </c>
      <c r="S203" s="71" t="str">
        <f aca="false">IF($A203="","",$Q203-$R203)</f>
        <v/>
      </c>
      <c r="T203" s="72" t="str">
        <f aca="false">IF($A203="","",IF(ROUND($R203,2)=0,"n/a",$S203/ABS($R203)))</f>
        <v/>
      </c>
      <c r="U203" s="69" t="str">
        <f aca="false">IF($A203="","",Data_Engine!$AG203)</f>
        <v/>
      </c>
      <c r="V203" s="73" t="str">
        <f aca="false">IF($A203="","",$Q203-$U203)</f>
        <v/>
      </c>
      <c r="W203" s="72" t="str">
        <f aca="false">IF($A203="","",IF(ROUND($U203,2)=0,"n/a",$V203/ABS($U203)))</f>
        <v/>
      </c>
      <c r="X203" s="74" t="str">
        <f aca="false">IF($A203="","",IF(AND(ROUND($Q203,2)=0,ROUND($R203,2)=0),"No Activity",IF(ABS($S203)&lt;Setup!$B$14,"Low",IF(ROUND($R203,2)=0,"High",IF(OR(ABS($S203/$R203)&gt;=Setup!$B$16,ABS($S203)&gt;=Setup!$B$17),"High",IF(ABS($S203/$R203)&gt;=Setup!$B$15,"Medium","Low"))))))</f>
        <v/>
      </c>
      <c r="Y203" s="57"/>
      <c r="Z203" s="75" t="n">
        <f aca="false">IF($A203="",-1000000000000000,IF(ROUND(ABS($S203),0)=0,-1000000000000000,ABS($S203)+ROW()/1000000))</f>
        <v>-1000000000000000</v>
      </c>
    </row>
    <row r="204" customFormat="false" ht="15" hidden="false" customHeight="false" outlineLevel="0" collapsed="false">
      <c r="A204" s="68" t="str">
        <f aca="false">IF(Data_Engine!$A204="","",Data_Engine!$A204)</f>
        <v/>
      </c>
      <c r="B204" s="42" t="str">
        <f aca="false">IF($A204="","",Data_Engine!$B204)</f>
        <v/>
      </c>
      <c r="C204" s="42" t="str">
        <f aca="false">IF($A204="","",Data_Engine!$D204)</f>
        <v/>
      </c>
      <c r="D204" s="69" t="str">
        <f aca="false">IF($A204="","",Data_Engine!$R204)</f>
        <v/>
      </c>
      <c r="E204" s="69" t="str">
        <f aca="false">IF($A204="","",Data_Engine!$S204)</f>
        <v/>
      </c>
      <c r="F204" s="69" t="str">
        <f aca="false">IF($A204="","",Data_Engine!$T204)</f>
        <v/>
      </c>
      <c r="G204" s="69" t="str">
        <f aca="false">IF($A204="","",Data_Engine!$U204)</f>
        <v/>
      </c>
      <c r="H204" s="69" t="str">
        <f aca="false">IF($A204="","",Data_Engine!$V204)</f>
        <v/>
      </c>
      <c r="I204" s="69" t="str">
        <f aca="false">IF($A204="","",Data_Engine!$W204)</f>
        <v/>
      </c>
      <c r="J204" s="69" t="str">
        <f aca="false">IF($A204="","",Data_Engine!$X204)</f>
        <v/>
      </c>
      <c r="K204" s="69" t="str">
        <f aca="false">IF($A204="","",Data_Engine!$Y204)</f>
        <v/>
      </c>
      <c r="L204" s="69" t="str">
        <f aca="false">IF($A204="","",Data_Engine!$Z204)</f>
        <v/>
      </c>
      <c r="M204" s="69" t="str">
        <f aca="false">IF($A204="","",Data_Engine!$AA204)</f>
        <v/>
      </c>
      <c r="N204" s="69" t="str">
        <f aca="false">IF($A204="","",Data_Engine!$AB204)</f>
        <v/>
      </c>
      <c r="O204" s="69" t="str">
        <f aca="false">IF($A204="","",Data_Engine!$AC204)</f>
        <v/>
      </c>
      <c r="P204" s="69" t="str">
        <f aca="false">IF($A204="","",Data_Engine!$AH204)</f>
        <v/>
      </c>
      <c r="Q204" s="70" t="str">
        <f aca="false">IF($A204="","",Data_Engine!$AD204)</f>
        <v/>
      </c>
      <c r="R204" s="69" t="str">
        <f aca="false">IF($A204="","",Data_Engine!$AF204)</f>
        <v/>
      </c>
      <c r="S204" s="71" t="str">
        <f aca="false">IF($A204="","",$Q204-$R204)</f>
        <v/>
      </c>
      <c r="T204" s="72" t="str">
        <f aca="false">IF($A204="","",IF(ROUND($R204,2)=0,"n/a",$S204/ABS($R204)))</f>
        <v/>
      </c>
      <c r="U204" s="69" t="str">
        <f aca="false">IF($A204="","",Data_Engine!$AG204)</f>
        <v/>
      </c>
      <c r="V204" s="73" t="str">
        <f aca="false">IF($A204="","",$Q204-$U204)</f>
        <v/>
      </c>
      <c r="W204" s="72" t="str">
        <f aca="false">IF($A204="","",IF(ROUND($U204,2)=0,"n/a",$V204/ABS($U204)))</f>
        <v/>
      </c>
      <c r="X204" s="74" t="str">
        <f aca="false">IF($A204="","",IF(AND(ROUND($Q204,2)=0,ROUND($R204,2)=0),"No Activity",IF(ABS($S204)&lt;Setup!$B$14,"Low",IF(ROUND($R204,2)=0,"High",IF(OR(ABS($S204/$R204)&gt;=Setup!$B$16,ABS($S204)&gt;=Setup!$B$17),"High",IF(ABS($S204/$R204)&gt;=Setup!$B$15,"Medium","Low"))))))</f>
        <v/>
      </c>
      <c r="Y204" s="57"/>
      <c r="Z204" s="75" t="n">
        <f aca="false">IF($A204="",-1000000000000000,IF(ROUND(ABS($S204),0)=0,-1000000000000000,ABS($S204)+ROW()/1000000))</f>
        <v>-1000000000000000</v>
      </c>
    </row>
    <row r="205" customFormat="false" ht="15" hidden="false" customHeight="false" outlineLevel="0" collapsed="false">
      <c r="A205" s="68" t="str">
        <f aca="false">IF(Data_Engine!$A205="","",Data_Engine!$A205)</f>
        <v/>
      </c>
      <c r="B205" s="42" t="str">
        <f aca="false">IF($A205="","",Data_Engine!$B205)</f>
        <v/>
      </c>
      <c r="C205" s="42" t="str">
        <f aca="false">IF($A205="","",Data_Engine!$D205)</f>
        <v/>
      </c>
      <c r="D205" s="69" t="str">
        <f aca="false">IF($A205="","",Data_Engine!$R205)</f>
        <v/>
      </c>
      <c r="E205" s="69" t="str">
        <f aca="false">IF($A205="","",Data_Engine!$S205)</f>
        <v/>
      </c>
      <c r="F205" s="69" t="str">
        <f aca="false">IF($A205="","",Data_Engine!$T205)</f>
        <v/>
      </c>
      <c r="G205" s="69" t="str">
        <f aca="false">IF($A205="","",Data_Engine!$U205)</f>
        <v/>
      </c>
      <c r="H205" s="69" t="str">
        <f aca="false">IF($A205="","",Data_Engine!$V205)</f>
        <v/>
      </c>
      <c r="I205" s="69" t="str">
        <f aca="false">IF($A205="","",Data_Engine!$W205)</f>
        <v/>
      </c>
      <c r="J205" s="69" t="str">
        <f aca="false">IF($A205="","",Data_Engine!$X205)</f>
        <v/>
      </c>
      <c r="K205" s="69" t="str">
        <f aca="false">IF($A205="","",Data_Engine!$Y205)</f>
        <v/>
      </c>
      <c r="L205" s="69" t="str">
        <f aca="false">IF($A205="","",Data_Engine!$Z205)</f>
        <v/>
      </c>
      <c r="M205" s="69" t="str">
        <f aca="false">IF($A205="","",Data_Engine!$AA205)</f>
        <v/>
      </c>
      <c r="N205" s="69" t="str">
        <f aca="false">IF($A205="","",Data_Engine!$AB205)</f>
        <v/>
      </c>
      <c r="O205" s="69" t="str">
        <f aca="false">IF($A205="","",Data_Engine!$AC205)</f>
        <v/>
      </c>
      <c r="P205" s="69" t="str">
        <f aca="false">IF($A205="","",Data_Engine!$AH205)</f>
        <v/>
      </c>
      <c r="Q205" s="70" t="str">
        <f aca="false">IF($A205="","",Data_Engine!$AD205)</f>
        <v/>
      </c>
      <c r="R205" s="69" t="str">
        <f aca="false">IF($A205="","",Data_Engine!$AF205)</f>
        <v/>
      </c>
      <c r="S205" s="71" t="str">
        <f aca="false">IF($A205="","",$Q205-$R205)</f>
        <v/>
      </c>
      <c r="T205" s="72" t="str">
        <f aca="false">IF($A205="","",IF(ROUND($R205,2)=0,"n/a",$S205/ABS($R205)))</f>
        <v/>
      </c>
      <c r="U205" s="69" t="str">
        <f aca="false">IF($A205="","",Data_Engine!$AG205)</f>
        <v/>
      </c>
      <c r="V205" s="73" t="str">
        <f aca="false">IF($A205="","",$Q205-$U205)</f>
        <v/>
      </c>
      <c r="W205" s="72" t="str">
        <f aca="false">IF($A205="","",IF(ROUND($U205,2)=0,"n/a",$V205/ABS($U205)))</f>
        <v/>
      </c>
      <c r="X205" s="74" t="str">
        <f aca="false">IF($A205="","",IF(AND(ROUND($Q205,2)=0,ROUND($R205,2)=0),"No Activity",IF(ABS($S205)&lt;Setup!$B$14,"Low",IF(ROUND($R205,2)=0,"High",IF(OR(ABS($S205/$R205)&gt;=Setup!$B$16,ABS($S205)&gt;=Setup!$B$17),"High",IF(ABS($S205/$R205)&gt;=Setup!$B$15,"Medium","Low"))))))</f>
        <v/>
      </c>
      <c r="Y205" s="57"/>
      <c r="Z205" s="75" t="n">
        <f aca="false">IF($A205="",-1000000000000000,IF(ROUND(ABS($S205),0)=0,-1000000000000000,ABS($S205)+ROW()/1000000))</f>
        <v>-1000000000000000</v>
      </c>
    </row>
    <row r="206" customFormat="false" ht="15" hidden="false" customHeight="false" outlineLevel="0" collapsed="false">
      <c r="A206" s="68" t="str">
        <f aca="false">IF(Data_Engine!$A206="","",Data_Engine!$A206)</f>
        <v/>
      </c>
      <c r="B206" s="42" t="str">
        <f aca="false">IF($A206="","",Data_Engine!$B206)</f>
        <v/>
      </c>
      <c r="C206" s="42" t="str">
        <f aca="false">IF($A206="","",Data_Engine!$D206)</f>
        <v/>
      </c>
      <c r="D206" s="69" t="str">
        <f aca="false">IF($A206="","",Data_Engine!$R206)</f>
        <v/>
      </c>
      <c r="E206" s="69" t="str">
        <f aca="false">IF($A206="","",Data_Engine!$S206)</f>
        <v/>
      </c>
      <c r="F206" s="69" t="str">
        <f aca="false">IF($A206="","",Data_Engine!$T206)</f>
        <v/>
      </c>
      <c r="G206" s="69" t="str">
        <f aca="false">IF($A206="","",Data_Engine!$U206)</f>
        <v/>
      </c>
      <c r="H206" s="69" t="str">
        <f aca="false">IF($A206="","",Data_Engine!$V206)</f>
        <v/>
      </c>
      <c r="I206" s="69" t="str">
        <f aca="false">IF($A206="","",Data_Engine!$W206)</f>
        <v/>
      </c>
      <c r="J206" s="69" t="str">
        <f aca="false">IF($A206="","",Data_Engine!$X206)</f>
        <v/>
      </c>
      <c r="K206" s="69" t="str">
        <f aca="false">IF($A206="","",Data_Engine!$Y206)</f>
        <v/>
      </c>
      <c r="L206" s="69" t="str">
        <f aca="false">IF($A206="","",Data_Engine!$Z206)</f>
        <v/>
      </c>
      <c r="M206" s="69" t="str">
        <f aca="false">IF($A206="","",Data_Engine!$AA206)</f>
        <v/>
      </c>
      <c r="N206" s="69" t="str">
        <f aca="false">IF($A206="","",Data_Engine!$AB206)</f>
        <v/>
      </c>
      <c r="O206" s="69" t="str">
        <f aca="false">IF($A206="","",Data_Engine!$AC206)</f>
        <v/>
      </c>
      <c r="P206" s="69" t="str">
        <f aca="false">IF($A206="","",Data_Engine!$AH206)</f>
        <v/>
      </c>
      <c r="Q206" s="70" t="str">
        <f aca="false">IF($A206="","",Data_Engine!$AD206)</f>
        <v/>
      </c>
      <c r="R206" s="69" t="str">
        <f aca="false">IF($A206="","",Data_Engine!$AF206)</f>
        <v/>
      </c>
      <c r="S206" s="71" t="str">
        <f aca="false">IF($A206="","",$Q206-$R206)</f>
        <v/>
      </c>
      <c r="T206" s="72" t="str">
        <f aca="false">IF($A206="","",IF(ROUND($R206,2)=0,"n/a",$S206/ABS($R206)))</f>
        <v/>
      </c>
      <c r="U206" s="69" t="str">
        <f aca="false">IF($A206="","",Data_Engine!$AG206)</f>
        <v/>
      </c>
      <c r="V206" s="73" t="str">
        <f aca="false">IF($A206="","",$Q206-$U206)</f>
        <v/>
      </c>
      <c r="W206" s="72" t="str">
        <f aca="false">IF($A206="","",IF(ROUND($U206,2)=0,"n/a",$V206/ABS($U206)))</f>
        <v/>
      </c>
      <c r="X206" s="74" t="str">
        <f aca="false">IF($A206="","",IF(AND(ROUND($Q206,2)=0,ROUND($R206,2)=0),"No Activity",IF(ABS($S206)&lt;Setup!$B$14,"Low",IF(ROUND($R206,2)=0,"High",IF(OR(ABS($S206/$R206)&gt;=Setup!$B$16,ABS($S206)&gt;=Setup!$B$17),"High",IF(ABS($S206/$R206)&gt;=Setup!$B$15,"Medium","Low"))))))</f>
        <v/>
      </c>
      <c r="Y206" s="57"/>
      <c r="Z206" s="75" t="n">
        <f aca="false">IF($A206="",-1000000000000000,IF(ROUND(ABS($S206),0)=0,-1000000000000000,ABS($S206)+ROW()/1000000))</f>
        <v>-1000000000000000</v>
      </c>
    </row>
    <row r="207" customFormat="false" ht="15" hidden="false" customHeight="false" outlineLevel="0" collapsed="false">
      <c r="A207" s="68" t="str">
        <f aca="false">IF(Data_Engine!$A207="","",Data_Engine!$A207)</f>
        <v/>
      </c>
      <c r="B207" s="42" t="str">
        <f aca="false">IF($A207="","",Data_Engine!$B207)</f>
        <v/>
      </c>
      <c r="C207" s="42" t="str">
        <f aca="false">IF($A207="","",Data_Engine!$D207)</f>
        <v/>
      </c>
      <c r="D207" s="69" t="str">
        <f aca="false">IF($A207="","",Data_Engine!$R207)</f>
        <v/>
      </c>
      <c r="E207" s="69" t="str">
        <f aca="false">IF($A207="","",Data_Engine!$S207)</f>
        <v/>
      </c>
      <c r="F207" s="69" t="str">
        <f aca="false">IF($A207="","",Data_Engine!$T207)</f>
        <v/>
      </c>
      <c r="G207" s="69" t="str">
        <f aca="false">IF($A207="","",Data_Engine!$U207)</f>
        <v/>
      </c>
      <c r="H207" s="69" t="str">
        <f aca="false">IF($A207="","",Data_Engine!$V207)</f>
        <v/>
      </c>
      <c r="I207" s="69" t="str">
        <f aca="false">IF($A207="","",Data_Engine!$W207)</f>
        <v/>
      </c>
      <c r="J207" s="69" t="str">
        <f aca="false">IF($A207="","",Data_Engine!$X207)</f>
        <v/>
      </c>
      <c r="K207" s="69" t="str">
        <f aca="false">IF($A207="","",Data_Engine!$Y207)</f>
        <v/>
      </c>
      <c r="L207" s="69" t="str">
        <f aca="false">IF($A207="","",Data_Engine!$Z207)</f>
        <v/>
      </c>
      <c r="M207" s="69" t="str">
        <f aca="false">IF($A207="","",Data_Engine!$AA207)</f>
        <v/>
      </c>
      <c r="N207" s="69" t="str">
        <f aca="false">IF($A207="","",Data_Engine!$AB207)</f>
        <v/>
      </c>
      <c r="O207" s="69" t="str">
        <f aca="false">IF($A207="","",Data_Engine!$AC207)</f>
        <v/>
      </c>
      <c r="P207" s="69" t="str">
        <f aca="false">IF($A207="","",Data_Engine!$AH207)</f>
        <v/>
      </c>
      <c r="Q207" s="70" t="str">
        <f aca="false">IF($A207="","",Data_Engine!$AD207)</f>
        <v/>
      </c>
      <c r="R207" s="69" t="str">
        <f aca="false">IF($A207="","",Data_Engine!$AF207)</f>
        <v/>
      </c>
      <c r="S207" s="71" t="str">
        <f aca="false">IF($A207="","",$Q207-$R207)</f>
        <v/>
      </c>
      <c r="T207" s="72" t="str">
        <f aca="false">IF($A207="","",IF(ROUND($R207,2)=0,"n/a",$S207/ABS($R207)))</f>
        <v/>
      </c>
      <c r="U207" s="69" t="str">
        <f aca="false">IF($A207="","",Data_Engine!$AG207)</f>
        <v/>
      </c>
      <c r="V207" s="73" t="str">
        <f aca="false">IF($A207="","",$Q207-$U207)</f>
        <v/>
      </c>
      <c r="W207" s="72" t="str">
        <f aca="false">IF($A207="","",IF(ROUND($U207,2)=0,"n/a",$V207/ABS($U207)))</f>
        <v/>
      </c>
      <c r="X207" s="74" t="str">
        <f aca="false">IF($A207="","",IF(AND(ROUND($Q207,2)=0,ROUND($R207,2)=0),"No Activity",IF(ABS($S207)&lt;Setup!$B$14,"Low",IF(ROUND($R207,2)=0,"High",IF(OR(ABS($S207/$R207)&gt;=Setup!$B$16,ABS($S207)&gt;=Setup!$B$17),"High",IF(ABS($S207/$R207)&gt;=Setup!$B$15,"Medium","Low"))))))</f>
        <v/>
      </c>
      <c r="Y207" s="57"/>
      <c r="Z207" s="75" t="n">
        <f aca="false">IF($A207="",-1000000000000000,IF(ROUND(ABS($S207),0)=0,-1000000000000000,ABS($S207)+ROW()/1000000))</f>
        <v>-1000000000000000</v>
      </c>
    </row>
    <row r="208" customFormat="false" ht="15" hidden="false" customHeight="false" outlineLevel="0" collapsed="false">
      <c r="A208" s="68" t="str">
        <f aca="false">IF(Data_Engine!$A208="","",Data_Engine!$A208)</f>
        <v/>
      </c>
      <c r="B208" s="42" t="str">
        <f aca="false">IF($A208="","",Data_Engine!$B208)</f>
        <v/>
      </c>
      <c r="C208" s="42" t="str">
        <f aca="false">IF($A208="","",Data_Engine!$D208)</f>
        <v/>
      </c>
      <c r="D208" s="69" t="str">
        <f aca="false">IF($A208="","",Data_Engine!$R208)</f>
        <v/>
      </c>
      <c r="E208" s="69" t="str">
        <f aca="false">IF($A208="","",Data_Engine!$S208)</f>
        <v/>
      </c>
      <c r="F208" s="69" t="str">
        <f aca="false">IF($A208="","",Data_Engine!$T208)</f>
        <v/>
      </c>
      <c r="G208" s="69" t="str">
        <f aca="false">IF($A208="","",Data_Engine!$U208)</f>
        <v/>
      </c>
      <c r="H208" s="69" t="str">
        <f aca="false">IF($A208="","",Data_Engine!$V208)</f>
        <v/>
      </c>
      <c r="I208" s="69" t="str">
        <f aca="false">IF($A208="","",Data_Engine!$W208)</f>
        <v/>
      </c>
      <c r="J208" s="69" t="str">
        <f aca="false">IF($A208="","",Data_Engine!$X208)</f>
        <v/>
      </c>
      <c r="K208" s="69" t="str">
        <f aca="false">IF($A208="","",Data_Engine!$Y208)</f>
        <v/>
      </c>
      <c r="L208" s="69" t="str">
        <f aca="false">IF($A208="","",Data_Engine!$Z208)</f>
        <v/>
      </c>
      <c r="M208" s="69" t="str">
        <f aca="false">IF($A208="","",Data_Engine!$AA208)</f>
        <v/>
      </c>
      <c r="N208" s="69" t="str">
        <f aca="false">IF($A208="","",Data_Engine!$AB208)</f>
        <v/>
      </c>
      <c r="O208" s="69" t="str">
        <f aca="false">IF($A208="","",Data_Engine!$AC208)</f>
        <v/>
      </c>
      <c r="P208" s="69" t="str">
        <f aca="false">IF($A208="","",Data_Engine!$AH208)</f>
        <v/>
      </c>
      <c r="Q208" s="70" t="str">
        <f aca="false">IF($A208="","",Data_Engine!$AD208)</f>
        <v/>
      </c>
      <c r="R208" s="69" t="str">
        <f aca="false">IF($A208="","",Data_Engine!$AF208)</f>
        <v/>
      </c>
      <c r="S208" s="71" t="str">
        <f aca="false">IF($A208="","",$Q208-$R208)</f>
        <v/>
      </c>
      <c r="T208" s="72" t="str">
        <f aca="false">IF($A208="","",IF(ROUND($R208,2)=0,"n/a",$S208/ABS($R208)))</f>
        <v/>
      </c>
      <c r="U208" s="69" t="str">
        <f aca="false">IF($A208="","",Data_Engine!$AG208)</f>
        <v/>
      </c>
      <c r="V208" s="73" t="str">
        <f aca="false">IF($A208="","",$Q208-$U208)</f>
        <v/>
      </c>
      <c r="W208" s="72" t="str">
        <f aca="false">IF($A208="","",IF(ROUND($U208,2)=0,"n/a",$V208/ABS($U208)))</f>
        <v/>
      </c>
      <c r="X208" s="74" t="str">
        <f aca="false">IF($A208="","",IF(AND(ROUND($Q208,2)=0,ROUND($R208,2)=0),"No Activity",IF(ABS($S208)&lt;Setup!$B$14,"Low",IF(ROUND($R208,2)=0,"High",IF(OR(ABS($S208/$R208)&gt;=Setup!$B$16,ABS($S208)&gt;=Setup!$B$17),"High",IF(ABS($S208/$R208)&gt;=Setup!$B$15,"Medium","Low"))))))</f>
        <v/>
      </c>
      <c r="Y208" s="57"/>
      <c r="Z208" s="75" t="n">
        <f aca="false">IF($A208="",-1000000000000000,IF(ROUND(ABS($S208),0)=0,-1000000000000000,ABS($S208)+ROW()/1000000))</f>
        <v>-1000000000000000</v>
      </c>
    </row>
    <row r="209" customFormat="false" ht="15" hidden="false" customHeight="false" outlineLevel="0" collapsed="false">
      <c r="A209" s="68" t="str">
        <f aca="false">IF(Data_Engine!$A209="","",Data_Engine!$A209)</f>
        <v/>
      </c>
      <c r="B209" s="42" t="str">
        <f aca="false">IF($A209="","",Data_Engine!$B209)</f>
        <v/>
      </c>
      <c r="C209" s="42" t="str">
        <f aca="false">IF($A209="","",Data_Engine!$D209)</f>
        <v/>
      </c>
      <c r="D209" s="69" t="str">
        <f aca="false">IF($A209="","",Data_Engine!$R209)</f>
        <v/>
      </c>
      <c r="E209" s="69" t="str">
        <f aca="false">IF($A209="","",Data_Engine!$S209)</f>
        <v/>
      </c>
      <c r="F209" s="69" t="str">
        <f aca="false">IF($A209="","",Data_Engine!$T209)</f>
        <v/>
      </c>
      <c r="G209" s="69" t="str">
        <f aca="false">IF($A209="","",Data_Engine!$U209)</f>
        <v/>
      </c>
      <c r="H209" s="69" t="str">
        <f aca="false">IF($A209="","",Data_Engine!$V209)</f>
        <v/>
      </c>
      <c r="I209" s="69" t="str">
        <f aca="false">IF($A209="","",Data_Engine!$W209)</f>
        <v/>
      </c>
      <c r="J209" s="69" t="str">
        <f aca="false">IF($A209="","",Data_Engine!$X209)</f>
        <v/>
      </c>
      <c r="K209" s="69" t="str">
        <f aca="false">IF($A209="","",Data_Engine!$Y209)</f>
        <v/>
      </c>
      <c r="L209" s="69" t="str">
        <f aca="false">IF($A209="","",Data_Engine!$Z209)</f>
        <v/>
      </c>
      <c r="M209" s="69" t="str">
        <f aca="false">IF($A209="","",Data_Engine!$AA209)</f>
        <v/>
      </c>
      <c r="N209" s="69" t="str">
        <f aca="false">IF($A209="","",Data_Engine!$AB209)</f>
        <v/>
      </c>
      <c r="O209" s="69" t="str">
        <f aca="false">IF($A209="","",Data_Engine!$AC209)</f>
        <v/>
      </c>
      <c r="P209" s="69" t="str">
        <f aca="false">IF($A209="","",Data_Engine!$AH209)</f>
        <v/>
      </c>
      <c r="Q209" s="70" t="str">
        <f aca="false">IF($A209="","",Data_Engine!$AD209)</f>
        <v/>
      </c>
      <c r="R209" s="69" t="str">
        <f aca="false">IF($A209="","",Data_Engine!$AF209)</f>
        <v/>
      </c>
      <c r="S209" s="71" t="str">
        <f aca="false">IF($A209="","",$Q209-$R209)</f>
        <v/>
      </c>
      <c r="T209" s="72" t="str">
        <f aca="false">IF($A209="","",IF(ROUND($R209,2)=0,"n/a",$S209/ABS($R209)))</f>
        <v/>
      </c>
      <c r="U209" s="69" t="str">
        <f aca="false">IF($A209="","",Data_Engine!$AG209)</f>
        <v/>
      </c>
      <c r="V209" s="73" t="str">
        <f aca="false">IF($A209="","",$Q209-$U209)</f>
        <v/>
      </c>
      <c r="W209" s="72" t="str">
        <f aca="false">IF($A209="","",IF(ROUND($U209,2)=0,"n/a",$V209/ABS($U209)))</f>
        <v/>
      </c>
      <c r="X209" s="74" t="str">
        <f aca="false">IF($A209="","",IF(AND(ROUND($Q209,2)=0,ROUND($R209,2)=0),"No Activity",IF(ABS($S209)&lt;Setup!$B$14,"Low",IF(ROUND($R209,2)=0,"High",IF(OR(ABS($S209/$R209)&gt;=Setup!$B$16,ABS($S209)&gt;=Setup!$B$17),"High",IF(ABS($S209/$R209)&gt;=Setup!$B$15,"Medium","Low"))))))</f>
        <v/>
      </c>
      <c r="Y209" s="57"/>
      <c r="Z209" s="75" t="n">
        <f aca="false">IF($A209="",-1000000000000000,IF(ROUND(ABS($S209),0)=0,-1000000000000000,ABS($S209)+ROW()/1000000))</f>
        <v>-1000000000000000</v>
      </c>
    </row>
    <row r="210" customFormat="false" ht="15" hidden="false" customHeight="false" outlineLevel="0" collapsed="false">
      <c r="A210" s="68" t="str">
        <f aca="false">IF(Data_Engine!$A210="","",Data_Engine!$A210)</f>
        <v/>
      </c>
      <c r="B210" s="42" t="str">
        <f aca="false">IF($A210="","",Data_Engine!$B210)</f>
        <v/>
      </c>
      <c r="C210" s="42" t="str">
        <f aca="false">IF($A210="","",Data_Engine!$D210)</f>
        <v/>
      </c>
      <c r="D210" s="69" t="str">
        <f aca="false">IF($A210="","",Data_Engine!$R210)</f>
        <v/>
      </c>
      <c r="E210" s="69" t="str">
        <f aca="false">IF($A210="","",Data_Engine!$S210)</f>
        <v/>
      </c>
      <c r="F210" s="69" t="str">
        <f aca="false">IF($A210="","",Data_Engine!$T210)</f>
        <v/>
      </c>
      <c r="G210" s="69" t="str">
        <f aca="false">IF($A210="","",Data_Engine!$U210)</f>
        <v/>
      </c>
      <c r="H210" s="69" t="str">
        <f aca="false">IF($A210="","",Data_Engine!$V210)</f>
        <v/>
      </c>
      <c r="I210" s="69" t="str">
        <f aca="false">IF($A210="","",Data_Engine!$W210)</f>
        <v/>
      </c>
      <c r="J210" s="69" t="str">
        <f aca="false">IF($A210="","",Data_Engine!$X210)</f>
        <v/>
      </c>
      <c r="K210" s="69" t="str">
        <f aca="false">IF($A210="","",Data_Engine!$Y210)</f>
        <v/>
      </c>
      <c r="L210" s="69" t="str">
        <f aca="false">IF($A210="","",Data_Engine!$Z210)</f>
        <v/>
      </c>
      <c r="M210" s="69" t="str">
        <f aca="false">IF($A210="","",Data_Engine!$AA210)</f>
        <v/>
      </c>
      <c r="N210" s="69" t="str">
        <f aca="false">IF($A210="","",Data_Engine!$AB210)</f>
        <v/>
      </c>
      <c r="O210" s="69" t="str">
        <f aca="false">IF($A210="","",Data_Engine!$AC210)</f>
        <v/>
      </c>
      <c r="P210" s="69" t="str">
        <f aca="false">IF($A210="","",Data_Engine!$AH210)</f>
        <v/>
      </c>
      <c r="Q210" s="70" t="str">
        <f aca="false">IF($A210="","",Data_Engine!$AD210)</f>
        <v/>
      </c>
      <c r="R210" s="69" t="str">
        <f aca="false">IF($A210="","",Data_Engine!$AF210)</f>
        <v/>
      </c>
      <c r="S210" s="71" t="str">
        <f aca="false">IF($A210="","",$Q210-$R210)</f>
        <v/>
      </c>
      <c r="T210" s="72" t="str">
        <f aca="false">IF($A210="","",IF(ROUND($R210,2)=0,"n/a",$S210/ABS($R210)))</f>
        <v/>
      </c>
      <c r="U210" s="69" t="str">
        <f aca="false">IF($A210="","",Data_Engine!$AG210)</f>
        <v/>
      </c>
      <c r="V210" s="73" t="str">
        <f aca="false">IF($A210="","",$Q210-$U210)</f>
        <v/>
      </c>
      <c r="W210" s="72" t="str">
        <f aca="false">IF($A210="","",IF(ROUND($U210,2)=0,"n/a",$V210/ABS($U210)))</f>
        <v/>
      </c>
      <c r="X210" s="74" t="str">
        <f aca="false">IF($A210="","",IF(AND(ROUND($Q210,2)=0,ROUND($R210,2)=0),"No Activity",IF(ABS($S210)&lt;Setup!$B$14,"Low",IF(ROUND($R210,2)=0,"High",IF(OR(ABS($S210/$R210)&gt;=Setup!$B$16,ABS($S210)&gt;=Setup!$B$17),"High",IF(ABS($S210/$R210)&gt;=Setup!$B$15,"Medium","Low"))))))</f>
        <v/>
      </c>
      <c r="Y210" s="57"/>
      <c r="Z210" s="75" t="n">
        <f aca="false">IF($A210="",-1000000000000000,IF(ROUND(ABS($S210),0)=0,-1000000000000000,ABS($S210)+ROW()/1000000))</f>
        <v>-1000000000000000</v>
      </c>
    </row>
    <row r="211" customFormat="false" ht="15" hidden="false" customHeight="false" outlineLevel="0" collapsed="false">
      <c r="A211" s="68" t="str">
        <f aca="false">IF(Data_Engine!$A211="","",Data_Engine!$A211)</f>
        <v/>
      </c>
      <c r="B211" s="42" t="str">
        <f aca="false">IF($A211="","",Data_Engine!$B211)</f>
        <v/>
      </c>
      <c r="C211" s="42" t="str">
        <f aca="false">IF($A211="","",Data_Engine!$D211)</f>
        <v/>
      </c>
      <c r="D211" s="69" t="str">
        <f aca="false">IF($A211="","",Data_Engine!$R211)</f>
        <v/>
      </c>
      <c r="E211" s="69" t="str">
        <f aca="false">IF($A211="","",Data_Engine!$S211)</f>
        <v/>
      </c>
      <c r="F211" s="69" t="str">
        <f aca="false">IF($A211="","",Data_Engine!$T211)</f>
        <v/>
      </c>
      <c r="G211" s="69" t="str">
        <f aca="false">IF($A211="","",Data_Engine!$U211)</f>
        <v/>
      </c>
      <c r="H211" s="69" t="str">
        <f aca="false">IF($A211="","",Data_Engine!$V211)</f>
        <v/>
      </c>
      <c r="I211" s="69" t="str">
        <f aca="false">IF($A211="","",Data_Engine!$W211)</f>
        <v/>
      </c>
      <c r="J211" s="69" t="str">
        <f aca="false">IF($A211="","",Data_Engine!$X211)</f>
        <v/>
      </c>
      <c r="K211" s="69" t="str">
        <f aca="false">IF($A211="","",Data_Engine!$Y211)</f>
        <v/>
      </c>
      <c r="L211" s="69" t="str">
        <f aca="false">IF($A211="","",Data_Engine!$Z211)</f>
        <v/>
      </c>
      <c r="M211" s="69" t="str">
        <f aca="false">IF($A211="","",Data_Engine!$AA211)</f>
        <v/>
      </c>
      <c r="N211" s="69" t="str">
        <f aca="false">IF($A211="","",Data_Engine!$AB211)</f>
        <v/>
      </c>
      <c r="O211" s="69" t="str">
        <f aca="false">IF($A211="","",Data_Engine!$AC211)</f>
        <v/>
      </c>
      <c r="P211" s="69" t="str">
        <f aca="false">IF($A211="","",Data_Engine!$AH211)</f>
        <v/>
      </c>
      <c r="Q211" s="70" t="str">
        <f aca="false">IF($A211="","",Data_Engine!$AD211)</f>
        <v/>
      </c>
      <c r="R211" s="69" t="str">
        <f aca="false">IF($A211="","",Data_Engine!$AF211)</f>
        <v/>
      </c>
      <c r="S211" s="71" t="str">
        <f aca="false">IF($A211="","",$Q211-$R211)</f>
        <v/>
      </c>
      <c r="T211" s="72" t="str">
        <f aca="false">IF($A211="","",IF(ROUND($R211,2)=0,"n/a",$S211/ABS($R211)))</f>
        <v/>
      </c>
      <c r="U211" s="69" t="str">
        <f aca="false">IF($A211="","",Data_Engine!$AG211)</f>
        <v/>
      </c>
      <c r="V211" s="73" t="str">
        <f aca="false">IF($A211="","",$Q211-$U211)</f>
        <v/>
      </c>
      <c r="W211" s="72" t="str">
        <f aca="false">IF($A211="","",IF(ROUND($U211,2)=0,"n/a",$V211/ABS($U211)))</f>
        <v/>
      </c>
      <c r="X211" s="74" t="str">
        <f aca="false">IF($A211="","",IF(AND(ROUND($Q211,2)=0,ROUND($R211,2)=0),"No Activity",IF(ABS($S211)&lt;Setup!$B$14,"Low",IF(ROUND($R211,2)=0,"High",IF(OR(ABS($S211/$R211)&gt;=Setup!$B$16,ABS($S211)&gt;=Setup!$B$17),"High",IF(ABS($S211/$R211)&gt;=Setup!$B$15,"Medium","Low"))))))</f>
        <v/>
      </c>
      <c r="Y211" s="57"/>
      <c r="Z211" s="75" t="n">
        <f aca="false">IF($A211="",-1000000000000000,IF(ROUND(ABS($S211),0)=0,-1000000000000000,ABS($S211)+ROW()/1000000))</f>
        <v>-1000000000000000</v>
      </c>
    </row>
    <row r="212" customFormat="false" ht="15" hidden="false" customHeight="false" outlineLevel="0" collapsed="false">
      <c r="A212" s="68" t="str">
        <f aca="false">IF(Data_Engine!$A212="","",Data_Engine!$A212)</f>
        <v/>
      </c>
      <c r="B212" s="42" t="str">
        <f aca="false">IF($A212="","",Data_Engine!$B212)</f>
        <v/>
      </c>
      <c r="C212" s="42" t="str">
        <f aca="false">IF($A212="","",Data_Engine!$D212)</f>
        <v/>
      </c>
      <c r="D212" s="69" t="str">
        <f aca="false">IF($A212="","",Data_Engine!$R212)</f>
        <v/>
      </c>
      <c r="E212" s="69" t="str">
        <f aca="false">IF($A212="","",Data_Engine!$S212)</f>
        <v/>
      </c>
      <c r="F212" s="69" t="str">
        <f aca="false">IF($A212="","",Data_Engine!$T212)</f>
        <v/>
      </c>
      <c r="G212" s="69" t="str">
        <f aca="false">IF($A212="","",Data_Engine!$U212)</f>
        <v/>
      </c>
      <c r="H212" s="69" t="str">
        <f aca="false">IF($A212="","",Data_Engine!$V212)</f>
        <v/>
      </c>
      <c r="I212" s="69" t="str">
        <f aca="false">IF($A212="","",Data_Engine!$W212)</f>
        <v/>
      </c>
      <c r="J212" s="69" t="str">
        <f aca="false">IF($A212="","",Data_Engine!$X212)</f>
        <v/>
      </c>
      <c r="K212" s="69" t="str">
        <f aca="false">IF($A212="","",Data_Engine!$Y212)</f>
        <v/>
      </c>
      <c r="L212" s="69" t="str">
        <f aca="false">IF($A212="","",Data_Engine!$Z212)</f>
        <v/>
      </c>
      <c r="M212" s="69" t="str">
        <f aca="false">IF($A212="","",Data_Engine!$AA212)</f>
        <v/>
      </c>
      <c r="N212" s="69" t="str">
        <f aca="false">IF($A212="","",Data_Engine!$AB212)</f>
        <v/>
      </c>
      <c r="O212" s="69" t="str">
        <f aca="false">IF($A212="","",Data_Engine!$AC212)</f>
        <v/>
      </c>
      <c r="P212" s="69" t="str">
        <f aca="false">IF($A212="","",Data_Engine!$AH212)</f>
        <v/>
      </c>
      <c r="Q212" s="70" t="str">
        <f aca="false">IF($A212="","",Data_Engine!$AD212)</f>
        <v/>
      </c>
      <c r="R212" s="69" t="str">
        <f aca="false">IF($A212="","",Data_Engine!$AF212)</f>
        <v/>
      </c>
      <c r="S212" s="71" t="str">
        <f aca="false">IF($A212="","",$Q212-$R212)</f>
        <v/>
      </c>
      <c r="T212" s="72" t="str">
        <f aca="false">IF($A212="","",IF(ROUND($R212,2)=0,"n/a",$S212/ABS($R212)))</f>
        <v/>
      </c>
      <c r="U212" s="69" t="str">
        <f aca="false">IF($A212="","",Data_Engine!$AG212)</f>
        <v/>
      </c>
      <c r="V212" s="73" t="str">
        <f aca="false">IF($A212="","",$Q212-$U212)</f>
        <v/>
      </c>
      <c r="W212" s="72" t="str">
        <f aca="false">IF($A212="","",IF(ROUND($U212,2)=0,"n/a",$V212/ABS($U212)))</f>
        <v/>
      </c>
      <c r="X212" s="74" t="str">
        <f aca="false">IF($A212="","",IF(AND(ROUND($Q212,2)=0,ROUND($R212,2)=0),"No Activity",IF(ABS($S212)&lt;Setup!$B$14,"Low",IF(ROUND($R212,2)=0,"High",IF(OR(ABS($S212/$R212)&gt;=Setup!$B$16,ABS($S212)&gt;=Setup!$B$17),"High",IF(ABS($S212/$R212)&gt;=Setup!$B$15,"Medium","Low"))))))</f>
        <v/>
      </c>
      <c r="Y212" s="57"/>
      <c r="Z212" s="75" t="n">
        <f aca="false">IF($A212="",-1000000000000000,IF(ROUND(ABS($S212),0)=0,-1000000000000000,ABS($S212)+ROW()/1000000))</f>
        <v>-1000000000000000</v>
      </c>
    </row>
    <row r="213" customFormat="false" ht="15" hidden="false" customHeight="false" outlineLevel="0" collapsed="false">
      <c r="A213" s="68" t="str">
        <f aca="false">IF(Data_Engine!$A213="","",Data_Engine!$A213)</f>
        <v/>
      </c>
      <c r="B213" s="42" t="str">
        <f aca="false">IF($A213="","",Data_Engine!$B213)</f>
        <v/>
      </c>
      <c r="C213" s="42" t="str">
        <f aca="false">IF($A213="","",Data_Engine!$D213)</f>
        <v/>
      </c>
      <c r="D213" s="69" t="str">
        <f aca="false">IF($A213="","",Data_Engine!$R213)</f>
        <v/>
      </c>
      <c r="E213" s="69" t="str">
        <f aca="false">IF($A213="","",Data_Engine!$S213)</f>
        <v/>
      </c>
      <c r="F213" s="69" t="str">
        <f aca="false">IF($A213="","",Data_Engine!$T213)</f>
        <v/>
      </c>
      <c r="G213" s="69" t="str">
        <f aca="false">IF($A213="","",Data_Engine!$U213)</f>
        <v/>
      </c>
      <c r="H213" s="69" t="str">
        <f aca="false">IF($A213="","",Data_Engine!$V213)</f>
        <v/>
      </c>
      <c r="I213" s="69" t="str">
        <f aca="false">IF($A213="","",Data_Engine!$W213)</f>
        <v/>
      </c>
      <c r="J213" s="69" t="str">
        <f aca="false">IF($A213="","",Data_Engine!$X213)</f>
        <v/>
      </c>
      <c r="K213" s="69" t="str">
        <f aca="false">IF($A213="","",Data_Engine!$Y213)</f>
        <v/>
      </c>
      <c r="L213" s="69" t="str">
        <f aca="false">IF($A213="","",Data_Engine!$Z213)</f>
        <v/>
      </c>
      <c r="M213" s="69" t="str">
        <f aca="false">IF($A213="","",Data_Engine!$AA213)</f>
        <v/>
      </c>
      <c r="N213" s="69" t="str">
        <f aca="false">IF($A213="","",Data_Engine!$AB213)</f>
        <v/>
      </c>
      <c r="O213" s="69" t="str">
        <f aca="false">IF($A213="","",Data_Engine!$AC213)</f>
        <v/>
      </c>
      <c r="P213" s="69" t="str">
        <f aca="false">IF($A213="","",Data_Engine!$AH213)</f>
        <v/>
      </c>
      <c r="Q213" s="70" t="str">
        <f aca="false">IF($A213="","",Data_Engine!$AD213)</f>
        <v/>
      </c>
      <c r="R213" s="69" t="str">
        <f aca="false">IF($A213="","",Data_Engine!$AF213)</f>
        <v/>
      </c>
      <c r="S213" s="71" t="str">
        <f aca="false">IF($A213="","",$Q213-$R213)</f>
        <v/>
      </c>
      <c r="T213" s="72" t="str">
        <f aca="false">IF($A213="","",IF(ROUND($R213,2)=0,"n/a",$S213/ABS($R213)))</f>
        <v/>
      </c>
      <c r="U213" s="69" t="str">
        <f aca="false">IF($A213="","",Data_Engine!$AG213)</f>
        <v/>
      </c>
      <c r="V213" s="73" t="str">
        <f aca="false">IF($A213="","",$Q213-$U213)</f>
        <v/>
      </c>
      <c r="W213" s="72" t="str">
        <f aca="false">IF($A213="","",IF(ROUND($U213,2)=0,"n/a",$V213/ABS($U213)))</f>
        <v/>
      </c>
      <c r="X213" s="74" t="str">
        <f aca="false">IF($A213="","",IF(AND(ROUND($Q213,2)=0,ROUND($R213,2)=0),"No Activity",IF(ABS($S213)&lt;Setup!$B$14,"Low",IF(ROUND($R213,2)=0,"High",IF(OR(ABS($S213/$R213)&gt;=Setup!$B$16,ABS($S213)&gt;=Setup!$B$17),"High",IF(ABS($S213/$R213)&gt;=Setup!$B$15,"Medium","Low"))))))</f>
        <v/>
      </c>
      <c r="Y213" s="57"/>
      <c r="Z213" s="75" t="n">
        <f aca="false">IF($A213="",-1000000000000000,IF(ROUND(ABS($S213),0)=0,-1000000000000000,ABS($S213)+ROW()/1000000))</f>
        <v>-1000000000000000</v>
      </c>
    </row>
    <row r="214" customFormat="false" ht="15" hidden="false" customHeight="false" outlineLevel="0" collapsed="false">
      <c r="A214" s="68" t="str">
        <f aca="false">IF(Data_Engine!$A214="","",Data_Engine!$A214)</f>
        <v/>
      </c>
      <c r="B214" s="42" t="str">
        <f aca="false">IF($A214="","",Data_Engine!$B214)</f>
        <v/>
      </c>
      <c r="C214" s="42" t="str">
        <f aca="false">IF($A214="","",Data_Engine!$D214)</f>
        <v/>
      </c>
      <c r="D214" s="69" t="str">
        <f aca="false">IF($A214="","",Data_Engine!$R214)</f>
        <v/>
      </c>
      <c r="E214" s="69" t="str">
        <f aca="false">IF($A214="","",Data_Engine!$S214)</f>
        <v/>
      </c>
      <c r="F214" s="69" t="str">
        <f aca="false">IF($A214="","",Data_Engine!$T214)</f>
        <v/>
      </c>
      <c r="G214" s="69" t="str">
        <f aca="false">IF($A214="","",Data_Engine!$U214)</f>
        <v/>
      </c>
      <c r="H214" s="69" t="str">
        <f aca="false">IF($A214="","",Data_Engine!$V214)</f>
        <v/>
      </c>
      <c r="I214" s="69" t="str">
        <f aca="false">IF($A214="","",Data_Engine!$W214)</f>
        <v/>
      </c>
      <c r="J214" s="69" t="str">
        <f aca="false">IF($A214="","",Data_Engine!$X214)</f>
        <v/>
      </c>
      <c r="K214" s="69" t="str">
        <f aca="false">IF($A214="","",Data_Engine!$Y214)</f>
        <v/>
      </c>
      <c r="L214" s="69" t="str">
        <f aca="false">IF($A214="","",Data_Engine!$Z214)</f>
        <v/>
      </c>
      <c r="M214" s="69" t="str">
        <f aca="false">IF($A214="","",Data_Engine!$AA214)</f>
        <v/>
      </c>
      <c r="N214" s="69" t="str">
        <f aca="false">IF($A214="","",Data_Engine!$AB214)</f>
        <v/>
      </c>
      <c r="O214" s="69" t="str">
        <f aca="false">IF($A214="","",Data_Engine!$AC214)</f>
        <v/>
      </c>
      <c r="P214" s="69" t="str">
        <f aca="false">IF($A214="","",Data_Engine!$AH214)</f>
        <v/>
      </c>
      <c r="Q214" s="70" t="str">
        <f aca="false">IF($A214="","",Data_Engine!$AD214)</f>
        <v/>
      </c>
      <c r="R214" s="69" t="str">
        <f aca="false">IF($A214="","",Data_Engine!$AF214)</f>
        <v/>
      </c>
      <c r="S214" s="71" t="str">
        <f aca="false">IF($A214="","",$Q214-$R214)</f>
        <v/>
      </c>
      <c r="T214" s="72" t="str">
        <f aca="false">IF($A214="","",IF(ROUND($R214,2)=0,"n/a",$S214/ABS($R214)))</f>
        <v/>
      </c>
      <c r="U214" s="69" t="str">
        <f aca="false">IF($A214="","",Data_Engine!$AG214)</f>
        <v/>
      </c>
      <c r="V214" s="73" t="str">
        <f aca="false">IF($A214="","",$Q214-$U214)</f>
        <v/>
      </c>
      <c r="W214" s="72" t="str">
        <f aca="false">IF($A214="","",IF(ROUND($U214,2)=0,"n/a",$V214/ABS($U214)))</f>
        <v/>
      </c>
      <c r="X214" s="74" t="str">
        <f aca="false">IF($A214="","",IF(AND(ROUND($Q214,2)=0,ROUND($R214,2)=0),"No Activity",IF(ABS($S214)&lt;Setup!$B$14,"Low",IF(ROUND($R214,2)=0,"High",IF(OR(ABS($S214/$R214)&gt;=Setup!$B$16,ABS($S214)&gt;=Setup!$B$17),"High",IF(ABS($S214/$R214)&gt;=Setup!$B$15,"Medium","Low"))))))</f>
        <v/>
      </c>
      <c r="Y214" s="57"/>
      <c r="Z214" s="75" t="n">
        <f aca="false">IF($A214="",-1000000000000000,IF(ROUND(ABS($S214),0)=0,-1000000000000000,ABS($S214)+ROW()/1000000))</f>
        <v>-1000000000000000</v>
      </c>
    </row>
    <row r="215" customFormat="false" ht="15" hidden="false" customHeight="false" outlineLevel="0" collapsed="false">
      <c r="A215" s="68" t="str">
        <f aca="false">IF(Data_Engine!$A215="","",Data_Engine!$A215)</f>
        <v/>
      </c>
      <c r="B215" s="42" t="str">
        <f aca="false">IF($A215="","",Data_Engine!$B215)</f>
        <v/>
      </c>
      <c r="C215" s="42" t="str">
        <f aca="false">IF($A215="","",Data_Engine!$D215)</f>
        <v/>
      </c>
      <c r="D215" s="69" t="str">
        <f aca="false">IF($A215="","",Data_Engine!$R215)</f>
        <v/>
      </c>
      <c r="E215" s="69" t="str">
        <f aca="false">IF($A215="","",Data_Engine!$S215)</f>
        <v/>
      </c>
      <c r="F215" s="69" t="str">
        <f aca="false">IF($A215="","",Data_Engine!$T215)</f>
        <v/>
      </c>
      <c r="G215" s="69" t="str">
        <f aca="false">IF($A215="","",Data_Engine!$U215)</f>
        <v/>
      </c>
      <c r="H215" s="69" t="str">
        <f aca="false">IF($A215="","",Data_Engine!$V215)</f>
        <v/>
      </c>
      <c r="I215" s="69" t="str">
        <f aca="false">IF($A215="","",Data_Engine!$W215)</f>
        <v/>
      </c>
      <c r="J215" s="69" t="str">
        <f aca="false">IF($A215="","",Data_Engine!$X215)</f>
        <v/>
      </c>
      <c r="K215" s="69" t="str">
        <f aca="false">IF($A215="","",Data_Engine!$Y215)</f>
        <v/>
      </c>
      <c r="L215" s="69" t="str">
        <f aca="false">IF($A215="","",Data_Engine!$Z215)</f>
        <v/>
      </c>
      <c r="M215" s="69" t="str">
        <f aca="false">IF($A215="","",Data_Engine!$AA215)</f>
        <v/>
      </c>
      <c r="N215" s="69" t="str">
        <f aca="false">IF($A215="","",Data_Engine!$AB215)</f>
        <v/>
      </c>
      <c r="O215" s="69" t="str">
        <f aca="false">IF($A215="","",Data_Engine!$AC215)</f>
        <v/>
      </c>
      <c r="P215" s="69" t="str">
        <f aca="false">IF($A215="","",Data_Engine!$AH215)</f>
        <v/>
      </c>
      <c r="Q215" s="70" t="str">
        <f aca="false">IF($A215="","",Data_Engine!$AD215)</f>
        <v/>
      </c>
      <c r="R215" s="69" t="str">
        <f aca="false">IF($A215="","",Data_Engine!$AF215)</f>
        <v/>
      </c>
      <c r="S215" s="71" t="str">
        <f aca="false">IF($A215="","",$Q215-$R215)</f>
        <v/>
      </c>
      <c r="T215" s="72" t="str">
        <f aca="false">IF($A215="","",IF(ROUND($R215,2)=0,"n/a",$S215/ABS($R215)))</f>
        <v/>
      </c>
      <c r="U215" s="69" t="str">
        <f aca="false">IF($A215="","",Data_Engine!$AG215)</f>
        <v/>
      </c>
      <c r="V215" s="73" t="str">
        <f aca="false">IF($A215="","",$Q215-$U215)</f>
        <v/>
      </c>
      <c r="W215" s="72" t="str">
        <f aca="false">IF($A215="","",IF(ROUND($U215,2)=0,"n/a",$V215/ABS($U215)))</f>
        <v/>
      </c>
      <c r="X215" s="74" t="str">
        <f aca="false">IF($A215="","",IF(AND(ROUND($Q215,2)=0,ROUND($R215,2)=0),"No Activity",IF(ABS($S215)&lt;Setup!$B$14,"Low",IF(ROUND($R215,2)=0,"High",IF(OR(ABS($S215/$R215)&gt;=Setup!$B$16,ABS($S215)&gt;=Setup!$B$17),"High",IF(ABS($S215/$R215)&gt;=Setup!$B$15,"Medium","Low"))))))</f>
        <v/>
      </c>
      <c r="Y215" s="57"/>
      <c r="Z215" s="75" t="n">
        <f aca="false">IF($A215="",-1000000000000000,IF(ROUND(ABS($S215),0)=0,-1000000000000000,ABS($S215)+ROW()/1000000))</f>
        <v>-1000000000000000</v>
      </c>
    </row>
    <row r="216" customFormat="false" ht="15" hidden="false" customHeight="false" outlineLevel="0" collapsed="false">
      <c r="A216" s="68" t="str">
        <f aca="false">IF(Data_Engine!$A216="","",Data_Engine!$A216)</f>
        <v/>
      </c>
      <c r="B216" s="42" t="str">
        <f aca="false">IF($A216="","",Data_Engine!$B216)</f>
        <v/>
      </c>
      <c r="C216" s="42" t="str">
        <f aca="false">IF($A216="","",Data_Engine!$D216)</f>
        <v/>
      </c>
      <c r="D216" s="69" t="str">
        <f aca="false">IF($A216="","",Data_Engine!$R216)</f>
        <v/>
      </c>
      <c r="E216" s="69" t="str">
        <f aca="false">IF($A216="","",Data_Engine!$S216)</f>
        <v/>
      </c>
      <c r="F216" s="69" t="str">
        <f aca="false">IF($A216="","",Data_Engine!$T216)</f>
        <v/>
      </c>
      <c r="G216" s="69" t="str">
        <f aca="false">IF($A216="","",Data_Engine!$U216)</f>
        <v/>
      </c>
      <c r="H216" s="69" t="str">
        <f aca="false">IF($A216="","",Data_Engine!$V216)</f>
        <v/>
      </c>
      <c r="I216" s="69" t="str">
        <f aca="false">IF($A216="","",Data_Engine!$W216)</f>
        <v/>
      </c>
      <c r="J216" s="69" t="str">
        <f aca="false">IF($A216="","",Data_Engine!$X216)</f>
        <v/>
      </c>
      <c r="K216" s="69" t="str">
        <f aca="false">IF($A216="","",Data_Engine!$Y216)</f>
        <v/>
      </c>
      <c r="L216" s="69" t="str">
        <f aca="false">IF($A216="","",Data_Engine!$Z216)</f>
        <v/>
      </c>
      <c r="M216" s="69" t="str">
        <f aca="false">IF($A216="","",Data_Engine!$AA216)</f>
        <v/>
      </c>
      <c r="N216" s="69" t="str">
        <f aca="false">IF($A216="","",Data_Engine!$AB216)</f>
        <v/>
      </c>
      <c r="O216" s="69" t="str">
        <f aca="false">IF($A216="","",Data_Engine!$AC216)</f>
        <v/>
      </c>
      <c r="P216" s="69" t="str">
        <f aca="false">IF($A216="","",Data_Engine!$AH216)</f>
        <v/>
      </c>
      <c r="Q216" s="70" t="str">
        <f aca="false">IF($A216="","",Data_Engine!$AD216)</f>
        <v/>
      </c>
      <c r="R216" s="69" t="str">
        <f aca="false">IF($A216="","",Data_Engine!$AF216)</f>
        <v/>
      </c>
      <c r="S216" s="71" t="str">
        <f aca="false">IF($A216="","",$Q216-$R216)</f>
        <v/>
      </c>
      <c r="T216" s="72" t="str">
        <f aca="false">IF($A216="","",IF(ROUND($R216,2)=0,"n/a",$S216/ABS($R216)))</f>
        <v/>
      </c>
      <c r="U216" s="69" t="str">
        <f aca="false">IF($A216="","",Data_Engine!$AG216)</f>
        <v/>
      </c>
      <c r="V216" s="73" t="str">
        <f aca="false">IF($A216="","",$Q216-$U216)</f>
        <v/>
      </c>
      <c r="W216" s="72" t="str">
        <f aca="false">IF($A216="","",IF(ROUND($U216,2)=0,"n/a",$V216/ABS($U216)))</f>
        <v/>
      </c>
      <c r="X216" s="74" t="str">
        <f aca="false">IF($A216="","",IF(AND(ROUND($Q216,2)=0,ROUND($R216,2)=0),"No Activity",IF(ABS($S216)&lt;Setup!$B$14,"Low",IF(ROUND($R216,2)=0,"High",IF(OR(ABS($S216/$R216)&gt;=Setup!$B$16,ABS($S216)&gt;=Setup!$B$17),"High",IF(ABS($S216/$R216)&gt;=Setup!$B$15,"Medium","Low"))))))</f>
        <v/>
      </c>
      <c r="Y216" s="57"/>
      <c r="Z216" s="75" t="n">
        <f aca="false">IF($A216="",-1000000000000000,IF(ROUND(ABS($S216),0)=0,-1000000000000000,ABS($S216)+ROW()/1000000))</f>
        <v>-1000000000000000</v>
      </c>
    </row>
    <row r="217" customFormat="false" ht="15" hidden="false" customHeight="false" outlineLevel="0" collapsed="false">
      <c r="A217" s="68" t="str">
        <f aca="false">IF(Data_Engine!$A217="","",Data_Engine!$A217)</f>
        <v/>
      </c>
      <c r="B217" s="42" t="str">
        <f aca="false">IF($A217="","",Data_Engine!$B217)</f>
        <v/>
      </c>
      <c r="C217" s="42" t="str">
        <f aca="false">IF($A217="","",Data_Engine!$D217)</f>
        <v/>
      </c>
      <c r="D217" s="69" t="str">
        <f aca="false">IF($A217="","",Data_Engine!$R217)</f>
        <v/>
      </c>
      <c r="E217" s="69" t="str">
        <f aca="false">IF($A217="","",Data_Engine!$S217)</f>
        <v/>
      </c>
      <c r="F217" s="69" t="str">
        <f aca="false">IF($A217="","",Data_Engine!$T217)</f>
        <v/>
      </c>
      <c r="G217" s="69" t="str">
        <f aca="false">IF($A217="","",Data_Engine!$U217)</f>
        <v/>
      </c>
      <c r="H217" s="69" t="str">
        <f aca="false">IF($A217="","",Data_Engine!$V217)</f>
        <v/>
      </c>
      <c r="I217" s="69" t="str">
        <f aca="false">IF($A217="","",Data_Engine!$W217)</f>
        <v/>
      </c>
      <c r="J217" s="69" t="str">
        <f aca="false">IF($A217="","",Data_Engine!$X217)</f>
        <v/>
      </c>
      <c r="K217" s="69" t="str">
        <f aca="false">IF($A217="","",Data_Engine!$Y217)</f>
        <v/>
      </c>
      <c r="L217" s="69" t="str">
        <f aca="false">IF($A217="","",Data_Engine!$Z217)</f>
        <v/>
      </c>
      <c r="M217" s="69" t="str">
        <f aca="false">IF($A217="","",Data_Engine!$AA217)</f>
        <v/>
      </c>
      <c r="N217" s="69" t="str">
        <f aca="false">IF($A217="","",Data_Engine!$AB217)</f>
        <v/>
      </c>
      <c r="O217" s="69" t="str">
        <f aca="false">IF($A217="","",Data_Engine!$AC217)</f>
        <v/>
      </c>
      <c r="P217" s="69" t="str">
        <f aca="false">IF($A217="","",Data_Engine!$AH217)</f>
        <v/>
      </c>
      <c r="Q217" s="70" t="str">
        <f aca="false">IF($A217="","",Data_Engine!$AD217)</f>
        <v/>
      </c>
      <c r="R217" s="69" t="str">
        <f aca="false">IF($A217="","",Data_Engine!$AF217)</f>
        <v/>
      </c>
      <c r="S217" s="71" t="str">
        <f aca="false">IF($A217="","",$Q217-$R217)</f>
        <v/>
      </c>
      <c r="T217" s="72" t="str">
        <f aca="false">IF($A217="","",IF(ROUND($R217,2)=0,"n/a",$S217/ABS($R217)))</f>
        <v/>
      </c>
      <c r="U217" s="69" t="str">
        <f aca="false">IF($A217="","",Data_Engine!$AG217)</f>
        <v/>
      </c>
      <c r="V217" s="73" t="str">
        <f aca="false">IF($A217="","",$Q217-$U217)</f>
        <v/>
      </c>
      <c r="W217" s="72" t="str">
        <f aca="false">IF($A217="","",IF(ROUND($U217,2)=0,"n/a",$V217/ABS($U217)))</f>
        <v/>
      </c>
      <c r="X217" s="74" t="str">
        <f aca="false">IF($A217="","",IF(AND(ROUND($Q217,2)=0,ROUND($R217,2)=0),"No Activity",IF(ABS($S217)&lt;Setup!$B$14,"Low",IF(ROUND($R217,2)=0,"High",IF(OR(ABS($S217/$R217)&gt;=Setup!$B$16,ABS($S217)&gt;=Setup!$B$17),"High",IF(ABS($S217/$R217)&gt;=Setup!$B$15,"Medium","Low"))))))</f>
        <v/>
      </c>
      <c r="Y217" s="57"/>
      <c r="Z217" s="75" t="n">
        <f aca="false">IF($A217="",-1000000000000000,IF(ROUND(ABS($S217),0)=0,-1000000000000000,ABS($S217)+ROW()/1000000))</f>
        <v>-1000000000000000</v>
      </c>
    </row>
    <row r="218" customFormat="false" ht="15" hidden="false" customHeight="false" outlineLevel="0" collapsed="false">
      <c r="A218" s="68" t="str">
        <f aca="false">IF(Data_Engine!$A218="","",Data_Engine!$A218)</f>
        <v/>
      </c>
      <c r="B218" s="42" t="str">
        <f aca="false">IF($A218="","",Data_Engine!$B218)</f>
        <v/>
      </c>
      <c r="C218" s="42" t="str">
        <f aca="false">IF($A218="","",Data_Engine!$D218)</f>
        <v/>
      </c>
      <c r="D218" s="69" t="str">
        <f aca="false">IF($A218="","",Data_Engine!$R218)</f>
        <v/>
      </c>
      <c r="E218" s="69" t="str">
        <f aca="false">IF($A218="","",Data_Engine!$S218)</f>
        <v/>
      </c>
      <c r="F218" s="69" t="str">
        <f aca="false">IF($A218="","",Data_Engine!$T218)</f>
        <v/>
      </c>
      <c r="G218" s="69" t="str">
        <f aca="false">IF($A218="","",Data_Engine!$U218)</f>
        <v/>
      </c>
      <c r="H218" s="69" t="str">
        <f aca="false">IF($A218="","",Data_Engine!$V218)</f>
        <v/>
      </c>
      <c r="I218" s="69" t="str">
        <f aca="false">IF($A218="","",Data_Engine!$W218)</f>
        <v/>
      </c>
      <c r="J218" s="69" t="str">
        <f aca="false">IF($A218="","",Data_Engine!$X218)</f>
        <v/>
      </c>
      <c r="K218" s="69" t="str">
        <f aca="false">IF($A218="","",Data_Engine!$Y218)</f>
        <v/>
      </c>
      <c r="L218" s="69" t="str">
        <f aca="false">IF($A218="","",Data_Engine!$Z218)</f>
        <v/>
      </c>
      <c r="M218" s="69" t="str">
        <f aca="false">IF($A218="","",Data_Engine!$AA218)</f>
        <v/>
      </c>
      <c r="N218" s="69" t="str">
        <f aca="false">IF($A218="","",Data_Engine!$AB218)</f>
        <v/>
      </c>
      <c r="O218" s="69" t="str">
        <f aca="false">IF($A218="","",Data_Engine!$AC218)</f>
        <v/>
      </c>
      <c r="P218" s="69" t="str">
        <f aca="false">IF($A218="","",Data_Engine!$AH218)</f>
        <v/>
      </c>
      <c r="Q218" s="70" t="str">
        <f aca="false">IF($A218="","",Data_Engine!$AD218)</f>
        <v/>
      </c>
      <c r="R218" s="69" t="str">
        <f aca="false">IF($A218="","",Data_Engine!$AF218)</f>
        <v/>
      </c>
      <c r="S218" s="71" t="str">
        <f aca="false">IF($A218="","",$Q218-$R218)</f>
        <v/>
      </c>
      <c r="T218" s="72" t="str">
        <f aca="false">IF($A218="","",IF(ROUND($R218,2)=0,"n/a",$S218/ABS($R218)))</f>
        <v/>
      </c>
      <c r="U218" s="69" t="str">
        <f aca="false">IF($A218="","",Data_Engine!$AG218)</f>
        <v/>
      </c>
      <c r="V218" s="73" t="str">
        <f aca="false">IF($A218="","",$Q218-$U218)</f>
        <v/>
      </c>
      <c r="W218" s="72" t="str">
        <f aca="false">IF($A218="","",IF(ROUND($U218,2)=0,"n/a",$V218/ABS($U218)))</f>
        <v/>
      </c>
      <c r="X218" s="74" t="str">
        <f aca="false">IF($A218="","",IF(AND(ROUND($Q218,2)=0,ROUND($R218,2)=0),"No Activity",IF(ABS($S218)&lt;Setup!$B$14,"Low",IF(ROUND($R218,2)=0,"High",IF(OR(ABS($S218/$R218)&gt;=Setup!$B$16,ABS($S218)&gt;=Setup!$B$17),"High",IF(ABS($S218/$R218)&gt;=Setup!$B$15,"Medium","Low"))))))</f>
        <v/>
      </c>
      <c r="Y218" s="57"/>
      <c r="Z218" s="75" t="n">
        <f aca="false">IF($A218="",-1000000000000000,IF(ROUND(ABS($S218),0)=0,-1000000000000000,ABS($S218)+ROW()/1000000))</f>
        <v>-1000000000000000</v>
      </c>
    </row>
    <row r="219" customFormat="false" ht="15" hidden="false" customHeight="false" outlineLevel="0" collapsed="false">
      <c r="A219" s="68" t="str">
        <f aca="false">IF(Data_Engine!$A219="","",Data_Engine!$A219)</f>
        <v/>
      </c>
      <c r="B219" s="42" t="str">
        <f aca="false">IF($A219="","",Data_Engine!$B219)</f>
        <v/>
      </c>
      <c r="C219" s="42" t="str">
        <f aca="false">IF($A219="","",Data_Engine!$D219)</f>
        <v/>
      </c>
      <c r="D219" s="69" t="str">
        <f aca="false">IF($A219="","",Data_Engine!$R219)</f>
        <v/>
      </c>
      <c r="E219" s="69" t="str">
        <f aca="false">IF($A219="","",Data_Engine!$S219)</f>
        <v/>
      </c>
      <c r="F219" s="69" t="str">
        <f aca="false">IF($A219="","",Data_Engine!$T219)</f>
        <v/>
      </c>
      <c r="G219" s="69" t="str">
        <f aca="false">IF($A219="","",Data_Engine!$U219)</f>
        <v/>
      </c>
      <c r="H219" s="69" t="str">
        <f aca="false">IF($A219="","",Data_Engine!$V219)</f>
        <v/>
      </c>
      <c r="I219" s="69" t="str">
        <f aca="false">IF($A219="","",Data_Engine!$W219)</f>
        <v/>
      </c>
      <c r="J219" s="69" t="str">
        <f aca="false">IF($A219="","",Data_Engine!$X219)</f>
        <v/>
      </c>
      <c r="K219" s="69" t="str">
        <f aca="false">IF($A219="","",Data_Engine!$Y219)</f>
        <v/>
      </c>
      <c r="L219" s="69" t="str">
        <f aca="false">IF($A219="","",Data_Engine!$Z219)</f>
        <v/>
      </c>
      <c r="M219" s="69" t="str">
        <f aca="false">IF($A219="","",Data_Engine!$AA219)</f>
        <v/>
      </c>
      <c r="N219" s="69" t="str">
        <f aca="false">IF($A219="","",Data_Engine!$AB219)</f>
        <v/>
      </c>
      <c r="O219" s="69" t="str">
        <f aca="false">IF($A219="","",Data_Engine!$AC219)</f>
        <v/>
      </c>
      <c r="P219" s="69" t="str">
        <f aca="false">IF($A219="","",Data_Engine!$AH219)</f>
        <v/>
      </c>
      <c r="Q219" s="70" t="str">
        <f aca="false">IF($A219="","",Data_Engine!$AD219)</f>
        <v/>
      </c>
      <c r="R219" s="69" t="str">
        <f aca="false">IF($A219="","",Data_Engine!$AF219)</f>
        <v/>
      </c>
      <c r="S219" s="71" t="str">
        <f aca="false">IF($A219="","",$Q219-$R219)</f>
        <v/>
      </c>
      <c r="T219" s="72" t="str">
        <f aca="false">IF($A219="","",IF(ROUND($R219,2)=0,"n/a",$S219/ABS($R219)))</f>
        <v/>
      </c>
      <c r="U219" s="69" t="str">
        <f aca="false">IF($A219="","",Data_Engine!$AG219)</f>
        <v/>
      </c>
      <c r="V219" s="73" t="str">
        <f aca="false">IF($A219="","",$Q219-$U219)</f>
        <v/>
      </c>
      <c r="W219" s="72" t="str">
        <f aca="false">IF($A219="","",IF(ROUND($U219,2)=0,"n/a",$V219/ABS($U219)))</f>
        <v/>
      </c>
      <c r="X219" s="74" t="str">
        <f aca="false">IF($A219="","",IF(AND(ROUND($Q219,2)=0,ROUND($R219,2)=0),"No Activity",IF(ABS($S219)&lt;Setup!$B$14,"Low",IF(ROUND($R219,2)=0,"High",IF(OR(ABS($S219/$R219)&gt;=Setup!$B$16,ABS($S219)&gt;=Setup!$B$17),"High",IF(ABS($S219/$R219)&gt;=Setup!$B$15,"Medium","Low"))))))</f>
        <v/>
      </c>
      <c r="Y219" s="57"/>
      <c r="Z219" s="75" t="n">
        <f aca="false">IF($A219="",-1000000000000000,IF(ROUND(ABS($S219),0)=0,-1000000000000000,ABS($S219)+ROW()/1000000))</f>
        <v>-1000000000000000</v>
      </c>
    </row>
    <row r="220" customFormat="false" ht="15" hidden="false" customHeight="false" outlineLevel="0" collapsed="false">
      <c r="A220" s="68" t="str">
        <f aca="false">IF(Data_Engine!$A220="","",Data_Engine!$A220)</f>
        <v/>
      </c>
      <c r="B220" s="42" t="str">
        <f aca="false">IF($A220="","",Data_Engine!$B220)</f>
        <v/>
      </c>
      <c r="C220" s="42" t="str">
        <f aca="false">IF($A220="","",Data_Engine!$D220)</f>
        <v/>
      </c>
      <c r="D220" s="69" t="str">
        <f aca="false">IF($A220="","",Data_Engine!$R220)</f>
        <v/>
      </c>
      <c r="E220" s="69" t="str">
        <f aca="false">IF($A220="","",Data_Engine!$S220)</f>
        <v/>
      </c>
      <c r="F220" s="69" t="str">
        <f aca="false">IF($A220="","",Data_Engine!$T220)</f>
        <v/>
      </c>
      <c r="G220" s="69" t="str">
        <f aca="false">IF($A220="","",Data_Engine!$U220)</f>
        <v/>
      </c>
      <c r="H220" s="69" t="str">
        <f aca="false">IF($A220="","",Data_Engine!$V220)</f>
        <v/>
      </c>
      <c r="I220" s="69" t="str">
        <f aca="false">IF($A220="","",Data_Engine!$W220)</f>
        <v/>
      </c>
      <c r="J220" s="69" t="str">
        <f aca="false">IF($A220="","",Data_Engine!$X220)</f>
        <v/>
      </c>
      <c r="K220" s="69" t="str">
        <f aca="false">IF($A220="","",Data_Engine!$Y220)</f>
        <v/>
      </c>
      <c r="L220" s="69" t="str">
        <f aca="false">IF($A220="","",Data_Engine!$Z220)</f>
        <v/>
      </c>
      <c r="M220" s="69" t="str">
        <f aca="false">IF($A220="","",Data_Engine!$AA220)</f>
        <v/>
      </c>
      <c r="N220" s="69" t="str">
        <f aca="false">IF($A220="","",Data_Engine!$AB220)</f>
        <v/>
      </c>
      <c r="O220" s="69" t="str">
        <f aca="false">IF($A220="","",Data_Engine!$AC220)</f>
        <v/>
      </c>
      <c r="P220" s="69" t="str">
        <f aca="false">IF($A220="","",Data_Engine!$AH220)</f>
        <v/>
      </c>
      <c r="Q220" s="70" t="str">
        <f aca="false">IF($A220="","",Data_Engine!$AD220)</f>
        <v/>
      </c>
      <c r="R220" s="69" t="str">
        <f aca="false">IF($A220="","",Data_Engine!$AF220)</f>
        <v/>
      </c>
      <c r="S220" s="71" t="str">
        <f aca="false">IF($A220="","",$Q220-$R220)</f>
        <v/>
      </c>
      <c r="T220" s="72" t="str">
        <f aca="false">IF($A220="","",IF(ROUND($R220,2)=0,"n/a",$S220/ABS($R220)))</f>
        <v/>
      </c>
      <c r="U220" s="69" t="str">
        <f aca="false">IF($A220="","",Data_Engine!$AG220)</f>
        <v/>
      </c>
      <c r="V220" s="73" t="str">
        <f aca="false">IF($A220="","",$Q220-$U220)</f>
        <v/>
      </c>
      <c r="W220" s="72" t="str">
        <f aca="false">IF($A220="","",IF(ROUND($U220,2)=0,"n/a",$V220/ABS($U220)))</f>
        <v/>
      </c>
      <c r="X220" s="74" t="str">
        <f aca="false">IF($A220="","",IF(AND(ROUND($Q220,2)=0,ROUND($R220,2)=0),"No Activity",IF(ABS($S220)&lt;Setup!$B$14,"Low",IF(ROUND($R220,2)=0,"High",IF(OR(ABS($S220/$R220)&gt;=Setup!$B$16,ABS($S220)&gt;=Setup!$B$17),"High",IF(ABS($S220/$R220)&gt;=Setup!$B$15,"Medium","Low"))))))</f>
        <v/>
      </c>
      <c r="Y220" s="57"/>
      <c r="Z220" s="75" t="n">
        <f aca="false">IF($A220="",-1000000000000000,IF(ROUND(ABS($S220),0)=0,-1000000000000000,ABS($S220)+ROW()/1000000))</f>
        <v>-1000000000000000</v>
      </c>
    </row>
    <row r="221" customFormat="false" ht="15" hidden="false" customHeight="false" outlineLevel="0" collapsed="false">
      <c r="A221" s="68" t="str">
        <f aca="false">IF(Data_Engine!$A221="","",Data_Engine!$A221)</f>
        <v/>
      </c>
      <c r="B221" s="42" t="str">
        <f aca="false">IF($A221="","",Data_Engine!$B221)</f>
        <v/>
      </c>
      <c r="C221" s="42" t="str">
        <f aca="false">IF($A221="","",Data_Engine!$D221)</f>
        <v/>
      </c>
      <c r="D221" s="69" t="str">
        <f aca="false">IF($A221="","",Data_Engine!$R221)</f>
        <v/>
      </c>
      <c r="E221" s="69" t="str">
        <f aca="false">IF($A221="","",Data_Engine!$S221)</f>
        <v/>
      </c>
      <c r="F221" s="69" t="str">
        <f aca="false">IF($A221="","",Data_Engine!$T221)</f>
        <v/>
      </c>
      <c r="G221" s="69" t="str">
        <f aca="false">IF($A221="","",Data_Engine!$U221)</f>
        <v/>
      </c>
      <c r="H221" s="69" t="str">
        <f aca="false">IF($A221="","",Data_Engine!$V221)</f>
        <v/>
      </c>
      <c r="I221" s="69" t="str">
        <f aca="false">IF($A221="","",Data_Engine!$W221)</f>
        <v/>
      </c>
      <c r="J221" s="69" t="str">
        <f aca="false">IF($A221="","",Data_Engine!$X221)</f>
        <v/>
      </c>
      <c r="K221" s="69" t="str">
        <f aca="false">IF($A221="","",Data_Engine!$Y221)</f>
        <v/>
      </c>
      <c r="L221" s="69" t="str">
        <f aca="false">IF($A221="","",Data_Engine!$Z221)</f>
        <v/>
      </c>
      <c r="M221" s="69" t="str">
        <f aca="false">IF($A221="","",Data_Engine!$AA221)</f>
        <v/>
      </c>
      <c r="N221" s="69" t="str">
        <f aca="false">IF($A221="","",Data_Engine!$AB221)</f>
        <v/>
      </c>
      <c r="O221" s="69" t="str">
        <f aca="false">IF($A221="","",Data_Engine!$AC221)</f>
        <v/>
      </c>
      <c r="P221" s="69" t="str">
        <f aca="false">IF($A221="","",Data_Engine!$AH221)</f>
        <v/>
      </c>
      <c r="Q221" s="70" t="str">
        <f aca="false">IF($A221="","",Data_Engine!$AD221)</f>
        <v/>
      </c>
      <c r="R221" s="69" t="str">
        <f aca="false">IF($A221="","",Data_Engine!$AF221)</f>
        <v/>
      </c>
      <c r="S221" s="71" t="str">
        <f aca="false">IF($A221="","",$Q221-$R221)</f>
        <v/>
      </c>
      <c r="T221" s="72" t="str">
        <f aca="false">IF($A221="","",IF(ROUND($R221,2)=0,"n/a",$S221/ABS($R221)))</f>
        <v/>
      </c>
      <c r="U221" s="69" t="str">
        <f aca="false">IF($A221="","",Data_Engine!$AG221)</f>
        <v/>
      </c>
      <c r="V221" s="73" t="str">
        <f aca="false">IF($A221="","",$Q221-$U221)</f>
        <v/>
      </c>
      <c r="W221" s="72" t="str">
        <f aca="false">IF($A221="","",IF(ROUND($U221,2)=0,"n/a",$V221/ABS($U221)))</f>
        <v/>
      </c>
      <c r="X221" s="74" t="str">
        <f aca="false">IF($A221="","",IF(AND(ROUND($Q221,2)=0,ROUND($R221,2)=0),"No Activity",IF(ABS($S221)&lt;Setup!$B$14,"Low",IF(ROUND($R221,2)=0,"High",IF(OR(ABS($S221/$R221)&gt;=Setup!$B$16,ABS($S221)&gt;=Setup!$B$17),"High",IF(ABS($S221/$R221)&gt;=Setup!$B$15,"Medium","Low"))))))</f>
        <v/>
      </c>
      <c r="Y221" s="57"/>
      <c r="Z221" s="75" t="n">
        <f aca="false">IF($A221="",-1000000000000000,IF(ROUND(ABS($S221),0)=0,-1000000000000000,ABS($S221)+ROW()/1000000))</f>
        <v>-1000000000000000</v>
      </c>
    </row>
    <row r="222" customFormat="false" ht="15" hidden="false" customHeight="false" outlineLevel="0" collapsed="false">
      <c r="A222" s="68" t="str">
        <f aca="false">IF(Data_Engine!$A222="","",Data_Engine!$A222)</f>
        <v/>
      </c>
      <c r="B222" s="42" t="str">
        <f aca="false">IF($A222="","",Data_Engine!$B222)</f>
        <v/>
      </c>
      <c r="C222" s="42" t="str">
        <f aca="false">IF($A222="","",Data_Engine!$D222)</f>
        <v/>
      </c>
      <c r="D222" s="69" t="str">
        <f aca="false">IF($A222="","",Data_Engine!$R222)</f>
        <v/>
      </c>
      <c r="E222" s="69" t="str">
        <f aca="false">IF($A222="","",Data_Engine!$S222)</f>
        <v/>
      </c>
      <c r="F222" s="69" t="str">
        <f aca="false">IF($A222="","",Data_Engine!$T222)</f>
        <v/>
      </c>
      <c r="G222" s="69" t="str">
        <f aca="false">IF($A222="","",Data_Engine!$U222)</f>
        <v/>
      </c>
      <c r="H222" s="69" t="str">
        <f aca="false">IF($A222="","",Data_Engine!$V222)</f>
        <v/>
      </c>
      <c r="I222" s="69" t="str">
        <f aca="false">IF($A222="","",Data_Engine!$W222)</f>
        <v/>
      </c>
      <c r="J222" s="69" t="str">
        <f aca="false">IF($A222="","",Data_Engine!$X222)</f>
        <v/>
      </c>
      <c r="K222" s="69" t="str">
        <f aca="false">IF($A222="","",Data_Engine!$Y222)</f>
        <v/>
      </c>
      <c r="L222" s="69" t="str">
        <f aca="false">IF($A222="","",Data_Engine!$Z222)</f>
        <v/>
      </c>
      <c r="M222" s="69" t="str">
        <f aca="false">IF($A222="","",Data_Engine!$AA222)</f>
        <v/>
      </c>
      <c r="N222" s="69" t="str">
        <f aca="false">IF($A222="","",Data_Engine!$AB222)</f>
        <v/>
      </c>
      <c r="O222" s="69" t="str">
        <f aca="false">IF($A222="","",Data_Engine!$AC222)</f>
        <v/>
      </c>
      <c r="P222" s="69" t="str">
        <f aca="false">IF($A222="","",Data_Engine!$AH222)</f>
        <v/>
      </c>
      <c r="Q222" s="70" t="str">
        <f aca="false">IF($A222="","",Data_Engine!$AD222)</f>
        <v/>
      </c>
      <c r="R222" s="69" t="str">
        <f aca="false">IF($A222="","",Data_Engine!$AF222)</f>
        <v/>
      </c>
      <c r="S222" s="71" t="str">
        <f aca="false">IF($A222="","",$Q222-$R222)</f>
        <v/>
      </c>
      <c r="T222" s="72" t="str">
        <f aca="false">IF($A222="","",IF(ROUND($R222,2)=0,"n/a",$S222/ABS($R222)))</f>
        <v/>
      </c>
      <c r="U222" s="69" t="str">
        <f aca="false">IF($A222="","",Data_Engine!$AG222)</f>
        <v/>
      </c>
      <c r="V222" s="73" t="str">
        <f aca="false">IF($A222="","",$Q222-$U222)</f>
        <v/>
      </c>
      <c r="W222" s="72" t="str">
        <f aca="false">IF($A222="","",IF(ROUND($U222,2)=0,"n/a",$V222/ABS($U222)))</f>
        <v/>
      </c>
      <c r="X222" s="74" t="str">
        <f aca="false">IF($A222="","",IF(AND(ROUND($Q222,2)=0,ROUND($R222,2)=0),"No Activity",IF(ABS($S222)&lt;Setup!$B$14,"Low",IF(ROUND($R222,2)=0,"High",IF(OR(ABS($S222/$R222)&gt;=Setup!$B$16,ABS($S222)&gt;=Setup!$B$17),"High",IF(ABS($S222/$R222)&gt;=Setup!$B$15,"Medium","Low"))))))</f>
        <v/>
      </c>
      <c r="Y222" s="57"/>
      <c r="Z222" s="75" t="n">
        <f aca="false">IF($A222="",-1000000000000000,IF(ROUND(ABS($S222),0)=0,-1000000000000000,ABS($S222)+ROW()/1000000))</f>
        <v>-1000000000000000</v>
      </c>
    </row>
    <row r="223" customFormat="false" ht="15" hidden="false" customHeight="false" outlineLevel="0" collapsed="false">
      <c r="A223" s="68" t="str">
        <f aca="false">IF(Data_Engine!$A223="","",Data_Engine!$A223)</f>
        <v/>
      </c>
      <c r="B223" s="42" t="str">
        <f aca="false">IF($A223="","",Data_Engine!$B223)</f>
        <v/>
      </c>
      <c r="C223" s="42" t="str">
        <f aca="false">IF($A223="","",Data_Engine!$D223)</f>
        <v/>
      </c>
      <c r="D223" s="69" t="str">
        <f aca="false">IF($A223="","",Data_Engine!$R223)</f>
        <v/>
      </c>
      <c r="E223" s="69" t="str">
        <f aca="false">IF($A223="","",Data_Engine!$S223)</f>
        <v/>
      </c>
      <c r="F223" s="69" t="str">
        <f aca="false">IF($A223="","",Data_Engine!$T223)</f>
        <v/>
      </c>
      <c r="G223" s="69" t="str">
        <f aca="false">IF($A223="","",Data_Engine!$U223)</f>
        <v/>
      </c>
      <c r="H223" s="69" t="str">
        <f aca="false">IF($A223="","",Data_Engine!$V223)</f>
        <v/>
      </c>
      <c r="I223" s="69" t="str">
        <f aca="false">IF($A223="","",Data_Engine!$W223)</f>
        <v/>
      </c>
      <c r="J223" s="69" t="str">
        <f aca="false">IF($A223="","",Data_Engine!$X223)</f>
        <v/>
      </c>
      <c r="K223" s="69" t="str">
        <f aca="false">IF($A223="","",Data_Engine!$Y223)</f>
        <v/>
      </c>
      <c r="L223" s="69" t="str">
        <f aca="false">IF($A223="","",Data_Engine!$Z223)</f>
        <v/>
      </c>
      <c r="M223" s="69" t="str">
        <f aca="false">IF($A223="","",Data_Engine!$AA223)</f>
        <v/>
      </c>
      <c r="N223" s="69" t="str">
        <f aca="false">IF($A223="","",Data_Engine!$AB223)</f>
        <v/>
      </c>
      <c r="O223" s="69" t="str">
        <f aca="false">IF($A223="","",Data_Engine!$AC223)</f>
        <v/>
      </c>
      <c r="P223" s="69" t="str">
        <f aca="false">IF($A223="","",Data_Engine!$AH223)</f>
        <v/>
      </c>
      <c r="Q223" s="70" t="str">
        <f aca="false">IF($A223="","",Data_Engine!$AD223)</f>
        <v/>
      </c>
      <c r="R223" s="69" t="str">
        <f aca="false">IF($A223="","",Data_Engine!$AF223)</f>
        <v/>
      </c>
      <c r="S223" s="71" t="str">
        <f aca="false">IF($A223="","",$Q223-$R223)</f>
        <v/>
      </c>
      <c r="T223" s="72" t="str">
        <f aca="false">IF($A223="","",IF(ROUND($R223,2)=0,"n/a",$S223/ABS($R223)))</f>
        <v/>
      </c>
      <c r="U223" s="69" t="str">
        <f aca="false">IF($A223="","",Data_Engine!$AG223)</f>
        <v/>
      </c>
      <c r="V223" s="73" t="str">
        <f aca="false">IF($A223="","",$Q223-$U223)</f>
        <v/>
      </c>
      <c r="W223" s="72" t="str">
        <f aca="false">IF($A223="","",IF(ROUND($U223,2)=0,"n/a",$V223/ABS($U223)))</f>
        <v/>
      </c>
      <c r="X223" s="74" t="str">
        <f aca="false">IF($A223="","",IF(AND(ROUND($Q223,2)=0,ROUND($R223,2)=0),"No Activity",IF(ABS($S223)&lt;Setup!$B$14,"Low",IF(ROUND($R223,2)=0,"High",IF(OR(ABS($S223/$R223)&gt;=Setup!$B$16,ABS($S223)&gt;=Setup!$B$17),"High",IF(ABS($S223/$R223)&gt;=Setup!$B$15,"Medium","Low"))))))</f>
        <v/>
      </c>
      <c r="Y223" s="57"/>
      <c r="Z223" s="75" t="n">
        <f aca="false">IF($A223="",-1000000000000000,IF(ROUND(ABS($S223),0)=0,-1000000000000000,ABS($S223)+ROW()/1000000))</f>
        <v>-1000000000000000</v>
      </c>
    </row>
    <row r="224" customFormat="false" ht="15" hidden="false" customHeight="false" outlineLevel="0" collapsed="false">
      <c r="A224" s="68" t="str">
        <f aca="false">IF(Data_Engine!$A224="","",Data_Engine!$A224)</f>
        <v/>
      </c>
      <c r="B224" s="42" t="str">
        <f aca="false">IF($A224="","",Data_Engine!$B224)</f>
        <v/>
      </c>
      <c r="C224" s="42" t="str">
        <f aca="false">IF($A224="","",Data_Engine!$D224)</f>
        <v/>
      </c>
      <c r="D224" s="69" t="str">
        <f aca="false">IF($A224="","",Data_Engine!$R224)</f>
        <v/>
      </c>
      <c r="E224" s="69" t="str">
        <f aca="false">IF($A224="","",Data_Engine!$S224)</f>
        <v/>
      </c>
      <c r="F224" s="69" t="str">
        <f aca="false">IF($A224="","",Data_Engine!$T224)</f>
        <v/>
      </c>
      <c r="G224" s="69" t="str">
        <f aca="false">IF($A224="","",Data_Engine!$U224)</f>
        <v/>
      </c>
      <c r="H224" s="69" t="str">
        <f aca="false">IF($A224="","",Data_Engine!$V224)</f>
        <v/>
      </c>
      <c r="I224" s="69" t="str">
        <f aca="false">IF($A224="","",Data_Engine!$W224)</f>
        <v/>
      </c>
      <c r="J224" s="69" t="str">
        <f aca="false">IF($A224="","",Data_Engine!$X224)</f>
        <v/>
      </c>
      <c r="K224" s="69" t="str">
        <f aca="false">IF($A224="","",Data_Engine!$Y224)</f>
        <v/>
      </c>
      <c r="L224" s="69" t="str">
        <f aca="false">IF($A224="","",Data_Engine!$Z224)</f>
        <v/>
      </c>
      <c r="M224" s="69" t="str">
        <f aca="false">IF($A224="","",Data_Engine!$AA224)</f>
        <v/>
      </c>
      <c r="N224" s="69" t="str">
        <f aca="false">IF($A224="","",Data_Engine!$AB224)</f>
        <v/>
      </c>
      <c r="O224" s="69" t="str">
        <f aca="false">IF($A224="","",Data_Engine!$AC224)</f>
        <v/>
      </c>
      <c r="P224" s="69" t="str">
        <f aca="false">IF($A224="","",Data_Engine!$AH224)</f>
        <v/>
      </c>
      <c r="Q224" s="70" t="str">
        <f aca="false">IF($A224="","",Data_Engine!$AD224)</f>
        <v/>
      </c>
      <c r="R224" s="69" t="str">
        <f aca="false">IF($A224="","",Data_Engine!$AF224)</f>
        <v/>
      </c>
      <c r="S224" s="71" t="str">
        <f aca="false">IF($A224="","",$Q224-$R224)</f>
        <v/>
      </c>
      <c r="T224" s="72" t="str">
        <f aca="false">IF($A224="","",IF(ROUND($R224,2)=0,"n/a",$S224/ABS($R224)))</f>
        <v/>
      </c>
      <c r="U224" s="69" t="str">
        <f aca="false">IF($A224="","",Data_Engine!$AG224)</f>
        <v/>
      </c>
      <c r="V224" s="73" t="str">
        <f aca="false">IF($A224="","",$Q224-$U224)</f>
        <v/>
      </c>
      <c r="W224" s="72" t="str">
        <f aca="false">IF($A224="","",IF(ROUND($U224,2)=0,"n/a",$V224/ABS($U224)))</f>
        <v/>
      </c>
      <c r="X224" s="74" t="str">
        <f aca="false">IF($A224="","",IF(AND(ROUND($Q224,2)=0,ROUND($R224,2)=0),"No Activity",IF(ABS($S224)&lt;Setup!$B$14,"Low",IF(ROUND($R224,2)=0,"High",IF(OR(ABS($S224/$R224)&gt;=Setup!$B$16,ABS($S224)&gt;=Setup!$B$17),"High",IF(ABS($S224/$R224)&gt;=Setup!$B$15,"Medium","Low"))))))</f>
        <v/>
      </c>
      <c r="Y224" s="57"/>
      <c r="Z224" s="75" t="n">
        <f aca="false">IF($A224="",-1000000000000000,IF(ROUND(ABS($S224),0)=0,-1000000000000000,ABS($S224)+ROW()/1000000))</f>
        <v>-1000000000000000</v>
      </c>
    </row>
    <row r="225" customFormat="false" ht="15" hidden="false" customHeight="false" outlineLevel="0" collapsed="false">
      <c r="A225" s="68" t="str">
        <f aca="false">IF(Data_Engine!$A225="","",Data_Engine!$A225)</f>
        <v/>
      </c>
      <c r="B225" s="42" t="str">
        <f aca="false">IF($A225="","",Data_Engine!$B225)</f>
        <v/>
      </c>
      <c r="C225" s="42" t="str">
        <f aca="false">IF($A225="","",Data_Engine!$D225)</f>
        <v/>
      </c>
      <c r="D225" s="69" t="str">
        <f aca="false">IF($A225="","",Data_Engine!$R225)</f>
        <v/>
      </c>
      <c r="E225" s="69" t="str">
        <f aca="false">IF($A225="","",Data_Engine!$S225)</f>
        <v/>
      </c>
      <c r="F225" s="69" t="str">
        <f aca="false">IF($A225="","",Data_Engine!$T225)</f>
        <v/>
      </c>
      <c r="G225" s="69" t="str">
        <f aca="false">IF($A225="","",Data_Engine!$U225)</f>
        <v/>
      </c>
      <c r="H225" s="69" t="str">
        <f aca="false">IF($A225="","",Data_Engine!$V225)</f>
        <v/>
      </c>
      <c r="I225" s="69" t="str">
        <f aca="false">IF($A225="","",Data_Engine!$W225)</f>
        <v/>
      </c>
      <c r="J225" s="69" t="str">
        <f aca="false">IF($A225="","",Data_Engine!$X225)</f>
        <v/>
      </c>
      <c r="K225" s="69" t="str">
        <f aca="false">IF($A225="","",Data_Engine!$Y225)</f>
        <v/>
      </c>
      <c r="L225" s="69" t="str">
        <f aca="false">IF($A225="","",Data_Engine!$Z225)</f>
        <v/>
      </c>
      <c r="M225" s="69" t="str">
        <f aca="false">IF($A225="","",Data_Engine!$AA225)</f>
        <v/>
      </c>
      <c r="N225" s="69" t="str">
        <f aca="false">IF($A225="","",Data_Engine!$AB225)</f>
        <v/>
      </c>
      <c r="O225" s="69" t="str">
        <f aca="false">IF($A225="","",Data_Engine!$AC225)</f>
        <v/>
      </c>
      <c r="P225" s="69" t="str">
        <f aca="false">IF($A225="","",Data_Engine!$AH225)</f>
        <v/>
      </c>
      <c r="Q225" s="70" t="str">
        <f aca="false">IF($A225="","",Data_Engine!$AD225)</f>
        <v/>
      </c>
      <c r="R225" s="69" t="str">
        <f aca="false">IF($A225="","",Data_Engine!$AF225)</f>
        <v/>
      </c>
      <c r="S225" s="71" t="str">
        <f aca="false">IF($A225="","",$Q225-$R225)</f>
        <v/>
      </c>
      <c r="T225" s="72" t="str">
        <f aca="false">IF($A225="","",IF(ROUND($R225,2)=0,"n/a",$S225/ABS($R225)))</f>
        <v/>
      </c>
      <c r="U225" s="69" t="str">
        <f aca="false">IF($A225="","",Data_Engine!$AG225)</f>
        <v/>
      </c>
      <c r="V225" s="73" t="str">
        <f aca="false">IF($A225="","",$Q225-$U225)</f>
        <v/>
      </c>
      <c r="W225" s="72" t="str">
        <f aca="false">IF($A225="","",IF(ROUND($U225,2)=0,"n/a",$V225/ABS($U225)))</f>
        <v/>
      </c>
      <c r="X225" s="74" t="str">
        <f aca="false">IF($A225="","",IF(AND(ROUND($Q225,2)=0,ROUND($R225,2)=0),"No Activity",IF(ABS($S225)&lt;Setup!$B$14,"Low",IF(ROUND($R225,2)=0,"High",IF(OR(ABS($S225/$R225)&gt;=Setup!$B$16,ABS($S225)&gt;=Setup!$B$17),"High",IF(ABS($S225/$R225)&gt;=Setup!$B$15,"Medium","Low"))))))</f>
        <v/>
      </c>
      <c r="Y225" s="57"/>
      <c r="Z225" s="75" t="n">
        <f aca="false">IF($A225="",-1000000000000000,IF(ROUND(ABS($S225),0)=0,-1000000000000000,ABS($S225)+ROW()/1000000))</f>
        <v>-1000000000000000</v>
      </c>
    </row>
    <row r="226" customFormat="false" ht="15" hidden="false" customHeight="false" outlineLevel="0" collapsed="false">
      <c r="A226" s="68" t="str">
        <f aca="false">IF(Data_Engine!$A226="","",Data_Engine!$A226)</f>
        <v/>
      </c>
      <c r="B226" s="42" t="str">
        <f aca="false">IF($A226="","",Data_Engine!$B226)</f>
        <v/>
      </c>
      <c r="C226" s="42" t="str">
        <f aca="false">IF($A226="","",Data_Engine!$D226)</f>
        <v/>
      </c>
      <c r="D226" s="69" t="str">
        <f aca="false">IF($A226="","",Data_Engine!$R226)</f>
        <v/>
      </c>
      <c r="E226" s="69" t="str">
        <f aca="false">IF($A226="","",Data_Engine!$S226)</f>
        <v/>
      </c>
      <c r="F226" s="69" t="str">
        <f aca="false">IF($A226="","",Data_Engine!$T226)</f>
        <v/>
      </c>
      <c r="G226" s="69" t="str">
        <f aca="false">IF($A226="","",Data_Engine!$U226)</f>
        <v/>
      </c>
      <c r="H226" s="69" t="str">
        <f aca="false">IF($A226="","",Data_Engine!$V226)</f>
        <v/>
      </c>
      <c r="I226" s="69" t="str">
        <f aca="false">IF($A226="","",Data_Engine!$W226)</f>
        <v/>
      </c>
      <c r="J226" s="69" t="str">
        <f aca="false">IF($A226="","",Data_Engine!$X226)</f>
        <v/>
      </c>
      <c r="K226" s="69" t="str">
        <f aca="false">IF($A226="","",Data_Engine!$Y226)</f>
        <v/>
      </c>
      <c r="L226" s="69" t="str">
        <f aca="false">IF($A226="","",Data_Engine!$Z226)</f>
        <v/>
      </c>
      <c r="M226" s="69" t="str">
        <f aca="false">IF($A226="","",Data_Engine!$AA226)</f>
        <v/>
      </c>
      <c r="N226" s="69" t="str">
        <f aca="false">IF($A226="","",Data_Engine!$AB226)</f>
        <v/>
      </c>
      <c r="O226" s="69" t="str">
        <f aca="false">IF($A226="","",Data_Engine!$AC226)</f>
        <v/>
      </c>
      <c r="P226" s="69" t="str">
        <f aca="false">IF($A226="","",Data_Engine!$AH226)</f>
        <v/>
      </c>
      <c r="Q226" s="70" t="str">
        <f aca="false">IF($A226="","",Data_Engine!$AD226)</f>
        <v/>
      </c>
      <c r="R226" s="69" t="str">
        <f aca="false">IF($A226="","",Data_Engine!$AF226)</f>
        <v/>
      </c>
      <c r="S226" s="71" t="str">
        <f aca="false">IF($A226="","",$Q226-$R226)</f>
        <v/>
      </c>
      <c r="T226" s="72" t="str">
        <f aca="false">IF($A226="","",IF(ROUND($R226,2)=0,"n/a",$S226/ABS($R226)))</f>
        <v/>
      </c>
      <c r="U226" s="69" t="str">
        <f aca="false">IF($A226="","",Data_Engine!$AG226)</f>
        <v/>
      </c>
      <c r="V226" s="73" t="str">
        <f aca="false">IF($A226="","",$Q226-$U226)</f>
        <v/>
      </c>
      <c r="W226" s="72" t="str">
        <f aca="false">IF($A226="","",IF(ROUND($U226,2)=0,"n/a",$V226/ABS($U226)))</f>
        <v/>
      </c>
      <c r="X226" s="74" t="str">
        <f aca="false">IF($A226="","",IF(AND(ROUND($Q226,2)=0,ROUND($R226,2)=0),"No Activity",IF(ABS($S226)&lt;Setup!$B$14,"Low",IF(ROUND($R226,2)=0,"High",IF(OR(ABS($S226/$R226)&gt;=Setup!$B$16,ABS($S226)&gt;=Setup!$B$17),"High",IF(ABS($S226/$R226)&gt;=Setup!$B$15,"Medium","Low"))))))</f>
        <v/>
      </c>
      <c r="Y226" s="57"/>
      <c r="Z226" s="75" t="n">
        <f aca="false">IF($A226="",-1000000000000000,IF(ROUND(ABS($S226),0)=0,-1000000000000000,ABS($S226)+ROW()/1000000))</f>
        <v>-1000000000000000</v>
      </c>
    </row>
    <row r="227" customFormat="false" ht="15" hidden="false" customHeight="false" outlineLevel="0" collapsed="false">
      <c r="A227" s="68" t="str">
        <f aca="false">IF(Data_Engine!$A227="","",Data_Engine!$A227)</f>
        <v/>
      </c>
      <c r="B227" s="42" t="str">
        <f aca="false">IF($A227="","",Data_Engine!$B227)</f>
        <v/>
      </c>
      <c r="C227" s="42" t="str">
        <f aca="false">IF($A227="","",Data_Engine!$D227)</f>
        <v/>
      </c>
      <c r="D227" s="69" t="str">
        <f aca="false">IF($A227="","",Data_Engine!$R227)</f>
        <v/>
      </c>
      <c r="E227" s="69" t="str">
        <f aca="false">IF($A227="","",Data_Engine!$S227)</f>
        <v/>
      </c>
      <c r="F227" s="69" t="str">
        <f aca="false">IF($A227="","",Data_Engine!$T227)</f>
        <v/>
      </c>
      <c r="G227" s="69" t="str">
        <f aca="false">IF($A227="","",Data_Engine!$U227)</f>
        <v/>
      </c>
      <c r="H227" s="69" t="str">
        <f aca="false">IF($A227="","",Data_Engine!$V227)</f>
        <v/>
      </c>
      <c r="I227" s="69" t="str">
        <f aca="false">IF($A227="","",Data_Engine!$W227)</f>
        <v/>
      </c>
      <c r="J227" s="69" t="str">
        <f aca="false">IF($A227="","",Data_Engine!$X227)</f>
        <v/>
      </c>
      <c r="K227" s="69" t="str">
        <f aca="false">IF($A227="","",Data_Engine!$Y227)</f>
        <v/>
      </c>
      <c r="L227" s="69" t="str">
        <f aca="false">IF($A227="","",Data_Engine!$Z227)</f>
        <v/>
      </c>
      <c r="M227" s="69" t="str">
        <f aca="false">IF($A227="","",Data_Engine!$AA227)</f>
        <v/>
      </c>
      <c r="N227" s="69" t="str">
        <f aca="false">IF($A227="","",Data_Engine!$AB227)</f>
        <v/>
      </c>
      <c r="O227" s="69" t="str">
        <f aca="false">IF($A227="","",Data_Engine!$AC227)</f>
        <v/>
      </c>
      <c r="P227" s="69" t="str">
        <f aca="false">IF($A227="","",Data_Engine!$AH227)</f>
        <v/>
      </c>
      <c r="Q227" s="70" t="str">
        <f aca="false">IF($A227="","",Data_Engine!$AD227)</f>
        <v/>
      </c>
      <c r="R227" s="69" t="str">
        <f aca="false">IF($A227="","",Data_Engine!$AF227)</f>
        <v/>
      </c>
      <c r="S227" s="71" t="str">
        <f aca="false">IF($A227="","",$Q227-$R227)</f>
        <v/>
      </c>
      <c r="T227" s="72" t="str">
        <f aca="false">IF($A227="","",IF(ROUND($R227,2)=0,"n/a",$S227/ABS($R227)))</f>
        <v/>
      </c>
      <c r="U227" s="69" t="str">
        <f aca="false">IF($A227="","",Data_Engine!$AG227)</f>
        <v/>
      </c>
      <c r="V227" s="73" t="str">
        <f aca="false">IF($A227="","",$Q227-$U227)</f>
        <v/>
      </c>
      <c r="W227" s="72" t="str">
        <f aca="false">IF($A227="","",IF(ROUND($U227,2)=0,"n/a",$V227/ABS($U227)))</f>
        <v/>
      </c>
      <c r="X227" s="74" t="str">
        <f aca="false">IF($A227="","",IF(AND(ROUND($Q227,2)=0,ROUND($R227,2)=0),"No Activity",IF(ABS($S227)&lt;Setup!$B$14,"Low",IF(ROUND($R227,2)=0,"High",IF(OR(ABS($S227/$R227)&gt;=Setup!$B$16,ABS($S227)&gt;=Setup!$B$17),"High",IF(ABS($S227/$R227)&gt;=Setup!$B$15,"Medium","Low"))))))</f>
        <v/>
      </c>
      <c r="Y227" s="57"/>
      <c r="Z227" s="75" t="n">
        <f aca="false">IF($A227="",-1000000000000000,IF(ROUND(ABS($S227),0)=0,-1000000000000000,ABS($S227)+ROW()/1000000))</f>
        <v>-1000000000000000</v>
      </c>
    </row>
    <row r="228" customFormat="false" ht="15" hidden="false" customHeight="false" outlineLevel="0" collapsed="false">
      <c r="A228" s="68" t="str">
        <f aca="false">IF(Data_Engine!$A228="","",Data_Engine!$A228)</f>
        <v/>
      </c>
      <c r="B228" s="42" t="str">
        <f aca="false">IF($A228="","",Data_Engine!$B228)</f>
        <v/>
      </c>
      <c r="C228" s="42" t="str">
        <f aca="false">IF($A228="","",Data_Engine!$D228)</f>
        <v/>
      </c>
      <c r="D228" s="69" t="str">
        <f aca="false">IF($A228="","",Data_Engine!$R228)</f>
        <v/>
      </c>
      <c r="E228" s="69" t="str">
        <f aca="false">IF($A228="","",Data_Engine!$S228)</f>
        <v/>
      </c>
      <c r="F228" s="69" t="str">
        <f aca="false">IF($A228="","",Data_Engine!$T228)</f>
        <v/>
      </c>
      <c r="G228" s="69" t="str">
        <f aca="false">IF($A228="","",Data_Engine!$U228)</f>
        <v/>
      </c>
      <c r="H228" s="69" t="str">
        <f aca="false">IF($A228="","",Data_Engine!$V228)</f>
        <v/>
      </c>
      <c r="I228" s="69" t="str">
        <f aca="false">IF($A228="","",Data_Engine!$W228)</f>
        <v/>
      </c>
      <c r="J228" s="69" t="str">
        <f aca="false">IF($A228="","",Data_Engine!$X228)</f>
        <v/>
      </c>
      <c r="K228" s="69" t="str">
        <f aca="false">IF($A228="","",Data_Engine!$Y228)</f>
        <v/>
      </c>
      <c r="L228" s="69" t="str">
        <f aca="false">IF($A228="","",Data_Engine!$Z228)</f>
        <v/>
      </c>
      <c r="M228" s="69" t="str">
        <f aca="false">IF($A228="","",Data_Engine!$AA228)</f>
        <v/>
      </c>
      <c r="N228" s="69" t="str">
        <f aca="false">IF($A228="","",Data_Engine!$AB228)</f>
        <v/>
      </c>
      <c r="O228" s="69" t="str">
        <f aca="false">IF($A228="","",Data_Engine!$AC228)</f>
        <v/>
      </c>
      <c r="P228" s="69" t="str">
        <f aca="false">IF($A228="","",Data_Engine!$AH228)</f>
        <v/>
      </c>
      <c r="Q228" s="70" t="str">
        <f aca="false">IF($A228="","",Data_Engine!$AD228)</f>
        <v/>
      </c>
      <c r="R228" s="69" t="str">
        <f aca="false">IF($A228="","",Data_Engine!$AF228)</f>
        <v/>
      </c>
      <c r="S228" s="71" t="str">
        <f aca="false">IF($A228="","",$Q228-$R228)</f>
        <v/>
      </c>
      <c r="T228" s="72" t="str">
        <f aca="false">IF($A228="","",IF(ROUND($R228,2)=0,"n/a",$S228/ABS($R228)))</f>
        <v/>
      </c>
      <c r="U228" s="69" t="str">
        <f aca="false">IF($A228="","",Data_Engine!$AG228)</f>
        <v/>
      </c>
      <c r="V228" s="73" t="str">
        <f aca="false">IF($A228="","",$Q228-$U228)</f>
        <v/>
      </c>
      <c r="W228" s="72" t="str">
        <f aca="false">IF($A228="","",IF(ROUND($U228,2)=0,"n/a",$V228/ABS($U228)))</f>
        <v/>
      </c>
      <c r="X228" s="74" t="str">
        <f aca="false">IF($A228="","",IF(AND(ROUND($Q228,2)=0,ROUND($R228,2)=0),"No Activity",IF(ABS($S228)&lt;Setup!$B$14,"Low",IF(ROUND($R228,2)=0,"High",IF(OR(ABS($S228/$R228)&gt;=Setup!$B$16,ABS($S228)&gt;=Setup!$B$17),"High",IF(ABS($S228/$R228)&gt;=Setup!$B$15,"Medium","Low"))))))</f>
        <v/>
      </c>
      <c r="Y228" s="57"/>
      <c r="Z228" s="75" t="n">
        <f aca="false">IF($A228="",-1000000000000000,IF(ROUND(ABS($S228),0)=0,-1000000000000000,ABS($S228)+ROW()/1000000))</f>
        <v>-1000000000000000</v>
      </c>
    </row>
    <row r="229" customFormat="false" ht="15" hidden="false" customHeight="false" outlineLevel="0" collapsed="false">
      <c r="A229" s="68" t="str">
        <f aca="false">IF(Data_Engine!$A229="","",Data_Engine!$A229)</f>
        <v/>
      </c>
      <c r="B229" s="42" t="str">
        <f aca="false">IF($A229="","",Data_Engine!$B229)</f>
        <v/>
      </c>
      <c r="C229" s="42" t="str">
        <f aca="false">IF($A229="","",Data_Engine!$D229)</f>
        <v/>
      </c>
      <c r="D229" s="69" t="str">
        <f aca="false">IF($A229="","",Data_Engine!$R229)</f>
        <v/>
      </c>
      <c r="E229" s="69" t="str">
        <f aca="false">IF($A229="","",Data_Engine!$S229)</f>
        <v/>
      </c>
      <c r="F229" s="69" t="str">
        <f aca="false">IF($A229="","",Data_Engine!$T229)</f>
        <v/>
      </c>
      <c r="G229" s="69" t="str">
        <f aca="false">IF($A229="","",Data_Engine!$U229)</f>
        <v/>
      </c>
      <c r="H229" s="69" t="str">
        <f aca="false">IF($A229="","",Data_Engine!$V229)</f>
        <v/>
      </c>
      <c r="I229" s="69" t="str">
        <f aca="false">IF($A229="","",Data_Engine!$W229)</f>
        <v/>
      </c>
      <c r="J229" s="69" t="str">
        <f aca="false">IF($A229="","",Data_Engine!$X229)</f>
        <v/>
      </c>
      <c r="K229" s="69" t="str">
        <f aca="false">IF($A229="","",Data_Engine!$Y229)</f>
        <v/>
      </c>
      <c r="L229" s="69" t="str">
        <f aca="false">IF($A229="","",Data_Engine!$Z229)</f>
        <v/>
      </c>
      <c r="M229" s="69" t="str">
        <f aca="false">IF($A229="","",Data_Engine!$AA229)</f>
        <v/>
      </c>
      <c r="N229" s="69" t="str">
        <f aca="false">IF($A229="","",Data_Engine!$AB229)</f>
        <v/>
      </c>
      <c r="O229" s="69" t="str">
        <f aca="false">IF($A229="","",Data_Engine!$AC229)</f>
        <v/>
      </c>
      <c r="P229" s="69" t="str">
        <f aca="false">IF($A229="","",Data_Engine!$AH229)</f>
        <v/>
      </c>
      <c r="Q229" s="70" t="str">
        <f aca="false">IF($A229="","",Data_Engine!$AD229)</f>
        <v/>
      </c>
      <c r="R229" s="69" t="str">
        <f aca="false">IF($A229="","",Data_Engine!$AF229)</f>
        <v/>
      </c>
      <c r="S229" s="71" t="str">
        <f aca="false">IF($A229="","",$Q229-$R229)</f>
        <v/>
      </c>
      <c r="T229" s="72" t="str">
        <f aca="false">IF($A229="","",IF(ROUND($R229,2)=0,"n/a",$S229/ABS($R229)))</f>
        <v/>
      </c>
      <c r="U229" s="69" t="str">
        <f aca="false">IF($A229="","",Data_Engine!$AG229)</f>
        <v/>
      </c>
      <c r="V229" s="73" t="str">
        <f aca="false">IF($A229="","",$Q229-$U229)</f>
        <v/>
      </c>
      <c r="W229" s="72" t="str">
        <f aca="false">IF($A229="","",IF(ROUND($U229,2)=0,"n/a",$V229/ABS($U229)))</f>
        <v/>
      </c>
      <c r="X229" s="74" t="str">
        <f aca="false">IF($A229="","",IF(AND(ROUND($Q229,2)=0,ROUND($R229,2)=0),"No Activity",IF(ABS($S229)&lt;Setup!$B$14,"Low",IF(ROUND($R229,2)=0,"High",IF(OR(ABS($S229/$R229)&gt;=Setup!$B$16,ABS($S229)&gt;=Setup!$B$17),"High",IF(ABS($S229/$R229)&gt;=Setup!$B$15,"Medium","Low"))))))</f>
        <v/>
      </c>
      <c r="Y229" s="57"/>
      <c r="Z229" s="75" t="n">
        <f aca="false">IF($A229="",-1000000000000000,IF(ROUND(ABS($S229),0)=0,-1000000000000000,ABS($S229)+ROW()/1000000))</f>
        <v>-1000000000000000</v>
      </c>
    </row>
    <row r="230" customFormat="false" ht="15" hidden="false" customHeight="false" outlineLevel="0" collapsed="false">
      <c r="A230" s="68" t="str">
        <f aca="false">IF(Data_Engine!$A230="","",Data_Engine!$A230)</f>
        <v/>
      </c>
      <c r="B230" s="42" t="str">
        <f aca="false">IF($A230="","",Data_Engine!$B230)</f>
        <v/>
      </c>
      <c r="C230" s="42" t="str">
        <f aca="false">IF($A230="","",Data_Engine!$D230)</f>
        <v/>
      </c>
      <c r="D230" s="69" t="str">
        <f aca="false">IF($A230="","",Data_Engine!$R230)</f>
        <v/>
      </c>
      <c r="E230" s="69" t="str">
        <f aca="false">IF($A230="","",Data_Engine!$S230)</f>
        <v/>
      </c>
      <c r="F230" s="69" t="str">
        <f aca="false">IF($A230="","",Data_Engine!$T230)</f>
        <v/>
      </c>
      <c r="G230" s="69" t="str">
        <f aca="false">IF($A230="","",Data_Engine!$U230)</f>
        <v/>
      </c>
      <c r="H230" s="69" t="str">
        <f aca="false">IF($A230="","",Data_Engine!$V230)</f>
        <v/>
      </c>
      <c r="I230" s="69" t="str">
        <f aca="false">IF($A230="","",Data_Engine!$W230)</f>
        <v/>
      </c>
      <c r="J230" s="69" t="str">
        <f aca="false">IF($A230="","",Data_Engine!$X230)</f>
        <v/>
      </c>
      <c r="K230" s="69" t="str">
        <f aca="false">IF($A230="","",Data_Engine!$Y230)</f>
        <v/>
      </c>
      <c r="L230" s="69" t="str">
        <f aca="false">IF($A230="","",Data_Engine!$Z230)</f>
        <v/>
      </c>
      <c r="M230" s="69" t="str">
        <f aca="false">IF($A230="","",Data_Engine!$AA230)</f>
        <v/>
      </c>
      <c r="N230" s="69" t="str">
        <f aca="false">IF($A230="","",Data_Engine!$AB230)</f>
        <v/>
      </c>
      <c r="O230" s="69" t="str">
        <f aca="false">IF($A230="","",Data_Engine!$AC230)</f>
        <v/>
      </c>
      <c r="P230" s="69" t="str">
        <f aca="false">IF($A230="","",Data_Engine!$AH230)</f>
        <v/>
      </c>
      <c r="Q230" s="70" t="str">
        <f aca="false">IF($A230="","",Data_Engine!$AD230)</f>
        <v/>
      </c>
      <c r="R230" s="69" t="str">
        <f aca="false">IF($A230="","",Data_Engine!$AF230)</f>
        <v/>
      </c>
      <c r="S230" s="71" t="str">
        <f aca="false">IF($A230="","",$Q230-$R230)</f>
        <v/>
      </c>
      <c r="T230" s="72" t="str">
        <f aca="false">IF($A230="","",IF(ROUND($R230,2)=0,"n/a",$S230/ABS($R230)))</f>
        <v/>
      </c>
      <c r="U230" s="69" t="str">
        <f aca="false">IF($A230="","",Data_Engine!$AG230)</f>
        <v/>
      </c>
      <c r="V230" s="73" t="str">
        <f aca="false">IF($A230="","",$Q230-$U230)</f>
        <v/>
      </c>
      <c r="W230" s="72" t="str">
        <f aca="false">IF($A230="","",IF(ROUND($U230,2)=0,"n/a",$V230/ABS($U230)))</f>
        <v/>
      </c>
      <c r="X230" s="74" t="str">
        <f aca="false">IF($A230="","",IF(AND(ROUND($Q230,2)=0,ROUND($R230,2)=0),"No Activity",IF(ABS($S230)&lt;Setup!$B$14,"Low",IF(ROUND($R230,2)=0,"High",IF(OR(ABS($S230/$R230)&gt;=Setup!$B$16,ABS($S230)&gt;=Setup!$B$17),"High",IF(ABS($S230/$R230)&gt;=Setup!$B$15,"Medium","Low"))))))</f>
        <v/>
      </c>
      <c r="Y230" s="57"/>
      <c r="Z230" s="75" t="n">
        <f aca="false">IF($A230="",-1000000000000000,IF(ROUND(ABS($S230),0)=0,-1000000000000000,ABS($S230)+ROW()/1000000))</f>
        <v>-1000000000000000</v>
      </c>
    </row>
    <row r="231" customFormat="false" ht="15" hidden="false" customHeight="false" outlineLevel="0" collapsed="false">
      <c r="A231" s="68" t="str">
        <f aca="false">IF(Data_Engine!$A231="","",Data_Engine!$A231)</f>
        <v/>
      </c>
      <c r="B231" s="42" t="str">
        <f aca="false">IF($A231="","",Data_Engine!$B231)</f>
        <v/>
      </c>
      <c r="C231" s="42" t="str">
        <f aca="false">IF($A231="","",Data_Engine!$D231)</f>
        <v/>
      </c>
      <c r="D231" s="69" t="str">
        <f aca="false">IF($A231="","",Data_Engine!$R231)</f>
        <v/>
      </c>
      <c r="E231" s="69" t="str">
        <f aca="false">IF($A231="","",Data_Engine!$S231)</f>
        <v/>
      </c>
      <c r="F231" s="69" t="str">
        <f aca="false">IF($A231="","",Data_Engine!$T231)</f>
        <v/>
      </c>
      <c r="G231" s="69" t="str">
        <f aca="false">IF($A231="","",Data_Engine!$U231)</f>
        <v/>
      </c>
      <c r="H231" s="69" t="str">
        <f aca="false">IF($A231="","",Data_Engine!$V231)</f>
        <v/>
      </c>
      <c r="I231" s="69" t="str">
        <f aca="false">IF($A231="","",Data_Engine!$W231)</f>
        <v/>
      </c>
      <c r="J231" s="69" t="str">
        <f aca="false">IF($A231="","",Data_Engine!$X231)</f>
        <v/>
      </c>
      <c r="K231" s="69" t="str">
        <f aca="false">IF($A231="","",Data_Engine!$Y231)</f>
        <v/>
      </c>
      <c r="L231" s="69" t="str">
        <f aca="false">IF($A231="","",Data_Engine!$Z231)</f>
        <v/>
      </c>
      <c r="M231" s="69" t="str">
        <f aca="false">IF($A231="","",Data_Engine!$AA231)</f>
        <v/>
      </c>
      <c r="N231" s="69" t="str">
        <f aca="false">IF($A231="","",Data_Engine!$AB231)</f>
        <v/>
      </c>
      <c r="O231" s="69" t="str">
        <f aca="false">IF($A231="","",Data_Engine!$AC231)</f>
        <v/>
      </c>
      <c r="P231" s="69" t="str">
        <f aca="false">IF($A231="","",Data_Engine!$AH231)</f>
        <v/>
      </c>
      <c r="Q231" s="70" t="str">
        <f aca="false">IF($A231="","",Data_Engine!$AD231)</f>
        <v/>
      </c>
      <c r="R231" s="69" t="str">
        <f aca="false">IF($A231="","",Data_Engine!$AF231)</f>
        <v/>
      </c>
      <c r="S231" s="71" t="str">
        <f aca="false">IF($A231="","",$Q231-$R231)</f>
        <v/>
      </c>
      <c r="T231" s="72" t="str">
        <f aca="false">IF($A231="","",IF(ROUND($R231,2)=0,"n/a",$S231/ABS($R231)))</f>
        <v/>
      </c>
      <c r="U231" s="69" t="str">
        <f aca="false">IF($A231="","",Data_Engine!$AG231)</f>
        <v/>
      </c>
      <c r="V231" s="73" t="str">
        <f aca="false">IF($A231="","",$Q231-$U231)</f>
        <v/>
      </c>
      <c r="W231" s="72" t="str">
        <f aca="false">IF($A231="","",IF(ROUND($U231,2)=0,"n/a",$V231/ABS($U231)))</f>
        <v/>
      </c>
      <c r="X231" s="74" t="str">
        <f aca="false">IF($A231="","",IF(AND(ROUND($Q231,2)=0,ROUND($R231,2)=0),"No Activity",IF(ABS($S231)&lt;Setup!$B$14,"Low",IF(ROUND($R231,2)=0,"High",IF(OR(ABS($S231/$R231)&gt;=Setup!$B$16,ABS($S231)&gt;=Setup!$B$17),"High",IF(ABS($S231/$R231)&gt;=Setup!$B$15,"Medium","Low"))))))</f>
        <v/>
      </c>
      <c r="Y231" s="57"/>
      <c r="Z231" s="75" t="n">
        <f aca="false">IF($A231="",-1000000000000000,IF(ROUND(ABS($S231),0)=0,-1000000000000000,ABS($S231)+ROW()/1000000))</f>
        <v>-1000000000000000</v>
      </c>
    </row>
    <row r="232" customFormat="false" ht="15" hidden="false" customHeight="false" outlineLevel="0" collapsed="false">
      <c r="A232" s="68" t="str">
        <f aca="false">IF(Data_Engine!$A232="","",Data_Engine!$A232)</f>
        <v/>
      </c>
      <c r="B232" s="42" t="str">
        <f aca="false">IF($A232="","",Data_Engine!$B232)</f>
        <v/>
      </c>
      <c r="C232" s="42" t="str">
        <f aca="false">IF($A232="","",Data_Engine!$D232)</f>
        <v/>
      </c>
      <c r="D232" s="69" t="str">
        <f aca="false">IF($A232="","",Data_Engine!$R232)</f>
        <v/>
      </c>
      <c r="E232" s="69" t="str">
        <f aca="false">IF($A232="","",Data_Engine!$S232)</f>
        <v/>
      </c>
      <c r="F232" s="69" t="str">
        <f aca="false">IF($A232="","",Data_Engine!$T232)</f>
        <v/>
      </c>
      <c r="G232" s="69" t="str">
        <f aca="false">IF($A232="","",Data_Engine!$U232)</f>
        <v/>
      </c>
      <c r="H232" s="69" t="str">
        <f aca="false">IF($A232="","",Data_Engine!$V232)</f>
        <v/>
      </c>
      <c r="I232" s="69" t="str">
        <f aca="false">IF($A232="","",Data_Engine!$W232)</f>
        <v/>
      </c>
      <c r="J232" s="69" t="str">
        <f aca="false">IF($A232="","",Data_Engine!$X232)</f>
        <v/>
      </c>
      <c r="K232" s="69" t="str">
        <f aca="false">IF($A232="","",Data_Engine!$Y232)</f>
        <v/>
      </c>
      <c r="L232" s="69" t="str">
        <f aca="false">IF($A232="","",Data_Engine!$Z232)</f>
        <v/>
      </c>
      <c r="M232" s="69" t="str">
        <f aca="false">IF($A232="","",Data_Engine!$AA232)</f>
        <v/>
      </c>
      <c r="N232" s="69" t="str">
        <f aca="false">IF($A232="","",Data_Engine!$AB232)</f>
        <v/>
      </c>
      <c r="O232" s="69" t="str">
        <f aca="false">IF($A232="","",Data_Engine!$AC232)</f>
        <v/>
      </c>
      <c r="P232" s="69" t="str">
        <f aca="false">IF($A232="","",Data_Engine!$AH232)</f>
        <v/>
      </c>
      <c r="Q232" s="70" t="str">
        <f aca="false">IF($A232="","",Data_Engine!$AD232)</f>
        <v/>
      </c>
      <c r="R232" s="69" t="str">
        <f aca="false">IF($A232="","",Data_Engine!$AF232)</f>
        <v/>
      </c>
      <c r="S232" s="71" t="str">
        <f aca="false">IF($A232="","",$Q232-$R232)</f>
        <v/>
      </c>
      <c r="T232" s="72" t="str">
        <f aca="false">IF($A232="","",IF(ROUND($R232,2)=0,"n/a",$S232/ABS($R232)))</f>
        <v/>
      </c>
      <c r="U232" s="69" t="str">
        <f aca="false">IF($A232="","",Data_Engine!$AG232)</f>
        <v/>
      </c>
      <c r="V232" s="73" t="str">
        <f aca="false">IF($A232="","",$Q232-$U232)</f>
        <v/>
      </c>
      <c r="W232" s="72" t="str">
        <f aca="false">IF($A232="","",IF(ROUND($U232,2)=0,"n/a",$V232/ABS($U232)))</f>
        <v/>
      </c>
      <c r="X232" s="74" t="str">
        <f aca="false">IF($A232="","",IF(AND(ROUND($Q232,2)=0,ROUND($R232,2)=0),"No Activity",IF(ABS($S232)&lt;Setup!$B$14,"Low",IF(ROUND($R232,2)=0,"High",IF(OR(ABS($S232/$R232)&gt;=Setup!$B$16,ABS($S232)&gt;=Setup!$B$17),"High",IF(ABS($S232/$R232)&gt;=Setup!$B$15,"Medium","Low"))))))</f>
        <v/>
      </c>
      <c r="Y232" s="57"/>
      <c r="Z232" s="75" t="n">
        <f aca="false">IF($A232="",-1000000000000000,IF(ROUND(ABS($S232),0)=0,-1000000000000000,ABS($S232)+ROW()/1000000))</f>
        <v>-1000000000000000</v>
      </c>
    </row>
    <row r="233" customFormat="false" ht="15" hidden="false" customHeight="false" outlineLevel="0" collapsed="false">
      <c r="A233" s="68" t="str">
        <f aca="false">IF(Data_Engine!$A233="","",Data_Engine!$A233)</f>
        <v/>
      </c>
      <c r="B233" s="42" t="str">
        <f aca="false">IF($A233="","",Data_Engine!$B233)</f>
        <v/>
      </c>
      <c r="C233" s="42" t="str">
        <f aca="false">IF($A233="","",Data_Engine!$D233)</f>
        <v/>
      </c>
      <c r="D233" s="69" t="str">
        <f aca="false">IF($A233="","",Data_Engine!$R233)</f>
        <v/>
      </c>
      <c r="E233" s="69" t="str">
        <f aca="false">IF($A233="","",Data_Engine!$S233)</f>
        <v/>
      </c>
      <c r="F233" s="69" t="str">
        <f aca="false">IF($A233="","",Data_Engine!$T233)</f>
        <v/>
      </c>
      <c r="G233" s="69" t="str">
        <f aca="false">IF($A233="","",Data_Engine!$U233)</f>
        <v/>
      </c>
      <c r="H233" s="69" t="str">
        <f aca="false">IF($A233="","",Data_Engine!$V233)</f>
        <v/>
      </c>
      <c r="I233" s="69" t="str">
        <f aca="false">IF($A233="","",Data_Engine!$W233)</f>
        <v/>
      </c>
      <c r="J233" s="69" t="str">
        <f aca="false">IF($A233="","",Data_Engine!$X233)</f>
        <v/>
      </c>
      <c r="K233" s="69" t="str">
        <f aca="false">IF($A233="","",Data_Engine!$Y233)</f>
        <v/>
      </c>
      <c r="L233" s="69" t="str">
        <f aca="false">IF($A233="","",Data_Engine!$Z233)</f>
        <v/>
      </c>
      <c r="M233" s="69" t="str">
        <f aca="false">IF($A233="","",Data_Engine!$AA233)</f>
        <v/>
      </c>
      <c r="N233" s="69" t="str">
        <f aca="false">IF($A233="","",Data_Engine!$AB233)</f>
        <v/>
      </c>
      <c r="O233" s="69" t="str">
        <f aca="false">IF($A233="","",Data_Engine!$AC233)</f>
        <v/>
      </c>
      <c r="P233" s="69" t="str">
        <f aca="false">IF($A233="","",Data_Engine!$AH233)</f>
        <v/>
      </c>
      <c r="Q233" s="70" t="str">
        <f aca="false">IF($A233="","",Data_Engine!$AD233)</f>
        <v/>
      </c>
      <c r="R233" s="69" t="str">
        <f aca="false">IF($A233="","",Data_Engine!$AF233)</f>
        <v/>
      </c>
      <c r="S233" s="71" t="str">
        <f aca="false">IF($A233="","",$Q233-$R233)</f>
        <v/>
      </c>
      <c r="T233" s="72" t="str">
        <f aca="false">IF($A233="","",IF(ROUND($R233,2)=0,"n/a",$S233/ABS($R233)))</f>
        <v/>
      </c>
      <c r="U233" s="69" t="str">
        <f aca="false">IF($A233="","",Data_Engine!$AG233)</f>
        <v/>
      </c>
      <c r="V233" s="73" t="str">
        <f aca="false">IF($A233="","",$Q233-$U233)</f>
        <v/>
      </c>
      <c r="W233" s="72" t="str">
        <f aca="false">IF($A233="","",IF(ROUND($U233,2)=0,"n/a",$V233/ABS($U233)))</f>
        <v/>
      </c>
      <c r="X233" s="74" t="str">
        <f aca="false">IF($A233="","",IF(AND(ROUND($Q233,2)=0,ROUND($R233,2)=0),"No Activity",IF(ABS($S233)&lt;Setup!$B$14,"Low",IF(ROUND($R233,2)=0,"High",IF(OR(ABS($S233/$R233)&gt;=Setup!$B$16,ABS($S233)&gt;=Setup!$B$17),"High",IF(ABS($S233/$R233)&gt;=Setup!$B$15,"Medium","Low"))))))</f>
        <v/>
      </c>
      <c r="Y233" s="57"/>
      <c r="Z233" s="75" t="n">
        <f aca="false">IF($A233="",-1000000000000000,IF(ROUND(ABS($S233),0)=0,-1000000000000000,ABS($S233)+ROW()/1000000))</f>
        <v>-1000000000000000</v>
      </c>
    </row>
    <row r="234" customFormat="false" ht="15" hidden="false" customHeight="false" outlineLevel="0" collapsed="false">
      <c r="A234" s="68" t="str">
        <f aca="false">IF(Data_Engine!$A234="","",Data_Engine!$A234)</f>
        <v/>
      </c>
      <c r="B234" s="42" t="str">
        <f aca="false">IF($A234="","",Data_Engine!$B234)</f>
        <v/>
      </c>
      <c r="C234" s="42" t="str">
        <f aca="false">IF($A234="","",Data_Engine!$D234)</f>
        <v/>
      </c>
      <c r="D234" s="69" t="str">
        <f aca="false">IF($A234="","",Data_Engine!$R234)</f>
        <v/>
      </c>
      <c r="E234" s="69" t="str">
        <f aca="false">IF($A234="","",Data_Engine!$S234)</f>
        <v/>
      </c>
      <c r="F234" s="69" t="str">
        <f aca="false">IF($A234="","",Data_Engine!$T234)</f>
        <v/>
      </c>
      <c r="G234" s="69" t="str">
        <f aca="false">IF($A234="","",Data_Engine!$U234)</f>
        <v/>
      </c>
      <c r="H234" s="69" t="str">
        <f aca="false">IF($A234="","",Data_Engine!$V234)</f>
        <v/>
      </c>
      <c r="I234" s="69" t="str">
        <f aca="false">IF($A234="","",Data_Engine!$W234)</f>
        <v/>
      </c>
      <c r="J234" s="69" t="str">
        <f aca="false">IF($A234="","",Data_Engine!$X234)</f>
        <v/>
      </c>
      <c r="K234" s="69" t="str">
        <f aca="false">IF($A234="","",Data_Engine!$Y234)</f>
        <v/>
      </c>
      <c r="L234" s="69" t="str">
        <f aca="false">IF($A234="","",Data_Engine!$Z234)</f>
        <v/>
      </c>
      <c r="M234" s="69" t="str">
        <f aca="false">IF($A234="","",Data_Engine!$AA234)</f>
        <v/>
      </c>
      <c r="N234" s="69" t="str">
        <f aca="false">IF($A234="","",Data_Engine!$AB234)</f>
        <v/>
      </c>
      <c r="O234" s="69" t="str">
        <f aca="false">IF($A234="","",Data_Engine!$AC234)</f>
        <v/>
      </c>
      <c r="P234" s="69" t="str">
        <f aca="false">IF($A234="","",Data_Engine!$AH234)</f>
        <v/>
      </c>
      <c r="Q234" s="70" t="str">
        <f aca="false">IF($A234="","",Data_Engine!$AD234)</f>
        <v/>
      </c>
      <c r="R234" s="69" t="str">
        <f aca="false">IF($A234="","",Data_Engine!$AF234)</f>
        <v/>
      </c>
      <c r="S234" s="71" t="str">
        <f aca="false">IF($A234="","",$Q234-$R234)</f>
        <v/>
      </c>
      <c r="T234" s="72" t="str">
        <f aca="false">IF($A234="","",IF(ROUND($R234,2)=0,"n/a",$S234/ABS($R234)))</f>
        <v/>
      </c>
      <c r="U234" s="69" t="str">
        <f aca="false">IF($A234="","",Data_Engine!$AG234)</f>
        <v/>
      </c>
      <c r="V234" s="73" t="str">
        <f aca="false">IF($A234="","",$Q234-$U234)</f>
        <v/>
      </c>
      <c r="W234" s="72" t="str">
        <f aca="false">IF($A234="","",IF(ROUND($U234,2)=0,"n/a",$V234/ABS($U234)))</f>
        <v/>
      </c>
      <c r="X234" s="74" t="str">
        <f aca="false">IF($A234="","",IF(AND(ROUND($Q234,2)=0,ROUND($R234,2)=0),"No Activity",IF(ABS($S234)&lt;Setup!$B$14,"Low",IF(ROUND($R234,2)=0,"High",IF(OR(ABS($S234/$R234)&gt;=Setup!$B$16,ABS($S234)&gt;=Setup!$B$17),"High",IF(ABS($S234/$R234)&gt;=Setup!$B$15,"Medium","Low"))))))</f>
        <v/>
      </c>
      <c r="Y234" s="57"/>
      <c r="Z234" s="75" t="n">
        <f aca="false">IF($A234="",-1000000000000000,IF(ROUND(ABS($S234),0)=0,-1000000000000000,ABS($S234)+ROW()/1000000))</f>
        <v>-1000000000000000</v>
      </c>
    </row>
    <row r="235" customFormat="false" ht="15" hidden="false" customHeight="false" outlineLevel="0" collapsed="false">
      <c r="A235" s="68" t="str">
        <f aca="false">IF(Data_Engine!$A235="","",Data_Engine!$A235)</f>
        <v/>
      </c>
      <c r="B235" s="42" t="str">
        <f aca="false">IF($A235="","",Data_Engine!$B235)</f>
        <v/>
      </c>
      <c r="C235" s="42" t="str">
        <f aca="false">IF($A235="","",Data_Engine!$D235)</f>
        <v/>
      </c>
      <c r="D235" s="69" t="str">
        <f aca="false">IF($A235="","",Data_Engine!$R235)</f>
        <v/>
      </c>
      <c r="E235" s="69" t="str">
        <f aca="false">IF($A235="","",Data_Engine!$S235)</f>
        <v/>
      </c>
      <c r="F235" s="69" t="str">
        <f aca="false">IF($A235="","",Data_Engine!$T235)</f>
        <v/>
      </c>
      <c r="G235" s="69" t="str">
        <f aca="false">IF($A235="","",Data_Engine!$U235)</f>
        <v/>
      </c>
      <c r="H235" s="69" t="str">
        <f aca="false">IF($A235="","",Data_Engine!$V235)</f>
        <v/>
      </c>
      <c r="I235" s="69" t="str">
        <f aca="false">IF($A235="","",Data_Engine!$W235)</f>
        <v/>
      </c>
      <c r="J235" s="69" t="str">
        <f aca="false">IF($A235="","",Data_Engine!$X235)</f>
        <v/>
      </c>
      <c r="K235" s="69" t="str">
        <f aca="false">IF($A235="","",Data_Engine!$Y235)</f>
        <v/>
      </c>
      <c r="L235" s="69" t="str">
        <f aca="false">IF($A235="","",Data_Engine!$Z235)</f>
        <v/>
      </c>
      <c r="M235" s="69" t="str">
        <f aca="false">IF($A235="","",Data_Engine!$AA235)</f>
        <v/>
      </c>
      <c r="N235" s="69" t="str">
        <f aca="false">IF($A235="","",Data_Engine!$AB235)</f>
        <v/>
      </c>
      <c r="O235" s="69" t="str">
        <f aca="false">IF($A235="","",Data_Engine!$AC235)</f>
        <v/>
      </c>
      <c r="P235" s="69" t="str">
        <f aca="false">IF($A235="","",Data_Engine!$AH235)</f>
        <v/>
      </c>
      <c r="Q235" s="70" t="str">
        <f aca="false">IF($A235="","",Data_Engine!$AD235)</f>
        <v/>
      </c>
      <c r="R235" s="69" t="str">
        <f aca="false">IF($A235="","",Data_Engine!$AF235)</f>
        <v/>
      </c>
      <c r="S235" s="71" t="str">
        <f aca="false">IF($A235="","",$Q235-$R235)</f>
        <v/>
      </c>
      <c r="T235" s="72" t="str">
        <f aca="false">IF($A235="","",IF(ROUND($R235,2)=0,"n/a",$S235/ABS($R235)))</f>
        <v/>
      </c>
      <c r="U235" s="69" t="str">
        <f aca="false">IF($A235="","",Data_Engine!$AG235)</f>
        <v/>
      </c>
      <c r="V235" s="73" t="str">
        <f aca="false">IF($A235="","",$Q235-$U235)</f>
        <v/>
      </c>
      <c r="W235" s="72" t="str">
        <f aca="false">IF($A235="","",IF(ROUND($U235,2)=0,"n/a",$V235/ABS($U235)))</f>
        <v/>
      </c>
      <c r="X235" s="74" t="str">
        <f aca="false">IF($A235="","",IF(AND(ROUND($Q235,2)=0,ROUND($R235,2)=0),"No Activity",IF(ABS($S235)&lt;Setup!$B$14,"Low",IF(ROUND($R235,2)=0,"High",IF(OR(ABS($S235/$R235)&gt;=Setup!$B$16,ABS($S235)&gt;=Setup!$B$17),"High",IF(ABS($S235/$R235)&gt;=Setup!$B$15,"Medium","Low"))))))</f>
        <v/>
      </c>
      <c r="Y235" s="57"/>
      <c r="Z235" s="75" t="n">
        <f aca="false">IF($A235="",-1000000000000000,IF(ROUND(ABS($S235),0)=0,-1000000000000000,ABS($S235)+ROW()/1000000))</f>
        <v>-1000000000000000</v>
      </c>
    </row>
    <row r="236" customFormat="false" ht="15" hidden="false" customHeight="false" outlineLevel="0" collapsed="false">
      <c r="A236" s="68" t="str">
        <f aca="false">IF(Data_Engine!$A236="","",Data_Engine!$A236)</f>
        <v/>
      </c>
      <c r="B236" s="42" t="str">
        <f aca="false">IF($A236="","",Data_Engine!$B236)</f>
        <v/>
      </c>
      <c r="C236" s="42" t="str">
        <f aca="false">IF($A236="","",Data_Engine!$D236)</f>
        <v/>
      </c>
      <c r="D236" s="69" t="str">
        <f aca="false">IF($A236="","",Data_Engine!$R236)</f>
        <v/>
      </c>
      <c r="E236" s="69" t="str">
        <f aca="false">IF($A236="","",Data_Engine!$S236)</f>
        <v/>
      </c>
      <c r="F236" s="69" t="str">
        <f aca="false">IF($A236="","",Data_Engine!$T236)</f>
        <v/>
      </c>
      <c r="G236" s="69" t="str">
        <f aca="false">IF($A236="","",Data_Engine!$U236)</f>
        <v/>
      </c>
      <c r="H236" s="69" t="str">
        <f aca="false">IF($A236="","",Data_Engine!$V236)</f>
        <v/>
      </c>
      <c r="I236" s="69" t="str">
        <f aca="false">IF($A236="","",Data_Engine!$W236)</f>
        <v/>
      </c>
      <c r="J236" s="69" t="str">
        <f aca="false">IF($A236="","",Data_Engine!$X236)</f>
        <v/>
      </c>
      <c r="K236" s="69" t="str">
        <f aca="false">IF($A236="","",Data_Engine!$Y236)</f>
        <v/>
      </c>
      <c r="L236" s="69" t="str">
        <f aca="false">IF($A236="","",Data_Engine!$Z236)</f>
        <v/>
      </c>
      <c r="M236" s="69" t="str">
        <f aca="false">IF($A236="","",Data_Engine!$AA236)</f>
        <v/>
      </c>
      <c r="N236" s="69" t="str">
        <f aca="false">IF($A236="","",Data_Engine!$AB236)</f>
        <v/>
      </c>
      <c r="O236" s="69" t="str">
        <f aca="false">IF($A236="","",Data_Engine!$AC236)</f>
        <v/>
      </c>
      <c r="P236" s="69" t="str">
        <f aca="false">IF($A236="","",Data_Engine!$AH236)</f>
        <v/>
      </c>
      <c r="Q236" s="70" t="str">
        <f aca="false">IF($A236="","",Data_Engine!$AD236)</f>
        <v/>
      </c>
      <c r="R236" s="69" t="str">
        <f aca="false">IF($A236="","",Data_Engine!$AF236)</f>
        <v/>
      </c>
      <c r="S236" s="71" t="str">
        <f aca="false">IF($A236="","",$Q236-$R236)</f>
        <v/>
      </c>
      <c r="T236" s="72" t="str">
        <f aca="false">IF($A236="","",IF(ROUND($R236,2)=0,"n/a",$S236/ABS($R236)))</f>
        <v/>
      </c>
      <c r="U236" s="69" t="str">
        <f aca="false">IF($A236="","",Data_Engine!$AG236)</f>
        <v/>
      </c>
      <c r="V236" s="73" t="str">
        <f aca="false">IF($A236="","",$Q236-$U236)</f>
        <v/>
      </c>
      <c r="W236" s="72" t="str">
        <f aca="false">IF($A236="","",IF(ROUND($U236,2)=0,"n/a",$V236/ABS($U236)))</f>
        <v/>
      </c>
      <c r="X236" s="74" t="str">
        <f aca="false">IF($A236="","",IF(AND(ROUND($Q236,2)=0,ROUND($R236,2)=0),"No Activity",IF(ABS($S236)&lt;Setup!$B$14,"Low",IF(ROUND($R236,2)=0,"High",IF(OR(ABS($S236/$R236)&gt;=Setup!$B$16,ABS($S236)&gt;=Setup!$B$17),"High",IF(ABS($S236/$R236)&gt;=Setup!$B$15,"Medium","Low"))))))</f>
        <v/>
      </c>
      <c r="Y236" s="57"/>
      <c r="Z236" s="75" t="n">
        <f aca="false">IF($A236="",-1000000000000000,IF(ROUND(ABS($S236),0)=0,-1000000000000000,ABS($S236)+ROW()/1000000))</f>
        <v>-1000000000000000</v>
      </c>
    </row>
    <row r="237" customFormat="false" ht="15" hidden="false" customHeight="false" outlineLevel="0" collapsed="false">
      <c r="A237" s="68" t="str">
        <f aca="false">IF(Data_Engine!$A237="","",Data_Engine!$A237)</f>
        <v/>
      </c>
      <c r="B237" s="42" t="str">
        <f aca="false">IF($A237="","",Data_Engine!$B237)</f>
        <v/>
      </c>
      <c r="C237" s="42" t="str">
        <f aca="false">IF($A237="","",Data_Engine!$D237)</f>
        <v/>
      </c>
      <c r="D237" s="69" t="str">
        <f aca="false">IF($A237="","",Data_Engine!$R237)</f>
        <v/>
      </c>
      <c r="E237" s="69" t="str">
        <f aca="false">IF($A237="","",Data_Engine!$S237)</f>
        <v/>
      </c>
      <c r="F237" s="69" t="str">
        <f aca="false">IF($A237="","",Data_Engine!$T237)</f>
        <v/>
      </c>
      <c r="G237" s="69" t="str">
        <f aca="false">IF($A237="","",Data_Engine!$U237)</f>
        <v/>
      </c>
      <c r="H237" s="69" t="str">
        <f aca="false">IF($A237="","",Data_Engine!$V237)</f>
        <v/>
      </c>
      <c r="I237" s="69" t="str">
        <f aca="false">IF($A237="","",Data_Engine!$W237)</f>
        <v/>
      </c>
      <c r="J237" s="69" t="str">
        <f aca="false">IF($A237="","",Data_Engine!$X237)</f>
        <v/>
      </c>
      <c r="K237" s="69" t="str">
        <f aca="false">IF($A237="","",Data_Engine!$Y237)</f>
        <v/>
      </c>
      <c r="L237" s="69" t="str">
        <f aca="false">IF($A237="","",Data_Engine!$Z237)</f>
        <v/>
      </c>
      <c r="M237" s="69" t="str">
        <f aca="false">IF($A237="","",Data_Engine!$AA237)</f>
        <v/>
      </c>
      <c r="N237" s="69" t="str">
        <f aca="false">IF($A237="","",Data_Engine!$AB237)</f>
        <v/>
      </c>
      <c r="O237" s="69" t="str">
        <f aca="false">IF($A237="","",Data_Engine!$AC237)</f>
        <v/>
      </c>
      <c r="P237" s="69" t="str">
        <f aca="false">IF($A237="","",Data_Engine!$AH237)</f>
        <v/>
      </c>
      <c r="Q237" s="70" t="str">
        <f aca="false">IF($A237="","",Data_Engine!$AD237)</f>
        <v/>
      </c>
      <c r="R237" s="69" t="str">
        <f aca="false">IF($A237="","",Data_Engine!$AF237)</f>
        <v/>
      </c>
      <c r="S237" s="71" t="str">
        <f aca="false">IF($A237="","",$Q237-$R237)</f>
        <v/>
      </c>
      <c r="T237" s="72" t="str">
        <f aca="false">IF($A237="","",IF(ROUND($R237,2)=0,"n/a",$S237/ABS($R237)))</f>
        <v/>
      </c>
      <c r="U237" s="69" t="str">
        <f aca="false">IF($A237="","",Data_Engine!$AG237)</f>
        <v/>
      </c>
      <c r="V237" s="73" t="str">
        <f aca="false">IF($A237="","",$Q237-$U237)</f>
        <v/>
      </c>
      <c r="W237" s="72" t="str">
        <f aca="false">IF($A237="","",IF(ROUND($U237,2)=0,"n/a",$V237/ABS($U237)))</f>
        <v/>
      </c>
      <c r="X237" s="74" t="str">
        <f aca="false">IF($A237="","",IF(AND(ROUND($Q237,2)=0,ROUND($R237,2)=0),"No Activity",IF(ABS($S237)&lt;Setup!$B$14,"Low",IF(ROUND($R237,2)=0,"High",IF(OR(ABS($S237/$R237)&gt;=Setup!$B$16,ABS($S237)&gt;=Setup!$B$17),"High",IF(ABS($S237/$R237)&gt;=Setup!$B$15,"Medium","Low"))))))</f>
        <v/>
      </c>
      <c r="Y237" s="57"/>
      <c r="Z237" s="75" t="n">
        <f aca="false">IF($A237="",-1000000000000000,IF(ROUND(ABS($S237),0)=0,-1000000000000000,ABS($S237)+ROW()/1000000))</f>
        <v>-1000000000000000</v>
      </c>
    </row>
    <row r="238" customFormat="false" ht="15" hidden="false" customHeight="false" outlineLevel="0" collapsed="false">
      <c r="A238" s="68" t="str">
        <f aca="false">IF(Data_Engine!$A238="","",Data_Engine!$A238)</f>
        <v/>
      </c>
      <c r="B238" s="42" t="str">
        <f aca="false">IF($A238="","",Data_Engine!$B238)</f>
        <v/>
      </c>
      <c r="C238" s="42" t="str">
        <f aca="false">IF($A238="","",Data_Engine!$D238)</f>
        <v/>
      </c>
      <c r="D238" s="69" t="str">
        <f aca="false">IF($A238="","",Data_Engine!$R238)</f>
        <v/>
      </c>
      <c r="E238" s="69" t="str">
        <f aca="false">IF($A238="","",Data_Engine!$S238)</f>
        <v/>
      </c>
      <c r="F238" s="69" t="str">
        <f aca="false">IF($A238="","",Data_Engine!$T238)</f>
        <v/>
      </c>
      <c r="G238" s="69" t="str">
        <f aca="false">IF($A238="","",Data_Engine!$U238)</f>
        <v/>
      </c>
      <c r="H238" s="69" t="str">
        <f aca="false">IF($A238="","",Data_Engine!$V238)</f>
        <v/>
      </c>
      <c r="I238" s="69" t="str">
        <f aca="false">IF($A238="","",Data_Engine!$W238)</f>
        <v/>
      </c>
      <c r="J238" s="69" t="str">
        <f aca="false">IF($A238="","",Data_Engine!$X238)</f>
        <v/>
      </c>
      <c r="K238" s="69" t="str">
        <f aca="false">IF($A238="","",Data_Engine!$Y238)</f>
        <v/>
      </c>
      <c r="L238" s="69" t="str">
        <f aca="false">IF($A238="","",Data_Engine!$Z238)</f>
        <v/>
      </c>
      <c r="M238" s="69" t="str">
        <f aca="false">IF($A238="","",Data_Engine!$AA238)</f>
        <v/>
      </c>
      <c r="N238" s="69" t="str">
        <f aca="false">IF($A238="","",Data_Engine!$AB238)</f>
        <v/>
      </c>
      <c r="O238" s="69" t="str">
        <f aca="false">IF($A238="","",Data_Engine!$AC238)</f>
        <v/>
      </c>
      <c r="P238" s="69" t="str">
        <f aca="false">IF($A238="","",Data_Engine!$AH238)</f>
        <v/>
      </c>
      <c r="Q238" s="70" t="str">
        <f aca="false">IF($A238="","",Data_Engine!$AD238)</f>
        <v/>
      </c>
      <c r="R238" s="69" t="str">
        <f aca="false">IF($A238="","",Data_Engine!$AF238)</f>
        <v/>
      </c>
      <c r="S238" s="71" t="str">
        <f aca="false">IF($A238="","",$Q238-$R238)</f>
        <v/>
      </c>
      <c r="T238" s="72" t="str">
        <f aca="false">IF($A238="","",IF(ROUND($R238,2)=0,"n/a",$S238/ABS($R238)))</f>
        <v/>
      </c>
      <c r="U238" s="69" t="str">
        <f aca="false">IF($A238="","",Data_Engine!$AG238)</f>
        <v/>
      </c>
      <c r="V238" s="73" t="str">
        <f aca="false">IF($A238="","",$Q238-$U238)</f>
        <v/>
      </c>
      <c r="W238" s="72" t="str">
        <f aca="false">IF($A238="","",IF(ROUND($U238,2)=0,"n/a",$V238/ABS($U238)))</f>
        <v/>
      </c>
      <c r="X238" s="74" t="str">
        <f aca="false">IF($A238="","",IF(AND(ROUND($Q238,2)=0,ROUND($R238,2)=0),"No Activity",IF(ABS($S238)&lt;Setup!$B$14,"Low",IF(ROUND($R238,2)=0,"High",IF(OR(ABS($S238/$R238)&gt;=Setup!$B$16,ABS($S238)&gt;=Setup!$B$17),"High",IF(ABS($S238/$R238)&gt;=Setup!$B$15,"Medium","Low"))))))</f>
        <v/>
      </c>
      <c r="Y238" s="57"/>
      <c r="Z238" s="75" t="n">
        <f aca="false">IF($A238="",-1000000000000000,IF(ROUND(ABS($S238),0)=0,-1000000000000000,ABS($S238)+ROW()/1000000))</f>
        <v>-1000000000000000</v>
      </c>
    </row>
    <row r="239" customFormat="false" ht="15" hidden="false" customHeight="false" outlineLevel="0" collapsed="false">
      <c r="A239" s="68" t="str">
        <f aca="false">IF(Data_Engine!$A239="","",Data_Engine!$A239)</f>
        <v/>
      </c>
      <c r="B239" s="42" t="str">
        <f aca="false">IF($A239="","",Data_Engine!$B239)</f>
        <v/>
      </c>
      <c r="C239" s="42" t="str">
        <f aca="false">IF($A239="","",Data_Engine!$D239)</f>
        <v/>
      </c>
      <c r="D239" s="69" t="str">
        <f aca="false">IF($A239="","",Data_Engine!$R239)</f>
        <v/>
      </c>
      <c r="E239" s="69" t="str">
        <f aca="false">IF($A239="","",Data_Engine!$S239)</f>
        <v/>
      </c>
      <c r="F239" s="69" t="str">
        <f aca="false">IF($A239="","",Data_Engine!$T239)</f>
        <v/>
      </c>
      <c r="G239" s="69" t="str">
        <f aca="false">IF($A239="","",Data_Engine!$U239)</f>
        <v/>
      </c>
      <c r="H239" s="69" t="str">
        <f aca="false">IF($A239="","",Data_Engine!$V239)</f>
        <v/>
      </c>
      <c r="I239" s="69" t="str">
        <f aca="false">IF($A239="","",Data_Engine!$W239)</f>
        <v/>
      </c>
      <c r="J239" s="69" t="str">
        <f aca="false">IF($A239="","",Data_Engine!$X239)</f>
        <v/>
      </c>
      <c r="K239" s="69" t="str">
        <f aca="false">IF($A239="","",Data_Engine!$Y239)</f>
        <v/>
      </c>
      <c r="L239" s="69" t="str">
        <f aca="false">IF($A239="","",Data_Engine!$Z239)</f>
        <v/>
      </c>
      <c r="M239" s="69" t="str">
        <f aca="false">IF($A239="","",Data_Engine!$AA239)</f>
        <v/>
      </c>
      <c r="N239" s="69" t="str">
        <f aca="false">IF($A239="","",Data_Engine!$AB239)</f>
        <v/>
      </c>
      <c r="O239" s="69" t="str">
        <f aca="false">IF($A239="","",Data_Engine!$AC239)</f>
        <v/>
      </c>
      <c r="P239" s="69" t="str">
        <f aca="false">IF($A239="","",Data_Engine!$AH239)</f>
        <v/>
      </c>
      <c r="Q239" s="70" t="str">
        <f aca="false">IF($A239="","",Data_Engine!$AD239)</f>
        <v/>
      </c>
      <c r="R239" s="69" t="str">
        <f aca="false">IF($A239="","",Data_Engine!$AF239)</f>
        <v/>
      </c>
      <c r="S239" s="71" t="str">
        <f aca="false">IF($A239="","",$Q239-$R239)</f>
        <v/>
      </c>
      <c r="T239" s="72" t="str">
        <f aca="false">IF($A239="","",IF(ROUND($R239,2)=0,"n/a",$S239/ABS($R239)))</f>
        <v/>
      </c>
      <c r="U239" s="69" t="str">
        <f aca="false">IF($A239="","",Data_Engine!$AG239)</f>
        <v/>
      </c>
      <c r="V239" s="73" t="str">
        <f aca="false">IF($A239="","",$Q239-$U239)</f>
        <v/>
      </c>
      <c r="W239" s="72" t="str">
        <f aca="false">IF($A239="","",IF(ROUND($U239,2)=0,"n/a",$V239/ABS($U239)))</f>
        <v/>
      </c>
      <c r="X239" s="74" t="str">
        <f aca="false">IF($A239="","",IF(AND(ROUND($Q239,2)=0,ROUND($R239,2)=0),"No Activity",IF(ABS($S239)&lt;Setup!$B$14,"Low",IF(ROUND($R239,2)=0,"High",IF(OR(ABS($S239/$R239)&gt;=Setup!$B$16,ABS($S239)&gt;=Setup!$B$17),"High",IF(ABS($S239/$R239)&gt;=Setup!$B$15,"Medium","Low"))))))</f>
        <v/>
      </c>
      <c r="Y239" s="57"/>
      <c r="Z239" s="75" t="n">
        <f aca="false">IF($A239="",-1000000000000000,IF(ROUND(ABS($S239),0)=0,-1000000000000000,ABS($S239)+ROW()/1000000))</f>
        <v>-1000000000000000</v>
      </c>
    </row>
    <row r="240" customFormat="false" ht="15" hidden="false" customHeight="false" outlineLevel="0" collapsed="false">
      <c r="A240" s="68" t="str">
        <f aca="false">IF(Data_Engine!$A240="","",Data_Engine!$A240)</f>
        <v/>
      </c>
      <c r="B240" s="42" t="str">
        <f aca="false">IF($A240="","",Data_Engine!$B240)</f>
        <v/>
      </c>
      <c r="C240" s="42" t="str">
        <f aca="false">IF($A240="","",Data_Engine!$D240)</f>
        <v/>
      </c>
      <c r="D240" s="69" t="str">
        <f aca="false">IF($A240="","",Data_Engine!$R240)</f>
        <v/>
      </c>
      <c r="E240" s="69" t="str">
        <f aca="false">IF($A240="","",Data_Engine!$S240)</f>
        <v/>
      </c>
      <c r="F240" s="69" t="str">
        <f aca="false">IF($A240="","",Data_Engine!$T240)</f>
        <v/>
      </c>
      <c r="G240" s="69" t="str">
        <f aca="false">IF($A240="","",Data_Engine!$U240)</f>
        <v/>
      </c>
      <c r="H240" s="69" t="str">
        <f aca="false">IF($A240="","",Data_Engine!$V240)</f>
        <v/>
      </c>
      <c r="I240" s="69" t="str">
        <f aca="false">IF($A240="","",Data_Engine!$W240)</f>
        <v/>
      </c>
      <c r="J240" s="69" t="str">
        <f aca="false">IF($A240="","",Data_Engine!$X240)</f>
        <v/>
      </c>
      <c r="K240" s="69" t="str">
        <f aca="false">IF($A240="","",Data_Engine!$Y240)</f>
        <v/>
      </c>
      <c r="L240" s="69" t="str">
        <f aca="false">IF($A240="","",Data_Engine!$Z240)</f>
        <v/>
      </c>
      <c r="M240" s="69" t="str">
        <f aca="false">IF($A240="","",Data_Engine!$AA240)</f>
        <v/>
      </c>
      <c r="N240" s="69" t="str">
        <f aca="false">IF($A240="","",Data_Engine!$AB240)</f>
        <v/>
      </c>
      <c r="O240" s="69" t="str">
        <f aca="false">IF($A240="","",Data_Engine!$AC240)</f>
        <v/>
      </c>
      <c r="P240" s="69" t="str">
        <f aca="false">IF($A240="","",Data_Engine!$AH240)</f>
        <v/>
      </c>
      <c r="Q240" s="70" t="str">
        <f aca="false">IF($A240="","",Data_Engine!$AD240)</f>
        <v/>
      </c>
      <c r="R240" s="69" t="str">
        <f aca="false">IF($A240="","",Data_Engine!$AF240)</f>
        <v/>
      </c>
      <c r="S240" s="71" t="str">
        <f aca="false">IF($A240="","",$Q240-$R240)</f>
        <v/>
      </c>
      <c r="T240" s="72" t="str">
        <f aca="false">IF($A240="","",IF(ROUND($R240,2)=0,"n/a",$S240/ABS($R240)))</f>
        <v/>
      </c>
      <c r="U240" s="69" t="str">
        <f aca="false">IF($A240="","",Data_Engine!$AG240)</f>
        <v/>
      </c>
      <c r="V240" s="73" t="str">
        <f aca="false">IF($A240="","",$Q240-$U240)</f>
        <v/>
      </c>
      <c r="W240" s="72" t="str">
        <f aca="false">IF($A240="","",IF(ROUND($U240,2)=0,"n/a",$V240/ABS($U240)))</f>
        <v/>
      </c>
      <c r="X240" s="74" t="str">
        <f aca="false">IF($A240="","",IF(AND(ROUND($Q240,2)=0,ROUND($R240,2)=0),"No Activity",IF(ABS($S240)&lt;Setup!$B$14,"Low",IF(ROUND($R240,2)=0,"High",IF(OR(ABS($S240/$R240)&gt;=Setup!$B$16,ABS($S240)&gt;=Setup!$B$17),"High",IF(ABS($S240/$R240)&gt;=Setup!$B$15,"Medium","Low"))))))</f>
        <v/>
      </c>
      <c r="Y240" s="57"/>
      <c r="Z240" s="75" t="n">
        <f aca="false">IF($A240="",-1000000000000000,IF(ROUND(ABS($S240),0)=0,-1000000000000000,ABS($S240)+ROW()/1000000))</f>
        <v>-1000000000000000</v>
      </c>
    </row>
    <row r="241" customFormat="false" ht="15" hidden="false" customHeight="false" outlineLevel="0" collapsed="false">
      <c r="A241" s="68" t="str">
        <f aca="false">IF(Data_Engine!$A241="","",Data_Engine!$A241)</f>
        <v/>
      </c>
      <c r="B241" s="42" t="str">
        <f aca="false">IF($A241="","",Data_Engine!$B241)</f>
        <v/>
      </c>
      <c r="C241" s="42" t="str">
        <f aca="false">IF($A241="","",Data_Engine!$D241)</f>
        <v/>
      </c>
      <c r="D241" s="69" t="str">
        <f aca="false">IF($A241="","",Data_Engine!$R241)</f>
        <v/>
      </c>
      <c r="E241" s="69" t="str">
        <f aca="false">IF($A241="","",Data_Engine!$S241)</f>
        <v/>
      </c>
      <c r="F241" s="69" t="str">
        <f aca="false">IF($A241="","",Data_Engine!$T241)</f>
        <v/>
      </c>
      <c r="G241" s="69" t="str">
        <f aca="false">IF($A241="","",Data_Engine!$U241)</f>
        <v/>
      </c>
      <c r="H241" s="69" t="str">
        <f aca="false">IF($A241="","",Data_Engine!$V241)</f>
        <v/>
      </c>
      <c r="I241" s="69" t="str">
        <f aca="false">IF($A241="","",Data_Engine!$W241)</f>
        <v/>
      </c>
      <c r="J241" s="69" t="str">
        <f aca="false">IF($A241="","",Data_Engine!$X241)</f>
        <v/>
      </c>
      <c r="K241" s="69" t="str">
        <f aca="false">IF($A241="","",Data_Engine!$Y241)</f>
        <v/>
      </c>
      <c r="L241" s="69" t="str">
        <f aca="false">IF($A241="","",Data_Engine!$Z241)</f>
        <v/>
      </c>
      <c r="M241" s="69" t="str">
        <f aca="false">IF($A241="","",Data_Engine!$AA241)</f>
        <v/>
      </c>
      <c r="N241" s="69" t="str">
        <f aca="false">IF($A241="","",Data_Engine!$AB241)</f>
        <v/>
      </c>
      <c r="O241" s="69" t="str">
        <f aca="false">IF($A241="","",Data_Engine!$AC241)</f>
        <v/>
      </c>
      <c r="P241" s="69" t="str">
        <f aca="false">IF($A241="","",Data_Engine!$AH241)</f>
        <v/>
      </c>
      <c r="Q241" s="70" t="str">
        <f aca="false">IF($A241="","",Data_Engine!$AD241)</f>
        <v/>
      </c>
      <c r="R241" s="69" t="str">
        <f aca="false">IF($A241="","",Data_Engine!$AF241)</f>
        <v/>
      </c>
      <c r="S241" s="71" t="str">
        <f aca="false">IF($A241="","",$Q241-$R241)</f>
        <v/>
      </c>
      <c r="T241" s="72" t="str">
        <f aca="false">IF($A241="","",IF(ROUND($R241,2)=0,"n/a",$S241/ABS($R241)))</f>
        <v/>
      </c>
      <c r="U241" s="69" t="str">
        <f aca="false">IF($A241="","",Data_Engine!$AG241)</f>
        <v/>
      </c>
      <c r="V241" s="73" t="str">
        <f aca="false">IF($A241="","",$Q241-$U241)</f>
        <v/>
      </c>
      <c r="W241" s="72" t="str">
        <f aca="false">IF($A241="","",IF(ROUND($U241,2)=0,"n/a",$V241/ABS($U241)))</f>
        <v/>
      </c>
      <c r="X241" s="74" t="str">
        <f aca="false">IF($A241="","",IF(AND(ROUND($Q241,2)=0,ROUND($R241,2)=0),"No Activity",IF(ABS($S241)&lt;Setup!$B$14,"Low",IF(ROUND($R241,2)=0,"High",IF(OR(ABS($S241/$R241)&gt;=Setup!$B$16,ABS($S241)&gt;=Setup!$B$17),"High",IF(ABS($S241/$R241)&gt;=Setup!$B$15,"Medium","Low"))))))</f>
        <v/>
      </c>
      <c r="Y241" s="57"/>
      <c r="Z241" s="75" t="n">
        <f aca="false">IF($A241="",-1000000000000000,IF(ROUND(ABS($S241),0)=0,-1000000000000000,ABS($S241)+ROW()/1000000))</f>
        <v>-1000000000000000</v>
      </c>
    </row>
    <row r="242" customFormat="false" ht="15" hidden="false" customHeight="false" outlineLevel="0" collapsed="false">
      <c r="A242" s="68" t="str">
        <f aca="false">IF(Data_Engine!$A242="","",Data_Engine!$A242)</f>
        <v/>
      </c>
      <c r="B242" s="42" t="str">
        <f aca="false">IF($A242="","",Data_Engine!$B242)</f>
        <v/>
      </c>
      <c r="C242" s="42" t="str">
        <f aca="false">IF($A242="","",Data_Engine!$D242)</f>
        <v/>
      </c>
      <c r="D242" s="69" t="str">
        <f aca="false">IF($A242="","",Data_Engine!$R242)</f>
        <v/>
      </c>
      <c r="E242" s="69" t="str">
        <f aca="false">IF($A242="","",Data_Engine!$S242)</f>
        <v/>
      </c>
      <c r="F242" s="69" t="str">
        <f aca="false">IF($A242="","",Data_Engine!$T242)</f>
        <v/>
      </c>
      <c r="G242" s="69" t="str">
        <f aca="false">IF($A242="","",Data_Engine!$U242)</f>
        <v/>
      </c>
      <c r="H242" s="69" t="str">
        <f aca="false">IF($A242="","",Data_Engine!$V242)</f>
        <v/>
      </c>
      <c r="I242" s="69" t="str">
        <f aca="false">IF($A242="","",Data_Engine!$W242)</f>
        <v/>
      </c>
      <c r="J242" s="69" t="str">
        <f aca="false">IF($A242="","",Data_Engine!$X242)</f>
        <v/>
      </c>
      <c r="K242" s="69" t="str">
        <f aca="false">IF($A242="","",Data_Engine!$Y242)</f>
        <v/>
      </c>
      <c r="L242" s="69" t="str">
        <f aca="false">IF($A242="","",Data_Engine!$Z242)</f>
        <v/>
      </c>
      <c r="M242" s="69" t="str">
        <f aca="false">IF($A242="","",Data_Engine!$AA242)</f>
        <v/>
      </c>
      <c r="N242" s="69" t="str">
        <f aca="false">IF($A242="","",Data_Engine!$AB242)</f>
        <v/>
      </c>
      <c r="O242" s="69" t="str">
        <f aca="false">IF($A242="","",Data_Engine!$AC242)</f>
        <v/>
      </c>
      <c r="P242" s="69" t="str">
        <f aca="false">IF($A242="","",Data_Engine!$AH242)</f>
        <v/>
      </c>
      <c r="Q242" s="70" t="str">
        <f aca="false">IF($A242="","",Data_Engine!$AD242)</f>
        <v/>
      </c>
      <c r="R242" s="69" t="str">
        <f aca="false">IF($A242="","",Data_Engine!$AF242)</f>
        <v/>
      </c>
      <c r="S242" s="71" t="str">
        <f aca="false">IF($A242="","",$Q242-$R242)</f>
        <v/>
      </c>
      <c r="T242" s="72" t="str">
        <f aca="false">IF($A242="","",IF(ROUND($R242,2)=0,"n/a",$S242/ABS($R242)))</f>
        <v/>
      </c>
      <c r="U242" s="69" t="str">
        <f aca="false">IF($A242="","",Data_Engine!$AG242)</f>
        <v/>
      </c>
      <c r="V242" s="73" t="str">
        <f aca="false">IF($A242="","",$Q242-$U242)</f>
        <v/>
      </c>
      <c r="W242" s="72" t="str">
        <f aca="false">IF($A242="","",IF(ROUND($U242,2)=0,"n/a",$V242/ABS($U242)))</f>
        <v/>
      </c>
      <c r="X242" s="74" t="str">
        <f aca="false">IF($A242="","",IF(AND(ROUND($Q242,2)=0,ROUND($R242,2)=0),"No Activity",IF(ABS($S242)&lt;Setup!$B$14,"Low",IF(ROUND($R242,2)=0,"High",IF(OR(ABS($S242/$R242)&gt;=Setup!$B$16,ABS($S242)&gt;=Setup!$B$17),"High",IF(ABS($S242/$R242)&gt;=Setup!$B$15,"Medium","Low"))))))</f>
        <v/>
      </c>
      <c r="Y242" s="57"/>
      <c r="Z242" s="75" t="n">
        <f aca="false">IF($A242="",-1000000000000000,IF(ROUND(ABS($S242),0)=0,-1000000000000000,ABS($S242)+ROW()/1000000))</f>
        <v>-1000000000000000</v>
      </c>
    </row>
    <row r="243" customFormat="false" ht="15" hidden="false" customHeight="false" outlineLevel="0" collapsed="false">
      <c r="A243" s="68" t="str">
        <f aca="false">IF(Data_Engine!$A243="","",Data_Engine!$A243)</f>
        <v/>
      </c>
      <c r="B243" s="42" t="str">
        <f aca="false">IF($A243="","",Data_Engine!$B243)</f>
        <v/>
      </c>
      <c r="C243" s="42" t="str">
        <f aca="false">IF($A243="","",Data_Engine!$D243)</f>
        <v/>
      </c>
      <c r="D243" s="69" t="str">
        <f aca="false">IF($A243="","",Data_Engine!$R243)</f>
        <v/>
      </c>
      <c r="E243" s="69" t="str">
        <f aca="false">IF($A243="","",Data_Engine!$S243)</f>
        <v/>
      </c>
      <c r="F243" s="69" t="str">
        <f aca="false">IF($A243="","",Data_Engine!$T243)</f>
        <v/>
      </c>
      <c r="G243" s="69" t="str">
        <f aca="false">IF($A243="","",Data_Engine!$U243)</f>
        <v/>
      </c>
      <c r="H243" s="69" t="str">
        <f aca="false">IF($A243="","",Data_Engine!$V243)</f>
        <v/>
      </c>
      <c r="I243" s="69" t="str">
        <f aca="false">IF($A243="","",Data_Engine!$W243)</f>
        <v/>
      </c>
      <c r="J243" s="69" t="str">
        <f aca="false">IF($A243="","",Data_Engine!$X243)</f>
        <v/>
      </c>
      <c r="K243" s="69" t="str">
        <f aca="false">IF($A243="","",Data_Engine!$Y243)</f>
        <v/>
      </c>
      <c r="L243" s="69" t="str">
        <f aca="false">IF($A243="","",Data_Engine!$Z243)</f>
        <v/>
      </c>
      <c r="M243" s="69" t="str">
        <f aca="false">IF($A243="","",Data_Engine!$AA243)</f>
        <v/>
      </c>
      <c r="N243" s="69" t="str">
        <f aca="false">IF($A243="","",Data_Engine!$AB243)</f>
        <v/>
      </c>
      <c r="O243" s="69" t="str">
        <f aca="false">IF($A243="","",Data_Engine!$AC243)</f>
        <v/>
      </c>
      <c r="P243" s="69" t="str">
        <f aca="false">IF($A243="","",Data_Engine!$AH243)</f>
        <v/>
      </c>
      <c r="Q243" s="70" t="str">
        <f aca="false">IF($A243="","",Data_Engine!$AD243)</f>
        <v/>
      </c>
      <c r="R243" s="69" t="str">
        <f aca="false">IF($A243="","",Data_Engine!$AF243)</f>
        <v/>
      </c>
      <c r="S243" s="71" t="str">
        <f aca="false">IF($A243="","",$Q243-$R243)</f>
        <v/>
      </c>
      <c r="T243" s="72" t="str">
        <f aca="false">IF($A243="","",IF(ROUND($R243,2)=0,"n/a",$S243/ABS($R243)))</f>
        <v/>
      </c>
      <c r="U243" s="69" t="str">
        <f aca="false">IF($A243="","",Data_Engine!$AG243)</f>
        <v/>
      </c>
      <c r="V243" s="73" t="str">
        <f aca="false">IF($A243="","",$Q243-$U243)</f>
        <v/>
      </c>
      <c r="W243" s="72" t="str">
        <f aca="false">IF($A243="","",IF(ROUND($U243,2)=0,"n/a",$V243/ABS($U243)))</f>
        <v/>
      </c>
      <c r="X243" s="74" t="str">
        <f aca="false">IF($A243="","",IF(AND(ROUND($Q243,2)=0,ROUND($R243,2)=0),"No Activity",IF(ABS($S243)&lt;Setup!$B$14,"Low",IF(ROUND($R243,2)=0,"High",IF(OR(ABS($S243/$R243)&gt;=Setup!$B$16,ABS($S243)&gt;=Setup!$B$17),"High",IF(ABS($S243/$R243)&gt;=Setup!$B$15,"Medium","Low"))))))</f>
        <v/>
      </c>
      <c r="Y243" s="57"/>
      <c r="Z243" s="75" t="n">
        <f aca="false">IF($A243="",-1000000000000000,IF(ROUND(ABS($S243),0)=0,-1000000000000000,ABS($S243)+ROW()/1000000))</f>
        <v>-1000000000000000</v>
      </c>
    </row>
    <row r="244" customFormat="false" ht="15" hidden="false" customHeight="false" outlineLevel="0" collapsed="false">
      <c r="A244" s="68" t="str">
        <f aca="false">IF(Data_Engine!$A244="","",Data_Engine!$A244)</f>
        <v/>
      </c>
      <c r="B244" s="42" t="str">
        <f aca="false">IF($A244="","",Data_Engine!$B244)</f>
        <v/>
      </c>
      <c r="C244" s="42" t="str">
        <f aca="false">IF($A244="","",Data_Engine!$D244)</f>
        <v/>
      </c>
      <c r="D244" s="69" t="str">
        <f aca="false">IF($A244="","",Data_Engine!$R244)</f>
        <v/>
      </c>
      <c r="E244" s="69" t="str">
        <f aca="false">IF($A244="","",Data_Engine!$S244)</f>
        <v/>
      </c>
      <c r="F244" s="69" t="str">
        <f aca="false">IF($A244="","",Data_Engine!$T244)</f>
        <v/>
      </c>
      <c r="G244" s="69" t="str">
        <f aca="false">IF($A244="","",Data_Engine!$U244)</f>
        <v/>
      </c>
      <c r="H244" s="69" t="str">
        <f aca="false">IF($A244="","",Data_Engine!$V244)</f>
        <v/>
      </c>
      <c r="I244" s="69" t="str">
        <f aca="false">IF($A244="","",Data_Engine!$W244)</f>
        <v/>
      </c>
      <c r="J244" s="69" t="str">
        <f aca="false">IF($A244="","",Data_Engine!$X244)</f>
        <v/>
      </c>
      <c r="K244" s="69" t="str">
        <f aca="false">IF($A244="","",Data_Engine!$Y244)</f>
        <v/>
      </c>
      <c r="L244" s="69" t="str">
        <f aca="false">IF($A244="","",Data_Engine!$Z244)</f>
        <v/>
      </c>
      <c r="M244" s="69" t="str">
        <f aca="false">IF($A244="","",Data_Engine!$AA244)</f>
        <v/>
      </c>
      <c r="N244" s="69" t="str">
        <f aca="false">IF($A244="","",Data_Engine!$AB244)</f>
        <v/>
      </c>
      <c r="O244" s="69" t="str">
        <f aca="false">IF($A244="","",Data_Engine!$AC244)</f>
        <v/>
      </c>
      <c r="P244" s="69" t="str">
        <f aca="false">IF($A244="","",Data_Engine!$AH244)</f>
        <v/>
      </c>
      <c r="Q244" s="70" t="str">
        <f aca="false">IF($A244="","",Data_Engine!$AD244)</f>
        <v/>
      </c>
      <c r="R244" s="69" t="str">
        <f aca="false">IF($A244="","",Data_Engine!$AF244)</f>
        <v/>
      </c>
      <c r="S244" s="71" t="str">
        <f aca="false">IF($A244="","",$Q244-$R244)</f>
        <v/>
      </c>
      <c r="T244" s="72" t="str">
        <f aca="false">IF($A244="","",IF(ROUND($R244,2)=0,"n/a",$S244/ABS($R244)))</f>
        <v/>
      </c>
      <c r="U244" s="69" t="str">
        <f aca="false">IF($A244="","",Data_Engine!$AG244)</f>
        <v/>
      </c>
      <c r="V244" s="73" t="str">
        <f aca="false">IF($A244="","",$Q244-$U244)</f>
        <v/>
      </c>
      <c r="W244" s="72" t="str">
        <f aca="false">IF($A244="","",IF(ROUND($U244,2)=0,"n/a",$V244/ABS($U244)))</f>
        <v/>
      </c>
      <c r="X244" s="74" t="str">
        <f aca="false">IF($A244="","",IF(AND(ROUND($Q244,2)=0,ROUND($R244,2)=0),"No Activity",IF(ABS($S244)&lt;Setup!$B$14,"Low",IF(ROUND($R244,2)=0,"High",IF(OR(ABS($S244/$R244)&gt;=Setup!$B$16,ABS($S244)&gt;=Setup!$B$17),"High",IF(ABS($S244/$R244)&gt;=Setup!$B$15,"Medium","Low"))))))</f>
        <v/>
      </c>
      <c r="Y244" s="57"/>
      <c r="Z244" s="75" t="n">
        <f aca="false">IF($A244="",-1000000000000000,IF(ROUND(ABS($S244),0)=0,-1000000000000000,ABS($S244)+ROW()/1000000))</f>
        <v>-1000000000000000</v>
      </c>
    </row>
    <row r="245" customFormat="false" ht="15" hidden="false" customHeight="false" outlineLevel="0" collapsed="false">
      <c r="A245" s="68" t="str">
        <f aca="false">IF(Data_Engine!$A245="","",Data_Engine!$A245)</f>
        <v/>
      </c>
      <c r="B245" s="42" t="str">
        <f aca="false">IF($A245="","",Data_Engine!$B245)</f>
        <v/>
      </c>
      <c r="C245" s="42" t="str">
        <f aca="false">IF($A245="","",Data_Engine!$D245)</f>
        <v/>
      </c>
      <c r="D245" s="69" t="str">
        <f aca="false">IF($A245="","",Data_Engine!$R245)</f>
        <v/>
      </c>
      <c r="E245" s="69" t="str">
        <f aca="false">IF($A245="","",Data_Engine!$S245)</f>
        <v/>
      </c>
      <c r="F245" s="69" t="str">
        <f aca="false">IF($A245="","",Data_Engine!$T245)</f>
        <v/>
      </c>
      <c r="G245" s="69" t="str">
        <f aca="false">IF($A245="","",Data_Engine!$U245)</f>
        <v/>
      </c>
      <c r="H245" s="69" t="str">
        <f aca="false">IF($A245="","",Data_Engine!$V245)</f>
        <v/>
      </c>
      <c r="I245" s="69" t="str">
        <f aca="false">IF($A245="","",Data_Engine!$W245)</f>
        <v/>
      </c>
      <c r="J245" s="69" t="str">
        <f aca="false">IF($A245="","",Data_Engine!$X245)</f>
        <v/>
      </c>
      <c r="K245" s="69" t="str">
        <f aca="false">IF($A245="","",Data_Engine!$Y245)</f>
        <v/>
      </c>
      <c r="L245" s="69" t="str">
        <f aca="false">IF($A245="","",Data_Engine!$Z245)</f>
        <v/>
      </c>
      <c r="M245" s="69" t="str">
        <f aca="false">IF($A245="","",Data_Engine!$AA245)</f>
        <v/>
      </c>
      <c r="N245" s="69" t="str">
        <f aca="false">IF($A245="","",Data_Engine!$AB245)</f>
        <v/>
      </c>
      <c r="O245" s="69" t="str">
        <f aca="false">IF($A245="","",Data_Engine!$AC245)</f>
        <v/>
      </c>
      <c r="P245" s="69" t="str">
        <f aca="false">IF($A245="","",Data_Engine!$AH245)</f>
        <v/>
      </c>
      <c r="Q245" s="70" t="str">
        <f aca="false">IF($A245="","",Data_Engine!$AD245)</f>
        <v/>
      </c>
      <c r="R245" s="69" t="str">
        <f aca="false">IF($A245="","",Data_Engine!$AF245)</f>
        <v/>
      </c>
      <c r="S245" s="71" t="str">
        <f aca="false">IF($A245="","",$Q245-$R245)</f>
        <v/>
      </c>
      <c r="T245" s="72" t="str">
        <f aca="false">IF($A245="","",IF(ROUND($R245,2)=0,"n/a",$S245/ABS($R245)))</f>
        <v/>
      </c>
      <c r="U245" s="69" t="str">
        <f aca="false">IF($A245="","",Data_Engine!$AG245)</f>
        <v/>
      </c>
      <c r="V245" s="73" t="str">
        <f aca="false">IF($A245="","",$Q245-$U245)</f>
        <v/>
      </c>
      <c r="W245" s="72" t="str">
        <f aca="false">IF($A245="","",IF(ROUND($U245,2)=0,"n/a",$V245/ABS($U245)))</f>
        <v/>
      </c>
      <c r="X245" s="74" t="str">
        <f aca="false">IF($A245="","",IF(AND(ROUND($Q245,2)=0,ROUND($R245,2)=0),"No Activity",IF(ABS($S245)&lt;Setup!$B$14,"Low",IF(ROUND($R245,2)=0,"High",IF(OR(ABS($S245/$R245)&gt;=Setup!$B$16,ABS($S245)&gt;=Setup!$B$17),"High",IF(ABS($S245/$R245)&gt;=Setup!$B$15,"Medium","Low"))))))</f>
        <v/>
      </c>
      <c r="Y245" s="57"/>
      <c r="Z245" s="75" t="n">
        <f aca="false">IF($A245="",-1000000000000000,IF(ROUND(ABS($S245),0)=0,-1000000000000000,ABS($S245)+ROW()/1000000))</f>
        <v>-1000000000000000</v>
      </c>
    </row>
    <row r="246" customFormat="false" ht="15" hidden="false" customHeight="false" outlineLevel="0" collapsed="false">
      <c r="A246" s="68" t="str">
        <f aca="false">IF(Data_Engine!$A246="","",Data_Engine!$A246)</f>
        <v/>
      </c>
      <c r="B246" s="42" t="str">
        <f aca="false">IF($A246="","",Data_Engine!$B246)</f>
        <v/>
      </c>
      <c r="C246" s="42" t="str">
        <f aca="false">IF($A246="","",Data_Engine!$D246)</f>
        <v/>
      </c>
      <c r="D246" s="69" t="str">
        <f aca="false">IF($A246="","",Data_Engine!$R246)</f>
        <v/>
      </c>
      <c r="E246" s="69" t="str">
        <f aca="false">IF($A246="","",Data_Engine!$S246)</f>
        <v/>
      </c>
      <c r="F246" s="69" t="str">
        <f aca="false">IF($A246="","",Data_Engine!$T246)</f>
        <v/>
      </c>
      <c r="G246" s="69" t="str">
        <f aca="false">IF($A246="","",Data_Engine!$U246)</f>
        <v/>
      </c>
      <c r="H246" s="69" t="str">
        <f aca="false">IF($A246="","",Data_Engine!$V246)</f>
        <v/>
      </c>
      <c r="I246" s="69" t="str">
        <f aca="false">IF($A246="","",Data_Engine!$W246)</f>
        <v/>
      </c>
      <c r="J246" s="69" t="str">
        <f aca="false">IF($A246="","",Data_Engine!$X246)</f>
        <v/>
      </c>
      <c r="K246" s="69" t="str">
        <f aca="false">IF($A246="","",Data_Engine!$Y246)</f>
        <v/>
      </c>
      <c r="L246" s="69" t="str">
        <f aca="false">IF($A246="","",Data_Engine!$Z246)</f>
        <v/>
      </c>
      <c r="M246" s="69" t="str">
        <f aca="false">IF($A246="","",Data_Engine!$AA246)</f>
        <v/>
      </c>
      <c r="N246" s="69" t="str">
        <f aca="false">IF($A246="","",Data_Engine!$AB246)</f>
        <v/>
      </c>
      <c r="O246" s="69" t="str">
        <f aca="false">IF($A246="","",Data_Engine!$AC246)</f>
        <v/>
      </c>
      <c r="P246" s="69" t="str">
        <f aca="false">IF($A246="","",Data_Engine!$AH246)</f>
        <v/>
      </c>
      <c r="Q246" s="70" t="str">
        <f aca="false">IF($A246="","",Data_Engine!$AD246)</f>
        <v/>
      </c>
      <c r="R246" s="69" t="str">
        <f aca="false">IF($A246="","",Data_Engine!$AF246)</f>
        <v/>
      </c>
      <c r="S246" s="71" t="str">
        <f aca="false">IF($A246="","",$Q246-$R246)</f>
        <v/>
      </c>
      <c r="T246" s="72" t="str">
        <f aca="false">IF($A246="","",IF(ROUND($R246,2)=0,"n/a",$S246/ABS($R246)))</f>
        <v/>
      </c>
      <c r="U246" s="69" t="str">
        <f aca="false">IF($A246="","",Data_Engine!$AG246)</f>
        <v/>
      </c>
      <c r="V246" s="73" t="str">
        <f aca="false">IF($A246="","",$Q246-$U246)</f>
        <v/>
      </c>
      <c r="W246" s="72" t="str">
        <f aca="false">IF($A246="","",IF(ROUND($U246,2)=0,"n/a",$V246/ABS($U246)))</f>
        <v/>
      </c>
      <c r="X246" s="74" t="str">
        <f aca="false">IF($A246="","",IF(AND(ROUND($Q246,2)=0,ROUND($R246,2)=0),"No Activity",IF(ABS($S246)&lt;Setup!$B$14,"Low",IF(ROUND($R246,2)=0,"High",IF(OR(ABS($S246/$R246)&gt;=Setup!$B$16,ABS($S246)&gt;=Setup!$B$17),"High",IF(ABS($S246/$R246)&gt;=Setup!$B$15,"Medium","Low"))))))</f>
        <v/>
      </c>
      <c r="Y246" s="57"/>
      <c r="Z246" s="75" t="n">
        <f aca="false">IF($A246="",-1000000000000000,IF(ROUND(ABS($S246),0)=0,-1000000000000000,ABS($S246)+ROW()/1000000))</f>
        <v>-1000000000000000</v>
      </c>
    </row>
    <row r="247" customFormat="false" ht="15" hidden="false" customHeight="false" outlineLevel="0" collapsed="false">
      <c r="A247" s="68" t="str">
        <f aca="false">IF(Data_Engine!$A247="","",Data_Engine!$A247)</f>
        <v/>
      </c>
      <c r="B247" s="42" t="str">
        <f aca="false">IF($A247="","",Data_Engine!$B247)</f>
        <v/>
      </c>
      <c r="C247" s="42" t="str">
        <f aca="false">IF($A247="","",Data_Engine!$D247)</f>
        <v/>
      </c>
      <c r="D247" s="69" t="str">
        <f aca="false">IF($A247="","",Data_Engine!$R247)</f>
        <v/>
      </c>
      <c r="E247" s="69" t="str">
        <f aca="false">IF($A247="","",Data_Engine!$S247)</f>
        <v/>
      </c>
      <c r="F247" s="69" t="str">
        <f aca="false">IF($A247="","",Data_Engine!$T247)</f>
        <v/>
      </c>
      <c r="G247" s="69" t="str">
        <f aca="false">IF($A247="","",Data_Engine!$U247)</f>
        <v/>
      </c>
      <c r="H247" s="69" t="str">
        <f aca="false">IF($A247="","",Data_Engine!$V247)</f>
        <v/>
      </c>
      <c r="I247" s="69" t="str">
        <f aca="false">IF($A247="","",Data_Engine!$W247)</f>
        <v/>
      </c>
      <c r="J247" s="69" t="str">
        <f aca="false">IF($A247="","",Data_Engine!$X247)</f>
        <v/>
      </c>
      <c r="K247" s="69" t="str">
        <f aca="false">IF($A247="","",Data_Engine!$Y247)</f>
        <v/>
      </c>
      <c r="L247" s="69" t="str">
        <f aca="false">IF($A247="","",Data_Engine!$Z247)</f>
        <v/>
      </c>
      <c r="M247" s="69" t="str">
        <f aca="false">IF($A247="","",Data_Engine!$AA247)</f>
        <v/>
      </c>
      <c r="N247" s="69" t="str">
        <f aca="false">IF($A247="","",Data_Engine!$AB247)</f>
        <v/>
      </c>
      <c r="O247" s="69" t="str">
        <f aca="false">IF($A247="","",Data_Engine!$AC247)</f>
        <v/>
      </c>
      <c r="P247" s="69" t="str">
        <f aca="false">IF($A247="","",Data_Engine!$AH247)</f>
        <v/>
      </c>
      <c r="Q247" s="70" t="str">
        <f aca="false">IF($A247="","",Data_Engine!$AD247)</f>
        <v/>
      </c>
      <c r="R247" s="69" t="str">
        <f aca="false">IF($A247="","",Data_Engine!$AF247)</f>
        <v/>
      </c>
      <c r="S247" s="71" t="str">
        <f aca="false">IF($A247="","",$Q247-$R247)</f>
        <v/>
      </c>
      <c r="T247" s="72" t="str">
        <f aca="false">IF($A247="","",IF(ROUND($R247,2)=0,"n/a",$S247/ABS($R247)))</f>
        <v/>
      </c>
      <c r="U247" s="69" t="str">
        <f aca="false">IF($A247="","",Data_Engine!$AG247)</f>
        <v/>
      </c>
      <c r="V247" s="73" t="str">
        <f aca="false">IF($A247="","",$Q247-$U247)</f>
        <v/>
      </c>
      <c r="W247" s="72" t="str">
        <f aca="false">IF($A247="","",IF(ROUND($U247,2)=0,"n/a",$V247/ABS($U247)))</f>
        <v/>
      </c>
      <c r="X247" s="74" t="str">
        <f aca="false">IF($A247="","",IF(AND(ROUND($Q247,2)=0,ROUND($R247,2)=0),"No Activity",IF(ABS($S247)&lt;Setup!$B$14,"Low",IF(ROUND($R247,2)=0,"High",IF(OR(ABS($S247/$R247)&gt;=Setup!$B$16,ABS($S247)&gt;=Setup!$B$17),"High",IF(ABS($S247/$R247)&gt;=Setup!$B$15,"Medium","Low"))))))</f>
        <v/>
      </c>
      <c r="Y247" s="57"/>
      <c r="Z247" s="75" t="n">
        <f aca="false">IF($A247="",-1000000000000000,IF(ROUND(ABS($S247),0)=0,-1000000000000000,ABS($S247)+ROW()/1000000))</f>
        <v>-1000000000000000</v>
      </c>
    </row>
    <row r="248" customFormat="false" ht="15" hidden="false" customHeight="false" outlineLevel="0" collapsed="false">
      <c r="A248" s="68" t="str">
        <f aca="false">IF(Data_Engine!$A248="","",Data_Engine!$A248)</f>
        <v/>
      </c>
      <c r="B248" s="42" t="str">
        <f aca="false">IF($A248="","",Data_Engine!$B248)</f>
        <v/>
      </c>
      <c r="C248" s="42" t="str">
        <f aca="false">IF($A248="","",Data_Engine!$D248)</f>
        <v/>
      </c>
      <c r="D248" s="69" t="str">
        <f aca="false">IF($A248="","",Data_Engine!$R248)</f>
        <v/>
      </c>
      <c r="E248" s="69" t="str">
        <f aca="false">IF($A248="","",Data_Engine!$S248)</f>
        <v/>
      </c>
      <c r="F248" s="69" t="str">
        <f aca="false">IF($A248="","",Data_Engine!$T248)</f>
        <v/>
      </c>
      <c r="G248" s="69" t="str">
        <f aca="false">IF($A248="","",Data_Engine!$U248)</f>
        <v/>
      </c>
      <c r="H248" s="69" t="str">
        <f aca="false">IF($A248="","",Data_Engine!$V248)</f>
        <v/>
      </c>
      <c r="I248" s="69" t="str">
        <f aca="false">IF($A248="","",Data_Engine!$W248)</f>
        <v/>
      </c>
      <c r="J248" s="69" t="str">
        <f aca="false">IF($A248="","",Data_Engine!$X248)</f>
        <v/>
      </c>
      <c r="K248" s="69" t="str">
        <f aca="false">IF($A248="","",Data_Engine!$Y248)</f>
        <v/>
      </c>
      <c r="L248" s="69" t="str">
        <f aca="false">IF($A248="","",Data_Engine!$Z248)</f>
        <v/>
      </c>
      <c r="M248" s="69" t="str">
        <f aca="false">IF($A248="","",Data_Engine!$AA248)</f>
        <v/>
      </c>
      <c r="N248" s="69" t="str">
        <f aca="false">IF($A248="","",Data_Engine!$AB248)</f>
        <v/>
      </c>
      <c r="O248" s="69" t="str">
        <f aca="false">IF($A248="","",Data_Engine!$AC248)</f>
        <v/>
      </c>
      <c r="P248" s="69" t="str">
        <f aca="false">IF($A248="","",Data_Engine!$AH248)</f>
        <v/>
      </c>
      <c r="Q248" s="70" t="str">
        <f aca="false">IF($A248="","",Data_Engine!$AD248)</f>
        <v/>
      </c>
      <c r="R248" s="69" t="str">
        <f aca="false">IF($A248="","",Data_Engine!$AF248)</f>
        <v/>
      </c>
      <c r="S248" s="71" t="str">
        <f aca="false">IF($A248="","",$Q248-$R248)</f>
        <v/>
      </c>
      <c r="T248" s="72" t="str">
        <f aca="false">IF($A248="","",IF(ROUND($R248,2)=0,"n/a",$S248/ABS($R248)))</f>
        <v/>
      </c>
      <c r="U248" s="69" t="str">
        <f aca="false">IF($A248="","",Data_Engine!$AG248)</f>
        <v/>
      </c>
      <c r="V248" s="73" t="str">
        <f aca="false">IF($A248="","",$Q248-$U248)</f>
        <v/>
      </c>
      <c r="W248" s="72" t="str">
        <f aca="false">IF($A248="","",IF(ROUND($U248,2)=0,"n/a",$V248/ABS($U248)))</f>
        <v/>
      </c>
      <c r="X248" s="74" t="str">
        <f aca="false">IF($A248="","",IF(AND(ROUND($Q248,2)=0,ROUND($R248,2)=0),"No Activity",IF(ABS($S248)&lt;Setup!$B$14,"Low",IF(ROUND($R248,2)=0,"High",IF(OR(ABS($S248/$R248)&gt;=Setup!$B$16,ABS($S248)&gt;=Setup!$B$17),"High",IF(ABS($S248/$R248)&gt;=Setup!$B$15,"Medium","Low"))))))</f>
        <v/>
      </c>
      <c r="Y248" s="57"/>
      <c r="Z248" s="75" t="n">
        <f aca="false">IF($A248="",-1000000000000000,IF(ROUND(ABS($S248),0)=0,-1000000000000000,ABS($S248)+ROW()/1000000))</f>
        <v>-1000000000000000</v>
      </c>
    </row>
    <row r="249" customFormat="false" ht="15" hidden="false" customHeight="false" outlineLevel="0" collapsed="false">
      <c r="A249" s="68" t="str">
        <f aca="false">IF(Data_Engine!$A249="","",Data_Engine!$A249)</f>
        <v/>
      </c>
      <c r="B249" s="42" t="str">
        <f aca="false">IF($A249="","",Data_Engine!$B249)</f>
        <v/>
      </c>
      <c r="C249" s="42" t="str">
        <f aca="false">IF($A249="","",Data_Engine!$D249)</f>
        <v/>
      </c>
      <c r="D249" s="69" t="str">
        <f aca="false">IF($A249="","",Data_Engine!$R249)</f>
        <v/>
      </c>
      <c r="E249" s="69" t="str">
        <f aca="false">IF($A249="","",Data_Engine!$S249)</f>
        <v/>
      </c>
      <c r="F249" s="69" t="str">
        <f aca="false">IF($A249="","",Data_Engine!$T249)</f>
        <v/>
      </c>
      <c r="G249" s="69" t="str">
        <f aca="false">IF($A249="","",Data_Engine!$U249)</f>
        <v/>
      </c>
      <c r="H249" s="69" t="str">
        <f aca="false">IF($A249="","",Data_Engine!$V249)</f>
        <v/>
      </c>
      <c r="I249" s="69" t="str">
        <f aca="false">IF($A249="","",Data_Engine!$W249)</f>
        <v/>
      </c>
      <c r="J249" s="69" t="str">
        <f aca="false">IF($A249="","",Data_Engine!$X249)</f>
        <v/>
      </c>
      <c r="K249" s="69" t="str">
        <f aca="false">IF($A249="","",Data_Engine!$Y249)</f>
        <v/>
      </c>
      <c r="L249" s="69" t="str">
        <f aca="false">IF($A249="","",Data_Engine!$Z249)</f>
        <v/>
      </c>
      <c r="M249" s="69" t="str">
        <f aca="false">IF($A249="","",Data_Engine!$AA249)</f>
        <v/>
      </c>
      <c r="N249" s="69" t="str">
        <f aca="false">IF($A249="","",Data_Engine!$AB249)</f>
        <v/>
      </c>
      <c r="O249" s="69" t="str">
        <f aca="false">IF($A249="","",Data_Engine!$AC249)</f>
        <v/>
      </c>
      <c r="P249" s="69" t="str">
        <f aca="false">IF($A249="","",Data_Engine!$AH249)</f>
        <v/>
      </c>
      <c r="Q249" s="70" t="str">
        <f aca="false">IF($A249="","",Data_Engine!$AD249)</f>
        <v/>
      </c>
      <c r="R249" s="69" t="str">
        <f aca="false">IF($A249="","",Data_Engine!$AF249)</f>
        <v/>
      </c>
      <c r="S249" s="71" t="str">
        <f aca="false">IF($A249="","",$Q249-$R249)</f>
        <v/>
      </c>
      <c r="T249" s="72" t="str">
        <f aca="false">IF($A249="","",IF(ROUND($R249,2)=0,"n/a",$S249/ABS($R249)))</f>
        <v/>
      </c>
      <c r="U249" s="69" t="str">
        <f aca="false">IF($A249="","",Data_Engine!$AG249)</f>
        <v/>
      </c>
      <c r="V249" s="73" t="str">
        <f aca="false">IF($A249="","",$Q249-$U249)</f>
        <v/>
      </c>
      <c r="W249" s="72" t="str">
        <f aca="false">IF($A249="","",IF(ROUND($U249,2)=0,"n/a",$V249/ABS($U249)))</f>
        <v/>
      </c>
      <c r="X249" s="74" t="str">
        <f aca="false">IF($A249="","",IF(AND(ROUND($Q249,2)=0,ROUND($R249,2)=0),"No Activity",IF(ABS($S249)&lt;Setup!$B$14,"Low",IF(ROUND($R249,2)=0,"High",IF(OR(ABS($S249/$R249)&gt;=Setup!$B$16,ABS($S249)&gt;=Setup!$B$17),"High",IF(ABS($S249/$R249)&gt;=Setup!$B$15,"Medium","Low"))))))</f>
        <v/>
      </c>
      <c r="Y249" s="57"/>
      <c r="Z249" s="75" t="n">
        <f aca="false">IF($A249="",-1000000000000000,IF(ROUND(ABS($S249),0)=0,-1000000000000000,ABS($S249)+ROW()/1000000))</f>
        <v>-1000000000000000</v>
      </c>
    </row>
    <row r="250" customFormat="false" ht="15" hidden="false" customHeight="false" outlineLevel="0" collapsed="false">
      <c r="A250" s="68" t="str">
        <f aca="false">IF(Data_Engine!$A250="","",Data_Engine!$A250)</f>
        <v/>
      </c>
      <c r="B250" s="42" t="str">
        <f aca="false">IF($A250="","",Data_Engine!$B250)</f>
        <v/>
      </c>
      <c r="C250" s="42" t="str">
        <f aca="false">IF($A250="","",Data_Engine!$D250)</f>
        <v/>
      </c>
      <c r="D250" s="69" t="str">
        <f aca="false">IF($A250="","",Data_Engine!$R250)</f>
        <v/>
      </c>
      <c r="E250" s="69" t="str">
        <f aca="false">IF($A250="","",Data_Engine!$S250)</f>
        <v/>
      </c>
      <c r="F250" s="69" t="str">
        <f aca="false">IF($A250="","",Data_Engine!$T250)</f>
        <v/>
      </c>
      <c r="G250" s="69" t="str">
        <f aca="false">IF($A250="","",Data_Engine!$U250)</f>
        <v/>
      </c>
      <c r="H250" s="69" t="str">
        <f aca="false">IF($A250="","",Data_Engine!$V250)</f>
        <v/>
      </c>
      <c r="I250" s="69" t="str">
        <f aca="false">IF($A250="","",Data_Engine!$W250)</f>
        <v/>
      </c>
      <c r="J250" s="69" t="str">
        <f aca="false">IF($A250="","",Data_Engine!$X250)</f>
        <v/>
      </c>
      <c r="K250" s="69" t="str">
        <f aca="false">IF($A250="","",Data_Engine!$Y250)</f>
        <v/>
      </c>
      <c r="L250" s="69" t="str">
        <f aca="false">IF($A250="","",Data_Engine!$Z250)</f>
        <v/>
      </c>
      <c r="M250" s="69" t="str">
        <f aca="false">IF($A250="","",Data_Engine!$AA250)</f>
        <v/>
      </c>
      <c r="N250" s="69" t="str">
        <f aca="false">IF($A250="","",Data_Engine!$AB250)</f>
        <v/>
      </c>
      <c r="O250" s="69" t="str">
        <f aca="false">IF($A250="","",Data_Engine!$AC250)</f>
        <v/>
      </c>
      <c r="P250" s="69" t="str">
        <f aca="false">IF($A250="","",Data_Engine!$AH250)</f>
        <v/>
      </c>
      <c r="Q250" s="70" t="str">
        <f aca="false">IF($A250="","",Data_Engine!$AD250)</f>
        <v/>
      </c>
      <c r="R250" s="69" t="str">
        <f aca="false">IF($A250="","",Data_Engine!$AF250)</f>
        <v/>
      </c>
      <c r="S250" s="71" t="str">
        <f aca="false">IF($A250="","",$Q250-$R250)</f>
        <v/>
      </c>
      <c r="T250" s="72" t="str">
        <f aca="false">IF($A250="","",IF(ROUND($R250,2)=0,"n/a",$S250/ABS($R250)))</f>
        <v/>
      </c>
      <c r="U250" s="69" t="str">
        <f aca="false">IF($A250="","",Data_Engine!$AG250)</f>
        <v/>
      </c>
      <c r="V250" s="73" t="str">
        <f aca="false">IF($A250="","",$Q250-$U250)</f>
        <v/>
      </c>
      <c r="W250" s="72" t="str">
        <f aca="false">IF($A250="","",IF(ROUND($U250,2)=0,"n/a",$V250/ABS($U250)))</f>
        <v/>
      </c>
      <c r="X250" s="74" t="str">
        <f aca="false">IF($A250="","",IF(AND(ROUND($Q250,2)=0,ROUND($R250,2)=0),"No Activity",IF(ABS($S250)&lt;Setup!$B$14,"Low",IF(ROUND($R250,2)=0,"High",IF(OR(ABS($S250/$R250)&gt;=Setup!$B$16,ABS($S250)&gt;=Setup!$B$17),"High",IF(ABS($S250/$R250)&gt;=Setup!$B$15,"Medium","Low"))))))</f>
        <v/>
      </c>
      <c r="Y250" s="57"/>
      <c r="Z250" s="75" t="n">
        <f aca="false">IF($A250="",-1000000000000000,IF(ROUND(ABS($S250),0)=0,-1000000000000000,ABS($S250)+ROW()/1000000))</f>
        <v>-1000000000000000</v>
      </c>
    </row>
    <row r="251" customFormat="false" ht="15" hidden="false" customHeight="false" outlineLevel="0" collapsed="false">
      <c r="A251" s="68" t="str">
        <f aca="false">IF(Data_Engine!$A251="","",Data_Engine!$A251)</f>
        <v/>
      </c>
      <c r="B251" s="42" t="str">
        <f aca="false">IF($A251="","",Data_Engine!$B251)</f>
        <v/>
      </c>
      <c r="C251" s="42" t="str">
        <f aca="false">IF($A251="","",Data_Engine!$D251)</f>
        <v/>
      </c>
      <c r="D251" s="69" t="str">
        <f aca="false">IF($A251="","",Data_Engine!$R251)</f>
        <v/>
      </c>
      <c r="E251" s="69" t="str">
        <f aca="false">IF($A251="","",Data_Engine!$S251)</f>
        <v/>
      </c>
      <c r="F251" s="69" t="str">
        <f aca="false">IF($A251="","",Data_Engine!$T251)</f>
        <v/>
      </c>
      <c r="G251" s="69" t="str">
        <f aca="false">IF($A251="","",Data_Engine!$U251)</f>
        <v/>
      </c>
      <c r="H251" s="69" t="str">
        <f aca="false">IF($A251="","",Data_Engine!$V251)</f>
        <v/>
      </c>
      <c r="I251" s="69" t="str">
        <f aca="false">IF($A251="","",Data_Engine!$W251)</f>
        <v/>
      </c>
      <c r="J251" s="69" t="str">
        <f aca="false">IF($A251="","",Data_Engine!$X251)</f>
        <v/>
      </c>
      <c r="K251" s="69" t="str">
        <f aca="false">IF($A251="","",Data_Engine!$Y251)</f>
        <v/>
      </c>
      <c r="L251" s="69" t="str">
        <f aca="false">IF($A251="","",Data_Engine!$Z251)</f>
        <v/>
      </c>
      <c r="M251" s="69" t="str">
        <f aca="false">IF($A251="","",Data_Engine!$AA251)</f>
        <v/>
      </c>
      <c r="N251" s="69" t="str">
        <f aca="false">IF($A251="","",Data_Engine!$AB251)</f>
        <v/>
      </c>
      <c r="O251" s="69" t="str">
        <f aca="false">IF($A251="","",Data_Engine!$AC251)</f>
        <v/>
      </c>
      <c r="P251" s="69" t="str">
        <f aca="false">IF($A251="","",Data_Engine!$AH251)</f>
        <v/>
      </c>
      <c r="Q251" s="70" t="str">
        <f aca="false">IF($A251="","",Data_Engine!$AD251)</f>
        <v/>
      </c>
      <c r="R251" s="69" t="str">
        <f aca="false">IF($A251="","",Data_Engine!$AF251)</f>
        <v/>
      </c>
      <c r="S251" s="71" t="str">
        <f aca="false">IF($A251="","",$Q251-$R251)</f>
        <v/>
      </c>
      <c r="T251" s="72" t="str">
        <f aca="false">IF($A251="","",IF(ROUND($R251,2)=0,"n/a",$S251/ABS($R251)))</f>
        <v/>
      </c>
      <c r="U251" s="69" t="str">
        <f aca="false">IF($A251="","",Data_Engine!$AG251)</f>
        <v/>
      </c>
      <c r="V251" s="73" t="str">
        <f aca="false">IF($A251="","",$Q251-$U251)</f>
        <v/>
      </c>
      <c r="W251" s="72" t="str">
        <f aca="false">IF($A251="","",IF(ROUND($U251,2)=0,"n/a",$V251/ABS($U251)))</f>
        <v/>
      </c>
      <c r="X251" s="74" t="str">
        <f aca="false">IF($A251="","",IF(AND(ROUND($Q251,2)=0,ROUND($R251,2)=0),"No Activity",IF(ABS($S251)&lt;Setup!$B$14,"Low",IF(ROUND($R251,2)=0,"High",IF(OR(ABS($S251/$R251)&gt;=Setup!$B$16,ABS($S251)&gt;=Setup!$B$17),"High",IF(ABS($S251/$R251)&gt;=Setup!$B$15,"Medium","Low"))))))</f>
        <v/>
      </c>
      <c r="Y251" s="57"/>
      <c r="Z251" s="75" t="n">
        <f aca="false">IF($A251="",-1000000000000000,IF(ROUND(ABS($S251),0)=0,-1000000000000000,ABS($S251)+ROW()/1000000))</f>
        <v>-1000000000000000</v>
      </c>
    </row>
    <row r="252" customFormat="false" ht="15" hidden="false" customHeight="false" outlineLevel="0" collapsed="false">
      <c r="A252" s="68" t="str">
        <f aca="false">IF(Data_Engine!$A252="","",Data_Engine!$A252)</f>
        <v/>
      </c>
      <c r="B252" s="42" t="str">
        <f aca="false">IF($A252="","",Data_Engine!$B252)</f>
        <v/>
      </c>
      <c r="C252" s="42" t="str">
        <f aca="false">IF($A252="","",Data_Engine!$D252)</f>
        <v/>
      </c>
      <c r="D252" s="69" t="str">
        <f aca="false">IF($A252="","",Data_Engine!$R252)</f>
        <v/>
      </c>
      <c r="E252" s="69" t="str">
        <f aca="false">IF($A252="","",Data_Engine!$S252)</f>
        <v/>
      </c>
      <c r="F252" s="69" t="str">
        <f aca="false">IF($A252="","",Data_Engine!$T252)</f>
        <v/>
      </c>
      <c r="G252" s="69" t="str">
        <f aca="false">IF($A252="","",Data_Engine!$U252)</f>
        <v/>
      </c>
      <c r="H252" s="69" t="str">
        <f aca="false">IF($A252="","",Data_Engine!$V252)</f>
        <v/>
      </c>
      <c r="I252" s="69" t="str">
        <f aca="false">IF($A252="","",Data_Engine!$W252)</f>
        <v/>
      </c>
      <c r="J252" s="69" t="str">
        <f aca="false">IF($A252="","",Data_Engine!$X252)</f>
        <v/>
      </c>
      <c r="K252" s="69" t="str">
        <f aca="false">IF($A252="","",Data_Engine!$Y252)</f>
        <v/>
      </c>
      <c r="L252" s="69" t="str">
        <f aca="false">IF($A252="","",Data_Engine!$Z252)</f>
        <v/>
      </c>
      <c r="M252" s="69" t="str">
        <f aca="false">IF($A252="","",Data_Engine!$AA252)</f>
        <v/>
      </c>
      <c r="N252" s="69" t="str">
        <f aca="false">IF($A252="","",Data_Engine!$AB252)</f>
        <v/>
      </c>
      <c r="O252" s="69" t="str">
        <f aca="false">IF($A252="","",Data_Engine!$AC252)</f>
        <v/>
      </c>
      <c r="P252" s="69" t="str">
        <f aca="false">IF($A252="","",Data_Engine!$AH252)</f>
        <v/>
      </c>
      <c r="Q252" s="70" t="str">
        <f aca="false">IF($A252="","",Data_Engine!$AD252)</f>
        <v/>
      </c>
      <c r="R252" s="69" t="str">
        <f aca="false">IF($A252="","",Data_Engine!$AF252)</f>
        <v/>
      </c>
      <c r="S252" s="71" t="str">
        <f aca="false">IF($A252="","",$Q252-$R252)</f>
        <v/>
      </c>
      <c r="T252" s="72" t="str">
        <f aca="false">IF($A252="","",IF(ROUND($R252,2)=0,"n/a",$S252/ABS($R252)))</f>
        <v/>
      </c>
      <c r="U252" s="69" t="str">
        <f aca="false">IF($A252="","",Data_Engine!$AG252)</f>
        <v/>
      </c>
      <c r="V252" s="73" t="str">
        <f aca="false">IF($A252="","",$Q252-$U252)</f>
        <v/>
      </c>
      <c r="W252" s="72" t="str">
        <f aca="false">IF($A252="","",IF(ROUND($U252,2)=0,"n/a",$V252/ABS($U252)))</f>
        <v/>
      </c>
      <c r="X252" s="74" t="str">
        <f aca="false">IF($A252="","",IF(AND(ROUND($Q252,2)=0,ROUND($R252,2)=0),"No Activity",IF(ABS($S252)&lt;Setup!$B$14,"Low",IF(ROUND($R252,2)=0,"High",IF(OR(ABS($S252/$R252)&gt;=Setup!$B$16,ABS($S252)&gt;=Setup!$B$17),"High",IF(ABS($S252/$R252)&gt;=Setup!$B$15,"Medium","Low"))))))</f>
        <v/>
      </c>
      <c r="Y252" s="57"/>
      <c r="Z252" s="75" t="n">
        <f aca="false">IF($A252="",-1000000000000000,IF(ROUND(ABS($S252),0)=0,-1000000000000000,ABS($S252)+ROW()/1000000))</f>
        <v>-1000000000000000</v>
      </c>
    </row>
    <row r="253" customFormat="false" ht="15" hidden="false" customHeight="false" outlineLevel="0" collapsed="false">
      <c r="A253" s="68" t="str">
        <f aca="false">IF(Data_Engine!$A253="","",Data_Engine!$A253)</f>
        <v/>
      </c>
      <c r="B253" s="42" t="str">
        <f aca="false">IF($A253="","",Data_Engine!$B253)</f>
        <v/>
      </c>
      <c r="C253" s="42" t="str">
        <f aca="false">IF($A253="","",Data_Engine!$D253)</f>
        <v/>
      </c>
      <c r="D253" s="69" t="str">
        <f aca="false">IF($A253="","",Data_Engine!$R253)</f>
        <v/>
      </c>
      <c r="E253" s="69" t="str">
        <f aca="false">IF($A253="","",Data_Engine!$S253)</f>
        <v/>
      </c>
      <c r="F253" s="69" t="str">
        <f aca="false">IF($A253="","",Data_Engine!$T253)</f>
        <v/>
      </c>
      <c r="G253" s="69" t="str">
        <f aca="false">IF($A253="","",Data_Engine!$U253)</f>
        <v/>
      </c>
      <c r="H253" s="69" t="str">
        <f aca="false">IF($A253="","",Data_Engine!$V253)</f>
        <v/>
      </c>
      <c r="I253" s="69" t="str">
        <f aca="false">IF($A253="","",Data_Engine!$W253)</f>
        <v/>
      </c>
      <c r="J253" s="69" t="str">
        <f aca="false">IF($A253="","",Data_Engine!$X253)</f>
        <v/>
      </c>
      <c r="K253" s="69" t="str">
        <f aca="false">IF($A253="","",Data_Engine!$Y253)</f>
        <v/>
      </c>
      <c r="L253" s="69" t="str">
        <f aca="false">IF($A253="","",Data_Engine!$Z253)</f>
        <v/>
      </c>
      <c r="M253" s="69" t="str">
        <f aca="false">IF($A253="","",Data_Engine!$AA253)</f>
        <v/>
      </c>
      <c r="N253" s="69" t="str">
        <f aca="false">IF($A253="","",Data_Engine!$AB253)</f>
        <v/>
      </c>
      <c r="O253" s="69" t="str">
        <f aca="false">IF($A253="","",Data_Engine!$AC253)</f>
        <v/>
      </c>
      <c r="P253" s="69" t="str">
        <f aca="false">IF($A253="","",Data_Engine!$AH253)</f>
        <v/>
      </c>
      <c r="Q253" s="70" t="str">
        <f aca="false">IF($A253="","",Data_Engine!$AD253)</f>
        <v/>
      </c>
      <c r="R253" s="69" t="str">
        <f aca="false">IF($A253="","",Data_Engine!$AF253)</f>
        <v/>
      </c>
      <c r="S253" s="71" t="str">
        <f aca="false">IF($A253="","",$Q253-$R253)</f>
        <v/>
      </c>
      <c r="T253" s="72" t="str">
        <f aca="false">IF($A253="","",IF(ROUND($R253,2)=0,"n/a",$S253/ABS($R253)))</f>
        <v/>
      </c>
      <c r="U253" s="69" t="str">
        <f aca="false">IF($A253="","",Data_Engine!$AG253)</f>
        <v/>
      </c>
      <c r="V253" s="73" t="str">
        <f aca="false">IF($A253="","",$Q253-$U253)</f>
        <v/>
      </c>
      <c r="W253" s="72" t="str">
        <f aca="false">IF($A253="","",IF(ROUND($U253,2)=0,"n/a",$V253/ABS($U253)))</f>
        <v/>
      </c>
      <c r="X253" s="74" t="str">
        <f aca="false">IF($A253="","",IF(AND(ROUND($Q253,2)=0,ROUND($R253,2)=0),"No Activity",IF(ABS($S253)&lt;Setup!$B$14,"Low",IF(ROUND($R253,2)=0,"High",IF(OR(ABS($S253/$R253)&gt;=Setup!$B$16,ABS($S253)&gt;=Setup!$B$17),"High",IF(ABS($S253/$R253)&gt;=Setup!$B$15,"Medium","Low"))))))</f>
        <v/>
      </c>
      <c r="Y253" s="57"/>
      <c r="Z253" s="75" t="n">
        <f aca="false">IF($A253="",-1000000000000000,IF(ROUND(ABS($S253),0)=0,-1000000000000000,ABS($S253)+ROW()/1000000))</f>
        <v>-1000000000000000</v>
      </c>
    </row>
    <row r="254" customFormat="false" ht="15" hidden="false" customHeight="false" outlineLevel="0" collapsed="false">
      <c r="A254" s="68" t="str">
        <f aca="false">IF(Data_Engine!$A254="","",Data_Engine!$A254)</f>
        <v/>
      </c>
      <c r="B254" s="42" t="str">
        <f aca="false">IF($A254="","",Data_Engine!$B254)</f>
        <v/>
      </c>
      <c r="C254" s="42" t="str">
        <f aca="false">IF($A254="","",Data_Engine!$D254)</f>
        <v/>
      </c>
      <c r="D254" s="69" t="str">
        <f aca="false">IF($A254="","",Data_Engine!$R254)</f>
        <v/>
      </c>
      <c r="E254" s="69" t="str">
        <f aca="false">IF($A254="","",Data_Engine!$S254)</f>
        <v/>
      </c>
      <c r="F254" s="69" t="str">
        <f aca="false">IF($A254="","",Data_Engine!$T254)</f>
        <v/>
      </c>
      <c r="G254" s="69" t="str">
        <f aca="false">IF($A254="","",Data_Engine!$U254)</f>
        <v/>
      </c>
      <c r="H254" s="69" t="str">
        <f aca="false">IF($A254="","",Data_Engine!$V254)</f>
        <v/>
      </c>
      <c r="I254" s="69" t="str">
        <f aca="false">IF($A254="","",Data_Engine!$W254)</f>
        <v/>
      </c>
      <c r="J254" s="69" t="str">
        <f aca="false">IF($A254="","",Data_Engine!$X254)</f>
        <v/>
      </c>
      <c r="K254" s="69" t="str">
        <f aca="false">IF($A254="","",Data_Engine!$Y254)</f>
        <v/>
      </c>
      <c r="L254" s="69" t="str">
        <f aca="false">IF($A254="","",Data_Engine!$Z254)</f>
        <v/>
      </c>
      <c r="M254" s="69" t="str">
        <f aca="false">IF($A254="","",Data_Engine!$AA254)</f>
        <v/>
      </c>
      <c r="N254" s="69" t="str">
        <f aca="false">IF($A254="","",Data_Engine!$AB254)</f>
        <v/>
      </c>
      <c r="O254" s="69" t="str">
        <f aca="false">IF($A254="","",Data_Engine!$AC254)</f>
        <v/>
      </c>
      <c r="P254" s="69" t="str">
        <f aca="false">IF($A254="","",Data_Engine!$AH254)</f>
        <v/>
      </c>
      <c r="Q254" s="70" t="str">
        <f aca="false">IF($A254="","",Data_Engine!$AD254)</f>
        <v/>
      </c>
      <c r="R254" s="69" t="str">
        <f aca="false">IF($A254="","",Data_Engine!$AF254)</f>
        <v/>
      </c>
      <c r="S254" s="71" t="str">
        <f aca="false">IF($A254="","",$Q254-$R254)</f>
        <v/>
      </c>
      <c r="T254" s="72" t="str">
        <f aca="false">IF($A254="","",IF(ROUND($R254,2)=0,"n/a",$S254/ABS($R254)))</f>
        <v/>
      </c>
      <c r="U254" s="69" t="str">
        <f aca="false">IF($A254="","",Data_Engine!$AG254)</f>
        <v/>
      </c>
      <c r="V254" s="73" t="str">
        <f aca="false">IF($A254="","",$Q254-$U254)</f>
        <v/>
      </c>
      <c r="W254" s="72" t="str">
        <f aca="false">IF($A254="","",IF(ROUND($U254,2)=0,"n/a",$V254/ABS($U254)))</f>
        <v/>
      </c>
      <c r="X254" s="74" t="str">
        <f aca="false">IF($A254="","",IF(AND(ROUND($Q254,2)=0,ROUND($R254,2)=0),"No Activity",IF(ABS($S254)&lt;Setup!$B$14,"Low",IF(ROUND($R254,2)=0,"High",IF(OR(ABS($S254/$R254)&gt;=Setup!$B$16,ABS($S254)&gt;=Setup!$B$17),"High",IF(ABS($S254/$R254)&gt;=Setup!$B$15,"Medium","Low"))))))</f>
        <v/>
      </c>
      <c r="Y254" s="57"/>
      <c r="Z254" s="75" t="n">
        <f aca="false">IF($A254="",-1000000000000000,IF(ROUND(ABS($S254),0)=0,-1000000000000000,ABS($S254)+ROW()/1000000))</f>
        <v>-1000000000000000</v>
      </c>
    </row>
    <row r="255" customFormat="false" ht="15" hidden="false" customHeight="false" outlineLevel="0" collapsed="false">
      <c r="A255" s="68" t="str">
        <f aca="false">IF(Data_Engine!$A255="","",Data_Engine!$A255)</f>
        <v/>
      </c>
      <c r="B255" s="42" t="str">
        <f aca="false">IF($A255="","",Data_Engine!$B255)</f>
        <v/>
      </c>
      <c r="C255" s="42" t="str">
        <f aca="false">IF($A255="","",Data_Engine!$D255)</f>
        <v/>
      </c>
      <c r="D255" s="69" t="str">
        <f aca="false">IF($A255="","",Data_Engine!$R255)</f>
        <v/>
      </c>
      <c r="E255" s="69" t="str">
        <f aca="false">IF($A255="","",Data_Engine!$S255)</f>
        <v/>
      </c>
      <c r="F255" s="69" t="str">
        <f aca="false">IF($A255="","",Data_Engine!$T255)</f>
        <v/>
      </c>
      <c r="G255" s="69" t="str">
        <f aca="false">IF($A255="","",Data_Engine!$U255)</f>
        <v/>
      </c>
      <c r="H255" s="69" t="str">
        <f aca="false">IF($A255="","",Data_Engine!$V255)</f>
        <v/>
      </c>
      <c r="I255" s="69" t="str">
        <f aca="false">IF($A255="","",Data_Engine!$W255)</f>
        <v/>
      </c>
      <c r="J255" s="69" t="str">
        <f aca="false">IF($A255="","",Data_Engine!$X255)</f>
        <v/>
      </c>
      <c r="K255" s="69" t="str">
        <f aca="false">IF($A255="","",Data_Engine!$Y255)</f>
        <v/>
      </c>
      <c r="L255" s="69" t="str">
        <f aca="false">IF($A255="","",Data_Engine!$Z255)</f>
        <v/>
      </c>
      <c r="M255" s="69" t="str">
        <f aca="false">IF($A255="","",Data_Engine!$AA255)</f>
        <v/>
      </c>
      <c r="N255" s="69" t="str">
        <f aca="false">IF($A255="","",Data_Engine!$AB255)</f>
        <v/>
      </c>
      <c r="O255" s="69" t="str">
        <f aca="false">IF($A255="","",Data_Engine!$AC255)</f>
        <v/>
      </c>
      <c r="P255" s="69" t="str">
        <f aca="false">IF($A255="","",Data_Engine!$AH255)</f>
        <v/>
      </c>
      <c r="Q255" s="70" t="str">
        <f aca="false">IF($A255="","",Data_Engine!$AD255)</f>
        <v/>
      </c>
      <c r="R255" s="69" t="str">
        <f aca="false">IF($A255="","",Data_Engine!$AF255)</f>
        <v/>
      </c>
      <c r="S255" s="71" t="str">
        <f aca="false">IF($A255="","",$Q255-$R255)</f>
        <v/>
      </c>
      <c r="T255" s="72" t="str">
        <f aca="false">IF($A255="","",IF(ROUND($R255,2)=0,"n/a",$S255/ABS($R255)))</f>
        <v/>
      </c>
      <c r="U255" s="69" t="str">
        <f aca="false">IF($A255="","",Data_Engine!$AG255)</f>
        <v/>
      </c>
      <c r="V255" s="73" t="str">
        <f aca="false">IF($A255="","",$Q255-$U255)</f>
        <v/>
      </c>
      <c r="W255" s="72" t="str">
        <f aca="false">IF($A255="","",IF(ROUND($U255,2)=0,"n/a",$V255/ABS($U255)))</f>
        <v/>
      </c>
      <c r="X255" s="74" t="str">
        <f aca="false">IF($A255="","",IF(AND(ROUND($Q255,2)=0,ROUND($R255,2)=0),"No Activity",IF(ABS($S255)&lt;Setup!$B$14,"Low",IF(ROUND($R255,2)=0,"High",IF(OR(ABS($S255/$R255)&gt;=Setup!$B$16,ABS($S255)&gt;=Setup!$B$17),"High",IF(ABS($S255/$R255)&gt;=Setup!$B$15,"Medium","Low"))))))</f>
        <v/>
      </c>
      <c r="Y255" s="57"/>
      <c r="Z255" s="75" t="n">
        <f aca="false">IF($A255="",-1000000000000000,IF(ROUND(ABS($S255),0)=0,-1000000000000000,ABS($S255)+ROW()/1000000))</f>
        <v>-1000000000000000</v>
      </c>
    </row>
  </sheetData>
  <conditionalFormatting sqref="A6:Y255">
    <cfRule type="expression" priority="2" aboveAverage="0" equalAverage="0" bottom="0" percent="0" rank="0" text="" dxfId="6">
      <formula>$X6="High"</formula>
    </cfRule>
    <cfRule type="expression" priority="3" aboveAverage="0" equalAverage="0" bottom="0" percent="0" rank="0" text="" dxfId="7">
      <formula>$X6="Medium"</formula>
    </cfRule>
    <cfRule type="expression" priority="4" aboveAverage="0" equalAverage="0" bottom="0" percent="0" rank="0" text="" dxfId="5">
      <formula>$X6="No Activity"</formula>
    </cfRule>
  </conditionalFormatting>
  <conditionalFormatting sqref="X6:X255">
    <cfRule type="expression" priority="5" aboveAverage="0" equalAverage="0" bottom="0" percent="0" rank="0" text="" dxfId="0">
      <formula>$X6="High"</formula>
    </cfRule>
    <cfRule type="expression" priority="6" aboveAverage="0" equalAverage="0" bottom="0" percent="0" rank="0" text="" dxfId="4">
      <formula>$X6="Medium"</formula>
    </cfRule>
    <cfRule type="expression" priority="7" aboveAverage="0" equalAverage="0" bottom="0" percent="0" rank="0" text="" dxfId="1">
      <formula>$X6="Low"</formula>
    </cfRule>
    <cfRule type="expression" priority="8" aboveAverage="0" equalAverage="0" bottom="0" percent="0" rank="0" text="" dxfId="8">
      <formula>$X6="No Activity"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R2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2"/>
    <col collapsed="false" customWidth="true" hidden="false" outlineLevel="0" max="6" min="3" style="0" width="13"/>
    <col collapsed="false" customWidth="true" hidden="false" outlineLevel="0" max="7" min="7" style="0" width="11"/>
    <col collapsed="false" customWidth="true" hidden="false" outlineLevel="0" max="10" min="8" style="0" width="14"/>
    <col collapsed="false" customWidth="true" hidden="false" outlineLevel="0" max="11" min="11" style="0" width="11"/>
    <col collapsed="false" customWidth="true" hidden="false" outlineLevel="0" max="13" min="12" style="0" width="14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11"/>
    <col collapsed="false" customWidth="true" hidden="false" outlineLevel="0" max="17" min="17" style="0" width="40"/>
    <col collapsed="false" customWidth="true" hidden="false" outlineLevel="0" max="18" min="18" style="0" width="9"/>
  </cols>
  <sheetData>
    <row r="1" customFormat="false" ht="18.55" hidden="false" customHeight="false" outlineLevel="0" collapsed="false">
      <c r="A1" s="1" t="s">
        <v>419</v>
      </c>
    </row>
    <row r="2" customFormat="false" ht="15" hidden="false" customHeight="false" outlineLevel="0" collapsed="false">
      <c r="A2" s="2" t="str">
        <f aca="false">IF(Setup!$B$4="","","Current year to date vs the same period last year.   |   Rows highlight on the risk flag in column P (driven by the YTD variance).   |   Column Q is yours.")</f>
        <v>Current year to date vs the same period last year.   |   Rows highlight on the risk flag in column P (driven by the YTD variance).   |   Column Q is yours.</v>
      </c>
    </row>
    <row r="4" customFormat="false" ht="18" hidden="false" customHeight="true" outlineLevel="0" collapsed="false">
      <c r="A4" s="3" t="s">
        <v>404</v>
      </c>
      <c r="B4" s="4"/>
      <c r="C4" s="4"/>
      <c r="D4" s="47" t="s">
        <v>420</v>
      </c>
      <c r="E4" s="48"/>
      <c r="F4" s="48"/>
      <c r="G4" s="48"/>
      <c r="H4" s="49" t="s">
        <v>350</v>
      </c>
      <c r="I4" s="50"/>
      <c r="J4" s="50"/>
      <c r="K4" s="50"/>
      <c r="L4" s="25" t="s">
        <v>421</v>
      </c>
      <c r="M4" s="26"/>
      <c r="N4" s="26"/>
      <c r="O4" s="27" t="s">
        <v>407</v>
      </c>
      <c r="P4" s="28"/>
      <c r="Q4" s="28"/>
      <c r="R4" s="67" t="s">
        <v>408</v>
      </c>
    </row>
    <row r="5" customFormat="false" ht="31.5" hidden="false" customHeight="true" outlineLevel="0" collapsed="false">
      <c r="A5" s="30" t="s">
        <v>116</v>
      </c>
      <c r="B5" s="30" t="s">
        <v>127</v>
      </c>
      <c r="C5" s="30" t="s">
        <v>141</v>
      </c>
      <c r="D5" s="30" t="s">
        <v>354</v>
      </c>
      <c r="E5" s="30" t="s">
        <v>355</v>
      </c>
      <c r="F5" s="30" t="s">
        <v>422</v>
      </c>
      <c r="G5" s="30" t="s">
        <v>423</v>
      </c>
      <c r="H5" s="30" t="s">
        <v>361</v>
      </c>
      <c r="I5" s="30" t="s">
        <v>362</v>
      </c>
      <c r="J5" s="30" t="s">
        <v>424</v>
      </c>
      <c r="K5" s="30" t="s">
        <v>425</v>
      </c>
      <c r="L5" s="30" t="s">
        <v>365</v>
      </c>
      <c r="M5" s="30" t="s">
        <v>426</v>
      </c>
      <c r="N5" s="30" t="s">
        <v>427</v>
      </c>
      <c r="O5" s="30" t="s">
        <v>428</v>
      </c>
      <c r="P5" s="30" t="s">
        <v>417</v>
      </c>
      <c r="Q5" s="30" t="s">
        <v>418</v>
      </c>
    </row>
    <row r="6" customFormat="false" ht="15" hidden="false" customHeight="false" outlineLevel="0" collapsed="false">
      <c r="A6" s="68" t="str">
        <f aca="false">IF(Data_Engine!$A6="","",Data_Engine!$A6)</f>
        <v>Ad Hoc Service Labour</v>
      </c>
      <c r="B6" s="42" t="str">
        <f aca="false">IF($A6="","",Data_Engine!$B6)</f>
        <v>Income</v>
      </c>
      <c r="C6" s="42" t="str">
        <f aca="false">IF($A6="","",Data_Engine!$D6)</f>
        <v>Unallocated</v>
      </c>
      <c r="D6" s="69" t="n">
        <f aca="false">IF($A6="","",Data_Engine!$AD6)</f>
        <v>0</v>
      </c>
      <c r="E6" s="69" t="n">
        <f aca="false">IF($A6="","",Data_Engine!$AE6)</f>
        <v>0</v>
      </c>
      <c r="F6" s="73" t="n">
        <f aca="false">IF($A6="","",$D6-$E6)</f>
        <v>0</v>
      </c>
      <c r="G6" s="72" t="str">
        <f aca="false">IF($A6="","",IF(ROUND($E6,2)=0,"n/a",$F6/ABS($E6)))</f>
        <v>n/a</v>
      </c>
      <c r="H6" s="70" t="n">
        <f aca="false">IF($A6="","",Data_Engine!$AH6)</f>
        <v>0</v>
      </c>
      <c r="I6" s="69" t="n">
        <f aca="false">IF($A6="","",Data_Engine!$AI6)</f>
        <v>0</v>
      </c>
      <c r="J6" s="71" t="n">
        <f aca="false">IF($A6="","",$H6-$I6)</f>
        <v>0</v>
      </c>
      <c r="K6" s="72" t="str">
        <f aca="false">IF($A6="","",IF(ROUND($I6,2)=0,"n/a",$J6/ABS($I6)))</f>
        <v>n/a</v>
      </c>
      <c r="L6" s="69" t="n">
        <f aca="false">IF($A6="","",Data_Engine!$AJ6)</f>
        <v>0</v>
      </c>
      <c r="M6" s="73" t="n">
        <f aca="false">IF($A6="","",IF(Setup!$B$8=0,0,$H6/Setup!$B$8*12))</f>
        <v>0</v>
      </c>
      <c r="N6" s="72" t="str">
        <f aca="false">IF($A6="","",IF(ROUND($L6,2)=0,"n/a",($M6-$L6)/ABS($L6)))</f>
        <v>n/a</v>
      </c>
      <c r="O6" s="76" t="str">
        <f aca="false">IF($A6="","",IF(AND(ROUND($H6,2)=0,ROUND($I6,2)=0),"Dormant",IF(ROUND($I6,2)=0,"New this year",IF(ROUND($H6,2)=0,"Ceased",IF($J6&gt;0,"Increase",IF($J6&lt;0,"Decrease","Flat"))))))</f>
        <v>Dormant</v>
      </c>
      <c r="P6" s="74" t="str">
        <f aca="false">IF($A6="","",IF(AND(ROUND($H6,2)=0,ROUND($I6,2)=0),"No Activity",IF(ABS($J6)&lt;Setup!$B$14,"Low",IF(ROUND($I6,2)=0,"High",IF(OR(ABS($J6/$I6)&gt;=Setup!$B$16,ABS($J6)&gt;=Setup!$B$17),"High",IF(ABS($J6/$I6)&gt;=Setup!$B$15,"Medium","Low"))))))</f>
        <v>No Activity</v>
      </c>
      <c r="Q6" s="57"/>
      <c r="R6" s="75" t="n">
        <f aca="false">IF($A6="",-1000000000000000,IF(ROUND(ABS($J6),0)=0,-1000000000000000,ABS($J6)+ROW()/1000000))</f>
        <v>-1000000000000000</v>
      </c>
    </row>
    <row r="7" customFormat="false" ht="15" hidden="false" customHeight="false" outlineLevel="0" collapsed="false">
      <c r="A7" s="68" t="str">
        <f aca="false">IF(Data_Engine!$A7="","",Data_Engine!$A7)</f>
        <v>Closing Work in Progress</v>
      </c>
      <c r="B7" s="42" t="str">
        <f aca="false">IF($A7="","",Data_Engine!$B7)</f>
        <v>Income</v>
      </c>
      <c r="C7" s="42" t="str">
        <f aca="false">IF($A7="","",Data_Engine!$D7)</f>
        <v>Unallocated</v>
      </c>
      <c r="D7" s="69" t="n">
        <f aca="false">IF($A7="","",Data_Engine!$AD7)</f>
        <v>0</v>
      </c>
      <c r="E7" s="69" t="n">
        <f aca="false">IF($A7="","",Data_Engine!$AE7)</f>
        <v>0</v>
      </c>
      <c r="F7" s="73" t="n">
        <f aca="false">IF($A7="","",$D7-$E7)</f>
        <v>0</v>
      </c>
      <c r="G7" s="72" t="str">
        <f aca="false">IF($A7="","",IF(ROUND($E7,2)=0,"n/a",$F7/ABS($E7)))</f>
        <v>n/a</v>
      </c>
      <c r="H7" s="70" t="n">
        <f aca="false">IF($A7="","",Data_Engine!$AH7)</f>
        <v>0</v>
      </c>
      <c r="I7" s="69" t="n">
        <f aca="false">IF($A7="","",Data_Engine!$AI7)</f>
        <v>0</v>
      </c>
      <c r="J7" s="71" t="n">
        <f aca="false">IF($A7="","",$H7-$I7)</f>
        <v>0</v>
      </c>
      <c r="K7" s="72" t="str">
        <f aca="false">IF($A7="","",IF(ROUND($I7,2)=0,"n/a",$J7/ABS($I7)))</f>
        <v>n/a</v>
      </c>
      <c r="L7" s="69" t="n">
        <f aca="false">IF($A7="","",Data_Engine!$AJ7)</f>
        <v>0</v>
      </c>
      <c r="M7" s="73" t="n">
        <f aca="false">IF($A7="","",IF(Setup!$B$8=0,0,$H7/Setup!$B$8*12))</f>
        <v>0</v>
      </c>
      <c r="N7" s="72" t="str">
        <f aca="false">IF($A7="","",IF(ROUND($L7,2)=0,"n/a",($M7-$L7)/ABS($L7)))</f>
        <v>n/a</v>
      </c>
      <c r="O7" s="76" t="str">
        <f aca="false">IF($A7="","",IF(AND(ROUND($H7,2)=0,ROUND($I7,2)=0),"Dormant",IF(ROUND($I7,2)=0,"New this year",IF(ROUND($H7,2)=0,"Ceased",IF($J7&gt;0,"Increase",IF($J7&lt;0,"Decrease","Flat"))))))</f>
        <v>Dormant</v>
      </c>
      <c r="P7" s="74" t="str">
        <f aca="false">IF($A7="","",IF(AND(ROUND($H7,2)=0,ROUND($I7,2)=0),"No Activity",IF(ABS($J7)&lt;Setup!$B$14,"Low",IF(ROUND($I7,2)=0,"High",IF(OR(ABS($J7/$I7)&gt;=Setup!$B$16,ABS($J7)&gt;=Setup!$B$17),"High",IF(ABS($J7/$I7)&gt;=Setup!$B$15,"Medium","Low"))))))</f>
        <v>No Activity</v>
      </c>
      <c r="Q7" s="57"/>
      <c r="R7" s="75" t="n">
        <f aca="false">IF($A7="",-1000000000000000,IF(ROUND(ABS($J7),0)=0,-1000000000000000,ABS($J7)+ROW()/1000000))</f>
        <v>-1000000000000000</v>
      </c>
    </row>
    <row r="8" customFormat="false" ht="15" hidden="false" customHeight="false" outlineLevel="0" collapsed="false">
      <c r="A8" s="68" t="str">
        <f aca="false">IF(Data_Engine!$A8="","",Data_Engine!$A8)</f>
        <v>Conference Call Charge</v>
      </c>
      <c r="B8" s="42" t="str">
        <f aca="false">IF($A8="","",Data_Engine!$B8)</f>
        <v>Income</v>
      </c>
      <c r="C8" s="42" t="str">
        <f aca="false">IF($A8="","",Data_Engine!$D8)</f>
        <v>Unallocated</v>
      </c>
      <c r="D8" s="69" t="n">
        <f aca="false">IF($A8="","",Data_Engine!$AD8)</f>
        <v>0</v>
      </c>
      <c r="E8" s="69" t="n">
        <f aca="false">IF($A8="","",Data_Engine!$AE8)</f>
        <v>0</v>
      </c>
      <c r="F8" s="73" t="n">
        <f aca="false">IF($A8="","",$D8-$E8)</f>
        <v>0</v>
      </c>
      <c r="G8" s="72" t="str">
        <f aca="false">IF($A8="","",IF(ROUND($E8,2)=0,"n/a",$F8/ABS($E8)))</f>
        <v>n/a</v>
      </c>
      <c r="H8" s="70" t="n">
        <f aca="false">IF($A8="","",Data_Engine!$AH8)</f>
        <v>0</v>
      </c>
      <c r="I8" s="69" t="n">
        <f aca="false">IF($A8="","",Data_Engine!$AI8)</f>
        <v>0</v>
      </c>
      <c r="J8" s="71" t="n">
        <f aca="false">IF($A8="","",$H8-$I8)</f>
        <v>0</v>
      </c>
      <c r="K8" s="72" t="str">
        <f aca="false">IF($A8="","",IF(ROUND($I8,2)=0,"n/a",$J8/ABS($I8)))</f>
        <v>n/a</v>
      </c>
      <c r="L8" s="69" t="n">
        <f aca="false">IF($A8="","",Data_Engine!$AJ8)</f>
        <v>0</v>
      </c>
      <c r="M8" s="73" t="n">
        <f aca="false">IF($A8="","",IF(Setup!$B$8=0,0,$H8/Setup!$B$8*12))</f>
        <v>0</v>
      </c>
      <c r="N8" s="72" t="str">
        <f aca="false">IF($A8="","",IF(ROUND($L8,2)=0,"n/a",($M8-$L8)/ABS($L8)))</f>
        <v>n/a</v>
      </c>
      <c r="O8" s="76" t="str">
        <f aca="false">IF($A8="","",IF(AND(ROUND($H8,2)=0,ROUND($I8,2)=0),"Dormant",IF(ROUND($I8,2)=0,"New this year",IF(ROUND($H8,2)=0,"Ceased",IF($J8&gt;0,"Increase",IF($J8&lt;0,"Decrease","Flat"))))))</f>
        <v>Dormant</v>
      </c>
      <c r="P8" s="74" t="str">
        <f aca="false">IF($A8="","",IF(AND(ROUND($H8,2)=0,ROUND($I8,2)=0),"No Activity",IF(ABS($J8)&lt;Setup!$B$14,"Low",IF(ROUND($I8,2)=0,"High",IF(OR(ABS($J8/$I8)&gt;=Setup!$B$16,ABS($J8)&gt;=Setup!$B$17),"High",IF(ABS($J8/$I8)&gt;=Setup!$B$15,"Medium","Low"))))))</f>
        <v>No Activity</v>
      </c>
      <c r="Q8" s="57"/>
      <c r="R8" s="75" t="n">
        <f aca="false">IF($A8="",-1000000000000000,IF(ROUND(ABS($J8),0)=0,-1000000000000000,ABS($J8)+ROW()/1000000))</f>
        <v>-1000000000000000</v>
      </c>
    </row>
    <row r="9" customFormat="false" ht="15" hidden="false" customHeight="false" outlineLevel="0" collapsed="false">
      <c r="A9" s="68" t="str">
        <f aca="false">IF(Data_Engine!$A9="","",Data_Engine!$A9)</f>
        <v>Contract Help Desk</v>
      </c>
      <c r="B9" s="42" t="str">
        <f aca="false">IF($A9="","",Data_Engine!$B9)</f>
        <v>Income</v>
      </c>
      <c r="C9" s="42" t="str">
        <f aca="false">IF($A9="","",Data_Engine!$D9)</f>
        <v>Unallocated</v>
      </c>
      <c r="D9" s="69" t="n">
        <f aca="false">IF($A9="","",Data_Engine!$AD9)</f>
        <v>0</v>
      </c>
      <c r="E9" s="69" t="n">
        <f aca="false">IF($A9="","",Data_Engine!$AE9)</f>
        <v>0</v>
      </c>
      <c r="F9" s="73" t="n">
        <f aca="false">IF($A9="","",$D9-$E9)</f>
        <v>0</v>
      </c>
      <c r="G9" s="72" t="str">
        <f aca="false">IF($A9="","",IF(ROUND($E9,2)=0,"n/a",$F9/ABS($E9)))</f>
        <v>n/a</v>
      </c>
      <c r="H9" s="70" t="n">
        <f aca="false">IF($A9="","",Data_Engine!$AH9)</f>
        <v>0</v>
      </c>
      <c r="I9" s="69" t="n">
        <f aca="false">IF($A9="","",Data_Engine!$AI9)</f>
        <v>0</v>
      </c>
      <c r="J9" s="71" t="n">
        <f aca="false">IF($A9="","",$H9-$I9)</f>
        <v>0</v>
      </c>
      <c r="K9" s="72" t="str">
        <f aca="false">IF($A9="","",IF(ROUND($I9,2)=0,"n/a",$J9/ABS($I9)))</f>
        <v>n/a</v>
      </c>
      <c r="L9" s="69" t="n">
        <f aca="false">IF($A9="","",Data_Engine!$AJ9)</f>
        <v>0</v>
      </c>
      <c r="M9" s="73" t="n">
        <f aca="false">IF($A9="","",IF(Setup!$B$8=0,0,$H9/Setup!$B$8*12))</f>
        <v>0</v>
      </c>
      <c r="N9" s="72" t="str">
        <f aca="false">IF($A9="","",IF(ROUND($L9,2)=0,"n/a",($M9-$L9)/ABS($L9)))</f>
        <v>n/a</v>
      </c>
      <c r="O9" s="76" t="str">
        <f aca="false">IF($A9="","",IF(AND(ROUND($H9,2)=0,ROUND($I9,2)=0),"Dormant",IF(ROUND($I9,2)=0,"New this year",IF(ROUND($H9,2)=0,"Ceased",IF($J9&gt;0,"Increase",IF($J9&lt;0,"Decrease","Flat"))))))</f>
        <v>Dormant</v>
      </c>
      <c r="P9" s="74" t="str">
        <f aca="false">IF($A9="","",IF(AND(ROUND($H9,2)=0,ROUND($I9,2)=0),"No Activity",IF(ABS($J9)&lt;Setup!$B$14,"Low",IF(ROUND($I9,2)=0,"High",IF(OR(ABS($J9/$I9)&gt;=Setup!$B$16,ABS($J9)&gt;=Setup!$B$17),"High",IF(ABS($J9/$I9)&gt;=Setup!$B$15,"Medium","Low"))))))</f>
        <v>No Activity</v>
      </c>
      <c r="Q9" s="57"/>
      <c r="R9" s="75" t="n">
        <f aca="false">IF($A9="",-1000000000000000,IF(ROUND(ABS($J9),0)=0,-1000000000000000,ABS($J9)+ROW()/1000000))</f>
        <v>-1000000000000000</v>
      </c>
    </row>
    <row r="10" customFormat="false" ht="15" hidden="false" customHeight="false" outlineLevel="0" collapsed="false">
      <c r="A10" s="68" t="str">
        <f aca="false">IF(Data_Engine!$A10="","",Data_Engine!$A10)</f>
        <v>Contract Maintenance</v>
      </c>
      <c r="B10" s="42" t="str">
        <f aca="false">IF($A10="","",Data_Engine!$B10)</f>
        <v>Income</v>
      </c>
      <c r="C10" s="42" t="str">
        <f aca="false">IF($A10="","",Data_Engine!$D10)</f>
        <v>Unallocated</v>
      </c>
      <c r="D10" s="69" t="n">
        <f aca="false">IF($A10="","",Data_Engine!$AD10)</f>
        <v>0</v>
      </c>
      <c r="E10" s="69" t="n">
        <f aca="false">IF($A10="","",Data_Engine!$AE10)</f>
        <v>0</v>
      </c>
      <c r="F10" s="73" t="n">
        <f aca="false">IF($A10="","",$D10-$E10)</f>
        <v>0</v>
      </c>
      <c r="G10" s="72" t="str">
        <f aca="false">IF($A10="","",IF(ROUND($E10,2)=0,"n/a",$F10/ABS($E10)))</f>
        <v>n/a</v>
      </c>
      <c r="H10" s="70" t="n">
        <f aca="false">IF($A10="","",Data_Engine!$AH10)</f>
        <v>0</v>
      </c>
      <c r="I10" s="69" t="n">
        <f aca="false">IF($A10="","",Data_Engine!$AI10)</f>
        <v>0</v>
      </c>
      <c r="J10" s="71" t="n">
        <f aca="false">IF($A10="","",$H10-$I10)</f>
        <v>0</v>
      </c>
      <c r="K10" s="72" t="str">
        <f aca="false">IF($A10="","",IF(ROUND($I10,2)=0,"n/a",$J10/ABS($I10)))</f>
        <v>n/a</v>
      </c>
      <c r="L10" s="69" t="n">
        <f aca="false">IF($A10="","",Data_Engine!$AJ10)</f>
        <v>0</v>
      </c>
      <c r="M10" s="73" t="n">
        <f aca="false">IF($A10="","",IF(Setup!$B$8=0,0,$H10/Setup!$B$8*12))</f>
        <v>0</v>
      </c>
      <c r="N10" s="72" t="str">
        <f aca="false">IF($A10="","",IF(ROUND($L10,2)=0,"n/a",($M10-$L10)/ABS($L10)))</f>
        <v>n/a</v>
      </c>
      <c r="O10" s="76" t="str">
        <f aca="false">IF($A10="","",IF(AND(ROUND($H10,2)=0,ROUND($I10,2)=0),"Dormant",IF(ROUND($I10,2)=0,"New this year",IF(ROUND($H10,2)=0,"Ceased",IF($J10&gt;0,"Increase",IF($J10&lt;0,"Decrease","Flat"))))))</f>
        <v>Dormant</v>
      </c>
      <c r="P10" s="74" t="str">
        <f aca="false">IF($A10="","",IF(AND(ROUND($H10,2)=0,ROUND($I10,2)=0),"No Activity",IF(ABS($J10)&lt;Setup!$B$14,"Low",IF(ROUND($I10,2)=0,"High",IF(OR(ABS($J10/$I10)&gt;=Setup!$B$16,ABS($J10)&gt;=Setup!$B$17),"High",IF(ABS($J10/$I10)&gt;=Setup!$B$15,"Medium","Low"))))))</f>
        <v>No Activity</v>
      </c>
      <c r="Q10" s="57"/>
      <c r="R10" s="75" t="n">
        <f aca="false">IF($A10="",-1000000000000000,IF(ROUND(ABS($J10),0)=0,-1000000000000000,ABS($J10)+ROW()/1000000))</f>
        <v>-1000000000000000</v>
      </c>
    </row>
    <row r="11" customFormat="false" ht="15" hidden="false" customHeight="false" outlineLevel="0" collapsed="false">
      <c r="A11" s="68" t="str">
        <f aca="false">IF(Data_Engine!$A11="","",Data_Engine!$A11)</f>
        <v>Contract Support Staff</v>
      </c>
      <c r="B11" s="42" t="str">
        <f aca="false">IF($A11="","",Data_Engine!$B11)</f>
        <v>Income</v>
      </c>
      <c r="C11" s="42" t="str">
        <f aca="false">IF($A11="","",Data_Engine!$D11)</f>
        <v>Unallocated</v>
      </c>
      <c r="D11" s="69" t="n">
        <f aca="false">IF($A11="","",Data_Engine!$AD11)</f>
        <v>0</v>
      </c>
      <c r="E11" s="69" t="n">
        <f aca="false">IF($A11="","",Data_Engine!$AE11)</f>
        <v>0</v>
      </c>
      <c r="F11" s="73" t="n">
        <f aca="false">IF($A11="","",$D11-$E11)</f>
        <v>0</v>
      </c>
      <c r="G11" s="72" t="str">
        <f aca="false">IF($A11="","",IF(ROUND($E11,2)=0,"n/a",$F11/ABS($E11)))</f>
        <v>n/a</v>
      </c>
      <c r="H11" s="70" t="n">
        <f aca="false">IF($A11="","",Data_Engine!$AH11)</f>
        <v>0</v>
      </c>
      <c r="I11" s="69" t="n">
        <f aca="false">IF($A11="","",Data_Engine!$AI11)</f>
        <v>0</v>
      </c>
      <c r="J11" s="71" t="n">
        <f aca="false">IF($A11="","",$H11-$I11)</f>
        <v>0</v>
      </c>
      <c r="K11" s="72" t="str">
        <f aca="false">IF($A11="","",IF(ROUND($I11,2)=0,"n/a",$J11/ABS($I11)))</f>
        <v>n/a</v>
      </c>
      <c r="L11" s="69" t="n">
        <f aca="false">IF($A11="","",Data_Engine!$AJ11)</f>
        <v>0</v>
      </c>
      <c r="M11" s="73" t="n">
        <f aca="false">IF($A11="","",IF(Setup!$B$8=0,0,$H11/Setup!$B$8*12))</f>
        <v>0</v>
      </c>
      <c r="N11" s="72" t="str">
        <f aca="false">IF($A11="","",IF(ROUND($L11,2)=0,"n/a",($M11-$L11)/ABS($L11)))</f>
        <v>n/a</v>
      </c>
      <c r="O11" s="76" t="str">
        <f aca="false">IF($A11="","",IF(AND(ROUND($H11,2)=0,ROUND($I11,2)=0),"Dormant",IF(ROUND($I11,2)=0,"New this year",IF(ROUND($H11,2)=0,"Ceased",IF($J11&gt;0,"Increase",IF($J11&lt;0,"Decrease","Flat"))))))</f>
        <v>Dormant</v>
      </c>
      <c r="P11" s="74" t="str">
        <f aca="false">IF($A11="","",IF(AND(ROUND($H11,2)=0,ROUND($I11,2)=0),"No Activity",IF(ABS($J11)&lt;Setup!$B$14,"Low",IF(ROUND($I11,2)=0,"High",IF(OR(ABS($J11/$I11)&gt;=Setup!$B$16,ABS($J11)&gt;=Setup!$B$17),"High",IF(ABS($J11/$I11)&gt;=Setup!$B$15,"Medium","Low"))))))</f>
        <v>No Activity</v>
      </c>
      <c r="Q11" s="57"/>
      <c r="R11" s="75" t="n">
        <f aca="false">IF($A11="",-1000000000000000,IF(ROUND(ABS($J11),0)=0,-1000000000000000,ABS($J11)+ROW()/1000000))</f>
        <v>-1000000000000000</v>
      </c>
    </row>
    <row r="12" customFormat="false" ht="15" hidden="false" customHeight="false" outlineLevel="0" collapsed="false">
      <c r="A12" s="68" t="str">
        <f aca="false">IF(Data_Engine!$A12="","",Data_Engine!$A12)</f>
        <v>Credit Card Collected - CONS</v>
      </c>
      <c r="B12" s="42" t="str">
        <f aca="false">IF($A12="","",Data_Engine!$B12)</f>
        <v>Income</v>
      </c>
      <c r="C12" s="42" t="str">
        <f aca="false">IF($A12="","",Data_Engine!$D12)</f>
        <v>Consulting</v>
      </c>
      <c r="D12" s="69" t="n">
        <f aca="false">IF($A12="","",Data_Engine!$AD12)</f>
        <v>0</v>
      </c>
      <c r="E12" s="69" t="n">
        <f aca="false">IF($A12="","",Data_Engine!$AE12)</f>
        <v>0</v>
      </c>
      <c r="F12" s="73" t="n">
        <f aca="false">IF($A12="","",$D12-$E12)</f>
        <v>0</v>
      </c>
      <c r="G12" s="72" t="str">
        <f aca="false">IF($A12="","",IF(ROUND($E12,2)=0,"n/a",$F12/ABS($E12)))</f>
        <v>n/a</v>
      </c>
      <c r="H12" s="70" t="n">
        <f aca="false">IF($A12="","",Data_Engine!$AH12)</f>
        <v>0</v>
      </c>
      <c r="I12" s="69" t="n">
        <f aca="false">IF($A12="","",Data_Engine!$AI12)</f>
        <v>0</v>
      </c>
      <c r="J12" s="71" t="n">
        <f aca="false">IF($A12="","",$H12-$I12)</f>
        <v>0</v>
      </c>
      <c r="K12" s="72" t="str">
        <f aca="false">IF($A12="","",IF(ROUND($I12,2)=0,"n/a",$J12/ABS($I12)))</f>
        <v>n/a</v>
      </c>
      <c r="L12" s="69" t="n">
        <f aca="false">IF($A12="","",Data_Engine!$AJ12)</f>
        <v>0</v>
      </c>
      <c r="M12" s="73" t="n">
        <f aca="false">IF($A12="","",IF(Setup!$B$8=0,0,$H12/Setup!$B$8*12))</f>
        <v>0</v>
      </c>
      <c r="N12" s="72" t="str">
        <f aca="false">IF($A12="","",IF(ROUND($L12,2)=0,"n/a",($M12-$L12)/ABS($L12)))</f>
        <v>n/a</v>
      </c>
      <c r="O12" s="76" t="str">
        <f aca="false">IF($A12="","",IF(AND(ROUND($H12,2)=0,ROUND($I12,2)=0),"Dormant",IF(ROUND($I12,2)=0,"New this year",IF(ROUND($H12,2)=0,"Ceased",IF($J12&gt;0,"Increase",IF($J12&lt;0,"Decrease","Flat"))))))</f>
        <v>Dormant</v>
      </c>
      <c r="P12" s="74" t="str">
        <f aca="false">IF($A12="","",IF(AND(ROUND($H12,2)=0,ROUND($I12,2)=0),"No Activity",IF(ABS($J12)&lt;Setup!$B$14,"Low",IF(ROUND($I12,2)=0,"High",IF(OR(ABS($J12/$I12)&gt;=Setup!$B$16,ABS($J12)&gt;=Setup!$B$17),"High",IF(ABS($J12/$I12)&gt;=Setup!$B$15,"Medium","Low"))))))</f>
        <v>No Activity</v>
      </c>
      <c r="Q12" s="57"/>
      <c r="R12" s="75" t="n">
        <f aca="false">IF($A12="",-1000000000000000,IF(ROUND(ABS($J12),0)=0,-1000000000000000,ABS($J12)+ROW()/1000000))</f>
        <v>-1000000000000000</v>
      </c>
    </row>
    <row r="13" customFormat="false" ht="15" hidden="false" customHeight="false" outlineLevel="0" collapsed="false">
      <c r="A13" s="68" t="str">
        <f aca="false">IF(Data_Engine!$A13="","",Data_Engine!$A13)</f>
        <v>Credit Card Collected - ONS</v>
      </c>
      <c r="B13" s="42" t="str">
        <f aca="false">IF($A13="","",Data_Engine!$B13)</f>
        <v>Income</v>
      </c>
      <c r="C13" s="42" t="str">
        <f aca="false">IF($A13="","",Data_Engine!$D13)</f>
        <v>Onsite</v>
      </c>
      <c r="D13" s="69" t="n">
        <f aca="false">IF($A13="","",Data_Engine!$AD13)</f>
        <v>0</v>
      </c>
      <c r="E13" s="69" t="n">
        <f aca="false">IF($A13="","",Data_Engine!$AE13)</f>
        <v>0</v>
      </c>
      <c r="F13" s="73" t="n">
        <f aca="false">IF($A13="","",$D13-$E13)</f>
        <v>0</v>
      </c>
      <c r="G13" s="72" t="str">
        <f aca="false">IF($A13="","",IF(ROUND($E13,2)=0,"n/a",$F13/ABS($E13)))</f>
        <v>n/a</v>
      </c>
      <c r="H13" s="70" t="n">
        <f aca="false">IF($A13="","",Data_Engine!$AH13)</f>
        <v>0</v>
      </c>
      <c r="I13" s="69" t="n">
        <f aca="false">IF($A13="","",Data_Engine!$AI13)</f>
        <v>0</v>
      </c>
      <c r="J13" s="71" t="n">
        <f aca="false">IF($A13="","",$H13-$I13)</f>
        <v>0</v>
      </c>
      <c r="K13" s="72" t="str">
        <f aca="false">IF($A13="","",IF(ROUND($I13,2)=0,"n/a",$J13/ABS($I13)))</f>
        <v>n/a</v>
      </c>
      <c r="L13" s="69" t="n">
        <f aca="false">IF($A13="","",Data_Engine!$AJ13)</f>
        <v>0</v>
      </c>
      <c r="M13" s="73" t="n">
        <f aca="false">IF($A13="","",IF(Setup!$B$8=0,0,$H13/Setup!$B$8*12))</f>
        <v>0</v>
      </c>
      <c r="N13" s="72" t="str">
        <f aca="false">IF($A13="","",IF(ROUND($L13,2)=0,"n/a",($M13-$L13)/ABS($L13)))</f>
        <v>n/a</v>
      </c>
      <c r="O13" s="76" t="str">
        <f aca="false">IF($A13="","",IF(AND(ROUND($H13,2)=0,ROUND($I13,2)=0),"Dormant",IF(ROUND($I13,2)=0,"New this year",IF(ROUND($H13,2)=0,"Ceased",IF($J13&gt;0,"Increase",IF($J13&lt;0,"Decrease","Flat"))))))</f>
        <v>Dormant</v>
      </c>
      <c r="P13" s="74" t="str">
        <f aca="false">IF($A13="","",IF(AND(ROUND($H13,2)=0,ROUND($I13,2)=0),"No Activity",IF(ABS($J13)&lt;Setup!$B$14,"Low",IF(ROUND($I13,2)=0,"High",IF(OR(ABS($J13/$I13)&gt;=Setup!$B$16,ABS($J13)&gt;=Setup!$B$17),"High",IF(ABS($J13/$I13)&gt;=Setup!$B$15,"Medium","Low"))))))</f>
        <v>No Activity</v>
      </c>
      <c r="Q13" s="57"/>
      <c r="R13" s="75" t="n">
        <f aca="false">IF($A13="",-1000000000000000,IF(ROUND(ABS($J13),0)=0,-1000000000000000,ABS($J13)+ROW()/1000000))</f>
        <v>-1000000000000000</v>
      </c>
    </row>
    <row r="14" customFormat="false" ht="15" hidden="false" customHeight="false" outlineLevel="0" collapsed="false">
      <c r="A14" s="68" t="str">
        <f aca="false">IF(Data_Engine!$A14="","",Data_Engine!$A14)</f>
        <v>Credit Card Collected - PRD</v>
      </c>
      <c r="B14" s="42" t="str">
        <f aca="false">IF($A14="","",Data_Engine!$B14)</f>
        <v>Income</v>
      </c>
      <c r="C14" s="42" t="str">
        <f aca="false">IF($A14="","",Data_Engine!$D14)</f>
        <v>Production</v>
      </c>
      <c r="D14" s="69" t="n">
        <f aca="false">IF($A14="","",Data_Engine!$AD14)</f>
        <v>0</v>
      </c>
      <c r="E14" s="69" t="n">
        <f aca="false">IF($A14="","",Data_Engine!$AE14)</f>
        <v>0</v>
      </c>
      <c r="F14" s="73" t="n">
        <f aca="false">IF($A14="","",$D14-$E14)</f>
        <v>0</v>
      </c>
      <c r="G14" s="72" t="str">
        <f aca="false">IF($A14="","",IF(ROUND($E14,2)=0,"n/a",$F14/ABS($E14)))</f>
        <v>n/a</v>
      </c>
      <c r="H14" s="70" t="n">
        <f aca="false">IF($A14="","",Data_Engine!$AH14)</f>
        <v>0</v>
      </c>
      <c r="I14" s="69" t="n">
        <f aca="false">IF($A14="","",Data_Engine!$AI14)</f>
        <v>0</v>
      </c>
      <c r="J14" s="71" t="n">
        <f aca="false">IF($A14="","",$H14-$I14)</f>
        <v>0</v>
      </c>
      <c r="K14" s="72" t="str">
        <f aca="false">IF($A14="","",IF(ROUND($I14,2)=0,"n/a",$J14/ABS($I14)))</f>
        <v>n/a</v>
      </c>
      <c r="L14" s="69" t="n">
        <f aca="false">IF($A14="","",Data_Engine!$AJ14)</f>
        <v>0</v>
      </c>
      <c r="M14" s="73" t="n">
        <f aca="false">IF($A14="","",IF(Setup!$B$8=0,0,$H14/Setup!$B$8*12))</f>
        <v>0</v>
      </c>
      <c r="N14" s="72" t="str">
        <f aca="false">IF($A14="","",IF(ROUND($L14,2)=0,"n/a",($M14-$L14)/ABS($L14)))</f>
        <v>n/a</v>
      </c>
      <c r="O14" s="76" t="str">
        <f aca="false">IF($A14="","",IF(AND(ROUND($H14,2)=0,ROUND($I14,2)=0),"Dormant",IF(ROUND($I14,2)=0,"New this year",IF(ROUND($H14,2)=0,"Ceased",IF($J14&gt;0,"Increase",IF($J14&lt;0,"Decrease","Flat"))))))</f>
        <v>Dormant</v>
      </c>
      <c r="P14" s="74" t="str">
        <f aca="false">IF($A14="","",IF(AND(ROUND($H14,2)=0,ROUND($I14,2)=0),"No Activity",IF(ABS($J14)&lt;Setup!$B$14,"Low",IF(ROUND($I14,2)=0,"High",IF(OR(ABS($J14/$I14)&gt;=Setup!$B$16,ABS($J14)&gt;=Setup!$B$17),"High",IF(ABS($J14/$I14)&gt;=Setup!$B$15,"Medium","Low"))))))</f>
        <v>No Activity</v>
      </c>
      <c r="Q14" s="57"/>
      <c r="R14" s="75" t="n">
        <f aca="false">IF($A14="",-1000000000000000,IF(ROUND(ABS($J14),0)=0,-1000000000000000,ABS($J14)+ROW()/1000000))</f>
        <v>-1000000000000000</v>
      </c>
    </row>
    <row r="15" customFormat="false" ht="15" hidden="false" customHeight="false" outlineLevel="0" collapsed="false">
      <c r="A15" s="68" t="str">
        <f aca="false">IF(Data_Engine!$A15="","",Data_Engine!$A15)</f>
        <v>Credit Card Collected - VID</v>
      </c>
      <c r="B15" s="42" t="str">
        <f aca="false">IF($A15="","",Data_Engine!$B15)</f>
        <v>Income</v>
      </c>
      <c r="C15" s="42" t="str">
        <f aca="false">IF($A15="","",Data_Engine!$D15)</f>
        <v>Video</v>
      </c>
      <c r="D15" s="69" t="n">
        <f aca="false">IF($A15="","",Data_Engine!$AD15)</f>
        <v>0</v>
      </c>
      <c r="E15" s="69" t="n">
        <f aca="false">IF($A15="","",Data_Engine!$AE15)</f>
        <v>0</v>
      </c>
      <c r="F15" s="73" t="n">
        <f aca="false">IF($A15="","",$D15-$E15)</f>
        <v>0</v>
      </c>
      <c r="G15" s="72" t="str">
        <f aca="false">IF($A15="","",IF(ROUND($E15,2)=0,"n/a",$F15/ABS($E15)))</f>
        <v>n/a</v>
      </c>
      <c r="H15" s="70" t="n">
        <f aca="false">IF($A15="","",Data_Engine!$AH15)</f>
        <v>0</v>
      </c>
      <c r="I15" s="69" t="n">
        <f aca="false">IF($A15="","",Data_Engine!$AI15)</f>
        <v>0</v>
      </c>
      <c r="J15" s="71" t="n">
        <f aca="false">IF($A15="","",$H15-$I15)</f>
        <v>0</v>
      </c>
      <c r="K15" s="72" t="str">
        <f aca="false">IF($A15="","",IF(ROUND($I15,2)=0,"n/a",$J15/ABS($I15)))</f>
        <v>n/a</v>
      </c>
      <c r="L15" s="69" t="n">
        <f aca="false">IF($A15="","",Data_Engine!$AJ15)</f>
        <v>0</v>
      </c>
      <c r="M15" s="73" t="n">
        <f aca="false">IF($A15="","",IF(Setup!$B$8=0,0,$H15/Setup!$B$8*12))</f>
        <v>0</v>
      </c>
      <c r="N15" s="72" t="str">
        <f aca="false">IF($A15="","",IF(ROUND($L15,2)=0,"n/a",($M15-$L15)/ABS($L15)))</f>
        <v>n/a</v>
      </c>
      <c r="O15" s="76" t="str">
        <f aca="false">IF($A15="","",IF(AND(ROUND($H15,2)=0,ROUND($I15,2)=0),"Dormant",IF(ROUND($I15,2)=0,"New this year",IF(ROUND($H15,2)=0,"Ceased",IF($J15&gt;0,"Increase",IF($J15&lt;0,"Decrease","Flat"))))))</f>
        <v>Dormant</v>
      </c>
      <c r="P15" s="74" t="str">
        <f aca="false">IF($A15="","",IF(AND(ROUND($H15,2)=0,ROUND($I15,2)=0),"No Activity",IF(ABS($J15)&lt;Setup!$B$14,"Low",IF(ROUND($I15,2)=0,"High",IF(OR(ABS($J15/$I15)&gt;=Setup!$B$16,ABS($J15)&gt;=Setup!$B$17),"High",IF(ABS($J15/$I15)&gt;=Setup!$B$15,"Medium","Low"))))))</f>
        <v>No Activity</v>
      </c>
      <c r="Q15" s="57"/>
      <c r="R15" s="75" t="n">
        <f aca="false">IF($A15="",-1000000000000000,IF(ROUND(ABS($J15),0)=0,-1000000000000000,ABS($J15)+ROW()/1000000))</f>
        <v>-1000000000000000</v>
      </c>
    </row>
    <row r="16" customFormat="false" ht="15" hidden="false" customHeight="false" outlineLevel="0" collapsed="false">
      <c r="A16" s="68" t="str">
        <f aca="false">IF(Data_Engine!$A16="","",Data_Engine!$A16)</f>
        <v>Credit Card Collected-INTEGRATION</v>
      </c>
      <c r="B16" s="42" t="str">
        <f aca="false">IF($A16="","",Data_Engine!$B16)</f>
        <v>Income</v>
      </c>
      <c r="C16" s="42" t="str">
        <f aca="false">IF($A16="","",Data_Engine!$D16)</f>
        <v>Integration</v>
      </c>
      <c r="D16" s="69" t="n">
        <f aca="false">IF($A16="","",Data_Engine!$AD16)</f>
        <v>0</v>
      </c>
      <c r="E16" s="69" t="n">
        <f aca="false">IF($A16="","",Data_Engine!$AE16)</f>
        <v>0</v>
      </c>
      <c r="F16" s="73" t="n">
        <f aca="false">IF($A16="","",$D16-$E16)</f>
        <v>0</v>
      </c>
      <c r="G16" s="72" t="str">
        <f aca="false">IF($A16="","",IF(ROUND($E16,2)=0,"n/a",$F16/ABS($E16)))</f>
        <v>n/a</v>
      </c>
      <c r="H16" s="70" t="n">
        <f aca="false">IF($A16="","",Data_Engine!$AH16)</f>
        <v>0</v>
      </c>
      <c r="I16" s="69" t="n">
        <f aca="false">IF($A16="","",Data_Engine!$AI16)</f>
        <v>0</v>
      </c>
      <c r="J16" s="71" t="n">
        <f aca="false">IF($A16="","",$H16-$I16)</f>
        <v>0</v>
      </c>
      <c r="K16" s="72" t="str">
        <f aca="false">IF($A16="","",IF(ROUND($I16,2)=0,"n/a",$J16/ABS($I16)))</f>
        <v>n/a</v>
      </c>
      <c r="L16" s="69" t="n">
        <f aca="false">IF($A16="","",Data_Engine!$AJ16)</f>
        <v>0</v>
      </c>
      <c r="M16" s="73" t="n">
        <f aca="false">IF($A16="","",IF(Setup!$B$8=0,0,$H16/Setup!$B$8*12))</f>
        <v>0</v>
      </c>
      <c r="N16" s="72" t="str">
        <f aca="false">IF($A16="","",IF(ROUND($L16,2)=0,"n/a",($M16-$L16)/ABS($L16)))</f>
        <v>n/a</v>
      </c>
      <c r="O16" s="76" t="str">
        <f aca="false">IF($A16="","",IF(AND(ROUND($H16,2)=0,ROUND($I16,2)=0),"Dormant",IF(ROUND($I16,2)=0,"New this year",IF(ROUND($H16,2)=0,"Ceased",IF($J16&gt;0,"Increase",IF($J16&lt;0,"Decrease","Flat"))))))</f>
        <v>Dormant</v>
      </c>
      <c r="P16" s="74" t="str">
        <f aca="false">IF($A16="","",IF(AND(ROUND($H16,2)=0,ROUND($I16,2)=0),"No Activity",IF(ABS($J16)&lt;Setup!$B$14,"Low",IF(ROUND($I16,2)=0,"High",IF(OR(ABS($J16/$I16)&gt;=Setup!$B$16,ABS($J16)&gt;=Setup!$B$17),"High",IF(ABS($J16/$I16)&gt;=Setup!$B$15,"Medium","Low"))))))</f>
        <v>No Activity</v>
      </c>
      <c r="Q16" s="57"/>
      <c r="R16" s="75" t="n">
        <f aca="false">IF($A16="",-1000000000000000,IF(ROUND(ABS($J16),0)=0,-1000000000000000,ABS($J16)+ROW()/1000000))</f>
        <v>-1000000000000000</v>
      </c>
    </row>
    <row r="17" customFormat="false" ht="15" hidden="false" customHeight="false" outlineLevel="0" collapsed="false">
      <c r="A17" s="68" t="str">
        <f aca="false">IF(Data_Engine!$A17="","",Data_Engine!$A17)</f>
        <v>Credit Card Fees - ADMIN</v>
      </c>
      <c r="B17" s="42" t="str">
        <f aca="false">IF($A17="","",Data_Engine!$B17)</f>
        <v>Income</v>
      </c>
      <c r="C17" s="42" t="str">
        <f aca="false">IF($A17="","",Data_Engine!$D17)</f>
        <v>Admin</v>
      </c>
      <c r="D17" s="69" t="n">
        <f aca="false">IF($A17="","",Data_Engine!$AD17)</f>
        <v>0</v>
      </c>
      <c r="E17" s="69" t="n">
        <f aca="false">IF($A17="","",Data_Engine!$AE17)</f>
        <v>0</v>
      </c>
      <c r="F17" s="73" t="n">
        <f aca="false">IF($A17="","",$D17-$E17)</f>
        <v>0</v>
      </c>
      <c r="G17" s="72" t="str">
        <f aca="false">IF($A17="","",IF(ROUND($E17,2)=0,"n/a",$F17/ABS($E17)))</f>
        <v>n/a</v>
      </c>
      <c r="H17" s="70" t="n">
        <f aca="false">IF($A17="","",Data_Engine!$AH17)</f>
        <v>0</v>
      </c>
      <c r="I17" s="69" t="n">
        <f aca="false">IF($A17="","",Data_Engine!$AI17)</f>
        <v>0</v>
      </c>
      <c r="J17" s="71" t="n">
        <f aca="false">IF($A17="","",$H17-$I17)</f>
        <v>0</v>
      </c>
      <c r="K17" s="72" t="str">
        <f aca="false">IF($A17="","",IF(ROUND($I17,2)=0,"n/a",$J17/ABS($I17)))</f>
        <v>n/a</v>
      </c>
      <c r="L17" s="69" t="n">
        <f aca="false">IF($A17="","",Data_Engine!$AJ17)</f>
        <v>0</v>
      </c>
      <c r="M17" s="73" t="n">
        <f aca="false">IF($A17="","",IF(Setup!$B$8=0,0,$H17/Setup!$B$8*12))</f>
        <v>0</v>
      </c>
      <c r="N17" s="72" t="str">
        <f aca="false">IF($A17="","",IF(ROUND($L17,2)=0,"n/a",($M17-$L17)/ABS($L17)))</f>
        <v>n/a</v>
      </c>
      <c r="O17" s="76" t="str">
        <f aca="false">IF($A17="","",IF(AND(ROUND($H17,2)=0,ROUND($I17,2)=0),"Dormant",IF(ROUND($I17,2)=0,"New this year",IF(ROUND($H17,2)=0,"Ceased",IF($J17&gt;0,"Increase",IF($J17&lt;0,"Decrease","Flat"))))))</f>
        <v>Dormant</v>
      </c>
      <c r="P17" s="74" t="str">
        <f aca="false">IF($A17="","",IF(AND(ROUND($H17,2)=0,ROUND($I17,2)=0),"No Activity",IF(ABS($J17)&lt;Setup!$B$14,"Low",IF(ROUND($I17,2)=0,"High",IF(OR(ABS($J17/$I17)&gt;=Setup!$B$16,ABS($J17)&gt;=Setup!$B$17),"High",IF(ABS($J17/$I17)&gt;=Setup!$B$15,"Medium","Low"))))))</f>
        <v>No Activity</v>
      </c>
      <c r="Q17" s="57"/>
      <c r="R17" s="75" t="n">
        <f aca="false">IF($A17="",-1000000000000000,IF(ROUND(ABS($J17),0)=0,-1000000000000000,ABS($J17)+ROW()/1000000))</f>
        <v>-1000000000000000</v>
      </c>
    </row>
    <row r="18" customFormat="false" ht="15" hidden="false" customHeight="false" outlineLevel="0" collapsed="false">
      <c r="A18" s="68" t="str">
        <f aca="false">IF(Data_Engine!$A18="","",Data_Engine!$A18)</f>
        <v>Equipment Hires</v>
      </c>
      <c r="B18" s="42" t="str">
        <f aca="false">IF($A18="","",Data_Engine!$B18)</f>
        <v>Income</v>
      </c>
      <c r="C18" s="42" t="str">
        <f aca="false">IF($A18="","",Data_Engine!$D18)</f>
        <v>Unallocated</v>
      </c>
      <c r="D18" s="69" t="n">
        <f aca="false">IF($A18="","",Data_Engine!$AD18)</f>
        <v>0</v>
      </c>
      <c r="E18" s="69" t="n">
        <f aca="false">IF($A18="","",Data_Engine!$AE18)</f>
        <v>0</v>
      </c>
      <c r="F18" s="73" t="n">
        <f aca="false">IF($A18="","",$D18-$E18)</f>
        <v>0</v>
      </c>
      <c r="G18" s="72" t="str">
        <f aca="false">IF($A18="","",IF(ROUND($E18,2)=0,"n/a",$F18/ABS($E18)))</f>
        <v>n/a</v>
      </c>
      <c r="H18" s="70" t="n">
        <f aca="false">IF($A18="","",Data_Engine!$AH18)</f>
        <v>0</v>
      </c>
      <c r="I18" s="69" t="n">
        <f aca="false">IF($A18="","",Data_Engine!$AI18)</f>
        <v>0</v>
      </c>
      <c r="J18" s="71" t="n">
        <f aca="false">IF($A18="","",$H18-$I18)</f>
        <v>0</v>
      </c>
      <c r="K18" s="72" t="str">
        <f aca="false">IF($A18="","",IF(ROUND($I18,2)=0,"n/a",$J18/ABS($I18)))</f>
        <v>n/a</v>
      </c>
      <c r="L18" s="69" t="n">
        <f aca="false">IF($A18="","",Data_Engine!$AJ18)</f>
        <v>0</v>
      </c>
      <c r="M18" s="73" t="n">
        <f aca="false">IF($A18="","",IF(Setup!$B$8=0,0,$H18/Setup!$B$8*12))</f>
        <v>0</v>
      </c>
      <c r="N18" s="72" t="str">
        <f aca="false">IF($A18="","",IF(ROUND($L18,2)=0,"n/a",($M18-$L18)/ABS($L18)))</f>
        <v>n/a</v>
      </c>
      <c r="O18" s="76" t="str">
        <f aca="false">IF($A18="","",IF(AND(ROUND($H18,2)=0,ROUND($I18,2)=0),"Dormant",IF(ROUND($I18,2)=0,"New this year",IF(ROUND($H18,2)=0,"Ceased",IF($J18&gt;0,"Increase",IF($J18&lt;0,"Decrease","Flat"))))))</f>
        <v>Dormant</v>
      </c>
      <c r="P18" s="74" t="str">
        <f aca="false">IF($A18="","",IF(AND(ROUND($H18,2)=0,ROUND($I18,2)=0),"No Activity",IF(ABS($J18)&lt;Setup!$B$14,"Low",IF(ROUND($I18,2)=0,"High",IF(OR(ABS($J18/$I18)&gt;=Setup!$B$16,ABS($J18)&gt;=Setup!$B$17),"High",IF(ABS($J18/$I18)&gt;=Setup!$B$15,"Medium","Low"))))))</f>
        <v>No Activity</v>
      </c>
      <c r="Q18" s="57"/>
      <c r="R18" s="75" t="n">
        <f aca="false">IF($A18="",-1000000000000000,IF(ROUND(ABS($J18),0)=0,-1000000000000000,ABS($J18)+ROW()/1000000))</f>
        <v>-1000000000000000</v>
      </c>
    </row>
    <row r="19" customFormat="false" ht="15" hidden="false" customHeight="false" outlineLevel="0" collapsed="false">
      <c r="A19" s="68" t="str">
        <f aca="false">IF(Data_Engine!$A19="","",Data_Engine!$A19)</f>
        <v>Equipment Sales</v>
      </c>
      <c r="B19" s="42" t="str">
        <f aca="false">IF($A19="","",Data_Engine!$B19)</f>
        <v>Income</v>
      </c>
      <c r="C19" s="42" t="str">
        <f aca="false">IF($A19="","",Data_Engine!$D19)</f>
        <v>Unallocated</v>
      </c>
      <c r="D19" s="69" t="n">
        <f aca="false">IF($A19="","",Data_Engine!$AD19)</f>
        <v>0</v>
      </c>
      <c r="E19" s="69" t="n">
        <f aca="false">IF($A19="","",Data_Engine!$AE19)</f>
        <v>0</v>
      </c>
      <c r="F19" s="73" t="n">
        <f aca="false">IF($A19="","",$D19-$E19)</f>
        <v>0</v>
      </c>
      <c r="G19" s="72" t="str">
        <f aca="false">IF($A19="","",IF(ROUND($E19,2)=0,"n/a",$F19/ABS($E19)))</f>
        <v>n/a</v>
      </c>
      <c r="H19" s="70" t="n">
        <f aca="false">IF($A19="","",Data_Engine!$AH19)</f>
        <v>0</v>
      </c>
      <c r="I19" s="69" t="n">
        <f aca="false">IF($A19="","",Data_Engine!$AI19)</f>
        <v>0</v>
      </c>
      <c r="J19" s="71" t="n">
        <f aca="false">IF($A19="","",$H19-$I19)</f>
        <v>0</v>
      </c>
      <c r="K19" s="72" t="str">
        <f aca="false">IF($A19="","",IF(ROUND($I19,2)=0,"n/a",$J19/ABS($I19)))</f>
        <v>n/a</v>
      </c>
      <c r="L19" s="69" t="n">
        <f aca="false">IF($A19="","",Data_Engine!$AJ19)</f>
        <v>0</v>
      </c>
      <c r="M19" s="73" t="n">
        <f aca="false">IF($A19="","",IF(Setup!$B$8=0,0,$H19/Setup!$B$8*12))</f>
        <v>0</v>
      </c>
      <c r="N19" s="72" t="str">
        <f aca="false">IF($A19="","",IF(ROUND($L19,2)=0,"n/a",($M19-$L19)/ABS($L19)))</f>
        <v>n/a</v>
      </c>
      <c r="O19" s="76" t="str">
        <f aca="false">IF($A19="","",IF(AND(ROUND($H19,2)=0,ROUND($I19,2)=0),"Dormant",IF(ROUND($I19,2)=0,"New this year",IF(ROUND($H19,2)=0,"Ceased",IF($J19&gt;0,"Increase",IF($J19&lt;0,"Decrease","Flat"))))))</f>
        <v>Dormant</v>
      </c>
      <c r="P19" s="74" t="str">
        <f aca="false">IF($A19="","",IF(AND(ROUND($H19,2)=0,ROUND($I19,2)=0),"No Activity",IF(ABS($J19)&lt;Setup!$B$14,"Low",IF(ROUND($I19,2)=0,"High",IF(OR(ABS($J19/$I19)&gt;=Setup!$B$16,ABS($J19)&gt;=Setup!$B$17),"High",IF(ABS($J19/$I19)&gt;=Setup!$B$15,"Medium","Low"))))))</f>
        <v>No Activity</v>
      </c>
      <c r="Q19" s="57"/>
      <c r="R19" s="75" t="n">
        <f aca="false">IF($A19="",-1000000000000000,IF(ROUND(ABS($J19),0)=0,-1000000000000000,ABS($J19)+ROW()/1000000))</f>
        <v>-1000000000000000</v>
      </c>
    </row>
    <row r="20" customFormat="false" ht="15" hidden="false" customHeight="false" outlineLevel="0" collapsed="false">
      <c r="A20" s="68" t="str">
        <f aca="false">IF(Data_Engine!$A20="","",Data_Engine!$A20)</f>
        <v>Freight &amp; Travel - ADMIN</v>
      </c>
      <c r="B20" s="42" t="str">
        <f aca="false">IF($A20="","",Data_Engine!$B20)</f>
        <v>Income</v>
      </c>
      <c r="C20" s="42" t="str">
        <f aca="false">IF($A20="","",Data_Engine!$D20)</f>
        <v>Admin</v>
      </c>
      <c r="D20" s="69" t="n">
        <f aca="false">IF($A20="","",Data_Engine!$AD20)</f>
        <v>0</v>
      </c>
      <c r="E20" s="69" t="n">
        <f aca="false">IF($A20="","",Data_Engine!$AE20)</f>
        <v>0</v>
      </c>
      <c r="F20" s="73" t="n">
        <f aca="false">IF($A20="","",$D20-$E20)</f>
        <v>0</v>
      </c>
      <c r="G20" s="72" t="str">
        <f aca="false">IF($A20="","",IF(ROUND($E20,2)=0,"n/a",$F20/ABS($E20)))</f>
        <v>n/a</v>
      </c>
      <c r="H20" s="70" t="n">
        <f aca="false">IF($A20="","",Data_Engine!$AH20)</f>
        <v>0</v>
      </c>
      <c r="I20" s="69" t="n">
        <f aca="false">IF($A20="","",Data_Engine!$AI20)</f>
        <v>0</v>
      </c>
      <c r="J20" s="71" t="n">
        <f aca="false">IF($A20="","",$H20-$I20)</f>
        <v>0</v>
      </c>
      <c r="K20" s="72" t="str">
        <f aca="false">IF($A20="","",IF(ROUND($I20,2)=0,"n/a",$J20/ABS($I20)))</f>
        <v>n/a</v>
      </c>
      <c r="L20" s="69" t="n">
        <f aca="false">IF($A20="","",Data_Engine!$AJ20)</f>
        <v>0</v>
      </c>
      <c r="M20" s="73" t="n">
        <f aca="false">IF($A20="","",IF(Setup!$B$8=0,0,$H20/Setup!$B$8*12))</f>
        <v>0</v>
      </c>
      <c r="N20" s="72" t="str">
        <f aca="false">IF($A20="","",IF(ROUND($L20,2)=0,"n/a",($M20-$L20)/ABS($L20)))</f>
        <v>n/a</v>
      </c>
      <c r="O20" s="76" t="str">
        <f aca="false">IF($A20="","",IF(AND(ROUND($H20,2)=0,ROUND($I20,2)=0),"Dormant",IF(ROUND($I20,2)=0,"New this year",IF(ROUND($H20,2)=0,"Ceased",IF($J20&gt;0,"Increase",IF($J20&lt;0,"Decrease","Flat"))))))</f>
        <v>Dormant</v>
      </c>
      <c r="P20" s="74" t="str">
        <f aca="false">IF($A20="","",IF(AND(ROUND($H20,2)=0,ROUND($I20,2)=0),"No Activity",IF(ABS($J20)&lt;Setup!$B$14,"Low",IF(ROUND($I20,2)=0,"High",IF(OR(ABS($J20/$I20)&gt;=Setup!$B$16,ABS($J20)&gt;=Setup!$B$17),"High",IF(ABS($J20/$I20)&gt;=Setup!$B$15,"Medium","Low"))))))</f>
        <v>No Activity</v>
      </c>
      <c r="Q20" s="57"/>
      <c r="R20" s="75" t="n">
        <f aca="false">IF($A20="",-1000000000000000,IF(ROUND(ABS($J20),0)=0,-1000000000000000,ABS($J20)+ROW()/1000000))</f>
        <v>-1000000000000000</v>
      </c>
    </row>
    <row r="21" customFormat="false" ht="15" hidden="false" customHeight="false" outlineLevel="0" collapsed="false">
      <c r="A21" s="68" t="str">
        <f aca="false">IF(Data_Engine!$A21="","",Data_Engine!$A21)</f>
        <v>Freight &amp; Travel - CONS</v>
      </c>
      <c r="B21" s="42" t="str">
        <f aca="false">IF($A21="","",Data_Engine!$B21)</f>
        <v>Income</v>
      </c>
      <c r="C21" s="42" t="str">
        <f aca="false">IF($A21="","",Data_Engine!$D21)</f>
        <v>Consulting</v>
      </c>
      <c r="D21" s="69" t="n">
        <f aca="false">IF($A21="","",Data_Engine!$AD21)</f>
        <v>0</v>
      </c>
      <c r="E21" s="69" t="n">
        <f aca="false">IF($A21="","",Data_Engine!$AE21)</f>
        <v>0</v>
      </c>
      <c r="F21" s="73" t="n">
        <f aca="false">IF($A21="","",$D21-$E21)</f>
        <v>0</v>
      </c>
      <c r="G21" s="72" t="str">
        <f aca="false">IF($A21="","",IF(ROUND($E21,2)=0,"n/a",$F21/ABS($E21)))</f>
        <v>n/a</v>
      </c>
      <c r="H21" s="70" t="n">
        <f aca="false">IF($A21="","",Data_Engine!$AH21)</f>
        <v>0</v>
      </c>
      <c r="I21" s="69" t="n">
        <f aca="false">IF($A21="","",Data_Engine!$AI21)</f>
        <v>0</v>
      </c>
      <c r="J21" s="71" t="n">
        <f aca="false">IF($A21="","",$H21-$I21)</f>
        <v>0</v>
      </c>
      <c r="K21" s="72" t="str">
        <f aca="false">IF($A21="","",IF(ROUND($I21,2)=0,"n/a",$J21/ABS($I21)))</f>
        <v>n/a</v>
      </c>
      <c r="L21" s="69" t="n">
        <f aca="false">IF($A21="","",Data_Engine!$AJ21)</f>
        <v>0</v>
      </c>
      <c r="M21" s="73" t="n">
        <f aca="false">IF($A21="","",IF(Setup!$B$8=0,0,$H21/Setup!$B$8*12))</f>
        <v>0</v>
      </c>
      <c r="N21" s="72" t="str">
        <f aca="false">IF($A21="","",IF(ROUND($L21,2)=0,"n/a",($M21-$L21)/ABS($L21)))</f>
        <v>n/a</v>
      </c>
      <c r="O21" s="76" t="str">
        <f aca="false">IF($A21="","",IF(AND(ROUND($H21,2)=0,ROUND($I21,2)=0),"Dormant",IF(ROUND($I21,2)=0,"New this year",IF(ROUND($H21,2)=0,"Ceased",IF($J21&gt;0,"Increase",IF($J21&lt;0,"Decrease","Flat"))))))</f>
        <v>Dormant</v>
      </c>
      <c r="P21" s="74" t="str">
        <f aca="false">IF($A21="","",IF(AND(ROUND($H21,2)=0,ROUND($I21,2)=0),"No Activity",IF(ABS($J21)&lt;Setup!$B$14,"Low",IF(ROUND($I21,2)=0,"High",IF(OR(ABS($J21/$I21)&gt;=Setup!$B$16,ABS($J21)&gt;=Setup!$B$17),"High",IF(ABS($J21/$I21)&gt;=Setup!$B$15,"Medium","Low"))))))</f>
        <v>No Activity</v>
      </c>
      <c r="Q21" s="57"/>
      <c r="R21" s="75" t="n">
        <f aca="false">IF($A21="",-1000000000000000,IF(ROUND(ABS($J21),0)=0,-1000000000000000,ABS($J21)+ROW()/1000000))</f>
        <v>-1000000000000000</v>
      </c>
    </row>
    <row r="22" customFormat="false" ht="15" hidden="false" customHeight="false" outlineLevel="0" collapsed="false">
      <c r="A22" s="68" t="str">
        <f aca="false">IF(Data_Engine!$A22="","",Data_Engine!$A22)</f>
        <v>Freight &amp; Travel - INTEGRATION</v>
      </c>
      <c r="B22" s="42" t="str">
        <f aca="false">IF($A22="","",Data_Engine!$B22)</f>
        <v>Income</v>
      </c>
      <c r="C22" s="42" t="str">
        <f aca="false">IF($A22="","",Data_Engine!$D22)</f>
        <v>Integration</v>
      </c>
      <c r="D22" s="69" t="n">
        <f aca="false">IF($A22="","",Data_Engine!$AD22)</f>
        <v>0</v>
      </c>
      <c r="E22" s="69" t="n">
        <f aca="false">IF($A22="","",Data_Engine!$AE22)</f>
        <v>0</v>
      </c>
      <c r="F22" s="73" t="n">
        <f aca="false">IF($A22="","",$D22-$E22)</f>
        <v>0</v>
      </c>
      <c r="G22" s="72" t="str">
        <f aca="false">IF($A22="","",IF(ROUND($E22,2)=0,"n/a",$F22/ABS($E22)))</f>
        <v>n/a</v>
      </c>
      <c r="H22" s="70" t="n">
        <f aca="false">IF($A22="","",Data_Engine!$AH22)</f>
        <v>0</v>
      </c>
      <c r="I22" s="69" t="n">
        <f aca="false">IF($A22="","",Data_Engine!$AI22)</f>
        <v>0</v>
      </c>
      <c r="J22" s="71" t="n">
        <f aca="false">IF($A22="","",$H22-$I22)</f>
        <v>0</v>
      </c>
      <c r="K22" s="72" t="str">
        <f aca="false">IF($A22="","",IF(ROUND($I22,2)=0,"n/a",$J22/ABS($I22)))</f>
        <v>n/a</v>
      </c>
      <c r="L22" s="69" t="n">
        <f aca="false">IF($A22="","",Data_Engine!$AJ22)</f>
        <v>0</v>
      </c>
      <c r="M22" s="73" t="n">
        <f aca="false">IF($A22="","",IF(Setup!$B$8=0,0,$H22/Setup!$B$8*12))</f>
        <v>0</v>
      </c>
      <c r="N22" s="72" t="str">
        <f aca="false">IF($A22="","",IF(ROUND($L22,2)=0,"n/a",($M22-$L22)/ABS($L22)))</f>
        <v>n/a</v>
      </c>
      <c r="O22" s="76" t="str">
        <f aca="false">IF($A22="","",IF(AND(ROUND($H22,2)=0,ROUND($I22,2)=0),"Dormant",IF(ROUND($I22,2)=0,"New this year",IF(ROUND($H22,2)=0,"Ceased",IF($J22&gt;0,"Increase",IF($J22&lt;0,"Decrease","Flat"))))))</f>
        <v>Dormant</v>
      </c>
      <c r="P22" s="74" t="str">
        <f aca="false">IF($A22="","",IF(AND(ROUND($H22,2)=0,ROUND($I22,2)=0),"No Activity",IF(ABS($J22)&lt;Setup!$B$14,"Low",IF(ROUND($I22,2)=0,"High",IF(OR(ABS($J22/$I22)&gt;=Setup!$B$16,ABS($J22)&gt;=Setup!$B$17),"High",IF(ABS($J22/$I22)&gt;=Setup!$B$15,"Medium","Low"))))))</f>
        <v>No Activity</v>
      </c>
      <c r="Q22" s="57"/>
      <c r="R22" s="75" t="n">
        <f aca="false">IF($A22="",-1000000000000000,IF(ROUND(ABS($J22),0)=0,-1000000000000000,ABS($J22)+ROW()/1000000))</f>
        <v>-1000000000000000</v>
      </c>
    </row>
    <row r="23" customFormat="false" ht="15" hidden="false" customHeight="false" outlineLevel="0" collapsed="false">
      <c r="A23" s="68" t="str">
        <f aca="false">IF(Data_Engine!$A23="","",Data_Engine!$A23)</f>
        <v>Freight &amp; Travel - ONS</v>
      </c>
      <c r="B23" s="42" t="str">
        <f aca="false">IF($A23="","",Data_Engine!$B23)</f>
        <v>Income</v>
      </c>
      <c r="C23" s="42" t="str">
        <f aca="false">IF($A23="","",Data_Engine!$D23)</f>
        <v>Onsite</v>
      </c>
      <c r="D23" s="69" t="n">
        <f aca="false">IF($A23="","",Data_Engine!$AD23)</f>
        <v>0</v>
      </c>
      <c r="E23" s="69" t="n">
        <f aca="false">IF($A23="","",Data_Engine!$AE23)</f>
        <v>0</v>
      </c>
      <c r="F23" s="73" t="n">
        <f aca="false">IF($A23="","",$D23-$E23)</f>
        <v>0</v>
      </c>
      <c r="G23" s="72" t="str">
        <f aca="false">IF($A23="","",IF(ROUND($E23,2)=0,"n/a",$F23/ABS($E23)))</f>
        <v>n/a</v>
      </c>
      <c r="H23" s="70" t="n">
        <f aca="false">IF($A23="","",Data_Engine!$AH23)</f>
        <v>0</v>
      </c>
      <c r="I23" s="69" t="n">
        <f aca="false">IF($A23="","",Data_Engine!$AI23)</f>
        <v>0</v>
      </c>
      <c r="J23" s="71" t="n">
        <f aca="false">IF($A23="","",$H23-$I23)</f>
        <v>0</v>
      </c>
      <c r="K23" s="72" t="str">
        <f aca="false">IF($A23="","",IF(ROUND($I23,2)=0,"n/a",$J23/ABS($I23)))</f>
        <v>n/a</v>
      </c>
      <c r="L23" s="69" t="n">
        <f aca="false">IF($A23="","",Data_Engine!$AJ23)</f>
        <v>0</v>
      </c>
      <c r="M23" s="73" t="n">
        <f aca="false">IF($A23="","",IF(Setup!$B$8=0,0,$H23/Setup!$B$8*12))</f>
        <v>0</v>
      </c>
      <c r="N23" s="72" t="str">
        <f aca="false">IF($A23="","",IF(ROUND($L23,2)=0,"n/a",($M23-$L23)/ABS($L23)))</f>
        <v>n/a</v>
      </c>
      <c r="O23" s="76" t="str">
        <f aca="false">IF($A23="","",IF(AND(ROUND($H23,2)=0,ROUND($I23,2)=0),"Dormant",IF(ROUND($I23,2)=0,"New this year",IF(ROUND($H23,2)=0,"Ceased",IF($J23&gt;0,"Increase",IF($J23&lt;0,"Decrease","Flat"))))))</f>
        <v>Dormant</v>
      </c>
      <c r="P23" s="74" t="str">
        <f aca="false">IF($A23="","",IF(AND(ROUND($H23,2)=0,ROUND($I23,2)=0),"No Activity",IF(ABS($J23)&lt;Setup!$B$14,"Low",IF(ROUND($I23,2)=0,"High",IF(OR(ABS($J23/$I23)&gt;=Setup!$B$16,ABS($J23)&gt;=Setup!$B$17),"High",IF(ABS($J23/$I23)&gt;=Setup!$B$15,"Medium","Low"))))))</f>
        <v>No Activity</v>
      </c>
      <c r="Q23" s="57"/>
      <c r="R23" s="75" t="n">
        <f aca="false">IF($A23="",-1000000000000000,IF(ROUND(ABS($J23),0)=0,-1000000000000000,ABS($J23)+ROW()/1000000))</f>
        <v>-1000000000000000</v>
      </c>
    </row>
    <row r="24" customFormat="false" ht="15" hidden="false" customHeight="false" outlineLevel="0" collapsed="false">
      <c r="A24" s="68" t="str">
        <f aca="false">IF(Data_Engine!$A24="","",Data_Engine!$A24)</f>
        <v>Freight &amp; Travel - PRD</v>
      </c>
      <c r="B24" s="42" t="str">
        <f aca="false">IF($A24="","",Data_Engine!$B24)</f>
        <v>Income</v>
      </c>
      <c r="C24" s="42" t="str">
        <f aca="false">IF($A24="","",Data_Engine!$D24)</f>
        <v>Production</v>
      </c>
      <c r="D24" s="69" t="n">
        <f aca="false">IF($A24="","",Data_Engine!$AD24)</f>
        <v>0</v>
      </c>
      <c r="E24" s="69" t="n">
        <f aca="false">IF($A24="","",Data_Engine!$AE24)</f>
        <v>0</v>
      </c>
      <c r="F24" s="73" t="n">
        <f aca="false">IF($A24="","",$D24-$E24)</f>
        <v>0</v>
      </c>
      <c r="G24" s="72" t="str">
        <f aca="false">IF($A24="","",IF(ROUND($E24,2)=0,"n/a",$F24/ABS($E24)))</f>
        <v>n/a</v>
      </c>
      <c r="H24" s="70" t="n">
        <f aca="false">IF($A24="","",Data_Engine!$AH24)</f>
        <v>0</v>
      </c>
      <c r="I24" s="69" t="n">
        <f aca="false">IF($A24="","",Data_Engine!$AI24)</f>
        <v>0</v>
      </c>
      <c r="J24" s="71" t="n">
        <f aca="false">IF($A24="","",$H24-$I24)</f>
        <v>0</v>
      </c>
      <c r="K24" s="72" t="str">
        <f aca="false">IF($A24="","",IF(ROUND($I24,2)=0,"n/a",$J24/ABS($I24)))</f>
        <v>n/a</v>
      </c>
      <c r="L24" s="69" t="n">
        <f aca="false">IF($A24="","",Data_Engine!$AJ24)</f>
        <v>0</v>
      </c>
      <c r="M24" s="73" t="n">
        <f aca="false">IF($A24="","",IF(Setup!$B$8=0,0,$H24/Setup!$B$8*12))</f>
        <v>0</v>
      </c>
      <c r="N24" s="72" t="str">
        <f aca="false">IF($A24="","",IF(ROUND($L24,2)=0,"n/a",($M24-$L24)/ABS($L24)))</f>
        <v>n/a</v>
      </c>
      <c r="O24" s="76" t="str">
        <f aca="false">IF($A24="","",IF(AND(ROUND($H24,2)=0,ROUND($I24,2)=0),"Dormant",IF(ROUND($I24,2)=0,"New this year",IF(ROUND($H24,2)=0,"Ceased",IF($J24&gt;0,"Increase",IF($J24&lt;0,"Decrease","Flat"))))))</f>
        <v>Dormant</v>
      </c>
      <c r="P24" s="74" t="str">
        <f aca="false">IF($A24="","",IF(AND(ROUND($H24,2)=0,ROUND($I24,2)=0),"No Activity",IF(ABS($J24)&lt;Setup!$B$14,"Low",IF(ROUND($I24,2)=0,"High",IF(OR(ABS($J24/$I24)&gt;=Setup!$B$16,ABS($J24)&gt;=Setup!$B$17),"High",IF(ABS($J24/$I24)&gt;=Setup!$B$15,"Medium","Low"))))))</f>
        <v>No Activity</v>
      </c>
      <c r="Q24" s="57"/>
      <c r="R24" s="75" t="n">
        <f aca="false">IF($A24="",-1000000000000000,IF(ROUND(ABS($J24),0)=0,-1000000000000000,ABS($J24)+ROW()/1000000))</f>
        <v>-1000000000000000</v>
      </c>
    </row>
    <row r="25" customFormat="false" ht="15" hidden="false" customHeight="false" outlineLevel="0" collapsed="false">
      <c r="A25" s="68" t="str">
        <f aca="false">IF(Data_Engine!$A25="","",Data_Engine!$A25)</f>
        <v>Freight &amp; Travel - VID</v>
      </c>
      <c r="B25" s="42" t="str">
        <f aca="false">IF($A25="","",Data_Engine!$B25)</f>
        <v>Income</v>
      </c>
      <c r="C25" s="42" t="str">
        <f aca="false">IF($A25="","",Data_Engine!$D25)</f>
        <v>Video</v>
      </c>
      <c r="D25" s="69" t="n">
        <f aca="false">IF($A25="","",Data_Engine!$AD25)</f>
        <v>0</v>
      </c>
      <c r="E25" s="69" t="n">
        <f aca="false">IF($A25="","",Data_Engine!$AE25)</f>
        <v>0</v>
      </c>
      <c r="F25" s="73" t="n">
        <f aca="false">IF($A25="","",$D25-$E25)</f>
        <v>0</v>
      </c>
      <c r="G25" s="72" t="str">
        <f aca="false">IF($A25="","",IF(ROUND($E25,2)=0,"n/a",$F25/ABS($E25)))</f>
        <v>n/a</v>
      </c>
      <c r="H25" s="70" t="n">
        <f aca="false">IF($A25="","",Data_Engine!$AH25)</f>
        <v>0</v>
      </c>
      <c r="I25" s="69" t="n">
        <f aca="false">IF($A25="","",Data_Engine!$AI25)</f>
        <v>0</v>
      </c>
      <c r="J25" s="71" t="n">
        <f aca="false">IF($A25="","",$H25-$I25)</f>
        <v>0</v>
      </c>
      <c r="K25" s="72" t="str">
        <f aca="false">IF($A25="","",IF(ROUND($I25,2)=0,"n/a",$J25/ABS($I25)))</f>
        <v>n/a</v>
      </c>
      <c r="L25" s="69" t="n">
        <f aca="false">IF($A25="","",Data_Engine!$AJ25)</f>
        <v>0</v>
      </c>
      <c r="M25" s="73" t="n">
        <f aca="false">IF($A25="","",IF(Setup!$B$8=0,0,$H25/Setup!$B$8*12))</f>
        <v>0</v>
      </c>
      <c r="N25" s="72" t="str">
        <f aca="false">IF($A25="","",IF(ROUND($L25,2)=0,"n/a",($M25-$L25)/ABS($L25)))</f>
        <v>n/a</v>
      </c>
      <c r="O25" s="76" t="str">
        <f aca="false">IF($A25="","",IF(AND(ROUND($H25,2)=0,ROUND($I25,2)=0),"Dormant",IF(ROUND($I25,2)=0,"New this year",IF(ROUND($H25,2)=0,"Ceased",IF($J25&gt;0,"Increase",IF($J25&lt;0,"Decrease","Flat"))))))</f>
        <v>Dormant</v>
      </c>
      <c r="P25" s="74" t="str">
        <f aca="false">IF($A25="","",IF(AND(ROUND($H25,2)=0,ROUND($I25,2)=0),"No Activity",IF(ABS($J25)&lt;Setup!$B$14,"Low",IF(ROUND($I25,2)=0,"High",IF(OR(ABS($J25/$I25)&gt;=Setup!$B$16,ABS($J25)&gt;=Setup!$B$17),"High",IF(ABS($J25/$I25)&gt;=Setup!$B$15,"Medium","Low"))))))</f>
        <v>No Activity</v>
      </c>
      <c r="Q25" s="57"/>
      <c r="R25" s="75" t="n">
        <f aca="false">IF($A25="",-1000000000000000,IF(ROUND(ABS($J25),0)=0,-1000000000000000,ABS($J25)+ROW()/1000000))</f>
        <v>-1000000000000000</v>
      </c>
    </row>
    <row r="26" customFormat="false" ht="15" hidden="false" customHeight="false" outlineLevel="0" collapsed="false">
      <c r="A26" s="68" t="str">
        <f aca="false">IF(Data_Engine!$A26="","",Data_Engine!$A26)</f>
        <v>Installation Labour</v>
      </c>
      <c r="B26" s="42" t="str">
        <f aca="false">IF($A26="","",Data_Engine!$B26)</f>
        <v>Income</v>
      </c>
      <c r="C26" s="42" t="str">
        <f aca="false">IF($A26="","",Data_Engine!$D26)</f>
        <v>Unallocated</v>
      </c>
      <c r="D26" s="69" t="n">
        <f aca="false">IF($A26="","",Data_Engine!$AD26)</f>
        <v>0</v>
      </c>
      <c r="E26" s="69" t="n">
        <f aca="false">IF($A26="","",Data_Engine!$AE26)</f>
        <v>0</v>
      </c>
      <c r="F26" s="73" t="n">
        <f aca="false">IF($A26="","",$D26-$E26)</f>
        <v>0</v>
      </c>
      <c r="G26" s="72" t="str">
        <f aca="false">IF($A26="","",IF(ROUND($E26,2)=0,"n/a",$F26/ABS($E26)))</f>
        <v>n/a</v>
      </c>
      <c r="H26" s="70" t="n">
        <f aca="false">IF($A26="","",Data_Engine!$AH26)</f>
        <v>0</v>
      </c>
      <c r="I26" s="69" t="n">
        <f aca="false">IF($A26="","",Data_Engine!$AI26)</f>
        <v>0</v>
      </c>
      <c r="J26" s="71" t="n">
        <f aca="false">IF($A26="","",$H26-$I26)</f>
        <v>0</v>
      </c>
      <c r="K26" s="72" t="str">
        <f aca="false">IF($A26="","",IF(ROUND($I26,2)=0,"n/a",$J26/ABS($I26)))</f>
        <v>n/a</v>
      </c>
      <c r="L26" s="69" t="n">
        <f aca="false">IF($A26="","",Data_Engine!$AJ26)</f>
        <v>0</v>
      </c>
      <c r="M26" s="73" t="n">
        <f aca="false">IF($A26="","",IF(Setup!$B$8=0,0,$H26/Setup!$B$8*12))</f>
        <v>0</v>
      </c>
      <c r="N26" s="72" t="str">
        <f aca="false">IF($A26="","",IF(ROUND($L26,2)=0,"n/a",($M26-$L26)/ABS($L26)))</f>
        <v>n/a</v>
      </c>
      <c r="O26" s="76" t="str">
        <f aca="false">IF($A26="","",IF(AND(ROUND($H26,2)=0,ROUND($I26,2)=0),"Dormant",IF(ROUND($I26,2)=0,"New this year",IF(ROUND($H26,2)=0,"Ceased",IF($J26&gt;0,"Increase",IF($J26&lt;0,"Decrease","Flat"))))))</f>
        <v>Dormant</v>
      </c>
      <c r="P26" s="74" t="str">
        <f aca="false">IF($A26="","",IF(AND(ROUND($H26,2)=0,ROUND($I26,2)=0),"No Activity",IF(ABS($J26)&lt;Setup!$B$14,"Low",IF(ROUND($I26,2)=0,"High",IF(OR(ABS($J26/$I26)&gt;=Setup!$B$16,ABS($J26)&gt;=Setup!$B$17),"High",IF(ABS($J26/$I26)&gt;=Setup!$B$15,"Medium","Low"))))))</f>
        <v>No Activity</v>
      </c>
      <c r="Q26" s="57"/>
      <c r="R26" s="75" t="n">
        <f aca="false">IF($A26="",-1000000000000000,IF(ROUND(ABS($J26),0)=0,-1000000000000000,ABS($J26)+ROW()/1000000))</f>
        <v>-1000000000000000</v>
      </c>
    </row>
    <row r="27" customFormat="false" ht="15" hidden="false" customHeight="false" outlineLevel="0" collapsed="false">
      <c r="A27" s="68" t="str">
        <f aca="false">IF(Data_Engine!$A27="","",Data_Engine!$A27)</f>
        <v>Meal &amp; Travel - ADMIN</v>
      </c>
      <c r="B27" s="42" t="str">
        <f aca="false">IF($A27="","",Data_Engine!$B27)</f>
        <v>Income</v>
      </c>
      <c r="C27" s="42" t="str">
        <f aca="false">IF($A27="","",Data_Engine!$D27)</f>
        <v>Admin</v>
      </c>
      <c r="D27" s="69" t="n">
        <f aca="false">IF($A27="","",Data_Engine!$AD27)</f>
        <v>0</v>
      </c>
      <c r="E27" s="69" t="n">
        <f aca="false">IF($A27="","",Data_Engine!$AE27)</f>
        <v>0</v>
      </c>
      <c r="F27" s="73" t="n">
        <f aca="false">IF($A27="","",$D27-$E27)</f>
        <v>0</v>
      </c>
      <c r="G27" s="72" t="str">
        <f aca="false">IF($A27="","",IF(ROUND($E27,2)=0,"n/a",$F27/ABS($E27)))</f>
        <v>n/a</v>
      </c>
      <c r="H27" s="70" t="n">
        <f aca="false">IF($A27="","",Data_Engine!$AH27)</f>
        <v>0</v>
      </c>
      <c r="I27" s="69" t="n">
        <f aca="false">IF($A27="","",Data_Engine!$AI27)</f>
        <v>0</v>
      </c>
      <c r="J27" s="71" t="n">
        <f aca="false">IF($A27="","",$H27-$I27)</f>
        <v>0</v>
      </c>
      <c r="K27" s="72" t="str">
        <f aca="false">IF($A27="","",IF(ROUND($I27,2)=0,"n/a",$J27/ABS($I27)))</f>
        <v>n/a</v>
      </c>
      <c r="L27" s="69" t="n">
        <f aca="false">IF($A27="","",Data_Engine!$AJ27)</f>
        <v>0</v>
      </c>
      <c r="M27" s="73" t="n">
        <f aca="false">IF($A27="","",IF(Setup!$B$8=0,0,$H27/Setup!$B$8*12))</f>
        <v>0</v>
      </c>
      <c r="N27" s="72" t="str">
        <f aca="false">IF($A27="","",IF(ROUND($L27,2)=0,"n/a",($M27-$L27)/ABS($L27)))</f>
        <v>n/a</v>
      </c>
      <c r="O27" s="76" t="str">
        <f aca="false">IF($A27="","",IF(AND(ROUND($H27,2)=0,ROUND($I27,2)=0),"Dormant",IF(ROUND($I27,2)=0,"New this year",IF(ROUND($H27,2)=0,"Ceased",IF($J27&gt;0,"Increase",IF($J27&lt;0,"Decrease","Flat"))))))</f>
        <v>Dormant</v>
      </c>
      <c r="P27" s="74" t="str">
        <f aca="false">IF($A27="","",IF(AND(ROUND($H27,2)=0,ROUND($I27,2)=0),"No Activity",IF(ABS($J27)&lt;Setup!$B$14,"Low",IF(ROUND($I27,2)=0,"High",IF(OR(ABS($J27/$I27)&gt;=Setup!$B$16,ABS($J27)&gt;=Setup!$B$17),"High",IF(ABS($J27/$I27)&gt;=Setup!$B$15,"Medium","Low"))))))</f>
        <v>No Activity</v>
      </c>
      <c r="Q27" s="57"/>
      <c r="R27" s="75" t="n">
        <f aca="false">IF($A27="",-1000000000000000,IF(ROUND(ABS($J27),0)=0,-1000000000000000,ABS($J27)+ROW()/1000000))</f>
        <v>-1000000000000000</v>
      </c>
    </row>
    <row r="28" customFormat="false" ht="15" hidden="false" customHeight="false" outlineLevel="0" collapsed="false">
      <c r="A28" s="68" t="str">
        <f aca="false">IF(Data_Engine!$A28="","",Data_Engine!$A28)</f>
        <v>Meal &amp; Travel - CONS</v>
      </c>
      <c r="B28" s="42" t="str">
        <f aca="false">IF($A28="","",Data_Engine!$B28)</f>
        <v>Income</v>
      </c>
      <c r="C28" s="42" t="str">
        <f aca="false">IF($A28="","",Data_Engine!$D28)</f>
        <v>Consulting</v>
      </c>
      <c r="D28" s="69" t="n">
        <f aca="false">IF($A28="","",Data_Engine!$AD28)</f>
        <v>0</v>
      </c>
      <c r="E28" s="69" t="n">
        <f aca="false">IF($A28="","",Data_Engine!$AE28)</f>
        <v>0</v>
      </c>
      <c r="F28" s="73" t="n">
        <f aca="false">IF($A28="","",$D28-$E28)</f>
        <v>0</v>
      </c>
      <c r="G28" s="72" t="str">
        <f aca="false">IF($A28="","",IF(ROUND($E28,2)=0,"n/a",$F28/ABS($E28)))</f>
        <v>n/a</v>
      </c>
      <c r="H28" s="70" t="n">
        <f aca="false">IF($A28="","",Data_Engine!$AH28)</f>
        <v>0</v>
      </c>
      <c r="I28" s="69" t="n">
        <f aca="false">IF($A28="","",Data_Engine!$AI28)</f>
        <v>0</v>
      </c>
      <c r="J28" s="71" t="n">
        <f aca="false">IF($A28="","",$H28-$I28)</f>
        <v>0</v>
      </c>
      <c r="K28" s="72" t="str">
        <f aca="false">IF($A28="","",IF(ROUND($I28,2)=0,"n/a",$J28/ABS($I28)))</f>
        <v>n/a</v>
      </c>
      <c r="L28" s="69" t="n">
        <f aca="false">IF($A28="","",Data_Engine!$AJ28)</f>
        <v>0</v>
      </c>
      <c r="M28" s="73" t="n">
        <f aca="false">IF($A28="","",IF(Setup!$B$8=0,0,$H28/Setup!$B$8*12))</f>
        <v>0</v>
      </c>
      <c r="N28" s="72" t="str">
        <f aca="false">IF($A28="","",IF(ROUND($L28,2)=0,"n/a",($M28-$L28)/ABS($L28)))</f>
        <v>n/a</v>
      </c>
      <c r="O28" s="76" t="str">
        <f aca="false">IF($A28="","",IF(AND(ROUND($H28,2)=0,ROUND($I28,2)=0),"Dormant",IF(ROUND($I28,2)=0,"New this year",IF(ROUND($H28,2)=0,"Ceased",IF($J28&gt;0,"Increase",IF($J28&lt;0,"Decrease","Flat"))))))</f>
        <v>Dormant</v>
      </c>
      <c r="P28" s="74" t="str">
        <f aca="false">IF($A28="","",IF(AND(ROUND($H28,2)=0,ROUND($I28,2)=0),"No Activity",IF(ABS($J28)&lt;Setup!$B$14,"Low",IF(ROUND($I28,2)=0,"High",IF(OR(ABS($J28/$I28)&gt;=Setup!$B$16,ABS($J28)&gt;=Setup!$B$17),"High",IF(ABS($J28/$I28)&gt;=Setup!$B$15,"Medium","Low"))))))</f>
        <v>No Activity</v>
      </c>
      <c r="Q28" s="57"/>
      <c r="R28" s="75" t="n">
        <f aca="false">IF($A28="",-1000000000000000,IF(ROUND(ABS($J28),0)=0,-1000000000000000,ABS($J28)+ROW()/1000000))</f>
        <v>-1000000000000000</v>
      </c>
    </row>
    <row r="29" customFormat="false" ht="15" hidden="false" customHeight="false" outlineLevel="0" collapsed="false">
      <c r="A29" s="68" t="str">
        <f aca="false">IF(Data_Engine!$A29="","",Data_Engine!$A29)</f>
        <v>Meal &amp; Travel - INTEGRATION</v>
      </c>
      <c r="B29" s="42" t="str">
        <f aca="false">IF($A29="","",Data_Engine!$B29)</f>
        <v>Income</v>
      </c>
      <c r="C29" s="42" t="str">
        <f aca="false">IF($A29="","",Data_Engine!$D29)</f>
        <v>Integration</v>
      </c>
      <c r="D29" s="69" t="n">
        <f aca="false">IF($A29="","",Data_Engine!$AD29)</f>
        <v>0</v>
      </c>
      <c r="E29" s="69" t="n">
        <f aca="false">IF($A29="","",Data_Engine!$AE29)</f>
        <v>0</v>
      </c>
      <c r="F29" s="73" t="n">
        <f aca="false">IF($A29="","",$D29-$E29)</f>
        <v>0</v>
      </c>
      <c r="G29" s="72" t="str">
        <f aca="false">IF($A29="","",IF(ROUND($E29,2)=0,"n/a",$F29/ABS($E29)))</f>
        <v>n/a</v>
      </c>
      <c r="H29" s="70" t="n">
        <f aca="false">IF($A29="","",Data_Engine!$AH29)</f>
        <v>0</v>
      </c>
      <c r="I29" s="69" t="n">
        <f aca="false">IF($A29="","",Data_Engine!$AI29)</f>
        <v>0</v>
      </c>
      <c r="J29" s="71" t="n">
        <f aca="false">IF($A29="","",$H29-$I29)</f>
        <v>0</v>
      </c>
      <c r="K29" s="72" t="str">
        <f aca="false">IF($A29="","",IF(ROUND($I29,2)=0,"n/a",$J29/ABS($I29)))</f>
        <v>n/a</v>
      </c>
      <c r="L29" s="69" t="n">
        <f aca="false">IF($A29="","",Data_Engine!$AJ29)</f>
        <v>0</v>
      </c>
      <c r="M29" s="73" t="n">
        <f aca="false">IF($A29="","",IF(Setup!$B$8=0,0,$H29/Setup!$B$8*12))</f>
        <v>0</v>
      </c>
      <c r="N29" s="72" t="str">
        <f aca="false">IF($A29="","",IF(ROUND($L29,2)=0,"n/a",($M29-$L29)/ABS($L29)))</f>
        <v>n/a</v>
      </c>
      <c r="O29" s="76" t="str">
        <f aca="false">IF($A29="","",IF(AND(ROUND($H29,2)=0,ROUND($I29,2)=0),"Dormant",IF(ROUND($I29,2)=0,"New this year",IF(ROUND($H29,2)=0,"Ceased",IF($J29&gt;0,"Increase",IF($J29&lt;0,"Decrease","Flat"))))))</f>
        <v>Dormant</v>
      </c>
      <c r="P29" s="74" t="str">
        <f aca="false">IF($A29="","",IF(AND(ROUND($H29,2)=0,ROUND($I29,2)=0),"No Activity",IF(ABS($J29)&lt;Setup!$B$14,"Low",IF(ROUND($I29,2)=0,"High",IF(OR(ABS($J29/$I29)&gt;=Setup!$B$16,ABS($J29)&gt;=Setup!$B$17),"High",IF(ABS($J29/$I29)&gt;=Setup!$B$15,"Medium","Low"))))))</f>
        <v>No Activity</v>
      </c>
      <c r="Q29" s="57"/>
      <c r="R29" s="75" t="n">
        <f aca="false">IF($A29="",-1000000000000000,IF(ROUND(ABS($J29),0)=0,-1000000000000000,ABS($J29)+ROW()/1000000))</f>
        <v>-1000000000000000</v>
      </c>
    </row>
    <row r="30" customFormat="false" ht="15" hidden="false" customHeight="false" outlineLevel="0" collapsed="false">
      <c r="A30" s="68" t="str">
        <f aca="false">IF(Data_Engine!$A30="","",Data_Engine!$A30)</f>
        <v>Meal &amp; Travel - ONS</v>
      </c>
      <c r="B30" s="42" t="str">
        <f aca="false">IF($A30="","",Data_Engine!$B30)</f>
        <v>Income</v>
      </c>
      <c r="C30" s="42" t="str">
        <f aca="false">IF($A30="","",Data_Engine!$D30)</f>
        <v>Onsite</v>
      </c>
      <c r="D30" s="69" t="n">
        <f aca="false">IF($A30="","",Data_Engine!$AD30)</f>
        <v>0</v>
      </c>
      <c r="E30" s="69" t="n">
        <f aca="false">IF($A30="","",Data_Engine!$AE30)</f>
        <v>0</v>
      </c>
      <c r="F30" s="73" t="n">
        <f aca="false">IF($A30="","",$D30-$E30)</f>
        <v>0</v>
      </c>
      <c r="G30" s="72" t="str">
        <f aca="false">IF($A30="","",IF(ROUND($E30,2)=0,"n/a",$F30/ABS($E30)))</f>
        <v>n/a</v>
      </c>
      <c r="H30" s="70" t="n">
        <f aca="false">IF($A30="","",Data_Engine!$AH30)</f>
        <v>0</v>
      </c>
      <c r="I30" s="69" t="n">
        <f aca="false">IF($A30="","",Data_Engine!$AI30)</f>
        <v>0</v>
      </c>
      <c r="J30" s="71" t="n">
        <f aca="false">IF($A30="","",$H30-$I30)</f>
        <v>0</v>
      </c>
      <c r="K30" s="72" t="str">
        <f aca="false">IF($A30="","",IF(ROUND($I30,2)=0,"n/a",$J30/ABS($I30)))</f>
        <v>n/a</v>
      </c>
      <c r="L30" s="69" t="n">
        <f aca="false">IF($A30="","",Data_Engine!$AJ30)</f>
        <v>0</v>
      </c>
      <c r="M30" s="73" t="n">
        <f aca="false">IF($A30="","",IF(Setup!$B$8=0,0,$H30/Setup!$B$8*12))</f>
        <v>0</v>
      </c>
      <c r="N30" s="72" t="str">
        <f aca="false">IF($A30="","",IF(ROUND($L30,2)=0,"n/a",($M30-$L30)/ABS($L30)))</f>
        <v>n/a</v>
      </c>
      <c r="O30" s="76" t="str">
        <f aca="false">IF($A30="","",IF(AND(ROUND($H30,2)=0,ROUND($I30,2)=0),"Dormant",IF(ROUND($I30,2)=0,"New this year",IF(ROUND($H30,2)=0,"Ceased",IF($J30&gt;0,"Increase",IF($J30&lt;0,"Decrease","Flat"))))))</f>
        <v>Dormant</v>
      </c>
      <c r="P30" s="74" t="str">
        <f aca="false">IF($A30="","",IF(AND(ROUND($H30,2)=0,ROUND($I30,2)=0),"No Activity",IF(ABS($J30)&lt;Setup!$B$14,"Low",IF(ROUND($I30,2)=0,"High",IF(OR(ABS($J30/$I30)&gt;=Setup!$B$16,ABS($J30)&gt;=Setup!$B$17),"High",IF(ABS($J30/$I30)&gt;=Setup!$B$15,"Medium","Low"))))))</f>
        <v>No Activity</v>
      </c>
      <c r="Q30" s="57"/>
      <c r="R30" s="75" t="n">
        <f aca="false">IF($A30="",-1000000000000000,IF(ROUND(ABS($J30),0)=0,-1000000000000000,ABS($J30)+ROW()/1000000))</f>
        <v>-1000000000000000</v>
      </c>
    </row>
    <row r="31" customFormat="false" ht="15" hidden="false" customHeight="false" outlineLevel="0" collapsed="false">
      <c r="A31" s="68" t="str">
        <f aca="false">IF(Data_Engine!$A31="","",Data_Engine!$A31)</f>
        <v>Meal &amp; Travel - PRD</v>
      </c>
      <c r="B31" s="42" t="str">
        <f aca="false">IF($A31="","",Data_Engine!$B31)</f>
        <v>Income</v>
      </c>
      <c r="C31" s="42" t="str">
        <f aca="false">IF($A31="","",Data_Engine!$D31)</f>
        <v>Production</v>
      </c>
      <c r="D31" s="69" t="n">
        <f aca="false">IF($A31="","",Data_Engine!$AD31)</f>
        <v>0</v>
      </c>
      <c r="E31" s="69" t="n">
        <f aca="false">IF($A31="","",Data_Engine!$AE31)</f>
        <v>0</v>
      </c>
      <c r="F31" s="73" t="n">
        <f aca="false">IF($A31="","",$D31-$E31)</f>
        <v>0</v>
      </c>
      <c r="G31" s="72" t="str">
        <f aca="false">IF($A31="","",IF(ROUND($E31,2)=0,"n/a",$F31/ABS($E31)))</f>
        <v>n/a</v>
      </c>
      <c r="H31" s="70" t="n">
        <f aca="false">IF($A31="","",Data_Engine!$AH31)</f>
        <v>0</v>
      </c>
      <c r="I31" s="69" t="n">
        <f aca="false">IF($A31="","",Data_Engine!$AI31)</f>
        <v>0</v>
      </c>
      <c r="J31" s="71" t="n">
        <f aca="false">IF($A31="","",$H31-$I31)</f>
        <v>0</v>
      </c>
      <c r="K31" s="72" t="str">
        <f aca="false">IF($A31="","",IF(ROUND($I31,2)=0,"n/a",$J31/ABS($I31)))</f>
        <v>n/a</v>
      </c>
      <c r="L31" s="69" t="n">
        <f aca="false">IF($A31="","",Data_Engine!$AJ31)</f>
        <v>0</v>
      </c>
      <c r="M31" s="73" t="n">
        <f aca="false">IF($A31="","",IF(Setup!$B$8=0,0,$H31/Setup!$B$8*12))</f>
        <v>0</v>
      </c>
      <c r="N31" s="72" t="str">
        <f aca="false">IF($A31="","",IF(ROUND($L31,2)=0,"n/a",($M31-$L31)/ABS($L31)))</f>
        <v>n/a</v>
      </c>
      <c r="O31" s="76" t="str">
        <f aca="false">IF($A31="","",IF(AND(ROUND($H31,2)=0,ROUND($I31,2)=0),"Dormant",IF(ROUND($I31,2)=0,"New this year",IF(ROUND($H31,2)=0,"Ceased",IF($J31&gt;0,"Increase",IF($J31&lt;0,"Decrease","Flat"))))))</f>
        <v>Dormant</v>
      </c>
      <c r="P31" s="74" t="str">
        <f aca="false">IF($A31="","",IF(AND(ROUND($H31,2)=0,ROUND($I31,2)=0),"No Activity",IF(ABS($J31)&lt;Setup!$B$14,"Low",IF(ROUND($I31,2)=0,"High",IF(OR(ABS($J31/$I31)&gt;=Setup!$B$16,ABS($J31)&gt;=Setup!$B$17),"High",IF(ABS($J31/$I31)&gt;=Setup!$B$15,"Medium","Low"))))))</f>
        <v>No Activity</v>
      </c>
      <c r="Q31" s="57"/>
      <c r="R31" s="75" t="n">
        <f aca="false">IF($A31="",-1000000000000000,IF(ROUND(ABS($J31),0)=0,-1000000000000000,ABS($J31)+ROW()/1000000))</f>
        <v>-1000000000000000</v>
      </c>
    </row>
    <row r="32" customFormat="false" ht="15" hidden="false" customHeight="false" outlineLevel="0" collapsed="false">
      <c r="A32" s="68" t="str">
        <f aca="false">IF(Data_Engine!$A32="","",Data_Engine!$A32)</f>
        <v>Meal &amp; Travel - VID</v>
      </c>
      <c r="B32" s="42" t="str">
        <f aca="false">IF($A32="","",Data_Engine!$B32)</f>
        <v>Income</v>
      </c>
      <c r="C32" s="42" t="str">
        <f aca="false">IF($A32="","",Data_Engine!$D32)</f>
        <v>Video</v>
      </c>
      <c r="D32" s="69" t="n">
        <f aca="false">IF($A32="","",Data_Engine!$AD32)</f>
        <v>0</v>
      </c>
      <c r="E32" s="69" t="n">
        <f aca="false">IF($A32="","",Data_Engine!$AE32)</f>
        <v>0</v>
      </c>
      <c r="F32" s="73" t="n">
        <f aca="false">IF($A32="","",$D32-$E32)</f>
        <v>0</v>
      </c>
      <c r="G32" s="72" t="str">
        <f aca="false">IF($A32="","",IF(ROUND($E32,2)=0,"n/a",$F32/ABS($E32)))</f>
        <v>n/a</v>
      </c>
      <c r="H32" s="70" t="n">
        <f aca="false">IF($A32="","",Data_Engine!$AH32)</f>
        <v>0</v>
      </c>
      <c r="I32" s="69" t="n">
        <f aca="false">IF($A32="","",Data_Engine!$AI32)</f>
        <v>0</v>
      </c>
      <c r="J32" s="71" t="n">
        <f aca="false">IF($A32="","",$H32-$I32)</f>
        <v>0</v>
      </c>
      <c r="K32" s="72" t="str">
        <f aca="false">IF($A32="","",IF(ROUND($I32,2)=0,"n/a",$J32/ABS($I32)))</f>
        <v>n/a</v>
      </c>
      <c r="L32" s="69" t="n">
        <f aca="false">IF($A32="","",Data_Engine!$AJ32)</f>
        <v>0</v>
      </c>
      <c r="M32" s="73" t="n">
        <f aca="false">IF($A32="","",IF(Setup!$B$8=0,0,$H32/Setup!$B$8*12))</f>
        <v>0</v>
      </c>
      <c r="N32" s="72" t="str">
        <f aca="false">IF($A32="","",IF(ROUND($L32,2)=0,"n/a",($M32-$L32)/ABS($L32)))</f>
        <v>n/a</v>
      </c>
      <c r="O32" s="76" t="str">
        <f aca="false">IF($A32="","",IF(AND(ROUND($H32,2)=0,ROUND($I32,2)=0),"Dormant",IF(ROUND($I32,2)=0,"New this year",IF(ROUND($H32,2)=0,"Ceased",IF($J32&gt;0,"Increase",IF($J32&lt;0,"Decrease","Flat"))))))</f>
        <v>Dormant</v>
      </c>
      <c r="P32" s="74" t="str">
        <f aca="false">IF($A32="","",IF(AND(ROUND($H32,2)=0,ROUND($I32,2)=0),"No Activity",IF(ABS($J32)&lt;Setup!$B$14,"Low",IF(ROUND($I32,2)=0,"High",IF(OR(ABS($J32/$I32)&gt;=Setup!$B$16,ABS($J32)&gt;=Setup!$B$17),"High",IF(ABS($J32/$I32)&gt;=Setup!$B$15,"Medium","Low"))))))</f>
        <v>No Activity</v>
      </c>
      <c r="Q32" s="57"/>
      <c r="R32" s="75" t="n">
        <f aca="false">IF($A32="",-1000000000000000,IF(ROUND(ABS($J32),0)=0,-1000000000000000,ABS($J32)+ROW()/1000000))</f>
        <v>-1000000000000000</v>
      </c>
    </row>
    <row r="33" customFormat="false" ht="15" hidden="false" customHeight="false" outlineLevel="0" collapsed="false">
      <c r="A33" s="68" t="str">
        <f aca="false">IF(Data_Engine!$A33="","",Data_Engine!$A33)</f>
        <v>Miscellaneous Income</v>
      </c>
      <c r="B33" s="42" t="str">
        <f aca="false">IF($A33="","",Data_Engine!$B33)</f>
        <v>Income</v>
      </c>
      <c r="C33" s="42" t="str">
        <f aca="false">IF($A33="","",Data_Engine!$D33)</f>
        <v>Unallocated</v>
      </c>
      <c r="D33" s="69" t="n">
        <f aca="false">IF($A33="","",Data_Engine!$AD33)</f>
        <v>0</v>
      </c>
      <c r="E33" s="69" t="n">
        <f aca="false">IF($A33="","",Data_Engine!$AE33)</f>
        <v>0</v>
      </c>
      <c r="F33" s="73" t="n">
        <f aca="false">IF($A33="","",$D33-$E33)</f>
        <v>0</v>
      </c>
      <c r="G33" s="72" t="str">
        <f aca="false">IF($A33="","",IF(ROUND($E33,2)=0,"n/a",$F33/ABS($E33)))</f>
        <v>n/a</v>
      </c>
      <c r="H33" s="70" t="n">
        <f aca="false">IF($A33="","",Data_Engine!$AH33)</f>
        <v>0</v>
      </c>
      <c r="I33" s="69" t="n">
        <f aca="false">IF($A33="","",Data_Engine!$AI33)</f>
        <v>0</v>
      </c>
      <c r="J33" s="71" t="n">
        <f aca="false">IF($A33="","",$H33-$I33)</f>
        <v>0</v>
      </c>
      <c r="K33" s="72" t="str">
        <f aca="false">IF($A33="","",IF(ROUND($I33,2)=0,"n/a",$J33/ABS($I33)))</f>
        <v>n/a</v>
      </c>
      <c r="L33" s="69" t="n">
        <f aca="false">IF($A33="","",Data_Engine!$AJ33)</f>
        <v>0</v>
      </c>
      <c r="M33" s="73" t="n">
        <f aca="false">IF($A33="","",IF(Setup!$B$8=0,0,$H33/Setup!$B$8*12))</f>
        <v>0</v>
      </c>
      <c r="N33" s="72" t="str">
        <f aca="false">IF($A33="","",IF(ROUND($L33,2)=0,"n/a",($M33-$L33)/ABS($L33)))</f>
        <v>n/a</v>
      </c>
      <c r="O33" s="76" t="str">
        <f aca="false">IF($A33="","",IF(AND(ROUND($H33,2)=0,ROUND($I33,2)=0),"Dormant",IF(ROUND($I33,2)=0,"New this year",IF(ROUND($H33,2)=0,"Ceased",IF($J33&gt;0,"Increase",IF($J33&lt;0,"Decrease","Flat"))))))</f>
        <v>Dormant</v>
      </c>
      <c r="P33" s="74" t="str">
        <f aca="false">IF($A33="","",IF(AND(ROUND($H33,2)=0,ROUND($I33,2)=0),"No Activity",IF(ABS($J33)&lt;Setup!$B$14,"Low",IF(ROUND($I33,2)=0,"High",IF(OR(ABS($J33/$I33)&gt;=Setup!$B$16,ABS($J33)&gt;=Setup!$B$17),"High",IF(ABS($J33/$I33)&gt;=Setup!$B$15,"Medium","Low"))))))</f>
        <v>No Activity</v>
      </c>
      <c r="Q33" s="57"/>
      <c r="R33" s="75" t="n">
        <f aca="false">IF($A33="",-1000000000000000,IF(ROUND(ABS($J33),0)=0,-1000000000000000,ABS($J33)+ROW()/1000000))</f>
        <v>-1000000000000000</v>
      </c>
    </row>
    <row r="34" customFormat="false" ht="15" hidden="false" customHeight="false" outlineLevel="0" collapsed="false">
      <c r="A34" s="68" t="str">
        <f aca="false">IF(Data_Engine!$A34="","",Data_Engine!$A34)</f>
        <v>Mobile Phone Plans</v>
      </c>
      <c r="B34" s="42" t="str">
        <f aca="false">IF($A34="","",Data_Engine!$B34)</f>
        <v>Income</v>
      </c>
      <c r="C34" s="42" t="str">
        <f aca="false">IF($A34="","",Data_Engine!$D34)</f>
        <v>Unallocated</v>
      </c>
      <c r="D34" s="69" t="n">
        <f aca="false">IF($A34="","",Data_Engine!$AD34)</f>
        <v>0</v>
      </c>
      <c r="E34" s="69" t="n">
        <f aca="false">IF($A34="","",Data_Engine!$AE34)</f>
        <v>0</v>
      </c>
      <c r="F34" s="73" t="n">
        <f aca="false">IF($A34="","",$D34-$E34)</f>
        <v>0</v>
      </c>
      <c r="G34" s="72" t="str">
        <f aca="false">IF($A34="","",IF(ROUND($E34,2)=0,"n/a",$F34/ABS($E34)))</f>
        <v>n/a</v>
      </c>
      <c r="H34" s="70" t="n">
        <f aca="false">IF($A34="","",Data_Engine!$AH34)</f>
        <v>0</v>
      </c>
      <c r="I34" s="69" t="n">
        <f aca="false">IF($A34="","",Data_Engine!$AI34)</f>
        <v>0</v>
      </c>
      <c r="J34" s="71" t="n">
        <f aca="false">IF($A34="","",$H34-$I34)</f>
        <v>0</v>
      </c>
      <c r="K34" s="72" t="str">
        <f aca="false">IF($A34="","",IF(ROUND($I34,2)=0,"n/a",$J34/ABS($I34)))</f>
        <v>n/a</v>
      </c>
      <c r="L34" s="69" t="n">
        <f aca="false">IF($A34="","",Data_Engine!$AJ34)</f>
        <v>0</v>
      </c>
      <c r="M34" s="73" t="n">
        <f aca="false">IF($A34="","",IF(Setup!$B$8=0,0,$H34/Setup!$B$8*12))</f>
        <v>0</v>
      </c>
      <c r="N34" s="72" t="str">
        <f aca="false">IF($A34="","",IF(ROUND($L34,2)=0,"n/a",($M34-$L34)/ABS($L34)))</f>
        <v>n/a</v>
      </c>
      <c r="O34" s="76" t="str">
        <f aca="false">IF($A34="","",IF(AND(ROUND($H34,2)=0,ROUND($I34,2)=0),"Dormant",IF(ROUND($I34,2)=0,"New this year",IF(ROUND($H34,2)=0,"Ceased",IF($J34&gt;0,"Increase",IF($J34&lt;0,"Decrease","Flat"))))))</f>
        <v>Dormant</v>
      </c>
      <c r="P34" s="74" t="str">
        <f aca="false">IF($A34="","",IF(AND(ROUND($H34,2)=0,ROUND($I34,2)=0),"No Activity",IF(ABS($J34)&lt;Setup!$B$14,"Low",IF(ROUND($I34,2)=0,"High",IF(OR(ABS($J34/$I34)&gt;=Setup!$B$16,ABS($J34)&gt;=Setup!$B$17),"High",IF(ABS($J34/$I34)&gt;=Setup!$B$15,"Medium","Low"))))))</f>
        <v>No Activity</v>
      </c>
      <c r="Q34" s="57"/>
      <c r="R34" s="75" t="n">
        <f aca="false">IF($A34="",-1000000000000000,IF(ROUND(ABS($J34),0)=0,-1000000000000000,ABS($J34)+ROW()/1000000))</f>
        <v>-1000000000000000</v>
      </c>
    </row>
    <row r="35" customFormat="false" ht="15" hidden="false" customHeight="false" outlineLevel="0" collapsed="false">
      <c r="A35" s="68" t="str">
        <f aca="false">IF(Data_Engine!$A35="","",Data_Engine!$A35)</f>
        <v>Opening Work in Progress</v>
      </c>
      <c r="B35" s="42" t="str">
        <f aca="false">IF($A35="","",Data_Engine!$B35)</f>
        <v>Income</v>
      </c>
      <c r="C35" s="42" t="str">
        <f aca="false">IF($A35="","",Data_Engine!$D35)</f>
        <v>Unallocated</v>
      </c>
      <c r="D35" s="69" t="n">
        <f aca="false">IF($A35="","",Data_Engine!$AD35)</f>
        <v>0</v>
      </c>
      <c r="E35" s="69" t="n">
        <f aca="false">IF($A35="","",Data_Engine!$AE35)</f>
        <v>0</v>
      </c>
      <c r="F35" s="73" t="n">
        <f aca="false">IF($A35="","",$D35-$E35)</f>
        <v>0</v>
      </c>
      <c r="G35" s="72" t="str">
        <f aca="false">IF($A35="","",IF(ROUND($E35,2)=0,"n/a",$F35/ABS($E35)))</f>
        <v>n/a</v>
      </c>
      <c r="H35" s="70" t="n">
        <f aca="false">IF($A35="","",Data_Engine!$AH35)</f>
        <v>0</v>
      </c>
      <c r="I35" s="69" t="n">
        <f aca="false">IF($A35="","",Data_Engine!$AI35)</f>
        <v>0</v>
      </c>
      <c r="J35" s="71" t="n">
        <f aca="false">IF($A35="","",$H35-$I35)</f>
        <v>0</v>
      </c>
      <c r="K35" s="72" t="str">
        <f aca="false">IF($A35="","",IF(ROUND($I35,2)=0,"n/a",$J35/ABS($I35)))</f>
        <v>n/a</v>
      </c>
      <c r="L35" s="69" t="n">
        <f aca="false">IF($A35="","",Data_Engine!$AJ35)</f>
        <v>0</v>
      </c>
      <c r="M35" s="73" t="n">
        <f aca="false">IF($A35="","",IF(Setup!$B$8=0,0,$H35/Setup!$B$8*12))</f>
        <v>0</v>
      </c>
      <c r="N35" s="72" t="str">
        <f aca="false">IF($A35="","",IF(ROUND($L35,2)=0,"n/a",($M35-$L35)/ABS($L35)))</f>
        <v>n/a</v>
      </c>
      <c r="O35" s="76" t="str">
        <f aca="false">IF($A35="","",IF(AND(ROUND($H35,2)=0,ROUND($I35,2)=0),"Dormant",IF(ROUND($I35,2)=0,"New this year",IF(ROUND($H35,2)=0,"Ceased",IF($J35&gt;0,"Increase",IF($J35&lt;0,"Decrease","Flat"))))))</f>
        <v>Dormant</v>
      </c>
      <c r="P35" s="74" t="str">
        <f aca="false">IF($A35="","",IF(AND(ROUND($H35,2)=0,ROUND($I35,2)=0),"No Activity",IF(ABS($J35)&lt;Setup!$B$14,"Low",IF(ROUND($I35,2)=0,"High",IF(OR(ABS($J35/$I35)&gt;=Setup!$B$16,ABS($J35)&gt;=Setup!$B$17),"High",IF(ABS($J35/$I35)&gt;=Setup!$B$15,"Medium","Low"))))))</f>
        <v>No Activity</v>
      </c>
      <c r="Q35" s="57"/>
      <c r="R35" s="75" t="n">
        <f aca="false">IF($A35="",-1000000000000000,IF(ROUND(ABS($J35),0)=0,-1000000000000000,ABS($J35)+ROW()/1000000))</f>
        <v>-1000000000000000</v>
      </c>
    </row>
    <row r="36" customFormat="false" ht="15" hidden="false" customHeight="false" outlineLevel="0" collapsed="false">
      <c r="A36" s="68" t="str">
        <f aca="false">IF(Data_Engine!$A36="","",Data_Engine!$A36)</f>
        <v>Production Labour</v>
      </c>
      <c r="B36" s="42" t="str">
        <f aca="false">IF($A36="","",Data_Engine!$B36)</f>
        <v>Income</v>
      </c>
      <c r="C36" s="42" t="str">
        <f aca="false">IF($A36="","",Data_Engine!$D36)</f>
        <v>Unallocated</v>
      </c>
      <c r="D36" s="69" t="n">
        <f aca="false">IF($A36="","",Data_Engine!$AD36)</f>
        <v>0</v>
      </c>
      <c r="E36" s="69" t="n">
        <f aca="false">IF($A36="","",Data_Engine!$AE36)</f>
        <v>0</v>
      </c>
      <c r="F36" s="73" t="n">
        <f aca="false">IF($A36="","",$D36-$E36)</f>
        <v>0</v>
      </c>
      <c r="G36" s="72" t="str">
        <f aca="false">IF($A36="","",IF(ROUND($E36,2)=0,"n/a",$F36/ABS($E36)))</f>
        <v>n/a</v>
      </c>
      <c r="H36" s="70" t="n">
        <f aca="false">IF($A36="","",Data_Engine!$AH36)</f>
        <v>0</v>
      </c>
      <c r="I36" s="69" t="n">
        <f aca="false">IF($A36="","",Data_Engine!$AI36)</f>
        <v>0</v>
      </c>
      <c r="J36" s="71" t="n">
        <f aca="false">IF($A36="","",$H36-$I36)</f>
        <v>0</v>
      </c>
      <c r="K36" s="72" t="str">
        <f aca="false">IF($A36="","",IF(ROUND($I36,2)=0,"n/a",$J36/ABS($I36)))</f>
        <v>n/a</v>
      </c>
      <c r="L36" s="69" t="n">
        <f aca="false">IF($A36="","",Data_Engine!$AJ36)</f>
        <v>0</v>
      </c>
      <c r="M36" s="73" t="n">
        <f aca="false">IF($A36="","",IF(Setup!$B$8=0,0,$H36/Setup!$B$8*12))</f>
        <v>0</v>
      </c>
      <c r="N36" s="72" t="str">
        <f aca="false">IF($A36="","",IF(ROUND($L36,2)=0,"n/a",($M36-$L36)/ABS($L36)))</f>
        <v>n/a</v>
      </c>
      <c r="O36" s="76" t="str">
        <f aca="false">IF($A36="","",IF(AND(ROUND($H36,2)=0,ROUND($I36,2)=0),"Dormant",IF(ROUND($I36,2)=0,"New this year",IF(ROUND($H36,2)=0,"Ceased",IF($J36&gt;0,"Increase",IF($J36&lt;0,"Decrease","Flat"))))))</f>
        <v>Dormant</v>
      </c>
      <c r="P36" s="74" t="str">
        <f aca="false">IF($A36="","",IF(AND(ROUND($H36,2)=0,ROUND($I36,2)=0),"No Activity",IF(ABS($J36)&lt;Setup!$B$14,"Low",IF(ROUND($I36,2)=0,"High",IF(OR(ABS($J36/$I36)&gt;=Setup!$B$16,ABS($J36)&gt;=Setup!$B$17),"High",IF(ABS($J36/$I36)&gt;=Setup!$B$15,"Medium","Low"))))))</f>
        <v>No Activity</v>
      </c>
      <c r="Q36" s="57"/>
      <c r="R36" s="75" t="n">
        <f aca="false">IF($A36="",-1000000000000000,IF(ROUND(ABS($J36),0)=0,-1000000000000000,ABS($J36)+ROW()/1000000))</f>
        <v>-1000000000000000</v>
      </c>
    </row>
    <row r="37" customFormat="false" ht="15" hidden="false" customHeight="false" outlineLevel="0" collapsed="false">
      <c r="A37" s="68" t="str">
        <f aca="false">IF(Data_Engine!$A37="","",Data_Engine!$A37)</f>
        <v>Subscriptions &amp; Licences - Income</v>
      </c>
      <c r="B37" s="42" t="str">
        <f aca="false">IF($A37="","",Data_Engine!$B37)</f>
        <v>Income</v>
      </c>
      <c r="C37" s="42" t="str">
        <f aca="false">IF($A37="","",Data_Engine!$D37)</f>
        <v>Unallocated</v>
      </c>
      <c r="D37" s="69" t="n">
        <f aca="false">IF($A37="","",Data_Engine!$AD37)</f>
        <v>0</v>
      </c>
      <c r="E37" s="69" t="n">
        <f aca="false">IF($A37="","",Data_Engine!$AE37)</f>
        <v>0</v>
      </c>
      <c r="F37" s="73" t="n">
        <f aca="false">IF($A37="","",$D37-$E37)</f>
        <v>0</v>
      </c>
      <c r="G37" s="72" t="str">
        <f aca="false">IF($A37="","",IF(ROUND($E37,2)=0,"n/a",$F37/ABS($E37)))</f>
        <v>n/a</v>
      </c>
      <c r="H37" s="70" t="n">
        <f aca="false">IF($A37="","",Data_Engine!$AH37)</f>
        <v>0</v>
      </c>
      <c r="I37" s="69" t="n">
        <f aca="false">IF($A37="","",Data_Engine!$AI37)</f>
        <v>0</v>
      </c>
      <c r="J37" s="71" t="n">
        <f aca="false">IF($A37="","",$H37-$I37)</f>
        <v>0</v>
      </c>
      <c r="K37" s="72" t="str">
        <f aca="false">IF($A37="","",IF(ROUND($I37,2)=0,"n/a",$J37/ABS($I37)))</f>
        <v>n/a</v>
      </c>
      <c r="L37" s="69" t="n">
        <f aca="false">IF($A37="","",Data_Engine!$AJ37)</f>
        <v>0</v>
      </c>
      <c r="M37" s="73" t="n">
        <f aca="false">IF($A37="","",IF(Setup!$B$8=0,0,$H37/Setup!$B$8*12))</f>
        <v>0</v>
      </c>
      <c r="N37" s="72" t="str">
        <f aca="false">IF($A37="","",IF(ROUND($L37,2)=0,"n/a",($M37-$L37)/ABS($L37)))</f>
        <v>n/a</v>
      </c>
      <c r="O37" s="76" t="str">
        <f aca="false">IF($A37="","",IF(AND(ROUND($H37,2)=0,ROUND($I37,2)=0),"Dormant",IF(ROUND($I37,2)=0,"New this year",IF(ROUND($H37,2)=0,"Ceased",IF($J37&gt;0,"Increase",IF($J37&lt;0,"Decrease","Flat"))))))</f>
        <v>Dormant</v>
      </c>
      <c r="P37" s="74" t="str">
        <f aca="false">IF($A37="","",IF(AND(ROUND($H37,2)=0,ROUND($I37,2)=0),"No Activity",IF(ABS($J37)&lt;Setup!$B$14,"Low",IF(ROUND($I37,2)=0,"High",IF(OR(ABS($J37/$I37)&gt;=Setup!$B$16,ABS($J37)&gt;=Setup!$B$17),"High",IF(ABS($J37/$I37)&gt;=Setup!$B$15,"Medium","Low"))))))</f>
        <v>No Activity</v>
      </c>
      <c r="Q37" s="57"/>
      <c r="R37" s="75" t="n">
        <f aca="false">IF($A37="",-1000000000000000,IF(ROUND(ABS($J37),0)=0,-1000000000000000,ABS($J37)+ROW()/1000000))</f>
        <v>-1000000000000000</v>
      </c>
    </row>
    <row r="38" customFormat="false" ht="15" hidden="false" customHeight="false" outlineLevel="0" collapsed="false">
      <c r="A38" s="68" t="str">
        <f aca="false">IF(Data_Engine!$A38="","",Data_Engine!$A38)</f>
        <v>Tech Consulting/Project Manage</v>
      </c>
      <c r="B38" s="42" t="str">
        <f aca="false">IF($A38="","",Data_Engine!$B38)</f>
        <v>Income</v>
      </c>
      <c r="C38" s="42" t="str">
        <f aca="false">IF($A38="","",Data_Engine!$D38)</f>
        <v>Unallocated</v>
      </c>
      <c r="D38" s="69" t="n">
        <f aca="false">IF($A38="","",Data_Engine!$AD38)</f>
        <v>0</v>
      </c>
      <c r="E38" s="69" t="n">
        <f aca="false">IF($A38="","",Data_Engine!$AE38)</f>
        <v>0</v>
      </c>
      <c r="F38" s="73" t="n">
        <f aca="false">IF($A38="","",$D38-$E38)</f>
        <v>0</v>
      </c>
      <c r="G38" s="72" t="str">
        <f aca="false">IF($A38="","",IF(ROUND($E38,2)=0,"n/a",$F38/ABS($E38)))</f>
        <v>n/a</v>
      </c>
      <c r="H38" s="70" t="n">
        <f aca="false">IF($A38="","",Data_Engine!$AH38)</f>
        <v>0</v>
      </c>
      <c r="I38" s="69" t="n">
        <f aca="false">IF($A38="","",Data_Engine!$AI38)</f>
        <v>0</v>
      </c>
      <c r="J38" s="71" t="n">
        <f aca="false">IF($A38="","",$H38-$I38)</f>
        <v>0</v>
      </c>
      <c r="K38" s="72" t="str">
        <f aca="false">IF($A38="","",IF(ROUND($I38,2)=0,"n/a",$J38/ABS($I38)))</f>
        <v>n/a</v>
      </c>
      <c r="L38" s="69" t="n">
        <f aca="false">IF($A38="","",Data_Engine!$AJ38)</f>
        <v>0</v>
      </c>
      <c r="M38" s="73" t="n">
        <f aca="false">IF($A38="","",IF(Setup!$B$8=0,0,$H38/Setup!$B$8*12))</f>
        <v>0</v>
      </c>
      <c r="N38" s="72" t="str">
        <f aca="false">IF($A38="","",IF(ROUND($L38,2)=0,"n/a",($M38-$L38)/ABS($L38)))</f>
        <v>n/a</v>
      </c>
      <c r="O38" s="76" t="str">
        <f aca="false">IF($A38="","",IF(AND(ROUND($H38,2)=0,ROUND($I38,2)=0),"Dormant",IF(ROUND($I38,2)=0,"New this year",IF(ROUND($H38,2)=0,"Ceased",IF($J38&gt;0,"Increase",IF($J38&lt;0,"Decrease","Flat"))))))</f>
        <v>Dormant</v>
      </c>
      <c r="P38" s="74" t="str">
        <f aca="false">IF($A38="","",IF(AND(ROUND($H38,2)=0,ROUND($I38,2)=0),"No Activity",IF(ABS($J38)&lt;Setup!$B$14,"Low",IF(ROUND($I38,2)=0,"High",IF(OR(ABS($J38/$I38)&gt;=Setup!$B$16,ABS($J38)&gt;=Setup!$B$17),"High",IF(ABS($J38/$I38)&gt;=Setup!$B$15,"Medium","Low"))))))</f>
        <v>No Activity</v>
      </c>
      <c r="Q38" s="57"/>
      <c r="R38" s="75" t="n">
        <f aca="false">IF($A38="",-1000000000000000,IF(ROUND(ABS($J38),0)=0,-1000000000000000,ABS($J38)+ROW()/1000000))</f>
        <v>-1000000000000000</v>
      </c>
    </row>
    <row r="39" customFormat="false" ht="15" hidden="false" customHeight="false" outlineLevel="0" collapsed="false">
      <c r="A39" s="68" t="str">
        <f aca="false">IF(Data_Engine!$A39="","",Data_Engine!$A39)</f>
        <v>Tech Event Management</v>
      </c>
      <c r="B39" s="42" t="str">
        <f aca="false">IF($A39="","",Data_Engine!$B39)</f>
        <v>Income</v>
      </c>
      <c r="C39" s="42" t="str">
        <f aca="false">IF($A39="","",Data_Engine!$D39)</f>
        <v>Unallocated</v>
      </c>
      <c r="D39" s="69" t="n">
        <f aca="false">IF($A39="","",Data_Engine!$AD39)</f>
        <v>0</v>
      </c>
      <c r="E39" s="69" t="n">
        <f aca="false">IF($A39="","",Data_Engine!$AE39)</f>
        <v>0</v>
      </c>
      <c r="F39" s="73" t="n">
        <f aca="false">IF($A39="","",$D39-$E39)</f>
        <v>0</v>
      </c>
      <c r="G39" s="72" t="str">
        <f aca="false">IF($A39="","",IF(ROUND($E39,2)=0,"n/a",$F39/ABS($E39)))</f>
        <v>n/a</v>
      </c>
      <c r="H39" s="70" t="n">
        <f aca="false">IF($A39="","",Data_Engine!$AH39)</f>
        <v>0</v>
      </c>
      <c r="I39" s="69" t="n">
        <f aca="false">IF($A39="","",Data_Engine!$AI39)</f>
        <v>0</v>
      </c>
      <c r="J39" s="71" t="n">
        <f aca="false">IF($A39="","",$H39-$I39)</f>
        <v>0</v>
      </c>
      <c r="K39" s="72" t="str">
        <f aca="false">IF($A39="","",IF(ROUND($I39,2)=0,"n/a",$J39/ABS($I39)))</f>
        <v>n/a</v>
      </c>
      <c r="L39" s="69" t="n">
        <f aca="false">IF($A39="","",Data_Engine!$AJ39)</f>
        <v>0</v>
      </c>
      <c r="M39" s="73" t="n">
        <f aca="false">IF($A39="","",IF(Setup!$B$8=0,0,$H39/Setup!$B$8*12))</f>
        <v>0</v>
      </c>
      <c r="N39" s="72" t="str">
        <f aca="false">IF($A39="","",IF(ROUND($L39,2)=0,"n/a",($M39-$L39)/ABS($L39)))</f>
        <v>n/a</v>
      </c>
      <c r="O39" s="76" t="str">
        <f aca="false">IF($A39="","",IF(AND(ROUND($H39,2)=0,ROUND($I39,2)=0),"Dormant",IF(ROUND($I39,2)=0,"New this year",IF(ROUND($H39,2)=0,"Ceased",IF($J39&gt;0,"Increase",IF($J39&lt;0,"Decrease","Flat"))))))</f>
        <v>Dormant</v>
      </c>
      <c r="P39" s="74" t="str">
        <f aca="false">IF($A39="","",IF(AND(ROUND($H39,2)=0,ROUND($I39,2)=0),"No Activity",IF(ABS($J39)&lt;Setup!$B$14,"Low",IF(ROUND($I39,2)=0,"High",IF(OR(ABS($J39/$I39)&gt;=Setup!$B$16,ABS($J39)&gt;=Setup!$B$17),"High",IF(ABS($J39/$I39)&gt;=Setup!$B$15,"Medium","Low"))))))</f>
        <v>No Activity</v>
      </c>
      <c r="Q39" s="57"/>
      <c r="R39" s="75" t="n">
        <f aca="false">IF($A39="",-1000000000000000,IF(ROUND(ABS($J39),0)=0,-1000000000000000,ABS($J39)+ROW()/1000000))</f>
        <v>-1000000000000000</v>
      </c>
    </row>
    <row r="40" customFormat="false" ht="15" hidden="false" customHeight="false" outlineLevel="0" collapsed="false">
      <c r="A40" s="68" t="str">
        <f aca="false">IF(Data_Engine!$A40="","",Data_Engine!$A40)</f>
        <v>Video Labour</v>
      </c>
      <c r="B40" s="42" t="str">
        <f aca="false">IF($A40="","",Data_Engine!$B40)</f>
        <v>Income</v>
      </c>
      <c r="C40" s="42" t="str">
        <f aca="false">IF($A40="","",Data_Engine!$D40)</f>
        <v>Unallocated</v>
      </c>
      <c r="D40" s="69" t="n">
        <f aca="false">IF($A40="","",Data_Engine!$AD40)</f>
        <v>0</v>
      </c>
      <c r="E40" s="69" t="n">
        <f aca="false">IF($A40="","",Data_Engine!$AE40)</f>
        <v>0</v>
      </c>
      <c r="F40" s="73" t="n">
        <f aca="false">IF($A40="","",$D40-$E40)</f>
        <v>0</v>
      </c>
      <c r="G40" s="72" t="str">
        <f aca="false">IF($A40="","",IF(ROUND($E40,2)=0,"n/a",$F40/ABS($E40)))</f>
        <v>n/a</v>
      </c>
      <c r="H40" s="70" t="n">
        <f aca="false">IF($A40="","",Data_Engine!$AH40)</f>
        <v>0</v>
      </c>
      <c r="I40" s="69" t="n">
        <f aca="false">IF($A40="","",Data_Engine!$AI40)</f>
        <v>0</v>
      </c>
      <c r="J40" s="71" t="n">
        <f aca="false">IF($A40="","",$H40-$I40)</f>
        <v>0</v>
      </c>
      <c r="K40" s="72" t="str">
        <f aca="false">IF($A40="","",IF(ROUND($I40,2)=0,"n/a",$J40/ABS($I40)))</f>
        <v>n/a</v>
      </c>
      <c r="L40" s="69" t="n">
        <f aca="false">IF($A40="","",Data_Engine!$AJ40)</f>
        <v>0</v>
      </c>
      <c r="M40" s="73" t="n">
        <f aca="false">IF($A40="","",IF(Setup!$B$8=0,0,$H40/Setup!$B$8*12))</f>
        <v>0</v>
      </c>
      <c r="N40" s="72" t="str">
        <f aca="false">IF($A40="","",IF(ROUND($L40,2)=0,"n/a",($M40-$L40)/ABS($L40)))</f>
        <v>n/a</v>
      </c>
      <c r="O40" s="76" t="str">
        <f aca="false">IF($A40="","",IF(AND(ROUND($H40,2)=0,ROUND($I40,2)=0),"Dormant",IF(ROUND($I40,2)=0,"New this year",IF(ROUND($H40,2)=0,"Ceased",IF($J40&gt;0,"Increase",IF($J40&lt;0,"Decrease","Flat"))))))</f>
        <v>Dormant</v>
      </c>
      <c r="P40" s="74" t="str">
        <f aca="false">IF($A40="","",IF(AND(ROUND($H40,2)=0,ROUND($I40,2)=0),"No Activity",IF(ABS($J40)&lt;Setup!$B$14,"Low",IF(ROUND($I40,2)=0,"High",IF(OR(ABS($J40/$I40)&gt;=Setup!$B$16,ABS($J40)&gt;=Setup!$B$17),"High",IF(ABS($J40/$I40)&gt;=Setup!$B$15,"Medium","Low"))))))</f>
        <v>No Activity</v>
      </c>
      <c r="Q40" s="57"/>
      <c r="R40" s="75" t="n">
        <f aca="false">IF($A40="",-1000000000000000,IF(ROUND(ABS($J40),0)=0,-1000000000000000,ABS($J40)+ROW()/1000000))</f>
        <v>-1000000000000000</v>
      </c>
    </row>
    <row r="41" customFormat="false" ht="15" hidden="false" customHeight="false" outlineLevel="0" collapsed="false">
      <c r="A41" s="68" t="str">
        <f aca="false">IF(Data_Engine!$A41="","",Data_Engine!$A41)</f>
        <v>Credit Card Paid - ADMIN</v>
      </c>
      <c r="B41" s="42" t="str">
        <f aca="false">IF($A41="","",Data_Engine!$B41)</f>
        <v>Cost of Sales</v>
      </c>
      <c r="C41" s="42" t="str">
        <f aca="false">IF($A41="","",Data_Engine!$D41)</f>
        <v>Admin</v>
      </c>
      <c r="D41" s="69" t="n">
        <f aca="false">IF($A41="","",Data_Engine!$AD41)</f>
        <v>0</v>
      </c>
      <c r="E41" s="69" t="n">
        <f aca="false">IF($A41="","",Data_Engine!$AE41)</f>
        <v>0</v>
      </c>
      <c r="F41" s="73" t="n">
        <f aca="false">IF($A41="","",$D41-$E41)</f>
        <v>0</v>
      </c>
      <c r="G41" s="72" t="str">
        <f aca="false">IF($A41="","",IF(ROUND($E41,2)=0,"n/a",$F41/ABS($E41)))</f>
        <v>n/a</v>
      </c>
      <c r="H41" s="70" t="n">
        <f aca="false">IF($A41="","",Data_Engine!$AH41)</f>
        <v>0</v>
      </c>
      <c r="I41" s="69" t="n">
        <f aca="false">IF($A41="","",Data_Engine!$AI41)</f>
        <v>0</v>
      </c>
      <c r="J41" s="71" t="n">
        <f aca="false">IF($A41="","",$H41-$I41)</f>
        <v>0</v>
      </c>
      <c r="K41" s="72" t="str">
        <f aca="false">IF($A41="","",IF(ROUND($I41,2)=0,"n/a",$J41/ABS($I41)))</f>
        <v>n/a</v>
      </c>
      <c r="L41" s="69" t="n">
        <f aca="false">IF($A41="","",Data_Engine!$AJ41)</f>
        <v>0</v>
      </c>
      <c r="M41" s="73" t="n">
        <f aca="false">IF($A41="","",IF(Setup!$B$8=0,0,$H41/Setup!$B$8*12))</f>
        <v>0</v>
      </c>
      <c r="N41" s="72" t="str">
        <f aca="false">IF($A41="","",IF(ROUND($L41,2)=0,"n/a",($M41-$L41)/ABS($L41)))</f>
        <v>n/a</v>
      </c>
      <c r="O41" s="76" t="str">
        <f aca="false">IF($A41="","",IF(AND(ROUND($H41,2)=0,ROUND($I41,2)=0),"Dormant",IF(ROUND($I41,2)=0,"New this year",IF(ROUND($H41,2)=0,"Ceased",IF($J41&gt;0,"Increase",IF($J41&lt;0,"Decrease","Flat"))))))</f>
        <v>Dormant</v>
      </c>
      <c r="P41" s="74" t="str">
        <f aca="false">IF($A41="","",IF(AND(ROUND($H41,2)=0,ROUND($I41,2)=0),"No Activity",IF(ABS($J41)&lt;Setup!$B$14,"Low",IF(ROUND($I41,2)=0,"High",IF(OR(ABS($J41/$I41)&gt;=Setup!$B$16,ABS($J41)&gt;=Setup!$B$17),"High",IF(ABS($J41/$I41)&gt;=Setup!$B$15,"Medium","Low"))))))</f>
        <v>No Activity</v>
      </c>
      <c r="Q41" s="57"/>
      <c r="R41" s="75" t="n">
        <f aca="false">IF($A41="",-1000000000000000,IF(ROUND(ABS($J41),0)=0,-1000000000000000,ABS($J41)+ROW()/1000000))</f>
        <v>-1000000000000000</v>
      </c>
    </row>
    <row r="42" customFormat="false" ht="15" hidden="false" customHeight="false" outlineLevel="0" collapsed="false">
      <c r="A42" s="68" t="str">
        <f aca="false">IF(Data_Engine!$A42="","",Data_Engine!$A42)</f>
        <v>Credit Card Paid - CONS</v>
      </c>
      <c r="B42" s="42" t="str">
        <f aca="false">IF($A42="","",Data_Engine!$B42)</f>
        <v>Cost of Sales</v>
      </c>
      <c r="C42" s="42" t="str">
        <f aca="false">IF($A42="","",Data_Engine!$D42)</f>
        <v>Consulting</v>
      </c>
      <c r="D42" s="69" t="n">
        <f aca="false">IF($A42="","",Data_Engine!$AD42)</f>
        <v>0</v>
      </c>
      <c r="E42" s="69" t="n">
        <f aca="false">IF($A42="","",Data_Engine!$AE42)</f>
        <v>0</v>
      </c>
      <c r="F42" s="73" t="n">
        <f aca="false">IF($A42="","",$D42-$E42)</f>
        <v>0</v>
      </c>
      <c r="G42" s="72" t="str">
        <f aca="false">IF($A42="","",IF(ROUND($E42,2)=0,"n/a",$F42/ABS($E42)))</f>
        <v>n/a</v>
      </c>
      <c r="H42" s="70" t="n">
        <f aca="false">IF($A42="","",Data_Engine!$AH42)</f>
        <v>0</v>
      </c>
      <c r="I42" s="69" t="n">
        <f aca="false">IF($A42="","",Data_Engine!$AI42)</f>
        <v>0</v>
      </c>
      <c r="J42" s="71" t="n">
        <f aca="false">IF($A42="","",$H42-$I42)</f>
        <v>0</v>
      </c>
      <c r="K42" s="72" t="str">
        <f aca="false">IF($A42="","",IF(ROUND($I42,2)=0,"n/a",$J42/ABS($I42)))</f>
        <v>n/a</v>
      </c>
      <c r="L42" s="69" t="n">
        <f aca="false">IF($A42="","",Data_Engine!$AJ42)</f>
        <v>0</v>
      </c>
      <c r="M42" s="73" t="n">
        <f aca="false">IF($A42="","",IF(Setup!$B$8=0,0,$H42/Setup!$B$8*12))</f>
        <v>0</v>
      </c>
      <c r="N42" s="72" t="str">
        <f aca="false">IF($A42="","",IF(ROUND($L42,2)=0,"n/a",($M42-$L42)/ABS($L42)))</f>
        <v>n/a</v>
      </c>
      <c r="O42" s="76" t="str">
        <f aca="false">IF($A42="","",IF(AND(ROUND($H42,2)=0,ROUND($I42,2)=0),"Dormant",IF(ROUND($I42,2)=0,"New this year",IF(ROUND($H42,2)=0,"Ceased",IF($J42&gt;0,"Increase",IF($J42&lt;0,"Decrease","Flat"))))))</f>
        <v>Dormant</v>
      </c>
      <c r="P42" s="74" t="str">
        <f aca="false">IF($A42="","",IF(AND(ROUND($H42,2)=0,ROUND($I42,2)=0),"No Activity",IF(ABS($J42)&lt;Setup!$B$14,"Low",IF(ROUND($I42,2)=0,"High",IF(OR(ABS($J42/$I42)&gt;=Setup!$B$16,ABS($J42)&gt;=Setup!$B$17),"High",IF(ABS($J42/$I42)&gt;=Setup!$B$15,"Medium","Low"))))))</f>
        <v>No Activity</v>
      </c>
      <c r="Q42" s="57"/>
      <c r="R42" s="75" t="n">
        <f aca="false">IF($A42="",-1000000000000000,IF(ROUND(ABS($J42),0)=0,-1000000000000000,ABS($J42)+ROW()/1000000))</f>
        <v>-1000000000000000</v>
      </c>
    </row>
    <row r="43" customFormat="false" ht="15" hidden="false" customHeight="false" outlineLevel="0" collapsed="false">
      <c r="A43" s="68" t="str">
        <f aca="false">IF(Data_Engine!$A43="","",Data_Engine!$A43)</f>
        <v>Credit Card Paid - INTEGRATION</v>
      </c>
      <c r="B43" s="42" t="str">
        <f aca="false">IF($A43="","",Data_Engine!$B43)</f>
        <v>Cost of Sales</v>
      </c>
      <c r="C43" s="42" t="str">
        <f aca="false">IF($A43="","",Data_Engine!$D43)</f>
        <v>Integration</v>
      </c>
      <c r="D43" s="69" t="n">
        <f aca="false">IF($A43="","",Data_Engine!$AD43)</f>
        <v>0</v>
      </c>
      <c r="E43" s="69" t="n">
        <f aca="false">IF($A43="","",Data_Engine!$AE43)</f>
        <v>0</v>
      </c>
      <c r="F43" s="73" t="n">
        <f aca="false">IF($A43="","",$D43-$E43)</f>
        <v>0</v>
      </c>
      <c r="G43" s="72" t="str">
        <f aca="false">IF($A43="","",IF(ROUND($E43,2)=0,"n/a",$F43/ABS($E43)))</f>
        <v>n/a</v>
      </c>
      <c r="H43" s="70" t="n">
        <f aca="false">IF($A43="","",Data_Engine!$AH43)</f>
        <v>0</v>
      </c>
      <c r="I43" s="69" t="n">
        <f aca="false">IF($A43="","",Data_Engine!$AI43)</f>
        <v>0</v>
      </c>
      <c r="J43" s="71" t="n">
        <f aca="false">IF($A43="","",$H43-$I43)</f>
        <v>0</v>
      </c>
      <c r="K43" s="72" t="str">
        <f aca="false">IF($A43="","",IF(ROUND($I43,2)=0,"n/a",$J43/ABS($I43)))</f>
        <v>n/a</v>
      </c>
      <c r="L43" s="69" t="n">
        <f aca="false">IF($A43="","",Data_Engine!$AJ43)</f>
        <v>0</v>
      </c>
      <c r="M43" s="73" t="n">
        <f aca="false">IF($A43="","",IF(Setup!$B$8=0,0,$H43/Setup!$B$8*12))</f>
        <v>0</v>
      </c>
      <c r="N43" s="72" t="str">
        <f aca="false">IF($A43="","",IF(ROUND($L43,2)=0,"n/a",($M43-$L43)/ABS($L43)))</f>
        <v>n/a</v>
      </c>
      <c r="O43" s="76" t="str">
        <f aca="false">IF($A43="","",IF(AND(ROUND($H43,2)=0,ROUND($I43,2)=0),"Dormant",IF(ROUND($I43,2)=0,"New this year",IF(ROUND($H43,2)=0,"Ceased",IF($J43&gt;0,"Increase",IF($J43&lt;0,"Decrease","Flat"))))))</f>
        <v>Dormant</v>
      </c>
      <c r="P43" s="74" t="str">
        <f aca="false">IF($A43="","",IF(AND(ROUND($H43,2)=0,ROUND($I43,2)=0),"No Activity",IF(ABS($J43)&lt;Setup!$B$14,"Low",IF(ROUND($I43,2)=0,"High",IF(OR(ABS($J43/$I43)&gt;=Setup!$B$16,ABS($J43)&gt;=Setup!$B$17),"High",IF(ABS($J43/$I43)&gt;=Setup!$B$15,"Medium","Low"))))))</f>
        <v>No Activity</v>
      </c>
      <c r="Q43" s="57"/>
      <c r="R43" s="75" t="n">
        <f aca="false">IF($A43="",-1000000000000000,IF(ROUND(ABS($J43),0)=0,-1000000000000000,ABS($J43)+ROW()/1000000))</f>
        <v>-1000000000000000</v>
      </c>
    </row>
    <row r="44" customFormat="false" ht="15" hidden="false" customHeight="false" outlineLevel="0" collapsed="false">
      <c r="A44" s="68" t="str">
        <f aca="false">IF(Data_Engine!$A44="","",Data_Engine!$A44)</f>
        <v>Credit Card Paid - ONS</v>
      </c>
      <c r="B44" s="42" t="str">
        <f aca="false">IF($A44="","",Data_Engine!$B44)</f>
        <v>Cost of Sales</v>
      </c>
      <c r="C44" s="42" t="str">
        <f aca="false">IF($A44="","",Data_Engine!$D44)</f>
        <v>Onsite</v>
      </c>
      <c r="D44" s="69" t="n">
        <f aca="false">IF($A44="","",Data_Engine!$AD44)</f>
        <v>0</v>
      </c>
      <c r="E44" s="69" t="n">
        <f aca="false">IF($A44="","",Data_Engine!$AE44)</f>
        <v>0</v>
      </c>
      <c r="F44" s="73" t="n">
        <f aca="false">IF($A44="","",$D44-$E44)</f>
        <v>0</v>
      </c>
      <c r="G44" s="72" t="str">
        <f aca="false">IF($A44="","",IF(ROUND($E44,2)=0,"n/a",$F44/ABS($E44)))</f>
        <v>n/a</v>
      </c>
      <c r="H44" s="70" t="n">
        <f aca="false">IF($A44="","",Data_Engine!$AH44)</f>
        <v>0</v>
      </c>
      <c r="I44" s="69" t="n">
        <f aca="false">IF($A44="","",Data_Engine!$AI44)</f>
        <v>0</v>
      </c>
      <c r="J44" s="71" t="n">
        <f aca="false">IF($A44="","",$H44-$I44)</f>
        <v>0</v>
      </c>
      <c r="K44" s="72" t="str">
        <f aca="false">IF($A44="","",IF(ROUND($I44,2)=0,"n/a",$J44/ABS($I44)))</f>
        <v>n/a</v>
      </c>
      <c r="L44" s="69" t="n">
        <f aca="false">IF($A44="","",Data_Engine!$AJ44)</f>
        <v>0</v>
      </c>
      <c r="M44" s="73" t="n">
        <f aca="false">IF($A44="","",IF(Setup!$B$8=0,0,$H44/Setup!$B$8*12))</f>
        <v>0</v>
      </c>
      <c r="N44" s="72" t="str">
        <f aca="false">IF($A44="","",IF(ROUND($L44,2)=0,"n/a",($M44-$L44)/ABS($L44)))</f>
        <v>n/a</v>
      </c>
      <c r="O44" s="76" t="str">
        <f aca="false">IF($A44="","",IF(AND(ROUND($H44,2)=0,ROUND($I44,2)=0),"Dormant",IF(ROUND($I44,2)=0,"New this year",IF(ROUND($H44,2)=0,"Ceased",IF($J44&gt;0,"Increase",IF($J44&lt;0,"Decrease","Flat"))))))</f>
        <v>Dormant</v>
      </c>
      <c r="P44" s="74" t="str">
        <f aca="false">IF($A44="","",IF(AND(ROUND($H44,2)=0,ROUND($I44,2)=0),"No Activity",IF(ABS($J44)&lt;Setup!$B$14,"Low",IF(ROUND($I44,2)=0,"High",IF(OR(ABS($J44/$I44)&gt;=Setup!$B$16,ABS($J44)&gt;=Setup!$B$17),"High",IF(ABS($J44/$I44)&gt;=Setup!$B$15,"Medium","Low"))))))</f>
        <v>No Activity</v>
      </c>
      <c r="Q44" s="57"/>
      <c r="R44" s="75" t="n">
        <f aca="false">IF($A44="",-1000000000000000,IF(ROUND(ABS($J44),0)=0,-1000000000000000,ABS($J44)+ROW()/1000000))</f>
        <v>-1000000000000000</v>
      </c>
    </row>
    <row r="45" customFormat="false" ht="15" hidden="false" customHeight="false" outlineLevel="0" collapsed="false">
      <c r="A45" s="68" t="str">
        <f aca="false">IF(Data_Engine!$A45="","",Data_Engine!$A45)</f>
        <v>Credit Card Paid - PRD</v>
      </c>
      <c r="B45" s="42" t="str">
        <f aca="false">IF($A45="","",Data_Engine!$B45)</f>
        <v>Cost of Sales</v>
      </c>
      <c r="C45" s="42" t="str">
        <f aca="false">IF($A45="","",Data_Engine!$D45)</f>
        <v>Production</v>
      </c>
      <c r="D45" s="69" t="n">
        <f aca="false">IF($A45="","",Data_Engine!$AD45)</f>
        <v>0</v>
      </c>
      <c r="E45" s="69" t="n">
        <f aca="false">IF($A45="","",Data_Engine!$AE45)</f>
        <v>0</v>
      </c>
      <c r="F45" s="73" t="n">
        <f aca="false">IF($A45="","",$D45-$E45)</f>
        <v>0</v>
      </c>
      <c r="G45" s="72" t="str">
        <f aca="false">IF($A45="","",IF(ROUND($E45,2)=0,"n/a",$F45/ABS($E45)))</f>
        <v>n/a</v>
      </c>
      <c r="H45" s="70" t="n">
        <f aca="false">IF($A45="","",Data_Engine!$AH45)</f>
        <v>0</v>
      </c>
      <c r="I45" s="69" t="n">
        <f aca="false">IF($A45="","",Data_Engine!$AI45)</f>
        <v>0</v>
      </c>
      <c r="J45" s="71" t="n">
        <f aca="false">IF($A45="","",$H45-$I45)</f>
        <v>0</v>
      </c>
      <c r="K45" s="72" t="str">
        <f aca="false">IF($A45="","",IF(ROUND($I45,2)=0,"n/a",$J45/ABS($I45)))</f>
        <v>n/a</v>
      </c>
      <c r="L45" s="69" t="n">
        <f aca="false">IF($A45="","",Data_Engine!$AJ45)</f>
        <v>0</v>
      </c>
      <c r="M45" s="73" t="n">
        <f aca="false">IF($A45="","",IF(Setup!$B$8=0,0,$H45/Setup!$B$8*12))</f>
        <v>0</v>
      </c>
      <c r="N45" s="72" t="str">
        <f aca="false">IF($A45="","",IF(ROUND($L45,2)=0,"n/a",($M45-$L45)/ABS($L45)))</f>
        <v>n/a</v>
      </c>
      <c r="O45" s="76" t="str">
        <f aca="false">IF($A45="","",IF(AND(ROUND($H45,2)=0,ROUND($I45,2)=0),"Dormant",IF(ROUND($I45,2)=0,"New this year",IF(ROUND($H45,2)=0,"Ceased",IF($J45&gt;0,"Increase",IF($J45&lt;0,"Decrease","Flat"))))))</f>
        <v>Dormant</v>
      </c>
      <c r="P45" s="74" t="str">
        <f aca="false">IF($A45="","",IF(AND(ROUND($H45,2)=0,ROUND($I45,2)=0),"No Activity",IF(ABS($J45)&lt;Setup!$B$14,"Low",IF(ROUND($I45,2)=0,"High",IF(OR(ABS($J45/$I45)&gt;=Setup!$B$16,ABS($J45)&gt;=Setup!$B$17),"High",IF(ABS($J45/$I45)&gt;=Setup!$B$15,"Medium","Low"))))))</f>
        <v>No Activity</v>
      </c>
      <c r="Q45" s="57"/>
      <c r="R45" s="75" t="n">
        <f aca="false">IF($A45="",-1000000000000000,IF(ROUND(ABS($J45),0)=0,-1000000000000000,ABS($J45)+ROW()/1000000))</f>
        <v>-1000000000000000</v>
      </c>
    </row>
    <row r="46" customFormat="false" ht="15" hidden="false" customHeight="false" outlineLevel="0" collapsed="false">
      <c r="A46" s="68" t="str">
        <f aca="false">IF(Data_Engine!$A46="","",Data_Engine!$A46)</f>
        <v>Credit Card Paid - VID</v>
      </c>
      <c r="B46" s="42" t="str">
        <f aca="false">IF($A46="","",Data_Engine!$B46)</f>
        <v>Cost of Sales</v>
      </c>
      <c r="C46" s="42" t="str">
        <f aca="false">IF($A46="","",Data_Engine!$D46)</f>
        <v>Video</v>
      </c>
      <c r="D46" s="69" t="n">
        <f aca="false">IF($A46="","",Data_Engine!$AD46)</f>
        <v>0</v>
      </c>
      <c r="E46" s="69" t="n">
        <f aca="false">IF($A46="","",Data_Engine!$AE46)</f>
        <v>0</v>
      </c>
      <c r="F46" s="73" t="n">
        <f aca="false">IF($A46="","",$D46-$E46)</f>
        <v>0</v>
      </c>
      <c r="G46" s="72" t="str">
        <f aca="false">IF($A46="","",IF(ROUND($E46,2)=0,"n/a",$F46/ABS($E46)))</f>
        <v>n/a</v>
      </c>
      <c r="H46" s="70" t="n">
        <f aca="false">IF($A46="","",Data_Engine!$AH46)</f>
        <v>0</v>
      </c>
      <c r="I46" s="69" t="n">
        <f aca="false">IF($A46="","",Data_Engine!$AI46)</f>
        <v>0</v>
      </c>
      <c r="J46" s="71" t="n">
        <f aca="false">IF($A46="","",$H46-$I46)</f>
        <v>0</v>
      </c>
      <c r="K46" s="72" t="str">
        <f aca="false">IF($A46="","",IF(ROUND($I46,2)=0,"n/a",$J46/ABS($I46)))</f>
        <v>n/a</v>
      </c>
      <c r="L46" s="69" t="n">
        <f aca="false">IF($A46="","",Data_Engine!$AJ46)</f>
        <v>0</v>
      </c>
      <c r="M46" s="73" t="n">
        <f aca="false">IF($A46="","",IF(Setup!$B$8=0,0,$H46/Setup!$B$8*12))</f>
        <v>0</v>
      </c>
      <c r="N46" s="72" t="str">
        <f aca="false">IF($A46="","",IF(ROUND($L46,2)=0,"n/a",($M46-$L46)/ABS($L46)))</f>
        <v>n/a</v>
      </c>
      <c r="O46" s="76" t="str">
        <f aca="false">IF($A46="","",IF(AND(ROUND($H46,2)=0,ROUND($I46,2)=0),"Dormant",IF(ROUND($I46,2)=0,"New this year",IF(ROUND($H46,2)=0,"Ceased",IF($J46&gt;0,"Increase",IF($J46&lt;0,"Decrease","Flat"))))))</f>
        <v>Dormant</v>
      </c>
      <c r="P46" s="74" t="str">
        <f aca="false">IF($A46="","",IF(AND(ROUND($H46,2)=0,ROUND($I46,2)=0),"No Activity",IF(ABS($J46)&lt;Setup!$B$14,"Low",IF(ROUND($I46,2)=0,"High",IF(OR(ABS($J46/$I46)&gt;=Setup!$B$16,ABS($J46)&gt;=Setup!$B$17),"High",IF(ABS($J46/$I46)&gt;=Setup!$B$15,"Medium","Low"))))))</f>
        <v>No Activity</v>
      </c>
      <c r="Q46" s="57"/>
      <c r="R46" s="75" t="n">
        <f aca="false">IF($A46="",-1000000000000000,IF(ROUND(ABS($J46),0)=0,-1000000000000000,ABS($J46)+ROW()/1000000))</f>
        <v>-1000000000000000</v>
      </c>
    </row>
    <row r="47" customFormat="false" ht="15" hidden="false" customHeight="false" outlineLevel="0" collapsed="false">
      <c r="A47" s="68" t="str">
        <f aca="false">IF(Data_Engine!$A47="","",Data_Engine!$A47)</f>
        <v>Damage Waiver</v>
      </c>
      <c r="B47" s="42" t="str">
        <f aca="false">IF($A47="","",Data_Engine!$B47)</f>
        <v>Cost of Sales</v>
      </c>
      <c r="C47" s="42" t="str">
        <f aca="false">IF($A47="","",Data_Engine!$D47)</f>
        <v>Unallocated</v>
      </c>
      <c r="D47" s="69" t="n">
        <f aca="false">IF($A47="","",Data_Engine!$AD47)</f>
        <v>0</v>
      </c>
      <c r="E47" s="69" t="n">
        <f aca="false">IF($A47="","",Data_Engine!$AE47)</f>
        <v>0</v>
      </c>
      <c r="F47" s="73" t="n">
        <f aca="false">IF($A47="","",$D47-$E47)</f>
        <v>0</v>
      </c>
      <c r="G47" s="72" t="str">
        <f aca="false">IF($A47="","",IF(ROUND($E47,2)=0,"n/a",$F47/ABS($E47)))</f>
        <v>n/a</v>
      </c>
      <c r="H47" s="70" t="n">
        <f aca="false">IF($A47="","",Data_Engine!$AH47)</f>
        <v>0</v>
      </c>
      <c r="I47" s="69" t="n">
        <f aca="false">IF($A47="","",Data_Engine!$AI47)</f>
        <v>0</v>
      </c>
      <c r="J47" s="71" t="n">
        <f aca="false">IF($A47="","",$H47-$I47)</f>
        <v>0</v>
      </c>
      <c r="K47" s="72" t="str">
        <f aca="false">IF($A47="","",IF(ROUND($I47,2)=0,"n/a",$J47/ABS($I47)))</f>
        <v>n/a</v>
      </c>
      <c r="L47" s="69" t="n">
        <f aca="false">IF($A47="","",Data_Engine!$AJ47)</f>
        <v>0</v>
      </c>
      <c r="M47" s="73" t="n">
        <f aca="false">IF($A47="","",IF(Setup!$B$8=0,0,$H47/Setup!$B$8*12))</f>
        <v>0</v>
      </c>
      <c r="N47" s="72" t="str">
        <f aca="false">IF($A47="","",IF(ROUND($L47,2)=0,"n/a",($M47-$L47)/ABS($L47)))</f>
        <v>n/a</v>
      </c>
      <c r="O47" s="76" t="str">
        <f aca="false">IF($A47="","",IF(AND(ROUND($H47,2)=0,ROUND($I47,2)=0),"Dormant",IF(ROUND($I47,2)=0,"New this year",IF(ROUND($H47,2)=0,"Ceased",IF($J47&gt;0,"Increase",IF($J47&lt;0,"Decrease","Flat"))))))</f>
        <v>Dormant</v>
      </c>
      <c r="P47" s="74" t="str">
        <f aca="false">IF($A47="","",IF(AND(ROUND($H47,2)=0,ROUND($I47,2)=0),"No Activity",IF(ABS($J47)&lt;Setup!$B$14,"Low",IF(ROUND($I47,2)=0,"High",IF(OR(ABS($J47/$I47)&gt;=Setup!$B$16,ABS($J47)&gt;=Setup!$B$17),"High",IF(ABS($J47/$I47)&gt;=Setup!$B$15,"Medium","Low"))))))</f>
        <v>No Activity</v>
      </c>
      <c r="Q47" s="57"/>
      <c r="R47" s="75" t="n">
        <f aca="false">IF($A47="",-1000000000000000,IF(ROUND(ABS($J47),0)=0,-1000000000000000,ABS($J47)+ROW()/1000000))</f>
        <v>-1000000000000000</v>
      </c>
    </row>
    <row r="48" customFormat="false" ht="15" hidden="false" customHeight="false" outlineLevel="0" collapsed="false">
      <c r="A48" s="68" t="str">
        <f aca="false">IF(Data_Engine!$A48="","",Data_Engine!$A48)</f>
        <v>Direct Freight - ADMIN</v>
      </c>
      <c r="B48" s="42" t="str">
        <f aca="false">IF($A48="","",Data_Engine!$B48)</f>
        <v>Cost of Sales</v>
      </c>
      <c r="C48" s="42" t="str">
        <f aca="false">IF($A48="","",Data_Engine!$D48)</f>
        <v>Admin</v>
      </c>
      <c r="D48" s="69" t="n">
        <f aca="false">IF($A48="","",Data_Engine!$AD48)</f>
        <v>0</v>
      </c>
      <c r="E48" s="69" t="n">
        <f aca="false">IF($A48="","",Data_Engine!$AE48)</f>
        <v>0</v>
      </c>
      <c r="F48" s="73" t="n">
        <f aca="false">IF($A48="","",$D48-$E48)</f>
        <v>0</v>
      </c>
      <c r="G48" s="72" t="str">
        <f aca="false">IF($A48="","",IF(ROUND($E48,2)=0,"n/a",$F48/ABS($E48)))</f>
        <v>n/a</v>
      </c>
      <c r="H48" s="70" t="n">
        <f aca="false">IF($A48="","",Data_Engine!$AH48)</f>
        <v>0</v>
      </c>
      <c r="I48" s="69" t="n">
        <f aca="false">IF($A48="","",Data_Engine!$AI48)</f>
        <v>0</v>
      </c>
      <c r="J48" s="71" t="n">
        <f aca="false">IF($A48="","",$H48-$I48)</f>
        <v>0</v>
      </c>
      <c r="K48" s="72" t="str">
        <f aca="false">IF($A48="","",IF(ROUND($I48,2)=0,"n/a",$J48/ABS($I48)))</f>
        <v>n/a</v>
      </c>
      <c r="L48" s="69" t="n">
        <f aca="false">IF($A48="","",Data_Engine!$AJ48)</f>
        <v>0</v>
      </c>
      <c r="M48" s="73" t="n">
        <f aca="false">IF($A48="","",IF(Setup!$B$8=0,0,$H48/Setup!$B$8*12))</f>
        <v>0</v>
      </c>
      <c r="N48" s="72" t="str">
        <f aca="false">IF($A48="","",IF(ROUND($L48,2)=0,"n/a",($M48-$L48)/ABS($L48)))</f>
        <v>n/a</v>
      </c>
      <c r="O48" s="76" t="str">
        <f aca="false">IF($A48="","",IF(AND(ROUND($H48,2)=0,ROUND($I48,2)=0),"Dormant",IF(ROUND($I48,2)=0,"New this year",IF(ROUND($H48,2)=0,"Ceased",IF($J48&gt;0,"Increase",IF($J48&lt;0,"Decrease","Flat"))))))</f>
        <v>Dormant</v>
      </c>
      <c r="P48" s="74" t="str">
        <f aca="false">IF($A48="","",IF(AND(ROUND($H48,2)=0,ROUND($I48,2)=0),"No Activity",IF(ABS($J48)&lt;Setup!$B$14,"Low",IF(ROUND($I48,2)=0,"High",IF(OR(ABS($J48/$I48)&gt;=Setup!$B$16,ABS($J48)&gt;=Setup!$B$17),"High",IF(ABS($J48/$I48)&gt;=Setup!$B$15,"Medium","Low"))))))</f>
        <v>No Activity</v>
      </c>
      <c r="Q48" s="57"/>
      <c r="R48" s="75" t="n">
        <f aca="false">IF($A48="",-1000000000000000,IF(ROUND(ABS($J48),0)=0,-1000000000000000,ABS($J48)+ROW()/1000000))</f>
        <v>-1000000000000000</v>
      </c>
    </row>
    <row r="49" customFormat="false" ht="15" hidden="false" customHeight="false" outlineLevel="0" collapsed="false">
      <c r="A49" s="68" t="str">
        <f aca="false">IF(Data_Engine!$A49="","",Data_Engine!$A49)</f>
        <v>Direct Freight - CONS</v>
      </c>
      <c r="B49" s="42" t="str">
        <f aca="false">IF($A49="","",Data_Engine!$B49)</f>
        <v>Cost of Sales</v>
      </c>
      <c r="C49" s="42" t="str">
        <f aca="false">IF($A49="","",Data_Engine!$D49)</f>
        <v>Consulting</v>
      </c>
      <c r="D49" s="69" t="n">
        <f aca="false">IF($A49="","",Data_Engine!$AD49)</f>
        <v>0</v>
      </c>
      <c r="E49" s="69" t="n">
        <f aca="false">IF($A49="","",Data_Engine!$AE49)</f>
        <v>0</v>
      </c>
      <c r="F49" s="73" t="n">
        <f aca="false">IF($A49="","",$D49-$E49)</f>
        <v>0</v>
      </c>
      <c r="G49" s="72" t="str">
        <f aca="false">IF($A49="","",IF(ROUND($E49,2)=0,"n/a",$F49/ABS($E49)))</f>
        <v>n/a</v>
      </c>
      <c r="H49" s="70" t="n">
        <f aca="false">IF($A49="","",Data_Engine!$AH49)</f>
        <v>0</v>
      </c>
      <c r="I49" s="69" t="n">
        <f aca="false">IF($A49="","",Data_Engine!$AI49)</f>
        <v>0</v>
      </c>
      <c r="J49" s="71" t="n">
        <f aca="false">IF($A49="","",$H49-$I49)</f>
        <v>0</v>
      </c>
      <c r="K49" s="72" t="str">
        <f aca="false">IF($A49="","",IF(ROUND($I49,2)=0,"n/a",$J49/ABS($I49)))</f>
        <v>n/a</v>
      </c>
      <c r="L49" s="69" t="n">
        <f aca="false">IF($A49="","",Data_Engine!$AJ49)</f>
        <v>0</v>
      </c>
      <c r="M49" s="73" t="n">
        <f aca="false">IF($A49="","",IF(Setup!$B$8=0,0,$H49/Setup!$B$8*12))</f>
        <v>0</v>
      </c>
      <c r="N49" s="72" t="str">
        <f aca="false">IF($A49="","",IF(ROUND($L49,2)=0,"n/a",($M49-$L49)/ABS($L49)))</f>
        <v>n/a</v>
      </c>
      <c r="O49" s="76" t="str">
        <f aca="false">IF($A49="","",IF(AND(ROUND($H49,2)=0,ROUND($I49,2)=0),"Dormant",IF(ROUND($I49,2)=0,"New this year",IF(ROUND($H49,2)=0,"Ceased",IF($J49&gt;0,"Increase",IF($J49&lt;0,"Decrease","Flat"))))))</f>
        <v>Dormant</v>
      </c>
      <c r="P49" s="74" t="str">
        <f aca="false">IF($A49="","",IF(AND(ROUND($H49,2)=0,ROUND($I49,2)=0),"No Activity",IF(ABS($J49)&lt;Setup!$B$14,"Low",IF(ROUND($I49,2)=0,"High",IF(OR(ABS($J49/$I49)&gt;=Setup!$B$16,ABS($J49)&gt;=Setup!$B$17),"High",IF(ABS($J49/$I49)&gt;=Setup!$B$15,"Medium","Low"))))))</f>
        <v>No Activity</v>
      </c>
      <c r="Q49" s="57"/>
      <c r="R49" s="75" t="n">
        <f aca="false">IF($A49="",-1000000000000000,IF(ROUND(ABS($J49),0)=0,-1000000000000000,ABS($J49)+ROW()/1000000))</f>
        <v>-1000000000000000</v>
      </c>
    </row>
    <row r="50" customFormat="false" ht="15" hidden="false" customHeight="false" outlineLevel="0" collapsed="false">
      <c r="A50" s="68" t="str">
        <f aca="false">IF(Data_Engine!$A50="","",Data_Engine!$A50)</f>
        <v>Direct Freight - INTEGRATION</v>
      </c>
      <c r="B50" s="42" t="str">
        <f aca="false">IF($A50="","",Data_Engine!$B50)</f>
        <v>Cost of Sales</v>
      </c>
      <c r="C50" s="42" t="str">
        <f aca="false">IF($A50="","",Data_Engine!$D50)</f>
        <v>Integration</v>
      </c>
      <c r="D50" s="69" t="n">
        <f aca="false">IF($A50="","",Data_Engine!$AD50)</f>
        <v>0</v>
      </c>
      <c r="E50" s="69" t="n">
        <f aca="false">IF($A50="","",Data_Engine!$AE50)</f>
        <v>0</v>
      </c>
      <c r="F50" s="73" t="n">
        <f aca="false">IF($A50="","",$D50-$E50)</f>
        <v>0</v>
      </c>
      <c r="G50" s="72" t="str">
        <f aca="false">IF($A50="","",IF(ROUND($E50,2)=0,"n/a",$F50/ABS($E50)))</f>
        <v>n/a</v>
      </c>
      <c r="H50" s="70" t="n">
        <f aca="false">IF($A50="","",Data_Engine!$AH50)</f>
        <v>0</v>
      </c>
      <c r="I50" s="69" t="n">
        <f aca="false">IF($A50="","",Data_Engine!$AI50)</f>
        <v>0</v>
      </c>
      <c r="J50" s="71" t="n">
        <f aca="false">IF($A50="","",$H50-$I50)</f>
        <v>0</v>
      </c>
      <c r="K50" s="72" t="str">
        <f aca="false">IF($A50="","",IF(ROUND($I50,2)=0,"n/a",$J50/ABS($I50)))</f>
        <v>n/a</v>
      </c>
      <c r="L50" s="69" t="n">
        <f aca="false">IF($A50="","",Data_Engine!$AJ50)</f>
        <v>0</v>
      </c>
      <c r="M50" s="73" t="n">
        <f aca="false">IF($A50="","",IF(Setup!$B$8=0,0,$H50/Setup!$B$8*12))</f>
        <v>0</v>
      </c>
      <c r="N50" s="72" t="str">
        <f aca="false">IF($A50="","",IF(ROUND($L50,2)=0,"n/a",($M50-$L50)/ABS($L50)))</f>
        <v>n/a</v>
      </c>
      <c r="O50" s="76" t="str">
        <f aca="false">IF($A50="","",IF(AND(ROUND($H50,2)=0,ROUND($I50,2)=0),"Dormant",IF(ROUND($I50,2)=0,"New this year",IF(ROUND($H50,2)=0,"Ceased",IF($J50&gt;0,"Increase",IF($J50&lt;0,"Decrease","Flat"))))))</f>
        <v>Dormant</v>
      </c>
      <c r="P50" s="74" t="str">
        <f aca="false">IF($A50="","",IF(AND(ROUND($H50,2)=0,ROUND($I50,2)=0),"No Activity",IF(ABS($J50)&lt;Setup!$B$14,"Low",IF(ROUND($I50,2)=0,"High",IF(OR(ABS($J50/$I50)&gt;=Setup!$B$16,ABS($J50)&gt;=Setup!$B$17),"High",IF(ABS($J50/$I50)&gt;=Setup!$B$15,"Medium","Low"))))))</f>
        <v>No Activity</v>
      </c>
      <c r="Q50" s="57"/>
      <c r="R50" s="75" t="n">
        <f aca="false">IF($A50="",-1000000000000000,IF(ROUND(ABS($J50),0)=0,-1000000000000000,ABS($J50)+ROW()/1000000))</f>
        <v>-1000000000000000</v>
      </c>
    </row>
    <row r="51" customFormat="false" ht="15" hidden="false" customHeight="false" outlineLevel="0" collapsed="false">
      <c r="A51" s="68" t="str">
        <f aca="false">IF(Data_Engine!$A51="","",Data_Engine!$A51)</f>
        <v>Direct Freight - ONS</v>
      </c>
      <c r="B51" s="42" t="str">
        <f aca="false">IF($A51="","",Data_Engine!$B51)</f>
        <v>Cost of Sales</v>
      </c>
      <c r="C51" s="42" t="str">
        <f aca="false">IF($A51="","",Data_Engine!$D51)</f>
        <v>Onsite</v>
      </c>
      <c r="D51" s="69" t="n">
        <f aca="false">IF($A51="","",Data_Engine!$AD51)</f>
        <v>0</v>
      </c>
      <c r="E51" s="69" t="n">
        <f aca="false">IF($A51="","",Data_Engine!$AE51)</f>
        <v>0</v>
      </c>
      <c r="F51" s="73" t="n">
        <f aca="false">IF($A51="","",$D51-$E51)</f>
        <v>0</v>
      </c>
      <c r="G51" s="72" t="str">
        <f aca="false">IF($A51="","",IF(ROUND($E51,2)=0,"n/a",$F51/ABS($E51)))</f>
        <v>n/a</v>
      </c>
      <c r="H51" s="70" t="n">
        <f aca="false">IF($A51="","",Data_Engine!$AH51)</f>
        <v>0</v>
      </c>
      <c r="I51" s="69" t="n">
        <f aca="false">IF($A51="","",Data_Engine!$AI51)</f>
        <v>0</v>
      </c>
      <c r="J51" s="71" t="n">
        <f aca="false">IF($A51="","",$H51-$I51)</f>
        <v>0</v>
      </c>
      <c r="K51" s="72" t="str">
        <f aca="false">IF($A51="","",IF(ROUND($I51,2)=0,"n/a",$J51/ABS($I51)))</f>
        <v>n/a</v>
      </c>
      <c r="L51" s="69" t="n">
        <f aca="false">IF($A51="","",Data_Engine!$AJ51)</f>
        <v>0</v>
      </c>
      <c r="M51" s="73" t="n">
        <f aca="false">IF($A51="","",IF(Setup!$B$8=0,0,$H51/Setup!$B$8*12))</f>
        <v>0</v>
      </c>
      <c r="N51" s="72" t="str">
        <f aca="false">IF($A51="","",IF(ROUND($L51,2)=0,"n/a",($M51-$L51)/ABS($L51)))</f>
        <v>n/a</v>
      </c>
      <c r="O51" s="76" t="str">
        <f aca="false">IF($A51="","",IF(AND(ROUND($H51,2)=0,ROUND($I51,2)=0),"Dormant",IF(ROUND($I51,2)=0,"New this year",IF(ROUND($H51,2)=0,"Ceased",IF($J51&gt;0,"Increase",IF($J51&lt;0,"Decrease","Flat"))))))</f>
        <v>Dormant</v>
      </c>
      <c r="P51" s="74" t="str">
        <f aca="false">IF($A51="","",IF(AND(ROUND($H51,2)=0,ROUND($I51,2)=0),"No Activity",IF(ABS($J51)&lt;Setup!$B$14,"Low",IF(ROUND($I51,2)=0,"High",IF(OR(ABS($J51/$I51)&gt;=Setup!$B$16,ABS($J51)&gt;=Setup!$B$17),"High",IF(ABS($J51/$I51)&gt;=Setup!$B$15,"Medium","Low"))))))</f>
        <v>No Activity</v>
      </c>
      <c r="Q51" s="57"/>
      <c r="R51" s="75" t="n">
        <f aca="false">IF($A51="",-1000000000000000,IF(ROUND(ABS($J51),0)=0,-1000000000000000,ABS($J51)+ROW()/1000000))</f>
        <v>-1000000000000000</v>
      </c>
    </row>
    <row r="52" customFormat="false" ht="15" hidden="false" customHeight="false" outlineLevel="0" collapsed="false">
      <c r="A52" s="68" t="str">
        <f aca="false">IF(Data_Engine!$A52="","",Data_Engine!$A52)</f>
        <v>Direct Freight - PRD</v>
      </c>
      <c r="B52" s="42" t="str">
        <f aca="false">IF($A52="","",Data_Engine!$B52)</f>
        <v>Cost of Sales</v>
      </c>
      <c r="C52" s="42" t="str">
        <f aca="false">IF($A52="","",Data_Engine!$D52)</f>
        <v>Production</v>
      </c>
      <c r="D52" s="69" t="n">
        <f aca="false">IF($A52="","",Data_Engine!$AD52)</f>
        <v>0</v>
      </c>
      <c r="E52" s="69" t="n">
        <f aca="false">IF($A52="","",Data_Engine!$AE52)</f>
        <v>0</v>
      </c>
      <c r="F52" s="73" t="n">
        <f aca="false">IF($A52="","",$D52-$E52)</f>
        <v>0</v>
      </c>
      <c r="G52" s="72" t="str">
        <f aca="false">IF($A52="","",IF(ROUND($E52,2)=0,"n/a",$F52/ABS($E52)))</f>
        <v>n/a</v>
      </c>
      <c r="H52" s="70" t="n">
        <f aca="false">IF($A52="","",Data_Engine!$AH52)</f>
        <v>0</v>
      </c>
      <c r="I52" s="69" t="n">
        <f aca="false">IF($A52="","",Data_Engine!$AI52)</f>
        <v>0</v>
      </c>
      <c r="J52" s="71" t="n">
        <f aca="false">IF($A52="","",$H52-$I52)</f>
        <v>0</v>
      </c>
      <c r="K52" s="72" t="str">
        <f aca="false">IF($A52="","",IF(ROUND($I52,2)=0,"n/a",$J52/ABS($I52)))</f>
        <v>n/a</v>
      </c>
      <c r="L52" s="69" t="n">
        <f aca="false">IF($A52="","",Data_Engine!$AJ52)</f>
        <v>0</v>
      </c>
      <c r="M52" s="73" t="n">
        <f aca="false">IF($A52="","",IF(Setup!$B$8=0,0,$H52/Setup!$B$8*12))</f>
        <v>0</v>
      </c>
      <c r="N52" s="72" t="str">
        <f aca="false">IF($A52="","",IF(ROUND($L52,2)=0,"n/a",($M52-$L52)/ABS($L52)))</f>
        <v>n/a</v>
      </c>
      <c r="O52" s="76" t="str">
        <f aca="false">IF($A52="","",IF(AND(ROUND($H52,2)=0,ROUND($I52,2)=0),"Dormant",IF(ROUND($I52,2)=0,"New this year",IF(ROUND($H52,2)=0,"Ceased",IF($J52&gt;0,"Increase",IF($J52&lt;0,"Decrease","Flat"))))))</f>
        <v>Dormant</v>
      </c>
      <c r="P52" s="74" t="str">
        <f aca="false">IF($A52="","",IF(AND(ROUND($H52,2)=0,ROUND($I52,2)=0),"No Activity",IF(ABS($J52)&lt;Setup!$B$14,"Low",IF(ROUND($I52,2)=0,"High",IF(OR(ABS($J52/$I52)&gt;=Setup!$B$16,ABS($J52)&gt;=Setup!$B$17),"High",IF(ABS($J52/$I52)&gt;=Setup!$B$15,"Medium","Low"))))))</f>
        <v>No Activity</v>
      </c>
      <c r="Q52" s="57"/>
      <c r="R52" s="75" t="n">
        <f aca="false">IF($A52="",-1000000000000000,IF(ROUND(ABS($J52),0)=0,-1000000000000000,ABS($J52)+ROW()/1000000))</f>
        <v>-1000000000000000</v>
      </c>
    </row>
    <row r="53" customFormat="false" ht="15" hidden="false" customHeight="false" outlineLevel="0" collapsed="false">
      <c r="A53" s="68" t="str">
        <f aca="false">IF(Data_Engine!$A53="","",Data_Engine!$A53)</f>
        <v>Direct Freight - VID</v>
      </c>
      <c r="B53" s="42" t="str">
        <f aca="false">IF($A53="","",Data_Engine!$B53)</f>
        <v>Cost of Sales</v>
      </c>
      <c r="C53" s="42" t="str">
        <f aca="false">IF($A53="","",Data_Engine!$D53)</f>
        <v>Video</v>
      </c>
      <c r="D53" s="69" t="n">
        <f aca="false">IF($A53="","",Data_Engine!$AD53)</f>
        <v>0</v>
      </c>
      <c r="E53" s="69" t="n">
        <f aca="false">IF($A53="","",Data_Engine!$AE53)</f>
        <v>0</v>
      </c>
      <c r="F53" s="73" t="n">
        <f aca="false">IF($A53="","",$D53-$E53)</f>
        <v>0</v>
      </c>
      <c r="G53" s="72" t="str">
        <f aca="false">IF($A53="","",IF(ROUND($E53,2)=0,"n/a",$F53/ABS($E53)))</f>
        <v>n/a</v>
      </c>
      <c r="H53" s="70" t="n">
        <f aca="false">IF($A53="","",Data_Engine!$AH53)</f>
        <v>0</v>
      </c>
      <c r="I53" s="69" t="n">
        <f aca="false">IF($A53="","",Data_Engine!$AI53)</f>
        <v>0</v>
      </c>
      <c r="J53" s="71" t="n">
        <f aca="false">IF($A53="","",$H53-$I53)</f>
        <v>0</v>
      </c>
      <c r="K53" s="72" t="str">
        <f aca="false">IF($A53="","",IF(ROUND($I53,2)=0,"n/a",$J53/ABS($I53)))</f>
        <v>n/a</v>
      </c>
      <c r="L53" s="69" t="n">
        <f aca="false">IF($A53="","",Data_Engine!$AJ53)</f>
        <v>0</v>
      </c>
      <c r="M53" s="73" t="n">
        <f aca="false">IF($A53="","",IF(Setup!$B$8=0,0,$H53/Setup!$B$8*12))</f>
        <v>0</v>
      </c>
      <c r="N53" s="72" t="str">
        <f aca="false">IF($A53="","",IF(ROUND($L53,2)=0,"n/a",($M53-$L53)/ABS($L53)))</f>
        <v>n/a</v>
      </c>
      <c r="O53" s="76" t="str">
        <f aca="false">IF($A53="","",IF(AND(ROUND($H53,2)=0,ROUND($I53,2)=0),"Dormant",IF(ROUND($I53,2)=0,"New this year",IF(ROUND($H53,2)=0,"Ceased",IF($J53&gt;0,"Increase",IF($J53&lt;0,"Decrease","Flat"))))))</f>
        <v>Dormant</v>
      </c>
      <c r="P53" s="74" t="str">
        <f aca="false">IF($A53="","",IF(AND(ROUND($H53,2)=0,ROUND($I53,2)=0),"No Activity",IF(ABS($J53)&lt;Setup!$B$14,"Low",IF(ROUND($I53,2)=0,"High",IF(OR(ABS($J53/$I53)&gt;=Setup!$B$16,ABS($J53)&gt;=Setup!$B$17),"High",IF(ABS($J53/$I53)&gt;=Setup!$B$15,"Medium","Low"))))))</f>
        <v>No Activity</v>
      </c>
      <c r="Q53" s="57"/>
      <c r="R53" s="75" t="n">
        <f aca="false">IF($A53="",-1000000000000000,IF(ROUND(ABS($J53),0)=0,-1000000000000000,ABS($J53)+ROW()/1000000))</f>
        <v>-1000000000000000</v>
      </c>
    </row>
    <row r="54" customFormat="false" ht="15" hidden="false" customHeight="false" outlineLevel="0" collapsed="false">
      <c r="A54" s="68" t="str">
        <f aca="false">IF(Data_Engine!$A54="","",Data_Engine!$A54)</f>
        <v>Direct Mobile - CONS</v>
      </c>
      <c r="B54" s="42" t="str">
        <f aca="false">IF($A54="","",Data_Engine!$B54)</f>
        <v>Cost of Sales</v>
      </c>
      <c r="C54" s="42" t="str">
        <f aca="false">IF($A54="","",Data_Engine!$D54)</f>
        <v>Consulting</v>
      </c>
      <c r="D54" s="69" t="n">
        <f aca="false">IF($A54="","",Data_Engine!$AD54)</f>
        <v>0</v>
      </c>
      <c r="E54" s="69" t="n">
        <f aca="false">IF($A54="","",Data_Engine!$AE54)</f>
        <v>0</v>
      </c>
      <c r="F54" s="73" t="n">
        <f aca="false">IF($A54="","",$D54-$E54)</f>
        <v>0</v>
      </c>
      <c r="G54" s="72" t="str">
        <f aca="false">IF($A54="","",IF(ROUND($E54,2)=0,"n/a",$F54/ABS($E54)))</f>
        <v>n/a</v>
      </c>
      <c r="H54" s="70" t="n">
        <f aca="false">IF($A54="","",Data_Engine!$AH54)</f>
        <v>0</v>
      </c>
      <c r="I54" s="69" t="n">
        <f aca="false">IF($A54="","",Data_Engine!$AI54)</f>
        <v>0</v>
      </c>
      <c r="J54" s="71" t="n">
        <f aca="false">IF($A54="","",$H54-$I54)</f>
        <v>0</v>
      </c>
      <c r="K54" s="72" t="str">
        <f aca="false">IF($A54="","",IF(ROUND($I54,2)=0,"n/a",$J54/ABS($I54)))</f>
        <v>n/a</v>
      </c>
      <c r="L54" s="69" t="n">
        <f aca="false">IF($A54="","",Data_Engine!$AJ54)</f>
        <v>0</v>
      </c>
      <c r="M54" s="73" t="n">
        <f aca="false">IF($A54="","",IF(Setup!$B$8=0,0,$H54/Setup!$B$8*12))</f>
        <v>0</v>
      </c>
      <c r="N54" s="72" t="str">
        <f aca="false">IF($A54="","",IF(ROUND($L54,2)=0,"n/a",($M54-$L54)/ABS($L54)))</f>
        <v>n/a</v>
      </c>
      <c r="O54" s="76" t="str">
        <f aca="false">IF($A54="","",IF(AND(ROUND($H54,2)=0,ROUND($I54,2)=0),"Dormant",IF(ROUND($I54,2)=0,"New this year",IF(ROUND($H54,2)=0,"Ceased",IF($J54&gt;0,"Increase",IF($J54&lt;0,"Decrease","Flat"))))))</f>
        <v>Dormant</v>
      </c>
      <c r="P54" s="74" t="str">
        <f aca="false">IF($A54="","",IF(AND(ROUND($H54,2)=0,ROUND($I54,2)=0),"No Activity",IF(ABS($J54)&lt;Setup!$B$14,"Low",IF(ROUND($I54,2)=0,"High",IF(OR(ABS($J54/$I54)&gt;=Setup!$B$16,ABS($J54)&gt;=Setup!$B$17),"High",IF(ABS($J54/$I54)&gt;=Setup!$B$15,"Medium","Low"))))))</f>
        <v>No Activity</v>
      </c>
      <c r="Q54" s="57"/>
      <c r="R54" s="75" t="n">
        <f aca="false">IF($A54="",-1000000000000000,IF(ROUND(ABS($J54),0)=0,-1000000000000000,ABS($J54)+ROW()/1000000))</f>
        <v>-1000000000000000</v>
      </c>
    </row>
    <row r="55" customFormat="false" ht="15" hidden="false" customHeight="false" outlineLevel="0" collapsed="false">
      <c r="A55" s="68" t="str">
        <f aca="false">IF(Data_Engine!$A55="","",Data_Engine!$A55)</f>
        <v>Direct Mobile - INTEGRATION</v>
      </c>
      <c r="B55" s="42" t="str">
        <f aca="false">IF($A55="","",Data_Engine!$B55)</f>
        <v>Cost of Sales</v>
      </c>
      <c r="C55" s="42" t="str">
        <f aca="false">IF($A55="","",Data_Engine!$D55)</f>
        <v>Integration</v>
      </c>
      <c r="D55" s="69" t="n">
        <f aca="false">IF($A55="","",Data_Engine!$AD55)</f>
        <v>0</v>
      </c>
      <c r="E55" s="69" t="n">
        <f aca="false">IF($A55="","",Data_Engine!$AE55)</f>
        <v>0</v>
      </c>
      <c r="F55" s="73" t="n">
        <f aca="false">IF($A55="","",$D55-$E55)</f>
        <v>0</v>
      </c>
      <c r="G55" s="72" t="str">
        <f aca="false">IF($A55="","",IF(ROUND($E55,2)=0,"n/a",$F55/ABS($E55)))</f>
        <v>n/a</v>
      </c>
      <c r="H55" s="70" t="n">
        <f aca="false">IF($A55="","",Data_Engine!$AH55)</f>
        <v>0</v>
      </c>
      <c r="I55" s="69" t="n">
        <f aca="false">IF($A55="","",Data_Engine!$AI55)</f>
        <v>0</v>
      </c>
      <c r="J55" s="71" t="n">
        <f aca="false">IF($A55="","",$H55-$I55)</f>
        <v>0</v>
      </c>
      <c r="K55" s="72" t="str">
        <f aca="false">IF($A55="","",IF(ROUND($I55,2)=0,"n/a",$J55/ABS($I55)))</f>
        <v>n/a</v>
      </c>
      <c r="L55" s="69" t="n">
        <f aca="false">IF($A55="","",Data_Engine!$AJ55)</f>
        <v>0</v>
      </c>
      <c r="M55" s="73" t="n">
        <f aca="false">IF($A55="","",IF(Setup!$B$8=0,0,$H55/Setup!$B$8*12))</f>
        <v>0</v>
      </c>
      <c r="N55" s="72" t="str">
        <f aca="false">IF($A55="","",IF(ROUND($L55,2)=0,"n/a",($M55-$L55)/ABS($L55)))</f>
        <v>n/a</v>
      </c>
      <c r="O55" s="76" t="str">
        <f aca="false">IF($A55="","",IF(AND(ROUND($H55,2)=0,ROUND($I55,2)=0),"Dormant",IF(ROUND($I55,2)=0,"New this year",IF(ROUND($H55,2)=0,"Ceased",IF($J55&gt;0,"Increase",IF($J55&lt;0,"Decrease","Flat"))))))</f>
        <v>Dormant</v>
      </c>
      <c r="P55" s="74" t="str">
        <f aca="false">IF($A55="","",IF(AND(ROUND($H55,2)=0,ROUND($I55,2)=0),"No Activity",IF(ABS($J55)&lt;Setup!$B$14,"Low",IF(ROUND($I55,2)=0,"High",IF(OR(ABS($J55/$I55)&gt;=Setup!$B$16,ABS($J55)&gt;=Setup!$B$17),"High",IF(ABS($J55/$I55)&gt;=Setup!$B$15,"Medium","Low"))))))</f>
        <v>No Activity</v>
      </c>
      <c r="Q55" s="57"/>
      <c r="R55" s="75" t="n">
        <f aca="false">IF($A55="",-1000000000000000,IF(ROUND(ABS($J55),0)=0,-1000000000000000,ABS($J55)+ROW()/1000000))</f>
        <v>-1000000000000000</v>
      </c>
    </row>
    <row r="56" customFormat="false" ht="15" hidden="false" customHeight="false" outlineLevel="0" collapsed="false">
      <c r="A56" s="68" t="str">
        <f aca="false">IF(Data_Engine!$A56="","",Data_Engine!$A56)</f>
        <v>Direct Mobile - ONS</v>
      </c>
      <c r="B56" s="42" t="str">
        <f aca="false">IF($A56="","",Data_Engine!$B56)</f>
        <v>Cost of Sales</v>
      </c>
      <c r="C56" s="42" t="str">
        <f aca="false">IF($A56="","",Data_Engine!$D56)</f>
        <v>Onsite</v>
      </c>
      <c r="D56" s="69" t="n">
        <f aca="false">IF($A56="","",Data_Engine!$AD56)</f>
        <v>0</v>
      </c>
      <c r="E56" s="69" t="n">
        <f aca="false">IF($A56="","",Data_Engine!$AE56)</f>
        <v>0</v>
      </c>
      <c r="F56" s="73" t="n">
        <f aca="false">IF($A56="","",$D56-$E56)</f>
        <v>0</v>
      </c>
      <c r="G56" s="72" t="str">
        <f aca="false">IF($A56="","",IF(ROUND($E56,2)=0,"n/a",$F56/ABS($E56)))</f>
        <v>n/a</v>
      </c>
      <c r="H56" s="70" t="n">
        <f aca="false">IF($A56="","",Data_Engine!$AH56)</f>
        <v>0</v>
      </c>
      <c r="I56" s="69" t="n">
        <f aca="false">IF($A56="","",Data_Engine!$AI56)</f>
        <v>0</v>
      </c>
      <c r="J56" s="71" t="n">
        <f aca="false">IF($A56="","",$H56-$I56)</f>
        <v>0</v>
      </c>
      <c r="K56" s="72" t="str">
        <f aca="false">IF($A56="","",IF(ROUND($I56,2)=0,"n/a",$J56/ABS($I56)))</f>
        <v>n/a</v>
      </c>
      <c r="L56" s="69" t="n">
        <f aca="false">IF($A56="","",Data_Engine!$AJ56)</f>
        <v>0</v>
      </c>
      <c r="M56" s="73" t="n">
        <f aca="false">IF($A56="","",IF(Setup!$B$8=0,0,$H56/Setup!$B$8*12))</f>
        <v>0</v>
      </c>
      <c r="N56" s="72" t="str">
        <f aca="false">IF($A56="","",IF(ROUND($L56,2)=0,"n/a",($M56-$L56)/ABS($L56)))</f>
        <v>n/a</v>
      </c>
      <c r="O56" s="76" t="str">
        <f aca="false">IF($A56="","",IF(AND(ROUND($H56,2)=0,ROUND($I56,2)=0),"Dormant",IF(ROUND($I56,2)=0,"New this year",IF(ROUND($H56,2)=0,"Ceased",IF($J56&gt;0,"Increase",IF($J56&lt;0,"Decrease","Flat"))))))</f>
        <v>Dormant</v>
      </c>
      <c r="P56" s="74" t="str">
        <f aca="false">IF($A56="","",IF(AND(ROUND($H56,2)=0,ROUND($I56,2)=0),"No Activity",IF(ABS($J56)&lt;Setup!$B$14,"Low",IF(ROUND($I56,2)=0,"High",IF(OR(ABS($J56/$I56)&gt;=Setup!$B$16,ABS($J56)&gt;=Setup!$B$17),"High",IF(ABS($J56/$I56)&gt;=Setup!$B$15,"Medium","Low"))))))</f>
        <v>No Activity</v>
      </c>
      <c r="Q56" s="57"/>
      <c r="R56" s="75" t="n">
        <f aca="false">IF($A56="",-1000000000000000,IF(ROUND(ABS($J56),0)=0,-1000000000000000,ABS($J56)+ROW()/1000000))</f>
        <v>-1000000000000000</v>
      </c>
    </row>
    <row r="57" customFormat="false" ht="15" hidden="false" customHeight="false" outlineLevel="0" collapsed="false">
      <c r="A57" s="68" t="str">
        <f aca="false">IF(Data_Engine!$A57="","",Data_Engine!$A57)</f>
        <v>Direct Mobile - PRD</v>
      </c>
      <c r="B57" s="42" t="str">
        <f aca="false">IF($A57="","",Data_Engine!$B57)</f>
        <v>Cost of Sales</v>
      </c>
      <c r="C57" s="42" t="str">
        <f aca="false">IF($A57="","",Data_Engine!$D57)</f>
        <v>Production</v>
      </c>
      <c r="D57" s="69" t="n">
        <f aca="false">IF($A57="","",Data_Engine!$AD57)</f>
        <v>0</v>
      </c>
      <c r="E57" s="69" t="n">
        <f aca="false">IF($A57="","",Data_Engine!$AE57)</f>
        <v>0</v>
      </c>
      <c r="F57" s="73" t="n">
        <f aca="false">IF($A57="","",$D57-$E57)</f>
        <v>0</v>
      </c>
      <c r="G57" s="72" t="str">
        <f aca="false">IF($A57="","",IF(ROUND($E57,2)=0,"n/a",$F57/ABS($E57)))</f>
        <v>n/a</v>
      </c>
      <c r="H57" s="70" t="n">
        <f aca="false">IF($A57="","",Data_Engine!$AH57)</f>
        <v>0</v>
      </c>
      <c r="I57" s="69" t="n">
        <f aca="false">IF($A57="","",Data_Engine!$AI57)</f>
        <v>0</v>
      </c>
      <c r="J57" s="71" t="n">
        <f aca="false">IF($A57="","",$H57-$I57)</f>
        <v>0</v>
      </c>
      <c r="K57" s="72" t="str">
        <f aca="false">IF($A57="","",IF(ROUND($I57,2)=0,"n/a",$J57/ABS($I57)))</f>
        <v>n/a</v>
      </c>
      <c r="L57" s="69" t="n">
        <f aca="false">IF($A57="","",Data_Engine!$AJ57)</f>
        <v>0</v>
      </c>
      <c r="M57" s="73" t="n">
        <f aca="false">IF($A57="","",IF(Setup!$B$8=0,0,$H57/Setup!$B$8*12))</f>
        <v>0</v>
      </c>
      <c r="N57" s="72" t="str">
        <f aca="false">IF($A57="","",IF(ROUND($L57,2)=0,"n/a",($M57-$L57)/ABS($L57)))</f>
        <v>n/a</v>
      </c>
      <c r="O57" s="76" t="str">
        <f aca="false">IF($A57="","",IF(AND(ROUND($H57,2)=0,ROUND($I57,2)=0),"Dormant",IF(ROUND($I57,2)=0,"New this year",IF(ROUND($H57,2)=0,"Ceased",IF($J57&gt;0,"Increase",IF($J57&lt;0,"Decrease","Flat"))))))</f>
        <v>Dormant</v>
      </c>
      <c r="P57" s="74" t="str">
        <f aca="false">IF($A57="","",IF(AND(ROUND($H57,2)=0,ROUND($I57,2)=0),"No Activity",IF(ABS($J57)&lt;Setup!$B$14,"Low",IF(ROUND($I57,2)=0,"High",IF(OR(ABS($J57/$I57)&gt;=Setup!$B$16,ABS($J57)&gt;=Setup!$B$17),"High",IF(ABS($J57/$I57)&gt;=Setup!$B$15,"Medium","Low"))))))</f>
        <v>No Activity</v>
      </c>
      <c r="Q57" s="57"/>
      <c r="R57" s="75" t="n">
        <f aca="false">IF($A57="",-1000000000000000,IF(ROUND(ABS($J57),0)=0,-1000000000000000,ABS($J57)+ROW()/1000000))</f>
        <v>-1000000000000000</v>
      </c>
    </row>
    <row r="58" customFormat="false" ht="15" hidden="false" customHeight="false" outlineLevel="0" collapsed="false">
      <c r="A58" s="68" t="str">
        <f aca="false">IF(Data_Engine!$A58="","",Data_Engine!$A58)</f>
        <v>Direct Mobile - VID</v>
      </c>
      <c r="B58" s="42" t="str">
        <f aca="false">IF($A58="","",Data_Engine!$B58)</f>
        <v>Cost of Sales</v>
      </c>
      <c r="C58" s="42" t="str">
        <f aca="false">IF($A58="","",Data_Engine!$D58)</f>
        <v>Video</v>
      </c>
      <c r="D58" s="69" t="n">
        <f aca="false">IF($A58="","",Data_Engine!$AD58)</f>
        <v>0</v>
      </c>
      <c r="E58" s="69" t="n">
        <f aca="false">IF($A58="","",Data_Engine!$AE58)</f>
        <v>0</v>
      </c>
      <c r="F58" s="73" t="n">
        <f aca="false">IF($A58="","",$D58-$E58)</f>
        <v>0</v>
      </c>
      <c r="G58" s="72" t="str">
        <f aca="false">IF($A58="","",IF(ROUND($E58,2)=0,"n/a",$F58/ABS($E58)))</f>
        <v>n/a</v>
      </c>
      <c r="H58" s="70" t="n">
        <f aca="false">IF($A58="","",Data_Engine!$AH58)</f>
        <v>0</v>
      </c>
      <c r="I58" s="69" t="n">
        <f aca="false">IF($A58="","",Data_Engine!$AI58)</f>
        <v>0</v>
      </c>
      <c r="J58" s="71" t="n">
        <f aca="false">IF($A58="","",$H58-$I58)</f>
        <v>0</v>
      </c>
      <c r="K58" s="72" t="str">
        <f aca="false">IF($A58="","",IF(ROUND($I58,2)=0,"n/a",$J58/ABS($I58)))</f>
        <v>n/a</v>
      </c>
      <c r="L58" s="69" t="n">
        <f aca="false">IF($A58="","",Data_Engine!$AJ58)</f>
        <v>0</v>
      </c>
      <c r="M58" s="73" t="n">
        <f aca="false">IF($A58="","",IF(Setup!$B$8=0,0,$H58/Setup!$B$8*12))</f>
        <v>0</v>
      </c>
      <c r="N58" s="72" t="str">
        <f aca="false">IF($A58="","",IF(ROUND($L58,2)=0,"n/a",($M58-$L58)/ABS($L58)))</f>
        <v>n/a</v>
      </c>
      <c r="O58" s="76" t="str">
        <f aca="false">IF($A58="","",IF(AND(ROUND($H58,2)=0,ROUND($I58,2)=0),"Dormant",IF(ROUND($I58,2)=0,"New this year",IF(ROUND($H58,2)=0,"Ceased",IF($J58&gt;0,"Increase",IF($J58&lt;0,"Decrease","Flat"))))))</f>
        <v>Dormant</v>
      </c>
      <c r="P58" s="74" t="str">
        <f aca="false">IF($A58="","",IF(AND(ROUND($H58,2)=0,ROUND($I58,2)=0),"No Activity",IF(ABS($J58)&lt;Setup!$B$14,"Low",IF(ROUND($I58,2)=0,"High",IF(OR(ABS($J58/$I58)&gt;=Setup!$B$16,ABS($J58)&gt;=Setup!$B$17),"High",IF(ABS($J58/$I58)&gt;=Setup!$B$15,"Medium","Low"))))))</f>
        <v>No Activity</v>
      </c>
      <c r="Q58" s="57"/>
      <c r="R58" s="75" t="n">
        <f aca="false">IF($A58="",-1000000000000000,IF(ROUND(ABS($J58),0)=0,-1000000000000000,ABS($J58)+ROW()/1000000))</f>
        <v>-1000000000000000</v>
      </c>
    </row>
    <row r="59" customFormat="false" ht="15" hidden="false" customHeight="false" outlineLevel="0" collapsed="false">
      <c r="A59" s="68" t="str">
        <f aca="false">IF(Data_Engine!$A59="","",Data_Engine!$A59)</f>
        <v>Direct Salaries - ADMIN</v>
      </c>
      <c r="B59" s="42" t="str">
        <f aca="false">IF($A59="","",Data_Engine!$B59)</f>
        <v>Cost of Sales</v>
      </c>
      <c r="C59" s="42" t="str">
        <f aca="false">IF($A59="","",Data_Engine!$D59)</f>
        <v>Admin</v>
      </c>
      <c r="D59" s="69" t="n">
        <f aca="false">IF($A59="","",Data_Engine!$AD59)</f>
        <v>0</v>
      </c>
      <c r="E59" s="69" t="n">
        <f aca="false">IF($A59="","",Data_Engine!$AE59)</f>
        <v>0</v>
      </c>
      <c r="F59" s="73" t="n">
        <f aca="false">IF($A59="","",$D59-$E59)</f>
        <v>0</v>
      </c>
      <c r="G59" s="72" t="str">
        <f aca="false">IF($A59="","",IF(ROUND($E59,2)=0,"n/a",$F59/ABS($E59)))</f>
        <v>n/a</v>
      </c>
      <c r="H59" s="70" t="n">
        <f aca="false">IF($A59="","",Data_Engine!$AH59)</f>
        <v>0</v>
      </c>
      <c r="I59" s="69" t="n">
        <f aca="false">IF($A59="","",Data_Engine!$AI59)</f>
        <v>0</v>
      </c>
      <c r="J59" s="71" t="n">
        <f aca="false">IF($A59="","",$H59-$I59)</f>
        <v>0</v>
      </c>
      <c r="K59" s="72" t="str">
        <f aca="false">IF($A59="","",IF(ROUND($I59,2)=0,"n/a",$J59/ABS($I59)))</f>
        <v>n/a</v>
      </c>
      <c r="L59" s="69" t="n">
        <f aca="false">IF($A59="","",Data_Engine!$AJ59)</f>
        <v>0</v>
      </c>
      <c r="M59" s="73" t="n">
        <f aca="false">IF($A59="","",IF(Setup!$B$8=0,0,$H59/Setup!$B$8*12))</f>
        <v>0</v>
      </c>
      <c r="N59" s="72" t="str">
        <f aca="false">IF($A59="","",IF(ROUND($L59,2)=0,"n/a",($M59-$L59)/ABS($L59)))</f>
        <v>n/a</v>
      </c>
      <c r="O59" s="76" t="str">
        <f aca="false">IF($A59="","",IF(AND(ROUND($H59,2)=0,ROUND($I59,2)=0),"Dormant",IF(ROUND($I59,2)=0,"New this year",IF(ROUND($H59,2)=0,"Ceased",IF($J59&gt;0,"Increase",IF($J59&lt;0,"Decrease","Flat"))))))</f>
        <v>Dormant</v>
      </c>
      <c r="P59" s="74" t="str">
        <f aca="false">IF($A59="","",IF(AND(ROUND($H59,2)=0,ROUND($I59,2)=0),"No Activity",IF(ABS($J59)&lt;Setup!$B$14,"Low",IF(ROUND($I59,2)=0,"High",IF(OR(ABS($J59/$I59)&gt;=Setup!$B$16,ABS($J59)&gt;=Setup!$B$17),"High",IF(ABS($J59/$I59)&gt;=Setup!$B$15,"Medium","Low"))))))</f>
        <v>No Activity</v>
      </c>
      <c r="Q59" s="57"/>
      <c r="R59" s="75" t="n">
        <f aca="false">IF($A59="",-1000000000000000,IF(ROUND(ABS($J59),0)=0,-1000000000000000,ABS($J59)+ROW()/1000000))</f>
        <v>-1000000000000000</v>
      </c>
    </row>
    <row r="60" customFormat="false" ht="15" hidden="false" customHeight="false" outlineLevel="0" collapsed="false">
      <c r="A60" s="68" t="str">
        <f aca="false">IF(Data_Engine!$A60="","",Data_Engine!$A60)</f>
        <v>Direct Salaries - CONS</v>
      </c>
      <c r="B60" s="42" t="str">
        <f aca="false">IF($A60="","",Data_Engine!$B60)</f>
        <v>Cost of Sales</v>
      </c>
      <c r="C60" s="42" t="str">
        <f aca="false">IF($A60="","",Data_Engine!$D60)</f>
        <v>Consulting</v>
      </c>
      <c r="D60" s="69" t="n">
        <f aca="false">IF($A60="","",Data_Engine!$AD60)</f>
        <v>0</v>
      </c>
      <c r="E60" s="69" t="n">
        <f aca="false">IF($A60="","",Data_Engine!$AE60)</f>
        <v>0</v>
      </c>
      <c r="F60" s="73" t="n">
        <f aca="false">IF($A60="","",$D60-$E60)</f>
        <v>0</v>
      </c>
      <c r="G60" s="72" t="str">
        <f aca="false">IF($A60="","",IF(ROUND($E60,2)=0,"n/a",$F60/ABS($E60)))</f>
        <v>n/a</v>
      </c>
      <c r="H60" s="70" t="n">
        <f aca="false">IF($A60="","",Data_Engine!$AH60)</f>
        <v>0</v>
      </c>
      <c r="I60" s="69" t="n">
        <f aca="false">IF($A60="","",Data_Engine!$AI60)</f>
        <v>0</v>
      </c>
      <c r="J60" s="71" t="n">
        <f aca="false">IF($A60="","",$H60-$I60)</f>
        <v>0</v>
      </c>
      <c r="K60" s="72" t="str">
        <f aca="false">IF($A60="","",IF(ROUND($I60,2)=0,"n/a",$J60/ABS($I60)))</f>
        <v>n/a</v>
      </c>
      <c r="L60" s="69" t="n">
        <f aca="false">IF($A60="","",Data_Engine!$AJ60)</f>
        <v>0</v>
      </c>
      <c r="M60" s="73" t="n">
        <f aca="false">IF($A60="","",IF(Setup!$B$8=0,0,$H60/Setup!$B$8*12))</f>
        <v>0</v>
      </c>
      <c r="N60" s="72" t="str">
        <f aca="false">IF($A60="","",IF(ROUND($L60,2)=0,"n/a",($M60-$L60)/ABS($L60)))</f>
        <v>n/a</v>
      </c>
      <c r="O60" s="76" t="str">
        <f aca="false">IF($A60="","",IF(AND(ROUND($H60,2)=0,ROUND($I60,2)=0),"Dormant",IF(ROUND($I60,2)=0,"New this year",IF(ROUND($H60,2)=0,"Ceased",IF($J60&gt;0,"Increase",IF($J60&lt;0,"Decrease","Flat"))))))</f>
        <v>Dormant</v>
      </c>
      <c r="P60" s="74" t="str">
        <f aca="false">IF($A60="","",IF(AND(ROUND($H60,2)=0,ROUND($I60,2)=0),"No Activity",IF(ABS($J60)&lt;Setup!$B$14,"Low",IF(ROUND($I60,2)=0,"High",IF(OR(ABS($J60/$I60)&gt;=Setup!$B$16,ABS($J60)&gt;=Setup!$B$17),"High",IF(ABS($J60/$I60)&gt;=Setup!$B$15,"Medium","Low"))))))</f>
        <v>No Activity</v>
      </c>
      <c r="Q60" s="57"/>
      <c r="R60" s="75" t="n">
        <f aca="false">IF($A60="",-1000000000000000,IF(ROUND(ABS($J60),0)=0,-1000000000000000,ABS($J60)+ROW()/1000000))</f>
        <v>-1000000000000000</v>
      </c>
    </row>
    <row r="61" customFormat="false" ht="15" hidden="false" customHeight="false" outlineLevel="0" collapsed="false">
      <c r="A61" s="68" t="str">
        <f aca="false">IF(Data_Engine!$A61="","",Data_Engine!$A61)</f>
        <v>Direct Salaries - INTEGRATION</v>
      </c>
      <c r="B61" s="42" t="str">
        <f aca="false">IF($A61="","",Data_Engine!$B61)</f>
        <v>Cost of Sales</v>
      </c>
      <c r="C61" s="42" t="str">
        <f aca="false">IF($A61="","",Data_Engine!$D61)</f>
        <v>Integration</v>
      </c>
      <c r="D61" s="69" t="n">
        <f aca="false">IF($A61="","",Data_Engine!$AD61)</f>
        <v>0</v>
      </c>
      <c r="E61" s="69" t="n">
        <f aca="false">IF($A61="","",Data_Engine!$AE61)</f>
        <v>0</v>
      </c>
      <c r="F61" s="73" t="n">
        <f aca="false">IF($A61="","",$D61-$E61)</f>
        <v>0</v>
      </c>
      <c r="G61" s="72" t="str">
        <f aca="false">IF($A61="","",IF(ROUND($E61,2)=0,"n/a",$F61/ABS($E61)))</f>
        <v>n/a</v>
      </c>
      <c r="H61" s="70" t="n">
        <f aca="false">IF($A61="","",Data_Engine!$AH61)</f>
        <v>0</v>
      </c>
      <c r="I61" s="69" t="n">
        <f aca="false">IF($A61="","",Data_Engine!$AI61)</f>
        <v>0</v>
      </c>
      <c r="J61" s="71" t="n">
        <f aca="false">IF($A61="","",$H61-$I61)</f>
        <v>0</v>
      </c>
      <c r="K61" s="72" t="str">
        <f aca="false">IF($A61="","",IF(ROUND($I61,2)=0,"n/a",$J61/ABS($I61)))</f>
        <v>n/a</v>
      </c>
      <c r="L61" s="69" t="n">
        <f aca="false">IF($A61="","",Data_Engine!$AJ61)</f>
        <v>0</v>
      </c>
      <c r="M61" s="73" t="n">
        <f aca="false">IF($A61="","",IF(Setup!$B$8=0,0,$H61/Setup!$B$8*12))</f>
        <v>0</v>
      </c>
      <c r="N61" s="72" t="str">
        <f aca="false">IF($A61="","",IF(ROUND($L61,2)=0,"n/a",($M61-$L61)/ABS($L61)))</f>
        <v>n/a</v>
      </c>
      <c r="O61" s="76" t="str">
        <f aca="false">IF($A61="","",IF(AND(ROUND($H61,2)=0,ROUND($I61,2)=0),"Dormant",IF(ROUND($I61,2)=0,"New this year",IF(ROUND($H61,2)=0,"Ceased",IF($J61&gt;0,"Increase",IF($J61&lt;0,"Decrease","Flat"))))))</f>
        <v>Dormant</v>
      </c>
      <c r="P61" s="74" t="str">
        <f aca="false">IF($A61="","",IF(AND(ROUND($H61,2)=0,ROUND($I61,2)=0),"No Activity",IF(ABS($J61)&lt;Setup!$B$14,"Low",IF(ROUND($I61,2)=0,"High",IF(OR(ABS($J61/$I61)&gt;=Setup!$B$16,ABS($J61)&gt;=Setup!$B$17),"High",IF(ABS($J61/$I61)&gt;=Setup!$B$15,"Medium","Low"))))))</f>
        <v>No Activity</v>
      </c>
      <c r="Q61" s="57"/>
      <c r="R61" s="75" t="n">
        <f aca="false">IF($A61="",-1000000000000000,IF(ROUND(ABS($J61),0)=0,-1000000000000000,ABS($J61)+ROW()/1000000))</f>
        <v>-1000000000000000</v>
      </c>
    </row>
    <row r="62" customFormat="false" ht="15" hidden="false" customHeight="false" outlineLevel="0" collapsed="false">
      <c r="A62" s="68" t="str">
        <f aca="false">IF(Data_Engine!$A62="","",Data_Engine!$A62)</f>
        <v>Direct Salaries - ONS</v>
      </c>
      <c r="B62" s="42" t="str">
        <f aca="false">IF($A62="","",Data_Engine!$B62)</f>
        <v>Cost of Sales</v>
      </c>
      <c r="C62" s="42" t="str">
        <f aca="false">IF($A62="","",Data_Engine!$D62)</f>
        <v>Onsite</v>
      </c>
      <c r="D62" s="69" t="n">
        <f aca="false">IF($A62="","",Data_Engine!$AD62)</f>
        <v>0</v>
      </c>
      <c r="E62" s="69" t="n">
        <f aca="false">IF($A62="","",Data_Engine!$AE62)</f>
        <v>0</v>
      </c>
      <c r="F62" s="73" t="n">
        <f aca="false">IF($A62="","",$D62-$E62)</f>
        <v>0</v>
      </c>
      <c r="G62" s="72" t="str">
        <f aca="false">IF($A62="","",IF(ROUND($E62,2)=0,"n/a",$F62/ABS($E62)))</f>
        <v>n/a</v>
      </c>
      <c r="H62" s="70" t="n">
        <f aca="false">IF($A62="","",Data_Engine!$AH62)</f>
        <v>0</v>
      </c>
      <c r="I62" s="69" t="n">
        <f aca="false">IF($A62="","",Data_Engine!$AI62)</f>
        <v>0</v>
      </c>
      <c r="J62" s="71" t="n">
        <f aca="false">IF($A62="","",$H62-$I62)</f>
        <v>0</v>
      </c>
      <c r="K62" s="72" t="str">
        <f aca="false">IF($A62="","",IF(ROUND($I62,2)=0,"n/a",$J62/ABS($I62)))</f>
        <v>n/a</v>
      </c>
      <c r="L62" s="69" t="n">
        <f aca="false">IF($A62="","",Data_Engine!$AJ62)</f>
        <v>0</v>
      </c>
      <c r="M62" s="73" t="n">
        <f aca="false">IF($A62="","",IF(Setup!$B$8=0,0,$H62/Setup!$B$8*12))</f>
        <v>0</v>
      </c>
      <c r="N62" s="72" t="str">
        <f aca="false">IF($A62="","",IF(ROUND($L62,2)=0,"n/a",($M62-$L62)/ABS($L62)))</f>
        <v>n/a</v>
      </c>
      <c r="O62" s="76" t="str">
        <f aca="false">IF($A62="","",IF(AND(ROUND($H62,2)=0,ROUND($I62,2)=0),"Dormant",IF(ROUND($I62,2)=0,"New this year",IF(ROUND($H62,2)=0,"Ceased",IF($J62&gt;0,"Increase",IF($J62&lt;0,"Decrease","Flat"))))))</f>
        <v>Dormant</v>
      </c>
      <c r="P62" s="74" t="str">
        <f aca="false">IF($A62="","",IF(AND(ROUND($H62,2)=0,ROUND($I62,2)=0),"No Activity",IF(ABS($J62)&lt;Setup!$B$14,"Low",IF(ROUND($I62,2)=0,"High",IF(OR(ABS($J62/$I62)&gt;=Setup!$B$16,ABS($J62)&gt;=Setup!$B$17),"High",IF(ABS($J62/$I62)&gt;=Setup!$B$15,"Medium","Low"))))))</f>
        <v>No Activity</v>
      </c>
      <c r="Q62" s="57"/>
      <c r="R62" s="75" t="n">
        <f aca="false">IF($A62="",-1000000000000000,IF(ROUND(ABS($J62),0)=0,-1000000000000000,ABS($J62)+ROW()/1000000))</f>
        <v>-1000000000000000</v>
      </c>
    </row>
    <row r="63" customFormat="false" ht="15" hidden="false" customHeight="false" outlineLevel="0" collapsed="false">
      <c r="A63" s="68" t="str">
        <f aca="false">IF(Data_Engine!$A63="","",Data_Engine!$A63)</f>
        <v>Direct Salaries - PRD</v>
      </c>
      <c r="B63" s="42" t="str">
        <f aca="false">IF($A63="","",Data_Engine!$B63)</f>
        <v>Cost of Sales</v>
      </c>
      <c r="C63" s="42" t="str">
        <f aca="false">IF($A63="","",Data_Engine!$D63)</f>
        <v>Production</v>
      </c>
      <c r="D63" s="69" t="n">
        <f aca="false">IF($A63="","",Data_Engine!$AD63)</f>
        <v>0</v>
      </c>
      <c r="E63" s="69" t="n">
        <f aca="false">IF($A63="","",Data_Engine!$AE63)</f>
        <v>0</v>
      </c>
      <c r="F63" s="73" t="n">
        <f aca="false">IF($A63="","",$D63-$E63)</f>
        <v>0</v>
      </c>
      <c r="G63" s="72" t="str">
        <f aca="false">IF($A63="","",IF(ROUND($E63,2)=0,"n/a",$F63/ABS($E63)))</f>
        <v>n/a</v>
      </c>
      <c r="H63" s="70" t="n">
        <f aca="false">IF($A63="","",Data_Engine!$AH63)</f>
        <v>0</v>
      </c>
      <c r="I63" s="69" t="n">
        <f aca="false">IF($A63="","",Data_Engine!$AI63)</f>
        <v>0</v>
      </c>
      <c r="J63" s="71" t="n">
        <f aca="false">IF($A63="","",$H63-$I63)</f>
        <v>0</v>
      </c>
      <c r="K63" s="72" t="str">
        <f aca="false">IF($A63="","",IF(ROUND($I63,2)=0,"n/a",$J63/ABS($I63)))</f>
        <v>n/a</v>
      </c>
      <c r="L63" s="69" t="n">
        <f aca="false">IF($A63="","",Data_Engine!$AJ63)</f>
        <v>0</v>
      </c>
      <c r="M63" s="73" t="n">
        <f aca="false">IF($A63="","",IF(Setup!$B$8=0,0,$H63/Setup!$B$8*12))</f>
        <v>0</v>
      </c>
      <c r="N63" s="72" t="str">
        <f aca="false">IF($A63="","",IF(ROUND($L63,2)=0,"n/a",($M63-$L63)/ABS($L63)))</f>
        <v>n/a</v>
      </c>
      <c r="O63" s="76" t="str">
        <f aca="false">IF($A63="","",IF(AND(ROUND($H63,2)=0,ROUND($I63,2)=0),"Dormant",IF(ROUND($I63,2)=0,"New this year",IF(ROUND($H63,2)=0,"Ceased",IF($J63&gt;0,"Increase",IF($J63&lt;0,"Decrease","Flat"))))))</f>
        <v>Dormant</v>
      </c>
      <c r="P63" s="74" t="str">
        <f aca="false">IF($A63="","",IF(AND(ROUND($H63,2)=0,ROUND($I63,2)=0),"No Activity",IF(ABS($J63)&lt;Setup!$B$14,"Low",IF(ROUND($I63,2)=0,"High",IF(OR(ABS($J63/$I63)&gt;=Setup!$B$16,ABS($J63)&gt;=Setup!$B$17),"High",IF(ABS($J63/$I63)&gt;=Setup!$B$15,"Medium","Low"))))))</f>
        <v>No Activity</v>
      </c>
      <c r="Q63" s="57"/>
      <c r="R63" s="75" t="n">
        <f aca="false">IF($A63="",-1000000000000000,IF(ROUND(ABS($J63),0)=0,-1000000000000000,ABS($J63)+ROW()/1000000))</f>
        <v>-1000000000000000</v>
      </c>
    </row>
    <row r="64" customFormat="false" ht="15" hidden="false" customHeight="false" outlineLevel="0" collapsed="false">
      <c r="A64" s="68" t="str">
        <f aca="false">IF(Data_Engine!$A64="","",Data_Engine!$A64)</f>
        <v>Direct Salaries - VID</v>
      </c>
      <c r="B64" s="42" t="str">
        <f aca="false">IF($A64="","",Data_Engine!$B64)</f>
        <v>Cost of Sales</v>
      </c>
      <c r="C64" s="42" t="str">
        <f aca="false">IF($A64="","",Data_Engine!$D64)</f>
        <v>Video</v>
      </c>
      <c r="D64" s="69" t="n">
        <f aca="false">IF($A64="","",Data_Engine!$AD64)</f>
        <v>0</v>
      </c>
      <c r="E64" s="69" t="n">
        <f aca="false">IF($A64="","",Data_Engine!$AE64)</f>
        <v>0</v>
      </c>
      <c r="F64" s="73" t="n">
        <f aca="false">IF($A64="","",$D64-$E64)</f>
        <v>0</v>
      </c>
      <c r="G64" s="72" t="str">
        <f aca="false">IF($A64="","",IF(ROUND($E64,2)=0,"n/a",$F64/ABS($E64)))</f>
        <v>n/a</v>
      </c>
      <c r="H64" s="70" t="n">
        <f aca="false">IF($A64="","",Data_Engine!$AH64)</f>
        <v>0</v>
      </c>
      <c r="I64" s="69" t="n">
        <f aca="false">IF($A64="","",Data_Engine!$AI64)</f>
        <v>0</v>
      </c>
      <c r="J64" s="71" t="n">
        <f aca="false">IF($A64="","",$H64-$I64)</f>
        <v>0</v>
      </c>
      <c r="K64" s="72" t="str">
        <f aca="false">IF($A64="","",IF(ROUND($I64,2)=0,"n/a",$J64/ABS($I64)))</f>
        <v>n/a</v>
      </c>
      <c r="L64" s="69" t="n">
        <f aca="false">IF($A64="","",Data_Engine!$AJ64)</f>
        <v>0</v>
      </c>
      <c r="M64" s="73" t="n">
        <f aca="false">IF($A64="","",IF(Setup!$B$8=0,0,$H64/Setup!$B$8*12))</f>
        <v>0</v>
      </c>
      <c r="N64" s="72" t="str">
        <f aca="false">IF($A64="","",IF(ROUND($L64,2)=0,"n/a",($M64-$L64)/ABS($L64)))</f>
        <v>n/a</v>
      </c>
      <c r="O64" s="76" t="str">
        <f aca="false">IF($A64="","",IF(AND(ROUND($H64,2)=0,ROUND($I64,2)=0),"Dormant",IF(ROUND($I64,2)=0,"New this year",IF(ROUND($H64,2)=0,"Ceased",IF($J64&gt;0,"Increase",IF($J64&lt;0,"Decrease","Flat"))))))</f>
        <v>Dormant</v>
      </c>
      <c r="P64" s="74" t="str">
        <f aca="false">IF($A64="","",IF(AND(ROUND($H64,2)=0,ROUND($I64,2)=0),"No Activity",IF(ABS($J64)&lt;Setup!$B$14,"Low",IF(ROUND($I64,2)=0,"High",IF(OR(ABS($J64/$I64)&gt;=Setup!$B$16,ABS($J64)&gt;=Setup!$B$17),"High",IF(ABS($J64/$I64)&gt;=Setup!$B$15,"Medium","Low"))))))</f>
        <v>No Activity</v>
      </c>
      <c r="Q64" s="57"/>
      <c r="R64" s="75" t="n">
        <f aca="false">IF($A64="",-1000000000000000,IF(ROUND(ABS($J64),0)=0,-1000000000000000,ABS($J64)+ROW()/1000000))</f>
        <v>-1000000000000000</v>
      </c>
    </row>
    <row r="65" customFormat="false" ht="15" hidden="false" customHeight="false" outlineLevel="0" collapsed="false">
      <c r="A65" s="68" t="str">
        <f aca="false">IF(Data_Engine!$A65="","",Data_Engine!$A65)</f>
        <v>Direct Superannuation - ADMIN</v>
      </c>
      <c r="B65" s="42" t="str">
        <f aca="false">IF($A65="","",Data_Engine!$B65)</f>
        <v>Cost of Sales</v>
      </c>
      <c r="C65" s="42" t="str">
        <f aca="false">IF($A65="","",Data_Engine!$D65)</f>
        <v>Admin</v>
      </c>
      <c r="D65" s="69" t="n">
        <f aca="false">IF($A65="","",Data_Engine!$AD65)</f>
        <v>0</v>
      </c>
      <c r="E65" s="69" t="n">
        <f aca="false">IF($A65="","",Data_Engine!$AE65)</f>
        <v>0</v>
      </c>
      <c r="F65" s="73" t="n">
        <f aca="false">IF($A65="","",$D65-$E65)</f>
        <v>0</v>
      </c>
      <c r="G65" s="72" t="str">
        <f aca="false">IF($A65="","",IF(ROUND($E65,2)=0,"n/a",$F65/ABS($E65)))</f>
        <v>n/a</v>
      </c>
      <c r="H65" s="70" t="n">
        <f aca="false">IF($A65="","",Data_Engine!$AH65)</f>
        <v>0</v>
      </c>
      <c r="I65" s="69" t="n">
        <f aca="false">IF($A65="","",Data_Engine!$AI65)</f>
        <v>0</v>
      </c>
      <c r="J65" s="71" t="n">
        <f aca="false">IF($A65="","",$H65-$I65)</f>
        <v>0</v>
      </c>
      <c r="K65" s="72" t="str">
        <f aca="false">IF($A65="","",IF(ROUND($I65,2)=0,"n/a",$J65/ABS($I65)))</f>
        <v>n/a</v>
      </c>
      <c r="L65" s="69" t="n">
        <f aca="false">IF($A65="","",Data_Engine!$AJ65)</f>
        <v>0</v>
      </c>
      <c r="M65" s="73" t="n">
        <f aca="false">IF($A65="","",IF(Setup!$B$8=0,0,$H65/Setup!$B$8*12))</f>
        <v>0</v>
      </c>
      <c r="N65" s="72" t="str">
        <f aca="false">IF($A65="","",IF(ROUND($L65,2)=0,"n/a",($M65-$L65)/ABS($L65)))</f>
        <v>n/a</v>
      </c>
      <c r="O65" s="76" t="str">
        <f aca="false">IF($A65="","",IF(AND(ROUND($H65,2)=0,ROUND($I65,2)=0),"Dormant",IF(ROUND($I65,2)=0,"New this year",IF(ROUND($H65,2)=0,"Ceased",IF($J65&gt;0,"Increase",IF($J65&lt;0,"Decrease","Flat"))))))</f>
        <v>Dormant</v>
      </c>
      <c r="P65" s="74" t="str">
        <f aca="false">IF($A65="","",IF(AND(ROUND($H65,2)=0,ROUND($I65,2)=0),"No Activity",IF(ABS($J65)&lt;Setup!$B$14,"Low",IF(ROUND($I65,2)=0,"High",IF(OR(ABS($J65/$I65)&gt;=Setup!$B$16,ABS($J65)&gt;=Setup!$B$17),"High",IF(ABS($J65/$I65)&gt;=Setup!$B$15,"Medium","Low"))))))</f>
        <v>No Activity</v>
      </c>
      <c r="Q65" s="57"/>
      <c r="R65" s="75" t="n">
        <f aca="false">IF($A65="",-1000000000000000,IF(ROUND(ABS($J65),0)=0,-1000000000000000,ABS($J65)+ROW()/1000000))</f>
        <v>-1000000000000000</v>
      </c>
    </row>
    <row r="66" customFormat="false" ht="15" hidden="false" customHeight="false" outlineLevel="0" collapsed="false">
      <c r="A66" s="68" t="str">
        <f aca="false">IF(Data_Engine!$A66="","",Data_Engine!$A66)</f>
        <v>Direct Superannuation - CONS</v>
      </c>
      <c r="B66" s="42" t="str">
        <f aca="false">IF($A66="","",Data_Engine!$B66)</f>
        <v>Cost of Sales</v>
      </c>
      <c r="C66" s="42" t="str">
        <f aca="false">IF($A66="","",Data_Engine!$D66)</f>
        <v>Consulting</v>
      </c>
      <c r="D66" s="69" t="n">
        <f aca="false">IF($A66="","",Data_Engine!$AD66)</f>
        <v>0</v>
      </c>
      <c r="E66" s="69" t="n">
        <f aca="false">IF($A66="","",Data_Engine!$AE66)</f>
        <v>0</v>
      </c>
      <c r="F66" s="73" t="n">
        <f aca="false">IF($A66="","",$D66-$E66)</f>
        <v>0</v>
      </c>
      <c r="G66" s="72" t="str">
        <f aca="false">IF($A66="","",IF(ROUND($E66,2)=0,"n/a",$F66/ABS($E66)))</f>
        <v>n/a</v>
      </c>
      <c r="H66" s="70" t="n">
        <f aca="false">IF($A66="","",Data_Engine!$AH66)</f>
        <v>0</v>
      </c>
      <c r="I66" s="69" t="n">
        <f aca="false">IF($A66="","",Data_Engine!$AI66)</f>
        <v>0</v>
      </c>
      <c r="J66" s="71" t="n">
        <f aca="false">IF($A66="","",$H66-$I66)</f>
        <v>0</v>
      </c>
      <c r="K66" s="72" t="str">
        <f aca="false">IF($A66="","",IF(ROUND($I66,2)=0,"n/a",$J66/ABS($I66)))</f>
        <v>n/a</v>
      </c>
      <c r="L66" s="69" t="n">
        <f aca="false">IF($A66="","",Data_Engine!$AJ66)</f>
        <v>0</v>
      </c>
      <c r="M66" s="73" t="n">
        <f aca="false">IF($A66="","",IF(Setup!$B$8=0,0,$H66/Setup!$B$8*12))</f>
        <v>0</v>
      </c>
      <c r="N66" s="72" t="str">
        <f aca="false">IF($A66="","",IF(ROUND($L66,2)=0,"n/a",($M66-$L66)/ABS($L66)))</f>
        <v>n/a</v>
      </c>
      <c r="O66" s="76" t="str">
        <f aca="false">IF($A66="","",IF(AND(ROUND($H66,2)=0,ROUND($I66,2)=0),"Dormant",IF(ROUND($I66,2)=0,"New this year",IF(ROUND($H66,2)=0,"Ceased",IF($J66&gt;0,"Increase",IF($J66&lt;0,"Decrease","Flat"))))))</f>
        <v>Dormant</v>
      </c>
      <c r="P66" s="74" t="str">
        <f aca="false">IF($A66="","",IF(AND(ROUND($H66,2)=0,ROUND($I66,2)=0),"No Activity",IF(ABS($J66)&lt;Setup!$B$14,"Low",IF(ROUND($I66,2)=0,"High",IF(OR(ABS($J66/$I66)&gt;=Setup!$B$16,ABS($J66)&gt;=Setup!$B$17),"High",IF(ABS($J66/$I66)&gt;=Setup!$B$15,"Medium","Low"))))))</f>
        <v>No Activity</v>
      </c>
      <c r="Q66" s="57"/>
      <c r="R66" s="75" t="n">
        <f aca="false">IF($A66="",-1000000000000000,IF(ROUND(ABS($J66),0)=0,-1000000000000000,ABS($J66)+ROW()/1000000))</f>
        <v>-1000000000000000</v>
      </c>
    </row>
    <row r="67" customFormat="false" ht="15" hidden="false" customHeight="false" outlineLevel="0" collapsed="false">
      <c r="A67" s="68" t="str">
        <f aca="false">IF(Data_Engine!$A67="","",Data_Engine!$A67)</f>
        <v>Direct Superannuation - ONS</v>
      </c>
      <c r="B67" s="42" t="str">
        <f aca="false">IF($A67="","",Data_Engine!$B67)</f>
        <v>Cost of Sales</v>
      </c>
      <c r="C67" s="42" t="str">
        <f aca="false">IF($A67="","",Data_Engine!$D67)</f>
        <v>Onsite</v>
      </c>
      <c r="D67" s="69" t="n">
        <f aca="false">IF($A67="","",Data_Engine!$AD67)</f>
        <v>0</v>
      </c>
      <c r="E67" s="69" t="n">
        <f aca="false">IF($A67="","",Data_Engine!$AE67)</f>
        <v>0</v>
      </c>
      <c r="F67" s="73" t="n">
        <f aca="false">IF($A67="","",$D67-$E67)</f>
        <v>0</v>
      </c>
      <c r="G67" s="72" t="str">
        <f aca="false">IF($A67="","",IF(ROUND($E67,2)=0,"n/a",$F67/ABS($E67)))</f>
        <v>n/a</v>
      </c>
      <c r="H67" s="70" t="n">
        <f aca="false">IF($A67="","",Data_Engine!$AH67)</f>
        <v>0</v>
      </c>
      <c r="I67" s="69" t="n">
        <f aca="false">IF($A67="","",Data_Engine!$AI67)</f>
        <v>0</v>
      </c>
      <c r="J67" s="71" t="n">
        <f aca="false">IF($A67="","",$H67-$I67)</f>
        <v>0</v>
      </c>
      <c r="K67" s="72" t="str">
        <f aca="false">IF($A67="","",IF(ROUND($I67,2)=0,"n/a",$J67/ABS($I67)))</f>
        <v>n/a</v>
      </c>
      <c r="L67" s="69" t="n">
        <f aca="false">IF($A67="","",Data_Engine!$AJ67)</f>
        <v>0</v>
      </c>
      <c r="M67" s="73" t="n">
        <f aca="false">IF($A67="","",IF(Setup!$B$8=0,0,$H67/Setup!$B$8*12))</f>
        <v>0</v>
      </c>
      <c r="N67" s="72" t="str">
        <f aca="false">IF($A67="","",IF(ROUND($L67,2)=0,"n/a",($M67-$L67)/ABS($L67)))</f>
        <v>n/a</v>
      </c>
      <c r="O67" s="76" t="str">
        <f aca="false">IF($A67="","",IF(AND(ROUND($H67,2)=0,ROUND($I67,2)=0),"Dormant",IF(ROUND($I67,2)=0,"New this year",IF(ROUND($H67,2)=0,"Ceased",IF($J67&gt;0,"Increase",IF($J67&lt;0,"Decrease","Flat"))))))</f>
        <v>Dormant</v>
      </c>
      <c r="P67" s="74" t="str">
        <f aca="false">IF($A67="","",IF(AND(ROUND($H67,2)=0,ROUND($I67,2)=0),"No Activity",IF(ABS($J67)&lt;Setup!$B$14,"Low",IF(ROUND($I67,2)=0,"High",IF(OR(ABS($J67/$I67)&gt;=Setup!$B$16,ABS($J67)&gt;=Setup!$B$17),"High",IF(ABS($J67/$I67)&gt;=Setup!$B$15,"Medium","Low"))))))</f>
        <v>No Activity</v>
      </c>
      <c r="Q67" s="57"/>
      <c r="R67" s="75" t="n">
        <f aca="false">IF($A67="",-1000000000000000,IF(ROUND(ABS($J67),0)=0,-1000000000000000,ABS($J67)+ROW()/1000000))</f>
        <v>-1000000000000000</v>
      </c>
    </row>
    <row r="68" customFormat="false" ht="15" hidden="false" customHeight="false" outlineLevel="0" collapsed="false">
      <c r="A68" s="68" t="str">
        <f aca="false">IF(Data_Engine!$A68="","",Data_Engine!$A68)</f>
        <v>Direct Superannuation - PRD</v>
      </c>
      <c r="B68" s="42" t="str">
        <f aca="false">IF($A68="","",Data_Engine!$B68)</f>
        <v>Cost of Sales</v>
      </c>
      <c r="C68" s="42" t="str">
        <f aca="false">IF($A68="","",Data_Engine!$D68)</f>
        <v>Production</v>
      </c>
      <c r="D68" s="69" t="n">
        <f aca="false">IF($A68="","",Data_Engine!$AD68)</f>
        <v>0</v>
      </c>
      <c r="E68" s="69" t="n">
        <f aca="false">IF($A68="","",Data_Engine!$AE68)</f>
        <v>0</v>
      </c>
      <c r="F68" s="73" t="n">
        <f aca="false">IF($A68="","",$D68-$E68)</f>
        <v>0</v>
      </c>
      <c r="G68" s="72" t="str">
        <f aca="false">IF($A68="","",IF(ROUND($E68,2)=0,"n/a",$F68/ABS($E68)))</f>
        <v>n/a</v>
      </c>
      <c r="H68" s="70" t="n">
        <f aca="false">IF($A68="","",Data_Engine!$AH68)</f>
        <v>0</v>
      </c>
      <c r="I68" s="69" t="n">
        <f aca="false">IF($A68="","",Data_Engine!$AI68)</f>
        <v>0</v>
      </c>
      <c r="J68" s="71" t="n">
        <f aca="false">IF($A68="","",$H68-$I68)</f>
        <v>0</v>
      </c>
      <c r="K68" s="72" t="str">
        <f aca="false">IF($A68="","",IF(ROUND($I68,2)=0,"n/a",$J68/ABS($I68)))</f>
        <v>n/a</v>
      </c>
      <c r="L68" s="69" t="n">
        <f aca="false">IF($A68="","",Data_Engine!$AJ68)</f>
        <v>0</v>
      </c>
      <c r="M68" s="73" t="n">
        <f aca="false">IF($A68="","",IF(Setup!$B$8=0,0,$H68/Setup!$B$8*12))</f>
        <v>0</v>
      </c>
      <c r="N68" s="72" t="str">
        <f aca="false">IF($A68="","",IF(ROUND($L68,2)=0,"n/a",($M68-$L68)/ABS($L68)))</f>
        <v>n/a</v>
      </c>
      <c r="O68" s="76" t="str">
        <f aca="false">IF($A68="","",IF(AND(ROUND($H68,2)=0,ROUND($I68,2)=0),"Dormant",IF(ROUND($I68,2)=0,"New this year",IF(ROUND($H68,2)=0,"Ceased",IF($J68&gt;0,"Increase",IF($J68&lt;0,"Decrease","Flat"))))))</f>
        <v>Dormant</v>
      </c>
      <c r="P68" s="74" t="str">
        <f aca="false">IF($A68="","",IF(AND(ROUND($H68,2)=0,ROUND($I68,2)=0),"No Activity",IF(ABS($J68)&lt;Setup!$B$14,"Low",IF(ROUND($I68,2)=0,"High",IF(OR(ABS($J68/$I68)&gt;=Setup!$B$16,ABS($J68)&gt;=Setup!$B$17),"High",IF(ABS($J68/$I68)&gt;=Setup!$B$15,"Medium","Low"))))))</f>
        <v>No Activity</v>
      </c>
      <c r="Q68" s="57"/>
      <c r="R68" s="75" t="n">
        <f aca="false">IF($A68="",-1000000000000000,IF(ROUND(ABS($J68),0)=0,-1000000000000000,ABS($J68)+ROW()/1000000))</f>
        <v>-1000000000000000</v>
      </c>
    </row>
    <row r="69" customFormat="false" ht="15" hidden="false" customHeight="false" outlineLevel="0" collapsed="false">
      <c r="A69" s="68" t="str">
        <f aca="false">IF(Data_Engine!$A69="","",Data_Engine!$A69)</f>
        <v>Direct Superannuation - VID</v>
      </c>
      <c r="B69" s="42" t="str">
        <f aca="false">IF($A69="","",Data_Engine!$B69)</f>
        <v>Cost of Sales</v>
      </c>
      <c r="C69" s="42" t="str">
        <f aca="false">IF($A69="","",Data_Engine!$D69)</f>
        <v>Video</v>
      </c>
      <c r="D69" s="69" t="n">
        <f aca="false">IF($A69="","",Data_Engine!$AD69)</f>
        <v>0</v>
      </c>
      <c r="E69" s="69" t="n">
        <f aca="false">IF($A69="","",Data_Engine!$AE69)</f>
        <v>0</v>
      </c>
      <c r="F69" s="73" t="n">
        <f aca="false">IF($A69="","",$D69-$E69)</f>
        <v>0</v>
      </c>
      <c r="G69" s="72" t="str">
        <f aca="false">IF($A69="","",IF(ROUND($E69,2)=0,"n/a",$F69/ABS($E69)))</f>
        <v>n/a</v>
      </c>
      <c r="H69" s="70" t="n">
        <f aca="false">IF($A69="","",Data_Engine!$AH69)</f>
        <v>0</v>
      </c>
      <c r="I69" s="69" t="n">
        <f aca="false">IF($A69="","",Data_Engine!$AI69)</f>
        <v>0</v>
      </c>
      <c r="J69" s="71" t="n">
        <f aca="false">IF($A69="","",$H69-$I69)</f>
        <v>0</v>
      </c>
      <c r="K69" s="72" t="str">
        <f aca="false">IF($A69="","",IF(ROUND($I69,2)=0,"n/a",$J69/ABS($I69)))</f>
        <v>n/a</v>
      </c>
      <c r="L69" s="69" t="n">
        <f aca="false">IF($A69="","",Data_Engine!$AJ69)</f>
        <v>0</v>
      </c>
      <c r="M69" s="73" t="n">
        <f aca="false">IF($A69="","",IF(Setup!$B$8=0,0,$H69/Setup!$B$8*12))</f>
        <v>0</v>
      </c>
      <c r="N69" s="72" t="str">
        <f aca="false">IF($A69="","",IF(ROUND($L69,2)=0,"n/a",($M69-$L69)/ABS($L69)))</f>
        <v>n/a</v>
      </c>
      <c r="O69" s="76" t="str">
        <f aca="false">IF($A69="","",IF(AND(ROUND($H69,2)=0,ROUND($I69,2)=0),"Dormant",IF(ROUND($I69,2)=0,"New this year",IF(ROUND($H69,2)=0,"Ceased",IF($J69&gt;0,"Increase",IF($J69&lt;0,"Decrease","Flat"))))))</f>
        <v>Dormant</v>
      </c>
      <c r="P69" s="74" t="str">
        <f aca="false">IF($A69="","",IF(AND(ROUND($H69,2)=0,ROUND($I69,2)=0),"No Activity",IF(ABS($J69)&lt;Setup!$B$14,"Low",IF(ROUND($I69,2)=0,"High",IF(OR(ABS($J69/$I69)&gt;=Setup!$B$16,ABS($J69)&gt;=Setup!$B$17),"High",IF(ABS($J69/$I69)&gt;=Setup!$B$15,"Medium","Low"))))))</f>
        <v>No Activity</v>
      </c>
      <c r="Q69" s="57"/>
      <c r="R69" s="75" t="n">
        <f aca="false">IF($A69="",-1000000000000000,IF(ROUND(ABS($J69),0)=0,-1000000000000000,ABS($J69)+ROW()/1000000))</f>
        <v>-1000000000000000</v>
      </c>
    </row>
    <row r="70" customFormat="false" ht="15" hidden="false" customHeight="false" outlineLevel="0" collapsed="false">
      <c r="A70" s="68" t="str">
        <f aca="false">IF(Data_Engine!$A70="","",Data_Engine!$A70)</f>
        <v>Direct Superannuation-INTEGRATION</v>
      </c>
      <c r="B70" s="42" t="str">
        <f aca="false">IF($A70="","",Data_Engine!$B70)</f>
        <v>Cost of Sales</v>
      </c>
      <c r="C70" s="42" t="str">
        <f aca="false">IF($A70="","",Data_Engine!$D70)</f>
        <v>Integration</v>
      </c>
      <c r="D70" s="69" t="n">
        <f aca="false">IF($A70="","",Data_Engine!$AD70)</f>
        <v>0</v>
      </c>
      <c r="E70" s="69" t="n">
        <f aca="false">IF($A70="","",Data_Engine!$AE70)</f>
        <v>0</v>
      </c>
      <c r="F70" s="73" t="n">
        <f aca="false">IF($A70="","",$D70-$E70)</f>
        <v>0</v>
      </c>
      <c r="G70" s="72" t="str">
        <f aca="false">IF($A70="","",IF(ROUND($E70,2)=0,"n/a",$F70/ABS($E70)))</f>
        <v>n/a</v>
      </c>
      <c r="H70" s="70" t="n">
        <f aca="false">IF($A70="","",Data_Engine!$AH70)</f>
        <v>0</v>
      </c>
      <c r="I70" s="69" t="n">
        <f aca="false">IF($A70="","",Data_Engine!$AI70)</f>
        <v>0</v>
      </c>
      <c r="J70" s="71" t="n">
        <f aca="false">IF($A70="","",$H70-$I70)</f>
        <v>0</v>
      </c>
      <c r="K70" s="72" t="str">
        <f aca="false">IF($A70="","",IF(ROUND($I70,2)=0,"n/a",$J70/ABS($I70)))</f>
        <v>n/a</v>
      </c>
      <c r="L70" s="69" t="n">
        <f aca="false">IF($A70="","",Data_Engine!$AJ70)</f>
        <v>0</v>
      </c>
      <c r="M70" s="73" t="n">
        <f aca="false">IF($A70="","",IF(Setup!$B$8=0,0,$H70/Setup!$B$8*12))</f>
        <v>0</v>
      </c>
      <c r="N70" s="72" t="str">
        <f aca="false">IF($A70="","",IF(ROUND($L70,2)=0,"n/a",($M70-$L70)/ABS($L70)))</f>
        <v>n/a</v>
      </c>
      <c r="O70" s="76" t="str">
        <f aca="false">IF($A70="","",IF(AND(ROUND($H70,2)=0,ROUND($I70,2)=0),"Dormant",IF(ROUND($I70,2)=0,"New this year",IF(ROUND($H70,2)=0,"Ceased",IF($J70&gt;0,"Increase",IF($J70&lt;0,"Decrease","Flat"))))))</f>
        <v>Dormant</v>
      </c>
      <c r="P70" s="74" t="str">
        <f aca="false">IF($A70="","",IF(AND(ROUND($H70,2)=0,ROUND($I70,2)=0),"No Activity",IF(ABS($J70)&lt;Setup!$B$14,"Low",IF(ROUND($I70,2)=0,"High",IF(OR(ABS($J70/$I70)&gt;=Setup!$B$16,ABS($J70)&gt;=Setup!$B$17),"High",IF(ABS($J70/$I70)&gt;=Setup!$B$15,"Medium","Low"))))))</f>
        <v>No Activity</v>
      </c>
      <c r="Q70" s="57"/>
      <c r="R70" s="75" t="n">
        <f aca="false">IF($A70="",-1000000000000000,IF(ROUND(ABS($J70),0)=0,-1000000000000000,ABS($J70)+ROW()/1000000))</f>
        <v>-1000000000000000</v>
      </c>
    </row>
    <row r="71" customFormat="false" ht="15" hidden="false" customHeight="false" outlineLevel="0" collapsed="false">
      <c r="A71" s="68" t="str">
        <f aca="false">IF(Data_Engine!$A71="","",Data_Engine!$A71)</f>
        <v>Direct Travel - ADMIN</v>
      </c>
      <c r="B71" s="42" t="str">
        <f aca="false">IF($A71="","",Data_Engine!$B71)</f>
        <v>Cost of Sales</v>
      </c>
      <c r="C71" s="42" t="str">
        <f aca="false">IF($A71="","",Data_Engine!$D71)</f>
        <v>Admin</v>
      </c>
      <c r="D71" s="69" t="n">
        <f aca="false">IF($A71="","",Data_Engine!$AD71)</f>
        <v>0</v>
      </c>
      <c r="E71" s="69" t="n">
        <f aca="false">IF($A71="","",Data_Engine!$AE71)</f>
        <v>0</v>
      </c>
      <c r="F71" s="73" t="n">
        <f aca="false">IF($A71="","",$D71-$E71)</f>
        <v>0</v>
      </c>
      <c r="G71" s="72" t="str">
        <f aca="false">IF($A71="","",IF(ROUND($E71,2)=0,"n/a",$F71/ABS($E71)))</f>
        <v>n/a</v>
      </c>
      <c r="H71" s="70" t="n">
        <f aca="false">IF($A71="","",Data_Engine!$AH71)</f>
        <v>0</v>
      </c>
      <c r="I71" s="69" t="n">
        <f aca="false">IF($A71="","",Data_Engine!$AI71)</f>
        <v>0</v>
      </c>
      <c r="J71" s="71" t="n">
        <f aca="false">IF($A71="","",$H71-$I71)</f>
        <v>0</v>
      </c>
      <c r="K71" s="72" t="str">
        <f aca="false">IF($A71="","",IF(ROUND($I71,2)=0,"n/a",$J71/ABS($I71)))</f>
        <v>n/a</v>
      </c>
      <c r="L71" s="69" t="n">
        <f aca="false">IF($A71="","",Data_Engine!$AJ71)</f>
        <v>0</v>
      </c>
      <c r="M71" s="73" t="n">
        <f aca="false">IF($A71="","",IF(Setup!$B$8=0,0,$H71/Setup!$B$8*12))</f>
        <v>0</v>
      </c>
      <c r="N71" s="72" t="str">
        <f aca="false">IF($A71="","",IF(ROUND($L71,2)=0,"n/a",($M71-$L71)/ABS($L71)))</f>
        <v>n/a</v>
      </c>
      <c r="O71" s="76" t="str">
        <f aca="false">IF($A71="","",IF(AND(ROUND($H71,2)=0,ROUND($I71,2)=0),"Dormant",IF(ROUND($I71,2)=0,"New this year",IF(ROUND($H71,2)=0,"Ceased",IF($J71&gt;0,"Increase",IF($J71&lt;0,"Decrease","Flat"))))))</f>
        <v>Dormant</v>
      </c>
      <c r="P71" s="74" t="str">
        <f aca="false">IF($A71="","",IF(AND(ROUND($H71,2)=0,ROUND($I71,2)=0),"No Activity",IF(ABS($J71)&lt;Setup!$B$14,"Low",IF(ROUND($I71,2)=0,"High",IF(OR(ABS($J71/$I71)&gt;=Setup!$B$16,ABS($J71)&gt;=Setup!$B$17),"High",IF(ABS($J71/$I71)&gt;=Setup!$B$15,"Medium","Low"))))))</f>
        <v>No Activity</v>
      </c>
      <c r="Q71" s="57"/>
      <c r="R71" s="75" t="n">
        <f aca="false">IF($A71="",-1000000000000000,IF(ROUND(ABS($J71),0)=0,-1000000000000000,ABS($J71)+ROW()/1000000))</f>
        <v>-1000000000000000</v>
      </c>
    </row>
    <row r="72" customFormat="false" ht="15" hidden="false" customHeight="false" outlineLevel="0" collapsed="false">
      <c r="A72" s="68" t="str">
        <f aca="false">IF(Data_Engine!$A72="","",Data_Engine!$A72)</f>
        <v>Direct Travel - CONS</v>
      </c>
      <c r="B72" s="42" t="str">
        <f aca="false">IF($A72="","",Data_Engine!$B72)</f>
        <v>Cost of Sales</v>
      </c>
      <c r="C72" s="42" t="str">
        <f aca="false">IF($A72="","",Data_Engine!$D72)</f>
        <v>Consulting</v>
      </c>
      <c r="D72" s="69" t="n">
        <f aca="false">IF($A72="","",Data_Engine!$AD72)</f>
        <v>0</v>
      </c>
      <c r="E72" s="69" t="n">
        <f aca="false">IF($A72="","",Data_Engine!$AE72)</f>
        <v>0</v>
      </c>
      <c r="F72" s="73" t="n">
        <f aca="false">IF($A72="","",$D72-$E72)</f>
        <v>0</v>
      </c>
      <c r="G72" s="72" t="str">
        <f aca="false">IF($A72="","",IF(ROUND($E72,2)=0,"n/a",$F72/ABS($E72)))</f>
        <v>n/a</v>
      </c>
      <c r="H72" s="70" t="n">
        <f aca="false">IF($A72="","",Data_Engine!$AH72)</f>
        <v>0</v>
      </c>
      <c r="I72" s="69" t="n">
        <f aca="false">IF($A72="","",Data_Engine!$AI72)</f>
        <v>0</v>
      </c>
      <c r="J72" s="71" t="n">
        <f aca="false">IF($A72="","",$H72-$I72)</f>
        <v>0</v>
      </c>
      <c r="K72" s="72" t="str">
        <f aca="false">IF($A72="","",IF(ROUND($I72,2)=0,"n/a",$J72/ABS($I72)))</f>
        <v>n/a</v>
      </c>
      <c r="L72" s="69" t="n">
        <f aca="false">IF($A72="","",Data_Engine!$AJ72)</f>
        <v>0</v>
      </c>
      <c r="M72" s="73" t="n">
        <f aca="false">IF($A72="","",IF(Setup!$B$8=0,0,$H72/Setup!$B$8*12))</f>
        <v>0</v>
      </c>
      <c r="N72" s="72" t="str">
        <f aca="false">IF($A72="","",IF(ROUND($L72,2)=0,"n/a",($M72-$L72)/ABS($L72)))</f>
        <v>n/a</v>
      </c>
      <c r="O72" s="76" t="str">
        <f aca="false">IF($A72="","",IF(AND(ROUND($H72,2)=0,ROUND($I72,2)=0),"Dormant",IF(ROUND($I72,2)=0,"New this year",IF(ROUND($H72,2)=0,"Ceased",IF($J72&gt;0,"Increase",IF($J72&lt;0,"Decrease","Flat"))))))</f>
        <v>Dormant</v>
      </c>
      <c r="P72" s="74" t="str">
        <f aca="false">IF($A72="","",IF(AND(ROUND($H72,2)=0,ROUND($I72,2)=0),"No Activity",IF(ABS($J72)&lt;Setup!$B$14,"Low",IF(ROUND($I72,2)=0,"High",IF(OR(ABS($J72/$I72)&gt;=Setup!$B$16,ABS($J72)&gt;=Setup!$B$17),"High",IF(ABS($J72/$I72)&gt;=Setup!$B$15,"Medium","Low"))))))</f>
        <v>No Activity</v>
      </c>
      <c r="Q72" s="57"/>
      <c r="R72" s="75" t="n">
        <f aca="false">IF($A72="",-1000000000000000,IF(ROUND(ABS($J72),0)=0,-1000000000000000,ABS($J72)+ROW()/1000000))</f>
        <v>-1000000000000000</v>
      </c>
    </row>
    <row r="73" customFormat="false" ht="15" hidden="false" customHeight="false" outlineLevel="0" collapsed="false">
      <c r="A73" s="68" t="str">
        <f aca="false">IF(Data_Engine!$A73="","",Data_Engine!$A73)</f>
        <v>Direct Travel - INTEGRATION</v>
      </c>
      <c r="B73" s="42" t="str">
        <f aca="false">IF($A73="","",Data_Engine!$B73)</f>
        <v>Cost of Sales</v>
      </c>
      <c r="C73" s="42" t="str">
        <f aca="false">IF($A73="","",Data_Engine!$D73)</f>
        <v>Integration</v>
      </c>
      <c r="D73" s="69" t="n">
        <f aca="false">IF($A73="","",Data_Engine!$AD73)</f>
        <v>0</v>
      </c>
      <c r="E73" s="69" t="n">
        <f aca="false">IF($A73="","",Data_Engine!$AE73)</f>
        <v>0</v>
      </c>
      <c r="F73" s="73" t="n">
        <f aca="false">IF($A73="","",$D73-$E73)</f>
        <v>0</v>
      </c>
      <c r="G73" s="72" t="str">
        <f aca="false">IF($A73="","",IF(ROUND($E73,2)=0,"n/a",$F73/ABS($E73)))</f>
        <v>n/a</v>
      </c>
      <c r="H73" s="70" t="n">
        <f aca="false">IF($A73="","",Data_Engine!$AH73)</f>
        <v>0</v>
      </c>
      <c r="I73" s="69" t="n">
        <f aca="false">IF($A73="","",Data_Engine!$AI73)</f>
        <v>0</v>
      </c>
      <c r="J73" s="71" t="n">
        <f aca="false">IF($A73="","",$H73-$I73)</f>
        <v>0</v>
      </c>
      <c r="K73" s="72" t="str">
        <f aca="false">IF($A73="","",IF(ROUND($I73,2)=0,"n/a",$J73/ABS($I73)))</f>
        <v>n/a</v>
      </c>
      <c r="L73" s="69" t="n">
        <f aca="false">IF($A73="","",Data_Engine!$AJ73)</f>
        <v>0</v>
      </c>
      <c r="M73" s="73" t="n">
        <f aca="false">IF($A73="","",IF(Setup!$B$8=0,0,$H73/Setup!$B$8*12))</f>
        <v>0</v>
      </c>
      <c r="N73" s="72" t="str">
        <f aca="false">IF($A73="","",IF(ROUND($L73,2)=0,"n/a",($M73-$L73)/ABS($L73)))</f>
        <v>n/a</v>
      </c>
      <c r="O73" s="76" t="str">
        <f aca="false">IF($A73="","",IF(AND(ROUND($H73,2)=0,ROUND($I73,2)=0),"Dormant",IF(ROUND($I73,2)=0,"New this year",IF(ROUND($H73,2)=0,"Ceased",IF($J73&gt;0,"Increase",IF($J73&lt;0,"Decrease","Flat"))))))</f>
        <v>Dormant</v>
      </c>
      <c r="P73" s="74" t="str">
        <f aca="false">IF($A73="","",IF(AND(ROUND($H73,2)=0,ROUND($I73,2)=0),"No Activity",IF(ABS($J73)&lt;Setup!$B$14,"Low",IF(ROUND($I73,2)=0,"High",IF(OR(ABS($J73/$I73)&gt;=Setup!$B$16,ABS($J73)&gt;=Setup!$B$17),"High",IF(ABS($J73/$I73)&gt;=Setup!$B$15,"Medium","Low"))))))</f>
        <v>No Activity</v>
      </c>
      <c r="Q73" s="57"/>
      <c r="R73" s="75" t="n">
        <f aca="false">IF($A73="",-1000000000000000,IF(ROUND(ABS($J73),0)=0,-1000000000000000,ABS($J73)+ROW()/1000000))</f>
        <v>-1000000000000000</v>
      </c>
    </row>
    <row r="74" customFormat="false" ht="15" hidden="false" customHeight="false" outlineLevel="0" collapsed="false">
      <c r="A74" s="68" t="str">
        <f aca="false">IF(Data_Engine!$A74="","",Data_Engine!$A74)</f>
        <v>Direct Travel - ONS</v>
      </c>
      <c r="B74" s="42" t="str">
        <f aca="false">IF($A74="","",Data_Engine!$B74)</f>
        <v>Cost of Sales</v>
      </c>
      <c r="C74" s="42" t="str">
        <f aca="false">IF($A74="","",Data_Engine!$D74)</f>
        <v>Onsite</v>
      </c>
      <c r="D74" s="69" t="n">
        <f aca="false">IF($A74="","",Data_Engine!$AD74)</f>
        <v>0</v>
      </c>
      <c r="E74" s="69" t="n">
        <f aca="false">IF($A74="","",Data_Engine!$AE74)</f>
        <v>0</v>
      </c>
      <c r="F74" s="73" t="n">
        <f aca="false">IF($A74="","",$D74-$E74)</f>
        <v>0</v>
      </c>
      <c r="G74" s="72" t="str">
        <f aca="false">IF($A74="","",IF(ROUND($E74,2)=0,"n/a",$F74/ABS($E74)))</f>
        <v>n/a</v>
      </c>
      <c r="H74" s="70" t="n">
        <f aca="false">IF($A74="","",Data_Engine!$AH74)</f>
        <v>0</v>
      </c>
      <c r="I74" s="69" t="n">
        <f aca="false">IF($A74="","",Data_Engine!$AI74)</f>
        <v>0</v>
      </c>
      <c r="J74" s="71" t="n">
        <f aca="false">IF($A74="","",$H74-$I74)</f>
        <v>0</v>
      </c>
      <c r="K74" s="72" t="str">
        <f aca="false">IF($A74="","",IF(ROUND($I74,2)=0,"n/a",$J74/ABS($I74)))</f>
        <v>n/a</v>
      </c>
      <c r="L74" s="69" t="n">
        <f aca="false">IF($A74="","",Data_Engine!$AJ74)</f>
        <v>0</v>
      </c>
      <c r="M74" s="73" t="n">
        <f aca="false">IF($A74="","",IF(Setup!$B$8=0,0,$H74/Setup!$B$8*12))</f>
        <v>0</v>
      </c>
      <c r="N74" s="72" t="str">
        <f aca="false">IF($A74="","",IF(ROUND($L74,2)=0,"n/a",($M74-$L74)/ABS($L74)))</f>
        <v>n/a</v>
      </c>
      <c r="O74" s="76" t="str">
        <f aca="false">IF($A74="","",IF(AND(ROUND($H74,2)=0,ROUND($I74,2)=0),"Dormant",IF(ROUND($I74,2)=0,"New this year",IF(ROUND($H74,2)=0,"Ceased",IF($J74&gt;0,"Increase",IF($J74&lt;0,"Decrease","Flat"))))))</f>
        <v>Dormant</v>
      </c>
      <c r="P74" s="74" t="str">
        <f aca="false">IF($A74="","",IF(AND(ROUND($H74,2)=0,ROUND($I74,2)=0),"No Activity",IF(ABS($J74)&lt;Setup!$B$14,"Low",IF(ROUND($I74,2)=0,"High",IF(OR(ABS($J74/$I74)&gt;=Setup!$B$16,ABS($J74)&gt;=Setup!$B$17),"High",IF(ABS($J74/$I74)&gt;=Setup!$B$15,"Medium","Low"))))))</f>
        <v>No Activity</v>
      </c>
      <c r="Q74" s="57"/>
      <c r="R74" s="75" t="n">
        <f aca="false">IF($A74="",-1000000000000000,IF(ROUND(ABS($J74),0)=0,-1000000000000000,ABS($J74)+ROW()/1000000))</f>
        <v>-1000000000000000</v>
      </c>
    </row>
    <row r="75" customFormat="false" ht="15" hidden="false" customHeight="false" outlineLevel="0" collapsed="false">
      <c r="A75" s="68" t="str">
        <f aca="false">IF(Data_Engine!$A75="","",Data_Engine!$A75)</f>
        <v>Direct Travel - PRD</v>
      </c>
      <c r="B75" s="42" t="str">
        <f aca="false">IF($A75="","",Data_Engine!$B75)</f>
        <v>Cost of Sales</v>
      </c>
      <c r="C75" s="42" t="str">
        <f aca="false">IF($A75="","",Data_Engine!$D75)</f>
        <v>Production</v>
      </c>
      <c r="D75" s="69" t="n">
        <f aca="false">IF($A75="","",Data_Engine!$AD75)</f>
        <v>0</v>
      </c>
      <c r="E75" s="69" t="n">
        <f aca="false">IF($A75="","",Data_Engine!$AE75)</f>
        <v>0</v>
      </c>
      <c r="F75" s="73" t="n">
        <f aca="false">IF($A75="","",$D75-$E75)</f>
        <v>0</v>
      </c>
      <c r="G75" s="72" t="str">
        <f aca="false">IF($A75="","",IF(ROUND($E75,2)=0,"n/a",$F75/ABS($E75)))</f>
        <v>n/a</v>
      </c>
      <c r="H75" s="70" t="n">
        <f aca="false">IF($A75="","",Data_Engine!$AH75)</f>
        <v>0</v>
      </c>
      <c r="I75" s="69" t="n">
        <f aca="false">IF($A75="","",Data_Engine!$AI75)</f>
        <v>0</v>
      </c>
      <c r="J75" s="71" t="n">
        <f aca="false">IF($A75="","",$H75-$I75)</f>
        <v>0</v>
      </c>
      <c r="K75" s="72" t="str">
        <f aca="false">IF($A75="","",IF(ROUND($I75,2)=0,"n/a",$J75/ABS($I75)))</f>
        <v>n/a</v>
      </c>
      <c r="L75" s="69" t="n">
        <f aca="false">IF($A75="","",Data_Engine!$AJ75)</f>
        <v>0</v>
      </c>
      <c r="M75" s="73" t="n">
        <f aca="false">IF($A75="","",IF(Setup!$B$8=0,0,$H75/Setup!$B$8*12))</f>
        <v>0</v>
      </c>
      <c r="N75" s="72" t="str">
        <f aca="false">IF($A75="","",IF(ROUND($L75,2)=0,"n/a",($M75-$L75)/ABS($L75)))</f>
        <v>n/a</v>
      </c>
      <c r="O75" s="76" t="str">
        <f aca="false">IF($A75="","",IF(AND(ROUND($H75,2)=0,ROUND($I75,2)=0),"Dormant",IF(ROUND($I75,2)=0,"New this year",IF(ROUND($H75,2)=0,"Ceased",IF($J75&gt;0,"Increase",IF($J75&lt;0,"Decrease","Flat"))))))</f>
        <v>Dormant</v>
      </c>
      <c r="P75" s="74" t="str">
        <f aca="false">IF($A75="","",IF(AND(ROUND($H75,2)=0,ROUND($I75,2)=0),"No Activity",IF(ABS($J75)&lt;Setup!$B$14,"Low",IF(ROUND($I75,2)=0,"High",IF(OR(ABS($J75/$I75)&gt;=Setup!$B$16,ABS($J75)&gt;=Setup!$B$17),"High",IF(ABS($J75/$I75)&gt;=Setup!$B$15,"Medium","Low"))))))</f>
        <v>No Activity</v>
      </c>
      <c r="Q75" s="57"/>
      <c r="R75" s="75" t="n">
        <f aca="false">IF($A75="",-1000000000000000,IF(ROUND(ABS($J75),0)=0,-1000000000000000,ABS($J75)+ROW()/1000000))</f>
        <v>-1000000000000000</v>
      </c>
    </row>
    <row r="76" customFormat="false" ht="15" hidden="false" customHeight="false" outlineLevel="0" collapsed="false">
      <c r="A76" s="68" t="str">
        <f aca="false">IF(Data_Engine!$A76="","",Data_Engine!$A76)</f>
        <v>Direct Travel - VID</v>
      </c>
      <c r="B76" s="42" t="str">
        <f aca="false">IF($A76="","",Data_Engine!$B76)</f>
        <v>Cost of Sales</v>
      </c>
      <c r="C76" s="42" t="str">
        <f aca="false">IF($A76="","",Data_Engine!$D76)</f>
        <v>Video</v>
      </c>
      <c r="D76" s="69" t="n">
        <f aca="false">IF($A76="","",Data_Engine!$AD76)</f>
        <v>0</v>
      </c>
      <c r="E76" s="69" t="n">
        <f aca="false">IF($A76="","",Data_Engine!$AE76)</f>
        <v>0</v>
      </c>
      <c r="F76" s="73" t="n">
        <f aca="false">IF($A76="","",$D76-$E76)</f>
        <v>0</v>
      </c>
      <c r="G76" s="72" t="str">
        <f aca="false">IF($A76="","",IF(ROUND($E76,2)=0,"n/a",$F76/ABS($E76)))</f>
        <v>n/a</v>
      </c>
      <c r="H76" s="70" t="n">
        <f aca="false">IF($A76="","",Data_Engine!$AH76)</f>
        <v>0</v>
      </c>
      <c r="I76" s="69" t="n">
        <f aca="false">IF($A76="","",Data_Engine!$AI76)</f>
        <v>0</v>
      </c>
      <c r="J76" s="71" t="n">
        <f aca="false">IF($A76="","",$H76-$I76)</f>
        <v>0</v>
      </c>
      <c r="K76" s="72" t="str">
        <f aca="false">IF($A76="","",IF(ROUND($I76,2)=0,"n/a",$J76/ABS($I76)))</f>
        <v>n/a</v>
      </c>
      <c r="L76" s="69" t="n">
        <f aca="false">IF($A76="","",Data_Engine!$AJ76)</f>
        <v>0</v>
      </c>
      <c r="M76" s="73" t="n">
        <f aca="false">IF($A76="","",IF(Setup!$B$8=0,0,$H76/Setup!$B$8*12))</f>
        <v>0</v>
      </c>
      <c r="N76" s="72" t="str">
        <f aca="false">IF($A76="","",IF(ROUND($L76,2)=0,"n/a",($M76-$L76)/ABS($L76)))</f>
        <v>n/a</v>
      </c>
      <c r="O76" s="76" t="str">
        <f aca="false">IF($A76="","",IF(AND(ROUND($H76,2)=0,ROUND($I76,2)=0),"Dormant",IF(ROUND($I76,2)=0,"New this year",IF(ROUND($H76,2)=0,"Ceased",IF($J76&gt;0,"Increase",IF($J76&lt;0,"Decrease","Flat"))))))</f>
        <v>Dormant</v>
      </c>
      <c r="P76" s="74" t="str">
        <f aca="false">IF($A76="","",IF(AND(ROUND($H76,2)=0,ROUND($I76,2)=0),"No Activity",IF(ABS($J76)&lt;Setup!$B$14,"Low",IF(ROUND($I76,2)=0,"High",IF(OR(ABS($J76/$I76)&gt;=Setup!$B$16,ABS($J76)&gt;=Setup!$B$17),"High",IF(ABS($J76/$I76)&gt;=Setup!$B$15,"Medium","Low"))))))</f>
        <v>No Activity</v>
      </c>
      <c r="Q76" s="57"/>
      <c r="R76" s="75" t="n">
        <f aca="false">IF($A76="",-1000000000000000,IF(ROUND(ABS($J76),0)=0,-1000000000000000,ABS($J76)+ROW()/1000000))</f>
        <v>-1000000000000000</v>
      </c>
    </row>
    <row r="77" customFormat="false" ht="15" hidden="false" customHeight="false" outlineLevel="0" collapsed="false">
      <c r="A77" s="68" t="str">
        <f aca="false">IF(Data_Engine!$A77="","",Data_Engine!$A77)</f>
        <v>Direct Wages - CONS</v>
      </c>
      <c r="B77" s="42" t="str">
        <f aca="false">IF($A77="","",Data_Engine!$B77)</f>
        <v>Cost of Sales</v>
      </c>
      <c r="C77" s="42" t="str">
        <f aca="false">IF($A77="","",Data_Engine!$D77)</f>
        <v>Consulting</v>
      </c>
      <c r="D77" s="69" t="n">
        <f aca="false">IF($A77="","",Data_Engine!$AD77)</f>
        <v>0</v>
      </c>
      <c r="E77" s="69" t="n">
        <f aca="false">IF($A77="","",Data_Engine!$AE77)</f>
        <v>0</v>
      </c>
      <c r="F77" s="73" t="n">
        <f aca="false">IF($A77="","",$D77-$E77)</f>
        <v>0</v>
      </c>
      <c r="G77" s="72" t="str">
        <f aca="false">IF($A77="","",IF(ROUND($E77,2)=0,"n/a",$F77/ABS($E77)))</f>
        <v>n/a</v>
      </c>
      <c r="H77" s="70" t="n">
        <f aca="false">IF($A77="","",Data_Engine!$AH77)</f>
        <v>0</v>
      </c>
      <c r="I77" s="69" t="n">
        <f aca="false">IF($A77="","",Data_Engine!$AI77)</f>
        <v>0</v>
      </c>
      <c r="J77" s="71" t="n">
        <f aca="false">IF($A77="","",$H77-$I77)</f>
        <v>0</v>
      </c>
      <c r="K77" s="72" t="str">
        <f aca="false">IF($A77="","",IF(ROUND($I77,2)=0,"n/a",$J77/ABS($I77)))</f>
        <v>n/a</v>
      </c>
      <c r="L77" s="69" t="n">
        <f aca="false">IF($A77="","",Data_Engine!$AJ77)</f>
        <v>0</v>
      </c>
      <c r="M77" s="73" t="n">
        <f aca="false">IF($A77="","",IF(Setup!$B$8=0,0,$H77/Setup!$B$8*12))</f>
        <v>0</v>
      </c>
      <c r="N77" s="72" t="str">
        <f aca="false">IF($A77="","",IF(ROUND($L77,2)=0,"n/a",($M77-$L77)/ABS($L77)))</f>
        <v>n/a</v>
      </c>
      <c r="O77" s="76" t="str">
        <f aca="false">IF($A77="","",IF(AND(ROUND($H77,2)=0,ROUND($I77,2)=0),"Dormant",IF(ROUND($I77,2)=0,"New this year",IF(ROUND($H77,2)=0,"Ceased",IF($J77&gt;0,"Increase",IF($J77&lt;0,"Decrease","Flat"))))))</f>
        <v>Dormant</v>
      </c>
      <c r="P77" s="74" t="str">
        <f aca="false">IF($A77="","",IF(AND(ROUND($H77,2)=0,ROUND($I77,2)=0),"No Activity",IF(ABS($J77)&lt;Setup!$B$14,"Low",IF(ROUND($I77,2)=0,"High",IF(OR(ABS($J77/$I77)&gt;=Setup!$B$16,ABS($J77)&gt;=Setup!$B$17),"High",IF(ABS($J77/$I77)&gt;=Setup!$B$15,"Medium","Low"))))))</f>
        <v>No Activity</v>
      </c>
      <c r="Q77" s="57"/>
      <c r="R77" s="75" t="n">
        <f aca="false">IF($A77="",-1000000000000000,IF(ROUND(ABS($J77),0)=0,-1000000000000000,ABS($J77)+ROW()/1000000))</f>
        <v>-1000000000000000</v>
      </c>
    </row>
    <row r="78" customFormat="false" ht="15" hidden="false" customHeight="false" outlineLevel="0" collapsed="false">
      <c r="A78" s="68" t="str">
        <f aca="false">IF(Data_Engine!$A78="","",Data_Engine!$A78)</f>
        <v>Direct Wages - INTEGRATION</v>
      </c>
      <c r="B78" s="42" t="str">
        <f aca="false">IF($A78="","",Data_Engine!$B78)</f>
        <v>Cost of Sales</v>
      </c>
      <c r="C78" s="42" t="str">
        <f aca="false">IF($A78="","",Data_Engine!$D78)</f>
        <v>Integration</v>
      </c>
      <c r="D78" s="69" t="n">
        <f aca="false">IF($A78="","",Data_Engine!$AD78)</f>
        <v>0</v>
      </c>
      <c r="E78" s="69" t="n">
        <f aca="false">IF($A78="","",Data_Engine!$AE78)</f>
        <v>0</v>
      </c>
      <c r="F78" s="73" t="n">
        <f aca="false">IF($A78="","",$D78-$E78)</f>
        <v>0</v>
      </c>
      <c r="G78" s="72" t="str">
        <f aca="false">IF($A78="","",IF(ROUND($E78,2)=0,"n/a",$F78/ABS($E78)))</f>
        <v>n/a</v>
      </c>
      <c r="H78" s="70" t="n">
        <f aca="false">IF($A78="","",Data_Engine!$AH78)</f>
        <v>0</v>
      </c>
      <c r="I78" s="69" t="n">
        <f aca="false">IF($A78="","",Data_Engine!$AI78)</f>
        <v>0</v>
      </c>
      <c r="J78" s="71" t="n">
        <f aca="false">IF($A78="","",$H78-$I78)</f>
        <v>0</v>
      </c>
      <c r="K78" s="72" t="str">
        <f aca="false">IF($A78="","",IF(ROUND($I78,2)=0,"n/a",$J78/ABS($I78)))</f>
        <v>n/a</v>
      </c>
      <c r="L78" s="69" t="n">
        <f aca="false">IF($A78="","",Data_Engine!$AJ78)</f>
        <v>0</v>
      </c>
      <c r="M78" s="73" t="n">
        <f aca="false">IF($A78="","",IF(Setup!$B$8=0,0,$H78/Setup!$B$8*12))</f>
        <v>0</v>
      </c>
      <c r="N78" s="72" t="str">
        <f aca="false">IF($A78="","",IF(ROUND($L78,2)=0,"n/a",($M78-$L78)/ABS($L78)))</f>
        <v>n/a</v>
      </c>
      <c r="O78" s="76" t="str">
        <f aca="false">IF($A78="","",IF(AND(ROUND($H78,2)=0,ROUND($I78,2)=0),"Dormant",IF(ROUND($I78,2)=0,"New this year",IF(ROUND($H78,2)=0,"Ceased",IF($J78&gt;0,"Increase",IF($J78&lt;0,"Decrease","Flat"))))))</f>
        <v>Dormant</v>
      </c>
      <c r="P78" s="74" t="str">
        <f aca="false">IF($A78="","",IF(AND(ROUND($H78,2)=0,ROUND($I78,2)=0),"No Activity",IF(ABS($J78)&lt;Setup!$B$14,"Low",IF(ROUND($I78,2)=0,"High",IF(OR(ABS($J78/$I78)&gt;=Setup!$B$16,ABS($J78)&gt;=Setup!$B$17),"High",IF(ABS($J78/$I78)&gt;=Setup!$B$15,"Medium","Low"))))))</f>
        <v>No Activity</v>
      </c>
      <c r="Q78" s="57"/>
      <c r="R78" s="75" t="n">
        <f aca="false">IF($A78="",-1000000000000000,IF(ROUND(ABS($J78),0)=0,-1000000000000000,ABS($J78)+ROW()/1000000))</f>
        <v>-1000000000000000</v>
      </c>
    </row>
    <row r="79" customFormat="false" ht="15" hidden="false" customHeight="false" outlineLevel="0" collapsed="false">
      <c r="A79" s="68" t="str">
        <f aca="false">IF(Data_Engine!$A79="","",Data_Engine!$A79)</f>
        <v>Direct Wages - ONS</v>
      </c>
      <c r="B79" s="42" t="str">
        <f aca="false">IF($A79="","",Data_Engine!$B79)</f>
        <v>Cost of Sales</v>
      </c>
      <c r="C79" s="42" t="str">
        <f aca="false">IF($A79="","",Data_Engine!$D79)</f>
        <v>Onsite</v>
      </c>
      <c r="D79" s="69" t="n">
        <f aca="false">IF($A79="","",Data_Engine!$AD79)</f>
        <v>0</v>
      </c>
      <c r="E79" s="69" t="n">
        <f aca="false">IF($A79="","",Data_Engine!$AE79)</f>
        <v>0</v>
      </c>
      <c r="F79" s="73" t="n">
        <f aca="false">IF($A79="","",$D79-$E79)</f>
        <v>0</v>
      </c>
      <c r="G79" s="72" t="str">
        <f aca="false">IF($A79="","",IF(ROUND($E79,2)=0,"n/a",$F79/ABS($E79)))</f>
        <v>n/a</v>
      </c>
      <c r="H79" s="70" t="n">
        <f aca="false">IF($A79="","",Data_Engine!$AH79)</f>
        <v>0</v>
      </c>
      <c r="I79" s="69" t="n">
        <f aca="false">IF($A79="","",Data_Engine!$AI79)</f>
        <v>0</v>
      </c>
      <c r="J79" s="71" t="n">
        <f aca="false">IF($A79="","",$H79-$I79)</f>
        <v>0</v>
      </c>
      <c r="K79" s="72" t="str">
        <f aca="false">IF($A79="","",IF(ROUND($I79,2)=0,"n/a",$J79/ABS($I79)))</f>
        <v>n/a</v>
      </c>
      <c r="L79" s="69" t="n">
        <f aca="false">IF($A79="","",Data_Engine!$AJ79)</f>
        <v>0</v>
      </c>
      <c r="M79" s="73" t="n">
        <f aca="false">IF($A79="","",IF(Setup!$B$8=0,0,$H79/Setup!$B$8*12))</f>
        <v>0</v>
      </c>
      <c r="N79" s="72" t="str">
        <f aca="false">IF($A79="","",IF(ROUND($L79,2)=0,"n/a",($M79-$L79)/ABS($L79)))</f>
        <v>n/a</v>
      </c>
      <c r="O79" s="76" t="str">
        <f aca="false">IF($A79="","",IF(AND(ROUND($H79,2)=0,ROUND($I79,2)=0),"Dormant",IF(ROUND($I79,2)=0,"New this year",IF(ROUND($H79,2)=0,"Ceased",IF($J79&gt;0,"Increase",IF($J79&lt;0,"Decrease","Flat"))))))</f>
        <v>Dormant</v>
      </c>
      <c r="P79" s="74" t="str">
        <f aca="false">IF($A79="","",IF(AND(ROUND($H79,2)=0,ROUND($I79,2)=0),"No Activity",IF(ABS($J79)&lt;Setup!$B$14,"Low",IF(ROUND($I79,2)=0,"High",IF(OR(ABS($J79/$I79)&gt;=Setup!$B$16,ABS($J79)&gt;=Setup!$B$17),"High",IF(ABS($J79/$I79)&gt;=Setup!$B$15,"Medium","Low"))))))</f>
        <v>No Activity</v>
      </c>
      <c r="Q79" s="57"/>
      <c r="R79" s="75" t="n">
        <f aca="false">IF($A79="",-1000000000000000,IF(ROUND(ABS($J79),0)=0,-1000000000000000,ABS($J79)+ROW()/1000000))</f>
        <v>-1000000000000000</v>
      </c>
    </row>
    <row r="80" customFormat="false" ht="15" hidden="false" customHeight="false" outlineLevel="0" collapsed="false">
      <c r="A80" s="68" t="str">
        <f aca="false">IF(Data_Engine!$A80="","",Data_Engine!$A80)</f>
        <v>Direct Wages - PRD</v>
      </c>
      <c r="B80" s="42" t="str">
        <f aca="false">IF($A80="","",Data_Engine!$B80)</f>
        <v>Cost of Sales</v>
      </c>
      <c r="C80" s="42" t="str">
        <f aca="false">IF($A80="","",Data_Engine!$D80)</f>
        <v>Production</v>
      </c>
      <c r="D80" s="69" t="n">
        <f aca="false">IF($A80="","",Data_Engine!$AD80)</f>
        <v>0</v>
      </c>
      <c r="E80" s="69" t="n">
        <f aca="false">IF($A80="","",Data_Engine!$AE80)</f>
        <v>0</v>
      </c>
      <c r="F80" s="73" t="n">
        <f aca="false">IF($A80="","",$D80-$E80)</f>
        <v>0</v>
      </c>
      <c r="G80" s="72" t="str">
        <f aca="false">IF($A80="","",IF(ROUND($E80,2)=0,"n/a",$F80/ABS($E80)))</f>
        <v>n/a</v>
      </c>
      <c r="H80" s="70" t="n">
        <f aca="false">IF($A80="","",Data_Engine!$AH80)</f>
        <v>0</v>
      </c>
      <c r="I80" s="69" t="n">
        <f aca="false">IF($A80="","",Data_Engine!$AI80)</f>
        <v>0</v>
      </c>
      <c r="J80" s="71" t="n">
        <f aca="false">IF($A80="","",$H80-$I80)</f>
        <v>0</v>
      </c>
      <c r="K80" s="72" t="str">
        <f aca="false">IF($A80="","",IF(ROUND($I80,2)=0,"n/a",$J80/ABS($I80)))</f>
        <v>n/a</v>
      </c>
      <c r="L80" s="69" t="n">
        <f aca="false">IF($A80="","",Data_Engine!$AJ80)</f>
        <v>0</v>
      </c>
      <c r="M80" s="73" t="n">
        <f aca="false">IF($A80="","",IF(Setup!$B$8=0,0,$H80/Setup!$B$8*12))</f>
        <v>0</v>
      </c>
      <c r="N80" s="72" t="str">
        <f aca="false">IF($A80="","",IF(ROUND($L80,2)=0,"n/a",($M80-$L80)/ABS($L80)))</f>
        <v>n/a</v>
      </c>
      <c r="O80" s="76" t="str">
        <f aca="false">IF($A80="","",IF(AND(ROUND($H80,2)=0,ROUND($I80,2)=0),"Dormant",IF(ROUND($I80,2)=0,"New this year",IF(ROUND($H80,2)=0,"Ceased",IF($J80&gt;0,"Increase",IF($J80&lt;0,"Decrease","Flat"))))))</f>
        <v>Dormant</v>
      </c>
      <c r="P80" s="74" t="str">
        <f aca="false">IF($A80="","",IF(AND(ROUND($H80,2)=0,ROUND($I80,2)=0),"No Activity",IF(ABS($J80)&lt;Setup!$B$14,"Low",IF(ROUND($I80,2)=0,"High",IF(OR(ABS($J80/$I80)&gt;=Setup!$B$16,ABS($J80)&gt;=Setup!$B$17),"High",IF(ABS($J80/$I80)&gt;=Setup!$B$15,"Medium","Low"))))))</f>
        <v>No Activity</v>
      </c>
      <c r="Q80" s="57"/>
      <c r="R80" s="75" t="n">
        <f aca="false">IF($A80="",-1000000000000000,IF(ROUND(ABS($J80),0)=0,-1000000000000000,ABS($J80)+ROW()/1000000))</f>
        <v>-1000000000000000</v>
      </c>
    </row>
    <row r="81" customFormat="false" ht="15" hidden="false" customHeight="false" outlineLevel="0" collapsed="false">
      <c r="A81" s="68" t="str">
        <f aca="false">IF(Data_Engine!$A81="","",Data_Engine!$A81)</f>
        <v>Direct Wages - VID</v>
      </c>
      <c r="B81" s="42" t="str">
        <f aca="false">IF($A81="","",Data_Engine!$B81)</f>
        <v>Cost of Sales</v>
      </c>
      <c r="C81" s="42" t="str">
        <f aca="false">IF($A81="","",Data_Engine!$D81)</f>
        <v>Video</v>
      </c>
      <c r="D81" s="69" t="n">
        <f aca="false">IF($A81="","",Data_Engine!$AD81)</f>
        <v>0</v>
      </c>
      <c r="E81" s="69" t="n">
        <f aca="false">IF($A81="","",Data_Engine!$AE81)</f>
        <v>0</v>
      </c>
      <c r="F81" s="73" t="n">
        <f aca="false">IF($A81="","",$D81-$E81)</f>
        <v>0</v>
      </c>
      <c r="G81" s="72" t="str">
        <f aca="false">IF($A81="","",IF(ROUND($E81,2)=0,"n/a",$F81/ABS($E81)))</f>
        <v>n/a</v>
      </c>
      <c r="H81" s="70" t="n">
        <f aca="false">IF($A81="","",Data_Engine!$AH81)</f>
        <v>0</v>
      </c>
      <c r="I81" s="69" t="n">
        <f aca="false">IF($A81="","",Data_Engine!$AI81)</f>
        <v>0</v>
      </c>
      <c r="J81" s="71" t="n">
        <f aca="false">IF($A81="","",$H81-$I81)</f>
        <v>0</v>
      </c>
      <c r="K81" s="72" t="str">
        <f aca="false">IF($A81="","",IF(ROUND($I81,2)=0,"n/a",$J81/ABS($I81)))</f>
        <v>n/a</v>
      </c>
      <c r="L81" s="69" t="n">
        <f aca="false">IF($A81="","",Data_Engine!$AJ81)</f>
        <v>0</v>
      </c>
      <c r="M81" s="73" t="n">
        <f aca="false">IF($A81="","",IF(Setup!$B$8=0,0,$H81/Setup!$B$8*12))</f>
        <v>0</v>
      </c>
      <c r="N81" s="72" t="str">
        <f aca="false">IF($A81="","",IF(ROUND($L81,2)=0,"n/a",($M81-$L81)/ABS($L81)))</f>
        <v>n/a</v>
      </c>
      <c r="O81" s="76" t="str">
        <f aca="false">IF($A81="","",IF(AND(ROUND($H81,2)=0,ROUND($I81,2)=0),"Dormant",IF(ROUND($I81,2)=0,"New this year",IF(ROUND($H81,2)=0,"Ceased",IF($J81&gt;0,"Increase",IF($J81&lt;0,"Decrease","Flat"))))))</f>
        <v>Dormant</v>
      </c>
      <c r="P81" s="74" t="str">
        <f aca="false">IF($A81="","",IF(AND(ROUND($H81,2)=0,ROUND($I81,2)=0),"No Activity",IF(ABS($J81)&lt;Setup!$B$14,"Low",IF(ROUND($I81,2)=0,"High",IF(OR(ABS($J81/$I81)&gt;=Setup!$B$16,ABS($J81)&gt;=Setup!$B$17),"High",IF(ABS($J81/$I81)&gt;=Setup!$B$15,"Medium","Low"))))))</f>
        <v>No Activity</v>
      </c>
      <c r="Q81" s="57"/>
      <c r="R81" s="75" t="n">
        <f aca="false">IF($A81="",-1000000000000000,IF(ROUND(ABS($J81),0)=0,-1000000000000000,ABS($J81)+ROW()/1000000))</f>
        <v>-1000000000000000</v>
      </c>
    </row>
    <row r="82" customFormat="false" ht="15" hidden="false" customHeight="false" outlineLevel="0" collapsed="false">
      <c r="A82" s="68" t="str">
        <f aca="false">IF(Data_Engine!$A82="","",Data_Engine!$A82)</f>
        <v>Direct Workers Comp - ADMIN</v>
      </c>
      <c r="B82" s="42" t="str">
        <f aca="false">IF($A82="","",Data_Engine!$B82)</f>
        <v>Cost of Sales</v>
      </c>
      <c r="C82" s="42" t="str">
        <f aca="false">IF($A82="","",Data_Engine!$D82)</f>
        <v>Admin</v>
      </c>
      <c r="D82" s="69" t="n">
        <f aca="false">IF($A82="","",Data_Engine!$AD82)</f>
        <v>0</v>
      </c>
      <c r="E82" s="69" t="n">
        <f aca="false">IF($A82="","",Data_Engine!$AE82)</f>
        <v>0</v>
      </c>
      <c r="F82" s="73" t="n">
        <f aca="false">IF($A82="","",$D82-$E82)</f>
        <v>0</v>
      </c>
      <c r="G82" s="72" t="str">
        <f aca="false">IF($A82="","",IF(ROUND($E82,2)=0,"n/a",$F82/ABS($E82)))</f>
        <v>n/a</v>
      </c>
      <c r="H82" s="70" t="n">
        <f aca="false">IF($A82="","",Data_Engine!$AH82)</f>
        <v>0</v>
      </c>
      <c r="I82" s="69" t="n">
        <f aca="false">IF($A82="","",Data_Engine!$AI82)</f>
        <v>0</v>
      </c>
      <c r="J82" s="71" t="n">
        <f aca="false">IF($A82="","",$H82-$I82)</f>
        <v>0</v>
      </c>
      <c r="K82" s="72" t="str">
        <f aca="false">IF($A82="","",IF(ROUND($I82,2)=0,"n/a",$J82/ABS($I82)))</f>
        <v>n/a</v>
      </c>
      <c r="L82" s="69" t="n">
        <f aca="false">IF($A82="","",Data_Engine!$AJ82)</f>
        <v>0</v>
      </c>
      <c r="M82" s="73" t="n">
        <f aca="false">IF($A82="","",IF(Setup!$B$8=0,0,$H82/Setup!$B$8*12))</f>
        <v>0</v>
      </c>
      <c r="N82" s="72" t="str">
        <f aca="false">IF($A82="","",IF(ROUND($L82,2)=0,"n/a",($M82-$L82)/ABS($L82)))</f>
        <v>n/a</v>
      </c>
      <c r="O82" s="76" t="str">
        <f aca="false">IF($A82="","",IF(AND(ROUND($H82,2)=0,ROUND($I82,2)=0),"Dormant",IF(ROUND($I82,2)=0,"New this year",IF(ROUND($H82,2)=0,"Ceased",IF($J82&gt;0,"Increase",IF($J82&lt;0,"Decrease","Flat"))))))</f>
        <v>Dormant</v>
      </c>
      <c r="P82" s="74" t="str">
        <f aca="false">IF($A82="","",IF(AND(ROUND($H82,2)=0,ROUND($I82,2)=0),"No Activity",IF(ABS($J82)&lt;Setup!$B$14,"Low",IF(ROUND($I82,2)=0,"High",IF(OR(ABS($J82/$I82)&gt;=Setup!$B$16,ABS($J82)&gt;=Setup!$B$17),"High",IF(ABS($J82/$I82)&gt;=Setup!$B$15,"Medium","Low"))))))</f>
        <v>No Activity</v>
      </c>
      <c r="Q82" s="57"/>
      <c r="R82" s="75" t="n">
        <f aca="false">IF($A82="",-1000000000000000,IF(ROUND(ABS($J82),0)=0,-1000000000000000,ABS($J82)+ROW()/1000000))</f>
        <v>-1000000000000000</v>
      </c>
    </row>
    <row r="83" customFormat="false" ht="15" hidden="false" customHeight="false" outlineLevel="0" collapsed="false">
      <c r="A83" s="68" t="str">
        <f aca="false">IF(Data_Engine!$A83="","",Data_Engine!$A83)</f>
        <v>Direct Workers Comp - CONS</v>
      </c>
      <c r="B83" s="42" t="str">
        <f aca="false">IF($A83="","",Data_Engine!$B83)</f>
        <v>Cost of Sales</v>
      </c>
      <c r="C83" s="42" t="str">
        <f aca="false">IF($A83="","",Data_Engine!$D83)</f>
        <v>Consulting</v>
      </c>
      <c r="D83" s="69" t="n">
        <f aca="false">IF($A83="","",Data_Engine!$AD83)</f>
        <v>0</v>
      </c>
      <c r="E83" s="69" t="n">
        <f aca="false">IF($A83="","",Data_Engine!$AE83)</f>
        <v>0</v>
      </c>
      <c r="F83" s="73" t="n">
        <f aca="false">IF($A83="","",$D83-$E83)</f>
        <v>0</v>
      </c>
      <c r="G83" s="72" t="str">
        <f aca="false">IF($A83="","",IF(ROUND($E83,2)=0,"n/a",$F83/ABS($E83)))</f>
        <v>n/a</v>
      </c>
      <c r="H83" s="70" t="n">
        <f aca="false">IF($A83="","",Data_Engine!$AH83)</f>
        <v>0</v>
      </c>
      <c r="I83" s="69" t="n">
        <f aca="false">IF($A83="","",Data_Engine!$AI83)</f>
        <v>0</v>
      </c>
      <c r="J83" s="71" t="n">
        <f aca="false">IF($A83="","",$H83-$I83)</f>
        <v>0</v>
      </c>
      <c r="K83" s="72" t="str">
        <f aca="false">IF($A83="","",IF(ROUND($I83,2)=0,"n/a",$J83/ABS($I83)))</f>
        <v>n/a</v>
      </c>
      <c r="L83" s="69" t="n">
        <f aca="false">IF($A83="","",Data_Engine!$AJ83)</f>
        <v>0</v>
      </c>
      <c r="M83" s="73" t="n">
        <f aca="false">IF($A83="","",IF(Setup!$B$8=0,0,$H83/Setup!$B$8*12))</f>
        <v>0</v>
      </c>
      <c r="N83" s="72" t="str">
        <f aca="false">IF($A83="","",IF(ROUND($L83,2)=0,"n/a",($M83-$L83)/ABS($L83)))</f>
        <v>n/a</v>
      </c>
      <c r="O83" s="76" t="str">
        <f aca="false">IF($A83="","",IF(AND(ROUND($H83,2)=0,ROUND($I83,2)=0),"Dormant",IF(ROUND($I83,2)=0,"New this year",IF(ROUND($H83,2)=0,"Ceased",IF($J83&gt;0,"Increase",IF($J83&lt;0,"Decrease","Flat"))))))</f>
        <v>Dormant</v>
      </c>
      <c r="P83" s="74" t="str">
        <f aca="false">IF($A83="","",IF(AND(ROUND($H83,2)=0,ROUND($I83,2)=0),"No Activity",IF(ABS($J83)&lt;Setup!$B$14,"Low",IF(ROUND($I83,2)=0,"High",IF(OR(ABS($J83/$I83)&gt;=Setup!$B$16,ABS($J83)&gt;=Setup!$B$17),"High",IF(ABS($J83/$I83)&gt;=Setup!$B$15,"Medium","Low"))))))</f>
        <v>No Activity</v>
      </c>
      <c r="Q83" s="57"/>
      <c r="R83" s="75" t="n">
        <f aca="false">IF($A83="",-1000000000000000,IF(ROUND(ABS($J83),0)=0,-1000000000000000,ABS($J83)+ROW()/1000000))</f>
        <v>-1000000000000000</v>
      </c>
    </row>
    <row r="84" customFormat="false" ht="15" hidden="false" customHeight="false" outlineLevel="0" collapsed="false">
      <c r="A84" s="68" t="str">
        <f aca="false">IF(Data_Engine!$A84="","",Data_Engine!$A84)</f>
        <v>Direct Workers Comp - INTEGRATION</v>
      </c>
      <c r="B84" s="42" t="str">
        <f aca="false">IF($A84="","",Data_Engine!$B84)</f>
        <v>Cost of Sales</v>
      </c>
      <c r="C84" s="42" t="str">
        <f aca="false">IF($A84="","",Data_Engine!$D84)</f>
        <v>Integration</v>
      </c>
      <c r="D84" s="69" t="n">
        <f aca="false">IF($A84="","",Data_Engine!$AD84)</f>
        <v>0</v>
      </c>
      <c r="E84" s="69" t="n">
        <f aca="false">IF($A84="","",Data_Engine!$AE84)</f>
        <v>0</v>
      </c>
      <c r="F84" s="73" t="n">
        <f aca="false">IF($A84="","",$D84-$E84)</f>
        <v>0</v>
      </c>
      <c r="G84" s="72" t="str">
        <f aca="false">IF($A84="","",IF(ROUND($E84,2)=0,"n/a",$F84/ABS($E84)))</f>
        <v>n/a</v>
      </c>
      <c r="H84" s="70" t="n">
        <f aca="false">IF($A84="","",Data_Engine!$AH84)</f>
        <v>0</v>
      </c>
      <c r="I84" s="69" t="n">
        <f aca="false">IF($A84="","",Data_Engine!$AI84)</f>
        <v>0</v>
      </c>
      <c r="J84" s="71" t="n">
        <f aca="false">IF($A84="","",$H84-$I84)</f>
        <v>0</v>
      </c>
      <c r="K84" s="72" t="str">
        <f aca="false">IF($A84="","",IF(ROUND($I84,2)=0,"n/a",$J84/ABS($I84)))</f>
        <v>n/a</v>
      </c>
      <c r="L84" s="69" t="n">
        <f aca="false">IF($A84="","",Data_Engine!$AJ84)</f>
        <v>0</v>
      </c>
      <c r="M84" s="73" t="n">
        <f aca="false">IF($A84="","",IF(Setup!$B$8=0,0,$H84/Setup!$B$8*12))</f>
        <v>0</v>
      </c>
      <c r="N84" s="72" t="str">
        <f aca="false">IF($A84="","",IF(ROUND($L84,2)=0,"n/a",($M84-$L84)/ABS($L84)))</f>
        <v>n/a</v>
      </c>
      <c r="O84" s="76" t="str">
        <f aca="false">IF($A84="","",IF(AND(ROUND($H84,2)=0,ROUND($I84,2)=0),"Dormant",IF(ROUND($I84,2)=0,"New this year",IF(ROUND($H84,2)=0,"Ceased",IF($J84&gt;0,"Increase",IF($J84&lt;0,"Decrease","Flat"))))))</f>
        <v>Dormant</v>
      </c>
      <c r="P84" s="74" t="str">
        <f aca="false">IF($A84="","",IF(AND(ROUND($H84,2)=0,ROUND($I84,2)=0),"No Activity",IF(ABS($J84)&lt;Setup!$B$14,"Low",IF(ROUND($I84,2)=0,"High",IF(OR(ABS($J84/$I84)&gt;=Setup!$B$16,ABS($J84)&gt;=Setup!$B$17),"High",IF(ABS($J84/$I84)&gt;=Setup!$B$15,"Medium","Low"))))))</f>
        <v>No Activity</v>
      </c>
      <c r="Q84" s="57"/>
      <c r="R84" s="75" t="n">
        <f aca="false">IF($A84="",-1000000000000000,IF(ROUND(ABS($J84),0)=0,-1000000000000000,ABS($J84)+ROW()/1000000))</f>
        <v>-1000000000000000</v>
      </c>
    </row>
    <row r="85" customFormat="false" ht="15" hidden="false" customHeight="false" outlineLevel="0" collapsed="false">
      <c r="A85" s="68" t="str">
        <f aca="false">IF(Data_Engine!$A85="","",Data_Engine!$A85)</f>
        <v>Direct Workers Comp - ONS</v>
      </c>
      <c r="B85" s="42" t="str">
        <f aca="false">IF($A85="","",Data_Engine!$B85)</f>
        <v>Cost of Sales</v>
      </c>
      <c r="C85" s="42" t="str">
        <f aca="false">IF($A85="","",Data_Engine!$D85)</f>
        <v>Onsite</v>
      </c>
      <c r="D85" s="69" t="n">
        <f aca="false">IF($A85="","",Data_Engine!$AD85)</f>
        <v>0</v>
      </c>
      <c r="E85" s="69" t="n">
        <f aca="false">IF($A85="","",Data_Engine!$AE85)</f>
        <v>0</v>
      </c>
      <c r="F85" s="73" t="n">
        <f aca="false">IF($A85="","",$D85-$E85)</f>
        <v>0</v>
      </c>
      <c r="G85" s="72" t="str">
        <f aca="false">IF($A85="","",IF(ROUND($E85,2)=0,"n/a",$F85/ABS($E85)))</f>
        <v>n/a</v>
      </c>
      <c r="H85" s="70" t="n">
        <f aca="false">IF($A85="","",Data_Engine!$AH85)</f>
        <v>0</v>
      </c>
      <c r="I85" s="69" t="n">
        <f aca="false">IF($A85="","",Data_Engine!$AI85)</f>
        <v>0</v>
      </c>
      <c r="J85" s="71" t="n">
        <f aca="false">IF($A85="","",$H85-$I85)</f>
        <v>0</v>
      </c>
      <c r="K85" s="72" t="str">
        <f aca="false">IF($A85="","",IF(ROUND($I85,2)=0,"n/a",$J85/ABS($I85)))</f>
        <v>n/a</v>
      </c>
      <c r="L85" s="69" t="n">
        <f aca="false">IF($A85="","",Data_Engine!$AJ85)</f>
        <v>0</v>
      </c>
      <c r="M85" s="73" t="n">
        <f aca="false">IF($A85="","",IF(Setup!$B$8=0,0,$H85/Setup!$B$8*12))</f>
        <v>0</v>
      </c>
      <c r="N85" s="72" t="str">
        <f aca="false">IF($A85="","",IF(ROUND($L85,2)=0,"n/a",($M85-$L85)/ABS($L85)))</f>
        <v>n/a</v>
      </c>
      <c r="O85" s="76" t="str">
        <f aca="false">IF($A85="","",IF(AND(ROUND($H85,2)=0,ROUND($I85,2)=0),"Dormant",IF(ROUND($I85,2)=0,"New this year",IF(ROUND($H85,2)=0,"Ceased",IF($J85&gt;0,"Increase",IF($J85&lt;0,"Decrease","Flat"))))))</f>
        <v>Dormant</v>
      </c>
      <c r="P85" s="74" t="str">
        <f aca="false">IF($A85="","",IF(AND(ROUND($H85,2)=0,ROUND($I85,2)=0),"No Activity",IF(ABS($J85)&lt;Setup!$B$14,"Low",IF(ROUND($I85,2)=0,"High",IF(OR(ABS($J85/$I85)&gt;=Setup!$B$16,ABS($J85)&gt;=Setup!$B$17),"High",IF(ABS($J85/$I85)&gt;=Setup!$B$15,"Medium","Low"))))))</f>
        <v>No Activity</v>
      </c>
      <c r="Q85" s="57"/>
      <c r="R85" s="75" t="n">
        <f aca="false">IF($A85="",-1000000000000000,IF(ROUND(ABS($J85),0)=0,-1000000000000000,ABS($J85)+ROW()/1000000))</f>
        <v>-1000000000000000</v>
      </c>
    </row>
    <row r="86" customFormat="false" ht="15" hidden="false" customHeight="false" outlineLevel="0" collapsed="false">
      <c r="A86" s="68" t="str">
        <f aca="false">IF(Data_Engine!$A86="","",Data_Engine!$A86)</f>
        <v>Direct Workers Comp - PRD</v>
      </c>
      <c r="B86" s="42" t="str">
        <f aca="false">IF($A86="","",Data_Engine!$B86)</f>
        <v>Cost of Sales</v>
      </c>
      <c r="C86" s="42" t="str">
        <f aca="false">IF($A86="","",Data_Engine!$D86)</f>
        <v>Production</v>
      </c>
      <c r="D86" s="69" t="n">
        <f aca="false">IF($A86="","",Data_Engine!$AD86)</f>
        <v>0</v>
      </c>
      <c r="E86" s="69" t="n">
        <f aca="false">IF($A86="","",Data_Engine!$AE86)</f>
        <v>0</v>
      </c>
      <c r="F86" s="73" t="n">
        <f aca="false">IF($A86="","",$D86-$E86)</f>
        <v>0</v>
      </c>
      <c r="G86" s="72" t="str">
        <f aca="false">IF($A86="","",IF(ROUND($E86,2)=0,"n/a",$F86/ABS($E86)))</f>
        <v>n/a</v>
      </c>
      <c r="H86" s="70" t="n">
        <f aca="false">IF($A86="","",Data_Engine!$AH86)</f>
        <v>0</v>
      </c>
      <c r="I86" s="69" t="n">
        <f aca="false">IF($A86="","",Data_Engine!$AI86)</f>
        <v>0</v>
      </c>
      <c r="J86" s="71" t="n">
        <f aca="false">IF($A86="","",$H86-$I86)</f>
        <v>0</v>
      </c>
      <c r="K86" s="72" t="str">
        <f aca="false">IF($A86="","",IF(ROUND($I86,2)=0,"n/a",$J86/ABS($I86)))</f>
        <v>n/a</v>
      </c>
      <c r="L86" s="69" t="n">
        <f aca="false">IF($A86="","",Data_Engine!$AJ86)</f>
        <v>0</v>
      </c>
      <c r="M86" s="73" t="n">
        <f aca="false">IF($A86="","",IF(Setup!$B$8=0,0,$H86/Setup!$B$8*12))</f>
        <v>0</v>
      </c>
      <c r="N86" s="72" t="str">
        <f aca="false">IF($A86="","",IF(ROUND($L86,2)=0,"n/a",($M86-$L86)/ABS($L86)))</f>
        <v>n/a</v>
      </c>
      <c r="O86" s="76" t="str">
        <f aca="false">IF($A86="","",IF(AND(ROUND($H86,2)=0,ROUND($I86,2)=0),"Dormant",IF(ROUND($I86,2)=0,"New this year",IF(ROUND($H86,2)=0,"Ceased",IF($J86&gt;0,"Increase",IF($J86&lt;0,"Decrease","Flat"))))))</f>
        <v>Dormant</v>
      </c>
      <c r="P86" s="74" t="str">
        <f aca="false">IF($A86="","",IF(AND(ROUND($H86,2)=0,ROUND($I86,2)=0),"No Activity",IF(ABS($J86)&lt;Setup!$B$14,"Low",IF(ROUND($I86,2)=0,"High",IF(OR(ABS($J86/$I86)&gt;=Setup!$B$16,ABS($J86)&gt;=Setup!$B$17),"High",IF(ABS($J86/$I86)&gt;=Setup!$B$15,"Medium","Low"))))))</f>
        <v>No Activity</v>
      </c>
      <c r="Q86" s="57"/>
      <c r="R86" s="75" t="n">
        <f aca="false">IF($A86="",-1000000000000000,IF(ROUND(ABS($J86),0)=0,-1000000000000000,ABS($J86)+ROW()/1000000))</f>
        <v>-1000000000000000</v>
      </c>
    </row>
    <row r="87" customFormat="false" ht="15" hidden="false" customHeight="false" outlineLevel="0" collapsed="false">
      <c r="A87" s="68" t="str">
        <f aca="false">IF(Data_Engine!$A87="","",Data_Engine!$A87)</f>
        <v>Direct Workers Comp - VID</v>
      </c>
      <c r="B87" s="42" t="str">
        <f aca="false">IF($A87="","",Data_Engine!$B87)</f>
        <v>Cost of Sales</v>
      </c>
      <c r="C87" s="42" t="str">
        <f aca="false">IF($A87="","",Data_Engine!$D87)</f>
        <v>Video</v>
      </c>
      <c r="D87" s="69" t="n">
        <f aca="false">IF($A87="","",Data_Engine!$AD87)</f>
        <v>0</v>
      </c>
      <c r="E87" s="69" t="n">
        <f aca="false">IF($A87="","",Data_Engine!$AE87)</f>
        <v>0</v>
      </c>
      <c r="F87" s="73" t="n">
        <f aca="false">IF($A87="","",$D87-$E87)</f>
        <v>0</v>
      </c>
      <c r="G87" s="72" t="str">
        <f aca="false">IF($A87="","",IF(ROUND($E87,2)=0,"n/a",$F87/ABS($E87)))</f>
        <v>n/a</v>
      </c>
      <c r="H87" s="70" t="n">
        <f aca="false">IF($A87="","",Data_Engine!$AH87)</f>
        <v>0</v>
      </c>
      <c r="I87" s="69" t="n">
        <f aca="false">IF($A87="","",Data_Engine!$AI87)</f>
        <v>0</v>
      </c>
      <c r="J87" s="71" t="n">
        <f aca="false">IF($A87="","",$H87-$I87)</f>
        <v>0</v>
      </c>
      <c r="K87" s="72" t="str">
        <f aca="false">IF($A87="","",IF(ROUND($I87,2)=0,"n/a",$J87/ABS($I87)))</f>
        <v>n/a</v>
      </c>
      <c r="L87" s="69" t="n">
        <f aca="false">IF($A87="","",Data_Engine!$AJ87)</f>
        <v>0</v>
      </c>
      <c r="M87" s="73" t="n">
        <f aca="false">IF($A87="","",IF(Setup!$B$8=0,0,$H87/Setup!$B$8*12))</f>
        <v>0</v>
      </c>
      <c r="N87" s="72" t="str">
        <f aca="false">IF($A87="","",IF(ROUND($L87,2)=0,"n/a",($M87-$L87)/ABS($L87)))</f>
        <v>n/a</v>
      </c>
      <c r="O87" s="76" t="str">
        <f aca="false">IF($A87="","",IF(AND(ROUND($H87,2)=0,ROUND($I87,2)=0),"Dormant",IF(ROUND($I87,2)=0,"New this year",IF(ROUND($H87,2)=0,"Ceased",IF($J87&gt;0,"Increase",IF($J87&lt;0,"Decrease","Flat"))))))</f>
        <v>Dormant</v>
      </c>
      <c r="P87" s="74" t="str">
        <f aca="false">IF($A87="","",IF(AND(ROUND($H87,2)=0,ROUND($I87,2)=0),"No Activity",IF(ABS($J87)&lt;Setup!$B$14,"Low",IF(ROUND($I87,2)=0,"High",IF(OR(ABS($J87/$I87)&gt;=Setup!$B$16,ABS($J87)&gt;=Setup!$B$17),"High",IF(ABS($J87/$I87)&gt;=Setup!$B$15,"Medium","Low"))))))</f>
        <v>No Activity</v>
      </c>
      <c r="Q87" s="57"/>
      <c r="R87" s="75" t="n">
        <f aca="false">IF($A87="",-1000000000000000,IF(ROUND(ABS($J87),0)=0,-1000000000000000,ABS($J87)+ROW()/1000000))</f>
        <v>-1000000000000000</v>
      </c>
    </row>
    <row r="88" customFormat="false" ht="15" hidden="false" customHeight="false" outlineLevel="0" collapsed="false">
      <c r="A88" s="68" t="str">
        <f aca="false">IF(Data_Engine!$A88="","",Data_Engine!$A88)</f>
        <v>Discounts Given</v>
      </c>
      <c r="B88" s="42" t="str">
        <f aca="false">IF($A88="","",Data_Engine!$B88)</f>
        <v>Cost of Sales</v>
      </c>
      <c r="C88" s="42" t="str">
        <f aca="false">IF($A88="","",Data_Engine!$D88)</f>
        <v>Unallocated</v>
      </c>
      <c r="D88" s="69" t="n">
        <f aca="false">IF($A88="","",Data_Engine!$AD88)</f>
        <v>0</v>
      </c>
      <c r="E88" s="69" t="n">
        <f aca="false">IF($A88="","",Data_Engine!$AE88)</f>
        <v>0</v>
      </c>
      <c r="F88" s="73" t="n">
        <f aca="false">IF($A88="","",$D88-$E88)</f>
        <v>0</v>
      </c>
      <c r="G88" s="72" t="str">
        <f aca="false">IF($A88="","",IF(ROUND($E88,2)=0,"n/a",$F88/ABS($E88)))</f>
        <v>n/a</v>
      </c>
      <c r="H88" s="70" t="n">
        <f aca="false">IF($A88="","",Data_Engine!$AH88)</f>
        <v>0</v>
      </c>
      <c r="I88" s="69" t="n">
        <f aca="false">IF($A88="","",Data_Engine!$AI88)</f>
        <v>0</v>
      </c>
      <c r="J88" s="71" t="n">
        <f aca="false">IF($A88="","",$H88-$I88)</f>
        <v>0</v>
      </c>
      <c r="K88" s="72" t="str">
        <f aca="false">IF($A88="","",IF(ROUND($I88,2)=0,"n/a",$J88/ABS($I88)))</f>
        <v>n/a</v>
      </c>
      <c r="L88" s="69" t="n">
        <f aca="false">IF($A88="","",Data_Engine!$AJ88)</f>
        <v>0</v>
      </c>
      <c r="M88" s="73" t="n">
        <f aca="false">IF($A88="","",IF(Setup!$B$8=0,0,$H88/Setup!$B$8*12))</f>
        <v>0</v>
      </c>
      <c r="N88" s="72" t="str">
        <f aca="false">IF($A88="","",IF(ROUND($L88,2)=0,"n/a",($M88-$L88)/ABS($L88)))</f>
        <v>n/a</v>
      </c>
      <c r="O88" s="76" t="str">
        <f aca="false">IF($A88="","",IF(AND(ROUND($H88,2)=0,ROUND($I88,2)=0),"Dormant",IF(ROUND($I88,2)=0,"New this year",IF(ROUND($H88,2)=0,"Ceased",IF($J88&gt;0,"Increase",IF($J88&lt;0,"Decrease","Flat"))))))</f>
        <v>Dormant</v>
      </c>
      <c r="P88" s="74" t="str">
        <f aca="false">IF($A88="","",IF(AND(ROUND($H88,2)=0,ROUND($I88,2)=0),"No Activity",IF(ABS($J88)&lt;Setup!$B$14,"Low",IF(ROUND($I88,2)=0,"High",IF(OR(ABS($J88/$I88)&gt;=Setup!$B$16,ABS($J88)&gt;=Setup!$B$17),"High",IF(ABS($J88/$I88)&gt;=Setup!$B$15,"Medium","Low"))))))</f>
        <v>No Activity</v>
      </c>
      <c r="Q88" s="57"/>
      <c r="R88" s="75" t="n">
        <f aca="false">IF($A88="",-1000000000000000,IF(ROUND(ABS($J88),0)=0,-1000000000000000,ABS($J88)+ROW()/1000000))</f>
        <v>-1000000000000000</v>
      </c>
    </row>
    <row r="89" customFormat="false" ht="15" hidden="false" customHeight="false" outlineLevel="0" collapsed="false">
      <c r="A89" s="68" t="str">
        <f aca="false">IF(Data_Engine!$A89="","",Data_Engine!$A89)</f>
        <v>Equipment - Hires</v>
      </c>
      <c r="B89" s="42" t="str">
        <f aca="false">IF($A89="","",Data_Engine!$B89)</f>
        <v>Cost of Sales</v>
      </c>
      <c r="C89" s="42" t="str">
        <f aca="false">IF($A89="","",Data_Engine!$D89)</f>
        <v>Unallocated</v>
      </c>
      <c r="D89" s="69" t="n">
        <f aca="false">IF($A89="","",Data_Engine!$AD89)</f>
        <v>0</v>
      </c>
      <c r="E89" s="69" t="n">
        <f aca="false">IF($A89="","",Data_Engine!$AE89)</f>
        <v>0</v>
      </c>
      <c r="F89" s="73" t="n">
        <f aca="false">IF($A89="","",$D89-$E89)</f>
        <v>0</v>
      </c>
      <c r="G89" s="72" t="str">
        <f aca="false">IF($A89="","",IF(ROUND($E89,2)=0,"n/a",$F89/ABS($E89)))</f>
        <v>n/a</v>
      </c>
      <c r="H89" s="70" t="n">
        <f aca="false">IF($A89="","",Data_Engine!$AH89)</f>
        <v>0</v>
      </c>
      <c r="I89" s="69" t="n">
        <f aca="false">IF($A89="","",Data_Engine!$AI89)</f>
        <v>0</v>
      </c>
      <c r="J89" s="71" t="n">
        <f aca="false">IF($A89="","",$H89-$I89)</f>
        <v>0</v>
      </c>
      <c r="K89" s="72" t="str">
        <f aca="false">IF($A89="","",IF(ROUND($I89,2)=0,"n/a",$J89/ABS($I89)))</f>
        <v>n/a</v>
      </c>
      <c r="L89" s="69" t="n">
        <f aca="false">IF($A89="","",Data_Engine!$AJ89)</f>
        <v>0</v>
      </c>
      <c r="M89" s="73" t="n">
        <f aca="false">IF($A89="","",IF(Setup!$B$8=0,0,$H89/Setup!$B$8*12))</f>
        <v>0</v>
      </c>
      <c r="N89" s="72" t="str">
        <f aca="false">IF($A89="","",IF(ROUND($L89,2)=0,"n/a",($M89-$L89)/ABS($L89)))</f>
        <v>n/a</v>
      </c>
      <c r="O89" s="76" t="str">
        <f aca="false">IF($A89="","",IF(AND(ROUND($H89,2)=0,ROUND($I89,2)=0),"Dormant",IF(ROUND($I89,2)=0,"New this year",IF(ROUND($H89,2)=0,"Ceased",IF($J89&gt;0,"Increase",IF($J89&lt;0,"Decrease","Flat"))))))</f>
        <v>Dormant</v>
      </c>
      <c r="P89" s="74" t="str">
        <f aca="false">IF($A89="","",IF(AND(ROUND($H89,2)=0,ROUND($I89,2)=0),"No Activity",IF(ABS($J89)&lt;Setup!$B$14,"Low",IF(ROUND($I89,2)=0,"High",IF(OR(ABS($J89/$I89)&gt;=Setup!$B$16,ABS($J89)&gt;=Setup!$B$17),"High",IF(ABS($J89/$I89)&gt;=Setup!$B$15,"Medium","Low"))))))</f>
        <v>No Activity</v>
      </c>
      <c r="Q89" s="57"/>
      <c r="R89" s="75" t="n">
        <f aca="false">IF($A89="",-1000000000000000,IF(ROUND(ABS($J89),0)=0,-1000000000000000,ABS($J89)+ROW()/1000000))</f>
        <v>-1000000000000000</v>
      </c>
    </row>
    <row r="90" customFormat="false" ht="15" hidden="false" customHeight="false" outlineLevel="0" collapsed="false">
      <c r="A90" s="68" t="str">
        <f aca="false">IF(Data_Engine!$A90="","",Data_Engine!$A90)</f>
        <v>Equipment - Purchase</v>
      </c>
      <c r="B90" s="42" t="str">
        <f aca="false">IF($A90="","",Data_Engine!$B90)</f>
        <v>Cost of Sales</v>
      </c>
      <c r="C90" s="42" t="str">
        <f aca="false">IF($A90="","",Data_Engine!$D90)</f>
        <v>Unallocated</v>
      </c>
      <c r="D90" s="69" t="n">
        <f aca="false">IF($A90="","",Data_Engine!$AD90)</f>
        <v>0</v>
      </c>
      <c r="E90" s="69" t="n">
        <f aca="false">IF($A90="","",Data_Engine!$AE90)</f>
        <v>0</v>
      </c>
      <c r="F90" s="73" t="n">
        <f aca="false">IF($A90="","",$D90-$E90)</f>
        <v>0</v>
      </c>
      <c r="G90" s="72" t="str">
        <f aca="false">IF($A90="","",IF(ROUND($E90,2)=0,"n/a",$F90/ABS($E90)))</f>
        <v>n/a</v>
      </c>
      <c r="H90" s="70" t="n">
        <f aca="false">IF($A90="","",Data_Engine!$AH90)</f>
        <v>0</v>
      </c>
      <c r="I90" s="69" t="n">
        <f aca="false">IF($A90="","",Data_Engine!$AI90)</f>
        <v>0</v>
      </c>
      <c r="J90" s="71" t="n">
        <f aca="false">IF($A90="","",$H90-$I90)</f>
        <v>0</v>
      </c>
      <c r="K90" s="72" t="str">
        <f aca="false">IF($A90="","",IF(ROUND($I90,2)=0,"n/a",$J90/ABS($I90)))</f>
        <v>n/a</v>
      </c>
      <c r="L90" s="69" t="n">
        <f aca="false">IF($A90="","",Data_Engine!$AJ90)</f>
        <v>0</v>
      </c>
      <c r="M90" s="73" t="n">
        <f aca="false">IF($A90="","",IF(Setup!$B$8=0,0,$H90/Setup!$B$8*12))</f>
        <v>0</v>
      </c>
      <c r="N90" s="72" t="str">
        <f aca="false">IF($A90="","",IF(ROUND($L90,2)=0,"n/a",($M90-$L90)/ABS($L90)))</f>
        <v>n/a</v>
      </c>
      <c r="O90" s="76" t="str">
        <f aca="false">IF($A90="","",IF(AND(ROUND($H90,2)=0,ROUND($I90,2)=0),"Dormant",IF(ROUND($I90,2)=0,"New this year",IF(ROUND($H90,2)=0,"Ceased",IF($J90&gt;0,"Increase",IF($J90&lt;0,"Decrease","Flat"))))))</f>
        <v>Dormant</v>
      </c>
      <c r="P90" s="74" t="str">
        <f aca="false">IF($A90="","",IF(AND(ROUND($H90,2)=0,ROUND($I90,2)=0),"No Activity",IF(ABS($J90)&lt;Setup!$B$14,"Low",IF(ROUND($I90,2)=0,"High",IF(OR(ABS($J90/$I90)&gt;=Setup!$B$16,ABS($J90)&gt;=Setup!$B$17),"High",IF(ABS($J90/$I90)&gt;=Setup!$B$15,"Medium","Low"))))))</f>
        <v>No Activity</v>
      </c>
      <c r="Q90" s="57"/>
      <c r="R90" s="75" t="n">
        <f aca="false">IF($A90="",-1000000000000000,IF(ROUND(ABS($J90),0)=0,-1000000000000000,ABS($J90)+ROW()/1000000))</f>
        <v>-1000000000000000</v>
      </c>
    </row>
    <row r="91" customFormat="false" ht="15" hidden="false" customHeight="false" outlineLevel="0" collapsed="false">
      <c r="A91" s="68" t="str">
        <f aca="false">IF(Data_Engine!$A91="","",Data_Engine!$A91)</f>
        <v>Equipment -Maintenance Support</v>
      </c>
      <c r="B91" s="42" t="str">
        <f aca="false">IF($A91="","",Data_Engine!$B91)</f>
        <v>Cost of Sales</v>
      </c>
      <c r="C91" s="42" t="str">
        <f aca="false">IF($A91="","",Data_Engine!$D91)</f>
        <v>Unallocated</v>
      </c>
      <c r="D91" s="69" t="n">
        <f aca="false">IF($A91="","",Data_Engine!$AD91)</f>
        <v>0</v>
      </c>
      <c r="E91" s="69" t="n">
        <f aca="false">IF($A91="","",Data_Engine!$AE91)</f>
        <v>0</v>
      </c>
      <c r="F91" s="73" t="n">
        <f aca="false">IF($A91="","",$D91-$E91)</f>
        <v>0</v>
      </c>
      <c r="G91" s="72" t="str">
        <f aca="false">IF($A91="","",IF(ROUND($E91,2)=0,"n/a",$F91/ABS($E91)))</f>
        <v>n/a</v>
      </c>
      <c r="H91" s="70" t="n">
        <f aca="false">IF($A91="","",Data_Engine!$AH91)</f>
        <v>0</v>
      </c>
      <c r="I91" s="69" t="n">
        <f aca="false">IF($A91="","",Data_Engine!$AI91)</f>
        <v>0</v>
      </c>
      <c r="J91" s="71" t="n">
        <f aca="false">IF($A91="","",$H91-$I91)</f>
        <v>0</v>
      </c>
      <c r="K91" s="72" t="str">
        <f aca="false">IF($A91="","",IF(ROUND($I91,2)=0,"n/a",$J91/ABS($I91)))</f>
        <v>n/a</v>
      </c>
      <c r="L91" s="69" t="n">
        <f aca="false">IF($A91="","",Data_Engine!$AJ91)</f>
        <v>0</v>
      </c>
      <c r="M91" s="73" t="n">
        <f aca="false">IF($A91="","",IF(Setup!$B$8=0,0,$H91/Setup!$B$8*12))</f>
        <v>0</v>
      </c>
      <c r="N91" s="72" t="str">
        <f aca="false">IF($A91="","",IF(ROUND($L91,2)=0,"n/a",($M91-$L91)/ABS($L91)))</f>
        <v>n/a</v>
      </c>
      <c r="O91" s="76" t="str">
        <f aca="false">IF($A91="","",IF(AND(ROUND($H91,2)=0,ROUND($I91,2)=0),"Dormant",IF(ROUND($I91,2)=0,"New this year",IF(ROUND($H91,2)=0,"Ceased",IF($J91&gt;0,"Increase",IF($J91&lt;0,"Decrease","Flat"))))))</f>
        <v>Dormant</v>
      </c>
      <c r="P91" s="74" t="str">
        <f aca="false">IF($A91="","",IF(AND(ROUND($H91,2)=0,ROUND($I91,2)=0),"No Activity",IF(ABS($J91)&lt;Setup!$B$14,"Low",IF(ROUND($I91,2)=0,"High",IF(OR(ABS($J91/$I91)&gt;=Setup!$B$16,ABS($J91)&gt;=Setup!$B$17),"High",IF(ABS($J91/$I91)&gt;=Setup!$B$15,"Medium","Low"))))))</f>
        <v>No Activity</v>
      </c>
      <c r="Q91" s="57"/>
      <c r="R91" s="75" t="n">
        <f aca="false">IF($A91="",-1000000000000000,IF(ROUND(ABS($J91),0)=0,-1000000000000000,ABS($J91)+ROW()/1000000))</f>
        <v>-1000000000000000</v>
      </c>
    </row>
    <row r="92" customFormat="false" ht="15" hidden="false" customHeight="false" outlineLevel="0" collapsed="false">
      <c r="A92" s="68" t="str">
        <f aca="false">IF(Data_Engine!$A92="","",Data_Engine!$A92)</f>
        <v>Service - hires</v>
      </c>
      <c r="B92" s="42" t="str">
        <f aca="false">IF($A92="","",Data_Engine!$B92)</f>
        <v>Cost of Sales</v>
      </c>
      <c r="C92" s="42" t="str">
        <f aca="false">IF($A92="","",Data_Engine!$D92)</f>
        <v>Unallocated</v>
      </c>
      <c r="D92" s="69" t="n">
        <f aca="false">IF($A92="","",Data_Engine!$AD92)</f>
        <v>0</v>
      </c>
      <c r="E92" s="69" t="n">
        <f aca="false">IF($A92="","",Data_Engine!$AE92)</f>
        <v>0</v>
      </c>
      <c r="F92" s="73" t="n">
        <f aca="false">IF($A92="","",$D92-$E92)</f>
        <v>0</v>
      </c>
      <c r="G92" s="72" t="str">
        <f aca="false">IF($A92="","",IF(ROUND($E92,2)=0,"n/a",$F92/ABS($E92)))</f>
        <v>n/a</v>
      </c>
      <c r="H92" s="70" t="n">
        <f aca="false">IF($A92="","",Data_Engine!$AH92)</f>
        <v>0</v>
      </c>
      <c r="I92" s="69" t="n">
        <f aca="false">IF($A92="","",Data_Engine!$AI92)</f>
        <v>0</v>
      </c>
      <c r="J92" s="71" t="n">
        <f aca="false">IF($A92="","",$H92-$I92)</f>
        <v>0</v>
      </c>
      <c r="K92" s="72" t="str">
        <f aca="false">IF($A92="","",IF(ROUND($I92,2)=0,"n/a",$J92/ABS($I92)))</f>
        <v>n/a</v>
      </c>
      <c r="L92" s="69" t="n">
        <f aca="false">IF($A92="","",Data_Engine!$AJ92)</f>
        <v>0</v>
      </c>
      <c r="M92" s="73" t="n">
        <f aca="false">IF($A92="","",IF(Setup!$B$8=0,0,$H92/Setup!$B$8*12))</f>
        <v>0</v>
      </c>
      <c r="N92" s="72" t="str">
        <f aca="false">IF($A92="","",IF(ROUND($L92,2)=0,"n/a",($M92-$L92)/ABS($L92)))</f>
        <v>n/a</v>
      </c>
      <c r="O92" s="76" t="str">
        <f aca="false">IF($A92="","",IF(AND(ROUND($H92,2)=0,ROUND($I92,2)=0),"Dormant",IF(ROUND($I92,2)=0,"New this year",IF(ROUND($H92,2)=0,"Ceased",IF($J92&gt;0,"Increase",IF($J92&lt;0,"Decrease","Flat"))))))</f>
        <v>Dormant</v>
      </c>
      <c r="P92" s="74" t="str">
        <f aca="false">IF($A92="","",IF(AND(ROUND($H92,2)=0,ROUND($I92,2)=0),"No Activity",IF(ABS($J92)&lt;Setup!$B$14,"Low",IF(ROUND($I92,2)=0,"High",IF(OR(ABS($J92/$I92)&gt;=Setup!$B$16,ABS($J92)&gt;=Setup!$B$17),"High",IF(ABS($J92/$I92)&gt;=Setup!$B$15,"Medium","Low"))))))</f>
        <v>No Activity</v>
      </c>
      <c r="Q92" s="57"/>
      <c r="R92" s="75" t="n">
        <f aca="false">IF($A92="",-1000000000000000,IF(ROUND(ABS($J92),0)=0,-1000000000000000,ABS($J92)+ROW()/1000000))</f>
        <v>-1000000000000000</v>
      </c>
    </row>
    <row r="93" customFormat="false" ht="15" hidden="false" customHeight="false" outlineLevel="0" collapsed="false">
      <c r="A93" s="68" t="str">
        <f aca="false">IF(Data_Engine!$A93="","",Data_Engine!$A93)</f>
        <v>Stamp Duty</v>
      </c>
      <c r="B93" s="42" t="str">
        <f aca="false">IF($A93="","",Data_Engine!$B93)</f>
        <v>Cost of Sales</v>
      </c>
      <c r="C93" s="42" t="str">
        <f aca="false">IF($A93="","",Data_Engine!$D93)</f>
        <v>Unallocated</v>
      </c>
      <c r="D93" s="69" t="n">
        <f aca="false">IF($A93="","",Data_Engine!$AD93)</f>
        <v>0</v>
      </c>
      <c r="E93" s="69" t="n">
        <f aca="false">IF($A93="","",Data_Engine!$AE93)</f>
        <v>0</v>
      </c>
      <c r="F93" s="73" t="n">
        <f aca="false">IF($A93="","",$D93-$E93)</f>
        <v>0</v>
      </c>
      <c r="G93" s="72" t="str">
        <f aca="false">IF($A93="","",IF(ROUND($E93,2)=0,"n/a",$F93/ABS($E93)))</f>
        <v>n/a</v>
      </c>
      <c r="H93" s="70" t="n">
        <f aca="false">IF($A93="","",Data_Engine!$AH93)</f>
        <v>0</v>
      </c>
      <c r="I93" s="69" t="n">
        <f aca="false">IF($A93="","",Data_Engine!$AI93)</f>
        <v>0</v>
      </c>
      <c r="J93" s="71" t="n">
        <f aca="false">IF($A93="","",$H93-$I93)</f>
        <v>0</v>
      </c>
      <c r="K93" s="72" t="str">
        <f aca="false">IF($A93="","",IF(ROUND($I93,2)=0,"n/a",$J93/ABS($I93)))</f>
        <v>n/a</v>
      </c>
      <c r="L93" s="69" t="n">
        <f aca="false">IF($A93="","",Data_Engine!$AJ93)</f>
        <v>0</v>
      </c>
      <c r="M93" s="73" t="n">
        <f aca="false">IF($A93="","",IF(Setup!$B$8=0,0,$H93/Setup!$B$8*12))</f>
        <v>0</v>
      </c>
      <c r="N93" s="72" t="str">
        <f aca="false">IF($A93="","",IF(ROUND($L93,2)=0,"n/a",($M93-$L93)/ABS($L93)))</f>
        <v>n/a</v>
      </c>
      <c r="O93" s="76" t="str">
        <f aca="false">IF($A93="","",IF(AND(ROUND($H93,2)=0,ROUND($I93,2)=0),"Dormant",IF(ROUND($I93,2)=0,"New this year",IF(ROUND($H93,2)=0,"Ceased",IF($J93&gt;0,"Increase",IF($J93&lt;0,"Decrease","Flat"))))))</f>
        <v>Dormant</v>
      </c>
      <c r="P93" s="74" t="str">
        <f aca="false">IF($A93="","",IF(AND(ROUND($H93,2)=0,ROUND($I93,2)=0),"No Activity",IF(ABS($J93)&lt;Setup!$B$14,"Low",IF(ROUND($I93,2)=0,"High",IF(OR(ABS($J93/$I93)&gt;=Setup!$B$16,ABS($J93)&gt;=Setup!$B$17),"High",IF(ABS($J93/$I93)&gt;=Setup!$B$15,"Medium","Low"))))))</f>
        <v>No Activity</v>
      </c>
      <c r="Q93" s="57"/>
      <c r="R93" s="75" t="n">
        <f aca="false">IF($A93="",-1000000000000000,IF(ROUND(ABS($J93),0)=0,-1000000000000000,ABS($J93)+ROW()/1000000))</f>
        <v>-1000000000000000</v>
      </c>
    </row>
    <row r="94" customFormat="false" ht="15" hidden="false" customHeight="false" outlineLevel="0" collapsed="false">
      <c r="A94" s="68" t="str">
        <f aca="false">IF(Data_Engine!$A94="","",Data_Engine!$A94)</f>
        <v>Sub-Contract Labour - ADMIN</v>
      </c>
      <c r="B94" s="42" t="str">
        <f aca="false">IF($A94="","",Data_Engine!$B94)</f>
        <v>Cost of Sales</v>
      </c>
      <c r="C94" s="42" t="str">
        <f aca="false">IF($A94="","",Data_Engine!$D94)</f>
        <v>Admin</v>
      </c>
      <c r="D94" s="69" t="n">
        <f aca="false">IF($A94="","",Data_Engine!$AD94)</f>
        <v>0</v>
      </c>
      <c r="E94" s="69" t="n">
        <f aca="false">IF($A94="","",Data_Engine!$AE94)</f>
        <v>0</v>
      </c>
      <c r="F94" s="73" t="n">
        <f aca="false">IF($A94="","",$D94-$E94)</f>
        <v>0</v>
      </c>
      <c r="G94" s="72" t="str">
        <f aca="false">IF($A94="","",IF(ROUND($E94,2)=0,"n/a",$F94/ABS($E94)))</f>
        <v>n/a</v>
      </c>
      <c r="H94" s="70" t="n">
        <f aca="false">IF($A94="","",Data_Engine!$AH94)</f>
        <v>0</v>
      </c>
      <c r="I94" s="69" t="n">
        <f aca="false">IF($A94="","",Data_Engine!$AI94)</f>
        <v>0</v>
      </c>
      <c r="J94" s="71" t="n">
        <f aca="false">IF($A94="","",$H94-$I94)</f>
        <v>0</v>
      </c>
      <c r="K94" s="72" t="str">
        <f aca="false">IF($A94="","",IF(ROUND($I94,2)=0,"n/a",$J94/ABS($I94)))</f>
        <v>n/a</v>
      </c>
      <c r="L94" s="69" t="n">
        <f aca="false">IF($A94="","",Data_Engine!$AJ94)</f>
        <v>0</v>
      </c>
      <c r="M94" s="73" t="n">
        <f aca="false">IF($A94="","",IF(Setup!$B$8=0,0,$H94/Setup!$B$8*12))</f>
        <v>0</v>
      </c>
      <c r="N94" s="72" t="str">
        <f aca="false">IF($A94="","",IF(ROUND($L94,2)=0,"n/a",($M94-$L94)/ABS($L94)))</f>
        <v>n/a</v>
      </c>
      <c r="O94" s="76" t="str">
        <f aca="false">IF($A94="","",IF(AND(ROUND($H94,2)=0,ROUND($I94,2)=0),"Dormant",IF(ROUND($I94,2)=0,"New this year",IF(ROUND($H94,2)=0,"Ceased",IF($J94&gt;0,"Increase",IF($J94&lt;0,"Decrease","Flat"))))))</f>
        <v>Dormant</v>
      </c>
      <c r="P94" s="74" t="str">
        <f aca="false">IF($A94="","",IF(AND(ROUND($H94,2)=0,ROUND($I94,2)=0),"No Activity",IF(ABS($J94)&lt;Setup!$B$14,"Low",IF(ROUND($I94,2)=0,"High",IF(OR(ABS($J94/$I94)&gt;=Setup!$B$16,ABS($J94)&gt;=Setup!$B$17),"High",IF(ABS($J94/$I94)&gt;=Setup!$B$15,"Medium","Low"))))))</f>
        <v>No Activity</v>
      </c>
      <c r="Q94" s="57"/>
      <c r="R94" s="75" t="n">
        <f aca="false">IF($A94="",-1000000000000000,IF(ROUND(ABS($J94),0)=0,-1000000000000000,ABS($J94)+ROW()/1000000))</f>
        <v>-1000000000000000</v>
      </c>
    </row>
    <row r="95" customFormat="false" ht="15" hidden="false" customHeight="false" outlineLevel="0" collapsed="false">
      <c r="A95" s="68" t="str">
        <f aca="false">IF(Data_Engine!$A95="","",Data_Engine!$A95)</f>
        <v>Sub-Contract Labour - CONS</v>
      </c>
      <c r="B95" s="42" t="str">
        <f aca="false">IF($A95="","",Data_Engine!$B95)</f>
        <v>Cost of Sales</v>
      </c>
      <c r="C95" s="42" t="str">
        <f aca="false">IF($A95="","",Data_Engine!$D95)</f>
        <v>Consulting</v>
      </c>
      <c r="D95" s="69" t="n">
        <f aca="false">IF($A95="","",Data_Engine!$AD95)</f>
        <v>0</v>
      </c>
      <c r="E95" s="69" t="n">
        <f aca="false">IF($A95="","",Data_Engine!$AE95)</f>
        <v>0</v>
      </c>
      <c r="F95" s="73" t="n">
        <f aca="false">IF($A95="","",$D95-$E95)</f>
        <v>0</v>
      </c>
      <c r="G95" s="72" t="str">
        <f aca="false">IF($A95="","",IF(ROUND($E95,2)=0,"n/a",$F95/ABS($E95)))</f>
        <v>n/a</v>
      </c>
      <c r="H95" s="70" t="n">
        <f aca="false">IF($A95="","",Data_Engine!$AH95)</f>
        <v>0</v>
      </c>
      <c r="I95" s="69" t="n">
        <f aca="false">IF($A95="","",Data_Engine!$AI95)</f>
        <v>0</v>
      </c>
      <c r="J95" s="71" t="n">
        <f aca="false">IF($A95="","",$H95-$I95)</f>
        <v>0</v>
      </c>
      <c r="K95" s="72" t="str">
        <f aca="false">IF($A95="","",IF(ROUND($I95,2)=0,"n/a",$J95/ABS($I95)))</f>
        <v>n/a</v>
      </c>
      <c r="L95" s="69" t="n">
        <f aca="false">IF($A95="","",Data_Engine!$AJ95)</f>
        <v>0</v>
      </c>
      <c r="M95" s="73" t="n">
        <f aca="false">IF($A95="","",IF(Setup!$B$8=0,0,$H95/Setup!$B$8*12))</f>
        <v>0</v>
      </c>
      <c r="N95" s="72" t="str">
        <f aca="false">IF($A95="","",IF(ROUND($L95,2)=0,"n/a",($M95-$L95)/ABS($L95)))</f>
        <v>n/a</v>
      </c>
      <c r="O95" s="76" t="str">
        <f aca="false">IF($A95="","",IF(AND(ROUND($H95,2)=0,ROUND($I95,2)=0),"Dormant",IF(ROUND($I95,2)=0,"New this year",IF(ROUND($H95,2)=0,"Ceased",IF($J95&gt;0,"Increase",IF($J95&lt;0,"Decrease","Flat"))))))</f>
        <v>Dormant</v>
      </c>
      <c r="P95" s="74" t="str">
        <f aca="false">IF($A95="","",IF(AND(ROUND($H95,2)=0,ROUND($I95,2)=0),"No Activity",IF(ABS($J95)&lt;Setup!$B$14,"Low",IF(ROUND($I95,2)=0,"High",IF(OR(ABS($J95/$I95)&gt;=Setup!$B$16,ABS($J95)&gt;=Setup!$B$17),"High",IF(ABS($J95/$I95)&gt;=Setup!$B$15,"Medium","Low"))))))</f>
        <v>No Activity</v>
      </c>
      <c r="Q95" s="57"/>
      <c r="R95" s="75" t="n">
        <f aca="false">IF($A95="",-1000000000000000,IF(ROUND(ABS($J95),0)=0,-1000000000000000,ABS($J95)+ROW()/1000000))</f>
        <v>-1000000000000000</v>
      </c>
    </row>
    <row r="96" customFormat="false" ht="15" hidden="false" customHeight="false" outlineLevel="0" collapsed="false">
      <c r="A96" s="68" t="str">
        <f aca="false">IF(Data_Engine!$A96="","",Data_Engine!$A96)</f>
        <v>Sub-Contract Labour - INTEGRATION</v>
      </c>
      <c r="B96" s="42" t="str">
        <f aca="false">IF($A96="","",Data_Engine!$B96)</f>
        <v>Cost of Sales</v>
      </c>
      <c r="C96" s="42" t="str">
        <f aca="false">IF($A96="","",Data_Engine!$D96)</f>
        <v>Integration</v>
      </c>
      <c r="D96" s="69" t="n">
        <f aca="false">IF($A96="","",Data_Engine!$AD96)</f>
        <v>0</v>
      </c>
      <c r="E96" s="69" t="n">
        <f aca="false">IF($A96="","",Data_Engine!$AE96)</f>
        <v>0</v>
      </c>
      <c r="F96" s="73" t="n">
        <f aca="false">IF($A96="","",$D96-$E96)</f>
        <v>0</v>
      </c>
      <c r="G96" s="72" t="str">
        <f aca="false">IF($A96="","",IF(ROUND($E96,2)=0,"n/a",$F96/ABS($E96)))</f>
        <v>n/a</v>
      </c>
      <c r="H96" s="70" t="n">
        <f aca="false">IF($A96="","",Data_Engine!$AH96)</f>
        <v>0</v>
      </c>
      <c r="I96" s="69" t="n">
        <f aca="false">IF($A96="","",Data_Engine!$AI96)</f>
        <v>0</v>
      </c>
      <c r="J96" s="71" t="n">
        <f aca="false">IF($A96="","",$H96-$I96)</f>
        <v>0</v>
      </c>
      <c r="K96" s="72" t="str">
        <f aca="false">IF($A96="","",IF(ROUND($I96,2)=0,"n/a",$J96/ABS($I96)))</f>
        <v>n/a</v>
      </c>
      <c r="L96" s="69" t="n">
        <f aca="false">IF($A96="","",Data_Engine!$AJ96)</f>
        <v>0</v>
      </c>
      <c r="M96" s="73" t="n">
        <f aca="false">IF($A96="","",IF(Setup!$B$8=0,0,$H96/Setup!$B$8*12))</f>
        <v>0</v>
      </c>
      <c r="N96" s="72" t="str">
        <f aca="false">IF($A96="","",IF(ROUND($L96,2)=0,"n/a",($M96-$L96)/ABS($L96)))</f>
        <v>n/a</v>
      </c>
      <c r="O96" s="76" t="str">
        <f aca="false">IF($A96="","",IF(AND(ROUND($H96,2)=0,ROUND($I96,2)=0),"Dormant",IF(ROUND($I96,2)=0,"New this year",IF(ROUND($H96,2)=0,"Ceased",IF($J96&gt;0,"Increase",IF($J96&lt;0,"Decrease","Flat"))))))</f>
        <v>Dormant</v>
      </c>
      <c r="P96" s="74" t="str">
        <f aca="false">IF($A96="","",IF(AND(ROUND($H96,2)=0,ROUND($I96,2)=0),"No Activity",IF(ABS($J96)&lt;Setup!$B$14,"Low",IF(ROUND($I96,2)=0,"High",IF(OR(ABS($J96/$I96)&gt;=Setup!$B$16,ABS($J96)&gt;=Setup!$B$17),"High",IF(ABS($J96/$I96)&gt;=Setup!$B$15,"Medium","Low"))))))</f>
        <v>No Activity</v>
      </c>
      <c r="Q96" s="57"/>
      <c r="R96" s="75" t="n">
        <f aca="false">IF($A96="",-1000000000000000,IF(ROUND(ABS($J96),0)=0,-1000000000000000,ABS($J96)+ROW()/1000000))</f>
        <v>-1000000000000000</v>
      </c>
    </row>
    <row r="97" customFormat="false" ht="15" hidden="false" customHeight="false" outlineLevel="0" collapsed="false">
      <c r="A97" s="68" t="str">
        <f aca="false">IF(Data_Engine!$A97="","",Data_Engine!$A97)</f>
        <v>Sub-Contract Labour - ONS</v>
      </c>
      <c r="B97" s="42" t="str">
        <f aca="false">IF($A97="","",Data_Engine!$B97)</f>
        <v>Cost of Sales</v>
      </c>
      <c r="C97" s="42" t="str">
        <f aca="false">IF($A97="","",Data_Engine!$D97)</f>
        <v>Onsite</v>
      </c>
      <c r="D97" s="69" t="n">
        <f aca="false">IF($A97="","",Data_Engine!$AD97)</f>
        <v>0</v>
      </c>
      <c r="E97" s="69" t="n">
        <f aca="false">IF($A97="","",Data_Engine!$AE97)</f>
        <v>0</v>
      </c>
      <c r="F97" s="73" t="n">
        <f aca="false">IF($A97="","",$D97-$E97)</f>
        <v>0</v>
      </c>
      <c r="G97" s="72" t="str">
        <f aca="false">IF($A97="","",IF(ROUND($E97,2)=0,"n/a",$F97/ABS($E97)))</f>
        <v>n/a</v>
      </c>
      <c r="H97" s="70" t="n">
        <f aca="false">IF($A97="","",Data_Engine!$AH97)</f>
        <v>0</v>
      </c>
      <c r="I97" s="69" t="n">
        <f aca="false">IF($A97="","",Data_Engine!$AI97)</f>
        <v>0</v>
      </c>
      <c r="J97" s="71" t="n">
        <f aca="false">IF($A97="","",$H97-$I97)</f>
        <v>0</v>
      </c>
      <c r="K97" s="72" t="str">
        <f aca="false">IF($A97="","",IF(ROUND($I97,2)=0,"n/a",$J97/ABS($I97)))</f>
        <v>n/a</v>
      </c>
      <c r="L97" s="69" t="n">
        <f aca="false">IF($A97="","",Data_Engine!$AJ97)</f>
        <v>0</v>
      </c>
      <c r="M97" s="73" t="n">
        <f aca="false">IF($A97="","",IF(Setup!$B$8=0,0,$H97/Setup!$B$8*12))</f>
        <v>0</v>
      </c>
      <c r="N97" s="72" t="str">
        <f aca="false">IF($A97="","",IF(ROUND($L97,2)=0,"n/a",($M97-$L97)/ABS($L97)))</f>
        <v>n/a</v>
      </c>
      <c r="O97" s="76" t="str">
        <f aca="false">IF($A97="","",IF(AND(ROUND($H97,2)=0,ROUND($I97,2)=0),"Dormant",IF(ROUND($I97,2)=0,"New this year",IF(ROUND($H97,2)=0,"Ceased",IF($J97&gt;0,"Increase",IF($J97&lt;0,"Decrease","Flat"))))))</f>
        <v>Dormant</v>
      </c>
      <c r="P97" s="74" t="str">
        <f aca="false">IF($A97="","",IF(AND(ROUND($H97,2)=0,ROUND($I97,2)=0),"No Activity",IF(ABS($J97)&lt;Setup!$B$14,"Low",IF(ROUND($I97,2)=0,"High",IF(OR(ABS($J97/$I97)&gt;=Setup!$B$16,ABS($J97)&gt;=Setup!$B$17),"High",IF(ABS($J97/$I97)&gt;=Setup!$B$15,"Medium","Low"))))))</f>
        <v>No Activity</v>
      </c>
      <c r="Q97" s="57"/>
      <c r="R97" s="75" t="n">
        <f aca="false">IF($A97="",-1000000000000000,IF(ROUND(ABS($J97),0)=0,-1000000000000000,ABS($J97)+ROW()/1000000))</f>
        <v>-1000000000000000</v>
      </c>
    </row>
    <row r="98" customFormat="false" ht="15" hidden="false" customHeight="false" outlineLevel="0" collapsed="false">
      <c r="A98" s="68" t="str">
        <f aca="false">IF(Data_Engine!$A98="","",Data_Engine!$A98)</f>
        <v>Sub-Contract Labour - PRD</v>
      </c>
      <c r="B98" s="42" t="str">
        <f aca="false">IF($A98="","",Data_Engine!$B98)</f>
        <v>Cost of Sales</v>
      </c>
      <c r="C98" s="42" t="str">
        <f aca="false">IF($A98="","",Data_Engine!$D98)</f>
        <v>Production</v>
      </c>
      <c r="D98" s="69" t="n">
        <f aca="false">IF($A98="","",Data_Engine!$AD98)</f>
        <v>0</v>
      </c>
      <c r="E98" s="69" t="n">
        <f aca="false">IF($A98="","",Data_Engine!$AE98)</f>
        <v>0</v>
      </c>
      <c r="F98" s="73" t="n">
        <f aca="false">IF($A98="","",$D98-$E98)</f>
        <v>0</v>
      </c>
      <c r="G98" s="72" t="str">
        <f aca="false">IF($A98="","",IF(ROUND($E98,2)=0,"n/a",$F98/ABS($E98)))</f>
        <v>n/a</v>
      </c>
      <c r="H98" s="70" t="n">
        <f aca="false">IF($A98="","",Data_Engine!$AH98)</f>
        <v>0</v>
      </c>
      <c r="I98" s="69" t="n">
        <f aca="false">IF($A98="","",Data_Engine!$AI98)</f>
        <v>0</v>
      </c>
      <c r="J98" s="71" t="n">
        <f aca="false">IF($A98="","",$H98-$I98)</f>
        <v>0</v>
      </c>
      <c r="K98" s="72" t="str">
        <f aca="false">IF($A98="","",IF(ROUND($I98,2)=0,"n/a",$J98/ABS($I98)))</f>
        <v>n/a</v>
      </c>
      <c r="L98" s="69" t="n">
        <f aca="false">IF($A98="","",Data_Engine!$AJ98)</f>
        <v>0</v>
      </c>
      <c r="M98" s="73" t="n">
        <f aca="false">IF($A98="","",IF(Setup!$B$8=0,0,$H98/Setup!$B$8*12))</f>
        <v>0</v>
      </c>
      <c r="N98" s="72" t="str">
        <f aca="false">IF($A98="","",IF(ROUND($L98,2)=0,"n/a",($M98-$L98)/ABS($L98)))</f>
        <v>n/a</v>
      </c>
      <c r="O98" s="76" t="str">
        <f aca="false">IF($A98="","",IF(AND(ROUND($H98,2)=0,ROUND($I98,2)=0),"Dormant",IF(ROUND($I98,2)=0,"New this year",IF(ROUND($H98,2)=0,"Ceased",IF($J98&gt;0,"Increase",IF($J98&lt;0,"Decrease","Flat"))))))</f>
        <v>Dormant</v>
      </c>
      <c r="P98" s="74" t="str">
        <f aca="false">IF($A98="","",IF(AND(ROUND($H98,2)=0,ROUND($I98,2)=0),"No Activity",IF(ABS($J98)&lt;Setup!$B$14,"Low",IF(ROUND($I98,2)=0,"High",IF(OR(ABS($J98/$I98)&gt;=Setup!$B$16,ABS($J98)&gt;=Setup!$B$17),"High",IF(ABS($J98/$I98)&gt;=Setup!$B$15,"Medium","Low"))))))</f>
        <v>No Activity</v>
      </c>
      <c r="Q98" s="57"/>
      <c r="R98" s="75" t="n">
        <f aca="false">IF($A98="",-1000000000000000,IF(ROUND(ABS($J98),0)=0,-1000000000000000,ABS($J98)+ROW()/1000000))</f>
        <v>-1000000000000000</v>
      </c>
    </row>
    <row r="99" customFormat="false" ht="15" hidden="false" customHeight="false" outlineLevel="0" collapsed="false">
      <c r="A99" s="68" t="str">
        <f aca="false">IF(Data_Engine!$A99="","",Data_Engine!$A99)</f>
        <v>Sub-Contract Labour - VID</v>
      </c>
      <c r="B99" s="42" t="str">
        <f aca="false">IF($A99="","",Data_Engine!$B99)</f>
        <v>Cost of Sales</v>
      </c>
      <c r="C99" s="42" t="str">
        <f aca="false">IF($A99="","",Data_Engine!$D99)</f>
        <v>Video</v>
      </c>
      <c r="D99" s="69" t="n">
        <f aca="false">IF($A99="","",Data_Engine!$AD99)</f>
        <v>0</v>
      </c>
      <c r="E99" s="69" t="n">
        <f aca="false">IF($A99="","",Data_Engine!$AE99)</f>
        <v>0</v>
      </c>
      <c r="F99" s="73" t="n">
        <f aca="false">IF($A99="","",$D99-$E99)</f>
        <v>0</v>
      </c>
      <c r="G99" s="72" t="str">
        <f aca="false">IF($A99="","",IF(ROUND($E99,2)=0,"n/a",$F99/ABS($E99)))</f>
        <v>n/a</v>
      </c>
      <c r="H99" s="70" t="n">
        <f aca="false">IF($A99="","",Data_Engine!$AH99)</f>
        <v>0</v>
      </c>
      <c r="I99" s="69" t="n">
        <f aca="false">IF($A99="","",Data_Engine!$AI99)</f>
        <v>0</v>
      </c>
      <c r="J99" s="71" t="n">
        <f aca="false">IF($A99="","",$H99-$I99)</f>
        <v>0</v>
      </c>
      <c r="K99" s="72" t="str">
        <f aca="false">IF($A99="","",IF(ROUND($I99,2)=0,"n/a",$J99/ABS($I99)))</f>
        <v>n/a</v>
      </c>
      <c r="L99" s="69" t="n">
        <f aca="false">IF($A99="","",Data_Engine!$AJ99)</f>
        <v>0</v>
      </c>
      <c r="M99" s="73" t="n">
        <f aca="false">IF($A99="","",IF(Setup!$B$8=0,0,$H99/Setup!$B$8*12))</f>
        <v>0</v>
      </c>
      <c r="N99" s="72" t="str">
        <f aca="false">IF($A99="","",IF(ROUND($L99,2)=0,"n/a",($M99-$L99)/ABS($L99)))</f>
        <v>n/a</v>
      </c>
      <c r="O99" s="76" t="str">
        <f aca="false">IF($A99="","",IF(AND(ROUND($H99,2)=0,ROUND($I99,2)=0),"Dormant",IF(ROUND($I99,2)=0,"New this year",IF(ROUND($H99,2)=0,"Ceased",IF($J99&gt;0,"Increase",IF($J99&lt;0,"Decrease","Flat"))))))</f>
        <v>Dormant</v>
      </c>
      <c r="P99" s="74" t="str">
        <f aca="false">IF($A99="","",IF(AND(ROUND($H99,2)=0,ROUND($I99,2)=0),"No Activity",IF(ABS($J99)&lt;Setup!$B$14,"Low",IF(ROUND($I99,2)=0,"High",IF(OR(ABS($J99/$I99)&gt;=Setup!$B$16,ABS($J99)&gt;=Setup!$B$17),"High",IF(ABS($J99/$I99)&gt;=Setup!$B$15,"Medium","Low"))))))</f>
        <v>No Activity</v>
      </c>
      <c r="Q99" s="57"/>
      <c r="R99" s="75" t="n">
        <f aca="false">IF($A99="",-1000000000000000,IF(ROUND(ABS($J99),0)=0,-1000000000000000,ABS($J99)+ROW()/1000000))</f>
        <v>-1000000000000000</v>
      </c>
    </row>
    <row r="100" customFormat="false" ht="15" hidden="false" customHeight="false" outlineLevel="0" collapsed="false">
      <c r="A100" s="68" t="str">
        <f aca="false">IF(Data_Engine!$A100="","",Data_Engine!$A100)</f>
        <v>Subscriptions &amp; Licences - Expense</v>
      </c>
      <c r="B100" s="42" t="str">
        <f aca="false">IF($A100="","",Data_Engine!$B100)</f>
        <v>Cost of Sales</v>
      </c>
      <c r="C100" s="42" t="str">
        <f aca="false">IF($A100="","",Data_Engine!$D100)</f>
        <v>Unallocated</v>
      </c>
      <c r="D100" s="69" t="n">
        <f aca="false">IF($A100="","",Data_Engine!$AD100)</f>
        <v>0</v>
      </c>
      <c r="E100" s="69" t="n">
        <f aca="false">IF($A100="","",Data_Engine!$AE100)</f>
        <v>0</v>
      </c>
      <c r="F100" s="73" t="n">
        <f aca="false">IF($A100="","",$D100-$E100)</f>
        <v>0</v>
      </c>
      <c r="G100" s="72" t="str">
        <f aca="false">IF($A100="","",IF(ROUND($E100,2)=0,"n/a",$F100/ABS($E100)))</f>
        <v>n/a</v>
      </c>
      <c r="H100" s="70" t="n">
        <f aca="false">IF($A100="","",Data_Engine!$AH100)</f>
        <v>0</v>
      </c>
      <c r="I100" s="69" t="n">
        <f aca="false">IF($A100="","",Data_Engine!$AI100)</f>
        <v>0</v>
      </c>
      <c r="J100" s="71" t="n">
        <f aca="false">IF($A100="","",$H100-$I100)</f>
        <v>0</v>
      </c>
      <c r="K100" s="72" t="str">
        <f aca="false">IF($A100="","",IF(ROUND($I100,2)=0,"n/a",$J100/ABS($I100)))</f>
        <v>n/a</v>
      </c>
      <c r="L100" s="69" t="n">
        <f aca="false">IF($A100="","",Data_Engine!$AJ100)</f>
        <v>0</v>
      </c>
      <c r="M100" s="73" t="n">
        <f aca="false">IF($A100="","",IF(Setup!$B$8=0,0,$H100/Setup!$B$8*12))</f>
        <v>0</v>
      </c>
      <c r="N100" s="72" t="str">
        <f aca="false">IF($A100="","",IF(ROUND($L100,2)=0,"n/a",($M100-$L100)/ABS($L100)))</f>
        <v>n/a</v>
      </c>
      <c r="O100" s="76" t="str">
        <f aca="false">IF($A100="","",IF(AND(ROUND($H100,2)=0,ROUND($I100,2)=0),"Dormant",IF(ROUND($I100,2)=0,"New this year",IF(ROUND($H100,2)=0,"Ceased",IF($J100&gt;0,"Increase",IF($J100&lt;0,"Decrease","Flat"))))))</f>
        <v>Dormant</v>
      </c>
      <c r="P100" s="74" t="str">
        <f aca="false">IF($A100="","",IF(AND(ROUND($H100,2)=0,ROUND($I100,2)=0),"No Activity",IF(ABS($J100)&lt;Setup!$B$14,"Low",IF(ROUND($I100,2)=0,"High",IF(OR(ABS($J100/$I100)&gt;=Setup!$B$16,ABS($J100)&gt;=Setup!$B$17),"High",IF(ABS($J100/$I100)&gt;=Setup!$B$15,"Medium","Low"))))))</f>
        <v>No Activity</v>
      </c>
      <c r="Q100" s="57"/>
      <c r="R100" s="75" t="n">
        <f aca="false">IF($A100="",-1000000000000000,IF(ROUND(ABS($J100),0)=0,-1000000000000000,ABS($J100)+ROW()/1000000))</f>
        <v>-1000000000000000</v>
      </c>
    </row>
    <row r="101" customFormat="false" ht="15" hidden="false" customHeight="false" outlineLevel="0" collapsed="false">
      <c r="A101" s="68" t="str">
        <f aca="false">IF(Data_Engine!$A101="","",Data_Engine!$A101)</f>
        <v>Supplier Per Diems - ADMIN</v>
      </c>
      <c r="B101" s="42" t="str">
        <f aca="false">IF($A101="","",Data_Engine!$B101)</f>
        <v>Cost of Sales</v>
      </c>
      <c r="C101" s="42" t="str">
        <f aca="false">IF($A101="","",Data_Engine!$D101)</f>
        <v>Admin</v>
      </c>
      <c r="D101" s="69" t="n">
        <f aca="false">IF($A101="","",Data_Engine!$AD101)</f>
        <v>0</v>
      </c>
      <c r="E101" s="69" t="n">
        <f aca="false">IF($A101="","",Data_Engine!$AE101)</f>
        <v>0</v>
      </c>
      <c r="F101" s="73" t="n">
        <f aca="false">IF($A101="","",$D101-$E101)</f>
        <v>0</v>
      </c>
      <c r="G101" s="72" t="str">
        <f aca="false">IF($A101="","",IF(ROUND($E101,2)=0,"n/a",$F101/ABS($E101)))</f>
        <v>n/a</v>
      </c>
      <c r="H101" s="70" t="n">
        <f aca="false">IF($A101="","",Data_Engine!$AH101)</f>
        <v>0</v>
      </c>
      <c r="I101" s="69" t="n">
        <f aca="false">IF($A101="","",Data_Engine!$AI101)</f>
        <v>0</v>
      </c>
      <c r="J101" s="71" t="n">
        <f aca="false">IF($A101="","",$H101-$I101)</f>
        <v>0</v>
      </c>
      <c r="K101" s="72" t="str">
        <f aca="false">IF($A101="","",IF(ROUND($I101,2)=0,"n/a",$J101/ABS($I101)))</f>
        <v>n/a</v>
      </c>
      <c r="L101" s="69" t="n">
        <f aca="false">IF($A101="","",Data_Engine!$AJ101)</f>
        <v>0</v>
      </c>
      <c r="M101" s="73" t="n">
        <f aca="false">IF($A101="","",IF(Setup!$B$8=0,0,$H101/Setup!$B$8*12))</f>
        <v>0</v>
      </c>
      <c r="N101" s="72" t="str">
        <f aca="false">IF($A101="","",IF(ROUND($L101,2)=0,"n/a",($M101-$L101)/ABS($L101)))</f>
        <v>n/a</v>
      </c>
      <c r="O101" s="76" t="str">
        <f aca="false">IF($A101="","",IF(AND(ROUND($H101,2)=0,ROUND($I101,2)=0),"Dormant",IF(ROUND($I101,2)=0,"New this year",IF(ROUND($H101,2)=0,"Ceased",IF($J101&gt;0,"Increase",IF($J101&lt;0,"Decrease","Flat"))))))</f>
        <v>Dormant</v>
      </c>
      <c r="P101" s="74" t="str">
        <f aca="false">IF($A101="","",IF(AND(ROUND($H101,2)=0,ROUND($I101,2)=0),"No Activity",IF(ABS($J101)&lt;Setup!$B$14,"Low",IF(ROUND($I101,2)=0,"High",IF(OR(ABS($J101/$I101)&gt;=Setup!$B$16,ABS($J101)&gt;=Setup!$B$17),"High",IF(ABS($J101/$I101)&gt;=Setup!$B$15,"Medium","Low"))))))</f>
        <v>No Activity</v>
      </c>
      <c r="Q101" s="57"/>
      <c r="R101" s="75" t="n">
        <f aca="false">IF($A101="",-1000000000000000,IF(ROUND(ABS($J101),0)=0,-1000000000000000,ABS($J101)+ROW()/1000000))</f>
        <v>-1000000000000000</v>
      </c>
    </row>
    <row r="102" customFormat="false" ht="15" hidden="false" customHeight="false" outlineLevel="0" collapsed="false">
      <c r="A102" s="68" t="str">
        <f aca="false">IF(Data_Engine!$A102="","",Data_Engine!$A102)</f>
        <v>Supplier Per Diems - CONS</v>
      </c>
      <c r="B102" s="42" t="str">
        <f aca="false">IF($A102="","",Data_Engine!$B102)</f>
        <v>Cost of Sales</v>
      </c>
      <c r="C102" s="42" t="str">
        <f aca="false">IF($A102="","",Data_Engine!$D102)</f>
        <v>Consulting</v>
      </c>
      <c r="D102" s="69" t="n">
        <f aca="false">IF($A102="","",Data_Engine!$AD102)</f>
        <v>0</v>
      </c>
      <c r="E102" s="69" t="n">
        <f aca="false">IF($A102="","",Data_Engine!$AE102)</f>
        <v>0</v>
      </c>
      <c r="F102" s="73" t="n">
        <f aca="false">IF($A102="","",$D102-$E102)</f>
        <v>0</v>
      </c>
      <c r="G102" s="72" t="str">
        <f aca="false">IF($A102="","",IF(ROUND($E102,2)=0,"n/a",$F102/ABS($E102)))</f>
        <v>n/a</v>
      </c>
      <c r="H102" s="70" t="n">
        <f aca="false">IF($A102="","",Data_Engine!$AH102)</f>
        <v>0</v>
      </c>
      <c r="I102" s="69" t="n">
        <f aca="false">IF($A102="","",Data_Engine!$AI102)</f>
        <v>0</v>
      </c>
      <c r="J102" s="71" t="n">
        <f aca="false">IF($A102="","",$H102-$I102)</f>
        <v>0</v>
      </c>
      <c r="K102" s="72" t="str">
        <f aca="false">IF($A102="","",IF(ROUND($I102,2)=0,"n/a",$J102/ABS($I102)))</f>
        <v>n/a</v>
      </c>
      <c r="L102" s="69" t="n">
        <f aca="false">IF($A102="","",Data_Engine!$AJ102)</f>
        <v>0</v>
      </c>
      <c r="M102" s="73" t="n">
        <f aca="false">IF($A102="","",IF(Setup!$B$8=0,0,$H102/Setup!$B$8*12))</f>
        <v>0</v>
      </c>
      <c r="N102" s="72" t="str">
        <f aca="false">IF($A102="","",IF(ROUND($L102,2)=0,"n/a",($M102-$L102)/ABS($L102)))</f>
        <v>n/a</v>
      </c>
      <c r="O102" s="76" t="str">
        <f aca="false">IF($A102="","",IF(AND(ROUND($H102,2)=0,ROUND($I102,2)=0),"Dormant",IF(ROUND($I102,2)=0,"New this year",IF(ROUND($H102,2)=0,"Ceased",IF($J102&gt;0,"Increase",IF($J102&lt;0,"Decrease","Flat"))))))</f>
        <v>Dormant</v>
      </c>
      <c r="P102" s="74" t="str">
        <f aca="false">IF($A102="","",IF(AND(ROUND($H102,2)=0,ROUND($I102,2)=0),"No Activity",IF(ABS($J102)&lt;Setup!$B$14,"Low",IF(ROUND($I102,2)=0,"High",IF(OR(ABS($J102/$I102)&gt;=Setup!$B$16,ABS($J102)&gt;=Setup!$B$17),"High",IF(ABS($J102/$I102)&gt;=Setup!$B$15,"Medium","Low"))))))</f>
        <v>No Activity</v>
      </c>
      <c r="Q102" s="57"/>
      <c r="R102" s="75" t="n">
        <f aca="false">IF($A102="",-1000000000000000,IF(ROUND(ABS($J102),0)=0,-1000000000000000,ABS($J102)+ROW()/1000000))</f>
        <v>-1000000000000000</v>
      </c>
    </row>
    <row r="103" customFormat="false" ht="15" hidden="false" customHeight="false" outlineLevel="0" collapsed="false">
      <c r="A103" s="68" t="str">
        <f aca="false">IF(Data_Engine!$A103="","",Data_Engine!$A103)</f>
        <v>Supplier Per Diems - INTEGRATION</v>
      </c>
      <c r="B103" s="42" t="str">
        <f aca="false">IF($A103="","",Data_Engine!$B103)</f>
        <v>Cost of Sales</v>
      </c>
      <c r="C103" s="42" t="str">
        <f aca="false">IF($A103="","",Data_Engine!$D103)</f>
        <v>Integration</v>
      </c>
      <c r="D103" s="69" t="n">
        <f aca="false">IF($A103="","",Data_Engine!$AD103)</f>
        <v>0</v>
      </c>
      <c r="E103" s="69" t="n">
        <f aca="false">IF($A103="","",Data_Engine!$AE103)</f>
        <v>0</v>
      </c>
      <c r="F103" s="73" t="n">
        <f aca="false">IF($A103="","",$D103-$E103)</f>
        <v>0</v>
      </c>
      <c r="G103" s="72" t="str">
        <f aca="false">IF($A103="","",IF(ROUND($E103,2)=0,"n/a",$F103/ABS($E103)))</f>
        <v>n/a</v>
      </c>
      <c r="H103" s="70" t="n">
        <f aca="false">IF($A103="","",Data_Engine!$AH103)</f>
        <v>0</v>
      </c>
      <c r="I103" s="69" t="n">
        <f aca="false">IF($A103="","",Data_Engine!$AI103)</f>
        <v>0</v>
      </c>
      <c r="J103" s="71" t="n">
        <f aca="false">IF($A103="","",$H103-$I103)</f>
        <v>0</v>
      </c>
      <c r="K103" s="72" t="str">
        <f aca="false">IF($A103="","",IF(ROUND($I103,2)=0,"n/a",$J103/ABS($I103)))</f>
        <v>n/a</v>
      </c>
      <c r="L103" s="69" t="n">
        <f aca="false">IF($A103="","",Data_Engine!$AJ103)</f>
        <v>0</v>
      </c>
      <c r="M103" s="73" t="n">
        <f aca="false">IF($A103="","",IF(Setup!$B$8=0,0,$H103/Setup!$B$8*12))</f>
        <v>0</v>
      </c>
      <c r="N103" s="72" t="str">
        <f aca="false">IF($A103="","",IF(ROUND($L103,2)=0,"n/a",($M103-$L103)/ABS($L103)))</f>
        <v>n/a</v>
      </c>
      <c r="O103" s="76" t="str">
        <f aca="false">IF($A103="","",IF(AND(ROUND($H103,2)=0,ROUND($I103,2)=0),"Dormant",IF(ROUND($I103,2)=0,"New this year",IF(ROUND($H103,2)=0,"Ceased",IF($J103&gt;0,"Increase",IF($J103&lt;0,"Decrease","Flat"))))))</f>
        <v>Dormant</v>
      </c>
      <c r="P103" s="74" t="str">
        <f aca="false">IF($A103="","",IF(AND(ROUND($H103,2)=0,ROUND($I103,2)=0),"No Activity",IF(ABS($J103)&lt;Setup!$B$14,"Low",IF(ROUND($I103,2)=0,"High",IF(OR(ABS($J103/$I103)&gt;=Setup!$B$16,ABS($J103)&gt;=Setup!$B$17),"High",IF(ABS($J103/$I103)&gt;=Setup!$B$15,"Medium","Low"))))))</f>
        <v>No Activity</v>
      </c>
      <c r="Q103" s="57"/>
      <c r="R103" s="75" t="n">
        <f aca="false">IF($A103="",-1000000000000000,IF(ROUND(ABS($J103),0)=0,-1000000000000000,ABS($J103)+ROW()/1000000))</f>
        <v>-1000000000000000</v>
      </c>
    </row>
    <row r="104" customFormat="false" ht="15" hidden="false" customHeight="false" outlineLevel="0" collapsed="false">
      <c r="A104" s="68" t="str">
        <f aca="false">IF(Data_Engine!$A104="","",Data_Engine!$A104)</f>
        <v>Supplier Per Diems - ONS</v>
      </c>
      <c r="B104" s="42" t="str">
        <f aca="false">IF($A104="","",Data_Engine!$B104)</f>
        <v>Cost of Sales</v>
      </c>
      <c r="C104" s="42" t="str">
        <f aca="false">IF($A104="","",Data_Engine!$D104)</f>
        <v>Onsite</v>
      </c>
      <c r="D104" s="69" t="n">
        <f aca="false">IF($A104="","",Data_Engine!$AD104)</f>
        <v>0</v>
      </c>
      <c r="E104" s="69" t="n">
        <f aca="false">IF($A104="","",Data_Engine!$AE104)</f>
        <v>0</v>
      </c>
      <c r="F104" s="73" t="n">
        <f aca="false">IF($A104="","",$D104-$E104)</f>
        <v>0</v>
      </c>
      <c r="G104" s="72" t="str">
        <f aca="false">IF($A104="","",IF(ROUND($E104,2)=0,"n/a",$F104/ABS($E104)))</f>
        <v>n/a</v>
      </c>
      <c r="H104" s="70" t="n">
        <f aca="false">IF($A104="","",Data_Engine!$AH104)</f>
        <v>0</v>
      </c>
      <c r="I104" s="69" t="n">
        <f aca="false">IF($A104="","",Data_Engine!$AI104)</f>
        <v>0</v>
      </c>
      <c r="J104" s="71" t="n">
        <f aca="false">IF($A104="","",$H104-$I104)</f>
        <v>0</v>
      </c>
      <c r="K104" s="72" t="str">
        <f aca="false">IF($A104="","",IF(ROUND($I104,2)=0,"n/a",$J104/ABS($I104)))</f>
        <v>n/a</v>
      </c>
      <c r="L104" s="69" t="n">
        <f aca="false">IF($A104="","",Data_Engine!$AJ104)</f>
        <v>0</v>
      </c>
      <c r="M104" s="73" t="n">
        <f aca="false">IF($A104="","",IF(Setup!$B$8=0,0,$H104/Setup!$B$8*12))</f>
        <v>0</v>
      </c>
      <c r="N104" s="72" t="str">
        <f aca="false">IF($A104="","",IF(ROUND($L104,2)=0,"n/a",($M104-$L104)/ABS($L104)))</f>
        <v>n/a</v>
      </c>
      <c r="O104" s="76" t="str">
        <f aca="false">IF($A104="","",IF(AND(ROUND($H104,2)=0,ROUND($I104,2)=0),"Dormant",IF(ROUND($I104,2)=0,"New this year",IF(ROUND($H104,2)=0,"Ceased",IF($J104&gt;0,"Increase",IF($J104&lt;0,"Decrease","Flat"))))))</f>
        <v>Dormant</v>
      </c>
      <c r="P104" s="74" t="str">
        <f aca="false">IF($A104="","",IF(AND(ROUND($H104,2)=0,ROUND($I104,2)=0),"No Activity",IF(ABS($J104)&lt;Setup!$B$14,"Low",IF(ROUND($I104,2)=0,"High",IF(OR(ABS($J104/$I104)&gt;=Setup!$B$16,ABS($J104)&gt;=Setup!$B$17),"High",IF(ABS($J104/$I104)&gt;=Setup!$B$15,"Medium","Low"))))))</f>
        <v>No Activity</v>
      </c>
      <c r="Q104" s="57"/>
      <c r="R104" s="75" t="n">
        <f aca="false">IF($A104="",-1000000000000000,IF(ROUND(ABS($J104),0)=0,-1000000000000000,ABS($J104)+ROW()/1000000))</f>
        <v>-1000000000000000</v>
      </c>
    </row>
    <row r="105" customFormat="false" ht="15" hidden="false" customHeight="false" outlineLevel="0" collapsed="false">
      <c r="A105" s="68" t="str">
        <f aca="false">IF(Data_Engine!$A105="","",Data_Engine!$A105)</f>
        <v>Supplier Per Diems - PRD</v>
      </c>
      <c r="B105" s="42" t="str">
        <f aca="false">IF($A105="","",Data_Engine!$B105)</f>
        <v>Cost of Sales</v>
      </c>
      <c r="C105" s="42" t="str">
        <f aca="false">IF($A105="","",Data_Engine!$D105)</f>
        <v>Production</v>
      </c>
      <c r="D105" s="69" t="n">
        <f aca="false">IF($A105="","",Data_Engine!$AD105)</f>
        <v>0</v>
      </c>
      <c r="E105" s="69" t="n">
        <f aca="false">IF($A105="","",Data_Engine!$AE105)</f>
        <v>0</v>
      </c>
      <c r="F105" s="73" t="n">
        <f aca="false">IF($A105="","",$D105-$E105)</f>
        <v>0</v>
      </c>
      <c r="G105" s="72" t="str">
        <f aca="false">IF($A105="","",IF(ROUND($E105,2)=0,"n/a",$F105/ABS($E105)))</f>
        <v>n/a</v>
      </c>
      <c r="H105" s="70" t="n">
        <f aca="false">IF($A105="","",Data_Engine!$AH105)</f>
        <v>0</v>
      </c>
      <c r="I105" s="69" t="n">
        <f aca="false">IF($A105="","",Data_Engine!$AI105)</f>
        <v>0</v>
      </c>
      <c r="J105" s="71" t="n">
        <f aca="false">IF($A105="","",$H105-$I105)</f>
        <v>0</v>
      </c>
      <c r="K105" s="72" t="str">
        <f aca="false">IF($A105="","",IF(ROUND($I105,2)=0,"n/a",$J105/ABS($I105)))</f>
        <v>n/a</v>
      </c>
      <c r="L105" s="69" t="n">
        <f aca="false">IF($A105="","",Data_Engine!$AJ105)</f>
        <v>0</v>
      </c>
      <c r="M105" s="73" t="n">
        <f aca="false">IF($A105="","",IF(Setup!$B$8=0,0,$H105/Setup!$B$8*12))</f>
        <v>0</v>
      </c>
      <c r="N105" s="72" t="str">
        <f aca="false">IF($A105="","",IF(ROUND($L105,2)=0,"n/a",($M105-$L105)/ABS($L105)))</f>
        <v>n/a</v>
      </c>
      <c r="O105" s="76" t="str">
        <f aca="false">IF($A105="","",IF(AND(ROUND($H105,2)=0,ROUND($I105,2)=0),"Dormant",IF(ROUND($I105,2)=0,"New this year",IF(ROUND($H105,2)=0,"Ceased",IF($J105&gt;0,"Increase",IF($J105&lt;0,"Decrease","Flat"))))))</f>
        <v>Dormant</v>
      </c>
      <c r="P105" s="74" t="str">
        <f aca="false">IF($A105="","",IF(AND(ROUND($H105,2)=0,ROUND($I105,2)=0),"No Activity",IF(ABS($J105)&lt;Setup!$B$14,"Low",IF(ROUND($I105,2)=0,"High",IF(OR(ABS($J105/$I105)&gt;=Setup!$B$16,ABS($J105)&gt;=Setup!$B$17),"High",IF(ABS($J105/$I105)&gt;=Setup!$B$15,"Medium","Low"))))))</f>
        <v>No Activity</v>
      </c>
      <c r="Q105" s="57"/>
      <c r="R105" s="75" t="n">
        <f aca="false">IF($A105="",-1000000000000000,IF(ROUND(ABS($J105),0)=0,-1000000000000000,ABS($J105)+ROW()/1000000))</f>
        <v>-1000000000000000</v>
      </c>
    </row>
    <row r="106" customFormat="false" ht="15" hidden="false" customHeight="false" outlineLevel="0" collapsed="false">
      <c r="A106" s="68" t="str">
        <f aca="false">IF(Data_Engine!$A106="","",Data_Engine!$A106)</f>
        <v>Supplier Per Diems - VID</v>
      </c>
      <c r="B106" s="42" t="str">
        <f aca="false">IF($A106="","",Data_Engine!$B106)</f>
        <v>Cost of Sales</v>
      </c>
      <c r="C106" s="42" t="str">
        <f aca="false">IF($A106="","",Data_Engine!$D106)</f>
        <v>Video</v>
      </c>
      <c r="D106" s="69" t="n">
        <f aca="false">IF($A106="","",Data_Engine!$AD106)</f>
        <v>0</v>
      </c>
      <c r="E106" s="69" t="n">
        <f aca="false">IF($A106="","",Data_Engine!$AE106)</f>
        <v>0</v>
      </c>
      <c r="F106" s="73" t="n">
        <f aca="false">IF($A106="","",$D106-$E106)</f>
        <v>0</v>
      </c>
      <c r="G106" s="72" t="str">
        <f aca="false">IF($A106="","",IF(ROUND($E106,2)=0,"n/a",$F106/ABS($E106)))</f>
        <v>n/a</v>
      </c>
      <c r="H106" s="70" t="n">
        <f aca="false">IF($A106="","",Data_Engine!$AH106)</f>
        <v>0</v>
      </c>
      <c r="I106" s="69" t="n">
        <f aca="false">IF($A106="","",Data_Engine!$AI106)</f>
        <v>0</v>
      </c>
      <c r="J106" s="71" t="n">
        <f aca="false">IF($A106="","",$H106-$I106)</f>
        <v>0</v>
      </c>
      <c r="K106" s="72" t="str">
        <f aca="false">IF($A106="","",IF(ROUND($I106,2)=0,"n/a",$J106/ABS($I106)))</f>
        <v>n/a</v>
      </c>
      <c r="L106" s="69" t="n">
        <f aca="false">IF($A106="","",Data_Engine!$AJ106)</f>
        <v>0</v>
      </c>
      <c r="M106" s="73" t="n">
        <f aca="false">IF($A106="","",IF(Setup!$B$8=0,0,$H106/Setup!$B$8*12))</f>
        <v>0</v>
      </c>
      <c r="N106" s="72" t="str">
        <f aca="false">IF($A106="","",IF(ROUND($L106,2)=0,"n/a",($M106-$L106)/ABS($L106)))</f>
        <v>n/a</v>
      </c>
      <c r="O106" s="76" t="str">
        <f aca="false">IF($A106="","",IF(AND(ROUND($H106,2)=0,ROUND($I106,2)=0),"Dormant",IF(ROUND($I106,2)=0,"New this year",IF(ROUND($H106,2)=0,"Ceased",IF($J106&gt;0,"Increase",IF($J106&lt;0,"Decrease","Flat"))))))</f>
        <v>Dormant</v>
      </c>
      <c r="P106" s="74" t="str">
        <f aca="false">IF($A106="","",IF(AND(ROUND($H106,2)=0,ROUND($I106,2)=0),"No Activity",IF(ABS($J106)&lt;Setup!$B$14,"Low",IF(ROUND($I106,2)=0,"High",IF(OR(ABS($J106/$I106)&gt;=Setup!$B$16,ABS($J106)&gt;=Setup!$B$17),"High",IF(ABS($J106/$I106)&gt;=Setup!$B$15,"Medium","Low"))))))</f>
        <v>No Activity</v>
      </c>
      <c r="Q106" s="57"/>
      <c r="R106" s="75" t="n">
        <f aca="false">IF($A106="",-1000000000000000,IF(ROUND(ABS($J106),0)=0,-1000000000000000,ABS($J106)+ROW()/1000000))</f>
        <v>-1000000000000000</v>
      </c>
    </row>
    <row r="107" customFormat="false" ht="15" hidden="false" customHeight="false" outlineLevel="0" collapsed="false">
      <c r="A107" s="68" t="str">
        <f aca="false">IF(Data_Engine!$A107="","",Data_Engine!$A107)</f>
        <v>Cash Flow Boost</v>
      </c>
      <c r="B107" s="42" t="str">
        <f aca="false">IF($A107="","",Data_Engine!$B107)</f>
        <v>Other Income</v>
      </c>
      <c r="C107" s="42" t="str">
        <f aca="false">IF($A107="","",Data_Engine!$D107)</f>
        <v>Unallocated</v>
      </c>
      <c r="D107" s="69" t="n">
        <f aca="false">IF($A107="","",Data_Engine!$AD107)</f>
        <v>0</v>
      </c>
      <c r="E107" s="69" t="n">
        <f aca="false">IF($A107="","",Data_Engine!$AE107)</f>
        <v>0</v>
      </c>
      <c r="F107" s="73" t="n">
        <f aca="false">IF($A107="","",$D107-$E107)</f>
        <v>0</v>
      </c>
      <c r="G107" s="72" t="str">
        <f aca="false">IF($A107="","",IF(ROUND($E107,2)=0,"n/a",$F107/ABS($E107)))</f>
        <v>n/a</v>
      </c>
      <c r="H107" s="70" t="n">
        <f aca="false">IF($A107="","",Data_Engine!$AH107)</f>
        <v>0</v>
      </c>
      <c r="I107" s="69" t="n">
        <f aca="false">IF($A107="","",Data_Engine!$AI107)</f>
        <v>0</v>
      </c>
      <c r="J107" s="71" t="n">
        <f aca="false">IF($A107="","",$H107-$I107)</f>
        <v>0</v>
      </c>
      <c r="K107" s="72" t="str">
        <f aca="false">IF($A107="","",IF(ROUND($I107,2)=0,"n/a",$J107/ABS($I107)))</f>
        <v>n/a</v>
      </c>
      <c r="L107" s="69" t="n">
        <f aca="false">IF($A107="","",Data_Engine!$AJ107)</f>
        <v>0</v>
      </c>
      <c r="M107" s="73" t="n">
        <f aca="false">IF($A107="","",IF(Setup!$B$8=0,0,$H107/Setup!$B$8*12))</f>
        <v>0</v>
      </c>
      <c r="N107" s="72" t="str">
        <f aca="false">IF($A107="","",IF(ROUND($L107,2)=0,"n/a",($M107-$L107)/ABS($L107)))</f>
        <v>n/a</v>
      </c>
      <c r="O107" s="76" t="str">
        <f aca="false">IF($A107="","",IF(AND(ROUND($H107,2)=0,ROUND($I107,2)=0),"Dormant",IF(ROUND($I107,2)=0,"New this year",IF(ROUND($H107,2)=0,"Ceased",IF($J107&gt;0,"Increase",IF($J107&lt;0,"Decrease","Flat"))))))</f>
        <v>Dormant</v>
      </c>
      <c r="P107" s="74" t="str">
        <f aca="false">IF($A107="","",IF(AND(ROUND($H107,2)=0,ROUND($I107,2)=0),"No Activity",IF(ABS($J107)&lt;Setup!$B$14,"Low",IF(ROUND($I107,2)=0,"High",IF(OR(ABS($J107/$I107)&gt;=Setup!$B$16,ABS($J107)&gt;=Setup!$B$17),"High",IF(ABS($J107/$I107)&gt;=Setup!$B$15,"Medium","Low"))))))</f>
        <v>No Activity</v>
      </c>
      <c r="Q107" s="57"/>
      <c r="R107" s="75" t="n">
        <f aca="false">IF($A107="",-1000000000000000,IF(ROUND(ABS($J107),0)=0,-1000000000000000,ABS($J107)+ROW()/1000000))</f>
        <v>-1000000000000000</v>
      </c>
    </row>
    <row r="108" customFormat="false" ht="15" hidden="false" customHeight="false" outlineLevel="0" collapsed="false">
      <c r="A108" s="68" t="str">
        <f aca="false">IF(Data_Engine!$A108="","",Data_Engine!$A108)</f>
        <v>Employee FBT Contribtution</v>
      </c>
      <c r="B108" s="42" t="str">
        <f aca="false">IF($A108="","",Data_Engine!$B108)</f>
        <v>Other Income</v>
      </c>
      <c r="C108" s="42" t="str">
        <f aca="false">IF($A108="","",Data_Engine!$D108)</f>
        <v>Unallocated</v>
      </c>
      <c r="D108" s="69" t="n">
        <f aca="false">IF($A108="","",Data_Engine!$AD108)</f>
        <v>0</v>
      </c>
      <c r="E108" s="69" t="n">
        <f aca="false">IF($A108="","",Data_Engine!$AE108)</f>
        <v>0</v>
      </c>
      <c r="F108" s="73" t="n">
        <f aca="false">IF($A108="","",$D108-$E108)</f>
        <v>0</v>
      </c>
      <c r="G108" s="72" t="str">
        <f aca="false">IF($A108="","",IF(ROUND($E108,2)=0,"n/a",$F108/ABS($E108)))</f>
        <v>n/a</v>
      </c>
      <c r="H108" s="70" t="n">
        <f aca="false">IF($A108="","",Data_Engine!$AH108)</f>
        <v>0</v>
      </c>
      <c r="I108" s="69" t="n">
        <f aca="false">IF($A108="","",Data_Engine!$AI108)</f>
        <v>0</v>
      </c>
      <c r="J108" s="71" t="n">
        <f aca="false">IF($A108="","",$H108-$I108)</f>
        <v>0</v>
      </c>
      <c r="K108" s="72" t="str">
        <f aca="false">IF($A108="","",IF(ROUND($I108,2)=0,"n/a",$J108/ABS($I108)))</f>
        <v>n/a</v>
      </c>
      <c r="L108" s="69" t="n">
        <f aca="false">IF($A108="","",Data_Engine!$AJ108)</f>
        <v>0</v>
      </c>
      <c r="M108" s="73" t="n">
        <f aca="false">IF($A108="","",IF(Setup!$B$8=0,0,$H108/Setup!$B$8*12))</f>
        <v>0</v>
      </c>
      <c r="N108" s="72" t="str">
        <f aca="false">IF($A108="","",IF(ROUND($L108,2)=0,"n/a",($M108-$L108)/ABS($L108)))</f>
        <v>n/a</v>
      </c>
      <c r="O108" s="76" t="str">
        <f aca="false">IF($A108="","",IF(AND(ROUND($H108,2)=0,ROUND($I108,2)=0),"Dormant",IF(ROUND($I108,2)=0,"New this year",IF(ROUND($H108,2)=0,"Ceased",IF($J108&gt;0,"Increase",IF($J108&lt;0,"Decrease","Flat"))))))</f>
        <v>Dormant</v>
      </c>
      <c r="P108" s="74" t="str">
        <f aca="false">IF($A108="","",IF(AND(ROUND($H108,2)=0,ROUND($I108,2)=0),"No Activity",IF(ABS($J108)&lt;Setup!$B$14,"Low",IF(ROUND($I108,2)=0,"High",IF(OR(ABS($J108/$I108)&gt;=Setup!$B$16,ABS($J108)&gt;=Setup!$B$17),"High",IF(ABS($J108/$I108)&gt;=Setup!$B$15,"Medium","Low"))))))</f>
        <v>No Activity</v>
      </c>
      <c r="Q108" s="57"/>
      <c r="R108" s="75" t="n">
        <f aca="false">IF($A108="",-1000000000000000,IF(ROUND(ABS($J108),0)=0,-1000000000000000,ABS($J108)+ROW()/1000000))</f>
        <v>-1000000000000000</v>
      </c>
    </row>
    <row r="109" customFormat="false" ht="15" hidden="false" customHeight="false" outlineLevel="0" collapsed="false">
      <c r="A109" s="68" t="str">
        <f aca="false">IF(Data_Engine!$A109="","",Data_Engine!$A109)</f>
        <v>Gain on lease termination</v>
      </c>
      <c r="B109" s="42" t="str">
        <f aca="false">IF($A109="","",Data_Engine!$B109)</f>
        <v>Other Income</v>
      </c>
      <c r="C109" s="42" t="str">
        <f aca="false">IF($A109="","",Data_Engine!$D109)</f>
        <v>Unallocated</v>
      </c>
      <c r="D109" s="69" t="n">
        <f aca="false">IF($A109="","",Data_Engine!$AD109)</f>
        <v>0</v>
      </c>
      <c r="E109" s="69" t="n">
        <f aca="false">IF($A109="","",Data_Engine!$AE109)</f>
        <v>0</v>
      </c>
      <c r="F109" s="73" t="n">
        <f aca="false">IF($A109="","",$D109-$E109)</f>
        <v>0</v>
      </c>
      <c r="G109" s="72" t="str">
        <f aca="false">IF($A109="","",IF(ROUND($E109,2)=0,"n/a",$F109/ABS($E109)))</f>
        <v>n/a</v>
      </c>
      <c r="H109" s="70" t="n">
        <f aca="false">IF($A109="","",Data_Engine!$AH109)</f>
        <v>0</v>
      </c>
      <c r="I109" s="69" t="n">
        <f aca="false">IF($A109="","",Data_Engine!$AI109)</f>
        <v>0</v>
      </c>
      <c r="J109" s="71" t="n">
        <f aca="false">IF($A109="","",$H109-$I109)</f>
        <v>0</v>
      </c>
      <c r="K109" s="72" t="str">
        <f aca="false">IF($A109="","",IF(ROUND($I109,2)=0,"n/a",$J109/ABS($I109)))</f>
        <v>n/a</v>
      </c>
      <c r="L109" s="69" t="n">
        <f aca="false">IF($A109="","",Data_Engine!$AJ109)</f>
        <v>0</v>
      </c>
      <c r="M109" s="73" t="n">
        <f aca="false">IF($A109="","",IF(Setup!$B$8=0,0,$H109/Setup!$B$8*12))</f>
        <v>0</v>
      </c>
      <c r="N109" s="72" t="str">
        <f aca="false">IF($A109="","",IF(ROUND($L109,2)=0,"n/a",($M109-$L109)/ABS($L109)))</f>
        <v>n/a</v>
      </c>
      <c r="O109" s="76" t="str">
        <f aca="false">IF($A109="","",IF(AND(ROUND($H109,2)=0,ROUND($I109,2)=0),"Dormant",IF(ROUND($I109,2)=0,"New this year",IF(ROUND($H109,2)=0,"Ceased",IF($J109&gt;0,"Increase",IF($J109&lt;0,"Decrease","Flat"))))))</f>
        <v>Dormant</v>
      </c>
      <c r="P109" s="74" t="str">
        <f aca="false">IF($A109="","",IF(AND(ROUND($H109,2)=0,ROUND($I109,2)=0),"No Activity",IF(ABS($J109)&lt;Setup!$B$14,"Low",IF(ROUND($I109,2)=0,"High",IF(OR(ABS($J109/$I109)&gt;=Setup!$B$16,ABS($J109)&gt;=Setup!$B$17),"High",IF(ABS($J109/$I109)&gt;=Setup!$B$15,"Medium","Low"))))))</f>
        <v>No Activity</v>
      </c>
      <c r="Q109" s="57"/>
      <c r="R109" s="75" t="n">
        <f aca="false">IF($A109="",-1000000000000000,IF(ROUND(ABS($J109),0)=0,-1000000000000000,ABS($J109)+ROW()/1000000))</f>
        <v>-1000000000000000</v>
      </c>
    </row>
    <row r="110" customFormat="false" ht="15" hidden="false" customHeight="false" outlineLevel="0" collapsed="false">
      <c r="A110" s="68" t="str">
        <f aca="false">IF(Data_Engine!$A110="","",Data_Engine!$A110)</f>
        <v>Income Other</v>
      </c>
      <c r="B110" s="42" t="str">
        <f aca="false">IF($A110="","",Data_Engine!$B110)</f>
        <v>Other Income</v>
      </c>
      <c r="C110" s="42" t="str">
        <f aca="false">IF($A110="","",Data_Engine!$D110)</f>
        <v>Unallocated</v>
      </c>
      <c r="D110" s="69" t="n">
        <f aca="false">IF($A110="","",Data_Engine!$AD110)</f>
        <v>0</v>
      </c>
      <c r="E110" s="69" t="n">
        <f aca="false">IF($A110="","",Data_Engine!$AE110)</f>
        <v>0</v>
      </c>
      <c r="F110" s="73" t="n">
        <f aca="false">IF($A110="","",$D110-$E110)</f>
        <v>0</v>
      </c>
      <c r="G110" s="72" t="str">
        <f aca="false">IF($A110="","",IF(ROUND($E110,2)=0,"n/a",$F110/ABS($E110)))</f>
        <v>n/a</v>
      </c>
      <c r="H110" s="70" t="n">
        <f aca="false">IF($A110="","",Data_Engine!$AH110)</f>
        <v>0</v>
      </c>
      <c r="I110" s="69" t="n">
        <f aca="false">IF($A110="","",Data_Engine!$AI110)</f>
        <v>0</v>
      </c>
      <c r="J110" s="71" t="n">
        <f aca="false">IF($A110="","",$H110-$I110)</f>
        <v>0</v>
      </c>
      <c r="K110" s="72" t="str">
        <f aca="false">IF($A110="","",IF(ROUND($I110,2)=0,"n/a",$J110/ABS($I110)))</f>
        <v>n/a</v>
      </c>
      <c r="L110" s="69" t="n">
        <f aca="false">IF($A110="","",Data_Engine!$AJ110)</f>
        <v>0</v>
      </c>
      <c r="M110" s="73" t="n">
        <f aca="false">IF($A110="","",IF(Setup!$B$8=0,0,$H110/Setup!$B$8*12))</f>
        <v>0</v>
      </c>
      <c r="N110" s="72" t="str">
        <f aca="false">IF($A110="","",IF(ROUND($L110,2)=0,"n/a",($M110-$L110)/ABS($L110)))</f>
        <v>n/a</v>
      </c>
      <c r="O110" s="76" t="str">
        <f aca="false">IF($A110="","",IF(AND(ROUND($H110,2)=0,ROUND($I110,2)=0),"Dormant",IF(ROUND($I110,2)=0,"New this year",IF(ROUND($H110,2)=0,"Ceased",IF($J110&gt;0,"Increase",IF($J110&lt;0,"Decrease","Flat"))))))</f>
        <v>Dormant</v>
      </c>
      <c r="P110" s="74" t="str">
        <f aca="false">IF($A110="","",IF(AND(ROUND($H110,2)=0,ROUND($I110,2)=0),"No Activity",IF(ABS($J110)&lt;Setup!$B$14,"Low",IF(ROUND($I110,2)=0,"High",IF(OR(ABS($J110/$I110)&gt;=Setup!$B$16,ABS($J110)&gt;=Setup!$B$17),"High",IF(ABS($J110/$I110)&gt;=Setup!$B$15,"Medium","Low"))))))</f>
        <v>No Activity</v>
      </c>
      <c r="Q110" s="57"/>
      <c r="R110" s="75" t="n">
        <f aca="false">IF($A110="",-1000000000000000,IF(ROUND(ABS($J110),0)=0,-1000000000000000,ABS($J110)+ROW()/1000000))</f>
        <v>-1000000000000000</v>
      </c>
    </row>
    <row r="111" customFormat="false" ht="15" hidden="false" customHeight="false" outlineLevel="0" collapsed="false">
      <c r="A111" s="68" t="str">
        <f aca="false">IF(Data_Engine!$A111="","",Data_Engine!$A111)</f>
        <v>Interest Income</v>
      </c>
      <c r="B111" s="42" t="str">
        <f aca="false">IF($A111="","",Data_Engine!$B111)</f>
        <v>Other Income</v>
      </c>
      <c r="C111" s="42" t="str">
        <f aca="false">IF($A111="","",Data_Engine!$D111)</f>
        <v>Unallocated</v>
      </c>
      <c r="D111" s="69" t="n">
        <f aca="false">IF($A111="","",Data_Engine!$AD111)</f>
        <v>0</v>
      </c>
      <c r="E111" s="69" t="n">
        <f aca="false">IF($A111="","",Data_Engine!$AE111)</f>
        <v>0</v>
      </c>
      <c r="F111" s="73" t="n">
        <f aca="false">IF($A111="","",$D111-$E111)</f>
        <v>0</v>
      </c>
      <c r="G111" s="72" t="str">
        <f aca="false">IF($A111="","",IF(ROUND($E111,2)=0,"n/a",$F111/ABS($E111)))</f>
        <v>n/a</v>
      </c>
      <c r="H111" s="70" t="n">
        <f aca="false">IF($A111="","",Data_Engine!$AH111)</f>
        <v>0</v>
      </c>
      <c r="I111" s="69" t="n">
        <f aca="false">IF($A111="","",Data_Engine!$AI111)</f>
        <v>0</v>
      </c>
      <c r="J111" s="71" t="n">
        <f aca="false">IF($A111="","",$H111-$I111)</f>
        <v>0</v>
      </c>
      <c r="K111" s="72" t="str">
        <f aca="false">IF($A111="","",IF(ROUND($I111,2)=0,"n/a",$J111/ABS($I111)))</f>
        <v>n/a</v>
      </c>
      <c r="L111" s="69" t="n">
        <f aca="false">IF($A111="","",Data_Engine!$AJ111)</f>
        <v>0</v>
      </c>
      <c r="M111" s="73" t="n">
        <f aca="false">IF($A111="","",IF(Setup!$B$8=0,0,$H111/Setup!$B$8*12))</f>
        <v>0</v>
      </c>
      <c r="N111" s="72" t="str">
        <f aca="false">IF($A111="","",IF(ROUND($L111,2)=0,"n/a",($M111-$L111)/ABS($L111)))</f>
        <v>n/a</v>
      </c>
      <c r="O111" s="76" t="str">
        <f aca="false">IF($A111="","",IF(AND(ROUND($H111,2)=0,ROUND($I111,2)=0),"Dormant",IF(ROUND($I111,2)=0,"New this year",IF(ROUND($H111,2)=0,"Ceased",IF($J111&gt;0,"Increase",IF($J111&lt;0,"Decrease","Flat"))))))</f>
        <v>Dormant</v>
      </c>
      <c r="P111" s="74" t="str">
        <f aca="false">IF($A111="","",IF(AND(ROUND($H111,2)=0,ROUND($I111,2)=0),"No Activity",IF(ABS($J111)&lt;Setup!$B$14,"Low",IF(ROUND($I111,2)=0,"High",IF(OR(ABS($J111/$I111)&gt;=Setup!$B$16,ABS($J111)&gt;=Setup!$B$17),"High",IF(ABS($J111/$I111)&gt;=Setup!$B$15,"Medium","Low"))))))</f>
        <v>No Activity</v>
      </c>
      <c r="Q111" s="57"/>
      <c r="R111" s="75" t="n">
        <f aca="false">IF($A111="",-1000000000000000,IF(ROUND(ABS($J111),0)=0,-1000000000000000,ABS($J111)+ROW()/1000000))</f>
        <v>-1000000000000000</v>
      </c>
    </row>
    <row r="112" customFormat="false" ht="15" hidden="false" customHeight="false" outlineLevel="0" collapsed="false">
      <c r="A112" s="68" t="str">
        <f aca="false">IF(Data_Engine!$A112="","",Data_Engine!$A112)</f>
        <v>Interest Received</v>
      </c>
      <c r="B112" s="42" t="str">
        <f aca="false">IF($A112="","",Data_Engine!$B112)</f>
        <v>Other Income</v>
      </c>
      <c r="C112" s="42" t="str">
        <f aca="false">IF($A112="","",Data_Engine!$D112)</f>
        <v>Unallocated</v>
      </c>
      <c r="D112" s="69" t="n">
        <f aca="false">IF($A112="","",Data_Engine!$AD112)</f>
        <v>0</v>
      </c>
      <c r="E112" s="69" t="n">
        <f aca="false">IF($A112="","",Data_Engine!$AE112)</f>
        <v>0</v>
      </c>
      <c r="F112" s="73" t="n">
        <f aca="false">IF($A112="","",$D112-$E112)</f>
        <v>0</v>
      </c>
      <c r="G112" s="72" t="str">
        <f aca="false">IF($A112="","",IF(ROUND($E112,2)=0,"n/a",$F112/ABS($E112)))</f>
        <v>n/a</v>
      </c>
      <c r="H112" s="70" t="n">
        <f aca="false">IF($A112="","",Data_Engine!$AH112)</f>
        <v>0</v>
      </c>
      <c r="I112" s="69" t="n">
        <f aca="false">IF($A112="","",Data_Engine!$AI112)</f>
        <v>0</v>
      </c>
      <c r="J112" s="71" t="n">
        <f aca="false">IF($A112="","",$H112-$I112)</f>
        <v>0</v>
      </c>
      <c r="K112" s="72" t="str">
        <f aca="false">IF($A112="","",IF(ROUND($I112,2)=0,"n/a",$J112/ABS($I112)))</f>
        <v>n/a</v>
      </c>
      <c r="L112" s="69" t="n">
        <f aca="false">IF($A112="","",Data_Engine!$AJ112)</f>
        <v>0</v>
      </c>
      <c r="M112" s="73" t="n">
        <f aca="false">IF($A112="","",IF(Setup!$B$8=0,0,$H112/Setup!$B$8*12))</f>
        <v>0</v>
      </c>
      <c r="N112" s="72" t="str">
        <f aca="false">IF($A112="","",IF(ROUND($L112,2)=0,"n/a",($M112-$L112)/ABS($L112)))</f>
        <v>n/a</v>
      </c>
      <c r="O112" s="76" t="str">
        <f aca="false">IF($A112="","",IF(AND(ROUND($H112,2)=0,ROUND($I112,2)=0),"Dormant",IF(ROUND($I112,2)=0,"New this year",IF(ROUND($H112,2)=0,"Ceased",IF($J112&gt;0,"Increase",IF($J112&lt;0,"Decrease","Flat"))))))</f>
        <v>Dormant</v>
      </c>
      <c r="P112" s="74" t="str">
        <f aca="false">IF($A112="","",IF(AND(ROUND($H112,2)=0,ROUND($I112,2)=0),"No Activity",IF(ABS($J112)&lt;Setup!$B$14,"Low",IF(ROUND($I112,2)=0,"High",IF(OR(ABS($J112/$I112)&gt;=Setup!$B$16,ABS($J112)&gt;=Setup!$B$17),"High",IF(ABS($J112/$I112)&gt;=Setup!$B$15,"Medium","Low"))))))</f>
        <v>No Activity</v>
      </c>
      <c r="Q112" s="57"/>
      <c r="R112" s="75" t="n">
        <f aca="false">IF($A112="",-1000000000000000,IF(ROUND(ABS($J112),0)=0,-1000000000000000,ABS($J112)+ROW()/1000000))</f>
        <v>-1000000000000000</v>
      </c>
    </row>
    <row r="113" customFormat="false" ht="15" hidden="false" customHeight="false" outlineLevel="0" collapsed="false">
      <c r="A113" s="68" t="str">
        <f aca="false">IF(Data_Engine!$A113="","",Data_Engine!$A113)</f>
        <v>JobKeeper Subsidy</v>
      </c>
      <c r="B113" s="42" t="str">
        <f aca="false">IF($A113="","",Data_Engine!$B113)</f>
        <v>Other Income</v>
      </c>
      <c r="C113" s="42" t="str">
        <f aca="false">IF($A113="","",Data_Engine!$D113)</f>
        <v>Unallocated</v>
      </c>
      <c r="D113" s="69" t="n">
        <f aca="false">IF($A113="","",Data_Engine!$AD113)</f>
        <v>0</v>
      </c>
      <c r="E113" s="69" t="n">
        <f aca="false">IF($A113="","",Data_Engine!$AE113)</f>
        <v>0</v>
      </c>
      <c r="F113" s="73" t="n">
        <f aca="false">IF($A113="","",$D113-$E113)</f>
        <v>0</v>
      </c>
      <c r="G113" s="72" t="str">
        <f aca="false">IF($A113="","",IF(ROUND($E113,2)=0,"n/a",$F113/ABS($E113)))</f>
        <v>n/a</v>
      </c>
      <c r="H113" s="70" t="n">
        <f aca="false">IF($A113="","",Data_Engine!$AH113)</f>
        <v>0</v>
      </c>
      <c r="I113" s="69" t="n">
        <f aca="false">IF($A113="","",Data_Engine!$AI113)</f>
        <v>0</v>
      </c>
      <c r="J113" s="71" t="n">
        <f aca="false">IF($A113="","",$H113-$I113)</f>
        <v>0</v>
      </c>
      <c r="K113" s="72" t="str">
        <f aca="false">IF($A113="","",IF(ROUND($I113,2)=0,"n/a",$J113/ABS($I113)))</f>
        <v>n/a</v>
      </c>
      <c r="L113" s="69" t="n">
        <f aca="false">IF($A113="","",Data_Engine!$AJ113)</f>
        <v>0</v>
      </c>
      <c r="M113" s="73" t="n">
        <f aca="false">IF($A113="","",IF(Setup!$B$8=0,0,$H113/Setup!$B$8*12))</f>
        <v>0</v>
      </c>
      <c r="N113" s="72" t="str">
        <f aca="false">IF($A113="","",IF(ROUND($L113,2)=0,"n/a",($M113-$L113)/ABS($L113)))</f>
        <v>n/a</v>
      </c>
      <c r="O113" s="76" t="str">
        <f aca="false">IF($A113="","",IF(AND(ROUND($H113,2)=0,ROUND($I113,2)=0),"Dormant",IF(ROUND($I113,2)=0,"New this year",IF(ROUND($H113,2)=0,"Ceased",IF($J113&gt;0,"Increase",IF($J113&lt;0,"Decrease","Flat"))))))</f>
        <v>Dormant</v>
      </c>
      <c r="P113" s="74" t="str">
        <f aca="false">IF($A113="","",IF(AND(ROUND($H113,2)=0,ROUND($I113,2)=0),"No Activity",IF(ABS($J113)&lt;Setup!$B$14,"Low",IF(ROUND($I113,2)=0,"High",IF(OR(ABS($J113/$I113)&gt;=Setup!$B$16,ABS($J113)&gt;=Setup!$B$17),"High",IF(ABS($J113/$I113)&gt;=Setup!$B$15,"Medium","Low"))))))</f>
        <v>No Activity</v>
      </c>
      <c r="Q113" s="57"/>
      <c r="R113" s="75" t="n">
        <f aca="false">IF($A113="",-1000000000000000,IF(ROUND(ABS($J113),0)=0,-1000000000000000,ABS($J113)+ROW()/1000000))</f>
        <v>-1000000000000000</v>
      </c>
    </row>
    <row r="114" customFormat="false" ht="15" hidden="false" customHeight="false" outlineLevel="0" collapsed="false">
      <c r="A114" s="68" t="str">
        <f aca="false">IF(Data_Engine!$A114="","",Data_Engine!$A114)</f>
        <v>JobSaver Subsidy</v>
      </c>
      <c r="B114" s="42" t="str">
        <f aca="false">IF($A114="","",Data_Engine!$B114)</f>
        <v>Other Income</v>
      </c>
      <c r="C114" s="42" t="str">
        <f aca="false">IF($A114="","",Data_Engine!$D114)</f>
        <v>Unallocated</v>
      </c>
      <c r="D114" s="69" t="n">
        <f aca="false">IF($A114="","",Data_Engine!$AD114)</f>
        <v>0</v>
      </c>
      <c r="E114" s="69" t="n">
        <f aca="false">IF($A114="","",Data_Engine!$AE114)</f>
        <v>0</v>
      </c>
      <c r="F114" s="73" t="n">
        <f aca="false">IF($A114="","",$D114-$E114)</f>
        <v>0</v>
      </c>
      <c r="G114" s="72" t="str">
        <f aca="false">IF($A114="","",IF(ROUND($E114,2)=0,"n/a",$F114/ABS($E114)))</f>
        <v>n/a</v>
      </c>
      <c r="H114" s="70" t="n">
        <f aca="false">IF($A114="","",Data_Engine!$AH114)</f>
        <v>0</v>
      </c>
      <c r="I114" s="69" t="n">
        <f aca="false">IF($A114="","",Data_Engine!$AI114)</f>
        <v>0</v>
      </c>
      <c r="J114" s="71" t="n">
        <f aca="false">IF($A114="","",$H114-$I114)</f>
        <v>0</v>
      </c>
      <c r="K114" s="72" t="str">
        <f aca="false">IF($A114="","",IF(ROUND($I114,2)=0,"n/a",$J114/ABS($I114)))</f>
        <v>n/a</v>
      </c>
      <c r="L114" s="69" t="n">
        <f aca="false">IF($A114="","",Data_Engine!$AJ114)</f>
        <v>0</v>
      </c>
      <c r="M114" s="73" t="n">
        <f aca="false">IF($A114="","",IF(Setup!$B$8=0,0,$H114/Setup!$B$8*12))</f>
        <v>0</v>
      </c>
      <c r="N114" s="72" t="str">
        <f aca="false">IF($A114="","",IF(ROUND($L114,2)=0,"n/a",($M114-$L114)/ABS($L114)))</f>
        <v>n/a</v>
      </c>
      <c r="O114" s="76" t="str">
        <f aca="false">IF($A114="","",IF(AND(ROUND($H114,2)=0,ROUND($I114,2)=0),"Dormant",IF(ROUND($I114,2)=0,"New this year",IF(ROUND($H114,2)=0,"Ceased",IF($J114&gt;0,"Increase",IF($J114&lt;0,"Decrease","Flat"))))))</f>
        <v>Dormant</v>
      </c>
      <c r="P114" s="74" t="str">
        <f aca="false">IF($A114="","",IF(AND(ROUND($H114,2)=0,ROUND($I114,2)=0),"No Activity",IF(ABS($J114)&lt;Setup!$B$14,"Low",IF(ROUND($I114,2)=0,"High",IF(OR(ABS($J114/$I114)&gt;=Setup!$B$16,ABS($J114)&gt;=Setup!$B$17),"High",IF(ABS($J114/$I114)&gt;=Setup!$B$15,"Medium","Low"))))))</f>
        <v>No Activity</v>
      </c>
      <c r="Q114" s="57"/>
      <c r="R114" s="75" t="n">
        <f aca="false">IF($A114="",-1000000000000000,IF(ROUND(ABS($J114),0)=0,-1000000000000000,ABS($J114)+ROW()/1000000))</f>
        <v>-1000000000000000</v>
      </c>
    </row>
    <row r="115" customFormat="false" ht="15" hidden="false" customHeight="false" outlineLevel="0" collapsed="false">
      <c r="A115" s="68" t="str">
        <f aca="false">IF(Data_Engine!$A115="","",Data_Engine!$A115)</f>
        <v>Rental Income</v>
      </c>
      <c r="B115" s="42" t="str">
        <f aca="false">IF($A115="","",Data_Engine!$B115)</f>
        <v>Other Income</v>
      </c>
      <c r="C115" s="42" t="str">
        <f aca="false">IF($A115="","",Data_Engine!$D115)</f>
        <v>Unallocated</v>
      </c>
      <c r="D115" s="69" t="n">
        <f aca="false">IF($A115="","",Data_Engine!$AD115)</f>
        <v>0</v>
      </c>
      <c r="E115" s="69" t="n">
        <f aca="false">IF($A115="","",Data_Engine!$AE115)</f>
        <v>0</v>
      </c>
      <c r="F115" s="73" t="n">
        <f aca="false">IF($A115="","",$D115-$E115)</f>
        <v>0</v>
      </c>
      <c r="G115" s="72" t="str">
        <f aca="false">IF($A115="","",IF(ROUND($E115,2)=0,"n/a",$F115/ABS($E115)))</f>
        <v>n/a</v>
      </c>
      <c r="H115" s="70" t="n">
        <f aca="false">IF($A115="","",Data_Engine!$AH115)</f>
        <v>0</v>
      </c>
      <c r="I115" s="69" t="n">
        <f aca="false">IF($A115="","",Data_Engine!$AI115)</f>
        <v>0</v>
      </c>
      <c r="J115" s="71" t="n">
        <f aca="false">IF($A115="","",$H115-$I115)</f>
        <v>0</v>
      </c>
      <c r="K115" s="72" t="str">
        <f aca="false">IF($A115="","",IF(ROUND($I115,2)=0,"n/a",$J115/ABS($I115)))</f>
        <v>n/a</v>
      </c>
      <c r="L115" s="69" t="n">
        <f aca="false">IF($A115="","",Data_Engine!$AJ115)</f>
        <v>0</v>
      </c>
      <c r="M115" s="73" t="n">
        <f aca="false">IF($A115="","",IF(Setup!$B$8=0,0,$H115/Setup!$B$8*12))</f>
        <v>0</v>
      </c>
      <c r="N115" s="72" t="str">
        <f aca="false">IF($A115="","",IF(ROUND($L115,2)=0,"n/a",($M115-$L115)/ABS($L115)))</f>
        <v>n/a</v>
      </c>
      <c r="O115" s="76" t="str">
        <f aca="false">IF($A115="","",IF(AND(ROUND($H115,2)=0,ROUND($I115,2)=0),"Dormant",IF(ROUND($I115,2)=0,"New this year",IF(ROUND($H115,2)=0,"Ceased",IF($J115&gt;0,"Increase",IF($J115&lt;0,"Decrease","Flat"))))))</f>
        <v>Dormant</v>
      </c>
      <c r="P115" s="74" t="str">
        <f aca="false">IF($A115="","",IF(AND(ROUND($H115,2)=0,ROUND($I115,2)=0),"No Activity",IF(ABS($J115)&lt;Setup!$B$14,"Low",IF(ROUND($I115,2)=0,"High",IF(OR(ABS($J115/$I115)&gt;=Setup!$B$16,ABS($J115)&gt;=Setup!$B$17),"High",IF(ABS($J115/$I115)&gt;=Setup!$B$15,"Medium","Low"))))))</f>
        <v>No Activity</v>
      </c>
      <c r="Q115" s="57"/>
      <c r="R115" s="75" t="n">
        <f aca="false">IF($A115="",-1000000000000000,IF(ROUND(ABS($J115),0)=0,-1000000000000000,ABS($J115)+ROW()/1000000))</f>
        <v>-1000000000000000</v>
      </c>
    </row>
    <row r="116" customFormat="false" ht="15" hidden="false" customHeight="false" outlineLevel="0" collapsed="false">
      <c r="A116" s="68" t="str">
        <f aca="false">IF(Data_Engine!$A116="","",Data_Engine!$A116)</f>
        <v>1300 Number</v>
      </c>
      <c r="B116" s="42" t="str">
        <f aca="false">IF($A116="","",Data_Engine!$B116)</f>
        <v>Expenses</v>
      </c>
      <c r="C116" s="42" t="str">
        <f aca="false">IF($A116="","",Data_Engine!$D116)</f>
        <v>Unallocated</v>
      </c>
      <c r="D116" s="69" t="n">
        <f aca="false">IF($A116="","",Data_Engine!$AD116)</f>
        <v>0</v>
      </c>
      <c r="E116" s="69" t="n">
        <f aca="false">IF($A116="","",Data_Engine!$AE116)</f>
        <v>0</v>
      </c>
      <c r="F116" s="73" t="n">
        <f aca="false">IF($A116="","",$D116-$E116)</f>
        <v>0</v>
      </c>
      <c r="G116" s="72" t="str">
        <f aca="false">IF($A116="","",IF(ROUND($E116,2)=0,"n/a",$F116/ABS($E116)))</f>
        <v>n/a</v>
      </c>
      <c r="H116" s="70" t="n">
        <f aca="false">IF($A116="","",Data_Engine!$AH116)</f>
        <v>0</v>
      </c>
      <c r="I116" s="69" t="n">
        <f aca="false">IF($A116="","",Data_Engine!$AI116)</f>
        <v>0</v>
      </c>
      <c r="J116" s="71" t="n">
        <f aca="false">IF($A116="","",$H116-$I116)</f>
        <v>0</v>
      </c>
      <c r="K116" s="72" t="str">
        <f aca="false">IF($A116="","",IF(ROUND($I116,2)=0,"n/a",$J116/ABS($I116)))</f>
        <v>n/a</v>
      </c>
      <c r="L116" s="69" t="n">
        <f aca="false">IF($A116="","",Data_Engine!$AJ116)</f>
        <v>0</v>
      </c>
      <c r="M116" s="73" t="n">
        <f aca="false">IF($A116="","",IF(Setup!$B$8=0,0,$H116/Setup!$B$8*12))</f>
        <v>0</v>
      </c>
      <c r="N116" s="72" t="str">
        <f aca="false">IF($A116="","",IF(ROUND($L116,2)=0,"n/a",($M116-$L116)/ABS($L116)))</f>
        <v>n/a</v>
      </c>
      <c r="O116" s="76" t="str">
        <f aca="false">IF($A116="","",IF(AND(ROUND($H116,2)=0,ROUND($I116,2)=0),"Dormant",IF(ROUND($I116,2)=0,"New this year",IF(ROUND($H116,2)=0,"Ceased",IF($J116&gt;0,"Increase",IF($J116&lt;0,"Decrease","Flat"))))))</f>
        <v>Dormant</v>
      </c>
      <c r="P116" s="74" t="str">
        <f aca="false">IF($A116="","",IF(AND(ROUND($H116,2)=0,ROUND($I116,2)=0),"No Activity",IF(ABS($J116)&lt;Setup!$B$14,"Low",IF(ROUND($I116,2)=0,"High",IF(OR(ABS($J116/$I116)&gt;=Setup!$B$16,ABS($J116)&gt;=Setup!$B$17),"High",IF(ABS($J116/$I116)&gt;=Setup!$B$15,"Medium","Low"))))))</f>
        <v>No Activity</v>
      </c>
      <c r="Q116" s="57"/>
      <c r="R116" s="75" t="n">
        <f aca="false">IF($A116="",-1000000000000000,IF(ROUND(ABS($J116),0)=0,-1000000000000000,ABS($J116)+ROW()/1000000))</f>
        <v>-1000000000000000</v>
      </c>
    </row>
    <row r="117" customFormat="false" ht="15" hidden="false" customHeight="false" outlineLevel="0" collapsed="false">
      <c r="A117" s="68" t="str">
        <f aca="false">IF(Data_Engine!$A117="","",Data_Engine!$A117)</f>
        <v>Accounting Fees</v>
      </c>
      <c r="B117" s="42" t="str">
        <f aca="false">IF($A117="","",Data_Engine!$B117)</f>
        <v>Expenses</v>
      </c>
      <c r="C117" s="42" t="str">
        <f aca="false">IF($A117="","",Data_Engine!$D117)</f>
        <v>Unallocated</v>
      </c>
      <c r="D117" s="69" t="n">
        <f aca="false">IF($A117="","",Data_Engine!$AD117)</f>
        <v>0</v>
      </c>
      <c r="E117" s="69" t="n">
        <f aca="false">IF($A117="","",Data_Engine!$AE117)</f>
        <v>0</v>
      </c>
      <c r="F117" s="73" t="n">
        <f aca="false">IF($A117="","",$D117-$E117)</f>
        <v>0</v>
      </c>
      <c r="G117" s="72" t="str">
        <f aca="false">IF($A117="","",IF(ROUND($E117,2)=0,"n/a",$F117/ABS($E117)))</f>
        <v>n/a</v>
      </c>
      <c r="H117" s="70" t="n">
        <f aca="false">IF($A117="","",Data_Engine!$AH117)</f>
        <v>0</v>
      </c>
      <c r="I117" s="69" t="n">
        <f aca="false">IF($A117="","",Data_Engine!$AI117)</f>
        <v>0</v>
      </c>
      <c r="J117" s="71" t="n">
        <f aca="false">IF($A117="","",$H117-$I117)</f>
        <v>0</v>
      </c>
      <c r="K117" s="72" t="str">
        <f aca="false">IF($A117="","",IF(ROUND($I117,2)=0,"n/a",$J117/ABS($I117)))</f>
        <v>n/a</v>
      </c>
      <c r="L117" s="69" t="n">
        <f aca="false">IF($A117="","",Data_Engine!$AJ117)</f>
        <v>0</v>
      </c>
      <c r="M117" s="73" t="n">
        <f aca="false">IF($A117="","",IF(Setup!$B$8=0,0,$H117/Setup!$B$8*12))</f>
        <v>0</v>
      </c>
      <c r="N117" s="72" t="str">
        <f aca="false">IF($A117="","",IF(ROUND($L117,2)=0,"n/a",($M117-$L117)/ABS($L117)))</f>
        <v>n/a</v>
      </c>
      <c r="O117" s="76" t="str">
        <f aca="false">IF($A117="","",IF(AND(ROUND($H117,2)=0,ROUND($I117,2)=0),"Dormant",IF(ROUND($I117,2)=0,"New this year",IF(ROUND($H117,2)=0,"Ceased",IF($J117&gt;0,"Increase",IF($J117&lt;0,"Decrease","Flat"))))))</f>
        <v>Dormant</v>
      </c>
      <c r="P117" s="74" t="str">
        <f aca="false">IF($A117="","",IF(AND(ROUND($H117,2)=0,ROUND($I117,2)=0),"No Activity",IF(ABS($J117)&lt;Setup!$B$14,"Low",IF(ROUND($I117,2)=0,"High",IF(OR(ABS($J117/$I117)&gt;=Setup!$B$16,ABS($J117)&gt;=Setup!$B$17),"High",IF(ABS($J117/$I117)&gt;=Setup!$B$15,"Medium","Low"))))))</f>
        <v>No Activity</v>
      </c>
      <c r="Q117" s="57"/>
      <c r="R117" s="75" t="n">
        <f aca="false">IF($A117="",-1000000000000000,IF(ROUND(ABS($J117),0)=0,-1000000000000000,ABS($J117)+ROW()/1000000))</f>
        <v>-1000000000000000</v>
      </c>
    </row>
    <row r="118" customFormat="false" ht="15" hidden="false" customHeight="false" outlineLevel="0" collapsed="false">
      <c r="A118" s="68" t="str">
        <f aca="false">IF(Data_Engine!$A118="","",Data_Engine!$A118)</f>
        <v>Advertising</v>
      </c>
      <c r="B118" s="42" t="str">
        <f aca="false">IF($A118="","",Data_Engine!$B118)</f>
        <v>Expenses</v>
      </c>
      <c r="C118" s="42" t="str">
        <f aca="false">IF($A118="","",Data_Engine!$D118)</f>
        <v>Unallocated</v>
      </c>
      <c r="D118" s="69" t="n">
        <f aca="false">IF($A118="","",Data_Engine!$AD118)</f>
        <v>0</v>
      </c>
      <c r="E118" s="69" t="n">
        <f aca="false">IF($A118="","",Data_Engine!$AE118)</f>
        <v>0</v>
      </c>
      <c r="F118" s="73" t="n">
        <f aca="false">IF($A118="","",$D118-$E118)</f>
        <v>0</v>
      </c>
      <c r="G118" s="72" t="str">
        <f aca="false">IF($A118="","",IF(ROUND($E118,2)=0,"n/a",$F118/ABS($E118)))</f>
        <v>n/a</v>
      </c>
      <c r="H118" s="70" t="n">
        <f aca="false">IF($A118="","",Data_Engine!$AH118)</f>
        <v>0</v>
      </c>
      <c r="I118" s="69" t="n">
        <f aca="false">IF($A118="","",Data_Engine!$AI118)</f>
        <v>0</v>
      </c>
      <c r="J118" s="71" t="n">
        <f aca="false">IF($A118="","",$H118-$I118)</f>
        <v>0</v>
      </c>
      <c r="K118" s="72" t="str">
        <f aca="false">IF($A118="","",IF(ROUND($I118,2)=0,"n/a",$J118/ABS($I118)))</f>
        <v>n/a</v>
      </c>
      <c r="L118" s="69" t="n">
        <f aca="false">IF($A118="","",Data_Engine!$AJ118)</f>
        <v>0</v>
      </c>
      <c r="M118" s="73" t="n">
        <f aca="false">IF($A118="","",IF(Setup!$B$8=0,0,$H118/Setup!$B$8*12))</f>
        <v>0</v>
      </c>
      <c r="N118" s="72" t="str">
        <f aca="false">IF($A118="","",IF(ROUND($L118,2)=0,"n/a",($M118-$L118)/ABS($L118)))</f>
        <v>n/a</v>
      </c>
      <c r="O118" s="76" t="str">
        <f aca="false">IF($A118="","",IF(AND(ROUND($H118,2)=0,ROUND($I118,2)=0),"Dormant",IF(ROUND($I118,2)=0,"New this year",IF(ROUND($H118,2)=0,"Ceased",IF($J118&gt;0,"Increase",IF($J118&lt;0,"Decrease","Flat"))))))</f>
        <v>Dormant</v>
      </c>
      <c r="P118" s="74" t="str">
        <f aca="false">IF($A118="","",IF(AND(ROUND($H118,2)=0,ROUND($I118,2)=0),"No Activity",IF(ABS($J118)&lt;Setup!$B$14,"Low",IF(ROUND($I118,2)=0,"High",IF(OR(ABS($J118/$I118)&gt;=Setup!$B$16,ABS($J118)&gt;=Setup!$B$17),"High",IF(ABS($J118/$I118)&gt;=Setup!$B$15,"Medium","Low"))))))</f>
        <v>No Activity</v>
      </c>
      <c r="Q118" s="57"/>
      <c r="R118" s="75" t="n">
        <f aca="false">IF($A118="",-1000000000000000,IF(ROUND(ABS($J118),0)=0,-1000000000000000,ABS($J118)+ROW()/1000000))</f>
        <v>-1000000000000000</v>
      </c>
    </row>
    <row r="119" customFormat="false" ht="15" hidden="false" customHeight="false" outlineLevel="0" collapsed="false">
      <c r="A119" s="68" t="str">
        <f aca="false">IF(Data_Engine!$A119="","",Data_Engine!$A119)</f>
        <v>Bad Debts</v>
      </c>
      <c r="B119" s="42" t="str">
        <f aca="false">IF($A119="","",Data_Engine!$B119)</f>
        <v>Expenses</v>
      </c>
      <c r="C119" s="42" t="str">
        <f aca="false">IF($A119="","",Data_Engine!$D119)</f>
        <v>Unallocated</v>
      </c>
      <c r="D119" s="69" t="n">
        <f aca="false">IF($A119="","",Data_Engine!$AD119)</f>
        <v>0</v>
      </c>
      <c r="E119" s="69" t="n">
        <f aca="false">IF($A119="","",Data_Engine!$AE119)</f>
        <v>0</v>
      </c>
      <c r="F119" s="73" t="n">
        <f aca="false">IF($A119="","",$D119-$E119)</f>
        <v>0</v>
      </c>
      <c r="G119" s="72" t="str">
        <f aca="false">IF($A119="","",IF(ROUND($E119,2)=0,"n/a",$F119/ABS($E119)))</f>
        <v>n/a</v>
      </c>
      <c r="H119" s="70" t="n">
        <f aca="false">IF($A119="","",Data_Engine!$AH119)</f>
        <v>0</v>
      </c>
      <c r="I119" s="69" t="n">
        <f aca="false">IF($A119="","",Data_Engine!$AI119)</f>
        <v>0</v>
      </c>
      <c r="J119" s="71" t="n">
        <f aca="false">IF($A119="","",$H119-$I119)</f>
        <v>0</v>
      </c>
      <c r="K119" s="72" t="str">
        <f aca="false">IF($A119="","",IF(ROUND($I119,2)=0,"n/a",$J119/ABS($I119)))</f>
        <v>n/a</v>
      </c>
      <c r="L119" s="69" t="n">
        <f aca="false">IF($A119="","",Data_Engine!$AJ119)</f>
        <v>0</v>
      </c>
      <c r="M119" s="73" t="n">
        <f aca="false">IF($A119="","",IF(Setup!$B$8=0,0,$H119/Setup!$B$8*12))</f>
        <v>0</v>
      </c>
      <c r="N119" s="72" t="str">
        <f aca="false">IF($A119="","",IF(ROUND($L119,2)=0,"n/a",($M119-$L119)/ABS($L119)))</f>
        <v>n/a</v>
      </c>
      <c r="O119" s="76" t="str">
        <f aca="false">IF($A119="","",IF(AND(ROUND($H119,2)=0,ROUND($I119,2)=0),"Dormant",IF(ROUND($I119,2)=0,"New this year",IF(ROUND($H119,2)=0,"Ceased",IF($J119&gt;0,"Increase",IF($J119&lt;0,"Decrease","Flat"))))))</f>
        <v>Dormant</v>
      </c>
      <c r="P119" s="74" t="str">
        <f aca="false">IF($A119="","",IF(AND(ROUND($H119,2)=0,ROUND($I119,2)=0),"No Activity",IF(ABS($J119)&lt;Setup!$B$14,"Low",IF(ROUND($I119,2)=0,"High",IF(OR(ABS($J119/$I119)&gt;=Setup!$B$16,ABS($J119)&gt;=Setup!$B$17),"High",IF(ABS($J119/$I119)&gt;=Setup!$B$15,"Medium","Low"))))))</f>
        <v>No Activity</v>
      </c>
      <c r="Q119" s="57"/>
      <c r="R119" s="75" t="n">
        <f aca="false">IF($A119="",-1000000000000000,IF(ROUND(ABS($J119),0)=0,-1000000000000000,ABS($J119)+ROW()/1000000))</f>
        <v>-1000000000000000</v>
      </c>
    </row>
    <row r="120" customFormat="false" ht="15" hidden="false" customHeight="false" outlineLevel="0" collapsed="false">
      <c r="A120" s="68" t="str">
        <f aca="false">IF(Data_Engine!$A120="","",Data_Engine!$A120)</f>
        <v>Bank Charges</v>
      </c>
      <c r="B120" s="42" t="str">
        <f aca="false">IF($A120="","",Data_Engine!$B120)</f>
        <v>Expenses</v>
      </c>
      <c r="C120" s="42" t="str">
        <f aca="false">IF($A120="","",Data_Engine!$D120)</f>
        <v>Unallocated</v>
      </c>
      <c r="D120" s="69" t="n">
        <f aca="false">IF($A120="","",Data_Engine!$AD120)</f>
        <v>0</v>
      </c>
      <c r="E120" s="69" t="n">
        <f aca="false">IF($A120="","",Data_Engine!$AE120)</f>
        <v>0</v>
      </c>
      <c r="F120" s="73" t="n">
        <f aca="false">IF($A120="","",$D120-$E120)</f>
        <v>0</v>
      </c>
      <c r="G120" s="72" t="str">
        <f aca="false">IF($A120="","",IF(ROUND($E120,2)=0,"n/a",$F120/ABS($E120)))</f>
        <v>n/a</v>
      </c>
      <c r="H120" s="70" t="n">
        <f aca="false">IF($A120="","",Data_Engine!$AH120)</f>
        <v>0</v>
      </c>
      <c r="I120" s="69" t="n">
        <f aca="false">IF($A120="","",Data_Engine!$AI120)</f>
        <v>0</v>
      </c>
      <c r="J120" s="71" t="n">
        <f aca="false">IF($A120="","",$H120-$I120)</f>
        <v>0</v>
      </c>
      <c r="K120" s="72" t="str">
        <f aca="false">IF($A120="","",IF(ROUND($I120,2)=0,"n/a",$J120/ABS($I120)))</f>
        <v>n/a</v>
      </c>
      <c r="L120" s="69" t="n">
        <f aca="false">IF($A120="","",Data_Engine!$AJ120)</f>
        <v>0</v>
      </c>
      <c r="M120" s="73" t="n">
        <f aca="false">IF($A120="","",IF(Setup!$B$8=0,0,$H120/Setup!$B$8*12))</f>
        <v>0</v>
      </c>
      <c r="N120" s="72" t="str">
        <f aca="false">IF($A120="","",IF(ROUND($L120,2)=0,"n/a",($M120-$L120)/ABS($L120)))</f>
        <v>n/a</v>
      </c>
      <c r="O120" s="76" t="str">
        <f aca="false">IF($A120="","",IF(AND(ROUND($H120,2)=0,ROUND($I120,2)=0),"Dormant",IF(ROUND($I120,2)=0,"New this year",IF(ROUND($H120,2)=0,"Ceased",IF($J120&gt;0,"Increase",IF($J120&lt;0,"Decrease","Flat"))))))</f>
        <v>Dormant</v>
      </c>
      <c r="P120" s="74" t="str">
        <f aca="false">IF($A120="","",IF(AND(ROUND($H120,2)=0,ROUND($I120,2)=0),"No Activity",IF(ABS($J120)&lt;Setup!$B$14,"Low",IF(ROUND($I120,2)=0,"High",IF(OR(ABS($J120/$I120)&gt;=Setup!$B$16,ABS($J120)&gt;=Setup!$B$17),"High",IF(ABS($J120/$I120)&gt;=Setup!$B$15,"Medium","Low"))))))</f>
        <v>No Activity</v>
      </c>
      <c r="Q120" s="57"/>
      <c r="R120" s="75" t="n">
        <f aca="false">IF($A120="",-1000000000000000,IF(ROUND(ABS($J120),0)=0,-1000000000000000,ABS($J120)+ROW()/1000000))</f>
        <v>-1000000000000000</v>
      </c>
    </row>
    <row r="121" customFormat="false" ht="15" hidden="false" customHeight="false" outlineLevel="0" collapsed="false">
      <c r="A121" s="68" t="str">
        <f aca="false">IF(Data_Engine!$A121="","",Data_Engine!$A121)</f>
        <v>Bank Revaluations</v>
      </c>
      <c r="B121" s="42" t="str">
        <f aca="false">IF($A121="","",Data_Engine!$B121)</f>
        <v>Expenses</v>
      </c>
      <c r="C121" s="42" t="str">
        <f aca="false">IF($A121="","",Data_Engine!$D121)</f>
        <v>Unallocated</v>
      </c>
      <c r="D121" s="69" t="n">
        <f aca="false">IF($A121="","",Data_Engine!$AD121)</f>
        <v>0</v>
      </c>
      <c r="E121" s="69" t="n">
        <f aca="false">IF($A121="","",Data_Engine!$AE121)</f>
        <v>0</v>
      </c>
      <c r="F121" s="73" t="n">
        <f aca="false">IF($A121="","",$D121-$E121)</f>
        <v>0</v>
      </c>
      <c r="G121" s="72" t="str">
        <f aca="false">IF($A121="","",IF(ROUND($E121,2)=0,"n/a",$F121/ABS($E121)))</f>
        <v>n/a</v>
      </c>
      <c r="H121" s="70" t="n">
        <f aca="false">IF($A121="","",Data_Engine!$AH121)</f>
        <v>0</v>
      </c>
      <c r="I121" s="69" t="n">
        <f aca="false">IF($A121="","",Data_Engine!$AI121)</f>
        <v>0</v>
      </c>
      <c r="J121" s="71" t="n">
        <f aca="false">IF($A121="","",$H121-$I121)</f>
        <v>0</v>
      </c>
      <c r="K121" s="72" t="str">
        <f aca="false">IF($A121="","",IF(ROUND($I121,2)=0,"n/a",$J121/ABS($I121)))</f>
        <v>n/a</v>
      </c>
      <c r="L121" s="69" t="n">
        <f aca="false">IF($A121="","",Data_Engine!$AJ121)</f>
        <v>0</v>
      </c>
      <c r="M121" s="73" t="n">
        <f aca="false">IF($A121="","",IF(Setup!$B$8=0,0,$H121/Setup!$B$8*12))</f>
        <v>0</v>
      </c>
      <c r="N121" s="72" t="str">
        <f aca="false">IF($A121="","",IF(ROUND($L121,2)=0,"n/a",($M121-$L121)/ABS($L121)))</f>
        <v>n/a</v>
      </c>
      <c r="O121" s="76" t="str">
        <f aca="false">IF($A121="","",IF(AND(ROUND($H121,2)=0,ROUND($I121,2)=0),"Dormant",IF(ROUND($I121,2)=0,"New this year",IF(ROUND($H121,2)=0,"Ceased",IF($J121&gt;0,"Increase",IF($J121&lt;0,"Decrease","Flat"))))))</f>
        <v>Dormant</v>
      </c>
      <c r="P121" s="74" t="str">
        <f aca="false">IF($A121="","",IF(AND(ROUND($H121,2)=0,ROUND($I121,2)=0),"No Activity",IF(ABS($J121)&lt;Setup!$B$14,"Low",IF(ROUND($I121,2)=0,"High",IF(OR(ABS($J121/$I121)&gt;=Setup!$B$16,ABS($J121)&gt;=Setup!$B$17),"High",IF(ABS($J121/$I121)&gt;=Setup!$B$15,"Medium","Low"))))))</f>
        <v>No Activity</v>
      </c>
      <c r="Q121" s="57"/>
      <c r="R121" s="75" t="n">
        <f aca="false">IF($A121="",-1000000000000000,IF(ROUND(ABS($J121),0)=0,-1000000000000000,ABS($J121)+ROW()/1000000))</f>
        <v>-1000000000000000</v>
      </c>
    </row>
    <row r="122" customFormat="false" ht="15" hidden="false" customHeight="false" outlineLevel="0" collapsed="false">
      <c r="A122" s="68" t="str">
        <f aca="false">IF(Data_Engine!$A122="","",Data_Engine!$A122)</f>
        <v>Business Advisory</v>
      </c>
      <c r="B122" s="42" t="str">
        <f aca="false">IF($A122="","",Data_Engine!$B122)</f>
        <v>Expenses</v>
      </c>
      <c r="C122" s="42" t="str">
        <f aca="false">IF($A122="","",Data_Engine!$D122)</f>
        <v>Unallocated</v>
      </c>
      <c r="D122" s="69" t="n">
        <f aca="false">IF($A122="","",Data_Engine!$AD122)</f>
        <v>0</v>
      </c>
      <c r="E122" s="69" t="n">
        <f aca="false">IF($A122="","",Data_Engine!$AE122)</f>
        <v>0</v>
      </c>
      <c r="F122" s="73" t="n">
        <f aca="false">IF($A122="","",$D122-$E122)</f>
        <v>0</v>
      </c>
      <c r="G122" s="72" t="str">
        <f aca="false">IF($A122="","",IF(ROUND($E122,2)=0,"n/a",$F122/ABS($E122)))</f>
        <v>n/a</v>
      </c>
      <c r="H122" s="70" t="n">
        <f aca="false">IF($A122="","",Data_Engine!$AH122)</f>
        <v>0</v>
      </c>
      <c r="I122" s="69" t="n">
        <f aca="false">IF($A122="","",Data_Engine!$AI122)</f>
        <v>0</v>
      </c>
      <c r="J122" s="71" t="n">
        <f aca="false">IF($A122="","",$H122-$I122)</f>
        <v>0</v>
      </c>
      <c r="K122" s="72" t="str">
        <f aca="false">IF($A122="","",IF(ROUND($I122,2)=0,"n/a",$J122/ABS($I122)))</f>
        <v>n/a</v>
      </c>
      <c r="L122" s="69" t="n">
        <f aca="false">IF($A122="","",Data_Engine!$AJ122)</f>
        <v>0</v>
      </c>
      <c r="M122" s="73" t="n">
        <f aca="false">IF($A122="","",IF(Setup!$B$8=0,0,$H122/Setup!$B$8*12))</f>
        <v>0</v>
      </c>
      <c r="N122" s="72" t="str">
        <f aca="false">IF($A122="","",IF(ROUND($L122,2)=0,"n/a",($M122-$L122)/ABS($L122)))</f>
        <v>n/a</v>
      </c>
      <c r="O122" s="76" t="str">
        <f aca="false">IF($A122="","",IF(AND(ROUND($H122,2)=0,ROUND($I122,2)=0),"Dormant",IF(ROUND($I122,2)=0,"New this year",IF(ROUND($H122,2)=0,"Ceased",IF($J122&gt;0,"Increase",IF($J122&lt;0,"Decrease","Flat"))))))</f>
        <v>Dormant</v>
      </c>
      <c r="P122" s="74" t="str">
        <f aca="false">IF($A122="","",IF(AND(ROUND($H122,2)=0,ROUND($I122,2)=0),"No Activity",IF(ABS($J122)&lt;Setup!$B$14,"Low",IF(ROUND($I122,2)=0,"High",IF(OR(ABS($J122/$I122)&gt;=Setup!$B$16,ABS($J122)&gt;=Setup!$B$17),"High",IF(ABS($J122/$I122)&gt;=Setup!$B$15,"Medium","Low"))))))</f>
        <v>No Activity</v>
      </c>
      <c r="Q122" s="57"/>
      <c r="R122" s="75" t="n">
        <f aca="false">IF($A122="",-1000000000000000,IF(ROUND(ABS($J122),0)=0,-1000000000000000,ABS($J122)+ROW()/1000000))</f>
        <v>-1000000000000000</v>
      </c>
    </row>
    <row r="123" customFormat="false" ht="15" hidden="false" customHeight="false" outlineLevel="0" collapsed="false">
      <c r="A123" s="68" t="str">
        <f aca="false">IF(Data_Engine!$A123="","",Data_Engine!$A123)</f>
        <v>Business Combined</v>
      </c>
      <c r="B123" s="42" t="str">
        <f aca="false">IF($A123="","",Data_Engine!$B123)</f>
        <v>Expenses</v>
      </c>
      <c r="C123" s="42" t="str">
        <f aca="false">IF($A123="","",Data_Engine!$D123)</f>
        <v>Unallocated</v>
      </c>
      <c r="D123" s="69" t="n">
        <f aca="false">IF($A123="","",Data_Engine!$AD123)</f>
        <v>0</v>
      </c>
      <c r="E123" s="69" t="n">
        <f aca="false">IF($A123="","",Data_Engine!$AE123)</f>
        <v>0</v>
      </c>
      <c r="F123" s="73" t="n">
        <f aca="false">IF($A123="","",$D123-$E123)</f>
        <v>0</v>
      </c>
      <c r="G123" s="72" t="str">
        <f aca="false">IF($A123="","",IF(ROUND($E123,2)=0,"n/a",$F123/ABS($E123)))</f>
        <v>n/a</v>
      </c>
      <c r="H123" s="70" t="n">
        <f aca="false">IF($A123="","",Data_Engine!$AH123)</f>
        <v>0</v>
      </c>
      <c r="I123" s="69" t="n">
        <f aca="false">IF($A123="","",Data_Engine!$AI123)</f>
        <v>0</v>
      </c>
      <c r="J123" s="71" t="n">
        <f aca="false">IF($A123="","",$H123-$I123)</f>
        <v>0</v>
      </c>
      <c r="K123" s="72" t="str">
        <f aca="false">IF($A123="","",IF(ROUND($I123,2)=0,"n/a",$J123/ABS($I123)))</f>
        <v>n/a</v>
      </c>
      <c r="L123" s="69" t="n">
        <f aca="false">IF($A123="","",Data_Engine!$AJ123)</f>
        <v>0</v>
      </c>
      <c r="M123" s="73" t="n">
        <f aca="false">IF($A123="","",IF(Setup!$B$8=0,0,$H123/Setup!$B$8*12))</f>
        <v>0</v>
      </c>
      <c r="N123" s="72" t="str">
        <f aca="false">IF($A123="","",IF(ROUND($L123,2)=0,"n/a",($M123-$L123)/ABS($L123)))</f>
        <v>n/a</v>
      </c>
      <c r="O123" s="76" t="str">
        <f aca="false">IF($A123="","",IF(AND(ROUND($H123,2)=0,ROUND($I123,2)=0),"Dormant",IF(ROUND($I123,2)=0,"New this year",IF(ROUND($H123,2)=0,"Ceased",IF($J123&gt;0,"Increase",IF($J123&lt;0,"Decrease","Flat"))))))</f>
        <v>Dormant</v>
      </c>
      <c r="P123" s="74" t="str">
        <f aca="false">IF($A123="","",IF(AND(ROUND($H123,2)=0,ROUND($I123,2)=0),"No Activity",IF(ABS($J123)&lt;Setup!$B$14,"Low",IF(ROUND($I123,2)=0,"High",IF(OR(ABS($J123/$I123)&gt;=Setup!$B$16,ABS($J123)&gt;=Setup!$B$17),"High",IF(ABS($J123/$I123)&gt;=Setup!$B$15,"Medium","Low"))))))</f>
        <v>No Activity</v>
      </c>
      <c r="Q123" s="57"/>
      <c r="R123" s="75" t="n">
        <f aca="false">IF($A123="",-1000000000000000,IF(ROUND(ABS($J123),0)=0,-1000000000000000,ABS($J123)+ROW()/1000000))</f>
        <v>-1000000000000000</v>
      </c>
    </row>
    <row r="124" customFormat="false" ht="15" hidden="false" customHeight="false" outlineLevel="0" collapsed="false">
      <c r="A124" s="68" t="str">
        <f aca="false">IF(Data_Engine!$A124="","",Data_Engine!$A124)</f>
        <v>Client Entertainment</v>
      </c>
      <c r="B124" s="42" t="str">
        <f aca="false">IF($A124="","",Data_Engine!$B124)</f>
        <v>Expenses</v>
      </c>
      <c r="C124" s="42" t="str">
        <f aca="false">IF($A124="","",Data_Engine!$D124)</f>
        <v>Unallocated</v>
      </c>
      <c r="D124" s="69" t="n">
        <f aca="false">IF($A124="","",Data_Engine!$AD124)</f>
        <v>0</v>
      </c>
      <c r="E124" s="69" t="n">
        <f aca="false">IF($A124="","",Data_Engine!$AE124)</f>
        <v>0</v>
      </c>
      <c r="F124" s="73" t="n">
        <f aca="false">IF($A124="","",$D124-$E124)</f>
        <v>0</v>
      </c>
      <c r="G124" s="72" t="str">
        <f aca="false">IF($A124="","",IF(ROUND($E124,2)=0,"n/a",$F124/ABS($E124)))</f>
        <v>n/a</v>
      </c>
      <c r="H124" s="70" t="n">
        <f aca="false">IF($A124="","",Data_Engine!$AH124)</f>
        <v>0</v>
      </c>
      <c r="I124" s="69" t="n">
        <f aca="false">IF($A124="","",Data_Engine!$AI124)</f>
        <v>0</v>
      </c>
      <c r="J124" s="71" t="n">
        <f aca="false">IF($A124="","",$H124-$I124)</f>
        <v>0</v>
      </c>
      <c r="K124" s="72" t="str">
        <f aca="false">IF($A124="","",IF(ROUND($I124,2)=0,"n/a",$J124/ABS($I124)))</f>
        <v>n/a</v>
      </c>
      <c r="L124" s="69" t="n">
        <f aca="false">IF($A124="","",Data_Engine!$AJ124)</f>
        <v>0</v>
      </c>
      <c r="M124" s="73" t="n">
        <f aca="false">IF($A124="","",IF(Setup!$B$8=0,0,$H124/Setup!$B$8*12))</f>
        <v>0</v>
      </c>
      <c r="N124" s="72" t="str">
        <f aca="false">IF($A124="","",IF(ROUND($L124,2)=0,"n/a",($M124-$L124)/ABS($L124)))</f>
        <v>n/a</v>
      </c>
      <c r="O124" s="76" t="str">
        <f aca="false">IF($A124="","",IF(AND(ROUND($H124,2)=0,ROUND($I124,2)=0),"Dormant",IF(ROUND($I124,2)=0,"New this year",IF(ROUND($H124,2)=0,"Ceased",IF($J124&gt;0,"Increase",IF($J124&lt;0,"Decrease","Flat"))))))</f>
        <v>Dormant</v>
      </c>
      <c r="P124" s="74" t="str">
        <f aca="false">IF($A124="","",IF(AND(ROUND($H124,2)=0,ROUND($I124,2)=0),"No Activity",IF(ABS($J124)&lt;Setup!$B$14,"Low",IF(ROUND($I124,2)=0,"High",IF(OR(ABS($J124/$I124)&gt;=Setup!$B$16,ABS($J124)&gt;=Setup!$B$17),"High",IF(ABS($J124/$I124)&gt;=Setup!$B$15,"Medium","Low"))))))</f>
        <v>No Activity</v>
      </c>
      <c r="Q124" s="57"/>
      <c r="R124" s="75" t="n">
        <f aca="false">IF($A124="",-1000000000000000,IF(ROUND(ABS($J124),0)=0,-1000000000000000,ABS($J124)+ROW()/1000000))</f>
        <v>-1000000000000000</v>
      </c>
    </row>
    <row r="125" customFormat="false" ht="15" hidden="false" customHeight="false" outlineLevel="0" collapsed="false">
      <c r="A125" s="68" t="str">
        <f aca="false">IF(Data_Engine!$A125="","",Data_Engine!$A125)</f>
        <v>Credit Card Fees Paid</v>
      </c>
      <c r="B125" s="42" t="str">
        <f aca="false">IF($A125="","",Data_Engine!$B125)</f>
        <v>Expenses</v>
      </c>
      <c r="C125" s="42" t="str">
        <f aca="false">IF($A125="","",Data_Engine!$D125)</f>
        <v>Unallocated</v>
      </c>
      <c r="D125" s="69" t="n">
        <f aca="false">IF($A125="","",Data_Engine!$AD125)</f>
        <v>0</v>
      </c>
      <c r="E125" s="69" t="n">
        <f aca="false">IF($A125="","",Data_Engine!$AE125)</f>
        <v>0</v>
      </c>
      <c r="F125" s="73" t="n">
        <f aca="false">IF($A125="","",$D125-$E125)</f>
        <v>0</v>
      </c>
      <c r="G125" s="72" t="str">
        <f aca="false">IF($A125="","",IF(ROUND($E125,2)=0,"n/a",$F125/ABS($E125)))</f>
        <v>n/a</v>
      </c>
      <c r="H125" s="70" t="n">
        <f aca="false">IF($A125="","",Data_Engine!$AH125)</f>
        <v>0</v>
      </c>
      <c r="I125" s="69" t="n">
        <f aca="false">IF($A125="","",Data_Engine!$AI125)</f>
        <v>0</v>
      </c>
      <c r="J125" s="71" t="n">
        <f aca="false">IF($A125="","",$H125-$I125)</f>
        <v>0</v>
      </c>
      <c r="K125" s="72" t="str">
        <f aca="false">IF($A125="","",IF(ROUND($I125,2)=0,"n/a",$J125/ABS($I125)))</f>
        <v>n/a</v>
      </c>
      <c r="L125" s="69" t="n">
        <f aca="false">IF($A125="","",Data_Engine!$AJ125)</f>
        <v>0</v>
      </c>
      <c r="M125" s="73" t="n">
        <f aca="false">IF($A125="","",IF(Setup!$B$8=0,0,$H125/Setup!$B$8*12))</f>
        <v>0</v>
      </c>
      <c r="N125" s="72" t="str">
        <f aca="false">IF($A125="","",IF(ROUND($L125,2)=0,"n/a",($M125-$L125)/ABS($L125)))</f>
        <v>n/a</v>
      </c>
      <c r="O125" s="76" t="str">
        <f aca="false">IF($A125="","",IF(AND(ROUND($H125,2)=0,ROUND($I125,2)=0),"Dormant",IF(ROUND($I125,2)=0,"New this year",IF(ROUND($H125,2)=0,"Ceased",IF($J125&gt;0,"Increase",IF($J125&lt;0,"Decrease","Flat"))))))</f>
        <v>Dormant</v>
      </c>
      <c r="P125" s="74" t="str">
        <f aca="false">IF($A125="","",IF(AND(ROUND($H125,2)=0,ROUND($I125,2)=0),"No Activity",IF(ABS($J125)&lt;Setup!$B$14,"Low",IF(ROUND($I125,2)=0,"High",IF(OR(ABS($J125/$I125)&gt;=Setup!$B$16,ABS($J125)&gt;=Setup!$B$17),"High",IF(ABS($J125/$I125)&gt;=Setup!$B$15,"Medium","Low"))))))</f>
        <v>No Activity</v>
      </c>
      <c r="Q125" s="57"/>
      <c r="R125" s="75" t="n">
        <f aca="false">IF($A125="",-1000000000000000,IF(ROUND(ABS($J125),0)=0,-1000000000000000,ABS($J125)+ROW()/1000000))</f>
        <v>-1000000000000000</v>
      </c>
    </row>
    <row r="126" customFormat="false" ht="15" hidden="false" customHeight="false" outlineLevel="0" collapsed="false">
      <c r="A126" s="68" t="str">
        <f aca="false">IF(Data_Engine!$A126="","",Data_Engine!$A126)</f>
        <v>Custodian Vaults</v>
      </c>
      <c r="B126" s="42" t="str">
        <f aca="false">IF($A126="","",Data_Engine!$B126)</f>
        <v>Expenses</v>
      </c>
      <c r="C126" s="42" t="str">
        <f aca="false">IF($A126="","",Data_Engine!$D126)</f>
        <v>Unallocated</v>
      </c>
      <c r="D126" s="69" t="n">
        <f aca="false">IF($A126="","",Data_Engine!$AD126)</f>
        <v>0</v>
      </c>
      <c r="E126" s="69" t="n">
        <f aca="false">IF($A126="","",Data_Engine!$AE126)</f>
        <v>0</v>
      </c>
      <c r="F126" s="73" t="n">
        <f aca="false">IF($A126="","",$D126-$E126)</f>
        <v>0</v>
      </c>
      <c r="G126" s="72" t="str">
        <f aca="false">IF($A126="","",IF(ROUND($E126,2)=0,"n/a",$F126/ABS($E126)))</f>
        <v>n/a</v>
      </c>
      <c r="H126" s="70" t="n">
        <f aca="false">IF($A126="","",Data_Engine!$AH126)</f>
        <v>0</v>
      </c>
      <c r="I126" s="69" t="n">
        <f aca="false">IF($A126="","",Data_Engine!$AI126)</f>
        <v>0</v>
      </c>
      <c r="J126" s="71" t="n">
        <f aca="false">IF($A126="","",$H126-$I126)</f>
        <v>0</v>
      </c>
      <c r="K126" s="72" t="str">
        <f aca="false">IF($A126="","",IF(ROUND($I126,2)=0,"n/a",$J126/ABS($I126)))</f>
        <v>n/a</v>
      </c>
      <c r="L126" s="69" t="n">
        <f aca="false">IF($A126="","",Data_Engine!$AJ126)</f>
        <v>0</v>
      </c>
      <c r="M126" s="73" t="n">
        <f aca="false">IF($A126="","",IF(Setup!$B$8=0,0,$H126/Setup!$B$8*12))</f>
        <v>0</v>
      </c>
      <c r="N126" s="72" t="str">
        <f aca="false">IF($A126="","",IF(ROUND($L126,2)=0,"n/a",($M126-$L126)/ABS($L126)))</f>
        <v>n/a</v>
      </c>
      <c r="O126" s="76" t="str">
        <f aca="false">IF($A126="","",IF(AND(ROUND($H126,2)=0,ROUND($I126,2)=0),"Dormant",IF(ROUND($I126,2)=0,"New this year",IF(ROUND($H126,2)=0,"Ceased",IF($J126&gt;0,"Increase",IF($J126&lt;0,"Decrease","Flat"))))))</f>
        <v>Dormant</v>
      </c>
      <c r="P126" s="74" t="str">
        <f aca="false">IF($A126="","",IF(AND(ROUND($H126,2)=0,ROUND($I126,2)=0),"No Activity",IF(ABS($J126)&lt;Setup!$B$14,"Low",IF(ROUND($I126,2)=0,"High",IF(OR(ABS($J126/$I126)&gt;=Setup!$B$16,ABS($J126)&gt;=Setup!$B$17),"High",IF(ABS($J126/$I126)&gt;=Setup!$B$15,"Medium","Low"))))))</f>
        <v>No Activity</v>
      </c>
      <c r="Q126" s="57"/>
      <c r="R126" s="75" t="n">
        <f aca="false">IF($A126="",-1000000000000000,IF(ROUND(ABS($J126),0)=0,-1000000000000000,ABS($J126)+ROW()/1000000))</f>
        <v>-1000000000000000</v>
      </c>
    </row>
    <row r="127" customFormat="false" ht="15" hidden="false" customHeight="false" outlineLevel="0" collapsed="false">
      <c r="A127" s="68" t="str">
        <f aca="false">IF(Data_Engine!$A127="","",Data_Engine!$A127)</f>
        <v>Depreciation</v>
      </c>
      <c r="B127" s="42" t="str">
        <f aca="false">IF($A127="","",Data_Engine!$B127)</f>
        <v>Expenses</v>
      </c>
      <c r="C127" s="42" t="str">
        <f aca="false">IF($A127="","",Data_Engine!$D127)</f>
        <v>Unallocated</v>
      </c>
      <c r="D127" s="69" t="n">
        <f aca="false">IF($A127="","",Data_Engine!$AD127)</f>
        <v>0</v>
      </c>
      <c r="E127" s="69" t="n">
        <f aca="false">IF($A127="","",Data_Engine!$AE127)</f>
        <v>0</v>
      </c>
      <c r="F127" s="73" t="n">
        <f aca="false">IF($A127="","",$D127-$E127)</f>
        <v>0</v>
      </c>
      <c r="G127" s="72" t="str">
        <f aca="false">IF($A127="","",IF(ROUND($E127,2)=0,"n/a",$F127/ABS($E127)))</f>
        <v>n/a</v>
      </c>
      <c r="H127" s="70" t="n">
        <f aca="false">IF($A127="","",Data_Engine!$AH127)</f>
        <v>0</v>
      </c>
      <c r="I127" s="69" t="n">
        <f aca="false">IF($A127="","",Data_Engine!$AI127)</f>
        <v>0</v>
      </c>
      <c r="J127" s="71" t="n">
        <f aca="false">IF($A127="","",$H127-$I127)</f>
        <v>0</v>
      </c>
      <c r="K127" s="72" t="str">
        <f aca="false">IF($A127="","",IF(ROUND($I127,2)=0,"n/a",$J127/ABS($I127)))</f>
        <v>n/a</v>
      </c>
      <c r="L127" s="69" t="n">
        <f aca="false">IF($A127="","",Data_Engine!$AJ127)</f>
        <v>0</v>
      </c>
      <c r="M127" s="73" t="n">
        <f aca="false">IF($A127="","",IF(Setup!$B$8=0,0,$H127/Setup!$B$8*12))</f>
        <v>0</v>
      </c>
      <c r="N127" s="72" t="str">
        <f aca="false">IF($A127="","",IF(ROUND($L127,2)=0,"n/a",($M127-$L127)/ABS($L127)))</f>
        <v>n/a</v>
      </c>
      <c r="O127" s="76" t="str">
        <f aca="false">IF($A127="","",IF(AND(ROUND($H127,2)=0,ROUND($I127,2)=0),"Dormant",IF(ROUND($I127,2)=0,"New this year",IF(ROUND($H127,2)=0,"Ceased",IF($J127&gt;0,"Increase",IF($J127&lt;0,"Decrease","Flat"))))))</f>
        <v>Dormant</v>
      </c>
      <c r="P127" s="74" t="str">
        <f aca="false">IF($A127="","",IF(AND(ROUND($H127,2)=0,ROUND($I127,2)=0),"No Activity",IF(ABS($J127)&lt;Setup!$B$14,"Low",IF(ROUND($I127,2)=0,"High",IF(OR(ABS($J127/$I127)&gt;=Setup!$B$16,ABS($J127)&gt;=Setup!$B$17),"High",IF(ABS($J127/$I127)&gt;=Setup!$B$15,"Medium","Low"))))))</f>
        <v>No Activity</v>
      </c>
      <c r="Q127" s="57"/>
      <c r="R127" s="75" t="n">
        <f aca="false">IF($A127="",-1000000000000000,IF(ROUND(ABS($J127),0)=0,-1000000000000000,ABS($J127)+ROW()/1000000))</f>
        <v>-1000000000000000</v>
      </c>
    </row>
    <row r="128" customFormat="false" ht="15" hidden="false" customHeight="false" outlineLevel="0" collapsed="false">
      <c r="A128" s="68" t="str">
        <f aca="false">IF(Data_Engine!$A128="","",Data_Engine!$A128)</f>
        <v>Depreciation - ROU</v>
      </c>
      <c r="B128" s="42" t="str">
        <f aca="false">IF($A128="","",Data_Engine!$B128)</f>
        <v>Expenses</v>
      </c>
      <c r="C128" s="42" t="str">
        <f aca="false">IF($A128="","",Data_Engine!$D128)</f>
        <v>Unallocated</v>
      </c>
      <c r="D128" s="69" t="n">
        <f aca="false">IF($A128="","",Data_Engine!$AD128)</f>
        <v>0</v>
      </c>
      <c r="E128" s="69" t="n">
        <f aca="false">IF($A128="","",Data_Engine!$AE128)</f>
        <v>0</v>
      </c>
      <c r="F128" s="73" t="n">
        <f aca="false">IF($A128="","",$D128-$E128)</f>
        <v>0</v>
      </c>
      <c r="G128" s="72" t="str">
        <f aca="false">IF($A128="","",IF(ROUND($E128,2)=0,"n/a",$F128/ABS($E128)))</f>
        <v>n/a</v>
      </c>
      <c r="H128" s="70" t="n">
        <f aca="false">IF($A128="","",Data_Engine!$AH128)</f>
        <v>0</v>
      </c>
      <c r="I128" s="69" t="n">
        <f aca="false">IF($A128="","",Data_Engine!$AI128)</f>
        <v>0</v>
      </c>
      <c r="J128" s="71" t="n">
        <f aca="false">IF($A128="","",$H128-$I128)</f>
        <v>0</v>
      </c>
      <c r="K128" s="72" t="str">
        <f aca="false">IF($A128="","",IF(ROUND($I128,2)=0,"n/a",$J128/ABS($I128)))</f>
        <v>n/a</v>
      </c>
      <c r="L128" s="69" t="n">
        <f aca="false">IF($A128="","",Data_Engine!$AJ128)</f>
        <v>0</v>
      </c>
      <c r="M128" s="73" t="n">
        <f aca="false">IF($A128="","",IF(Setup!$B$8=0,0,$H128/Setup!$B$8*12))</f>
        <v>0</v>
      </c>
      <c r="N128" s="72" t="str">
        <f aca="false">IF($A128="","",IF(ROUND($L128,2)=0,"n/a",($M128-$L128)/ABS($L128)))</f>
        <v>n/a</v>
      </c>
      <c r="O128" s="76" t="str">
        <f aca="false">IF($A128="","",IF(AND(ROUND($H128,2)=0,ROUND($I128,2)=0),"Dormant",IF(ROUND($I128,2)=0,"New this year",IF(ROUND($H128,2)=0,"Ceased",IF($J128&gt;0,"Increase",IF($J128&lt;0,"Decrease","Flat"))))))</f>
        <v>Dormant</v>
      </c>
      <c r="P128" s="74" t="str">
        <f aca="false">IF($A128="","",IF(AND(ROUND($H128,2)=0,ROUND($I128,2)=0),"No Activity",IF(ABS($J128)&lt;Setup!$B$14,"Low",IF(ROUND($I128,2)=0,"High",IF(OR(ABS($J128/$I128)&gt;=Setup!$B$16,ABS($J128)&gt;=Setup!$B$17),"High",IF(ABS($J128/$I128)&gt;=Setup!$B$15,"Medium","Low"))))))</f>
        <v>No Activity</v>
      </c>
      <c r="Q128" s="57"/>
      <c r="R128" s="75" t="n">
        <f aca="false">IF($A128="",-1000000000000000,IF(ROUND(ABS($J128),0)=0,-1000000000000000,ABS($J128)+ROW()/1000000))</f>
        <v>-1000000000000000</v>
      </c>
    </row>
    <row r="129" customFormat="false" ht="15" hidden="false" customHeight="false" outlineLevel="0" collapsed="false">
      <c r="A129" s="68" t="str">
        <f aca="false">IF(Data_Engine!$A129="","",Data_Engine!$A129)</f>
        <v>Discounts Taken</v>
      </c>
      <c r="B129" s="42" t="str">
        <f aca="false">IF($A129="","",Data_Engine!$B129)</f>
        <v>Expenses</v>
      </c>
      <c r="C129" s="42" t="str">
        <f aca="false">IF($A129="","",Data_Engine!$D129)</f>
        <v>Unallocated</v>
      </c>
      <c r="D129" s="69" t="n">
        <f aca="false">IF($A129="","",Data_Engine!$AD129)</f>
        <v>0</v>
      </c>
      <c r="E129" s="69" t="n">
        <f aca="false">IF($A129="","",Data_Engine!$AE129)</f>
        <v>0</v>
      </c>
      <c r="F129" s="73" t="n">
        <f aca="false">IF($A129="","",$D129-$E129)</f>
        <v>0</v>
      </c>
      <c r="G129" s="72" t="str">
        <f aca="false">IF($A129="","",IF(ROUND($E129,2)=0,"n/a",$F129/ABS($E129)))</f>
        <v>n/a</v>
      </c>
      <c r="H129" s="70" t="n">
        <f aca="false">IF($A129="","",Data_Engine!$AH129)</f>
        <v>0</v>
      </c>
      <c r="I129" s="69" t="n">
        <f aca="false">IF($A129="","",Data_Engine!$AI129)</f>
        <v>0</v>
      </c>
      <c r="J129" s="71" t="n">
        <f aca="false">IF($A129="","",$H129-$I129)</f>
        <v>0</v>
      </c>
      <c r="K129" s="72" t="str">
        <f aca="false">IF($A129="","",IF(ROUND($I129,2)=0,"n/a",$J129/ABS($I129)))</f>
        <v>n/a</v>
      </c>
      <c r="L129" s="69" t="n">
        <f aca="false">IF($A129="","",Data_Engine!$AJ129)</f>
        <v>0</v>
      </c>
      <c r="M129" s="73" t="n">
        <f aca="false">IF($A129="","",IF(Setup!$B$8=0,0,$H129/Setup!$B$8*12))</f>
        <v>0</v>
      </c>
      <c r="N129" s="72" t="str">
        <f aca="false">IF($A129="","",IF(ROUND($L129,2)=0,"n/a",($M129-$L129)/ABS($L129)))</f>
        <v>n/a</v>
      </c>
      <c r="O129" s="76" t="str">
        <f aca="false">IF($A129="","",IF(AND(ROUND($H129,2)=0,ROUND($I129,2)=0),"Dormant",IF(ROUND($I129,2)=0,"New this year",IF(ROUND($H129,2)=0,"Ceased",IF($J129&gt;0,"Increase",IF($J129&lt;0,"Decrease","Flat"))))))</f>
        <v>Dormant</v>
      </c>
      <c r="P129" s="74" t="str">
        <f aca="false">IF($A129="","",IF(AND(ROUND($H129,2)=0,ROUND($I129,2)=0),"No Activity",IF(ABS($J129)&lt;Setup!$B$14,"Low",IF(ROUND($I129,2)=0,"High",IF(OR(ABS($J129/$I129)&gt;=Setup!$B$16,ABS($J129)&gt;=Setup!$B$17),"High",IF(ABS($J129/$I129)&gt;=Setup!$B$15,"Medium","Low"))))))</f>
        <v>No Activity</v>
      </c>
      <c r="Q129" s="57"/>
      <c r="R129" s="75" t="n">
        <f aca="false">IF($A129="",-1000000000000000,IF(ROUND(ABS($J129),0)=0,-1000000000000000,ABS($J129)+ROW()/1000000))</f>
        <v>-1000000000000000</v>
      </c>
    </row>
    <row r="130" customFormat="false" ht="15" hidden="false" customHeight="false" outlineLevel="0" collapsed="false">
      <c r="A130" s="68" t="str">
        <f aca="false">IF(Data_Engine!$A130="","",Data_Engine!$A130)</f>
        <v>Disposal of fixed assets</v>
      </c>
      <c r="B130" s="42" t="str">
        <f aca="false">IF($A130="","",Data_Engine!$B130)</f>
        <v>Expenses</v>
      </c>
      <c r="C130" s="42" t="str">
        <f aca="false">IF($A130="","",Data_Engine!$D130)</f>
        <v>Unallocated</v>
      </c>
      <c r="D130" s="69" t="n">
        <f aca="false">IF($A130="","",Data_Engine!$AD130)</f>
        <v>0</v>
      </c>
      <c r="E130" s="69" t="n">
        <f aca="false">IF($A130="","",Data_Engine!$AE130)</f>
        <v>0</v>
      </c>
      <c r="F130" s="73" t="n">
        <f aca="false">IF($A130="","",$D130-$E130)</f>
        <v>0</v>
      </c>
      <c r="G130" s="72" t="str">
        <f aca="false">IF($A130="","",IF(ROUND($E130,2)=0,"n/a",$F130/ABS($E130)))</f>
        <v>n/a</v>
      </c>
      <c r="H130" s="70" t="n">
        <f aca="false">IF($A130="","",Data_Engine!$AH130)</f>
        <v>0</v>
      </c>
      <c r="I130" s="69" t="n">
        <f aca="false">IF($A130="","",Data_Engine!$AI130)</f>
        <v>0</v>
      </c>
      <c r="J130" s="71" t="n">
        <f aca="false">IF($A130="","",$H130-$I130)</f>
        <v>0</v>
      </c>
      <c r="K130" s="72" t="str">
        <f aca="false">IF($A130="","",IF(ROUND($I130,2)=0,"n/a",$J130/ABS($I130)))</f>
        <v>n/a</v>
      </c>
      <c r="L130" s="69" t="n">
        <f aca="false">IF($A130="","",Data_Engine!$AJ130)</f>
        <v>0</v>
      </c>
      <c r="M130" s="73" t="n">
        <f aca="false">IF($A130="","",IF(Setup!$B$8=0,0,$H130/Setup!$B$8*12))</f>
        <v>0</v>
      </c>
      <c r="N130" s="72" t="str">
        <f aca="false">IF($A130="","",IF(ROUND($L130,2)=0,"n/a",($M130-$L130)/ABS($L130)))</f>
        <v>n/a</v>
      </c>
      <c r="O130" s="76" t="str">
        <f aca="false">IF($A130="","",IF(AND(ROUND($H130,2)=0,ROUND($I130,2)=0),"Dormant",IF(ROUND($I130,2)=0,"New this year",IF(ROUND($H130,2)=0,"Ceased",IF($J130&gt;0,"Increase",IF($J130&lt;0,"Decrease","Flat"))))))</f>
        <v>Dormant</v>
      </c>
      <c r="P130" s="74" t="str">
        <f aca="false">IF($A130="","",IF(AND(ROUND($H130,2)=0,ROUND($I130,2)=0),"No Activity",IF(ABS($J130)&lt;Setup!$B$14,"Low",IF(ROUND($I130,2)=0,"High",IF(OR(ABS($J130/$I130)&gt;=Setup!$B$16,ABS($J130)&gt;=Setup!$B$17),"High",IF(ABS($J130/$I130)&gt;=Setup!$B$15,"Medium","Low"))))))</f>
        <v>No Activity</v>
      </c>
      <c r="Q130" s="57"/>
      <c r="R130" s="75" t="n">
        <f aca="false">IF($A130="",-1000000000000000,IF(ROUND(ABS($J130),0)=0,-1000000000000000,ABS($J130)+ROW()/1000000))</f>
        <v>-1000000000000000</v>
      </c>
    </row>
    <row r="131" customFormat="false" ht="15" hidden="false" customHeight="false" outlineLevel="0" collapsed="false">
      <c r="A131" s="68" t="str">
        <f aca="false">IF(Data_Engine!$A131="","",Data_Engine!$A131)</f>
        <v>Dividend paid [93000]</v>
      </c>
      <c r="B131" s="42" t="str">
        <f aca="false">IF($A131="","",Data_Engine!$B131)</f>
        <v>Expenses</v>
      </c>
      <c r="C131" s="42" t="str">
        <f aca="false">IF($A131="","",Data_Engine!$D131)</f>
        <v>Unallocated</v>
      </c>
      <c r="D131" s="69" t="n">
        <f aca="false">IF($A131="","",Data_Engine!$AD131)</f>
        <v>0</v>
      </c>
      <c r="E131" s="69" t="n">
        <f aca="false">IF($A131="","",Data_Engine!$AE131)</f>
        <v>0</v>
      </c>
      <c r="F131" s="73" t="n">
        <f aca="false">IF($A131="","",$D131-$E131)</f>
        <v>0</v>
      </c>
      <c r="G131" s="72" t="str">
        <f aca="false">IF($A131="","",IF(ROUND($E131,2)=0,"n/a",$F131/ABS($E131)))</f>
        <v>n/a</v>
      </c>
      <c r="H131" s="70" t="n">
        <f aca="false">IF($A131="","",Data_Engine!$AH131)</f>
        <v>0</v>
      </c>
      <c r="I131" s="69" t="n">
        <f aca="false">IF($A131="","",Data_Engine!$AI131)</f>
        <v>0</v>
      </c>
      <c r="J131" s="71" t="n">
        <f aca="false">IF($A131="","",$H131-$I131)</f>
        <v>0</v>
      </c>
      <c r="K131" s="72" t="str">
        <f aca="false">IF($A131="","",IF(ROUND($I131,2)=0,"n/a",$J131/ABS($I131)))</f>
        <v>n/a</v>
      </c>
      <c r="L131" s="69" t="n">
        <f aca="false">IF($A131="","",Data_Engine!$AJ131)</f>
        <v>0</v>
      </c>
      <c r="M131" s="73" t="n">
        <f aca="false">IF($A131="","",IF(Setup!$B$8=0,0,$H131/Setup!$B$8*12))</f>
        <v>0</v>
      </c>
      <c r="N131" s="72" t="str">
        <f aca="false">IF($A131="","",IF(ROUND($L131,2)=0,"n/a",($M131-$L131)/ABS($L131)))</f>
        <v>n/a</v>
      </c>
      <c r="O131" s="76" t="str">
        <f aca="false">IF($A131="","",IF(AND(ROUND($H131,2)=0,ROUND($I131,2)=0),"Dormant",IF(ROUND($I131,2)=0,"New this year",IF(ROUND($H131,2)=0,"Ceased",IF($J131&gt;0,"Increase",IF($J131&lt;0,"Decrease","Flat"))))))</f>
        <v>Dormant</v>
      </c>
      <c r="P131" s="74" t="str">
        <f aca="false">IF($A131="","",IF(AND(ROUND($H131,2)=0,ROUND($I131,2)=0),"No Activity",IF(ABS($J131)&lt;Setup!$B$14,"Low",IF(ROUND($I131,2)=0,"High",IF(OR(ABS($J131/$I131)&gt;=Setup!$B$16,ABS($J131)&gt;=Setup!$B$17),"High",IF(ABS($J131/$I131)&gt;=Setup!$B$15,"Medium","Low"))))))</f>
        <v>No Activity</v>
      </c>
      <c r="Q131" s="57"/>
      <c r="R131" s="75" t="n">
        <f aca="false">IF($A131="",-1000000000000000,IF(ROUND(ABS($J131),0)=0,-1000000000000000,ABS($J131)+ROW()/1000000))</f>
        <v>-1000000000000000</v>
      </c>
    </row>
    <row r="132" customFormat="false" ht="15" hidden="false" customHeight="false" outlineLevel="0" collapsed="false">
      <c r="A132" s="68" t="str">
        <f aca="false">IF(Data_Engine!$A132="","",Data_Engine!$A132)</f>
        <v>Donations / Charity</v>
      </c>
      <c r="B132" s="42" t="str">
        <f aca="false">IF($A132="","",Data_Engine!$B132)</f>
        <v>Expenses</v>
      </c>
      <c r="C132" s="42" t="str">
        <f aca="false">IF($A132="","",Data_Engine!$D132)</f>
        <v>Unallocated</v>
      </c>
      <c r="D132" s="69" t="n">
        <f aca="false">IF($A132="","",Data_Engine!$AD132)</f>
        <v>0</v>
      </c>
      <c r="E132" s="69" t="n">
        <f aca="false">IF($A132="","",Data_Engine!$AE132)</f>
        <v>0</v>
      </c>
      <c r="F132" s="73" t="n">
        <f aca="false">IF($A132="","",$D132-$E132)</f>
        <v>0</v>
      </c>
      <c r="G132" s="72" t="str">
        <f aca="false">IF($A132="","",IF(ROUND($E132,2)=0,"n/a",$F132/ABS($E132)))</f>
        <v>n/a</v>
      </c>
      <c r="H132" s="70" t="n">
        <f aca="false">IF($A132="","",Data_Engine!$AH132)</f>
        <v>0</v>
      </c>
      <c r="I132" s="69" t="n">
        <f aca="false">IF($A132="","",Data_Engine!$AI132)</f>
        <v>0</v>
      </c>
      <c r="J132" s="71" t="n">
        <f aca="false">IF($A132="","",$H132-$I132)</f>
        <v>0</v>
      </c>
      <c r="K132" s="72" t="str">
        <f aca="false">IF($A132="","",IF(ROUND($I132,2)=0,"n/a",$J132/ABS($I132)))</f>
        <v>n/a</v>
      </c>
      <c r="L132" s="69" t="n">
        <f aca="false">IF($A132="","",Data_Engine!$AJ132)</f>
        <v>0</v>
      </c>
      <c r="M132" s="73" t="n">
        <f aca="false">IF($A132="","",IF(Setup!$B$8=0,0,$H132/Setup!$B$8*12))</f>
        <v>0</v>
      </c>
      <c r="N132" s="72" t="str">
        <f aca="false">IF($A132="","",IF(ROUND($L132,2)=0,"n/a",($M132-$L132)/ABS($L132)))</f>
        <v>n/a</v>
      </c>
      <c r="O132" s="76" t="str">
        <f aca="false">IF($A132="","",IF(AND(ROUND($H132,2)=0,ROUND($I132,2)=0),"Dormant",IF(ROUND($I132,2)=0,"New this year",IF(ROUND($H132,2)=0,"Ceased",IF($J132&gt;0,"Increase",IF($J132&lt;0,"Decrease","Flat"))))))</f>
        <v>Dormant</v>
      </c>
      <c r="P132" s="74" t="str">
        <f aca="false">IF($A132="","",IF(AND(ROUND($H132,2)=0,ROUND($I132,2)=0),"No Activity",IF(ABS($J132)&lt;Setup!$B$14,"Low",IF(ROUND($I132,2)=0,"High",IF(OR(ABS($J132/$I132)&gt;=Setup!$B$16,ABS($J132)&gt;=Setup!$B$17),"High",IF(ABS($J132/$I132)&gt;=Setup!$B$15,"Medium","Low"))))))</f>
        <v>No Activity</v>
      </c>
      <c r="Q132" s="57"/>
      <c r="R132" s="75" t="n">
        <f aca="false">IF($A132="",-1000000000000000,IF(ROUND(ABS($J132),0)=0,-1000000000000000,ABS($J132)+ROW()/1000000))</f>
        <v>-1000000000000000</v>
      </c>
    </row>
    <row r="133" customFormat="false" ht="15" hidden="false" customHeight="false" outlineLevel="0" collapsed="false">
      <c r="A133" s="68" t="str">
        <f aca="false">IF(Data_Engine!$A133="","",Data_Engine!$A133)</f>
        <v>Dues &amp; Subscriptions</v>
      </c>
      <c r="B133" s="42" t="str">
        <f aca="false">IF($A133="","",Data_Engine!$B133)</f>
        <v>Expenses</v>
      </c>
      <c r="C133" s="42" t="str">
        <f aca="false">IF($A133="","",Data_Engine!$D133)</f>
        <v>Unallocated</v>
      </c>
      <c r="D133" s="69" t="n">
        <f aca="false">IF($A133="","",Data_Engine!$AD133)</f>
        <v>0</v>
      </c>
      <c r="E133" s="69" t="n">
        <f aca="false">IF($A133="","",Data_Engine!$AE133)</f>
        <v>0</v>
      </c>
      <c r="F133" s="73" t="n">
        <f aca="false">IF($A133="","",$D133-$E133)</f>
        <v>0</v>
      </c>
      <c r="G133" s="72" t="str">
        <f aca="false">IF($A133="","",IF(ROUND($E133,2)=0,"n/a",$F133/ABS($E133)))</f>
        <v>n/a</v>
      </c>
      <c r="H133" s="70" t="n">
        <f aca="false">IF($A133="","",Data_Engine!$AH133)</f>
        <v>0</v>
      </c>
      <c r="I133" s="69" t="n">
        <f aca="false">IF($A133="","",Data_Engine!$AI133)</f>
        <v>0</v>
      </c>
      <c r="J133" s="71" t="n">
        <f aca="false">IF($A133="","",$H133-$I133)</f>
        <v>0</v>
      </c>
      <c r="K133" s="72" t="str">
        <f aca="false">IF($A133="","",IF(ROUND($I133,2)=0,"n/a",$J133/ABS($I133)))</f>
        <v>n/a</v>
      </c>
      <c r="L133" s="69" t="n">
        <f aca="false">IF($A133="","",Data_Engine!$AJ133)</f>
        <v>0</v>
      </c>
      <c r="M133" s="73" t="n">
        <f aca="false">IF($A133="","",IF(Setup!$B$8=0,0,$H133/Setup!$B$8*12))</f>
        <v>0</v>
      </c>
      <c r="N133" s="72" t="str">
        <f aca="false">IF($A133="","",IF(ROUND($L133,2)=0,"n/a",($M133-$L133)/ABS($L133)))</f>
        <v>n/a</v>
      </c>
      <c r="O133" s="76" t="str">
        <f aca="false">IF($A133="","",IF(AND(ROUND($H133,2)=0,ROUND($I133,2)=0),"Dormant",IF(ROUND($I133,2)=0,"New this year",IF(ROUND($H133,2)=0,"Ceased",IF($J133&gt;0,"Increase",IF($J133&lt;0,"Decrease","Flat"))))))</f>
        <v>Dormant</v>
      </c>
      <c r="P133" s="74" t="str">
        <f aca="false">IF($A133="","",IF(AND(ROUND($H133,2)=0,ROUND($I133,2)=0),"No Activity",IF(ABS($J133)&lt;Setup!$B$14,"Low",IF(ROUND($I133,2)=0,"High",IF(OR(ABS($J133/$I133)&gt;=Setup!$B$16,ABS($J133)&gt;=Setup!$B$17),"High",IF(ABS($J133/$I133)&gt;=Setup!$B$15,"Medium","Low"))))))</f>
        <v>No Activity</v>
      </c>
      <c r="Q133" s="57"/>
      <c r="R133" s="75" t="n">
        <f aca="false">IF($A133="",-1000000000000000,IF(ROUND(ABS($J133),0)=0,-1000000000000000,ABS($J133)+ROW()/1000000))</f>
        <v>-1000000000000000</v>
      </c>
    </row>
    <row r="134" customFormat="false" ht="15" hidden="false" customHeight="false" outlineLevel="0" collapsed="false">
      <c r="A134" s="68" t="str">
        <f aca="false">IF(Data_Engine!$A134="","",Data_Engine!$A134)</f>
        <v>Electricity</v>
      </c>
      <c r="B134" s="42" t="str">
        <f aca="false">IF($A134="","",Data_Engine!$B134)</f>
        <v>Expenses</v>
      </c>
      <c r="C134" s="42" t="str">
        <f aca="false">IF($A134="","",Data_Engine!$D134)</f>
        <v>Unallocated</v>
      </c>
      <c r="D134" s="69" t="n">
        <f aca="false">IF($A134="","",Data_Engine!$AD134)</f>
        <v>0</v>
      </c>
      <c r="E134" s="69" t="n">
        <f aca="false">IF($A134="","",Data_Engine!$AE134)</f>
        <v>0</v>
      </c>
      <c r="F134" s="73" t="n">
        <f aca="false">IF($A134="","",$D134-$E134)</f>
        <v>0</v>
      </c>
      <c r="G134" s="72" t="str">
        <f aca="false">IF($A134="","",IF(ROUND($E134,2)=0,"n/a",$F134/ABS($E134)))</f>
        <v>n/a</v>
      </c>
      <c r="H134" s="70" t="n">
        <f aca="false">IF($A134="","",Data_Engine!$AH134)</f>
        <v>0</v>
      </c>
      <c r="I134" s="69" t="n">
        <f aca="false">IF($A134="","",Data_Engine!$AI134)</f>
        <v>0</v>
      </c>
      <c r="J134" s="71" t="n">
        <f aca="false">IF($A134="","",$H134-$I134)</f>
        <v>0</v>
      </c>
      <c r="K134" s="72" t="str">
        <f aca="false">IF($A134="","",IF(ROUND($I134,2)=0,"n/a",$J134/ABS($I134)))</f>
        <v>n/a</v>
      </c>
      <c r="L134" s="69" t="n">
        <f aca="false">IF($A134="","",Data_Engine!$AJ134)</f>
        <v>0</v>
      </c>
      <c r="M134" s="73" t="n">
        <f aca="false">IF($A134="","",IF(Setup!$B$8=0,0,$H134/Setup!$B$8*12))</f>
        <v>0</v>
      </c>
      <c r="N134" s="72" t="str">
        <f aca="false">IF($A134="","",IF(ROUND($L134,2)=0,"n/a",($M134-$L134)/ABS($L134)))</f>
        <v>n/a</v>
      </c>
      <c r="O134" s="76" t="str">
        <f aca="false">IF($A134="","",IF(AND(ROUND($H134,2)=0,ROUND($I134,2)=0),"Dormant",IF(ROUND($I134,2)=0,"New this year",IF(ROUND($H134,2)=0,"Ceased",IF($J134&gt;0,"Increase",IF($J134&lt;0,"Decrease","Flat"))))))</f>
        <v>Dormant</v>
      </c>
      <c r="P134" s="74" t="str">
        <f aca="false">IF($A134="","",IF(AND(ROUND($H134,2)=0,ROUND($I134,2)=0),"No Activity",IF(ABS($J134)&lt;Setup!$B$14,"Low",IF(ROUND($I134,2)=0,"High",IF(OR(ABS($J134/$I134)&gt;=Setup!$B$16,ABS($J134)&gt;=Setup!$B$17),"High",IF(ABS($J134/$I134)&gt;=Setup!$B$15,"Medium","Low"))))))</f>
        <v>No Activity</v>
      </c>
      <c r="Q134" s="57"/>
      <c r="R134" s="75" t="n">
        <f aca="false">IF($A134="",-1000000000000000,IF(ROUND(ABS($J134),0)=0,-1000000000000000,ABS($J134)+ROW()/1000000))</f>
        <v>-1000000000000000</v>
      </c>
    </row>
    <row r="135" customFormat="false" ht="15" hidden="false" customHeight="false" outlineLevel="0" collapsed="false">
      <c r="A135" s="68" t="str">
        <f aca="false">IF(Data_Engine!$A135="","",Data_Engine!$A135)</f>
        <v>Fax</v>
      </c>
      <c r="B135" s="42" t="str">
        <f aca="false">IF($A135="","",Data_Engine!$B135)</f>
        <v>Expenses</v>
      </c>
      <c r="C135" s="42" t="str">
        <f aca="false">IF($A135="","",Data_Engine!$D135)</f>
        <v>Unallocated</v>
      </c>
      <c r="D135" s="69" t="n">
        <f aca="false">IF($A135="","",Data_Engine!$AD135)</f>
        <v>0</v>
      </c>
      <c r="E135" s="69" t="n">
        <f aca="false">IF($A135="","",Data_Engine!$AE135)</f>
        <v>0</v>
      </c>
      <c r="F135" s="73" t="n">
        <f aca="false">IF($A135="","",$D135-$E135)</f>
        <v>0</v>
      </c>
      <c r="G135" s="72" t="str">
        <f aca="false">IF($A135="","",IF(ROUND($E135,2)=0,"n/a",$F135/ABS($E135)))</f>
        <v>n/a</v>
      </c>
      <c r="H135" s="70" t="n">
        <f aca="false">IF($A135="","",Data_Engine!$AH135)</f>
        <v>0</v>
      </c>
      <c r="I135" s="69" t="n">
        <f aca="false">IF($A135="","",Data_Engine!$AI135)</f>
        <v>0</v>
      </c>
      <c r="J135" s="71" t="n">
        <f aca="false">IF($A135="","",$H135-$I135)</f>
        <v>0</v>
      </c>
      <c r="K135" s="72" t="str">
        <f aca="false">IF($A135="","",IF(ROUND($I135,2)=0,"n/a",$J135/ABS($I135)))</f>
        <v>n/a</v>
      </c>
      <c r="L135" s="69" t="n">
        <f aca="false">IF($A135="","",Data_Engine!$AJ135)</f>
        <v>0</v>
      </c>
      <c r="M135" s="73" t="n">
        <f aca="false">IF($A135="","",IF(Setup!$B$8=0,0,$H135/Setup!$B$8*12))</f>
        <v>0</v>
      </c>
      <c r="N135" s="72" t="str">
        <f aca="false">IF($A135="","",IF(ROUND($L135,2)=0,"n/a",($M135-$L135)/ABS($L135)))</f>
        <v>n/a</v>
      </c>
      <c r="O135" s="76" t="str">
        <f aca="false">IF($A135="","",IF(AND(ROUND($H135,2)=0,ROUND($I135,2)=0),"Dormant",IF(ROUND($I135,2)=0,"New this year",IF(ROUND($H135,2)=0,"Ceased",IF($J135&gt;0,"Increase",IF($J135&lt;0,"Decrease","Flat"))))))</f>
        <v>Dormant</v>
      </c>
      <c r="P135" s="74" t="str">
        <f aca="false">IF($A135="","",IF(AND(ROUND($H135,2)=0,ROUND($I135,2)=0),"No Activity",IF(ABS($J135)&lt;Setup!$B$14,"Low",IF(ROUND($I135,2)=0,"High",IF(OR(ABS($J135/$I135)&gt;=Setup!$B$16,ABS($J135)&gt;=Setup!$B$17),"High",IF(ABS($J135/$I135)&gt;=Setup!$B$15,"Medium","Low"))))))</f>
        <v>No Activity</v>
      </c>
      <c r="Q135" s="57"/>
      <c r="R135" s="75" t="n">
        <f aca="false">IF($A135="",-1000000000000000,IF(ROUND(ABS($J135),0)=0,-1000000000000000,ABS($J135)+ROW()/1000000))</f>
        <v>-1000000000000000</v>
      </c>
    </row>
    <row r="136" customFormat="false" ht="15" hidden="false" customHeight="false" outlineLevel="0" collapsed="false">
      <c r="A136" s="68" t="str">
        <f aca="false">IF(Data_Engine!$A136="","",Data_Engine!$A136)</f>
        <v>Filing Fee</v>
      </c>
      <c r="B136" s="42" t="str">
        <f aca="false">IF($A136="","",Data_Engine!$B136)</f>
        <v>Expenses</v>
      </c>
      <c r="C136" s="42" t="str">
        <f aca="false">IF($A136="","",Data_Engine!$D136)</f>
        <v>Unallocated</v>
      </c>
      <c r="D136" s="69" t="n">
        <f aca="false">IF($A136="","",Data_Engine!$AD136)</f>
        <v>0</v>
      </c>
      <c r="E136" s="69" t="n">
        <f aca="false">IF($A136="","",Data_Engine!$AE136)</f>
        <v>0</v>
      </c>
      <c r="F136" s="73" t="n">
        <f aca="false">IF($A136="","",$D136-$E136)</f>
        <v>0</v>
      </c>
      <c r="G136" s="72" t="str">
        <f aca="false">IF($A136="","",IF(ROUND($E136,2)=0,"n/a",$F136/ABS($E136)))</f>
        <v>n/a</v>
      </c>
      <c r="H136" s="70" t="n">
        <f aca="false">IF($A136="","",Data_Engine!$AH136)</f>
        <v>0</v>
      </c>
      <c r="I136" s="69" t="n">
        <f aca="false">IF($A136="","",Data_Engine!$AI136)</f>
        <v>0</v>
      </c>
      <c r="J136" s="71" t="n">
        <f aca="false">IF($A136="","",$H136-$I136)</f>
        <v>0</v>
      </c>
      <c r="K136" s="72" t="str">
        <f aca="false">IF($A136="","",IF(ROUND($I136,2)=0,"n/a",$J136/ABS($I136)))</f>
        <v>n/a</v>
      </c>
      <c r="L136" s="69" t="n">
        <f aca="false">IF($A136="","",Data_Engine!$AJ136)</f>
        <v>0</v>
      </c>
      <c r="M136" s="73" t="n">
        <f aca="false">IF($A136="","",IF(Setup!$B$8=0,0,$H136/Setup!$B$8*12))</f>
        <v>0</v>
      </c>
      <c r="N136" s="72" t="str">
        <f aca="false">IF($A136="","",IF(ROUND($L136,2)=0,"n/a",($M136-$L136)/ABS($L136)))</f>
        <v>n/a</v>
      </c>
      <c r="O136" s="76" t="str">
        <f aca="false">IF($A136="","",IF(AND(ROUND($H136,2)=0,ROUND($I136,2)=0),"Dormant",IF(ROUND($I136,2)=0,"New this year",IF(ROUND($H136,2)=0,"Ceased",IF($J136&gt;0,"Increase",IF($J136&lt;0,"Decrease","Flat"))))))</f>
        <v>Dormant</v>
      </c>
      <c r="P136" s="74" t="str">
        <f aca="false">IF($A136="","",IF(AND(ROUND($H136,2)=0,ROUND($I136,2)=0),"No Activity",IF(ABS($J136)&lt;Setup!$B$14,"Low",IF(ROUND($I136,2)=0,"High",IF(OR(ABS($J136/$I136)&gt;=Setup!$B$16,ABS($J136)&gt;=Setup!$B$17),"High",IF(ABS($J136/$I136)&gt;=Setup!$B$15,"Medium","Low"))))))</f>
        <v>No Activity</v>
      </c>
      <c r="Q136" s="57"/>
      <c r="R136" s="75" t="n">
        <f aca="false">IF($A136="",-1000000000000000,IF(ROUND(ABS($J136),0)=0,-1000000000000000,ABS($J136)+ROW()/1000000))</f>
        <v>-1000000000000000</v>
      </c>
    </row>
    <row r="137" customFormat="false" ht="15" hidden="false" customHeight="false" outlineLevel="0" collapsed="false">
      <c r="A137" s="68" t="str">
        <f aca="false">IF(Data_Engine!$A137="","",Data_Engine!$A137)</f>
        <v>Foreign Currency Translation*</v>
      </c>
      <c r="B137" s="42" t="str">
        <f aca="false">IF($A137="","",Data_Engine!$B137)</f>
        <v>Expenses</v>
      </c>
      <c r="C137" s="42" t="str">
        <f aca="false">IF($A137="","",Data_Engine!$D137)</f>
        <v>Unallocated</v>
      </c>
      <c r="D137" s="69" t="n">
        <f aca="false">IF($A137="","",Data_Engine!$AD137)</f>
        <v>0</v>
      </c>
      <c r="E137" s="69" t="n">
        <f aca="false">IF($A137="","",Data_Engine!$AE137)</f>
        <v>0</v>
      </c>
      <c r="F137" s="73" t="n">
        <f aca="false">IF($A137="","",$D137-$E137)</f>
        <v>0</v>
      </c>
      <c r="G137" s="72" t="str">
        <f aca="false">IF($A137="","",IF(ROUND($E137,2)=0,"n/a",$F137/ABS($E137)))</f>
        <v>n/a</v>
      </c>
      <c r="H137" s="70" t="n">
        <f aca="false">IF($A137="","",Data_Engine!$AH137)</f>
        <v>0</v>
      </c>
      <c r="I137" s="69" t="n">
        <f aca="false">IF($A137="","",Data_Engine!$AI137)</f>
        <v>0</v>
      </c>
      <c r="J137" s="71" t="n">
        <f aca="false">IF($A137="","",$H137-$I137)</f>
        <v>0</v>
      </c>
      <c r="K137" s="72" t="str">
        <f aca="false">IF($A137="","",IF(ROUND($I137,2)=0,"n/a",$J137/ABS($I137)))</f>
        <v>n/a</v>
      </c>
      <c r="L137" s="69" t="n">
        <f aca="false">IF($A137="","",Data_Engine!$AJ137)</f>
        <v>0</v>
      </c>
      <c r="M137" s="73" t="n">
        <f aca="false">IF($A137="","",IF(Setup!$B$8=0,0,$H137/Setup!$B$8*12))</f>
        <v>0</v>
      </c>
      <c r="N137" s="72" t="str">
        <f aca="false">IF($A137="","",IF(ROUND($L137,2)=0,"n/a",($M137-$L137)/ABS($L137)))</f>
        <v>n/a</v>
      </c>
      <c r="O137" s="76" t="str">
        <f aca="false">IF($A137="","",IF(AND(ROUND($H137,2)=0,ROUND($I137,2)=0),"Dormant",IF(ROUND($I137,2)=0,"New this year",IF(ROUND($H137,2)=0,"Ceased",IF($J137&gt;0,"Increase",IF($J137&lt;0,"Decrease","Flat"))))))</f>
        <v>Dormant</v>
      </c>
      <c r="P137" s="74" t="str">
        <f aca="false">IF($A137="","",IF(AND(ROUND($H137,2)=0,ROUND($I137,2)=0),"No Activity",IF(ABS($J137)&lt;Setup!$B$14,"Low",IF(ROUND($I137,2)=0,"High",IF(OR(ABS($J137/$I137)&gt;=Setup!$B$16,ABS($J137)&gt;=Setup!$B$17),"High",IF(ABS($J137/$I137)&gt;=Setup!$B$15,"Medium","Low"))))))</f>
        <v>No Activity</v>
      </c>
      <c r="Q137" s="57"/>
      <c r="R137" s="75" t="n">
        <f aca="false">IF($A137="",-1000000000000000,IF(ROUND(ABS($J137),0)=0,-1000000000000000,ABS($J137)+ROW()/1000000))</f>
        <v>-1000000000000000</v>
      </c>
    </row>
    <row r="138" customFormat="false" ht="15" hidden="false" customHeight="false" outlineLevel="0" collapsed="false">
      <c r="A138" s="68" t="str">
        <f aca="false">IF(Data_Engine!$A138="","",Data_Engine!$A138)</f>
        <v>Freight Paid</v>
      </c>
      <c r="B138" s="42" t="str">
        <f aca="false">IF($A138="","",Data_Engine!$B138)</f>
        <v>Expenses</v>
      </c>
      <c r="C138" s="42" t="str">
        <f aca="false">IF($A138="","",Data_Engine!$D138)</f>
        <v>Unallocated</v>
      </c>
      <c r="D138" s="69" t="n">
        <f aca="false">IF($A138="","",Data_Engine!$AD138)</f>
        <v>0</v>
      </c>
      <c r="E138" s="69" t="n">
        <f aca="false">IF($A138="","",Data_Engine!$AE138)</f>
        <v>0</v>
      </c>
      <c r="F138" s="73" t="n">
        <f aca="false">IF($A138="","",$D138-$E138)</f>
        <v>0</v>
      </c>
      <c r="G138" s="72" t="str">
        <f aca="false">IF($A138="","",IF(ROUND($E138,2)=0,"n/a",$F138/ABS($E138)))</f>
        <v>n/a</v>
      </c>
      <c r="H138" s="70" t="n">
        <f aca="false">IF($A138="","",Data_Engine!$AH138)</f>
        <v>0</v>
      </c>
      <c r="I138" s="69" t="n">
        <f aca="false">IF($A138="","",Data_Engine!$AI138)</f>
        <v>0</v>
      </c>
      <c r="J138" s="71" t="n">
        <f aca="false">IF($A138="","",$H138-$I138)</f>
        <v>0</v>
      </c>
      <c r="K138" s="72" t="str">
        <f aca="false">IF($A138="","",IF(ROUND($I138,2)=0,"n/a",$J138/ABS($I138)))</f>
        <v>n/a</v>
      </c>
      <c r="L138" s="69" t="n">
        <f aca="false">IF($A138="","",Data_Engine!$AJ138)</f>
        <v>0</v>
      </c>
      <c r="M138" s="73" t="n">
        <f aca="false">IF($A138="","",IF(Setup!$B$8=0,0,$H138/Setup!$B$8*12))</f>
        <v>0</v>
      </c>
      <c r="N138" s="72" t="str">
        <f aca="false">IF($A138="","",IF(ROUND($L138,2)=0,"n/a",($M138-$L138)/ABS($L138)))</f>
        <v>n/a</v>
      </c>
      <c r="O138" s="76" t="str">
        <f aca="false">IF($A138="","",IF(AND(ROUND($H138,2)=0,ROUND($I138,2)=0),"Dormant",IF(ROUND($I138,2)=0,"New this year",IF(ROUND($H138,2)=0,"Ceased",IF($J138&gt;0,"Increase",IF($J138&lt;0,"Decrease","Flat"))))))</f>
        <v>Dormant</v>
      </c>
      <c r="P138" s="74" t="str">
        <f aca="false">IF($A138="","",IF(AND(ROUND($H138,2)=0,ROUND($I138,2)=0),"No Activity",IF(ABS($J138)&lt;Setup!$B$14,"Low",IF(ROUND($I138,2)=0,"High",IF(OR(ABS($J138/$I138)&gt;=Setup!$B$16,ABS($J138)&gt;=Setup!$B$17),"High",IF(ABS($J138/$I138)&gt;=Setup!$B$15,"Medium","Low"))))))</f>
        <v>No Activity</v>
      </c>
      <c r="Q138" s="57"/>
      <c r="R138" s="75" t="n">
        <f aca="false">IF($A138="",-1000000000000000,IF(ROUND(ABS($J138),0)=0,-1000000000000000,ABS($J138)+ROW()/1000000))</f>
        <v>-1000000000000000</v>
      </c>
    </row>
    <row r="139" customFormat="false" ht="15" hidden="false" customHeight="false" outlineLevel="0" collapsed="false">
      <c r="A139" s="68" t="str">
        <f aca="false">IF(Data_Engine!$A139="","",Data_Engine!$A139)</f>
        <v>Fringe Benefits Tax</v>
      </c>
      <c r="B139" s="42" t="str">
        <f aca="false">IF($A139="","",Data_Engine!$B139)</f>
        <v>Expenses</v>
      </c>
      <c r="C139" s="42" t="str">
        <f aca="false">IF($A139="","",Data_Engine!$D139)</f>
        <v>Unallocated</v>
      </c>
      <c r="D139" s="69" t="n">
        <f aca="false">IF($A139="","",Data_Engine!$AD139)</f>
        <v>0</v>
      </c>
      <c r="E139" s="69" t="n">
        <f aca="false">IF($A139="","",Data_Engine!$AE139)</f>
        <v>0</v>
      </c>
      <c r="F139" s="73" t="n">
        <f aca="false">IF($A139="","",$D139-$E139)</f>
        <v>0</v>
      </c>
      <c r="G139" s="72" t="str">
        <f aca="false">IF($A139="","",IF(ROUND($E139,2)=0,"n/a",$F139/ABS($E139)))</f>
        <v>n/a</v>
      </c>
      <c r="H139" s="70" t="n">
        <f aca="false">IF($A139="","",Data_Engine!$AH139)</f>
        <v>0</v>
      </c>
      <c r="I139" s="69" t="n">
        <f aca="false">IF($A139="","",Data_Engine!$AI139)</f>
        <v>0</v>
      </c>
      <c r="J139" s="71" t="n">
        <f aca="false">IF($A139="","",$H139-$I139)</f>
        <v>0</v>
      </c>
      <c r="K139" s="72" t="str">
        <f aca="false">IF($A139="","",IF(ROUND($I139,2)=0,"n/a",$J139/ABS($I139)))</f>
        <v>n/a</v>
      </c>
      <c r="L139" s="69" t="n">
        <f aca="false">IF($A139="","",Data_Engine!$AJ139)</f>
        <v>0</v>
      </c>
      <c r="M139" s="73" t="n">
        <f aca="false">IF($A139="","",IF(Setup!$B$8=0,0,$H139/Setup!$B$8*12))</f>
        <v>0</v>
      </c>
      <c r="N139" s="72" t="str">
        <f aca="false">IF($A139="","",IF(ROUND($L139,2)=0,"n/a",($M139-$L139)/ABS($L139)))</f>
        <v>n/a</v>
      </c>
      <c r="O139" s="76" t="str">
        <f aca="false">IF($A139="","",IF(AND(ROUND($H139,2)=0,ROUND($I139,2)=0),"Dormant",IF(ROUND($I139,2)=0,"New this year",IF(ROUND($H139,2)=0,"Ceased",IF($J139&gt;0,"Increase",IF($J139&lt;0,"Decrease","Flat"))))))</f>
        <v>Dormant</v>
      </c>
      <c r="P139" s="74" t="str">
        <f aca="false">IF($A139="","",IF(AND(ROUND($H139,2)=0,ROUND($I139,2)=0),"No Activity",IF(ABS($J139)&lt;Setup!$B$14,"Low",IF(ROUND($I139,2)=0,"High",IF(OR(ABS($J139/$I139)&gt;=Setup!$B$16,ABS($J139)&gt;=Setup!$B$17),"High",IF(ABS($J139/$I139)&gt;=Setup!$B$15,"Medium","Low"))))))</f>
        <v>No Activity</v>
      </c>
      <c r="Q139" s="57"/>
      <c r="R139" s="75" t="n">
        <f aca="false">IF($A139="",-1000000000000000,IF(ROUND(ABS($J139),0)=0,-1000000000000000,ABS($J139)+ROW()/1000000))</f>
        <v>-1000000000000000</v>
      </c>
    </row>
    <row r="140" customFormat="false" ht="15" hidden="false" customHeight="false" outlineLevel="0" collapsed="false">
      <c r="A140" s="68" t="str">
        <f aca="false">IF(Data_Engine!$A140="","",Data_Engine!$A140)</f>
        <v>IT Network Service &amp; Support</v>
      </c>
      <c r="B140" s="42" t="str">
        <f aca="false">IF($A140="","",Data_Engine!$B140)</f>
        <v>Expenses</v>
      </c>
      <c r="C140" s="42" t="str">
        <f aca="false">IF($A140="","",Data_Engine!$D140)</f>
        <v>Unallocated</v>
      </c>
      <c r="D140" s="69" t="n">
        <f aca="false">IF($A140="","",Data_Engine!$AD140)</f>
        <v>0</v>
      </c>
      <c r="E140" s="69" t="n">
        <f aca="false">IF($A140="","",Data_Engine!$AE140)</f>
        <v>0</v>
      </c>
      <c r="F140" s="73" t="n">
        <f aca="false">IF($A140="","",$D140-$E140)</f>
        <v>0</v>
      </c>
      <c r="G140" s="72" t="str">
        <f aca="false">IF($A140="","",IF(ROUND($E140,2)=0,"n/a",$F140/ABS($E140)))</f>
        <v>n/a</v>
      </c>
      <c r="H140" s="70" t="n">
        <f aca="false">IF($A140="","",Data_Engine!$AH140)</f>
        <v>0</v>
      </c>
      <c r="I140" s="69" t="n">
        <f aca="false">IF($A140="","",Data_Engine!$AI140)</f>
        <v>0</v>
      </c>
      <c r="J140" s="71" t="n">
        <f aca="false">IF($A140="","",$H140-$I140)</f>
        <v>0</v>
      </c>
      <c r="K140" s="72" t="str">
        <f aca="false">IF($A140="","",IF(ROUND($I140,2)=0,"n/a",$J140/ABS($I140)))</f>
        <v>n/a</v>
      </c>
      <c r="L140" s="69" t="n">
        <f aca="false">IF($A140="","",Data_Engine!$AJ140)</f>
        <v>0</v>
      </c>
      <c r="M140" s="73" t="n">
        <f aca="false">IF($A140="","",IF(Setup!$B$8=0,0,$H140/Setup!$B$8*12))</f>
        <v>0</v>
      </c>
      <c r="N140" s="72" t="str">
        <f aca="false">IF($A140="","",IF(ROUND($L140,2)=0,"n/a",($M140-$L140)/ABS($L140)))</f>
        <v>n/a</v>
      </c>
      <c r="O140" s="76" t="str">
        <f aca="false">IF($A140="","",IF(AND(ROUND($H140,2)=0,ROUND($I140,2)=0),"Dormant",IF(ROUND($I140,2)=0,"New this year",IF(ROUND($H140,2)=0,"Ceased",IF($J140&gt;0,"Increase",IF($J140&lt;0,"Decrease","Flat"))))))</f>
        <v>Dormant</v>
      </c>
      <c r="P140" s="74" t="str">
        <f aca="false">IF($A140="","",IF(AND(ROUND($H140,2)=0,ROUND($I140,2)=0),"No Activity",IF(ABS($J140)&lt;Setup!$B$14,"Low",IF(ROUND($I140,2)=0,"High",IF(OR(ABS($J140/$I140)&gt;=Setup!$B$16,ABS($J140)&gt;=Setup!$B$17),"High",IF(ABS($J140/$I140)&gt;=Setup!$B$15,"Medium","Low"))))))</f>
        <v>No Activity</v>
      </c>
      <c r="Q140" s="57"/>
      <c r="R140" s="75" t="n">
        <f aca="false">IF($A140="",-1000000000000000,IF(ROUND(ABS($J140),0)=0,-1000000000000000,ABS($J140)+ROW()/1000000))</f>
        <v>-1000000000000000</v>
      </c>
    </row>
    <row r="141" customFormat="false" ht="15" hidden="false" customHeight="false" outlineLevel="0" collapsed="false">
      <c r="A141" s="68" t="str">
        <f aca="false">IF(Data_Engine!$A141="","",Data_Engine!$A141)</f>
        <v>Income Tax Expense</v>
      </c>
      <c r="B141" s="42" t="str">
        <f aca="false">IF($A141="","",Data_Engine!$B141)</f>
        <v>Expenses</v>
      </c>
      <c r="C141" s="42" t="str">
        <f aca="false">IF($A141="","",Data_Engine!$D141)</f>
        <v>Unallocated</v>
      </c>
      <c r="D141" s="69" t="n">
        <f aca="false">IF($A141="","",Data_Engine!$AD141)</f>
        <v>0</v>
      </c>
      <c r="E141" s="69" t="n">
        <f aca="false">IF($A141="","",Data_Engine!$AE141)</f>
        <v>0</v>
      </c>
      <c r="F141" s="73" t="n">
        <f aca="false">IF($A141="","",$D141-$E141)</f>
        <v>0</v>
      </c>
      <c r="G141" s="72" t="str">
        <f aca="false">IF($A141="","",IF(ROUND($E141,2)=0,"n/a",$F141/ABS($E141)))</f>
        <v>n/a</v>
      </c>
      <c r="H141" s="70" t="n">
        <f aca="false">IF($A141="","",Data_Engine!$AH141)</f>
        <v>0</v>
      </c>
      <c r="I141" s="69" t="n">
        <f aca="false">IF($A141="","",Data_Engine!$AI141)</f>
        <v>0</v>
      </c>
      <c r="J141" s="71" t="n">
        <f aca="false">IF($A141="","",$H141-$I141)</f>
        <v>0</v>
      </c>
      <c r="K141" s="72" t="str">
        <f aca="false">IF($A141="","",IF(ROUND($I141,2)=0,"n/a",$J141/ABS($I141)))</f>
        <v>n/a</v>
      </c>
      <c r="L141" s="69" t="n">
        <f aca="false">IF($A141="","",Data_Engine!$AJ141)</f>
        <v>0</v>
      </c>
      <c r="M141" s="73" t="n">
        <f aca="false">IF($A141="","",IF(Setup!$B$8=0,0,$H141/Setup!$B$8*12))</f>
        <v>0</v>
      </c>
      <c r="N141" s="72" t="str">
        <f aca="false">IF($A141="","",IF(ROUND($L141,2)=0,"n/a",($M141-$L141)/ABS($L141)))</f>
        <v>n/a</v>
      </c>
      <c r="O141" s="76" t="str">
        <f aca="false">IF($A141="","",IF(AND(ROUND($H141,2)=0,ROUND($I141,2)=0),"Dormant",IF(ROUND($I141,2)=0,"New this year",IF(ROUND($H141,2)=0,"Ceased",IF($J141&gt;0,"Increase",IF($J141&lt;0,"Decrease","Flat"))))))</f>
        <v>Dormant</v>
      </c>
      <c r="P141" s="74" t="str">
        <f aca="false">IF($A141="","",IF(AND(ROUND($H141,2)=0,ROUND($I141,2)=0),"No Activity",IF(ABS($J141)&lt;Setup!$B$14,"Low",IF(ROUND($I141,2)=0,"High",IF(OR(ABS($J141/$I141)&gt;=Setup!$B$16,ABS($J141)&gt;=Setup!$B$17),"High",IF(ABS($J141/$I141)&gt;=Setup!$B$15,"Medium","Low"))))))</f>
        <v>No Activity</v>
      </c>
      <c r="Q141" s="57"/>
      <c r="R141" s="75" t="n">
        <f aca="false">IF($A141="",-1000000000000000,IF(ROUND(ABS($J141),0)=0,-1000000000000000,ABS($J141)+ROW()/1000000))</f>
        <v>-1000000000000000</v>
      </c>
    </row>
    <row r="142" customFormat="false" ht="15" hidden="false" customHeight="false" outlineLevel="0" collapsed="false">
      <c r="A142" s="68" t="str">
        <f aca="false">IF(Data_Engine!$A142="","",Data_Engine!$A142)</f>
        <v>Indirect Salaries - ADMIN</v>
      </c>
      <c r="B142" s="42" t="str">
        <f aca="false">IF($A142="","",Data_Engine!$B142)</f>
        <v>Expenses</v>
      </c>
      <c r="C142" s="42" t="str">
        <f aca="false">IF($A142="","",Data_Engine!$D142)</f>
        <v>Admin</v>
      </c>
      <c r="D142" s="69" t="n">
        <f aca="false">IF($A142="","",Data_Engine!$AD142)</f>
        <v>0</v>
      </c>
      <c r="E142" s="69" t="n">
        <f aca="false">IF($A142="","",Data_Engine!$AE142)</f>
        <v>0</v>
      </c>
      <c r="F142" s="73" t="n">
        <f aca="false">IF($A142="","",$D142-$E142)</f>
        <v>0</v>
      </c>
      <c r="G142" s="72" t="str">
        <f aca="false">IF($A142="","",IF(ROUND($E142,2)=0,"n/a",$F142/ABS($E142)))</f>
        <v>n/a</v>
      </c>
      <c r="H142" s="70" t="n">
        <f aca="false">IF($A142="","",Data_Engine!$AH142)</f>
        <v>0</v>
      </c>
      <c r="I142" s="69" t="n">
        <f aca="false">IF($A142="","",Data_Engine!$AI142)</f>
        <v>0</v>
      </c>
      <c r="J142" s="71" t="n">
        <f aca="false">IF($A142="","",$H142-$I142)</f>
        <v>0</v>
      </c>
      <c r="K142" s="72" t="str">
        <f aca="false">IF($A142="","",IF(ROUND($I142,2)=0,"n/a",$J142/ABS($I142)))</f>
        <v>n/a</v>
      </c>
      <c r="L142" s="69" t="n">
        <f aca="false">IF($A142="","",Data_Engine!$AJ142)</f>
        <v>0</v>
      </c>
      <c r="M142" s="73" t="n">
        <f aca="false">IF($A142="","",IF(Setup!$B$8=0,0,$H142/Setup!$B$8*12))</f>
        <v>0</v>
      </c>
      <c r="N142" s="72" t="str">
        <f aca="false">IF($A142="","",IF(ROUND($L142,2)=0,"n/a",($M142-$L142)/ABS($L142)))</f>
        <v>n/a</v>
      </c>
      <c r="O142" s="76" t="str">
        <f aca="false">IF($A142="","",IF(AND(ROUND($H142,2)=0,ROUND($I142,2)=0),"Dormant",IF(ROUND($I142,2)=0,"New this year",IF(ROUND($H142,2)=0,"Ceased",IF($J142&gt;0,"Increase",IF($J142&lt;0,"Decrease","Flat"))))))</f>
        <v>Dormant</v>
      </c>
      <c r="P142" s="74" t="str">
        <f aca="false">IF($A142="","",IF(AND(ROUND($H142,2)=0,ROUND($I142,2)=0),"No Activity",IF(ABS($J142)&lt;Setup!$B$14,"Low",IF(ROUND($I142,2)=0,"High",IF(OR(ABS($J142/$I142)&gt;=Setup!$B$16,ABS($J142)&gt;=Setup!$B$17),"High",IF(ABS($J142/$I142)&gt;=Setup!$B$15,"Medium","Low"))))))</f>
        <v>No Activity</v>
      </c>
      <c r="Q142" s="57"/>
      <c r="R142" s="75" t="n">
        <f aca="false">IF($A142="",-1000000000000000,IF(ROUND(ABS($J142),0)=0,-1000000000000000,ABS($J142)+ROW()/1000000))</f>
        <v>-1000000000000000</v>
      </c>
    </row>
    <row r="143" customFormat="false" ht="15" hidden="false" customHeight="false" outlineLevel="0" collapsed="false">
      <c r="A143" s="68" t="str">
        <f aca="false">IF(Data_Engine!$A143="","",Data_Engine!$A143)</f>
        <v>Indirect Salaries - CONS</v>
      </c>
      <c r="B143" s="42" t="str">
        <f aca="false">IF($A143="","",Data_Engine!$B143)</f>
        <v>Expenses</v>
      </c>
      <c r="C143" s="42" t="str">
        <f aca="false">IF($A143="","",Data_Engine!$D143)</f>
        <v>Consulting</v>
      </c>
      <c r="D143" s="69" t="n">
        <f aca="false">IF($A143="","",Data_Engine!$AD143)</f>
        <v>0</v>
      </c>
      <c r="E143" s="69" t="n">
        <f aca="false">IF($A143="","",Data_Engine!$AE143)</f>
        <v>0</v>
      </c>
      <c r="F143" s="73" t="n">
        <f aca="false">IF($A143="","",$D143-$E143)</f>
        <v>0</v>
      </c>
      <c r="G143" s="72" t="str">
        <f aca="false">IF($A143="","",IF(ROUND($E143,2)=0,"n/a",$F143/ABS($E143)))</f>
        <v>n/a</v>
      </c>
      <c r="H143" s="70" t="n">
        <f aca="false">IF($A143="","",Data_Engine!$AH143)</f>
        <v>0</v>
      </c>
      <c r="I143" s="69" t="n">
        <f aca="false">IF($A143="","",Data_Engine!$AI143)</f>
        <v>0</v>
      </c>
      <c r="J143" s="71" t="n">
        <f aca="false">IF($A143="","",$H143-$I143)</f>
        <v>0</v>
      </c>
      <c r="K143" s="72" t="str">
        <f aca="false">IF($A143="","",IF(ROUND($I143,2)=0,"n/a",$J143/ABS($I143)))</f>
        <v>n/a</v>
      </c>
      <c r="L143" s="69" t="n">
        <f aca="false">IF($A143="","",Data_Engine!$AJ143)</f>
        <v>0</v>
      </c>
      <c r="M143" s="73" t="n">
        <f aca="false">IF($A143="","",IF(Setup!$B$8=0,0,$H143/Setup!$B$8*12))</f>
        <v>0</v>
      </c>
      <c r="N143" s="72" t="str">
        <f aca="false">IF($A143="","",IF(ROUND($L143,2)=0,"n/a",($M143-$L143)/ABS($L143)))</f>
        <v>n/a</v>
      </c>
      <c r="O143" s="76" t="str">
        <f aca="false">IF($A143="","",IF(AND(ROUND($H143,2)=0,ROUND($I143,2)=0),"Dormant",IF(ROUND($I143,2)=0,"New this year",IF(ROUND($H143,2)=0,"Ceased",IF($J143&gt;0,"Increase",IF($J143&lt;0,"Decrease","Flat"))))))</f>
        <v>Dormant</v>
      </c>
      <c r="P143" s="74" t="str">
        <f aca="false">IF($A143="","",IF(AND(ROUND($H143,2)=0,ROUND($I143,2)=0),"No Activity",IF(ABS($J143)&lt;Setup!$B$14,"Low",IF(ROUND($I143,2)=0,"High",IF(OR(ABS($J143/$I143)&gt;=Setup!$B$16,ABS($J143)&gt;=Setup!$B$17),"High",IF(ABS($J143/$I143)&gt;=Setup!$B$15,"Medium","Low"))))))</f>
        <v>No Activity</v>
      </c>
      <c r="Q143" s="57"/>
      <c r="R143" s="75" t="n">
        <f aca="false">IF($A143="",-1000000000000000,IF(ROUND(ABS($J143),0)=0,-1000000000000000,ABS($J143)+ROW()/1000000))</f>
        <v>-1000000000000000</v>
      </c>
    </row>
    <row r="144" customFormat="false" ht="15" hidden="false" customHeight="false" outlineLevel="0" collapsed="false">
      <c r="A144" s="68" t="str">
        <f aca="false">IF(Data_Engine!$A144="","",Data_Engine!$A144)</f>
        <v>Indirect Salaries - INTEGRATION</v>
      </c>
      <c r="B144" s="42" t="str">
        <f aca="false">IF($A144="","",Data_Engine!$B144)</f>
        <v>Expenses</v>
      </c>
      <c r="C144" s="42" t="str">
        <f aca="false">IF($A144="","",Data_Engine!$D144)</f>
        <v>Integration</v>
      </c>
      <c r="D144" s="69" t="n">
        <f aca="false">IF($A144="","",Data_Engine!$AD144)</f>
        <v>0</v>
      </c>
      <c r="E144" s="69" t="n">
        <f aca="false">IF($A144="","",Data_Engine!$AE144)</f>
        <v>0</v>
      </c>
      <c r="F144" s="73" t="n">
        <f aca="false">IF($A144="","",$D144-$E144)</f>
        <v>0</v>
      </c>
      <c r="G144" s="72" t="str">
        <f aca="false">IF($A144="","",IF(ROUND($E144,2)=0,"n/a",$F144/ABS($E144)))</f>
        <v>n/a</v>
      </c>
      <c r="H144" s="70" t="n">
        <f aca="false">IF($A144="","",Data_Engine!$AH144)</f>
        <v>0</v>
      </c>
      <c r="I144" s="69" t="n">
        <f aca="false">IF($A144="","",Data_Engine!$AI144)</f>
        <v>0</v>
      </c>
      <c r="J144" s="71" t="n">
        <f aca="false">IF($A144="","",$H144-$I144)</f>
        <v>0</v>
      </c>
      <c r="K144" s="72" t="str">
        <f aca="false">IF($A144="","",IF(ROUND($I144,2)=0,"n/a",$J144/ABS($I144)))</f>
        <v>n/a</v>
      </c>
      <c r="L144" s="69" t="n">
        <f aca="false">IF($A144="","",Data_Engine!$AJ144)</f>
        <v>0</v>
      </c>
      <c r="M144" s="73" t="n">
        <f aca="false">IF($A144="","",IF(Setup!$B$8=0,0,$H144/Setup!$B$8*12))</f>
        <v>0</v>
      </c>
      <c r="N144" s="72" t="str">
        <f aca="false">IF($A144="","",IF(ROUND($L144,2)=0,"n/a",($M144-$L144)/ABS($L144)))</f>
        <v>n/a</v>
      </c>
      <c r="O144" s="76" t="str">
        <f aca="false">IF($A144="","",IF(AND(ROUND($H144,2)=0,ROUND($I144,2)=0),"Dormant",IF(ROUND($I144,2)=0,"New this year",IF(ROUND($H144,2)=0,"Ceased",IF($J144&gt;0,"Increase",IF($J144&lt;0,"Decrease","Flat"))))))</f>
        <v>Dormant</v>
      </c>
      <c r="P144" s="74" t="str">
        <f aca="false">IF($A144="","",IF(AND(ROUND($H144,2)=0,ROUND($I144,2)=0),"No Activity",IF(ABS($J144)&lt;Setup!$B$14,"Low",IF(ROUND($I144,2)=0,"High",IF(OR(ABS($J144/$I144)&gt;=Setup!$B$16,ABS($J144)&gt;=Setup!$B$17),"High",IF(ABS($J144/$I144)&gt;=Setup!$B$15,"Medium","Low"))))))</f>
        <v>No Activity</v>
      </c>
      <c r="Q144" s="57"/>
      <c r="R144" s="75" t="n">
        <f aca="false">IF($A144="",-1000000000000000,IF(ROUND(ABS($J144),0)=0,-1000000000000000,ABS($J144)+ROW()/1000000))</f>
        <v>-1000000000000000</v>
      </c>
    </row>
    <row r="145" customFormat="false" ht="15" hidden="false" customHeight="false" outlineLevel="0" collapsed="false">
      <c r="A145" s="68" t="str">
        <f aca="false">IF(Data_Engine!$A145="","",Data_Engine!$A145)</f>
        <v>Indirect Salaries - ONS</v>
      </c>
      <c r="B145" s="42" t="str">
        <f aca="false">IF($A145="","",Data_Engine!$B145)</f>
        <v>Expenses</v>
      </c>
      <c r="C145" s="42" t="str">
        <f aca="false">IF($A145="","",Data_Engine!$D145)</f>
        <v>Onsite</v>
      </c>
      <c r="D145" s="69" t="n">
        <f aca="false">IF($A145="","",Data_Engine!$AD145)</f>
        <v>0</v>
      </c>
      <c r="E145" s="69" t="n">
        <f aca="false">IF($A145="","",Data_Engine!$AE145)</f>
        <v>0</v>
      </c>
      <c r="F145" s="73" t="n">
        <f aca="false">IF($A145="","",$D145-$E145)</f>
        <v>0</v>
      </c>
      <c r="G145" s="72" t="str">
        <f aca="false">IF($A145="","",IF(ROUND($E145,2)=0,"n/a",$F145/ABS($E145)))</f>
        <v>n/a</v>
      </c>
      <c r="H145" s="70" t="n">
        <f aca="false">IF($A145="","",Data_Engine!$AH145)</f>
        <v>0</v>
      </c>
      <c r="I145" s="69" t="n">
        <f aca="false">IF($A145="","",Data_Engine!$AI145)</f>
        <v>0</v>
      </c>
      <c r="J145" s="71" t="n">
        <f aca="false">IF($A145="","",$H145-$I145)</f>
        <v>0</v>
      </c>
      <c r="K145" s="72" t="str">
        <f aca="false">IF($A145="","",IF(ROUND($I145,2)=0,"n/a",$J145/ABS($I145)))</f>
        <v>n/a</v>
      </c>
      <c r="L145" s="69" t="n">
        <f aca="false">IF($A145="","",Data_Engine!$AJ145)</f>
        <v>0</v>
      </c>
      <c r="M145" s="73" t="n">
        <f aca="false">IF($A145="","",IF(Setup!$B$8=0,0,$H145/Setup!$B$8*12))</f>
        <v>0</v>
      </c>
      <c r="N145" s="72" t="str">
        <f aca="false">IF($A145="","",IF(ROUND($L145,2)=0,"n/a",($M145-$L145)/ABS($L145)))</f>
        <v>n/a</v>
      </c>
      <c r="O145" s="76" t="str">
        <f aca="false">IF($A145="","",IF(AND(ROUND($H145,2)=0,ROUND($I145,2)=0),"Dormant",IF(ROUND($I145,2)=0,"New this year",IF(ROUND($H145,2)=0,"Ceased",IF($J145&gt;0,"Increase",IF($J145&lt;0,"Decrease","Flat"))))))</f>
        <v>Dormant</v>
      </c>
      <c r="P145" s="74" t="str">
        <f aca="false">IF($A145="","",IF(AND(ROUND($H145,2)=0,ROUND($I145,2)=0),"No Activity",IF(ABS($J145)&lt;Setup!$B$14,"Low",IF(ROUND($I145,2)=0,"High",IF(OR(ABS($J145/$I145)&gt;=Setup!$B$16,ABS($J145)&gt;=Setup!$B$17),"High",IF(ABS($J145/$I145)&gt;=Setup!$B$15,"Medium","Low"))))))</f>
        <v>No Activity</v>
      </c>
      <c r="Q145" s="57"/>
      <c r="R145" s="75" t="n">
        <f aca="false">IF($A145="",-1000000000000000,IF(ROUND(ABS($J145),0)=0,-1000000000000000,ABS($J145)+ROW()/1000000))</f>
        <v>-1000000000000000</v>
      </c>
    </row>
    <row r="146" customFormat="false" ht="15" hidden="false" customHeight="false" outlineLevel="0" collapsed="false">
      <c r="A146" s="68" t="str">
        <f aca="false">IF(Data_Engine!$A146="","",Data_Engine!$A146)</f>
        <v>Indirect Salaries - PRD</v>
      </c>
      <c r="B146" s="42" t="str">
        <f aca="false">IF($A146="","",Data_Engine!$B146)</f>
        <v>Expenses</v>
      </c>
      <c r="C146" s="42" t="str">
        <f aca="false">IF($A146="","",Data_Engine!$D146)</f>
        <v>Production</v>
      </c>
      <c r="D146" s="69" t="n">
        <f aca="false">IF($A146="","",Data_Engine!$AD146)</f>
        <v>0</v>
      </c>
      <c r="E146" s="69" t="n">
        <f aca="false">IF($A146="","",Data_Engine!$AE146)</f>
        <v>0</v>
      </c>
      <c r="F146" s="73" t="n">
        <f aca="false">IF($A146="","",$D146-$E146)</f>
        <v>0</v>
      </c>
      <c r="G146" s="72" t="str">
        <f aca="false">IF($A146="","",IF(ROUND($E146,2)=0,"n/a",$F146/ABS($E146)))</f>
        <v>n/a</v>
      </c>
      <c r="H146" s="70" t="n">
        <f aca="false">IF($A146="","",Data_Engine!$AH146)</f>
        <v>0</v>
      </c>
      <c r="I146" s="69" t="n">
        <f aca="false">IF($A146="","",Data_Engine!$AI146)</f>
        <v>0</v>
      </c>
      <c r="J146" s="71" t="n">
        <f aca="false">IF($A146="","",$H146-$I146)</f>
        <v>0</v>
      </c>
      <c r="K146" s="72" t="str">
        <f aca="false">IF($A146="","",IF(ROUND($I146,2)=0,"n/a",$J146/ABS($I146)))</f>
        <v>n/a</v>
      </c>
      <c r="L146" s="69" t="n">
        <f aca="false">IF($A146="","",Data_Engine!$AJ146)</f>
        <v>0</v>
      </c>
      <c r="M146" s="73" t="n">
        <f aca="false">IF($A146="","",IF(Setup!$B$8=0,0,$H146/Setup!$B$8*12))</f>
        <v>0</v>
      </c>
      <c r="N146" s="72" t="str">
        <f aca="false">IF($A146="","",IF(ROUND($L146,2)=0,"n/a",($M146-$L146)/ABS($L146)))</f>
        <v>n/a</v>
      </c>
      <c r="O146" s="76" t="str">
        <f aca="false">IF($A146="","",IF(AND(ROUND($H146,2)=0,ROUND($I146,2)=0),"Dormant",IF(ROUND($I146,2)=0,"New this year",IF(ROUND($H146,2)=0,"Ceased",IF($J146&gt;0,"Increase",IF($J146&lt;0,"Decrease","Flat"))))))</f>
        <v>Dormant</v>
      </c>
      <c r="P146" s="74" t="str">
        <f aca="false">IF($A146="","",IF(AND(ROUND($H146,2)=0,ROUND($I146,2)=0),"No Activity",IF(ABS($J146)&lt;Setup!$B$14,"Low",IF(ROUND($I146,2)=0,"High",IF(OR(ABS($J146/$I146)&gt;=Setup!$B$16,ABS($J146)&gt;=Setup!$B$17),"High",IF(ABS($J146/$I146)&gt;=Setup!$B$15,"Medium","Low"))))))</f>
        <v>No Activity</v>
      </c>
      <c r="Q146" s="57"/>
      <c r="R146" s="75" t="n">
        <f aca="false">IF($A146="",-1000000000000000,IF(ROUND(ABS($J146),0)=0,-1000000000000000,ABS($J146)+ROW()/1000000))</f>
        <v>-1000000000000000</v>
      </c>
    </row>
    <row r="147" customFormat="false" ht="15" hidden="false" customHeight="false" outlineLevel="0" collapsed="false">
      <c r="A147" s="68" t="str">
        <f aca="false">IF(Data_Engine!$A147="","",Data_Engine!$A147)</f>
        <v>Indirect Salaries - VID</v>
      </c>
      <c r="B147" s="42" t="str">
        <f aca="false">IF($A147="","",Data_Engine!$B147)</f>
        <v>Expenses</v>
      </c>
      <c r="C147" s="42" t="str">
        <f aca="false">IF($A147="","",Data_Engine!$D147)</f>
        <v>Video</v>
      </c>
      <c r="D147" s="69" t="n">
        <f aca="false">IF($A147="","",Data_Engine!$AD147)</f>
        <v>0</v>
      </c>
      <c r="E147" s="69" t="n">
        <f aca="false">IF($A147="","",Data_Engine!$AE147)</f>
        <v>0</v>
      </c>
      <c r="F147" s="73" t="n">
        <f aca="false">IF($A147="","",$D147-$E147)</f>
        <v>0</v>
      </c>
      <c r="G147" s="72" t="str">
        <f aca="false">IF($A147="","",IF(ROUND($E147,2)=0,"n/a",$F147/ABS($E147)))</f>
        <v>n/a</v>
      </c>
      <c r="H147" s="70" t="n">
        <f aca="false">IF($A147="","",Data_Engine!$AH147)</f>
        <v>0</v>
      </c>
      <c r="I147" s="69" t="n">
        <f aca="false">IF($A147="","",Data_Engine!$AI147)</f>
        <v>0</v>
      </c>
      <c r="J147" s="71" t="n">
        <f aca="false">IF($A147="","",$H147-$I147)</f>
        <v>0</v>
      </c>
      <c r="K147" s="72" t="str">
        <f aca="false">IF($A147="","",IF(ROUND($I147,2)=0,"n/a",$J147/ABS($I147)))</f>
        <v>n/a</v>
      </c>
      <c r="L147" s="69" t="n">
        <f aca="false">IF($A147="","",Data_Engine!$AJ147)</f>
        <v>0</v>
      </c>
      <c r="M147" s="73" t="n">
        <f aca="false">IF($A147="","",IF(Setup!$B$8=0,0,$H147/Setup!$B$8*12))</f>
        <v>0</v>
      </c>
      <c r="N147" s="72" t="str">
        <f aca="false">IF($A147="","",IF(ROUND($L147,2)=0,"n/a",($M147-$L147)/ABS($L147)))</f>
        <v>n/a</v>
      </c>
      <c r="O147" s="76" t="str">
        <f aca="false">IF($A147="","",IF(AND(ROUND($H147,2)=0,ROUND($I147,2)=0),"Dormant",IF(ROUND($I147,2)=0,"New this year",IF(ROUND($H147,2)=0,"Ceased",IF($J147&gt;0,"Increase",IF($J147&lt;0,"Decrease","Flat"))))))</f>
        <v>Dormant</v>
      </c>
      <c r="P147" s="74" t="str">
        <f aca="false">IF($A147="","",IF(AND(ROUND($H147,2)=0,ROUND($I147,2)=0),"No Activity",IF(ABS($J147)&lt;Setup!$B$14,"Low",IF(ROUND($I147,2)=0,"High",IF(OR(ABS($J147/$I147)&gt;=Setup!$B$16,ABS($J147)&gt;=Setup!$B$17),"High",IF(ABS($J147/$I147)&gt;=Setup!$B$15,"Medium","Low"))))))</f>
        <v>No Activity</v>
      </c>
      <c r="Q147" s="57"/>
      <c r="R147" s="75" t="n">
        <f aca="false">IF($A147="",-1000000000000000,IF(ROUND(ABS($J147),0)=0,-1000000000000000,ABS($J147)+ROW()/1000000))</f>
        <v>-1000000000000000</v>
      </c>
    </row>
    <row r="148" customFormat="false" ht="15" hidden="false" customHeight="false" outlineLevel="0" collapsed="false">
      <c r="A148" s="68" t="str">
        <f aca="false">IF(Data_Engine!$A148="","",Data_Engine!$A148)</f>
        <v>Indirect Wages - ADMIN</v>
      </c>
      <c r="B148" s="42" t="str">
        <f aca="false">IF($A148="","",Data_Engine!$B148)</f>
        <v>Expenses</v>
      </c>
      <c r="C148" s="42" t="str">
        <f aca="false">IF($A148="","",Data_Engine!$D148)</f>
        <v>Admin</v>
      </c>
      <c r="D148" s="69" t="n">
        <f aca="false">IF($A148="","",Data_Engine!$AD148)</f>
        <v>0</v>
      </c>
      <c r="E148" s="69" t="n">
        <f aca="false">IF($A148="","",Data_Engine!$AE148)</f>
        <v>0</v>
      </c>
      <c r="F148" s="73" t="n">
        <f aca="false">IF($A148="","",$D148-$E148)</f>
        <v>0</v>
      </c>
      <c r="G148" s="72" t="str">
        <f aca="false">IF($A148="","",IF(ROUND($E148,2)=0,"n/a",$F148/ABS($E148)))</f>
        <v>n/a</v>
      </c>
      <c r="H148" s="70" t="n">
        <f aca="false">IF($A148="","",Data_Engine!$AH148)</f>
        <v>0</v>
      </c>
      <c r="I148" s="69" t="n">
        <f aca="false">IF($A148="","",Data_Engine!$AI148)</f>
        <v>0</v>
      </c>
      <c r="J148" s="71" t="n">
        <f aca="false">IF($A148="","",$H148-$I148)</f>
        <v>0</v>
      </c>
      <c r="K148" s="72" t="str">
        <f aca="false">IF($A148="","",IF(ROUND($I148,2)=0,"n/a",$J148/ABS($I148)))</f>
        <v>n/a</v>
      </c>
      <c r="L148" s="69" t="n">
        <f aca="false">IF($A148="","",Data_Engine!$AJ148)</f>
        <v>0</v>
      </c>
      <c r="M148" s="73" t="n">
        <f aca="false">IF($A148="","",IF(Setup!$B$8=0,0,$H148/Setup!$B$8*12))</f>
        <v>0</v>
      </c>
      <c r="N148" s="72" t="str">
        <f aca="false">IF($A148="","",IF(ROUND($L148,2)=0,"n/a",($M148-$L148)/ABS($L148)))</f>
        <v>n/a</v>
      </c>
      <c r="O148" s="76" t="str">
        <f aca="false">IF($A148="","",IF(AND(ROUND($H148,2)=0,ROUND($I148,2)=0),"Dormant",IF(ROUND($I148,2)=0,"New this year",IF(ROUND($H148,2)=0,"Ceased",IF($J148&gt;0,"Increase",IF($J148&lt;0,"Decrease","Flat"))))))</f>
        <v>Dormant</v>
      </c>
      <c r="P148" s="74" t="str">
        <f aca="false">IF($A148="","",IF(AND(ROUND($H148,2)=0,ROUND($I148,2)=0),"No Activity",IF(ABS($J148)&lt;Setup!$B$14,"Low",IF(ROUND($I148,2)=0,"High",IF(OR(ABS($J148/$I148)&gt;=Setup!$B$16,ABS($J148)&gt;=Setup!$B$17),"High",IF(ABS($J148/$I148)&gt;=Setup!$B$15,"Medium","Low"))))))</f>
        <v>No Activity</v>
      </c>
      <c r="Q148" s="57"/>
      <c r="R148" s="75" t="n">
        <f aca="false">IF($A148="",-1000000000000000,IF(ROUND(ABS($J148),0)=0,-1000000000000000,ABS($J148)+ROW()/1000000))</f>
        <v>-1000000000000000</v>
      </c>
    </row>
    <row r="149" customFormat="false" ht="15" hidden="false" customHeight="false" outlineLevel="0" collapsed="false">
      <c r="A149" s="68" t="str">
        <f aca="false">IF(Data_Engine!$A149="","",Data_Engine!$A149)</f>
        <v>Indirect Wages - CONS</v>
      </c>
      <c r="B149" s="42" t="str">
        <f aca="false">IF($A149="","",Data_Engine!$B149)</f>
        <v>Expenses</v>
      </c>
      <c r="C149" s="42" t="str">
        <f aca="false">IF($A149="","",Data_Engine!$D149)</f>
        <v>Consulting</v>
      </c>
      <c r="D149" s="69" t="n">
        <f aca="false">IF($A149="","",Data_Engine!$AD149)</f>
        <v>0</v>
      </c>
      <c r="E149" s="69" t="n">
        <f aca="false">IF($A149="","",Data_Engine!$AE149)</f>
        <v>0</v>
      </c>
      <c r="F149" s="73" t="n">
        <f aca="false">IF($A149="","",$D149-$E149)</f>
        <v>0</v>
      </c>
      <c r="G149" s="72" t="str">
        <f aca="false">IF($A149="","",IF(ROUND($E149,2)=0,"n/a",$F149/ABS($E149)))</f>
        <v>n/a</v>
      </c>
      <c r="H149" s="70" t="n">
        <f aca="false">IF($A149="","",Data_Engine!$AH149)</f>
        <v>0</v>
      </c>
      <c r="I149" s="69" t="n">
        <f aca="false">IF($A149="","",Data_Engine!$AI149)</f>
        <v>0</v>
      </c>
      <c r="J149" s="71" t="n">
        <f aca="false">IF($A149="","",$H149-$I149)</f>
        <v>0</v>
      </c>
      <c r="K149" s="72" t="str">
        <f aca="false">IF($A149="","",IF(ROUND($I149,2)=0,"n/a",$J149/ABS($I149)))</f>
        <v>n/a</v>
      </c>
      <c r="L149" s="69" t="n">
        <f aca="false">IF($A149="","",Data_Engine!$AJ149)</f>
        <v>0</v>
      </c>
      <c r="M149" s="73" t="n">
        <f aca="false">IF($A149="","",IF(Setup!$B$8=0,0,$H149/Setup!$B$8*12))</f>
        <v>0</v>
      </c>
      <c r="N149" s="72" t="str">
        <f aca="false">IF($A149="","",IF(ROUND($L149,2)=0,"n/a",($M149-$L149)/ABS($L149)))</f>
        <v>n/a</v>
      </c>
      <c r="O149" s="76" t="str">
        <f aca="false">IF($A149="","",IF(AND(ROUND($H149,2)=0,ROUND($I149,2)=0),"Dormant",IF(ROUND($I149,2)=0,"New this year",IF(ROUND($H149,2)=0,"Ceased",IF($J149&gt;0,"Increase",IF($J149&lt;0,"Decrease","Flat"))))))</f>
        <v>Dormant</v>
      </c>
      <c r="P149" s="74" t="str">
        <f aca="false">IF($A149="","",IF(AND(ROUND($H149,2)=0,ROUND($I149,2)=0),"No Activity",IF(ABS($J149)&lt;Setup!$B$14,"Low",IF(ROUND($I149,2)=0,"High",IF(OR(ABS($J149/$I149)&gt;=Setup!$B$16,ABS($J149)&gt;=Setup!$B$17),"High",IF(ABS($J149/$I149)&gt;=Setup!$B$15,"Medium","Low"))))))</f>
        <v>No Activity</v>
      </c>
      <c r="Q149" s="57"/>
      <c r="R149" s="75" t="n">
        <f aca="false">IF($A149="",-1000000000000000,IF(ROUND(ABS($J149),0)=0,-1000000000000000,ABS($J149)+ROW()/1000000))</f>
        <v>-1000000000000000</v>
      </c>
    </row>
    <row r="150" customFormat="false" ht="15" hidden="false" customHeight="false" outlineLevel="0" collapsed="false">
      <c r="A150" s="68" t="str">
        <f aca="false">IF(Data_Engine!$A150="","",Data_Engine!$A150)</f>
        <v>Indirect Wages - INTEGRATION</v>
      </c>
      <c r="B150" s="42" t="str">
        <f aca="false">IF($A150="","",Data_Engine!$B150)</f>
        <v>Expenses</v>
      </c>
      <c r="C150" s="42" t="str">
        <f aca="false">IF($A150="","",Data_Engine!$D150)</f>
        <v>Integration</v>
      </c>
      <c r="D150" s="69" t="n">
        <f aca="false">IF($A150="","",Data_Engine!$AD150)</f>
        <v>0</v>
      </c>
      <c r="E150" s="69" t="n">
        <f aca="false">IF($A150="","",Data_Engine!$AE150)</f>
        <v>0</v>
      </c>
      <c r="F150" s="73" t="n">
        <f aca="false">IF($A150="","",$D150-$E150)</f>
        <v>0</v>
      </c>
      <c r="G150" s="72" t="str">
        <f aca="false">IF($A150="","",IF(ROUND($E150,2)=0,"n/a",$F150/ABS($E150)))</f>
        <v>n/a</v>
      </c>
      <c r="H150" s="70" t="n">
        <f aca="false">IF($A150="","",Data_Engine!$AH150)</f>
        <v>0</v>
      </c>
      <c r="I150" s="69" t="n">
        <f aca="false">IF($A150="","",Data_Engine!$AI150)</f>
        <v>0</v>
      </c>
      <c r="J150" s="71" t="n">
        <f aca="false">IF($A150="","",$H150-$I150)</f>
        <v>0</v>
      </c>
      <c r="K150" s="72" t="str">
        <f aca="false">IF($A150="","",IF(ROUND($I150,2)=0,"n/a",$J150/ABS($I150)))</f>
        <v>n/a</v>
      </c>
      <c r="L150" s="69" t="n">
        <f aca="false">IF($A150="","",Data_Engine!$AJ150)</f>
        <v>0</v>
      </c>
      <c r="M150" s="73" t="n">
        <f aca="false">IF($A150="","",IF(Setup!$B$8=0,0,$H150/Setup!$B$8*12))</f>
        <v>0</v>
      </c>
      <c r="N150" s="72" t="str">
        <f aca="false">IF($A150="","",IF(ROUND($L150,2)=0,"n/a",($M150-$L150)/ABS($L150)))</f>
        <v>n/a</v>
      </c>
      <c r="O150" s="76" t="str">
        <f aca="false">IF($A150="","",IF(AND(ROUND($H150,2)=0,ROUND($I150,2)=0),"Dormant",IF(ROUND($I150,2)=0,"New this year",IF(ROUND($H150,2)=0,"Ceased",IF($J150&gt;0,"Increase",IF($J150&lt;0,"Decrease","Flat"))))))</f>
        <v>Dormant</v>
      </c>
      <c r="P150" s="74" t="str">
        <f aca="false">IF($A150="","",IF(AND(ROUND($H150,2)=0,ROUND($I150,2)=0),"No Activity",IF(ABS($J150)&lt;Setup!$B$14,"Low",IF(ROUND($I150,2)=0,"High",IF(OR(ABS($J150/$I150)&gt;=Setup!$B$16,ABS($J150)&gt;=Setup!$B$17),"High",IF(ABS($J150/$I150)&gt;=Setup!$B$15,"Medium","Low"))))))</f>
        <v>No Activity</v>
      </c>
      <c r="Q150" s="57"/>
      <c r="R150" s="75" t="n">
        <f aca="false">IF($A150="",-1000000000000000,IF(ROUND(ABS($J150),0)=0,-1000000000000000,ABS($J150)+ROW()/1000000))</f>
        <v>-1000000000000000</v>
      </c>
    </row>
    <row r="151" customFormat="false" ht="15" hidden="false" customHeight="false" outlineLevel="0" collapsed="false">
      <c r="A151" s="68" t="str">
        <f aca="false">IF(Data_Engine!$A151="","",Data_Engine!$A151)</f>
        <v>Indirect Wages - ONS</v>
      </c>
      <c r="B151" s="42" t="str">
        <f aca="false">IF($A151="","",Data_Engine!$B151)</f>
        <v>Expenses</v>
      </c>
      <c r="C151" s="42" t="str">
        <f aca="false">IF($A151="","",Data_Engine!$D151)</f>
        <v>Onsite</v>
      </c>
      <c r="D151" s="69" t="n">
        <f aca="false">IF($A151="","",Data_Engine!$AD151)</f>
        <v>0</v>
      </c>
      <c r="E151" s="69" t="n">
        <f aca="false">IF($A151="","",Data_Engine!$AE151)</f>
        <v>0</v>
      </c>
      <c r="F151" s="73" t="n">
        <f aca="false">IF($A151="","",$D151-$E151)</f>
        <v>0</v>
      </c>
      <c r="G151" s="72" t="str">
        <f aca="false">IF($A151="","",IF(ROUND($E151,2)=0,"n/a",$F151/ABS($E151)))</f>
        <v>n/a</v>
      </c>
      <c r="H151" s="70" t="n">
        <f aca="false">IF($A151="","",Data_Engine!$AH151)</f>
        <v>0</v>
      </c>
      <c r="I151" s="69" t="n">
        <f aca="false">IF($A151="","",Data_Engine!$AI151)</f>
        <v>0</v>
      </c>
      <c r="J151" s="71" t="n">
        <f aca="false">IF($A151="","",$H151-$I151)</f>
        <v>0</v>
      </c>
      <c r="K151" s="72" t="str">
        <f aca="false">IF($A151="","",IF(ROUND($I151,2)=0,"n/a",$J151/ABS($I151)))</f>
        <v>n/a</v>
      </c>
      <c r="L151" s="69" t="n">
        <f aca="false">IF($A151="","",Data_Engine!$AJ151)</f>
        <v>0</v>
      </c>
      <c r="M151" s="73" t="n">
        <f aca="false">IF($A151="","",IF(Setup!$B$8=0,0,$H151/Setup!$B$8*12))</f>
        <v>0</v>
      </c>
      <c r="N151" s="72" t="str">
        <f aca="false">IF($A151="","",IF(ROUND($L151,2)=0,"n/a",($M151-$L151)/ABS($L151)))</f>
        <v>n/a</v>
      </c>
      <c r="O151" s="76" t="str">
        <f aca="false">IF($A151="","",IF(AND(ROUND($H151,2)=0,ROUND($I151,2)=0),"Dormant",IF(ROUND($I151,2)=0,"New this year",IF(ROUND($H151,2)=0,"Ceased",IF($J151&gt;0,"Increase",IF($J151&lt;0,"Decrease","Flat"))))))</f>
        <v>Dormant</v>
      </c>
      <c r="P151" s="74" t="str">
        <f aca="false">IF($A151="","",IF(AND(ROUND($H151,2)=0,ROUND($I151,2)=0),"No Activity",IF(ABS($J151)&lt;Setup!$B$14,"Low",IF(ROUND($I151,2)=0,"High",IF(OR(ABS($J151/$I151)&gt;=Setup!$B$16,ABS($J151)&gt;=Setup!$B$17),"High",IF(ABS($J151/$I151)&gt;=Setup!$B$15,"Medium","Low"))))))</f>
        <v>No Activity</v>
      </c>
      <c r="Q151" s="57"/>
      <c r="R151" s="75" t="n">
        <f aca="false">IF($A151="",-1000000000000000,IF(ROUND(ABS($J151),0)=0,-1000000000000000,ABS($J151)+ROW()/1000000))</f>
        <v>-1000000000000000</v>
      </c>
    </row>
    <row r="152" customFormat="false" ht="15" hidden="false" customHeight="false" outlineLevel="0" collapsed="false">
      <c r="A152" s="68" t="str">
        <f aca="false">IF(Data_Engine!$A152="","",Data_Engine!$A152)</f>
        <v>Indirect Wages - PRD</v>
      </c>
      <c r="B152" s="42" t="str">
        <f aca="false">IF($A152="","",Data_Engine!$B152)</f>
        <v>Expenses</v>
      </c>
      <c r="C152" s="42" t="str">
        <f aca="false">IF($A152="","",Data_Engine!$D152)</f>
        <v>Production</v>
      </c>
      <c r="D152" s="69" t="n">
        <f aca="false">IF($A152="","",Data_Engine!$AD152)</f>
        <v>0</v>
      </c>
      <c r="E152" s="69" t="n">
        <f aca="false">IF($A152="","",Data_Engine!$AE152)</f>
        <v>0</v>
      </c>
      <c r="F152" s="73" t="n">
        <f aca="false">IF($A152="","",$D152-$E152)</f>
        <v>0</v>
      </c>
      <c r="G152" s="72" t="str">
        <f aca="false">IF($A152="","",IF(ROUND($E152,2)=0,"n/a",$F152/ABS($E152)))</f>
        <v>n/a</v>
      </c>
      <c r="H152" s="70" t="n">
        <f aca="false">IF($A152="","",Data_Engine!$AH152)</f>
        <v>0</v>
      </c>
      <c r="I152" s="69" t="n">
        <f aca="false">IF($A152="","",Data_Engine!$AI152)</f>
        <v>0</v>
      </c>
      <c r="J152" s="71" t="n">
        <f aca="false">IF($A152="","",$H152-$I152)</f>
        <v>0</v>
      </c>
      <c r="K152" s="72" t="str">
        <f aca="false">IF($A152="","",IF(ROUND($I152,2)=0,"n/a",$J152/ABS($I152)))</f>
        <v>n/a</v>
      </c>
      <c r="L152" s="69" t="n">
        <f aca="false">IF($A152="","",Data_Engine!$AJ152)</f>
        <v>0</v>
      </c>
      <c r="M152" s="73" t="n">
        <f aca="false">IF($A152="","",IF(Setup!$B$8=0,0,$H152/Setup!$B$8*12))</f>
        <v>0</v>
      </c>
      <c r="N152" s="72" t="str">
        <f aca="false">IF($A152="","",IF(ROUND($L152,2)=0,"n/a",($M152-$L152)/ABS($L152)))</f>
        <v>n/a</v>
      </c>
      <c r="O152" s="76" t="str">
        <f aca="false">IF($A152="","",IF(AND(ROUND($H152,2)=0,ROUND($I152,2)=0),"Dormant",IF(ROUND($I152,2)=0,"New this year",IF(ROUND($H152,2)=0,"Ceased",IF($J152&gt;0,"Increase",IF($J152&lt;0,"Decrease","Flat"))))))</f>
        <v>Dormant</v>
      </c>
      <c r="P152" s="74" t="str">
        <f aca="false">IF($A152="","",IF(AND(ROUND($H152,2)=0,ROUND($I152,2)=0),"No Activity",IF(ABS($J152)&lt;Setup!$B$14,"Low",IF(ROUND($I152,2)=0,"High",IF(OR(ABS($J152/$I152)&gt;=Setup!$B$16,ABS($J152)&gt;=Setup!$B$17),"High",IF(ABS($J152/$I152)&gt;=Setup!$B$15,"Medium","Low"))))))</f>
        <v>No Activity</v>
      </c>
      <c r="Q152" s="57"/>
      <c r="R152" s="75" t="n">
        <f aca="false">IF($A152="",-1000000000000000,IF(ROUND(ABS($J152),0)=0,-1000000000000000,ABS($J152)+ROW()/1000000))</f>
        <v>-1000000000000000</v>
      </c>
    </row>
    <row r="153" customFormat="false" ht="15" hidden="false" customHeight="false" outlineLevel="0" collapsed="false">
      <c r="A153" s="68" t="str">
        <f aca="false">IF(Data_Engine!$A153="","",Data_Engine!$A153)</f>
        <v>Indirect Wages - VID</v>
      </c>
      <c r="B153" s="42" t="str">
        <f aca="false">IF($A153="","",Data_Engine!$B153)</f>
        <v>Expenses</v>
      </c>
      <c r="C153" s="42" t="str">
        <f aca="false">IF($A153="","",Data_Engine!$D153)</f>
        <v>Video</v>
      </c>
      <c r="D153" s="69" t="n">
        <f aca="false">IF($A153="","",Data_Engine!$AD153)</f>
        <v>0</v>
      </c>
      <c r="E153" s="69" t="n">
        <f aca="false">IF($A153="","",Data_Engine!$AE153)</f>
        <v>0</v>
      </c>
      <c r="F153" s="73" t="n">
        <f aca="false">IF($A153="","",$D153-$E153)</f>
        <v>0</v>
      </c>
      <c r="G153" s="72" t="str">
        <f aca="false">IF($A153="","",IF(ROUND($E153,2)=0,"n/a",$F153/ABS($E153)))</f>
        <v>n/a</v>
      </c>
      <c r="H153" s="70" t="n">
        <f aca="false">IF($A153="","",Data_Engine!$AH153)</f>
        <v>0</v>
      </c>
      <c r="I153" s="69" t="n">
        <f aca="false">IF($A153="","",Data_Engine!$AI153)</f>
        <v>0</v>
      </c>
      <c r="J153" s="71" t="n">
        <f aca="false">IF($A153="","",$H153-$I153)</f>
        <v>0</v>
      </c>
      <c r="K153" s="72" t="str">
        <f aca="false">IF($A153="","",IF(ROUND($I153,2)=0,"n/a",$J153/ABS($I153)))</f>
        <v>n/a</v>
      </c>
      <c r="L153" s="69" t="n">
        <f aca="false">IF($A153="","",Data_Engine!$AJ153)</f>
        <v>0</v>
      </c>
      <c r="M153" s="73" t="n">
        <f aca="false">IF($A153="","",IF(Setup!$B$8=0,0,$H153/Setup!$B$8*12))</f>
        <v>0</v>
      </c>
      <c r="N153" s="72" t="str">
        <f aca="false">IF($A153="","",IF(ROUND($L153,2)=0,"n/a",($M153-$L153)/ABS($L153)))</f>
        <v>n/a</v>
      </c>
      <c r="O153" s="76" t="str">
        <f aca="false">IF($A153="","",IF(AND(ROUND($H153,2)=0,ROUND($I153,2)=0),"Dormant",IF(ROUND($I153,2)=0,"New this year",IF(ROUND($H153,2)=0,"Ceased",IF($J153&gt;0,"Increase",IF($J153&lt;0,"Decrease","Flat"))))))</f>
        <v>Dormant</v>
      </c>
      <c r="P153" s="74" t="str">
        <f aca="false">IF($A153="","",IF(AND(ROUND($H153,2)=0,ROUND($I153,2)=0),"No Activity",IF(ABS($J153)&lt;Setup!$B$14,"Low",IF(ROUND($I153,2)=0,"High",IF(OR(ABS($J153/$I153)&gt;=Setup!$B$16,ABS($J153)&gt;=Setup!$B$17),"High",IF(ABS($J153/$I153)&gt;=Setup!$B$15,"Medium","Low"))))))</f>
        <v>No Activity</v>
      </c>
      <c r="Q153" s="57"/>
      <c r="R153" s="75" t="n">
        <f aca="false">IF($A153="",-1000000000000000,IF(ROUND(ABS($J153),0)=0,-1000000000000000,ABS($J153)+ROW()/1000000))</f>
        <v>-1000000000000000</v>
      </c>
    </row>
    <row r="154" customFormat="false" ht="15" hidden="false" customHeight="false" outlineLevel="0" collapsed="false">
      <c r="A154" s="68" t="str">
        <f aca="false">IF(Data_Engine!$A154="","",Data_Engine!$A154)</f>
        <v>Instant Asset Write Off</v>
      </c>
      <c r="B154" s="42" t="str">
        <f aca="false">IF($A154="","",Data_Engine!$B154)</f>
        <v>Expenses</v>
      </c>
      <c r="C154" s="42" t="str">
        <f aca="false">IF($A154="","",Data_Engine!$D154)</f>
        <v>Unallocated</v>
      </c>
      <c r="D154" s="69" t="n">
        <f aca="false">IF($A154="","",Data_Engine!$AD154)</f>
        <v>0</v>
      </c>
      <c r="E154" s="69" t="n">
        <f aca="false">IF($A154="","",Data_Engine!$AE154)</f>
        <v>0</v>
      </c>
      <c r="F154" s="73" t="n">
        <f aca="false">IF($A154="","",$D154-$E154)</f>
        <v>0</v>
      </c>
      <c r="G154" s="72" t="str">
        <f aca="false">IF($A154="","",IF(ROUND($E154,2)=0,"n/a",$F154/ABS($E154)))</f>
        <v>n/a</v>
      </c>
      <c r="H154" s="70" t="n">
        <f aca="false">IF($A154="","",Data_Engine!$AH154)</f>
        <v>0</v>
      </c>
      <c r="I154" s="69" t="n">
        <f aca="false">IF($A154="","",Data_Engine!$AI154)</f>
        <v>0</v>
      </c>
      <c r="J154" s="71" t="n">
        <f aca="false">IF($A154="","",$H154-$I154)</f>
        <v>0</v>
      </c>
      <c r="K154" s="72" t="str">
        <f aca="false">IF($A154="","",IF(ROUND($I154,2)=0,"n/a",$J154/ABS($I154)))</f>
        <v>n/a</v>
      </c>
      <c r="L154" s="69" t="n">
        <f aca="false">IF($A154="","",Data_Engine!$AJ154)</f>
        <v>0</v>
      </c>
      <c r="M154" s="73" t="n">
        <f aca="false">IF($A154="","",IF(Setup!$B$8=0,0,$H154/Setup!$B$8*12))</f>
        <v>0</v>
      </c>
      <c r="N154" s="72" t="str">
        <f aca="false">IF($A154="","",IF(ROUND($L154,2)=0,"n/a",($M154-$L154)/ABS($L154)))</f>
        <v>n/a</v>
      </c>
      <c r="O154" s="76" t="str">
        <f aca="false">IF($A154="","",IF(AND(ROUND($H154,2)=0,ROUND($I154,2)=0),"Dormant",IF(ROUND($I154,2)=0,"New this year",IF(ROUND($H154,2)=0,"Ceased",IF($J154&gt;0,"Increase",IF($J154&lt;0,"Decrease","Flat"))))))</f>
        <v>Dormant</v>
      </c>
      <c r="P154" s="74" t="str">
        <f aca="false">IF($A154="","",IF(AND(ROUND($H154,2)=0,ROUND($I154,2)=0),"No Activity",IF(ABS($J154)&lt;Setup!$B$14,"Low",IF(ROUND($I154,2)=0,"High",IF(OR(ABS($J154/$I154)&gt;=Setup!$B$16,ABS($J154)&gt;=Setup!$B$17),"High",IF(ABS($J154/$I154)&gt;=Setup!$B$15,"Medium","Low"))))))</f>
        <v>No Activity</v>
      </c>
      <c r="Q154" s="57"/>
      <c r="R154" s="75" t="n">
        <f aca="false">IF($A154="",-1000000000000000,IF(ROUND(ABS($J154),0)=0,-1000000000000000,ABS($J154)+ROW()/1000000))</f>
        <v>-1000000000000000</v>
      </c>
    </row>
    <row r="155" customFormat="false" ht="15" hidden="false" customHeight="false" outlineLevel="0" collapsed="false">
      <c r="A155" s="68" t="str">
        <f aca="false">IF(Data_Engine!$A155="","",Data_Engine!$A155)</f>
        <v>Insurance</v>
      </c>
      <c r="B155" s="42" t="str">
        <f aca="false">IF($A155="","",Data_Engine!$B155)</f>
        <v>Expenses</v>
      </c>
      <c r="C155" s="42" t="str">
        <f aca="false">IF($A155="","",Data_Engine!$D155)</f>
        <v>Unallocated</v>
      </c>
      <c r="D155" s="69" t="n">
        <f aca="false">IF($A155="","",Data_Engine!$AD155)</f>
        <v>0</v>
      </c>
      <c r="E155" s="69" t="n">
        <f aca="false">IF($A155="","",Data_Engine!$AE155)</f>
        <v>0</v>
      </c>
      <c r="F155" s="73" t="n">
        <f aca="false">IF($A155="","",$D155-$E155)</f>
        <v>0</v>
      </c>
      <c r="G155" s="72" t="str">
        <f aca="false">IF($A155="","",IF(ROUND($E155,2)=0,"n/a",$F155/ABS($E155)))</f>
        <v>n/a</v>
      </c>
      <c r="H155" s="70" t="n">
        <f aca="false">IF($A155="","",Data_Engine!$AH155)</f>
        <v>0</v>
      </c>
      <c r="I155" s="69" t="n">
        <f aca="false">IF($A155="","",Data_Engine!$AI155)</f>
        <v>0</v>
      </c>
      <c r="J155" s="71" t="n">
        <f aca="false">IF($A155="","",$H155-$I155)</f>
        <v>0</v>
      </c>
      <c r="K155" s="72" t="str">
        <f aca="false">IF($A155="","",IF(ROUND($I155,2)=0,"n/a",$J155/ABS($I155)))</f>
        <v>n/a</v>
      </c>
      <c r="L155" s="69" t="n">
        <f aca="false">IF($A155="","",Data_Engine!$AJ155)</f>
        <v>0</v>
      </c>
      <c r="M155" s="73" t="n">
        <f aca="false">IF($A155="","",IF(Setup!$B$8=0,0,$H155/Setup!$B$8*12))</f>
        <v>0</v>
      </c>
      <c r="N155" s="72" t="str">
        <f aca="false">IF($A155="","",IF(ROUND($L155,2)=0,"n/a",($M155-$L155)/ABS($L155)))</f>
        <v>n/a</v>
      </c>
      <c r="O155" s="76" t="str">
        <f aca="false">IF($A155="","",IF(AND(ROUND($H155,2)=0,ROUND($I155,2)=0),"Dormant",IF(ROUND($I155,2)=0,"New this year",IF(ROUND($H155,2)=0,"Ceased",IF($J155&gt;0,"Increase",IF($J155&lt;0,"Decrease","Flat"))))))</f>
        <v>Dormant</v>
      </c>
      <c r="P155" s="74" t="str">
        <f aca="false">IF($A155="","",IF(AND(ROUND($H155,2)=0,ROUND($I155,2)=0),"No Activity",IF(ABS($J155)&lt;Setup!$B$14,"Low",IF(ROUND($I155,2)=0,"High",IF(OR(ABS($J155/$I155)&gt;=Setup!$B$16,ABS($J155)&gt;=Setup!$B$17),"High",IF(ABS($J155/$I155)&gt;=Setup!$B$15,"Medium","Low"))))))</f>
        <v>No Activity</v>
      </c>
      <c r="Q155" s="57"/>
      <c r="R155" s="75" t="n">
        <f aca="false">IF($A155="",-1000000000000000,IF(ROUND(ABS($J155),0)=0,-1000000000000000,ABS($J155)+ROW()/1000000))</f>
        <v>-1000000000000000</v>
      </c>
    </row>
    <row r="156" customFormat="false" ht="15" hidden="false" customHeight="false" outlineLevel="0" collapsed="false">
      <c r="A156" s="68" t="str">
        <f aca="false">IF(Data_Engine!$A156="","",Data_Engine!$A156)</f>
        <v>Interest Expense</v>
      </c>
      <c r="B156" s="42" t="str">
        <f aca="false">IF($A156="","",Data_Engine!$B156)</f>
        <v>Expenses</v>
      </c>
      <c r="C156" s="42" t="str">
        <f aca="false">IF($A156="","",Data_Engine!$D156)</f>
        <v>Unallocated</v>
      </c>
      <c r="D156" s="69" t="n">
        <f aca="false">IF($A156="","",Data_Engine!$AD156)</f>
        <v>0</v>
      </c>
      <c r="E156" s="69" t="n">
        <f aca="false">IF($A156="","",Data_Engine!$AE156)</f>
        <v>0</v>
      </c>
      <c r="F156" s="73" t="n">
        <f aca="false">IF($A156="","",$D156-$E156)</f>
        <v>0</v>
      </c>
      <c r="G156" s="72" t="str">
        <f aca="false">IF($A156="","",IF(ROUND($E156,2)=0,"n/a",$F156/ABS($E156)))</f>
        <v>n/a</v>
      </c>
      <c r="H156" s="70" t="n">
        <f aca="false">IF($A156="","",Data_Engine!$AH156)</f>
        <v>0</v>
      </c>
      <c r="I156" s="69" t="n">
        <f aca="false">IF($A156="","",Data_Engine!$AI156)</f>
        <v>0</v>
      </c>
      <c r="J156" s="71" t="n">
        <f aca="false">IF($A156="","",$H156-$I156)</f>
        <v>0</v>
      </c>
      <c r="K156" s="72" t="str">
        <f aca="false">IF($A156="","",IF(ROUND($I156,2)=0,"n/a",$J156/ABS($I156)))</f>
        <v>n/a</v>
      </c>
      <c r="L156" s="69" t="n">
        <f aca="false">IF($A156="","",Data_Engine!$AJ156)</f>
        <v>0</v>
      </c>
      <c r="M156" s="73" t="n">
        <f aca="false">IF($A156="","",IF(Setup!$B$8=0,0,$H156/Setup!$B$8*12))</f>
        <v>0</v>
      </c>
      <c r="N156" s="72" t="str">
        <f aca="false">IF($A156="","",IF(ROUND($L156,2)=0,"n/a",($M156-$L156)/ABS($L156)))</f>
        <v>n/a</v>
      </c>
      <c r="O156" s="76" t="str">
        <f aca="false">IF($A156="","",IF(AND(ROUND($H156,2)=0,ROUND($I156,2)=0),"Dormant",IF(ROUND($I156,2)=0,"New this year",IF(ROUND($H156,2)=0,"Ceased",IF($J156&gt;0,"Increase",IF($J156&lt;0,"Decrease","Flat"))))))</f>
        <v>Dormant</v>
      </c>
      <c r="P156" s="74" t="str">
        <f aca="false">IF($A156="","",IF(AND(ROUND($H156,2)=0,ROUND($I156,2)=0),"No Activity",IF(ABS($J156)&lt;Setup!$B$14,"Low",IF(ROUND($I156,2)=0,"High",IF(OR(ABS($J156/$I156)&gt;=Setup!$B$16,ABS($J156)&gt;=Setup!$B$17),"High",IF(ABS($J156/$I156)&gt;=Setup!$B$15,"Medium","Low"))))))</f>
        <v>No Activity</v>
      </c>
      <c r="Q156" s="57"/>
      <c r="R156" s="75" t="n">
        <f aca="false">IF($A156="",-1000000000000000,IF(ROUND(ABS($J156),0)=0,-1000000000000000,ABS($J156)+ROW()/1000000))</f>
        <v>-1000000000000000</v>
      </c>
    </row>
    <row r="157" customFormat="false" ht="15" hidden="false" customHeight="false" outlineLevel="0" collapsed="false">
      <c r="A157" s="68" t="str">
        <f aca="false">IF(Data_Engine!$A157="","",Data_Engine!$A157)</f>
        <v>Internet</v>
      </c>
      <c r="B157" s="42" t="str">
        <f aca="false">IF($A157="","",Data_Engine!$B157)</f>
        <v>Expenses</v>
      </c>
      <c r="C157" s="42" t="str">
        <f aca="false">IF($A157="","",Data_Engine!$D157)</f>
        <v>Unallocated</v>
      </c>
      <c r="D157" s="69" t="n">
        <f aca="false">IF($A157="","",Data_Engine!$AD157)</f>
        <v>0</v>
      </c>
      <c r="E157" s="69" t="n">
        <f aca="false">IF($A157="","",Data_Engine!$AE157)</f>
        <v>0</v>
      </c>
      <c r="F157" s="73" t="n">
        <f aca="false">IF($A157="","",$D157-$E157)</f>
        <v>0</v>
      </c>
      <c r="G157" s="72" t="str">
        <f aca="false">IF($A157="","",IF(ROUND($E157,2)=0,"n/a",$F157/ABS($E157)))</f>
        <v>n/a</v>
      </c>
      <c r="H157" s="70" t="n">
        <f aca="false">IF($A157="","",Data_Engine!$AH157)</f>
        <v>0</v>
      </c>
      <c r="I157" s="69" t="n">
        <f aca="false">IF($A157="","",Data_Engine!$AI157)</f>
        <v>0</v>
      </c>
      <c r="J157" s="71" t="n">
        <f aca="false">IF($A157="","",$H157-$I157)</f>
        <v>0</v>
      </c>
      <c r="K157" s="72" t="str">
        <f aca="false">IF($A157="","",IF(ROUND($I157,2)=0,"n/a",$J157/ABS($I157)))</f>
        <v>n/a</v>
      </c>
      <c r="L157" s="69" t="n">
        <f aca="false">IF($A157="","",Data_Engine!$AJ157)</f>
        <v>0</v>
      </c>
      <c r="M157" s="73" t="n">
        <f aca="false">IF($A157="","",IF(Setup!$B$8=0,0,$H157/Setup!$B$8*12))</f>
        <v>0</v>
      </c>
      <c r="N157" s="72" t="str">
        <f aca="false">IF($A157="","",IF(ROUND($L157,2)=0,"n/a",($M157-$L157)/ABS($L157)))</f>
        <v>n/a</v>
      </c>
      <c r="O157" s="76" t="str">
        <f aca="false">IF($A157="","",IF(AND(ROUND($H157,2)=0,ROUND($I157,2)=0),"Dormant",IF(ROUND($I157,2)=0,"New this year",IF(ROUND($H157,2)=0,"Ceased",IF($J157&gt;0,"Increase",IF($J157&lt;0,"Decrease","Flat"))))))</f>
        <v>Dormant</v>
      </c>
      <c r="P157" s="74" t="str">
        <f aca="false">IF($A157="","",IF(AND(ROUND($H157,2)=0,ROUND($I157,2)=0),"No Activity",IF(ABS($J157)&lt;Setup!$B$14,"Low",IF(ROUND($I157,2)=0,"High",IF(OR(ABS($J157/$I157)&gt;=Setup!$B$16,ABS($J157)&gt;=Setup!$B$17),"High",IF(ABS($J157/$I157)&gt;=Setup!$B$15,"Medium","Low"))))))</f>
        <v>No Activity</v>
      </c>
      <c r="Q157" s="57"/>
      <c r="R157" s="75" t="n">
        <f aca="false">IF($A157="",-1000000000000000,IF(ROUND(ABS($J157),0)=0,-1000000000000000,ABS($J157)+ROW()/1000000))</f>
        <v>-1000000000000000</v>
      </c>
    </row>
    <row r="158" customFormat="false" ht="15" hidden="false" customHeight="false" outlineLevel="0" collapsed="false">
      <c r="A158" s="68" t="str">
        <f aca="false">IF(Data_Engine!$A158="","",Data_Engine!$A158)</f>
        <v>Leave expense (Annual)</v>
      </c>
      <c r="B158" s="42" t="str">
        <f aca="false">IF($A158="","",Data_Engine!$B158)</f>
        <v>Expenses</v>
      </c>
      <c r="C158" s="42" t="str">
        <f aca="false">IF($A158="","",Data_Engine!$D158)</f>
        <v>Unallocated</v>
      </c>
      <c r="D158" s="69" t="n">
        <f aca="false">IF($A158="","",Data_Engine!$AD158)</f>
        <v>0</v>
      </c>
      <c r="E158" s="69" t="n">
        <f aca="false">IF($A158="","",Data_Engine!$AE158)</f>
        <v>0</v>
      </c>
      <c r="F158" s="73" t="n">
        <f aca="false">IF($A158="","",$D158-$E158)</f>
        <v>0</v>
      </c>
      <c r="G158" s="72" t="str">
        <f aca="false">IF($A158="","",IF(ROUND($E158,2)=0,"n/a",$F158/ABS($E158)))</f>
        <v>n/a</v>
      </c>
      <c r="H158" s="70" t="n">
        <f aca="false">IF($A158="","",Data_Engine!$AH158)</f>
        <v>0</v>
      </c>
      <c r="I158" s="69" t="n">
        <f aca="false">IF($A158="","",Data_Engine!$AI158)</f>
        <v>0</v>
      </c>
      <c r="J158" s="71" t="n">
        <f aca="false">IF($A158="","",$H158-$I158)</f>
        <v>0</v>
      </c>
      <c r="K158" s="72" t="str">
        <f aca="false">IF($A158="","",IF(ROUND($I158,2)=0,"n/a",$J158/ABS($I158)))</f>
        <v>n/a</v>
      </c>
      <c r="L158" s="69" t="n">
        <f aca="false">IF($A158="","",Data_Engine!$AJ158)</f>
        <v>0</v>
      </c>
      <c r="M158" s="73" t="n">
        <f aca="false">IF($A158="","",IF(Setup!$B$8=0,0,$H158/Setup!$B$8*12))</f>
        <v>0</v>
      </c>
      <c r="N158" s="72" t="str">
        <f aca="false">IF($A158="","",IF(ROUND($L158,2)=0,"n/a",($M158-$L158)/ABS($L158)))</f>
        <v>n/a</v>
      </c>
      <c r="O158" s="76" t="str">
        <f aca="false">IF($A158="","",IF(AND(ROUND($H158,2)=0,ROUND($I158,2)=0),"Dormant",IF(ROUND($I158,2)=0,"New this year",IF(ROUND($H158,2)=0,"Ceased",IF($J158&gt;0,"Increase",IF($J158&lt;0,"Decrease","Flat"))))))</f>
        <v>Dormant</v>
      </c>
      <c r="P158" s="74" t="str">
        <f aca="false">IF($A158="","",IF(AND(ROUND($H158,2)=0,ROUND($I158,2)=0),"No Activity",IF(ABS($J158)&lt;Setup!$B$14,"Low",IF(ROUND($I158,2)=0,"High",IF(OR(ABS($J158/$I158)&gt;=Setup!$B$16,ABS($J158)&gt;=Setup!$B$17),"High",IF(ABS($J158/$I158)&gt;=Setup!$B$15,"Medium","Low"))))))</f>
        <v>No Activity</v>
      </c>
      <c r="Q158" s="57"/>
      <c r="R158" s="75" t="n">
        <f aca="false">IF($A158="",-1000000000000000,IF(ROUND(ABS($J158),0)=0,-1000000000000000,ABS($J158)+ROW()/1000000))</f>
        <v>-1000000000000000</v>
      </c>
    </row>
    <row r="159" customFormat="false" ht="15" hidden="false" customHeight="false" outlineLevel="0" collapsed="false">
      <c r="A159" s="68" t="str">
        <f aca="false">IF(Data_Engine!$A159="","",Data_Engine!$A159)</f>
        <v>Leave expense (Long Service)</v>
      </c>
      <c r="B159" s="42" t="str">
        <f aca="false">IF($A159="","",Data_Engine!$B159)</f>
        <v>Expenses</v>
      </c>
      <c r="C159" s="42" t="str">
        <f aca="false">IF($A159="","",Data_Engine!$D159)</f>
        <v>Unallocated</v>
      </c>
      <c r="D159" s="69" t="n">
        <f aca="false">IF($A159="","",Data_Engine!$AD159)</f>
        <v>0</v>
      </c>
      <c r="E159" s="69" t="n">
        <f aca="false">IF($A159="","",Data_Engine!$AE159)</f>
        <v>0</v>
      </c>
      <c r="F159" s="73" t="n">
        <f aca="false">IF($A159="","",$D159-$E159)</f>
        <v>0</v>
      </c>
      <c r="G159" s="72" t="str">
        <f aca="false">IF($A159="","",IF(ROUND($E159,2)=0,"n/a",$F159/ABS($E159)))</f>
        <v>n/a</v>
      </c>
      <c r="H159" s="70" t="n">
        <f aca="false">IF($A159="","",Data_Engine!$AH159)</f>
        <v>0</v>
      </c>
      <c r="I159" s="69" t="n">
        <f aca="false">IF($A159="","",Data_Engine!$AI159)</f>
        <v>0</v>
      </c>
      <c r="J159" s="71" t="n">
        <f aca="false">IF($A159="","",$H159-$I159)</f>
        <v>0</v>
      </c>
      <c r="K159" s="72" t="str">
        <f aca="false">IF($A159="","",IF(ROUND($I159,2)=0,"n/a",$J159/ABS($I159)))</f>
        <v>n/a</v>
      </c>
      <c r="L159" s="69" t="n">
        <f aca="false">IF($A159="","",Data_Engine!$AJ159)</f>
        <v>0</v>
      </c>
      <c r="M159" s="73" t="n">
        <f aca="false">IF($A159="","",IF(Setup!$B$8=0,0,$H159/Setup!$B$8*12))</f>
        <v>0</v>
      </c>
      <c r="N159" s="72" t="str">
        <f aca="false">IF($A159="","",IF(ROUND($L159,2)=0,"n/a",($M159-$L159)/ABS($L159)))</f>
        <v>n/a</v>
      </c>
      <c r="O159" s="76" t="str">
        <f aca="false">IF($A159="","",IF(AND(ROUND($H159,2)=0,ROUND($I159,2)=0),"Dormant",IF(ROUND($I159,2)=0,"New this year",IF(ROUND($H159,2)=0,"Ceased",IF($J159&gt;0,"Increase",IF($J159&lt;0,"Decrease","Flat"))))))</f>
        <v>Dormant</v>
      </c>
      <c r="P159" s="74" t="str">
        <f aca="false">IF($A159="","",IF(AND(ROUND($H159,2)=0,ROUND($I159,2)=0),"No Activity",IF(ABS($J159)&lt;Setup!$B$14,"Low",IF(ROUND($I159,2)=0,"High",IF(OR(ABS($J159/$I159)&gt;=Setup!$B$16,ABS($J159)&gt;=Setup!$B$17),"High",IF(ABS($J159/$I159)&gt;=Setup!$B$15,"Medium","Low"))))))</f>
        <v>No Activity</v>
      </c>
      <c r="Q159" s="57"/>
      <c r="R159" s="75" t="n">
        <f aca="false">IF($A159="",-1000000000000000,IF(ROUND(ABS($J159),0)=0,-1000000000000000,ABS($J159)+ROW()/1000000))</f>
        <v>-1000000000000000</v>
      </c>
    </row>
    <row r="160" customFormat="false" ht="15" hidden="false" customHeight="false" outlineLevel="0" collapsed="false">
      <c r="A160" s="68" t="str">
        <f aca="false">IF(Data_Engine!$A160="","",Data_Engine!$A160)</f>
        <v>Legal Fees</v>
      </c>
      <c r="B160" s="42" t="str">
        <f aca="false">IF($A160="","",Data_Engine!$B160)</f>
        <v>Expenses</v>
      </c>
      <c r="C160" s="42" t="str">
        <f aca="false">IF($A160="","",Data_Engine!$D160)</f>
        <v>Unallocated</v>
      </c>
      <c r="D160" s="69" t="n">
        <f aca="false">IF($A160="","",Data_Engine!$AD160)</f>
        <v>0</v>
      </c>
      <c r="E160" s="69" t="n">
        <f aca="false">IF($A160="","",Data_Engine!$AE160)</f>
        <v>0</v>
      </c>
      <c r="F160" s="73" t="n">
        <f aca="false">IF($A160="","",$D160-$E160)</f>
        <v>0</v>
      </c>
      <c r="G160" s="72" t="str">
        <f aca="false">IF($A160="","",IF(ROUND($E160,2)=0,"n/a",$F160/ABS($E160)))</f>
        <v>n/a</v>
      </c>
      <c r="H160" s="70" t="n">
        <f aca="false">IF($A160="","",Data_Engine!$AH160)</f>
        <v>0</v>
      </c>
      <c r="I160" s="69" t="n">
        <f aca="false">IF($A160="","",Data_Engine!$AI160)</f>
        <v>0</v>
      </c>
      <c r="J160" s="71" t="n">
        <f aca="false">IF($A160="","",$H160-$I160)</f>
        <v>0</v>
      </c>
      <c r="K160" s="72" t="str">
        <f aca="false">IF($A160="","",IF(ROUND($I160,2)=0,"n/a",$J160/ABS($I160)))</f>
        <v>n/a</v>
      </c>
      <c r="L160" s="69" t="n">
        <f aca="false">IF($A160="","",Data_Engine!$AJ160)</f>
        <v>0</v>
      </c>
      <c r="M160" s="73" t="n">
        <f aca="false">IF($A160="","",IF(Setup!$B$8=0,0,$H160/Setup!$B$8*12))</f>
        <v>0</v>
      </c>
      <c r="N160" s="72" t="str">
        <f aca="false">IF($A160="","",IF(ROUND($L160,2)=0,"n/a",($M160-$L160)/ABS($L160)))</f>
        <v>n/a</v>
      </c>
      <c r="O160" s="76" t="str">
        <f aca="false">IF($A160="","",IF(AND(ROUND($H160,2)=0,ROUND($I160,2)=0),"Dormant",IF(ROUND($I160,2)=0,"New this year",IF(ROUND($H160,2)=0,"Ceased",IF($J160&gt;0,"Increase",IF($J160&lt;0,"Decrease","Flat"))))))</f>
        <v>Dormant</v>
      </c>
      <c r="P160" s="74" t="str">
        <f aca="false">IF($A160="","",IF(AND(ROUND($H160,2)=0,ROUND($I160,2)=0),"No Activity",IF(ABS($J160)&lt;Setup!$B$14,"Low",IF(ROUND($I160,2)=0,"High",IF(OR(ABS($J160/$I160)&gt;=Setup!$B$16,ABS($J160)&gt;=Setup!$B$17),"High",IF(ABS($J160/$I160)&gt;=Setup!$B$15,"Medium","Low"))))))</f>
        <v>No Activity</v>
      </c>
      <c r="Q160" s="57"/>
      <c r="R160" s="75" t="n">
        <f aca="false">IF($A160="",-1000000000000000,IF(ROUND(ABS($J160),0)=0,-1000000000000000,ABS($J160)+ROW()/1000000))</f>
        <v>-1000000000000000</v>
      </c>
    </row>
    <row r="161" customFormat="false" ht="15" hidden="false" customHeight="false" outlineLevel="0" collapsed="false">
      <c r="A161" s="68" t="str">
        <f aca="false">IF(Data_Engine!$A161="","",Data_Engine!$A161)</f>
        <v>Mobile Phones</v>
      </c>
      <c r="B161" s="42" t="str">
        <f aca="false">IF($A161="","",Data_Engine!$B161)</f>
        <v>Expenses</v>
      </c>
      <c r="C161" s="42" t="str">
        <f aca="false">IF($A161="","",Data_Engine!$D161)</f>
        <v>Unallocated</v>
      </c>
      <c r="D161" s="69" t="n">
        <f aca="false">IF($A161="","",Data_Engine!$AD161)</f>
        <v>0</v>
      </c>
      <c r="E161" s="69" t="n">
        <f aca="false">IF($A161="","",Data_Engine!$AE161)</f>
        <v>0</v>
      </c>
      <c r="F161" s="73" t="n">
        <f aca="false">IF($A161="","",$D161-$E161)</f>
        <v>0</v>
      </c>
      <c r="G161" s="72" t="str">
        <f aca="false">IF($A161="","",IF(ROUND($E161,2)=0,"n/a",$F161/ABS($E161)))</f>
        <v>n/a</v>
      </c>
      <c r="H161" s="70" t="n">
        <f aca="false">IF($A161="","",Data_Engine!$AH161)</f>
        <v>0</v>
      </c>
      <c r="I161" s="69" t="n">
        <f aca="false">IF($A161="","",Data_Engine!$AI161)</f>
        <v>0</v>
      </c>
      <c r="J161" s="71" t="n">
        <f aca="false">IF($A161="","",$H161-$I161)</f>
        <v>0</v>
      </c>
      <c r="K161" s="72" t="str">
        <f aca="false">IF($A161="","",IF(ROUND($I161,2)=0,"n/a",$J161/ABS($I161)))</f>
        <v>n/a</v>
      </c>
      <c r="L161" s="69" t="n">
        <f aca="false">IF($A161="","",Data_Engine!$AJ161)</f>
        <v>0</v>
      </c>
      <c r="M161" s="73" t="n">
        <f aca="false">IF($A161="","",IF(Setup!$B$8=0,0,$H161/Setup!$B$8*12))</f>
        <v>0</v>
      </c>
      <c r="N161" s="72" t="str">
        <f aca="false">IF($A161="","",IF(ROUND($L161,2)=0,"n/a",($M161-$L161)/ABS($L161)))</f>
        <v>n/a</v>
      </c>
      <c r="O161" s="76" t="str">
        <f aca="false">IF($A161="","",IF(AND(ROUND($H161,2)=0,ROUND($I161,2)=0),"Dormant",IF(ROUND($I161,2)=0,"New this year",IF(ROUND($H161,2)=0,"Ceased",IF($J161&gt;0,"Increase",IF($J161&lt;0,"Decrease","Flat"))))))</f>
        <v>Dormant</v>
      </c>
      <c r="P161" s="74" t="str">
        <f aca="false">IF($A161="","",IF(AND(ROUND($H161,2)=0,ROUND($I161,2)=0),"No Activity",IF(ABS($J161)&lt;Setup!$B$14,"Low",IF(ROUND($I161,2)=0,"High",IF(OR(ABS($J161/$I161)&gt;=Setup!$B$16,ABS($J161)&gt;=Setup!$B$17),"High",IF(ABS($J161/$I161)&gt;=Setup!$B$15,"Medium","Low"))))))</f>
        <v>No Activity</v>
      </c>
      <c r="Q161" s="57"/>
      <c r="R161" s="75" t="n">
        <f aca="false">IF($A161="",-1000000000000000,IF(ROUND(ABS($J161),0)=0,-1000000000000000,ABS($J161)+ROW()/1000000))</f>
        <v>-1000000000000000</v>
      </c>
    </row>
    <row r="162" customFormat="false" ht="15" hidden="false" customHeight="false" outlineLevel="0" collapsed="false">
      <c r="A162" s="68" t="str">
        <f aca="false">IF(Data_Engine!$A162="","",Data_Engine!$A162)</f>
        <v>Office Cleaning</v>
      </c>
      <c r="B162" s="42" t="str">
        <f aca="false">IF($A162="","",Data_Engine!$B162)</f>
        <v>Expenses</v>
      </c>
      <c r="C162" s="42" t="str">
        <f aca="false">IF($A162="","",Data_Engine!$D162)</f>
        <v>Unallocated</v>
      </c>
      <c r="D162" s="69" t="n">
        <f aca="false">IF($A162="","",Data_Engine!$AD162)</f>
        <v>0</v>
      </c>
      <c r="E162" s="69" t="n">
        <f aca="false">IF($A162="","",Data_Engine!$AE162)</f>
        <v>0</v>
      </c>
      <c r="F162" s="73" t="n">
        <f aca="false">IF($A162="","",$D162-$E162)</f>
        <v>0</v>
      </c>
      <c r="G162" s="72" t="str">
        <f aca="false">IF($A162="","",IF(ROUND($E162,2)=0,"n/a",$F162/ABS($E162)))</f>
        <v>n/a</v>
      </c>
      <c r="H162" s="70" t="n">
        <f aca="false">IF($A162="","",Data_Engine!$AH162)</f>
        <v>0</v>
      </c>
      <c r="I162" s="69" t="n">
        <f aca="false">IF($A162="","",Data_Engine!$AI162)</f>
        <v>0</v>
      </c>
      <c r="J162" s="71" t="n">
        <f aca="false">IF($A162="","",$H162-$I162)</f>
        <v>0</v>
      </c>
      <c r="K162" s="72" t="str">
        <f aca="false">IF($A162="","",IF(ROUND($I162,2)=0,"n/a",$J162/ABS($I162)))</f>
        <v>n/a</v>
      </c>
      <c r="L162" s="69" t="n">
        <f aca="false">IF($A162="","",Data_Engine!$AJ162)</f>
        <v>0</v>
      </c>
      <c r="M162" s="73" t="n">
        <f aca="false">IF($A162="","",IF(Setup!$B$8=0,0,$H162/Setup!$B$8*12))</f>
        <v>0</v>
      </c>
      <c r="N162" s="72" t="str">
        <f aca="false">IF($A162="","",IF(ROUND($L162,2)=0,"n/a",($M162-$L162)/ABS($L162)))</f>
        <v>n/a</v>
      </c>
      <c r="O162" s="76" t="str">
        <f aca="false">IF($A162="","",IF(AND(ROUND($H162,2)=0,ROUND($I162,2)=0),"Dormant",IF(ROUND($I162,2)=0,"New this year",IF(ROUND($H162,2)=0,"Ceased",IF($J162&gt;0,"Increase",IF($J162&lt;0,"Decrease","Flat"))))))</f>
        <v>Dormant</v>
      </c>
      <c r="P162" s="74" t="str">
        <f aca="false">IF($A162="","",IF(AND(ROUND($H162,2)=0,ROUND($I162,2)=0),"No Activity",IF(ABS($J162)&lt;Setup!$B$14,"Low",IF(ROUND($I162,2)=0,"High",IF(OR(ABS($J162/$I162)&gt;=Setup!$B$16,ABS($J162)&gt;=Setup!$B$17),"High",IF(ABS($J162/$I162)&gt;=Setup!$B$15,"Medium","Low"))))))</f>
        <v>No Activity</v>
      </c>
      <c r="Q162" s="57"/>
      <c r="R162" s="75" t="n">
        <f aca="false">IF($A162="",-1000000000000000,IF(ROUND(ABS($J162),0)=0,-1000000000000000,ABS($J162)+ROW()/1000000))</f>
        <v>-1000000000000000</v>
      </c>
    </row>
    <row r="163" customFormat="false" ht="15" hidden="false" customHeight="false" outlineLevel="0" collapsed="false">
      <c r="A163" s="68" t="str">
        <f aca="false">IF(Data_Engine!$A163="","",Data_Engine!$A163)</f>
        <v>Office Phones</v>
      </c>
      <c r="B163" s="42" t="str">
        <f aca="false">IF($A163="","",Data_Engine!$B163)</f>
        <v>Expenses</v>
      </c>
      <c r="C163" s="42" t="str">
        <f aca="false">IF($A163="","",Data_Engine!$D163)</f>
        <v>Unallocated</v>
      </c>
      <c r="D163" s="69" t="n">
        <f aca="false">IF($A163="","",Data_Engine!$AD163)</f>
        <v>0</v>
      </c>
      <c r="E163" s="69" t="n">
        <f aca="false">IF($A163="","",Data_Engine!$AE163)</f>
        <v>0</v>
      </c>
      <c r="F163" s="73" t="n">
        <f aca="false">IF($A163="","",$D163-$E163)</f>
        <v>0</v>
      </c>
      <c r="G163" s="72" t="str">
        <f aca="false">IF($A163="","",IF(ROUND($E163,2)=0,"n/a",$F163/ABS($E163)))</f>
        <v>n/a</v>
      </c>
      <c r="H163" s="70" t="n">
        <f aca="false">IF($A163="","",Data_Engine!$AH163)</f>
        <v>0</v>
      </c>
      <c r="I163" s="69" t="n">
        <f aca="false">IF($A163="","",Data_Engine!$AI163)</f>
        <v>0</v>
      </c>
      <c r="J163" s="71" t="n">
        <f aca="false">IF($A163="","",$H163-$I163)</f>
        <v>0</v>
      </c>
      <c r="K163" s="72" t="str">
        <f aca="false">IF($A163="","",IF(ROUND($I163,2)=0,"n/a",$J163/ABS($I163)))</f>
        <v>n/a</v>
      </c>
      <c r="L163" s="69" t="n">
        <f aca="false">IF($A163="","",Data_Engine!$AJ163)</f>
        <v>0</v>
      </c>
      <c r="M163" s="73" t="n">
        <f aca="false">IF($A163="","",IF(Setup!$B$8=0,0,$H163/Setup!$B$8*12))</f>
        <v>0</v>
      </c>
      <c r="N163" s="72" t="str">
        <f aca="false">IF($A163="","",IF(ROUND($L163,2)=0,"n/a",($M163-$L163)/ABS($L163)))</f>
        <v>n/a</v>
      </c>
      <c r="O163" s="76" t="str">
        <f aca="false">IF($A163="","",IF(AND(ROUND($H163,2)=0,ROUND($I163,2)=0),"Dormant",IF(ROUND($I163,2)=0,"New this year",IF(ROUND($H163,2)=0,"Ceased",IF($J163&gt;0,"Increase",IF($J163&lt;0,"Decrease","Flat"))))))</f>
        <v>Dormant</v>
      </c>
      <c r="P163" s="74" t="str">
        <f aca="false">IF($A163="","",IF(AND(ROUND($H163,2)=0,ROUND($I163,2)=0),"No Activity",IF(ABS($J163)&lt;Setup!$B$14,"Low",IF(ROUND($I163,2)=0,"High",IF(OR(ABS($J163/$I163)&gt;=Setup!$B$16,ABS($J163)&gt;=Setup!$B$17),"High",IF(ABS($J163/$I163)&gt;=Setup!$B$15,"Medium","Low"))))))</f>
        <v>No Activity</v>
      </c>
      <c r="Q163" s="57"/>
      <c r="R163" s="75" t="n">
        <f aca="false">IF($A163="",-1000000000000000,IF(ROUND(ABS($J163),0)=0,-1000000000000000,ABS($J163)+ROW()/1000000))</f>
        <v>-1000000000000000</v>
      </c>
    </row>
    <row r="164" customFormat="false" ht="15" hidden="false" customHeight="false" outlineLevel="0" collapsed="false">
      <c r="A164" s="68" t="str">
        <f aca="false">IF(Data_Engine!$A164="","",Data_Engine!$A164)</f>
        <v>Office Rentals</v>
      </c>
      <c r="B164" s="42" t="str">
        <f aca="false">IF($A164="","",Data_Engine!$B164)</f>
        <v>Expenses</v>
      </c>
      <c r="C164" s="42" t="str">
        <f aca="false">IF($A164="","",Data_Engine!$D164)</f>
        <v>Unallocated</v>
      </c>
      <c r="D164" s="69" t="n">
        <f aca="false">IF($A164="","",Data_Engine!$AD164)</f>
        <v>0</v>
      </c>
      <c r="E164" s="69" t="n">
        <f aca="false">IF($A164="","",Data_Engine!$AE164)</f>
        <v>0</v>
      </c>
      <c r="F164" s="73" t="n">
        <f aca="false">IF($A164="","",$D164-$E164)</f>
        <v>0</v>
      </c>
      <c r="G164" s="72" t="str">
        <f aca="false">IF($A164="","",IF(ROUND($E164,2)=0,"n/a",$F164/ABS($E164)))</f>
        <v>n/a</v>
      </c>
      <c r="H164" s="70" t="n">
        <f aca="false">IF($A164="","",Data_Engine!$AH164)</f>
        <v>0</v>
      </c>
      <c r="I164" s="69" t="n">
        <f aca="false">IF($A164="","",Data_Engine!$AI164)</f>
        <v>0</v>
      </c>
      <c r="J164" s="71" t="n">
        <f aca="false">IF($A164="","",$H164-$I164)</f>
        <v>0</v>
      </c>
      <c r="K164" s="72" t="str">
        <f aca="false">IF($A164="","",IF(ROUND($I164,2)=0,"n/a",$J164/ABS($I164)))</f>
        <v>n/a</v>
      </c>
      <c r="L164" s="69" t="n">
        <f aca="false">IF($A164="","",Data_Engine!$AJ164)</f>
        <v>0</v>
      </c>
      <c r="M164" s="73" t="n">
        <f aca="false">IF($A164="","",IF(Setup!$B$8=0,0,$H164/Setup!$B$8*12))</f>
        <v>0</v>
      </c>
      <c r="N164" s="72" t="str">
        <f aca="false">IF($A164="","",IF(ROUND($L164,2)=0,"n/a",($M164-$L164)/ABS($L164)))</f>
        <v>n/a</v>
      </c>
      <c r="O164" s="76" t="str">
        <f aca="false">IF($A164="","",IF(AND(ROUND($H164,2)=0,ROUND($I164,2)=0),"Dormant",IF(ROUND($I164,2)=0,"New this year",IF(ROUND($H164,2)=0,"Ceased",IF($J164&gt;0,"Increase",IF($J164&lt;0,"Decrease","Flat"))))))</f>
        <v>Dormant</v>
      </c>
      <c r="P164" s="74" t="str">
        <f aca="false">IF($A164="","",IF(AND(ROUND($H164,2)=0,ROUND($I164,2)=0),"No Activity",IF(ABS($J164)&lt;Setup!$B$14,"Low",IF(ROUND($I164,2)=0,"High",IF(OR(ABS($J164/$I164)&gt;=Setup!$B$16,ABS($J164)&gt;=Setup!$B$17),"High",IF(ABS($J164/$I164)&gt;=Setup!$B$15,"Medium","Low"))))))</f>
        <v>No Activity</v>
      </c>
      <c r="Q164" s="57"/>
      <c r="R164" s="75" t="n">
        <f aca="false">IF($A164="",-1000000000000000,IF(ROUND(ABS($J164),0)=0,-1000000000000000,ABS($J164)+ROW()/1000000))</f>
        <v>-1000000000000000</v>
      </c>
    </row>
    <row r="165" customFormat="false" ht="15" hidden="false" customHeight="false" outlineLevel="0" collapsed="false">
      <c r="A165" s="68" t="str">
        <f aca="false">IF(Data_Engine!$A165="","",Data_Engine!$A165)</f>
        <v>Office Supplies</v>
      </c>
      <c r="B165" s="42" t="str">
        <f aca="false">IF($A165="","",Data_Engine!$B165)</f>
        <v>Expenses</v>
      </c>
      <c r="C165" s="42" t="str">
        <f aca="false">IF($A165="","",Data_Engine!$D165)</f>
        <v>Unallocated</v>
      </c>
      <c r="D165" s="69" t="n">
        <f aca="false">IF($A165="","",Data_Engine!$AD165)</f>
        <v>0</v>
      </c>
      <c r="E165" s="69" t="n">
        <f aca="false">IF($A165="","",Data_Engine!$AE165)</f>
        <v>0</v>
      </c>
      <c r="F165" s="73" t="n">
        <f aca="false">IF($A165="","",$D165-$E165)</f>
        <v>0</v>
      </c>
      <c r="G165" s="72" t="str">
        <f aca="false">IF($A165="","",IF(ROUND($E165,2)=0,"n/a",$F165/ABS($E165)))</f>
        <v>n/a</v>
      </c>
      <c r="H165" s="70" t="n">
        <f aca="false">IF($A165="","",Data_Engine!$AH165)</f>
        <v>0</v>
      </c>
      <c r="I165" s="69" t="n">
        <f aca="false">IF($A165="","",Data_Engine!$AI165)</f>
        <v>0</v>
      </c>
      <c r="J165" s="71" t="n">
        <f aca="false">IF($A165="","",$H165-$I165)</f>
        <v>0</v>
      </c>
      <c r="K165" s="72" t="str">
        <f aca="false">IF($A165="","",IF(ROUND($I165,2)=0,"n/a",$J165/ABS($I165)))</f>
        <v>n/a</v>
      </c>
      <c r="L165" s="69" t="n">
        <f aca="false">IF($A165="","",Data_Engine!$AJ165)</f>
        <v>0</v>
      </c>
      <c r="M165" s="73" t="n">
        <f aca="false">IF($A165="","",IF(Setup!$B$8=0,0,$H165/Setup!$B$8*12))</f>
        <v>0</v>
      </c>
      <c r="N165" s="72" t="str">
        <f aca="false">IF($A165="","",IF(ROUND($L165,2)=0,"n/a",($M165-$L165)/ABS($L165)))</f>
        <v>n/a</v>
      </c>
      <c r="O165" s="76" t="str">
        <f aca="false">IF($A165="","",IF(AND(ROUND($H165,2)=0,ROUND($I165,2)=0),"Dormant",IF(ROUND($I165,2)=0,"New this year",IF(ROUND($H165,2)=0,"Ceased",IF($J165&gt;0,"Increase",IF($J165&lt;0,"Decrease","Flat"))))))</f>
        <v>Dormant</v>
      </c>
      <c r="P165" s="74" t="str">
        <f aca="false">IF($A165="","",IF(AND(ROUND($H165,2)=0,ROUND($I165,2)=0),"No Activity",IF(ABS($J165)&lt;Setup!$B$14,"Low",IF(ROUND($I165,2)=0,"High",IF(OR(ABS($J165/$I165)&gt;=Setup!$B$16,ABS($J165)&gt;=Setup!$B$17),"High",IF(ABS($J165/$I165)&gt;=Setup!$B$15,"Medium","Low"))))))</f>
        <v>No Activity</v>
      </c>
      <c r="Q165" s="57"/>
      <c r="R165" s="75" t="n">
        <f aca="false">IF($A165="",-1000000000000000,IF(ROUND(ABS($J165),0)=0,-1000000000000000,ABS($J165)+ROW()/1000000))</f>
        <v>-1000000000000000</v>
      </c>
    </row>
    <row r="166" customFormat="false" ht="15" hidden="false" customHeight="false" outlineLevel="0" collapsed="false">
      <c r="A166" s="68" t="str">
        <f aca="false">IF(Data_Engine!$A166="","",Data_Engine!$A166)</f>
        <v>Office Supplies [61500]</v>
      </c>
      <c r="B166" s="42" t="str">
        <f aca="false">IF($A166="","",Data_Engine!$B166)</f>
        <v>Expenses</v>
      </c>
      <c r="C166" s="42" t="str">
        <f aca="false">IF($A166="","",Data_Engine!$D166)</f>
        <v>Unallocated</v>
      </c>
      <c r="D166" s="69" t="n">
        <f aca="false">IF($A166="","",Data_Engine!$AD166)</f>
        <v>0</v>
      </c>
      <c r="E166" s="69" t="n">
        <f aca="false">IF($A166="","",Data_Engine!$AE166)</f>
        <v>0</v>
      </c>
      <c r="F166" s="73" t="n">
        <f aca="false">IF($A166="","",$D166-$E166)</f>
        <v>0</v>
      </c>
      <c r="G166" s="72" t="str">
        <f aca="false">IF($A166="","",IF(ROUND($E166,2)=0,"n/a",$F166/ABS($E166)))</f>
        <v>n/a</v>
      </c>
      <c r="H166" s="70" t="n">
        <f aca="false">IF($A166="","",Data_Engine!$AH166)</f>
        <v>0</v>
      </c>
      <c r="I166" s="69" t="n">
        <f aca="false">IF($A166="","",Data_Engine!$AI166)</f>
        <v>0</v>
      </c>
      <c r="J166" s="71" t="n">
        <f aca="false">IF($A166="","",$H166-$I166)</f>
        <v>0</v>
      </c>
      <c r="K166" s="72" t="str">
        <f aca="false">IF($A166="","",IF(ROUND($I166,2)=0,"n/a",$J166/ABS($I166)))</f>
        <v>n/a</v>
      </c>
      <c r="L166" s="69" t="n">
        <f aca="false">IF($A166="","",Data_Engine!$AJ166)</f>
        <v>0</v>
      </c>
      <c r="M166" s="73" t="n">
        <f aca="false">IF($A166="","",IF(Setup!$B$8=0,0,$H166/Setup!$B$8*12))</f>
        <v>0</v>
      </c>
      <c r="N166" s="72" t="str">
        <f aca="false">IF($A166="","",IF(ROUND($L166,2)=0,"n/a",($M166-$L166)/ABS($L166)))</f>
        <v>n/a</v>
      </c>
      <c r="O166" s="76" t="str">
        <f aca="false">IF($A166="","",IF(AND(ROUND($H166,2)=0,ROUND($I166,2)=0),"Dormant",IF(ROUND($I166,2)=0,"New this year",IF(ROUND($H166,2)=0,"Ceased",IF($J166&gt;0,"Increase",IF($J166&lt;0,"Decrease","Flat"))))))</f>
        <v>Dormant</v>
      </c>
      <c r="P166" s="74" t="str">
        <f aca="false">IF($A166="","",IF(AND(ROUND($H166,2)=0,ROUND($I166,2)=0),"No Activity",IF(ABS($J166)&lt;Setup!$B$14,"Low",IF(ROUND($I166,2)=0,"High",IF(OR(ABS($J166/$I166)&gt;=Setup!$B$16,ABS($J166)&gt;=Setup!$B$17),"High",IF(ABS($J166/$I166)&gt;=Setup!$B$15,"Medium","Low"))))))</f>
        <v>No Activity</v>
      </c>
      <c r="Q166" s="57"/>
      <c r="R166" s="75" t="n">
        <f aca="false">IF($A166="",-1000000000000000,IF(ROUND(ABS($J166),0)=0,-1000000000000000,ABS($J166)+ROW()/1000000))</f>
        <v>-1000000000000000</v>
      </c>
    </row>
    <row r="167" customFormat="false" ht="15" hidden="false" customHeight="false" outlineLevel="0" collapsed="false">
      <c r="A167" s="68" t="str">
        <f aca="false">IF(Data_Engine!$A167="","",Data_Engine!$A167)</f>
        <v>Other Expenses [64900]</v>
      </c>
      <c r="B167" s="42" t="str">
        <f aca="false">IF($A167="","",Data_Engine!$B167)</f>
        <v>Expenses</v>
      </c>
      <c r="C167" s="42" t="str">
        <f aca="false">IF($A167="","",Data_Engine!$D167)</f>
        <v>Unallocated</v>
      </c>
      <c r="D167" s="69" t="n">
        <f aca="false">IF($A167="","",Data_Engine!$AD167)</f>
        <v>0</v>
      </c>
      <c r="E167" s="69" t="n">
        <f aca="false">IF($A167="","",Data_Engine!$AE167)</f>
        <v>0</v>
      </c>
      <c r="F167" s="73" t="n">
        <f aca="false">IF($A167="","",$D167-$E167)</f>
        <v>0</v>
      </c>
      <c r="G167" s="72" t="str">
        <f aca="false">IF($A167="","",IF(ROUND($E167,2)=0,"n/a",$F167/ABS($E167)))</f>
        <v>n/a</v>
      </c>
      <c r="H167" s="70" t="n">
        <f aca="false">IF($A167="","",Data_Engine!$AH167)</f>
        <v>0</v>
      </c>
      <c r="I167" s="69" t="n">
        <f aca="false">IF($A167="","",Data_Engine!$AI167)</f>
        <v>0</v>
      </c>
      <c r="J167" s="71" t="n">
        <f aca="false">IF($A167="","",$H167-$I167)</f>
        <v>0</v>
      </c>
      <c r="K167" s="72" t="str">
        <f aca="false">IF($A167="","",IF(ROUND($I167,2)=0,"n/a",$J167/ABS($I167)))</f>
        <v>n/a</v>
      </c>
      <c r="L167" s="69" t="n">
        <f aca="false">IF($A167="","",Data_Engine!$AJ167)</f>
        <v>0</v>
      </c>
      <c r="M167" s="73" t="n">
        <f aca="false">IF($A167="","",IF(Setup!$B$8=0,0,$H167/Setup!$B$8*12))</f>
        <v>0</v>
      </c>
      <c r="N167" s="72" t="str">
        <f aca="false">IF($A167="","",IF(ROUND($L167,2)=0,"n/a",($M167-$L167)/ABS($L167)))</f>
        <v>n/a</v>
      </c>
      <c r="O167" s="76" t="str">
        <f aca="false">IF($A167="","",IF(AND(ROUND($H167,2)=0,ROUND($I167,2)=0),"Dormant",IF(ROUND($I167,2)=0,"New this year",IF(ROUND($H167,2)=0,"Ceased",IF($J167&gt;0,"Increase",IF($J167&lt;0,"Decrease","Flat"))))))</f>
        <v>Dormant</v>
      </c>
      <c r="P167" s="74" t="str">
        <f aca="false">IF($A167="","",IF(AND(ROUND($H167,2)=0,ROUND($I167,2)=0),"No Activity",IF(ABS($J167)&lt;Setup!$B$14,"Low",IF(ROUND($I167,2)=0,"High",IF(OR(ABS($J167/$I167)&gt;=Setup!$B$16,ABS($J167)&gt;=Setup!$B$17),"High",IF(ABS($J167/$I167)&gt;=Setup!$B$15,"Medium","Low"))))))</f>
        <v>No Activity</v>
      </c>
      <c r="Q167" s="57"/>
      <c r="R167" s="75" t="n">
        <f aca="false">IF($A167="",-1000000000000000,IF(ROUND(ABS($J167),0)=0,-1000000000000000,ABS($J167)+ROW()/1000000))</f>
        <v>-1000000000000000</v>
      </c>
    </row>
    <row r="168" customFormat="false" ht="15" hidden="false" customHeight="false" outlineLevel="0" collapsed="false">
      <c r="A168" s="68" t="str">
        <f aca="false">IF(Data_Engine!$A168="","",Data_Engine!$A168)</f>
        <v>Other Insurance</v>
      </c>
      <c r="B168" s="42" t="str">
        <f aca="false">IF($A168="","",Data_Engine!$B168)</f>
        <v>Expenses</v>
      </c>
      <c r="C168" s="42" t="str">
        <f aca="false">IF($A168="","",Data_Engine!$D168)</f>
        <v>Unallocated</v>
      </c>
      <c r="D168" s="69" t="n">
        <f aca="false">IF($A168="","",Data_Engine!$AD168)</f>
        <v>0</v>
      </c>
      <c r="E168" s="69" t="n">
        <f aca="false">IF($A168="","",Data_Engine!$AE168)</f>
        <v>0</v>
      </c>
      <c r="F168" s="73" t="n">
        <f aca="false">IF($A168="","",$D168-$E168)</f>
        <v>0</v>
      </c>
      <c r="G168" s="72" t="str">
        <f aca="false">IF($A168="","",IF(ROUND($E168,2)=0,"n/a",$F168/ABS($E168)))</f>
        <v>n/a</v>
      </c>
      <c r="H168" s="70" t="n">
        <f aca="false">IF($A168="","",Data_Engine!$AH168)</f>
        <v>0</v>
      </c>
      <c r="I168" s="69" t="n">
        <f aca="false">IF($A168="","",Data_Engine!$AI168)</f>
        <v>0</v>
      </c>
      <c r="J168" s="71" t="n">
        <f aca="false">IF($A168="","",$H168-$I168)</f>
        <v>0</v>
      </c>
      <c r="K168" s="72" t="str">
        <f aca="false">IF($A168="","",IF(ROUND($I168,2)=0,"n/a",$J168/ABS($I168)))</f>
        <v>n/a</v>
      </c>
      <c r="L168" s="69" t="n">
        <f aca="false">IF($A168="","",Data_Engine!$AJ168)</f>
        <v>0</v>
      </c>
      <c r="M168" s="73" t="n">
        <f aca="false">IF($A168="","",IF(Setup!$B$8=0,0,$H168/Setup!$B$8*12))</f>
        <v>0</v>
      </c>
      <c r="N168" s="72" t="str">
        <f aca="false">IF($A168="","",IF(ROUND($L168,2)=0,"n/a",($M168-$L168)/ABS($L168)))</f>
        <v>n/a</v>
      </c>
      <c r="O168" s="76" t="str">
        <f aca="false">IF($A168="","",IF(AND(ROUND($H168,2)=0,ROUND($I168,2)=0),"Dormant",IF(ROUND($I168,2)=0,"New this year",IF(ROUND($H168,2)=0,"Ceased",IF($J168&gt;0,"Increase",IF($J168&lt;0,"Decrease","Flat"))))))</f>
        <v>Dormant</v>
      </c>
      <c r="P168" s="74" t="str">
        <f aca="false">IF($A168="","",IF(AND(ROUND($H168,2)=0,ROUND($I168,2)=0),"No Activity",IF(ABS($J168)&lt;Setup!$B$14,"Low",IF(ROUND($I168,2)=0,"High",IF(OR(ABS($J168/$I168)&gt;=Setup!$B$16,ABS($J168)&gt;=Setup!$B$17),"High",IF(ABS($J168/$I168)&gt;=Setup!$B$15,"Medium","Low"))))))</f>
        <v>No Activity</v>
      </c>
      <c r="Q168" s="57"/>
      <c r="R168" s="75" t="n">
        <f aca="false">IF($A168="",-1000000000000000,IF(ROUND(ABS($J168),0)=0,-1000000000000000,ABS($J168)+ROW()/1000000))</f>
        <v>-1000000000000000</v>
      </c>
    </row>
    <row r="169" customFormat="false" ht="15" hidden="false" customHeight="false" outlineLevel="0" collapsed="false">
      <c r="A169" s="68" t="str">
        <f aca="false">IF(Data_Engine!$A169="","",Data_Engine!$A169)</f>
        <v>Other Telco Expenses</v>
      </c>
      <c r="B169" s="42" t="str">
        <f aca="false">IF($A169="","",Data_Engine!$B169)</f>
        <v>Expenses</v>
      </c>
      <c r="C169" s="42" t="str">
        <f aca="false">IF($A169="","",Data_Engine!$D169)</f>
        <v>Unallocated</v>
      </c>
      <c r="D169" s="69" t="n">
        <f aca="false">IF($A169="","",Data_Engine!$AD169)</f>
        <v>0</v>
      </c>
      <c r="E169" s="69" t="n">
        <f aca="false">IF($A169="","",Data_Engine!$AE169)</f>
        <v>0</v>
      </c>
      <c r="F169" s="73" t="n">
        <f aca="false">IF($A169="","",$D169-$E169)</f>
        <v>0</v>
      </c>
      <c r="G169" s="72" t="str">
        <f aca="false">IF($A169="","",IF(ROUND($E169,2)=0,"n/a",$F169/ABS($E169)))</f>
        <v>n/a</v>
      </c>
      <c r="H169" s="70" t="n">
        <f aca="false">IF($A169="","",Data_Engine!$AH169)</f>
        <v>0</v>
      </c>
      <c r="I169" s="69" t="n">
        <f aca="false">IF($A169="","",Data_Engine!$AI169)</f>
        <v>0</v>
      </c>
      <c r="J169" s="71" t="n">
        <f aca="false">IF($A169="","",$H169-$I169)</f>
        <v>0</v>
      </c>
      <c r="K169" s="72" t="str">
        <f aca="false">IF($A169="","",IF(ROUND($I169,2)=0,"n/a",$J169/ABS($I169)))</f>
        <v>n/a</v>
      </c>
      <c r="L169" s="69" t="n">
        <f aca="false">IF($A169="","",Data_Engine!$AJ169)</f>
        <v>0</v>
      </c>
      <c r="M169" s="73" t="n">
        <f aca="false">IF($A169="","",IF(Setup!$B$8=0,0,$H169/Setup!$B$8*12))</f>
        <v>0</v>
      </c>
      <c r="N169" s="72" t="str">
        <f aca="false">IF($A169="","",IF(ROUND($L169,2)=0,"n/a",($M169-$L169)/ABS($L169)))</f>
        <v>n/a</v>
      </c>
      <c r="O169" s="76" t="str">
        <f aca="false">IF($A169="","",IF(AND(ROUND($H169,2)=0,ROUND($I169,2)=0),"Dormant",IF(ROUND($I169,2)=0,"New this year",IF(ROUND($H169,2)=0,"Ceased",IF($J169&gt;0,"Increase",IF($J169&lt;0,"Decrease","Flat"))))))</f>
        <v>Dormant</v>
      </c>
      <c r="P169" s="74" t="str">
        <f aca="false">IF($A169="","",IF(AND(ROUND($H169,2)=0,ROUND($I169,2)=0),"No Activity",IF(ABS($J169)&lt;Setup!$B$14,"Low",IF(ROUND($I169,2)=0,"High",IF(OR(ABS($J169/$I169)&gt;=Setup!$B$16,ABS($J169)&gt;=Setup!$B$17),"High",IF(ABS($J169/$I169)&gt;=Setup!$B$15,"Medium","Low"))))))</f>
        <v>No Activity</v>
      </c>
      <c r="Q169" s="57"/>
      <c r="R169" s="75" t="n">
        <f aca="false">IF($A169="",-1000000000000000,IF(ROUND(ABS($J169),0)=0,-1000000000000000,ABS($J169)+ROW()/1000000))</f>
        <v>-1000000000000000</v>
      </c>
    </row>
    <row r="170" customFormat="false" ht="15" hidden="false" customHeight="false" outlineLevel="0" collapsed="false">
      <c r="A170" s="68" t="str">
        <f aca="false">IF(Data_Engine!$A170="","",Data_Engine!$A170)</f>
        <v>Pager</v>
      </c>
      <c r="B170" s="42" t="str">
        <f aca="false">IF($A170="","",Data_Engine!$B170)</f>
        <v>Expenses</v>
      </c>
      <c r="C170" s="42" t="str">
        <f aca="false">IF($A170="","",Data_Engine!$D170)</f>
        <v>Unallocated</v>
      </c>
      <c r="D170" s="69" t="n">
        <f aca="false">IF($A170="","",Data_Engine!$AD170)</f>
        <v>0</v>
      </c>
      <c r="E170" s="69" t="n">
        <f aca="false">IF($A170="","",Data_Engine!$AE170)</f>
        <v>0</v>
      </c>
      <c r="F170" s="73" t="n">
        <f aca="false">IF($A170="","",$D170-$E170)</f>
        <v>0</v>
      </c>
      <c r="G170" s="72" t="str">
        <f aca="false">IF($A170="","",IF(ROUND($E170,2)=0,"n/a",$F170/ABS($E170)))</f>
        <v>n/a</v>
      </c>
      <c r="H170" s="70" t="n">
        <f aca="false">IF($A170="","",Data_Engine!$AH170)</f>
        <v>0</v>
      </c>
      <c r="I170" s="69" t="n">
        <f aca="false">IF($A170="","",Data_Engine!$AI170)</f>
        <v>0</v>
      </c>
      <c r="J170" s="71" t="n">
        <f aca="false">IF($A170="","",$H170-$I170)</f>
        <v>0</v>
      </c>
      <c r="K170" s="72" t="str">
        <f aca="false">IF($A170="","",IF(ROUND($I170,2)=0,"n/a",$J170/ABS($I170)))</f>
        <v>n/a</v>
      </c>
      <c r="L170" s="69" t="n">
        <f aca="false">IF($A170="","",Data_Engine!$AJ170)</f>
        <v>0</v>
      </c>
      <c r="M170" s="73" t="n">
        <f aca="false">IF($A170="","",IF(Setup!$B$8=0,0,$H170/Setup!$B$8*12))</f>
        <v>0</v>
      </c>
      <c r="N170" s="72" t="str">
        <f aca="false">IF($A170="","",IF(ROUND($L170,2)=0,"n/a",($M170-$L170)/ABS($L170)))</f>
        <v>n/a</v>
      </c>
      <c r="O170" s="76" t="str">
        <f aca="false">IF($A170="","",IF(AND(ROUND($H170,2)=0,ROUND($I170,2)=0),"Dormant",IF(ROUND($I170,2)=0,"New this year",IF(ROUND($H170,2)=0,"Ceased",IF($J170&gt;0,"Increase",IF($J170&lt;0,"Decrease","Flat"))))))</f>
        <v>Dormant</v>
      </c>
      <c r="P170" s="74" t="str">
        <f aca="false">IF($A170="","",IF(AND(ROUND($H170,2)=0,ROUND($I170,2)=0),"No Activity",IF(ABS($J170)&lt;Setup!$B$14,"Low",IF(ROUND($I170,2)=0,"High",IF(OR(ABS($J170/$I170)&gt;=Setup!$B$16,ABS($J170)&gt;=Setup!$B$17),"High",IF(ABS($J170/$I170)&gt;=Setup!$B$15,"Medium","Low"))))))</f>
        <v>No Activity</v>
      </c>
      <c r="Q170" s="57"/>
      <c r="R170" s="75" t="n">
        <f aca="false">IF($A170="",-1000000000000000,IF(ROUND(ABS($J170),0)=0,-1000000000000000,ABS($J170)+ROW()/1000000))</f>
        <v>-1000000000000000</v>
      </c>
    </row>
    <row r="171" customFormat="false" ht="15" hidden="false" customHeight="false" outlineLevel="0" collapsed="false">
      <c r="A171" s="68" t="str">
        <f aca="false">IF(Data_Engine!$A171="","",Data_Engine!$A171)</f>
        <v>Payroll Processing Fee</v>
      </c>
      <c r="B171" s="42" t="str">
        <f aca="false">IF($A171="","",Data_Engine!$B171)</f>
        <v>Expenses</v>
      </c>
      <c r="C171" s="42" t="str">
        <f aca="false">IF($A171="","",Data_Engine!$D171)</f>
        <v>Unallocated</v>
      </c>
      <c r="D171" s="69" t="n">
        <f aca="false">IF($A171="","",Data_Engine!$AD171)</f>
        <v>0</v>
      </c>
      <c r="E171" s="69" t="n">
        <f aca="false">IF($A171="","",Data_Engine!$AE171)</f>
        <v>0</v>
      </c>
      <c r="F171" s="73" t="n">
        <f aca="false">IF($A171="","",$D171-$E171)</f>
        <v>0</v>
      </c>
      <c r="G171" s="72" t="str">
        <f aca="false">IF($A171="","",IF(ROUND($E171,2)=0,"n/a",$F171/ABS($E171)))</f>
        <v>n/a</v>
      </c>
      <c r="H171" s="70" t="n">
        <f aca="false">IF($A171="","",Data_Engine!$AH171)</f>
        <v>0</v>
      </c>
      <c r="I171" s="69" t="n">
        <f aca="false">IF($A171="","",Data_Engine!$AI171)</f>
        <v>0</v>
      </c>
      <c r="J171" s="71" t="n">
        <f aca="false">IF($A171="","",$H171-$I171)</f>
        <v>0</v>
      </c>
      <c r="K171" s="72" t="str">
        <f aca="false">IF($A171="","",IF(ROUND($I171,2)=0,"n/a",$J171/ABS($I171)))</f>
        <v>n/a</v>
      </c>
      <c r="L171" s="69" t="n">
        <f aca="false">IF($A171="","",Data_Engine!$AJ171)</f>
        <v>0</v>
      </c>
      <c r="M171" s="73" t="n">
        <f aca="false">IF($A171="","",IF(Setup!$B$8=0,0,$H171/Setup!$B$8*12))</f>
        <v>0</v>
      </c>
      <c r="N171" s="72" t="str">
        <f aca="false">IF($A171="","",IF(ROUND($L171,2)=0,"n/a",($M171-$L171)/ABS($L171)))</f>
        <v>n/a</v>
      </c>
      <c r="O171" s="76" t="str">
        <f aca="false">IF($A171="","",IF(AND(ROUND($H171,2)=0,ROUND($I171,2)=0),"Dormant",IF(ROUND($I171,2)=0,"New this year",IF(ROUND($H171,2)=0,"Ceased",IF($J171&gt;0,"Increase",IF($J171&lt;0,"Decrease","Flat"))))))</f>
        <v>Dormant</v>
      </c>
      <c r="P171" s="74" t="str">
        <f aca="false">IF($A171="","",IF(AND(ROUND($H171,2)=0,ROUND($I171,2)=0),"No Activity",IF(ABS($J171)&lt;Setup!$B$14,"Low",IF(ROUND($I171,2)=0,"High",IF(OR(ABS($J171/$I171)&gt;=Setup!$B$16,ABS($J171)&gt;=Setup!$B$17),"High",IF(ABS($J171/$I171)&gt;=Setup!$B$15,"Medium","Low"))))))</f>
        <v>No Activity</v>
      </c>
      <c r="Q171" s="57"/>
      <c r="R171" s="75" t="n">
        <f aca="false">IF($A171="",-1000000000000000,IF(ROUND(ABS($J171),0)=0,-1000000000000000,ABS($J171)+ROW()/1000000))</f>
        <v>-1000000000000000</v>
      </c>
    </row>
    <row r="172" customFormat="false" ht="15" hidden="false" customHeight="false" outlineLevel="0" collapsed="false">
      <c r="A172" s="68" t="str">
        <f aca="false">IF(Data_Engine!$A172="","",Data_Engine!$A172)</f>
        <v>Payroll Tax</v>
      </c>
      <c r="B172" s="42" t="str">
        <f aca="false">IF($A172="","",Data_Engine!$B172)</f>
        <v>Expenses</v>
      </c>
      <c r="C172" s="42" t="str">
        <f aca="false">IF($A172="","",Data_Engine!$D172)</f>
        <v>Unallocated</v>
      </c>
      <c r="D172" s="69" t="n">
        <f aca="false">IF($A172="","",Data_Engine!$AD172)</f>
        <v>0</v>
      </c>
      <c r="E172" s="69" t="n">
        <f aca="false">IF($A172="","",Data_Engine!$AE172)</f>
        <v>0</v>
      </c>
      <c r="F172" s="73" t="n">
        <f aca="false">IF($A172="","",$D172-$E172)</f>
        <v>0</v>
      </c>
      <c r="G172" s="72" t="str">
        <f aca="false">IF($A172="","",IF(ROUND($E172,2)=0,"n/a",$F172/ABS($E172)))</f>
        <v>n/a</v>
      </c>
      <c r="H172" s="70" t="n">
        <f aca="false">IF($A172="","",Data_Engine!$AH172)</f>
        <v>0</v>
      </c>
      <c r="I172" s="69" t="n">
        <f aca="false">IF($A172="","",Data_Engine!$AI172)</f>
        <v>0</v>
      </c>
      <c r="J172" s="71" t="n">
        <f aca="false">IF($A172="","",$H172-$I172)</f>
        <v>0</v>
      </c>
      <c r="K172" s="72" t="str">
        <f aca="false">IF($A172="","",IF(ROUND($I172,2)=0,"n/a",$J172/ABS($I172)))</f>
        <v>n/a</v>
      </c>
      <c r="L172" s="69" t="n">
        <f aca="false">IF($A172="","",Data_Engine!$AJ172)</f>
        <v>0</v>
      </c>
      <c r="M172" s="73" t="n">
        <f aca="false">IF($A172="","",IF(Setup!$B$8=0,0,$H172/Setup!$B$8*12))</f>
        <v>0</v>
      </c>
      <c r="N172" s="72" t="str">
        <f aca="false">IF($A172="","",IF(ROUND($L172,2)=0,"n/a",($M172-$L172)/ABS($L172)))</f>
        <v>n/a</v>
      </c>
      <c r="O172" s="76" t="str">
        <f aca="false">IF($A172="","",IF(AND(ROUND($H172,2)=0,ROUND($I172,2)=0),"Dormant",IF(ROUND($I172,2)=0,"New this year",IF(ROUND($H172,2)=0,"Ceased",IF($J172&gt;0,"Increase",IF($J172&lt;0,"Decrease","Flat"))))))</f>
        <v>Dormant</v>
      </c>
      <c r="P172" s="74" t="str">
        <f aca="false">IF($A172="","",IF(AND(ROUND($H172,2)=0,ROUND($I172,2)=0),"No Activity",IF(ABS($J172)&lt;Setup!$B$14,"Low",IF(ROUND($I172,2)=0,"High",IF(OR(ABS($J172/$I172)&gt;=Setup!$B$16,ABS($J172)&gt;=Setup!$B$17),"High",IF(ABS($J172/$I172)&gt;=Setup!$B$15,"Medium","Low"))))))</f>
        <v>No Activity</v>
      </c>
      <c r="Q172" s="57"/>
      <c r="R172" s="75" t="n">
        <f aca="false">IF($A172="",-1000000000000000,IF(ROUND(ABS($J172),0)=0,-1000000000000000,ABS($J172)+ROW()/1000000))</f>
        <v>-1000000000000000</v>
      </c>
    </row>
    <row r="173" customFormat="false" ht="15" hidden="false" customHeight="false" outlineLevel="0" collapsed="false">
      <c r="A173" s="68" t="str">
        <f aca="false">IF(Data_Engine!$A173="","",Data_Engine!$A173)</f>
        <v>Postage</v>
      </c>
      <c r="B173" s="42" t="str">
        <f aca="false">IF($A173="","",Data_Engine!$B173)</f>
        <v>Expenses</v>
      </c>
      <c r="C173" s="42" t="str">
        <f aca="false">IF($A173="","",Data_Engine!$D173)</f>
        <v>Unallocated</v>
      </c>
      <c r="D173" s="69" t="n">
        <f aca="false">IF($A173="","",Data_Engine!$AD173)</f>
        <v>0</v>
      </c>
      <c r="E173" s="69" t="n">
        <f aca="false">IF($A173="","",Data_Engine!$AE173)</f>
        <v>0</v>
      </c>
      <c r="F173" s="73" t="n">
        <f aca="false">IF($A173="","",$D173-$E173)</f>
        <v>0</v>
      </c>
      <c r="G173" s="72" t="str">
        <f aca="false">IF($A173="","",IF(ROUND($E173,2)=0,"n/a",$F173/ABS($E173)))</f>
        <v>n/a</v>
      </c>
      <c r="H173" s="70" t="n">
        <f aca="false">IF($A173="","",Data_Engine!$AH173)</f>
        <v>0</v>
      </c>
      <c r="I173" s="69" t="n">
        <f aca="false">IF($A173="","",Data_Engine!$AI173)</f>
        <v>0</v>
      </c>
      <c r="J173" s="71" t="n">
        <f aca="false">IF($A173="","",$H173-$I173)</f>
        <v>0</v>
      </c>
      <c r="K173" s="72" t="str">
        <f aca="false">IF($A173="","",IF(ROUND($I173,2)=0,"n/a",$J173/ABS($I173)))</f>
        <v>n/a</v>
      </c>
      <c r="L173" s="69" t="n">
        <f aca="false">IF($A173="","",Data_Engine!$AJ173)</f>
        <v>0</v>
      </c>
      <c r="M173" s="73" t="n">
        <f aca="false">IF($A173="","",IF(Setup!$B$8=0,0,$H173/Setup!$B$8*12))</f>
        <v>0</v>
      </c>
      <c r="N173" s="72" t="str">
        <f aca="false">IF($A173="","",IF(ROUND($L173,2)=0,"n/a",($M173-$L173)/ABS($L173)))</f>
        <v>n/a</v>
      </c>
      <c r="O173" s="76" t="str">
        <f aca="false">IF($A173="","",IF(AND(ROUND($H173,2)=0,ROUND($I173,2)=0),"Dormant",IF(ROUND($I173,2)=0,"New this year",IF(ROUND($H173,2)=0,"Ceased",IF($J173&gt;0,"Increase",IF($J173&lt;0,"Decrease","Flat"))))))</f>
        <v>Dormant</v>
      </c>
      <c r="P173" s="74" t="str">
        <f aca="false">IF($A173="","",IF(AND(ROUND($H173,2)=0,ROUND($I173,2)=0),"No Activity",IF(ABS($J173)&lt;Setup!$B$14,"Low",IF(ROUND($I173,2)=0,"High",IF(OR(ABS($J173/$I173)&gt;=Setup!$B$16,ABS($J173)&gt;=Setup!$B$17),"High",IF(ABS($J173/$I173)&gt;=Setup!$B$15,"Medium","Low"))))))</f>
        <v>No Activity</v>
      </c>
      <c r="Q173" s="57"/>
      <c r="R173" s="75" t="n">
        <f aca="false">IF($A173="",-1000000000000000,IF(ROUND(ABS($J173),0)=0,-1000000000000000,ABS($J173)+ROW()/1000000))</f>
        <v>-1000000000000000</v>
      </c>
    </row>
    <row r="174" customFormat="false" ht="15" hidden="false" customHeight="false" outlineLevel="0" collapsed="false">
      <c r="A174" s="68" t="str">
        <f aca="false">IF(Data_Engine!$A174="","",Data_Engine!$A174)</f>
        <v>Printing</v>
      </c>
      <c r="B174" s="42" t="str">
        <f aca="false">IF($A174="","",Data_Engine!$B174)</f>
        <v>Expenses</v>
      </c>
      <c r="C174" s="42" t="str">
        <f aca="false">IF($A174="","",Data_Engine!$D174)</f>
        <v>Unallocated</v>
      </c>
      <c r="D174" s="69" t="n">
        <f aca="false">IF($A174="","",Data_Engine!$AD174)</f>
        <v>0</v>
      </c>
      <c r="E174" s="69" t="n">
        <f aca="false">IF($A174="","",Data_Engine!$AE174)</f>
        <v>0</v>
      </c>
      <c r="F174" s="73" t="n">
        <f aca="false">IF($A174="","",$D174-$E174)</f>
        <v>0</v>
      </c>
      <c r="G174" s="72" t="str">
        <f aca="false">IF($A174="","",IF(ROUND($E174,2)=0,"n/a",$F174/ABS($E174)))</f>
        <v>n/a</v>
      </c>
      <c r="H174" s="70" t="n">
        <f aca="false">IF($A174="","",Data_Engine!$AH174)</f>
        <v>0</v>
      </c>
      <c r="I174" s="69" t="n">
        <f aca="false">IF($A174="","",Data_Engine!$AI174)</f>
        <v>0</v>
      </c>
      <c r="J174" s="71" t="n">
        <f aca="false">IF($A174="","",$H174-$I174)</f>
        <v>0</v>
      </c>
      <c r="K174" s="72" t="str">
        <f aca="false">IF($A174="","",IF(ROUND($I174,2)=0,"n/a",$J174/ABS($I174)))</f>
        <v>n/a</v>
      </c>
      <c r="L174" s="69" t="n">
        <f aca="false">IF($A174="","",Data_Engine!$AJ174)</f>
        <v>0</v>
      </c>
      <c r="M174" s="73" t="n">
        <f aca="false">IF($A174="","",IF(Setup!$B$8=0,0,$H174/Setup!$B$8*12))</f>
        <v>0</v>
      </c>
      <c r="N174" s="72" t="str">
        <f aca="false">IF($A174="","",IF(ROUND($L174,2)=0,"n/a",($M174-$L174)/ABS($L174)))</f>
        <v>n/a</v>
      </c>
      <c r="O174" s="76" t="str">
        <f aca="false">IF($A174="","",IF(AND(ROUND($H174,2)=0,ROUND($I174,2)=0),"Dormant",IF(ROUND($I174,2)=0,"New this year",IF(ROUND($H174,2)=0,"Ceased",IF($J174&gt;0,"Increase",IF($J174&lt;0,"Decrease","Flat"))))))</f>
        <v>Dormant</v>
      </c>
      <c r="P174" s="74" t="str">
        <f aca="false">IF($A174="","",IF(AND(ROUND($H174,2)=0,ROUND($I174,2)=0),"No Activity",IF(ABS($J174)&lt;Setup!$B$14,"Low",IF(ROUND($I174,2)=0,"High",IF(OR(ABS($J174/$I174)&gt;=Setup!$B$16,ABS($J174)&gt;=Setup!$B$17),"High",IF(ABS($J174/$I174)&gt;=Setup!$B$15,"Medium","Low"))))))</f>
        <v>No Activity</v>
      </c>
      <c r="Q174" s="57"/>
      <c r="R174" s="75" t="n">
        <f aca="false">IF($A174="",-1000000000000000,IF(ROUND(ABS($J174),0)=0,-1000000000000000,ABS($J174)+ROW()/1000000))</f>
        <v>-1000000000000000</v>
      </c>
    </row>
    <row r="175" customFormat="false" ht="15" hidden="false" customHeight="false" outlineLevel="0" collapsed="false">
      <c r="A175" s="68" t="str">
        <f aca="false">IF(Data_Engine!$A175="","",Data_Engine!$A175)</f>
        <v>Professional Indemnity</v>
      </c>
      <c r="B175" s="42" t="str">
        <f aca="false">IF($A175="","",Data_Engine!$B175)</f>
        <v>Expenses</v>
      </c>
      <c r="C175" s="42" t="str">
        <f aca="false">IF($A175="","",Data_Engine!$D175)</f>
        <v>Unallocated</v>
      </c>
      <c r="D175" s="69" t="n">
        <f aca="false">IF($A175="","",Data_Engine!$AD175)</f>
        <v>0</v>
      </c>
      <c r="E175" s="69" t="n">
        <f aca="false">IF($A175="","",Data_Engine!$AE175)</f>
        <v>0</v>
      </c>
      <c r="F175" s="73" t="n">
        <f aca="false">IF($A175="","",$D175-$E175)</f>
        <v>0</v>
      </c>
      <c r="G175" s="72" t="str">
        <f aca="false">IF($A175="","",IF(ROUND($E175,2)=0,"n/a",$F175/ABS($E175)))</f>
        <v>n/a</v>
      </c>
      <c r="H175" s="70" t="n">
        <f aca="false">IF($A175="","",Data_Engine!$AH175)</f>
        <v>0</v>
      </c>
      <c r="I175" s="69" t="n">
        <f aca="false">IF($A175="","",Data_Engine!$AI175)</f>
        <v>0</v>
      </c>
      <c r="J175" s="71" t="n">
        <f aca="false">IF($A175="","",$H175-$I175)</f>
        <v>0</v>
      </c>
      <c r="K175" s="72" t="str">
        <f aca="false">IF($A175="","",IF(ROUND($I175,2)=0,"n/a",$J175/ABS($I175)))</f>
        <v>n/a</v>
      </c>
      <c r="L175" s="69" t="n">
        <f aca="false">IF($A175="","",Data_Engine!$AJ175)</f>
        <v>0</v>
      </c>
      <c r="M175" s="73" t="n">
        <f aca="false">IF($A175="","",IF(Setup!$B$8=0,0,$H175/Setup!$B$8*12))</f>
        <v>0</v>
      </c>
      <c r="N175" s="72" t="str">
        <f aca="false">IF($A175="","",IF(ROUND($L175,2)=0,"n/a",($M175-$L175)/ABS($L175)))</f>
        <v>n/a</v>
      </c>
      <c r="O175" s="76" t="str">
        <f aca="false">IF($A175="","",IF(AND(ROUND($H175,2)=0,ROUND($I175,2)=0),"Dormant",IF(ROUND($I175,2)=0,"New this year",IF(ROUND($H175,2)=0,"Ceased",IF($J175&gt;0,"Increase",IF($J175&lt;0,"Decrease","Flat"))))))</f>
        <v>Dormant</v>
      </c>
      <c r="P175" s="74" t="str">
        <f aca="false">IF($A175="","",IF(AND(ROUND($H175,2)=0,ROUND($I175,2)=0),"No Activity",IF(ABS($J175)&lt;Setup!$B$14,"Low",IF(ROUND($I175,2)=0,"High",IF(OR(ABS($J175/$I175)&gt;=Setup!$B$16,ABS($J175)&gt;=Setup!$B$17),"High",IF(ABS($J175/$I175)&gt;=Setup!$B$15,"Medium","Low"))))))</f>
        <v>No Activity</v>
      </c>
      <c r="Q175" s="57"/>
      <c r="R175" s="75" t="n">
        <f aca="false">IF($A175="",-1000000000000000,IF(ROUND(ABS($J175),0)=0,-1000000000000000,ABS($J175)+ROW()/1000000))</f>
        <v>-1000000000000000</v>
      </c>
    </row>
    <row r="176" customFormat="false" ht="15" hidden="false" customHeight="false" outlineLevel="0" collapsed="false">
      <c r="A176" s="68" t="str">
        <f aca="false">IF(Data_Engine!$A176="","",Data_Engine!$A176)</f>
        <v>Realised Currency Gains</v>
      </c>
      <c r="B176" s="42" t="str">
        <f aca="false">IF($A176="","",Data_Engine!$B176)</f>
        <v>Expenses</v>
      </c>
      <c r="C176" s="42" t="str">
        <f aca="false">IF($A176="","",Data_Engine!$D176)</f>
        <v>Unallocated</v>
      </c>
      <c r="D176" s="69" t="n">
        <f aca="false">IF($A176="","",Data_Engine!$AD176)</f>
        <v>0</v>
      </c>
      <c r="E176" s="69" t="n">
        <f aca="false">IF($A176="","",Data_Engine!$AE176)</f>
        <v>0</v>
      </c>
      <c r="F176" s="73" t="n">
        <f aca="false">IF($A176="","",$D176-$E176)</f>
        <v>0</v>
      </c>
      <c r="G176" s="72" t="str">
        <f aca="false">IF($A176="","",IF(ROUND($E176,2)=0,"n/a",$F176/ABS($E176)))</f>
        <v>n/a</v>
      </c>
      <c r="H176" s="70" t="n">
        <f aca="false">IF($A176="","",Data_Engine!$AH176)</f>
        <v>0</v>
      </c>
      <c r="I176" s="69" t="n">
        <f aca="false">IF($A176="","",Data_Engine!$AI176)</f>
        <v>0</v>
      </c>
      <c r="J176" s="71" t="n">
        <f aca="false">IF($A176="","",$H176-$I176)</f>
        <v>0</v>
      </c>
      <c r="K176" s="72" t="str">
        <f aca="false">IF($A176="","",IF(ROUND($I176,2)=0,"n/a",$J176/ABS($I176)))</f>
        <v>n/a</v>
      </c>
      <c r="L176" s="69" t="n">
        <f aca="false">IF($A176="","",Data_Engine!$AJ176)</f>
        <v>0</v>
      </c>
      <c r="M176" s="73" t="n">
        <f aca="false">IF($A176="","",IF(Setup!$B$8=0,0,$H176/Setup!$B$8*12))</f>
        <v>0</v>
      </c>
      <c r="N176" s="72" t="str">
        <f aca="false">IF($A176="","",IF(ROUND($L176,2)=0,"n/a",($M176-$L176)/ABS($L176)))</f>
        <v>n/a</v>
      </c>
      <c r="O176" s="76" t="str">
        <f aca="false">IF($A176="","",IF(AND(ROUND($H176,2)=0,ROUND($I176,2)=0),"Dormant",IF(ROUND($I176,2)=0,"New this year",IF(ROUND($H176,2)=0,"Ceased",IF($J176&gt;0,"Increase",IF($J176&lt;0,"Decrease","Flat"))))))</f>
        <v>Dormant</v>
      </c>
      <c r="P176" s="74" t="str">
        <f aca="false">IF($A176="","",IF(AND(ROUND($H176,2)=0,ROUND($I176,2)=0),"No Activity",IF(ABS($J176)&lt;Setup!$B$14,"Low",IF(ROUND($I176,2)=0,"High",IF(OR(ABS($J176/$I176)&gt;=Setup!$B$16,ABS($J176)&gt;=Setup!$B$17),"High",IF(ABS($J176/$I176)&gt;=Setup!$B$15,"Medium","Low"))))))</f>
        <v>No Activity</v>
      </c>
      <c r="Q176" s="57"/>
      <c r="R176" s="75" t="n">
        <f aca="false">IF($A176="",-1000000000000000,IF(ROUND(ABS($J176),0)=0,-1000000000000000,ABS($J176)+ROW()/1000000))</f>
        <v>-1000000000000000</v>
      </c>
    </row>
    <row r="177" customFormat="false" ht="15" hidden="false" customHeight="false" outlineLevel="0" collapsed="false">
      <c r="A177" s="68" t="str">
        <f aca="false">IF(Data_Engine!$A177="","",Data_Engine!$A177)</f>
        <v>Recruitment</v>
      </c>
      <c r="B177" s="42" t="str">
        <f aca="false">IF($A177="","",Data_Engine!$B177)</f>
        <v>Expenses</v>
      </c>
      <c r="C177" s="42" t="str">
        <f aca="false">IF($A177="","",Data_Engine!$D177)</f>
        <v>Unallocated</v>
      </c>
      <c r="D177" s="69" t="n">
        <f aca="false">IF($A177="","",Data_Engine!$AD177)</f>
        <v>0</v>
      </c>
      <c r="E177" s="69" t="n">
        <f aca="false">IF($A177="","",Data_Engine!$AE177)</f>
        <v>0</v>
      </c>
      <c r="F177" s="73" t="n">
        <f aca="false">IF($A177="","",$D177-$E177)</f>
        <v>0</v>
      </c>
      <c r="G177" s="72" t="str">
        <f aca="false">IF($A177="","",IF(ROUND($E177,2)=0,"n/a",$F177/ABS($E177)))</f>
        <v>n/a</v>
      </c>
      <c r="H177" s="70" t="n">
        <f aca="false">IF($A177="","",Data_Engine!$AH177)</f>
        <v>0</v>
      </c>
      <c r="I177" s="69" t="n">
        <f aca="false">IF($A177="","",Data_Engine!$AI177)</f>
        <v>0</v>
      </c>
      <c r="J177" s="71" t="n">
        <f aca="false">IF($A177="","",$H177-$I177)</f>
        <v>0</v>
      </c>
      <c r="K177" s="72" t="str">
        <f aca="false">IF($A177="","",IF(ROUND($I177,2)=0,"n/a",$J177/ABS($I177)))</f>
        <v>n/a</v>
      </c>
      <c r="L177" s="69" t="n">
        <f aca="false">IF($A177="","",Data_Engine!$AJ177)</f>
        <v>0</v>
      </c>
      <c r="M177" s="73" t="n">
        <f aca="false">IF($A177="","",IF(Setup!$B$8=0,0,$H177/Setup!$B$8*12))</f>
        <v>0</v>
      </c>
      <c r="N177" s="72" t="str">
        <f aca="false">IF($A177="","",IF(ROUND($L177,2)=0,"n/a",($M177-$L177)/ABS($L177)))</f>
        <v>n/a</v>
      </c>
      <c r="O177" s="76" t="str">
        <f aca="false">IF($A177="","",IF(AND(ROUND($H177,2)=0,ROUND($I177,2)=0),"Dormant",IF(ROUND($I177,2)=0,"New this year",IF(ROUND($H177,2)=0,"Ceased",IF($J177&gt;0,"Increase",IF($J177&lt;0,"Decrease","Flat"))))))</f>
        <v>Dormant</v>
      </c>
      <c r="P177" s="74" t="str">
        <f aca="false">IF($A177="","",IF(AND(ROUND($H177,2)=0,ROUND($I177,2)=0),"No Activity",IF(ABS($J177)&lt;Setup!$B$14,"Low",IF(ROUND($I177,2)=0,"High",IF(OR(ABS($J177/$I177)&gt;=Setup!$B$16,ABS($J177)&gt;=Setup!$B$17),"High",IF(ABS($J177/$I177)&gt;=Setup!$B$15,"Medium","Low"))))))</f>
        <v>No Activity</v>
      </c>
      <c r="Q177" s="57"/>
      <c r="R177" s="75" t="n">
        <f aca="false">IF($A177="",-1000000000000000,IF(ROUND(ABS($J177),0)=0,-1000000000000000,ABS($J177)+ROW()/1000000))</f>
        <v>-1000000000000000</v>
      </c>
    </row>
    <row r="178" customFormat="false" ht="15" hidden="false" customHeight="false" outlineLevel="0" collapsed="false">
      <c r="A178" s="68" t="str">
        <f aca="false">IF(Data_Engine!$A178="","",Data_Engine!$A178)</f>
        <v>Rent</v>
      </c>
      <c r="B178" s="42" t="str">
        <f aca="false">IF($A178="","",Data_Engine!$B178)</f>
        <v>Expenses</v>
      </c>
      <c r="C178" s="42" t="str">
        <f aca="false">IF($A178="","",Data_Engine!$D178)</f>
        <v>Unallocated</v>
      </c>
      <c r="D178" s="69" t="n">
        <f aca="false">IF($A178="","",Data_Engine!$AD178)</f>
        <v>0</v>
      </c>
      <c r="E178" s="69" t="n">
        <f aca="false">IF($A178="","",Data_Engine!$AE178)</f>
        <v>0</v>
      </c>
      <c r="F178" s="73" t="n">
        <f aca="false">IF($A178="","",$D178-$E178)</f>
        <v>0</v>
      </c>
      <c r="G178" s="72" t="str">
        <f aca="false">IF($A178="","",IF(ROUND($E178,2)=0,"n/a",$F178/ABS($E178)))</f>
        <v>n/a</v>
      </c>
      <c r="H178" s="70" t="n">
        <f aca="false">IF($A178="","",Data_Engine!$AH178)</f>
        <v>0</v>
      </c>
      <c r="I178" s="69" t="n">
        <f aca="false">IF($A178="","",Data_Engine!$AI178)</f>
        <v>0</v>
      </c>
      <c r="J178" s="71" t="n">
        <f aca="false">IF($A178="","",$H178-$I178)</f>
        <v>0</v>
      </c>
      <c r="K178" s="72" t="str">
        <f aca="false">IF($A178="","",IF(ROUND($I178,2)=0,"n/a",$J178/ABS($I178)))</f>
        <v>n/a</v>
      </c>
      <c r="L178" s="69" t="n">
        <f aca="false">IF($A178="","",Data_Engine!$AJ178)</f>
        <v>0</v>
      </c>
      <c r="M178" s="73" t="n">
        <f aca="false">IF($A178="","",IF(Setup!$B$8=0,0,$H178/Setup!$B$8*12))</f>
        <v>0</v>
      </c>
      <c r="N178" s="72" t="str">
        <f aca="false">IF($A178="","",IF(ROUND($L178,2)=0,"n/a",($M178-$L178)/ABS($L178)))</f>
        <v>n/a</v>
      </c>
      <c r="O178" s="76" t="str">
        <f aca="false">IF($A178="","",IF(AND(ROUND($H178,2)=0,ROUND($I178,2)=0),"Dormant",IF(ROUND($I178,2)=0,"New this year",IF(ROUND($H178,2)=0,"Ceased",IF($J178&gt;0,"Increase",IF($J178&lt;0,"Decrease","Flat"))))))</f>
        <v>Dormant</v>
      </c>
      <c r="P178" s="74" t="str">
        <f aca="false">IF($A178="","",IF(AND(ROUND($H178,2)=0,ROUND($I178,2)=0),"No Activity",IF(ABS($J178)&lt;Setup!$B$14,"Low",IF(ROUND($I178,2)=0,"High",IF(OR(ABS($J178/$I178)&gt;=Setup!$B$16,ABS($J178)&gt;=Setup!$B$17),"High",IF(ABS($J178/$I178)&gt;=Setup!$B$15,"Medium","Low"))))))</f>
        <v>No Activity</v>
      </c>
      <c r="Q178" s="57"/>
      <c r="R178" s="75" t="n">
        <f aca="false">IF($A178="",-1000000000000000,IF(ROUND(ABS($J178),0)=0,-1000000000000000,ABS($J178)+ROW()/1000000))</f>
        <v>-1000000000000000</v>
      </c>
    </row>
    <row r="179" customFormat="false" ht="15" hidden="false" customHeight="false" outlineLevel="0" collapsed="false">
      <c r="A179" s="68" t="str">
        <f aca="false">IF(Data_Engine!$A179="","",Data_Engine!$A179)</f>
        <v>Rental Outgoings</v>
      </c>
      <c r="B179" s="42" t="str">
        <f aca="false">IF($A179="","",Data_Engine!$B179)</f>
        <v>Expenses</v>
      </c>
      <c r="C179" s="42" t="str">
        <f aca="false">IF($A179="","",Data_Engine!$D179)</f>
        <v>Unallocated</v>
      </c>
      <c r="D179" s="69" t="n">
        <f aca="false">IF($A179="","",Data_Engine!$AD179)</f>
        <v>0</v>
      </c>
      <c r="E179" s="69" t="n">
        <f aca="false">IF($A179="","",Data_Engine!$AE179)</f>
        <v>0</v>
      </c>
      <c r="F179" s="73" t="n">
        <f aca="false">IF($A179="","",$D179-$E179)</f>
        <v>0</v>
      </c>
      <c r="G179" s="72" t="str">
        <f aca="false">IF($A179="","",IF(ROUND($E179,2)=0,"n/a",$F179/ABS($E179)))</f>
        <v>n/a</v>
      </c>
      <c r="H179" s="70" t="n">
        <f aca="false">IF($A179="","",Data_Engine!$AH179)</f>
        <v>0</v>
      </c>
      <c r="I179" s="69" t="n">
        <f aca="false">IF($A179="","",Data_Engine!$AI179)</f>
        <v>0</v>
      </c>
      <c r="J179" s="71" t="n">
        <f aca="false">IF($A179="","",$H179-$I179)</f>
        <v>0</v>
      </c>
      <c r="K179" s="72" t="str">
        <f aca="false">IF($A179="","",IF(ROUND($I179,2)=0,"n/a",$J179/ABS($I179)))</f>
        <v>n/a</v>
      </c>
      <c r="L179" s="69" t="n">
        <f aca="false">IF($A179="","",Data_Engine!$AJ179)</f>
        <v>0</v>
      </c>
      <c r="M179" s="73" t="n">
        <f aca="false">IF($A179="","",IF(Setup!$B$8=0,0,$H179/Setup!$B$8*12))</f>
        <v>0</v>
      </c>
      <c r="N179" s="72" t="str">
        <f aca="false">IF($A179="","",IF(ROUND($L179,2)=0,"n/a",($M179-$L179)/ABS($L179)))</f>
        <v>n/a</v>
      </c>
      <c r="O179" s="76" t="str">
        <f aca="false">IF($A179="","",IF(AND(ROUND($H179,2)=0,ROUND($I179,2)=0),"Dormant",IF(ROUND($I179,2)=0,"New this year",IF(ROUND($H179,2)=0,"Ceased",IF($J179&gt;0,"Increase",IF($J179&lt;0,"Decrease","Flat"))))))</f>
        <v>Dormant</v>
      </c>
      <c r="P179" s="74" t="str">
        <f aca="false">IF($A179="","",IF(AND(ROUND($H179,2)=0,ROUND($I179,2)=0),"No Activity",IF(ABS($J179)&lt;Setup!$B$14,"Low",IF(ROUND($I179,2)=0,"High",IF(OR(ABS($J179/$I179)&gt;=Setup!$B$16,ABS($J179)&gt;=Setup!$B$17),"High",IF(ABS($J179/$I179)&gt;=Setup!$B$15,"Medium","Low"))))))</f>
        <v>No Activity</v>
      </c>
      <c r="Q179" s="57"/>
      <c r="R179" s="75" t="n">
        <f aca="false">IF($A179="",-1000000000000000,IF(ROUND(ABS($J179),0)=0,-1000000000000000,ABS($J179)+ROW()/1000000))</f>
        <v>-1000000000000000</v>
      </c>
    </row>
    <row r="180" customFormat="false" ht="15" hidden="false" customHeight="false" outlineLevel="0" collapsed="false">
      <c r="A180" s="68" t="str">
        <f aca="false">IF(Data_Engine!$A180="","",Data_Engine!$A180)</f>
        <v>Repairs &amp; Maintenance</v>
      </c>
      <c r="B180" s="42" t="str">
        <f aca="false">IF($A180="","",Data_Engine!$B180)</f>
        <v>Expenses</v>
      </c>
      <c r="C180" s="42" t="str">
        <f aca="false">IF($A180="","",Data_Engine!$D180)</f>
        <v>Unallocated</v>
      </c>
      <c r="D180" s="69" t="n">
        <f aca="false">IF($A180="","",Data_Engine!$AD180)</f>
        <v>0</v>
      </c>
      <c r="E180" s="69" t="n">
        <f aca="false">IF($A180="","",Data_Engine!$AE180)</f>
        <v>0</v>
      </c>
      <c r="F180" s="73" t="n">
        <f aca="false">IF($A180="","",$D180-$E180)</f>
        <v>0</v>
      </c>
      <c r="G180" s="72" t="str">
        <f aca="false">IF($A180="","",IF(ROUND($E180,2)=0,"n/a",$F180/ABS($E180)))</f>
        <v>n/a</v>
      </c>
      <c r="H180" s="70" t="n">
        <f aca="false">IF($A180="","",Data_Engine!$AH180)</f>
        <v>0</v>
      </c>
      <c r="I180" s="69" t="n">
        <f aca="false">IF($A180="","",Data_Engine!$AI180)</f>
        <v>0</v>
      </c>
      <c r="J180" s="71" t="n">
        <f aca="false">IF($A180="","",$H180-$I180)</f>
        <v>0</v>
      </c>
      <c r="K180" s="72" t="str">
        <f aca="false">IF($A180="","",IF(ROUND($I180,2)=0,"n/a",$J180/ABS($I180)))</f>
        <v>n/a</v>
      </c>
      <c r="L180" s="69" t="n">
        <f aca="false">IF($A180="","",Data_Engine!$AJ180)</f>
        <v>0</v>
      </c>
      <c r="M180" s="73" t="n">
        <f aca="false">IF($A180="","",IF(Setup!$B$8=0,0,$H180/Setup!$B$8*12))</f>
        <v>0</v>
      </c>
      <c r="N180" s="72" t="str">
        <f aca="false">IF($A180="","",IF(ROUND($L180,2)=0,"n/a",($M180-$L180)/ABS($L180)))</f>
        <v>n/a</v>
      </c>
      <c r="O180" s="76" t="str">
        <f aca="false">IF($A180="","",IF(AND(ROUND($H180,2)=0,ROUND($I180,2)=0),"Dormant",IF(ROUND($I180,2)=0,"New this year",IF(ROUND($H180,2)=0,"Ceased",IF($J180&gt;0,"Increase",IF($J180&lt;0,"Decrease","Flat"))))))</f>
        <v>Dormant</v>
      </c>
      <c r="P180" s="74" t="str">
        <f aca="false">IF($A180="","",IF(AND(ROUND($H180,2)=0,ROUND($I180,2)=0),"No Activity",IF(ABS($J180)&lt;Setup!$B$14,"Low",IF(ROUND($I180,2)=0,"High",IF(OR(ABS($J180/$I180)&gt;=Setup!$B$16,ABS($J180)&gt;=Setup!$B$17),"High",IF(ABS($J180/$I180)&gt;=Setup!$B$15,"Medium","Low"))))))</f>
        <v>No Activity</v>
      </c>
      <c r="Q180" s="57"/>
      <c r="R180" s="75" t="n">
        <f aca="false">IF($A180="",-1000000000000000,IF(ROUND(ABS($J180),0)=0,-1000000000000000,ABS($J180)+ROW()/1000000))</f>
        <v>-1000000000000000</v>
      </c>
    </row>
    <row r="181" customFormat="false" ht="15" hidden="false" customHeight="false" outlineLevel="0" collapsed="false">
      <c r="A181" s="68" t="str">
        <f aca="false">IF(Data_Engine!$A181="","",Data_Engine!$A181)</f>
        <v>Replacements</v>
      </c>
      <c r="B181" s="42" t="str">
        <f aca="false">IF($A181="","",Data_Engine!$B181)</f>
        <v>Expenses</v>
      </c>
      <c r="C181" s="42" t="str">
        <f aca="false">IF($A181="","",Data_Engine!$D181)</f>
        <v>Unallocated</v>
      </c>
      <c r="D181" s="69" t="n">
        <f aca="false">IF($A181="","",Data_Engine!$AD181)</f>
        <v>0</v>
      </c>
      <c r="E181" s="69" t="n">
        <f aca="false">IF($A181="","",Data_Engine!$AE181)</f>
        <v>0</v>
      </c>
      <c r="F181" s="73" t="n">
        <f aca="false">IF($A181="","",$D181-$E181)</f>
        <v>0</v>
      </c>
      <c r="G181" s="72" t="str">
        <f aca="false">IF($A181="","",IF(ROUND($E181,2)=0,"n/a",$F181/ABS($E181)))</f>
        <v>n/a</v>
      </c>
      <c r="H181" s="70" t="n">
        <f aca="false">IF($A181="","",Data_Engine!$AH181)</f>
        <v>0</v>
      </c>
      <c r="I181" s="69" t="n">
        <f aca="false">IF($A181="","",Data_Engine!$AI181)</f>
        <v>0</v>
      </c>
      <c r="J181" s="71" t="n">
        <f aca="false">IF($A181="","",$H181-$I181)</f>
        <v>0</v>
      </c>
      <c r="K181" s="72" t="str">
        <f aca="false">IF($A181="","",IF(ROUND($I181,2)=0,"n/a",$J181/ABS($I181)))</f>
        <v>n/a</v>
      </c>
      <c r="L181" s="69" t="n">
        <f aca="false">IF($A181="","",Data_Engine!$AJ181)</f>
        <v>0</v>
      </c>
      <c r="M181" s="73" t="n">
        <f aca="false">IF($A181="","",IF(Setup!$B$8=0,0,$H181/Setup!$B$8*12))</f>
        <v>0</v>
      </c>
      <c r="N181" s="72" t="str">
        <f aca="false">IF($A181="","",IF(ROUND($L181,2)=0,"n/a",($M181-$L181)/ABS($L181)))</f>
        <v>n/a</v>
      </c>
      <c r="O181" s="76" t="str">
        <f aca="false">IF($A181="","",IF(AND(ROUND($H181,2)=0,ROUND($I181,2)=0),"Dormant",IF(ROUND($I181,2)=0,"New this year",IF(ROUND($H181,2)=0,"Ceased",IF($J181&gt;0,"Increase",IF($J181&lt;0,"Decrease","Flat"))))))</f>
        <v>Dormant</v>
      </c>
      <c r="P181" s="74" t="str">
        <f aca="false">IF($A181="","",IF(AND(ROUND($H181,2)=0,ROUND($I181,2)=0),"No Activity",IF(ABS($J181)&lt;Setup!$B$14,"Low",IF(ROUND($I181,2)=0,"High",IF(OR(ABS($J181/$I181)&gt;=Setup!$B$16,ABS($J181)&gt;=Setup!$B$17),"High",IF(ABS($J181/$I181)&gt;=Setup!$B$15,"Medium","Low"))))))</f>
        <v>No Activity</v>
      </c>
      <c r="Q181" s="57"/>
      <c r="R181" s="75" t="n">
        <f aca="false">IF($A181="",-1000000000000000,IF(ROUND(ABS($J181),0)=0,-1000000000000000,ABS($J181)+ROW()/1000000))</f>
        <v>-1000000000000000</v>
      </c>
    </row>
    <row r="182" customFormat="false" ht="15" hidden="false" customHeight="false" outlineLevel="0" collapsed="false">
      <c r="A182" s="68" t="str">
        <f aca="false">IF(Data_Engine!$A182="","",Data_Engine!$A182)</f>
        <v>SGC Penalties</v>
      </c>
      <c r="B182" s="42" t="str">
        <f aca="false">IF($A182="","",Data_Engine!$B182)</f>
        <v>Expenses</v>
      </c>
      <c r="C182" s="42" t="str">
        <f aca="false">IF($A182="","",Data_Engine!$D182)</f>
        <v>Unallocated</v>
      </c>
      <c r="D182" s="69" t="n">
        <f aca="false">IF($A182="","",Data_Engine!$AD182)</f>
        <v>0</v>
      </c>
      <c r="E182" s="69" t="n">
        <f aca="false">IF($A182="","",Data_Engine!$AE182)</f>
        <v>0</v>
      </c>
      <c r="F182" s="73" t="n">
        <f aca="false">IF($A182="","",$D182-$E182)</f>
        <v>0</v>
      </c>
      <c r="G182" s="72" t="str">
        <f aca="false">IF($A182="","",IF(ROUND($E182,2)=0,"n/a",$F182/ABS($E182)))</f>
        <v>n/a</v>
      </c>
      <c r="H182" s="70" t="n">
        <f aca="false">IF($A182="","",Data_Engine!$AH182)</f>
        <v>0</v>
      </c>
      <c r="I182" s="69" t="n">
        <f aca="false">IF($A182="","",Data_Engine!$AI182)</f>
        <v>0</v>
      </c>
      <c r="J182" s="71" t="n">
        <f aca="false">IF($A182="","",$H182-$I182)</f>
        <v>0</v>
      </c>
      <c r="K182" s="72" t="str">
        <f aca="false">IF($A182="","",IF(ROUND($I182,2)=0,"n/a",$J182/ABS($I182)))</f>
        <v>n/a</v>
      </c>
      <c r="L182" s="69" t="n">
        <f aca="false">IF($A182="","",Data_Engine!$AJ182)</f>
        <v>0</v>
      </c>
      <c r="M182" s="73" t="n">
        <f aca="false">IF($A182="","",IF(Setup!$B$8=0,0,$H182/Setup!$B$8*12))</f>
        <v>0</v>
      </c>
      <c r="N182" s="72" t="str">
        <f aca="false">IF($A182="","",IF(ROUND($L182,2)=0,"n/a",($M182-$L182)/ABS($L182)))</f>
        <v>n/a</v>
      </c>
      <c r="O182" s="76" t="str">
        <f aca="false">IF($A182="","",IF(AND(ROUND($H182,2)=0,ROUND($I182,2)=0),"Dormant",IF(ROUND($I182,2)=0,"New this year",IF(ROUND($H182,2)=0,"Ceased",IF($J182&gt;0,"Increase",IF($J182&lt;0,"Decrease","Flat"))))))</f>
        <v>Dormant</v>
      </c>
      <c r="P182" s="74" t="str">
        <f aca="false">IF($A182="","",IF(AND(ROUND($H182,2)=0,ROUND($I182,2)=0),"No Activity",IF(ABS($J182)&lt;Setup!$B$14,"Low",IF(ROUND($I182,2)=0,"High",IF(OR(ABS($J182/$I182)&gt;=Setup!$B$16,ABS($J182)&gt;=Setup!$B$17),"High",IF(ABS($J182/$I182)&gt;=Setup!$B$15,"Medium","Low"))))))</f>
        <v>No Activity</v>
      </c>
      <c r="Q182" s="57"/>
      <c r="R182" s="75" t="n">
        <f aca="false">IF($A182="",-1000000000000000,IF(ROUND(ABS($J182),0)=0,-1000000000000000,ABS($J182)+ROW()/1000000))</f>
        <v>-1000000000000000</v>
      </c>
    </row>
    <row r="183" customFormat="false" ht="15" hidden="false" customHeight="false" outlineLevel="0" collapsed="false">
      <c r="A183" s="68" t="str">
        <f aca="false">IF(Data_Engine!$A183="","",Data_Engine!$A183)</f>
        <v>Staff Amenities</v>
      </c>
      <c r="B183" s="42" t="str">
        <f aca="false">IF($A183="","",Data_Engine!$B183)</f>
        <v>Expenses</v>
      </c>
      <c r="C183" s="42" t="str">
        <f aca="false">IF($A183="","",Data_Engine!$D183)</f>
        <v>Unallocated</v>
      </c>
      <c r="D183" s="69" t="n">
        <f aca="false">IF($A183="","",Data_Engine!$AD183)</f>
        <v>0</v>
      </c>
      <c r="E183" s="69" t="n">
        <f aca="false">IF($A183="","",Data_Engine!$AE183)</f>
        <v>0</v>
      </c>
      <c r="F183" s="73" t="n">
        <f aca="false">IF($A183="","",$D183-$E183)</f>
        <v>0</v>
      </c>
      <c r="G183" s="72" t="str">
        <f aca="false">IF($A183="","",IF(ROUND($E183,2)=0,"n/a",$F183/ABS($E183)))</f>
        <v>n/a</v>
      </c>
      <c r="H183" s="70" t="n">
        <f aca="false">IF($A183="","",Data_Engine!$AH183)</f>
        <v>0</v>
      </c>
      <c r="I183" s="69" t="n">
        <f aca="false">IF($A183="","",Data_Engine!$AI183)</f>
        <v>0</v>
      </c>
      <c r="J183" s="71" t="n">
        <f aca="false">IF($A183="","",$H183-$I183)</f>
        <v>0</v>
      </c>
      <c r="K183" s="72" t="str">
        <f aca="false">IF($A183="","",IF(ROUND($I183,2)=0,"n/a",$J183/ABS($I183)))</f>
        <v>n/a</v>
      </c>
      <c r="L183" s="69" t="n">
        <f aca="false">IF($A183="","",Data_Engine!$AJ183)</f>
        <v>0</v>
      </c>
      <c r="M183" s="73" t="n">
        <f aca="false">IF($A183="","",IF(Setup!$B$8=0,0,$H183/Setup!$B$8*12))</f>
        <v>0</v>
      </c>
      <c r="N183" s="72" t="str">
        <f aca="false">IF($A183="","",IF(ROUND($L183,2)=0,"n/a",($M183-$L183)/ABS($L183)))</f>
        <v>n/a</v>
      </c>
      <c r="O183" s="76" t="str">
        <f aca="false">IF($A183="","",IF(AND(ROUND($H183,2)=0,ROUND($I183,2)=0),"Dormant",IF(ROUND($I183,2)=0,"New this year",IF(ROUND($H183,2)=0,"Ceased",IF($J183&gt;0,"Increase",IF($J183&lt;0,"Decrease","Flat"))))))</f>
        <v>Dormant</v>
      </c>
      <c r="P183" s="74" t="str">
        <f aca="false">IF($A183="","",IF(AND(ROUND($H183,2)=0,ROUND($I183,2)=0),"No Activity",IF(ABS($J183)&lt;Setup!$B$14,"Low",IF(ROUND($I183,2)=0,"High",IF(OR(ABS($J183/$I183)&gt;=Setup!$B$16,ABS($J183)&gt;=Setup!$B$17),"High",IF(ABS($J183/$I183)&gt;=Setup!$B$15,"Medium","Low"))))))</f>
        <v>No Activity</v>
      </c>
      <c r="Q183" s="57"/>
      <c r="R183" s="75" t="n">
        <f aca="false">IF($A183="",-1000000000000000,IF(ROUND(ABS($J183),0)=0,-1000000000000000,ABS($J183)+ROW()/1000000))</f>
        <v>-1000000000000000</v>
      </c>
    </row>
    <row r="184" customFormat="false" ht="15" hidden="false" customHeight="false" outlineLevel="0" collapsed="false">
      <c r="A184" s="68" t="str">
        <f aca="false">IF(Data_Engine!$A184="","",Data_Engine!$A184)</f>
        <v>Staff Entertainment</v>
      </c>
      <c r="B184" s="42" t="str">
        <f aca="false">IF($A184="","",Data_Engine!$B184)</f>
        <v>Expenses</v>
      </c>
      <c r="C184" s="42" t="str">
        <f aca="false">IF($A184="","",Data_Engine!$D184)</f>
        <v>Unallocated</v>
      </c>
      <c r="D184" s="69" t="n">
        <f aca="false">IF($A184="","",Data_Engine!$AD184)</f>
        <v>0</v>
      </c>
      <c r="E184" s="69" t="n">
        <f aca="false">IF($A184="","",Data_Engine!$AE184)</f>
        <v>0</v>
      </c>
      <c r="F184" s="73" t="n">
        <f aca="false">IF($A184="","",$D184-$E184)</f>
        <v>0</v>
      </c>
      <c r="G184" s="72" t="str">
        <f aca="false">IF($A184="","",IF(ROUND($E184,2)=0,"n/a",$F184/ABS($E184)))</f>
        <v>n/a</v>
      </c>
      <c r="H184" s="70" t="n">
        <f aca="false">IF($A184="","",Data_Engine!$AH184)</f>
        <v>0</v>
      </c>
      <c r="I184" s="69" t="n">
        <f aca="false">IF($A184="","",Data_Engine!$AI184)</f>
        <v>0</v>
      </c>
      <c r="J184" s="71" t="n">
        <f aca="false">IF($A184="","",$H184-$I184)</f>
        <v>0</v>
      </c>
      <c r="K184" s="72" t="str">
        <f aca="false">IF($A184="","",IF(ROUND($I184,2)=0,"n/a",$J184/ABS($I184)))</f>
        <v>n/a</v>
      </c>
      <c r="L184" s="69" t="n">
        <f aca="false">IF($A184="","",Data_Engine!$AJ184)</f>
        <v>0</v>
      </c>
      <c r="M184" s="73" t="n">
        <f aca="false">IF($A184="","",IF(Setup!$B$8=0,0,$H184/Setup!$B$8*12))</f>
        <v>0</v>
      </c>
      <c r="N184" s="72" t="str">
        <f aca="false">IF($A184="","",IF(ROUND($L184,2)=0,"n/a",($M184-$L184)/ABS($L184)))</f>
        <v>n/a</v>
      </c>
      <c r="O184" s="76" t="str">
        <f aca="false">IF($A184="","",IF(AND(ROUND($H184,2)=0,ROUND($I184,2)=0),"Dormant",IF(ROUND($I184,2)=0,"New this year",IF(ROUND($H184,2)=0,"Ceased",IF($J184&gt;0,"Increase",IF($J184&lt;0,"Decrease","Flat"))))))</f>
        <v>Dormant</v>
      </c>
      <c r="P184" s="74" t="str">
        <f aca="false">IF($A184="","",IF(AND(ROUND($H184,2)=0,ROUND($I184,2)=0),"No Activity",IF(ABS($J184)&lt;Setup!$B$14,"Low",IF(ROUND($I184,2)=0,"High",IF(OR(ABS($J184/$I184)&gt;=Setup!$B$16,ABS($J184)&gt;=Setup!$B$17),"High",IF(ABS($J184/$I184)&gt;=Setup!$B$15,"Medium","Low"))))))</f>
        <v>No Activity</v>
      </c>
      <c r="Q184" s="57"/>
      <c r="R184" s="75" t="n">
        <f aca="false">IF($A184="",-1000000000000000,IF(ROUND(ABS($J184),0)=0,-1000000000000000,ABS($J184)+ROW()/1000000))</f>
        <v>-1000000000000000</v>
      </c>
    </row>
    <row r="185" customFormat="false" ht="15" hidden="false" customHeight="false" outlineLevel="0" collapsed="false">
      <c r="A185" s="68" t="str">
        <f aca="false">IF(Data_Engine!$A185="","",Data_Engine!$A185)</f>
        <v>Stamp Duty (Indirect)</v>
      </c>
      <c r="B185" s="42" t="str">
        <f aca="false">IF($A185="","",Data_Engine!$B185)</f>
        <v>Expenses</v>
      </c>
      <c r="C185" s="42" t="str">
        <f aca="false">IF($A185="","",Data_Engine!$D185)</f>
        <v>Unallocated</v>
      </c>
      <c r="D185" s="69" t="n">
        <f aca="false">IF($A185="","",Data_Engine!$AD185)</f>
        <v>0</v>
      </c>
      <c r="E185" s="69" t="n">
        <f aca="false">IF($A185="","",Data_Engine!$AE185)</f>
        <v>0</v>
      </c>
      <c r="F185" s="73" t="n">
        <f aca="false">IF($A185="","",$D185-$E185)</f>
        <v>0</v>
      </c>
      <c r="G185" s="72" t="str">
        <f aca="false">IF($A185="","",IF(ROUND($E185,2)=0,"n/a",$F185/ABS($E185)))</f>
        <v>n/a</v>
      </c>
      <c r="H185" s="70" t="n">
        <f aca="false">IF($A185="","",Data_Engine!$AH185)</f>
        <v>0</v>
      </c>
      <c r="I185" s="69" t="n">
        <f aca="false">IF($A185="","",Data_Engine!$AI185)</f>
        <v>0</v>
      </c>
      <c r="J185" s="71" t="n">
        <f aca="false">IF($A185="","",$H185-$I185)</f>
        <v>0</v>
      </c>
      <c r="K185" s="72" t="str">
        <f aca="false">IF($A185="","",IF(ROUND($I185,2)=0,"n/a",$J185/ABS($I185)))</f>
        <v>n/a</v>
      </c>
      <c r="L185" s="69" t="n">
        <f aca="false">IF($A185="","",Data_Engine!$AJ185)</f>
        <v>0</v>
      </c>
      <c r="M185" s="73" t="n">
        <f aca="false">IF($A185="","",IF(Setup!$B$8=0,0,$H185/Setup!$B$8*12))</f>
        <v>0</v>
      </c>
      <c r="N185" s="72" t="str">
        <f aca="false">IF($A185="","",IF(ROUND($L185,2)=0,"n/a",($M185-$L185)/ABS($L185)))</f>
        <v>n/a</v>
      </c>
      <c r="O185" s="76" t="str">
        <f aca="false">IF($A185="","",IF(AND(ROUND($H185,2)=0,ROUND($I185,2)=0),"Dormant",IF(ROUND($I185,2)=0,"New this year",IF(ROUND($H185,2)=0,"Ceased",IF($J185&gt;0,"Increase",IF($J185&lt;0,"Decrease","Flat"))))))</f>
        <v>Dormant</v>
      </c>
      <c r="P185" s="74" t="str">
        <f aca="false">IF($A185="","",IF(AND(ROUND($H185,2)=0,ROUND($I185,2)=0),"No Activity",IF(ABS($J185)&lt;Setup!$B$14,"Low",IF(ROUND($I185,2)=0,"High",IF(OR(ABS($J185/$I185)&gt;=Setup!$B$16,ABS($J185)&gt;=Setup!$B$17),"High",IF(ABS($J185/$I185)&gt;=Setup!$B$15,"Medium","Low"))))))</f>
        <v>No Activity</v>
      </c>
      <c r="Q185" s="57"/>
      <c r="R185" s="75" t="n">
        <f aca="false">IF($A185="",-1000000000000000,IF(ROUND(ABS($J185),0)=0,-1000000000000000,ABS($J185)+ROW()/1000000))</f>
        <v>-1000000000000000</v>
      </c>
    </row>
    <row r="186" customFormat="false" ht="15" hidden="false" customHeight="false" outlineLevel="0" collapsed="false">
      <c r="A186" s="68" t="str">
        <f aca="false">IF(Data_Engine!$A186="","",Data_Engine!$A186)</f>
        <v>Storage Fees</v>
      </c>
      <c r="B186" s="42" t="str">
        <f aca="false">IF($A186="","",Data_Engine!$B186)</f>
        <v>Expenses</v>
      </c>
      <c r="C186" s="42" t="str">
        <f aca="false">IF($A186="","",Data_Engine!$D186)</f>
        <v>Unallocated</v>
      </c>
      <c r="D186" s="69" t="n">
        <f aca="false">IF($A186="","",Data_Engine!$AD186)</f>
        <v>0</v>
      </c>
      <c r="E186" s="69" t="n">
        <f aca="false">IF($A186="","",Data_Engine!$AE186)</f>
        <v>0</v>
      </c>
      <c r="F186" s="73" t="n">
        <f aca="false">IF($A186="","",$D186-$E186)</f>
        <v>0</v>
      </c>
      <c r="G186" s="72" t="str">
        <f aca="false">IF($A186="","",IF(ROUND($E186,2)=0,"n/a",$F186/ABS($E186)))</f>
        <v>n/a</v>
      </c>
      <c r="H186" s="70" t="n">
        <f aca="false">IF($A186="","",Data_Engine!$AH186)</f>
        <v>0</v>
      </c>
      <c r="I186" s="69" t="n">
        <f aca="false">IF($A186="","",Data_Engine!$AI186)</f>
        <v>0</v>
      </c>
      <c r="J186" s="71" t="n">
        <f aca="false">IF($A186="","",$H186-$I186)</f>
        <v>0</v>
      </c>
      <c r="K186" s="72" t="str">
        <f aca="false">IF($A186="","",IF(ROUND($I186,2)=0,"n/a",$J186/ABS($I186)))</f>
        <v>n/a</v>
      </c>
      <c r="L186" s="69" t="n">
        <f aca="false">IF($A186="","",Data_Engine!$AJ186)</f>
        <v>0</v>
      </c>
      <c r="M186" s="73" t="n">
        <f aca="false">IF($A186="","",IF(Setup!$B$8=0,0,$H186/Setup!$B$8*12))</f>
        <v>0</v>
      </c>
      <c r="N186" s="72" t="str">
        <f aca="false">IF($A186="","",IF(ROUND($L186,2)=0,"n/a",($M186-$L186)/ABS($L186)))</f>
        <v>n/a</v>
      </c>
      <c r="O186" s="76" t="str">
        <f aca="false">IF($A186="","",IF(AND(ROUND($H186,2)=0,ROUND($I186,2)=0),"Dormant",IF(ROUND($I186,2)=0,"New this year",IF(ROUND($H186,2)=0,"Ceased",IF($J186&gt;0,"Increase",IF($J186&lt;0,"Decrease","Flat"))))))</f>
        <v>Dormant</v>
      </c>
      <c r="P186" s="74" t="str">
        <f aca="false">IF($A186="","",IF(AND(ROUND($H186,2)=0,ROUND($I186,2)=0),"No Activity",IF(ABS($J186)&lt;Setup!$B$14,"Low",IF(ROUND($I186,2)=0,"High",IF(OR(ABS($J186/$I186)&gt;=Setup!$B$16,ABS($J186)&gt;=Setup!$B$17),"High",IF(ABS($J186/$I186)&gt;=Setup!$B$15,"Medium","Low"))))))</f>
        <v>No Activity</v>
      </c>
      <c r="Q186" s="57"/>
      <c r="R186" s="75" t="n">
        <f aca="false">IF($A186="",-1000000000000000,IF(ROUND(ABS($J186),0)=0,-1000000000000000,ABS($J186)+ROW()/1000000))</f>
        <v>-1000000000000000</v>
      </c>
    </row>
    <row r="187" customFormat="false" ht="15" hidden="false" customHeight="false" outlineLevel="0" collapsed="false">
      <c r="A187" s="68" t="str">
        <f aca="false">IF(Data_Engine!$A187="","",Data_Engine!$A187)</f>
        <v>Stripe Fees</v>
      </c>
      <c r="B187" s="42" t="str">
        <f aca="false">IF($A187="","",Data_Engine!$B187)</f>
        <v>Expenses</v>
      </c>
      <c r="C187" s="42" t="str">
        <f aca="false">IF($A187="","",Data_Engine!$D187)</f>
        <v>Unallocated</v>
      </c>
      <c r="D187" s="69" t="n">
        <f aca="false">IF($A187="","",Data_Engine!$AD187)</f>
        <v>0</v>
      </c>
      <c r="E187" s="69" t="n">
        <f aca="false">IF($A187="","",Data_Engine!$AE187)</f>
        <v>0</v>
      </c>
      <c r="F187" s="73" t="n">
        <f aca="false">IF($A187="","",$D187-$E187)</f>
        <v>0</v>
      </c>
      <c r="G187" s="72" t="str">
        <f aca="false">IF($A187="","",IF(ROUND($E187,2)=0,"n/a",$F187/ABS($E187)))</f>
        <v>n/a</v>
      </c>
      <c r="H187" s="70" t="n">
        <f aca="false">IF($A187="","",Data_Engine!$AH187)</f>
        <v>0</v>
      </c>
      <c r="I187" s="69" t="n">
        <f aca="false">IF($A187="","",Data_Engine!$AI187)</f>
        <v>0</v>
      </c>
      <c r="J187" s="71" t="n">
        <f aca="false">IF($A187="","",$H187-$I187)</f>
        <v>0</v>
      </c>
      <c r="K187" s="72" t="str">
        <f aca="false">IF($A187="","",IF(ROUND($I187,2)=0,"n/a",$J187/ABS($I187)))</f>
        <v>n/a</v>
      </c>
      <c r="L187" s="69" t="n">
        <f aca="false">IF($A187="","",Data_Engine!$AJ187)</f>
        <v>0</v>
      </c>
      <c r="M187" s="73" t="n">
        <f aca="false">IF($A187="","",IF(Setup!$B$8=0,0,$H187/Setup!$B$8*12))</f>
        <v>0</v>
      </c>
      <c r="N187" s="72" t="str">
        <f aca="false">IF($A187="","",IF(ROUND($L187,2)=0,"n/a",($M187-$L187)/ABS($L187)))</f>
        <v>n/a</v>
      </c>
      <c r="O187" s="76" t="str">
        <f aca="false">IF($A187="","",IF(AND(ROUND($H187,2)=0,ROUND($I187,2)=0),"Dormant",IF(ROUND($I187,2)=0,"New this year",IF(ROUND($H187,2)=0,"Ceased",IF($J187&gt;0,"Increase",IF($J187&lt;0,"Decrease","Flat"))))))</f>
        <v>Dormant</v>
      </c>
      <c r="P187" s="74" t="str">
        <f aca="false">IF($A187="","",IF(AND(ROUND($H187,2)=0,ROUND($I187,2)=0),"No Activity",IF(ABS($J187)&lt;Setup!$B$14,"Low",IF(ROUND($I187,2)=0,"High",IF(OR(ABS($J187/$I187)&gt;=Setup!$B$16,ABS($J187)&gt;=Setup!$B$17),"High",IF(ABS($J187/$I187)&gt;=Setup!$B$15,"Medium","Low"))))))</f>
        <v>No Activity</v>
      </c>
      <c r="Q187" s="57"/>
      <c r="R187" s="75" t="n">
        <f aca="false">IF($A187="",-1000000000000000,IF(ROUND(ABS($J187),0)=0,-1000000000000000,ABS($J187)+ROW()/1000000))</f>
        <v>-1000000000000000</v>
      </c>
    </row>
    <row r="188" customFormat="false" ht="15" hidden="false" customHeight="false" outlineLevel="0" collapsed="false">
      <c r="A188" s="68" t="str">
        <f aca="false">IF(Data_Engine!$A188="","",Data_Engine!$A188)</f>
        <v>Superannuation</v>
      </c>
      <c r="B188" s="42" t="str">
        <f aca="false">IF($A188="","",Data_Engine!$B188)</f>
        <v>Expenses</v>
      </c>
      <c r="C188" s="42" t="str">
        <f aca="false">IF($A188="","",Data_Engine!$D188)</f>
        <v>Unallocated</v>
      </c>
      <c r="D188" s="69" t="n">
        <f aca="false">IF($A188="","",Data_Engine!$AD188)</f>
        <v>0</v>
      </c>
      <c r="E188" s="69" t="n">
        <f aca="false">IF($A188="","",Data_Engine!$AE188)</f>
        <v>0</v>
      </c>
      <c r="F188" s="73" t="n">
        <f aca="false">IF($A188="","",$D188-$E188)</f>
        <v>0</v>
      </c>
      <c r="G188" s="72" t="str">
        <f aca="false">IF($A188="","",IF(ROUND($E188,2)=0,"n/a",$F188/ABS($E188)))</f>
        <v>n/a</v>
      </c>
      <c r="H188" s="70" t="n">
        <f aca="false">IF($A188="","",Data_Engine!$AH188)</f>
        <v>0</v>
      </c>
      <c r="I188" s="69" t="n">
        <f aca="false">IF($A188="","",Data_Engine!$AI188)</f>
        <v>0</v>
      </c>
      <c r="J188" s="71" t="n">
        <f aca="false">IF($A188="","",$H188-$I188)</f>
        <v>0</v>
      </c>
      <c r="K188" s="72" t="str">
        <f aca="false">IF($A188="","",IF(ROUND($I188,2)=0,"n/a",$J188/ABS($I188)))</f>
        <v>n/a</v>
      </c>
      <c r="L188" s="69" t="n">
        <f aca="false">IF($A188="","",Data_Engine!$AJ188)</f>
        <v>0</v>
      </c>
      <c r="M188" s="73" t="n">
        <f aca="false">IF($A188="","",IF(Setup!$B$8=0,0,$H188/Setup!$B$8*12))</f>
        <v>0</v>
      </c>
      <c r="N188" s="72" t="str">
        <f aca="false">IF($A188="","",IF(ROUND($L188,2)=0,"n/a",($M188-$L188)/ABS($L188)))</f>
        <v>n/a</v>
      </c>
      <c r="O188" s="76" t="str">
        <f aca="false">IF($A188="","",IF(AND(ROUND($H188,2)=0,ROUND($I188,2)=0),"Dormant",IF(ROUND($I188,2)=0,"New this year",IF(ROUND($H188,2)=0,"Ceased",IF($J188&gt;0,"Increase",IF($J188&lt;0,"Decrease","Flat"))))))</f>
        <v>Dormant</v>
      </c>
      <c r="P188" s="74" t="str">
        <f aca="false">IF($A188="","",IF(AND(ROUND($H188,2)=0,ROUND($I188,2)=0),"No Activity",IF(ABS($J188)&lt;Setup!$B$14,"Low",IF(ROUND($I188,2)=0,"High",IF(OR(ABS($J188/$I188)&gt;=Setup!$B$16,ABS($J188)&gt;=Setup!$B$17),"High",IF(ABS($J188/$I188)&gt;=Setup!$B$15,"Medium","Low"))))))</f>
        <v>No Activity</v>
      </c>
      <c r="Q188" s="57"/>
      <c r="R188" s="75" t="n">
        <f aca="false">IF($A188="",-1000000000000000,IF(ROUND(ABS($J188),0)=0,-1000000000000000,ABS($J188)+ROW()/1000000))</f>
        <v>-1000000000000000</v>
      </c>
    </row>
    <row r="189" customFormat="false" ht="15" hidden="false" customHeight="false" outlineLevel="0" collapsed="false">
      <c r="A189" s="68" t="str">
        <f aca="false">IF(Data_Engine!$A189="","",Data_Engine!$A189)</f>
        <v>Taxis/Parking</v>
      </c>
      <c r="B189" s="42" t="str">
        <f aca="false">IF($A189="","",Data_Engine!$B189)</f>
        <v>Expenses</v>
      </c>
      <c r="C189" s="42" t="str">
        <f aca="false">IF($A189="","",Data_Engine!$D189)</f>
        <v>Unallocated</v>
      </c>
      <c r="D189" s="69" t="n">
        <f aca="false">IF($A189="","",Data_Engine!$AD189)</f>
        <v>0</v>
      </c>
      <c r="E189" s="69" t="n">
        <f aca="false">IF($A189="","",Data_Engine!$AE189)</f>
        <v>0</v>
      </c>
      <c r="F189" s="73" t="n">
        <f aca="false">IF($A189="","",$D189-$E189)</f>
        <v>0</v>
      </c>
      <c r="G189" s="72" t="str">
        <f aca="false">IF($A189="","",IF(ROUND($E189,2)=0,"n/a",$F189/ABS($E189)))</f>
        <v>n/a</v>
      </c>
      <c r="H189" s="70" t="n">
        <f aca="false">IF($A189="","",Data_Engine!$AH189)</f>
        <v>0</v>
      </c>
      <c r="I189" s="69" t="n">
        <f aca="false">IF($A189="","",Data_Engine!$AI189)</f>
        <v>0</v>
      </c>
      <c r="J189" s="71" t="n">
        <f aca="false">IF($A189="","",$H189-$I189)</f>
        <v>0</v>
      </c>
      <c r="K189" s="72" t="str">
        <f aca="false">IF($A189="","",IF(ROUND($I189,2)=0,"n/a",$J189/ABS($I189)))</f>
        <v>n/a</v>
      </c>
      <c r="L189" s="69" t="n">
        <f aca="false">IF($A189="","",Data_Engine!$AJ189)</f>
        <v>0</v>
      </c>
      <c r="M189" s="73" t="n">
        <f aca="false">IF($A189="","",IF(Setup!$B$8=0,0,$H189/Setup!$B$8*12))</f>
        <v>0</v>
      </c>
      <c r="N189" s="72" t="str">
        <f aca="false">IF($A189="","",IF(ROUND($L189,2)=0,"n/a",($M189-$L189)/ABS($L189)))</f>
        <v>n/a</v>
      </c>
      <c r="O189" s="76" t="str">
        <f aca="false">IF($A189="","",IF(AND(ROUND($H189,2)=0,ROUND($I189,2)=0),"Dormant",IF(ROUND($I189,2)=0,"New this year",IF(ROUND($H189,2)=0,"Ceased",IF($J189&gt;0,"Increase",IF($J189&lt;0,"Decrease","Flat"))))))</f>
        <v>Dormant</v>
      </c>
      <c r="P189" s="74" t="str">
        <f aca="false">IF($A189="","",IF(AND(ROUND($H189,2)=0,ROUND($I189,2)=0),"No Activity",IF(ABS($J189)&lt;Setup!$B$14,"Low",IF(ROUND($I189,2)=0,"High",IF(OR(ABS($J189/$I189)&gt;=Setup!$B$16,ABS($J189)&gt;=Setup!$B$17),"High",IF(ABS($J189/$I189)&gt;=Setup!$B$15,"Medium","Low"))))))</f>
        <v>No Activity</v>
      </c>
      <c r="Q189" s="57"/>
      <c r="R189" s="75" t="n">
        <f aca="false">IF($A189="",-1000000000000000,IF(ROUND(ABS($J189),0)=0,-1000000000000000,ABS($J189)+ROW()/1000000))</f>
        <v>-1000000000000000</v>
      </c>
    </row>
    <row r="190" customFormat="false" ht="15" hidden="false" customHeight="false" outlineLevel="0" collapsed="false">
      <c r="A190" s="68" t="str">
        <f aca="false">IF(Data_Engine!$A190="","",Data_Engine!$A190)</f>
        <v>Training Material &amp; Courses</v>
      </c>
      <c r="B190" s="42" t="str">
        <f aca="false">IF($A190="","",Data_Engine!$B190)</f>
        <v>Expenses</v>
      </c>
      <c r="C190" s="42" t="str">
        <f aca="false">IF($A190="","",Data_Engine!$D190)</f>
        <v>Unallocated</v>
      </c>
      <c r="D190" s="69" t="n">
        <f aca="false">IF($A190="","",Data_Engine!$AD190)</f>
        <v>0</v>
      </c>
      <c r="E190" s="69" t="n">
        <f aca="false">IF($A190="","",Data_Engine!$AE190)</f>
        <v>0</v>
      </c>
      <c r="F190" s="73" t="n">
        <f aca="false">IF($A190="","",$D190-$E190)</f>
        <v>0</v>
      </c>
      <c r="G190" s="72" t="str">
        <f aca="false">IF($A190="","",IF(ROUND($E190,2)=0,"n/a",$F190/ABS($E190)))</f>
        <v>n/a</v>
      </c>
      <c r="H190" s="70" t="n">
        <f aca="false">IF($A190="","",Data_Engine!$AH190)</f>
        <v>0</v>
      </c>
      <c r="I190" s="69" t="n">
        <f aca="false">IF($A190="","",Data_Engine!$AI190)</f>
        <v>0</v>
      </c>
      <c r="J190" s="71" t="n">
        <f aca="false">IF($A190="","",$H190-$I190)</f>
        <v>0</v>
      </c>
      <c r="K190" s="72" t="str">
        <f aca="false">IF($A190="","",IF(ROUND($I190,2)=0,"n/a",$J190/ABS($I190)))</f>
        <v>n/a</v>
      </c>
      <c r="L190" s="69" t="n">
        <f aca="false">IF($A190="","",Data_Engine!$AJ190)</f>
        <v>0</v>
      </c>
      <c r="M190" s="73" t="n">
        <f aca="false">IF($A190="","",IF(Setup!$B$8=0,0,$H190/Setup!$B$8*12))</f>
        <v>0</v>
      </c>
      <c r="N190" s="72" t="str">
        <f aca="false">IF($A190="","",IF(ROUND($L190,2)=0,"n/a",($M190-$L190)/ABS($L190)))</f>
        <v>n/a</v>
      </c>
      <c r="O190" s="76" t="str">
        <f aca="false">IF($A190="","",IF(AND(ROUND($H190,2)=0,ROUND($I190,2)=0),"Dormant",IF(ROUND($I190,2)=0,"New this year",IF(ROUND($H190,2)=0,"Ceased",IF($J190&gt;0,"Increase",IF($J190&lt;0,"Decrease","Flat"))))))</f>
        <v>Dormant</v>
      </c>
      <c r="P190" s="74" t="str">
        <f aca="false">IF($A190="","",IF(AND(ROUND($H190,2)=0,ROUND($I190,2)=0),"No Activity",IF(ABS($J190)&lt;Setup!$B$14,"Low",IF(ROUND($I190,2)=0,"High",IF(OR(ABS($J190/$I190)&gt;=Setup!$B$16,ABS($J190)&gt;=Setup!$B$17),"High",IF(ABS($J190/$I190)&gt;=Setup!$B$15,"Medium","Low"))))))</f>
        <v>No Activity</v>
      </c>
      <c r="Q190" s="57"/>
      <c r="R190" s="75" t="n">
        <f aca="false">IF($A190="",-1000000000000000,IF(ROUND(ABS($J190),0)=0,-1000000000000000,ABS($J190)+ROW()/1000000))</f>
        <v>-1000000000000000</v>
      </c>
    </row>
    <row r="191" customFormat="false" ht="15" hidden="false" customHeight="false" outlineLevel="0" collapsed="false">
      <c r="A191" s="68" t="str">
        <f aca="false">IF(Data_Engine!$A191="","",Data_Engine!$A191)</f>
        <v>Travel &amp; Per Diems</v>
      </c>
      <c r="B191" s="42" t="str">
        <f aca="false">IF($A191="","",Data_Engine!$B191)</f>
        <v>Expenses</v>
      </c>
      <c r="C191" s="42" t="str">
        <f aca="false">IF($A191="","",Data_Engine!$D191)</f>
        <v>Unallocated</v>
      </c>
      <c r="D191" s="69" t="n">
        <f aca="false">IF($A191="","",Data_Engine!$AD191)</f>
        <v>0</v>
      </c>
      <c r="E191" s="69" t="n">
        <f aca="false">IF($A191="","",Data_Engine!$AE191)</f>
        <v>0</v>
      </c>
      <c r="F191" s="73" t="n">
        <f aca="false">IF($A191="","",$D191-$E191)</f>
        <v>0</v>
      </c>
      <c r="G191" s="72" t="str">
        <f aca="false">IF($A191="","",IF(ROUND($E191,2)=0,"n/a",$F191/ABS($E191)))</f>
        <v>n/a</v>
      </c>
      <c r="H191" s="70" t="n">
        <f aca="false">IF($A191="","",Data_Engine!$AH191)</f>
        <v>0</v>
      </c>
      <c r="I191" s="69" t="n">
        <f aca="false">IF($A191="","",Data_Engine!$AI191)</f>
        <v>0</v>
      </c>
      <c r="J191" s="71" t="n">
        <f aca="false">IF($A191="","",$H191-$I191)</f>
        <v>0</v>
      </c>
      <c r="K191" s="72" t="str">
        <f aca="false">IF($A191="","",IF(ROUND($I191,2)=0,"n/a",$J191/ABS($I191)))</f>
        <v>n/a</v>
      </c>
      <c r="L191" s="69" t="n">
        <f aca="false">IF($A191="","",Data_Engine!$AJ191)</f>
        <v>0</v>
      </c>
      <c r="M191" s="73" t="n">
        <f aca="false">IF($A191="","",IF(Setup!$B$8=0,0,$H191/Setup!$B$8*12))</f>
        <v>0</v>
      </c>
      <c r="N191" s="72" t="str">
        <f aca="false">IF($A191="","",IF(ROUND($L191,2)=0,"n/a",($M191-$L191)/ABS($L191)))</f>
        <v>n/a</v>
      </c>
      <c r="O191" s="76" t="str">
        <f aca="false">IF($A191="","",IF(AND(ROUND($H191,2)=0,ROUND($I191,2)=0),"Dormant",IF(ROUND($I191,2)=0,"New this year",IF(ROUND($H191,2)=0,"Ceased",IF($J191&gt;0,"Increase",IF($J191&lt;0,"Decrease","Flat"))))))</f>
        <v>Dormant</v>
      </c>
      <c r="P191" s="74" t="str">
        <f aca="false">IF($A191="","",IF(AND(ROUND($H191,2)=0,ROUND($I191,2)=0),"No Activity",IF(ABS($J191)&lt;Setup!$B$14,"Low",IF(ROUND($I191,2)=0,"High",IF(OR(ABS($J191/$I191)&gt;=Setup!$B$16,ABS($J191)&gt;=Setup!$B$17),"High",IF(ABS($J191/$I191)&gt;=Setup!$B$15,"Medium","Low"))))))</f>
        <v>No Activity</v>
      </c>
      <c r="Q191" s="57"/>
      <c r="R191" s="75" t="n">
        <f aca="false">IF($A191="",-1000000000000000,IF(ROUND(ABS($J191),0)=0,-1000000000000000,ABS($J191)+ROW()/1000000))</f>
        <v>-1000000000000000</v>
      </c>
    </row>
    <row r="192" customFormat="false" ht="15" hidden="false" customHeight="false" outlineLevel="0" collapsed="false">
      <c r="A192" s="68" t="str">
        <f aca="false">IF(Data_Engine!$A192="","",Data_Engine!$A192)</f>
        <v>Travel Insurance</v>
      </c>
      <c r="B192" s="42" t="str">
        <f aca="false">IF($A192="","",Data_Engine!$B192)</f>
        <v>Expenses</v>
      </c>
      <c r="C192" s="42" t="str">
        <f aca="false">IF($A192="","",Data_Engine!$D192)</f>
        <v>Unallocated</v>
      </c>
      <c r="D192" s="69" t="n">
        <f aca="false">IF($A192="","",Data_Engine!$AD192)</f>
        <v>0</v>
      </c>
      <c r="E192" s="69" t="n">
        <f aca="false">IF($A192="","",Data_Engine!$AE192)</f>
        <v>0</v>
      </c>
      <c r="F192" s="73" t="n">
        <f aca="false">IF($A192="","",$D192-$E192)</f>
        <v>0</v>
      </c>
      <c r="G192" s="72" t="str">
        <f aca="false">IF($A192="","",IF(ROUND($E192,2)=0,"n/a",$F192/ABS($E192)))</f>
        <v>n/a</v>
      </c>
      <c r="H192" s="70" t="n">
        <f aca="false">IF($A192="","",Data_Engine!$AH192)</f>
        <v>0</v>
      </c>
      <c r="I192" s="69" t="n">
        <f aca="false">IF($A192="","",Data_Engine!$AI192)</f>
        <v>0</v>
      </c>
      <c r="J192" s="71" t="n">
        <f aca="false">IF($A192="","",$H192-$I192)</f>
        <v>0</v>
      </c>
      <c r="K192" s="72" t="str">
        <f aca="false">IF($A192="","",IF(ROUND($I192,2)=0,"n/a",$J192/ABS($I192)))</f>
        <v>n/a</v>
      </c>
      <c r="L192" s="69" t="n">
        <f aca="false">IF($A192="","",Data_Engine!$AJ192)</f>
        <v>0</v>
      </c>
      <c r="M192" s="73" t="n">
        <f aca="false">IF($A192="","",IF(Setup!$B$8=0,0,$H192/Setup!$B$8*12))</f>
        <v>0</v>
      </c>
      <c r="N192" s="72" t="str">
        <f aca="false">IF($A192="","",IF(ROUND($L192,2)=0,"n/a",($M192-$L192)/ABS($L192)))</f>
        <v>n/a</v>
      </c>
      <c r="O192" s="76" t="str">
        <f aca="false">IF($A192="","",IF(AND(ROUND($H192,2)=0,ROUND($I192,2)=0),"Dormant",IF(ROUND($I192,2)=0,"New this year",IF(ROUND($H192,2)=0,"Ceased",IF($J192&gt;0,"Increase",IF($J192&lt;0,"Decrease","Flat"))))))</f>
        <v>Dormant</v>
      </c>
      <c r="P192" s="74" t="str">
        <f aca="false">IF($A192="","",IF(AND(ROUND($H192,2)=0,ROUND($I192,2)=0),"No Activity",IF(ABS($J192)&lt;Setup!$B$14,"Low",IF(ROUND($I192,2)=0,"High",IF(OR(ABS($J192/$I192)&gt;=Setup!$B$16,ABS($J192)&gt;=Setup!$B$17),"High",IF(ABS($J192/$I192)&gt;=Setup!$B$15,"Medium","Low"))))))</f>
        <v>No Activity</v>
      </c>
      <c r="Q192" s="57"/>
      <c r="R192" s="75" t="n">
        <f aca="false">IF($A192="",-1000000000000000,IF(ROUND(ABS($J192),0)=0,-1000000000000000,ABS($J192)+ROW()/1000000))</f>
        <v>-1000000000000000</v>
      </c>
    </row>
    <row r="193" customFormat="false" ht="15" hidden="false" customHeight="false" outlineLevel="0" collapsed="false">
      <c r="A193" s="68" t="str">
        <f aca="false">IF(Data_Engine!$A193="","",Data_Engine!$A193)</f>
        <v>Under/(Over) provision for tax</v>
      </c>
      <c r="B193" s="42" t="str">
        <f aca="false">IF($A193="","",Data_Engine!$B193)</f>
        <v>Expenses</v>
      </c>
      <c r="C193" s="42" t="str">
        <f aca="false">IF($A193="","",Data_Engine!$D193)</f>
        <v>Unallocated</v>
      </c>
      <c r="D193" s="69" t="n">
        <f aca="false">IF($A193="","",Data_Engine!$AD193)</f>
        <v>0</v>
      </c>
      <c r="E193" s="69" t="n">
        <f aca="false">IF($A193="","",Data_Engine!$AE193)</f>
        <v>0</v>
      </c>
      <c r="F193" s="73" t="n">
        <f aca="false">IF($A193="","",$D193-$E193)</f>
        <v>0</v>
      </c>
      <c r="G193" s="72" t="str">
        <f aca="false">IF($A193="","",IF(ROUND($E193,2)=0,"n/a",$F193/ABS($E193)))</f>
        <v>n/a</v>
      </c>
      <c r="H193" s="70" t="n">
        <f aca="false">IF($A193="","",Data_Engine!$AH193)</f>
        <v>0</v>
      </c>
      <c r="I193" s="69" t="n">
        <f aca="false">IF($A193="","",Data_Engine!$AI193)</f>
        <v>0</v>
      </c>
      <c r="J193" s="71" t="n">
        <f aca="false">IF($A193="","",$H193-$I193)</f>
        <v>0</v>
      </c>
      <c r="K193" s="72" t="str">
        <f aca="false">IF($A193="","",IF(ROUND($I193,2)=0,"n/a",$J193/ABS($I193)))</f>
        <v>n/a</v>
      </c>
      <c r="L193" s="69" t="n">
        <f aca="false">IF($A193="","",Data_Engine!$AJ193)</f>
        <v>0</v>
      </c>
      <c r="M193" s="73" t="n">
        <f aca="false">IF($A193="","",IF(Setup!$B$8=0,0,$H193/Setup!$B$8*12))</f>
        <v>0</v>
      </c>
      <c r="N193" s="72" t="str">
        <f aca="false">IF($A193="","",IF(ROUND($L193,2)=0,"n/a",($M193-$L193)/ABS($L193)))</f>
        <v>n/a</v>
      </c>
      <c r="O193" s="76" t="str">
        <f aca="false">IF($A193="","",IF(AND(ROUND($H193,2)=0,ROUND($I193,2)=0),"Dormant",IF(ROUND($I193,2)=0,"New this year",IF(ROUND($H193,2)=0,"Ceased",IF($J193&gt;0,"Increase",IF($J193&lt;0,"Decrease","Flat"))))))</f>
        <v>Dormant</v>
      </c>
      <c r="P193" s="74" t="str">
        <f aca="false">IF($A193="","",IF(AND(ROUND($H193,2)=0,ROUND($I193,2)=0),"No Activity",IF(ABS($J193)&lt;Setup!$B$14,"Low",IF(ROUND($I193,2)=0,"High",IF(OR(ABS($J193/$I193)&gt;=Setup!$B$16,ABS($J193)&gt;=Setup!$B$17),"High",IF(ABS($J193/$I193)&gt;=Setup!$B$15,"Medium","Low"))))))</f>
        <v>No Activity</v>
      </c>
      <c r="Q193" s="57"/>
      <c r="R193" s="75" t="n">
        <f aca="false">IF($A193="",-1000000000000000,IF(ROUND(ABS($J193),0)=0,-1000000000000000,ABS($J193)+ROW()/1000000))</f>
        <v>-1000000000000000</v>
      </c>
    </row>
    <row r="194" customFormat="false" ht="15" hidden="false" customHeight="false" outlineLevel="0" collapsed="false">
      <c r="A194" s="68" t="str">
        <f aca="false">IF(Data_Engine!$A194="","",Data_Engine!$A194)</f>
        <v>Unrealised Currency Gains</v>
      </c>
      <c r="B194" s="42" t="str">
        <f aca="false">IF($A194="","",Data_Engine!$B194)</f>
        <v>Expenses</v>
      </c>
      <c r="C194" s="42" t="str">
        <f aca="false">IF($A194="","",Data_Engine!$D194)</f>
        <v>Unallocated</v>
      </c>
      <c r="D194" s="69" t="n">
        <f aca="false">IF($A194="","",Data_Engine!$AD194)</f>
        <v>0</v>
      </c>
      <c r="E194" s="69" t="n">
        <f aca="false">IF($A194="","",Data_Engine!$AE194)</f>
        <v>0</v>
      </c>
      <c r="F194" s="73" t="n">
        <f aca="false">IF($A194="","",$D194-$E194)</f>
        <v>0</v>
      </c>
      <c r="G194" s="72" t="str">
        <f aca="false">IF($A194="","",IF(ROUND($E194,2)=0,"n/a",$F194/ABS($E194)))</f>
        <v>n/a</v>
      </c>
      <c r="H194" s="70" t="n">
        <f aca="false">IF($A194="","",Data_Engine!$AH194)</f>
        <v>0</v>
      </c>
      <c r="I194" s="69" t="n">
        <f aca="false">IF($A194="","",Data_Engine!$AI194)</f>
        <v>0</v>
      </c>
      <c r="J194" s="71" t="n">
        <f aca="false">IF($A194="","",$H194-$I194)</f>
        <v>0</v>
      </c>
      <c r="K194" s="72" t="str">
        <f aca="false">IF($A194="","",IF(ROUND($I194,2)=0,"n/a",$J194/ABS($I194)))</f>
        <v>n/a</v>
      </c>
      <c r="L194" s="69" t="n">
        <f aca="false">IF($A194="","",Data_Engine!$AJ194)</f>
        <v>0</v>
      </c>
      <c r="M194" s="73" t="n">
        <f aca="false">IF($A194="","",IF(Setup!$B$8=0,0,$H194/Setup!$B$8*12))</f>
        <v>0</v>
      </c>
      <c r="N194" s="72" t="str">
        <f aca="false">IF($A194="","",IF(ROUND($L194,2)=0,"n/a",($M194-$L194)/ABS($L194)))</f>
        <v>n/a</v>
      </c>
      <c r="O194" s="76" t="str">
        <f aca="false">IF($A194="","",IF(AND(ROUND($H194,2)=0,ROUND($I194,2)=0),"Dormant",IF(ROUND($I194,2)=0,"New this year",IF(ROUND($H194,2)=0,"Ceased",IF($J194&gt;0,"Increase",IF($J194&lt;0,"Decrease","Flat"))))))</f>
        <v>Dormant</v>
      </c>
      <c r="P194" s="74" t="str">
        <f aca="false">IF($A194="","",IF(AND(ROUND($H194,2)=0,ROUND($I194,2)=0),"No Activity",IF(ABS($J194)&lt;Setup!$B$14,"Low",IF(ROUND($I194,2)=0,"High",IF(OR(ABS($J194/$I194)&gt;=Setup!$B$16,ABS($J194)&gt;=Setup!$B$17),"High",IF(ABS($J194/$I194)&gt;=Setup!$B$15,"Medium","Low"))))))</f>
        <v>No Activity</v>
      </c>
      <c r="Q194" s="57"/>
      <c r="R194" s="75" t="n">
        <f aca="false">IF($A194="",-1000000000000000,IF(ROUND(ABS($J194),0)=0,-1000000000000000,ABS($J194)+ROW()/1000000))</f>
        <v>-1000000000000000</v>
      </c>
    </row>
    <row r="195" customFormat="false" ht="15" hidden="false" customHeight="false" outlineLevel="0" collapsed="false">
      <c r="A195" s="68" t="str">
        <f aca="false">IF(Data_Engine!$A195="","",Data_Engine!$A195)</f>
        <v>Workers' Compensation</v>
      </c>
      <c r="B195" s="42" t="str">
        <f aca="false">IF($A195="","",Data_Engine!$B195)</f>
        <v>Expenses</v>
      </c>
      <c r="C195" s="42" t="str">
        <f aca="false">IF($A195="","",Data_Engine!$D195)</f>
        <v>Unallocated</v>
      </c>
      <c r="D195" s="69" t="n">
        <f aca="false">IF($A195="","",Data_Engine!$AD195)</f>
        <v>0</v>
      </c>
      <c r="E195" s="69" t="n">
        <f aca="false">IF($A195="","",Data_Engine!$AE195)</f>
        <v>0</v>
      </c>
      <c r="F195" s="73" t="n">
        <f aca="false">IF($A195="","",$D195-$E195)</f>
        <v>0</v>
      </c>
      <c r="G195" s="72" t="str">
        <f aca="false">IF($A195="","",IF(ROUND($E195,2)=0,"n/a",$F195/ABS($E195)))</f>
        <v>n/a</v>
      </c>
      <c r="H195" s="70" t="n">
        <f aca="false">IF($A195="","",Data_Engine!$AH195)</f>
        <v>0</v>
      </c>
      <c r="I195" s="69" t="n">
        <f aca="false">IF($A195="","",Data_Engine!$AI195)</f>
        <v>0</v>
      </c>
      <c r="J195" s="71" t="n">
        <f aca="false">IF($A195="","",$H195-$I195)</f>
        <v>0</v>
      </c>
      <c r="K195" s="72" t="str">
        <f aca="false">IF($A195="","",IF(ROUND($I195,2)=0,"n/a",$J195/ABS($I195)))</f>
        <v>n/a</v>
      </c>
      <c r="L195" s="69" t="n">
        <f aca="false">IF($A195="","",Data_Engine!$AJ195)</f>
        <v>0</v>
      </c>
      <c r="M195" s="73" t="n">
        <f aca="false">IF($A195="","",IF(Setup!$B$8=0,0,$H195/Setup!$B$8*12))</f>
        <v>0</v>
      </c>
      <c r="N195" s="72" t="str">
        <f aca="false">IF($A195="","",IF(ROUND($L195,2)=0,"n/a",($M195-$L195)/ABS($L195)))</f>
        <v>n/a</v>
      </c>
      <c r="O195" s="76" t="str">
        <f aca="false">IF($A195="","",IF(AND(ROUND($H195,2)=0,ROUND($I195,2)=0),"Dormant",IF(ROUND($I195,2)=0,"New this year",IF(ROUND($H195,2)=0,"Ceased",IF($J195&gt;0,"Increase",IF($J195&lt;0,"Decrease","Flat"))))))</f>
        <v>Dormant</v>
      </c>
      <c r="P195" s="74" t="str">
        <f aca="false">IF($A195="","",IF(AND(ROUND($H195,2)=0,ROUND($I195,2)=0),"No Activity",IF(ABS($J195)&lt;Setup!$B$14,"Low",IF(ROUND($I195,2)=0,"High",IF(OR(ABS($J195/$I195)&gt;=Setup!$B$16,ABS($J195)&gt;=Setup!$B$17),"High",IF(ABS($J195/$I195)&gt;=Setup!$B$15,"Medium","Low"))))))</f>
        <v>No Activity</v>
      </c>
      <c r="Q195" s="57"/>
      <c r="R195" s="75" t="n">
        <f aca="false">IF($A195="",-1000000000000000,IF(ROUND(ABS($J195),0)=0,-1000000000000000,ABS($J195)+ROW()/1000000))</f>
        <v>-1000000000000000</v>
      </c>
    </row>
    <row r="196" customFormat="false" ht="15" hidden="false" customHeight="false" outlineLevel="0" collapsed="false">
      <c r="A196" s="68" t="str">
        <f aca="false">IF(Data_Engine!$A196="","",Data_Engine!$A196)</f>
        <v/>
      </c>
      <c r="B196" s="42" t="str">
        <f aca="false">IF($A196="","",Data_Engine!$B196)</f>
        <v/>
      </c>
      <c r="C196" s="42" t="str">
        <f aca="false">IF($A196="","",Data_Engine!$D196)</f>
        <v/>
      </c>
      <c r="D196" s="69" t="str">
        <f aca="false">IF($A196="","",Data_Engine!$AD196)</f>
        <v/>
      </c>
      <c r="E196" s="69" t="str">
        <f aca="false">IF($A196="","",Data_Engine!$AE196)</f>
        <v/>
      </c>
      <c r="F196" s="73" t="str">
        <f aca="false">IF($A196="","",$D196-$E196)</f>
        <v/>
      </c>
      <c r="G196" s="72" t="str">
        <f aca="false">IF($A196="","",IF(ROUND($E196,2)=0,"n/a",$F196/ABS($E196)))</f>
        <v/>
      </c>
      <c r="H196" s="70" t="str">
        <f aca="false">IF($A196="","",Data_Engine!$AH196)</f>
        <v/>
      </c>
      <c r="I196" s="69" t="str">
        <f aca="false">IF($A196="","",Data_Engine!$AI196)</f>
        <v/>
      </c>
      <c r="J196" s="71" t="str">
        <f aca="false">IF($A196="","",$H196-$I196)</f>
        <v/>
      </c>
      <c r="K196" s="72" t="str">
        <f aca="false">IF($A196="","",IF(ROUND($I196,2)=0,"n/a",$J196/ABS($I196)))</f>
        <v/>
      </c>
      <c r="L196" s="69" t="str">
        <f aca="false">IF($A196="","",Data_Engine!$AJ196)</f>
        <v/>
      </c>
      <c r="M196" s="73" t="str">
        <f aca="false">IF($A196="","",IF(Setup!$B$8=0,0,$H196/Setup!$B$8*12))</f>
        <v/>
      </c>
      <c r="N196" s="72" t="str">
        <f aca="false">IF($A196="","",IF(ROUND($L196,2)=0,"n/a",($M196-$L196)/ABS($L196)))</f>
        <v/>
      </c>
      <c r="O196" s="76" t="str">
        <f aca="false">IF($A196="","",IF(AND(ROUND($H196,2)=0,ROUND($I196,2)=0),"Dormant",IF(ROUND($I196,2)=0,"New this year",IF(ROUND($H196,2)=0,"Ceased",IF($J196&gt;0,"Increase",IF($J196&lt;0,"Decrease","Flat"))))))</f>
        <v/>
      </c>
      <c r="P196" s="74" t="str">
        <f aca="false">IF($A196="","",IF(AND(ROUND($H196,2)=0,ROUND($I196,2)=0),"No Activity",IF(ABS($J196)&lt;Setup!$B$14,"Low",IF(ROUND($I196,2)=0,"High",IF(OR(ABS($J196/$I196)&gt;=Setup!$B$16,ABS($J196)&gt;=Setup!$B$17),"High",IF(ABS($J196/$I196)&gt;=Setup!$B$15,"Medium","Low"))))))</f>
        <v/>
      </c>
      <c r="Q196" s="57"/>
      <c r="R196" s="75" t="n">
        <f aca="false">IF($A196="",-1000000000000000,IF(ROUND(ABS($J196),0)=0,-1000000000000000,ABS($J196)+ROW()/1000000))</f>
        <v>-1000000000000000</v>
      </c>
    </row>
    <row r="197" customFormat="false" ht="15" hidden="false" customHeight="false" outlineLevel="0" collapsed="false">
      <c r="A197" s="68" t="str">
        <f aca="false">IF(Data_Engine!$A197="","",Data_Engine!$A197)</f>
        <v/>
      </c>
      <c r="B197" s="42" t="str">
        <f aca="false">IF($A197="","",Data_Engine!$B197)</f>
        <v/>
      </c>
      <c r="C197" s="42" t="str">
        <f aca="false">IF($A197="","",Data_Engine!$D197)</f>
        <v/>
      </c>
      <c r="D197" s="69" t="str">
        <f aca="false">IF($A197="","",Data_Engine!$AD197)</f>
        <v/>
      </c>
      <c r="E197" s="69" t="str">
        <f aca="false">IF($A197="","",Data_Engine!$AE197)</f>
        <v/>
      </c>
      <c r="F197" s="73" t="str">
        <f aca="false">IF($A197="","",$D197-$E197)</f>
        <v/>
      </c>
      <c r="G197" s="72" t="str">
        <f aca="false">IF($A197="","",IF(ROUND($E197,2)=0,"n/a",$F197/ABS($E197)))</f>
        <v/>
      </c>
      <c r="H197" s="70" t="str">
        <f aca="false">IF($A197="","",Data_Engine!$AH197)</f>
        <v/>
      </c>
      <c r="I197" s="69" t="str">
        <f aca="false">IF($A197="","",Data_Engine!$AI197)</f>
        <v/>
      </c>
      <c r="J197" s="71" t="str">
        <f aca="false">IF($A197="","",$H197-$I197)</f>
        <v/>
      </c>
      <c r="K197" s="72" t="str">
        <f aca="false">IF($A197="","",IF(ROUND($I197,2)=0,"n/a",$J197/ABS($I197)))</f>
        <v/>
      </c>
      <c r="L197" s="69" t="str">
        <f aca="false">IF($A197="","",Data_Engine!$AJ197)</f>
        <v/>
      </c>
      <c r="M197" s="73" t="str">
        <f aca="false">IF($A197="","",IF(Setup!$B$8=0,0,$H197/Setup!$B$8*12))</f>
        <v/>
      </c>
      <c r="N197" s="72" t="str">
        <f aca="false">IF($A197="","",IF(ROUND($L197,2)=0,"n/a",($M197-$L197)/ABS($L197)))</f>
        <v/>
      </c>
      <c r="O197" s="76" t="str">
        <f aca="false">IF($A197="","",IF(AND(ROUND($H197,2)=0,ROUND($I197,2)=0),"Dormant",IF(ROUND($I197,2)=0,"New this year",IF(ROUND($H197,2)=0,"Ceased",IF($J197&gt;0,"Increase",IF($J197&lt;0,"Decrease","Flat"))))))</f>
        <v/>
      </c>
      <c r="P197" s="74" t="str">
        <f aca="false">IF($A197="","",IF(AND(ROUND($H197,2)=0,ROUND($I197,2)=0),"No Activity",IF(ABS($J197)&lt;Setup!$B$14,"Low",IF(ROUND($I197,2)=0,"High",IF(OR(ABS($J197/$I197)&gt;=Setup!$B$16,ABS($J197)&gt;=Setup!$B$17),"High",IF(ABS($J197/$I197)&gt;=Setup!$B$15,"Medium","Low"))))))</f>
        <v/>
      </c>
      <c r="Q197" s="57"/>
      <c r="R197" s="75" t="n">
        <f aca="false">IF($A197="",-1000000000000000,IF(ROUND(ABS($J197),0)=0,-1000000000000000,ABS($J197)+ROW()/1000000))</f>
        <v>-1000000000000000</v>
      </c>
    </row>
    <row r="198" customFormat="false" ht="15" hidden="false" customHeight="false" outlineLevel="0" collapsed="false">
      <c r="A198" s="68" t="str">
        <f aca="false">IF(Data_Engine!$A198="","",Data_Engine!$A198)</f>
        <v/>
      </c>
      <c r="B198" s="42" t="str">
        <f aca="false">IF($A198="","",Data_Engine!$B198)</f>
        <v/>
      </c>
      <c r="C198" s="42" t="str">
        <f aca="false">IF($A198="","",Data_Engine!$D198)</f>
        <v/>
      </c>
      <c r="D198" s="69" t="str">
        <f aca="false">IF($A198="","",Data_Engine!$AD198)</f>
        <v/>
      </c>
      <c r="E198" s="69" t="str">
        <f aca="false">IF($A198="","",Data_Engine!$AE198)</f>
        <v/>
      </c>
      <c r="F198" s="73" t="str">
        <f aca="false">IF($A198="","",$D198-$E198)</f>
        <v/>
      </c>
      <c r="G198" s="72" t="str">
        <f aca="false">IF($A198="","",IF(ROUND($E198,2)=0,"n/a",$F198/ABS($E198)))</f>
        <v/>
      </c>
      <c r="H198" s="70" t="str">
        <f aca="false">IF($A198="","",Data_Engine!$AH198)</f>
        <v/>
      </c>
      <c r="I198" s="69" t="str">
        <f aca="false">IF($A198="","",Data_Engine!$AI198)</f>
        <v/>
      </c>
      <c r="J198" s="71" t="str">
        <f aca="false">IF($A198="","",$H198-$I198)</f>
        <v/>
      </c>
      <c r="K198" s="72" t="str">
        <f aca="false">IF($A198="","",IF(ROUND($I198,2)=0,"n/a",$J198/ABS($I198)))</f>
        <v/>
      </c>
      <c r="L198" s="69" t="str">
        <f aca="false">IF($A198="","",Data_Engine!$AJ198)</f>
        <v/>
      </c>
      <c r="M198" s="73" t="str">
        <f aca="false">IF($A198="","",IF(Setup!$B$8=0,0,$H198/Setup!$B$8*12))</f>
        <v/>
      </c>
      <c r="N198" s="72" t="str">
        <f aca="false">IF($A198="","",IF(ROUND($L198,2)=0,"n/a",($M198-$L198)/ABS($L198)))</f>
        <v/>
      </c>
      <c r="O198" s="76" t="str">
        <f aca="false">IF($A198="","",IF(AND(ROUND($H198,2)=0,ROUND($I198,2)=0),"Dormant",IF(ROUND($I198,2)=0,"New this year",IF(ROUND($H198,2)=0,"Ceased",IF($J198&gt;0,"Increase",IF($J198&lt;0,"Decrease","Flat"))))))</f>
        <v/>
      </c>
      <c r="P198" s="74" t="str">
        <f aca="false">IF($A198="","",IF(AND(ROUND($H198,2)=0,ROUND($I198,2)=0),"No Activity",IF(ABS($J198)&lt;Setup!$B$14,"Low",IF(ROUND($I198,2)=0,"High",IF(OR(ABS($J198/$I198)&gt;=Setup!$B$16,ABS($J198)&gt;=Setup!$B$17),"High",IF(ABS($J198/$I198)&gt;=Setup!$B$15,"Medium","Low"))))))</f>
        <v/>
      </c>
      <c r="Q198" s="57"/>
      <c r="R198" s="75" t="n">
        <f aca="false">IF($A198="",-1000000000000000,IF(ROUND(ABS($J198),0)=0,-1000000000000000,ABS($J198)+ROW()/1000000))</f>
        <v>-1000000000000000</v>
      </c>
    </row>
    <row r="199" customFormat="false" ht="15" hidden="false" customHeight="false" outlineLevel="0" collapsed="false">
      <c r="A199" s="68" t="str">
        <f aca="false">IF(Data_Engine!$A199="","",Data_Engine!$A199)</f>
        <v/>
      </c>
      <c r="B199" s="42" t="str">
        <f aca="false">IF($A199="","",Data_Engine!$B199)</f>
        <v/>
      </c>
      <c r="C199" s="42" t="str">
        <f aca="false">IF($A199="","",Data_Engine!$D199)</f>
        <v/>
      </c>
      <c r="D199" s="69" t="str">
        <f aca="false">IF($A199="","",Data_Engine!$AD199)</f>
        <v/>
      </c>
      <c r="E199" s="69" t="str">
        <f aca="false">IF($A199="","",Data_Engine!$AE199)</f>
        <v/>
      </c>
      <c r="F199" s="73" t="str">
        <f aca="false">IF($A199="","",$D199-$E199)</f>
        <v/>
      </c>
      <c r="G199" s="72" t="str">
        <f aca="false">IF($A199="","",IF(ROUND($E199,2)=0,"n/a",$F199/ABS($E199)))</f>
        <v/>
      </c>
      <c r="H199" s="70" t="str">
        <f aca="false">IF($A199="","",Data_Engine!$AH199)</f>
        <v/>
      </c>
      <c r="I199" s="69" t="str">
        <f aca="false">IF($A199="","",Data_Engine!$AI199)</f>
        <v/>
      </c>
      <c r="J199" s="71" t="str">
        <f aca="false">IF($A199="","",$H199-$I199)</f>
        <v/>
      </c>
      <c r="K199" s="72" t="str">
        <f aca="false">IF($A199="","",IF(ROUND($I199,2)=0,"n/a",$J199/ABS($I199)))</f>
        <v/>
      </c>
      <c r="L199" s="69" t="str">
        <f aca="false">IF($A199="","",Data_Engine!$AJ199)</f>
        <v/>
      </c>
      <c r="M199" s="73" t="str">
        <f aca="false">IF($A199="","",IF(Setup!$B$8=0,0,$H199/Setup!$B$8*12))</f>
        <v/>
      </c>
      <c r="N199" s="72" t="str">
        <f aca="false">IF($A199="","",IF(ROUND($L199,2)=0,"n/a",($M199-$L199)/ABS($L199)))</f>
        <v/>
      </c>
      <c r="O199" s="76" t="str">
        <f aca="false">IF($A199="","",IF(AND(ROUND($H199,2)=0,ROUND($I199,2)=0),"Dormant",IF(ROUND($I199,2)=0,"New this year",IF(ROUND($H199,2)=0,"Ceased",IF($J199&gt;0,"Increase",IF($J199&lt;0,"Decrease","Flat"))))))</f>
        <v/>
      </c>
      <c r="P199" s="74" t="str">
        <f aca="false">IF($A199="","",IF(AND(ROUND($H199,2)=0,ROUND($I199,2)=0),"No Activity",IF(ABS($J199)&lt;Setup!$B$14,"Low",IF(ROUND($I199,2)=0,"High",IF(OR(ABS($J199/$I199)&gt;=Setup!$B$16,ABS($J199)&gt;=Setup!$B$17),"High",IF(ABS($J199/$I199)&gt;=Setup!$B$15,"Medium","Low"))))))</f>
        <v/>
      </c>
      <c r="Q199" s="57"/>
      <c r="R199" s="75" t="n">
        <f aca="false">IF($A199="",-1000000000000000,IF(ROUND(ABS($J199),0)=0,-1000000000000000,ABS($J199)+ROW()/1000000))</f>
        <v>-1000000000000000</v>
      </c>
    </row>
    <row r="200" customFormat="false" ht="15" hidden="false" customHeight="false" outlineLevel="0" collapsed="false">
      <c r="A200" s="68" t="str">
        <f aca="false">IF(Data_Engine!$A200="","",Data_Engine!$A200)</f>
        <v/>
      </c>
      <c r="B200" s="42" t="str">
        <f aca="false">IF($A200="","",Data_Engine!$B200)</f>
        <v/>
      </c>
      <c r="C200" s="42" t="str">
        <f aca="false">IF($A200="","",Data_Engine!$D200)</f>
        <v/>
      </c>
      <c r="D200" s="69" t="str">
        <f aca="false">IF($A200="","",Data_Engine!$AD200)</f>
        <v/>
      </c>
      <c r="E200" s="69" t="str">
        <f aca="false">IF($A200="","",Data_Engine!$AE200)</f>
        <v/>
      </c>
      <c r="F200" s="73" t="str">
        <f aca="false">IF($A200="","",$D200-$E200)</f>
        <v/>
      </c>
      <c r="G200" s="72" t="str">
        <f aca="false">IF($A200="","",IF(ROUND($E200,2)=0,"n/a",$F200/ABS($E200)))</f>
        <v/>
      </c>
      <c r="H200" s="70" t="str">
        <f aca="false">IF($A200="","",Data_Engine!$AH200)</f>
        <v/>
      </c>
      <c r="I200" s="69" t="str">
        <f aca="false">IF($A200="","",Data_Engine!$AI200)</f>
        <v/>
      </c>
      <c r="J200" s="71" t="str">
        <f aca="false">IF($A200="","",$H200-$I200)</f>
        <v/>
      </c>
      <c r="K200" s="72" t="str">
        <f aca="false">IF($A200="","",IF(ROUND($I200,2)=0,"n/a",$J200/ABS($I200)))</f>
        <v/>
      </c>
      <c r="L200" s="69" t="str">
        <f aca="false">IF($A200="","",Data_Engine!$AJ200)</f>
        <v/>
      </c>
      <c r="M200" s="73" t="str">
        <f aca="false">IF($A200="","",IF(Setup!$B$8=0,0,$H200/Setup!$B$8*12))</f>
        <v/>
      </c>
      <c r="N200" s="72" t="str">
        <f aca="false">IF($A200="","",IF(ROUND($L200,2)=0,"n/a",($M200-$L200)/ABS($L200)))</f>
        <v/>
      </c>
      <c r="O200" s="76" t="str">
        <f aca="false">IF($A200="","",IF(AND(ROUND($H200,2)=0,ROUND($I200,2)=0),"Dormant",IF(ROUND($I200,2)=0,"New this year",IF(ROUND($H200,2)=0,"Ceased",IF($J200&gt;0,"Increase",IF($J200&lt;0,"Decrease","Flat"))))))</f>
        <v/>
      </c>
      <c r="P200" s="74" t="str">
        <f aca="false">IF($A200="","",IF(AND(ROUND($H200,2)=0,ROUND($I200,2)=0),"No Activity",IF(ABS($J200)&lt;Setup!$B$14,"Low",IF(ROUND($I200,2)=0,"High",IF(OR(ABS($J200/$I200)&gt;=Setup!$B$16,ABS($J200)&gt;=Setup!$B$17),"High",IF(ABS($J200/$I200)&gt;=Setup!$B$15,"Medium","Low"))))))</f>
        <v/>
      </c>
      <c r="Q200" s="57"/>
      <c r="R200" s="75" t="n">
        <f aca="false">IF($A200="",-1000000000000000,IF(ROUND(ABS($J200),0)=0,-1000000000000000,ABS($J200)+ROW()/1000000))</f>
        <v>-1000000000000000</v>
      </c>
    </row>
    <row r="201" customFormat="false" ht="15" hidden="false" customHeight="false" outlineLevel="0" collapsed="false">
      <c r="A201" s="68" t="str">
        <f aca="false">IF(Data_Engine!$A201="","",Data_Engine!$A201)</f>
        <v/>
      </c>
      <c r="B201" s="42" t="str">
        <f aca="false">IF($A201="","",Data_Engine!$B201)</f>
        <v/>
      </c>
      <c r="C201" s="42" t="str">
        <f aca="false">IF($A201="","",Data_Engine!$D201)</f>
        <v/>
      </c>
      <c r="D201" s="69" t="str">
        <f aca="false">IF($A201="","",Data_Engine!$AD201)</f>
        <v/>
      </c>
      <c r="E201" s="69" t="str">
        <f aca="false">IF($A201="","",Data_Engine!$AE201)</f>
        <v/>
      </c>
      <c r="F201" s="73" t="str">
        <f aca="false">IF($A201="","",$D201-$E201)</f>
        <v/>
      </c>
      <c r="G201" s="72" t="str">
        <f aca="false">IF($A201="","",IF(ROUND($E201,2)=0,"n/a",$F201/ABS($E201)))</f>
        <v/>
      </c>
      <c r="H201" s="70" t="str">
        <f aca="false">IF($A201="","",Data_Engine!$AH201)</f>
        <v/>
      </c>
      <c r="I201" s="69" t="str">
        <f aca="false">IF($A201="","",Data_Engine!$AI201)</f>
        <v/>
      </c>
      <c r="J201" s="71" t="str">
        <f aca="false">IF($A201="","",$H201-$I201)</f>
        <v/>
      </c>
      <c r="K201" s="72" t="str">
        <f aca="false">IF($A201="","",IF(ROUND($I201,2)=0,"n/a",$J201/ABS($I201)))</f>
        <v/>
      </c>
      <c r="L201" s="69" t="str">
        <f aca="false">IF($A201="","",Data_Engine!$AJ201)</f>
        <v/>
      </c>
      <c r="M201" s="73" t="str">
        <f aca="false">IF($A201="","",IF(Setup!$B$8=0,0,$H201/Setup!$B$8*12))</f>
        <v/>
      </c>
      <c r="N201" s="72" t="str">
        <f aca="false">IF($A201="","",IF(ROUND($L201,2)=0,"n/a",($M201-$L201)/ABS($L201)))</f>
        <v/>
      </c>
      <c r="O201" s="76" t="str">
        <f aca="false">IF($A201="","",IF(AND(ROUND($H201,2)=0,ROUND($I201,2)=0),"Dormant",IF(ROUND($I201,2)=0,"New this year",IF(ROUND($H201,2)=0,"Ceased",IF($J201&gt;0,"Increase",IF($J201&lt;0,"Decrease","Flat"))))))</f>
        <v/>
      </c>
      <c r="P201" s="74" t="str">
        <f aca="false">IF($A201="","",IF(AND(ROUND($H201,2)=0,ROUND($I201,2)=0),"No Activity",IF(ABS($J201)&lt;Setup!$B$14,"Low",IF(ROUND($I201,2)=0,"High",IF(OR(ABS($J201/$I201)&gt;=Setup!$B$16,ABS($J201)&gt;=Setup!$B$17),"High",IF(ABS($J201/$I201)&gt;=Setup!$B$15,"Medium","Low"))))))</f>
        <v/>
      </c>
      <c r="Q201" s="57"/>
      <c r="R201" s="75" t="n">
        <f aca="false">IF($A201="",-1000000000000000,IF(ROUND(ABS($J201),0)=0,-1000000000000000,ABS($J201)+ROW()/1000000))</f>
        <v>-1000000000000000</v>
      </c>
    </row>
    <row r="202" customFormat="false" ht="15" hidden="false" customHeight="false" outlineLevel="0" collapsed="false">
      <c r="A202" s="68" t="str">
        <f aca="false">IF(Data_Engine!$A202="","",Data_Engine!$A202)</f>
        <v/>
      </c>
      <c r="B202" s="42" t="str">
        <f aca="false">IF($A202="","",Data_Engine!$B202)</f>
        <v/>
      </c>
      <c r="C202" s="42" t="str">
        <f aca="false">IF($A202="","",Data_Engine!$D202)</f>
        <v/>
      </c>
      <c r="D202" s="69" t="str">
        <f aca="false">IF($A202="","",Data_Engine!$AD202)</f>
        <v/>
      </c>
      <c r="E202" s="69" t="str">
        <f aca="false">IF($A202="","",Data_Engine!$AE202)</f>
        <v/>
      </c>
      <c r="F202" s="73" t="str">
        <f aca="false">IF($A202="","",$D202-$E202)</f>
        <v/>
      </c>
      <c r="G202" s="72" t="str">
        <f aca="false">IF($A202="","",IF(ROUND($E202,2)=0,"n/a",$F202/ABS($E202)))</f>
        <v/>
      </c>
      <c r="H202" s="70" t="str">
        <f aca="false">IF($A202="","",Data_Engine!$AH202)</f>
        <v/>
      </c>
      <c r="I202" s="69" t="str">
        <f aca="false">IF($A202="","",Data_Engine!$AI202)</f>
        <v/>
      </c>
      <c r="J202" s="71" t="str">
        <f aca="false">IF($A202="","",$H202-$I202)</f>
        <v/>
      </c>
      <c r="K202" s="72" t="str">
        <f aca="false">IF($A202="","",IF(ROUND($I202,2)=0,"n/a",$J202/ABS($I202)))</f>
        <v/>
      </c>
      <c r="L202" s="69" t="str">
        <f aca="false">IF($A202="","",Data_Engine!$AJ202)</f>
        <v/>
      </c>
      <c r="M202" s="73" t="str">
        <f aca="false">IF($A202="","",IF(Setup!$B$8=0,0,$H202/Setup!$B$8*12))</f>
        <v/>
      </c>
      <c r="N202" s="72" t="str">
        <f aca="false">IF($A202="","",IF(ROUND($L202,2)=0,"n/a",($M202-$L202)/ABS($L202)))</f>
        <v/>
      </c>
      <c r="O202" s="76" t="str">
        <f aca="false">IF($A202="","",IF(AND(ROUND($H202,2)=0,ROUND($I202,2)=0),"Dormant",IF(ROUND($I202,2)=0,"New this year",IF(ROUND($H202,2)=0,"Ceased",IF($J202&gt;0,"Increase",IF($J202&lt;0,"Decrease","Flat"))))))</f>
        <v/>
      </c>
      <c r="P202" s="74" t="str">
        <f aca="false">IF($A202="","",IF(AND(ROUND($H202,2)=0,ROUND($I202,2)=0),"No Activity",IF(ABS($J202)&lt;Setup!$B$14,"Low",IF(ROUND($I202,2)=0,"High",IF(OR(ABS($J202/$I202)&gt;=Setup!$B$16,ABS($J202)&gt;=Setup!$B$17),"High",IF(ABS($J202/$I202)&gt;=Setup!$B$15,"Medium","Low"))))))</f>
        <v/>
      </c>
      <c r="Q202" s="57"/>
      <c r="R202" s="75" t="n">
        <f aca="false">IF($A202="",-1000000000000000,IF(ROUND(ABS($J202),0)=0,-1000000000000000,ABS($J202)+ROW()/1000000))</f>
        <v>-1000000000000000</v>
      </c>
    </row>
    <row r="203" customFormat="false" ht="15" hidden="false" customHeight="false" outlineLevel="0" collapsed="false">
      <c r="A203" s="68" t="str">
        <f aca="false">IF(Data_Engine!$A203="","",Data_Engine!$A203)</f>
        <v/>
      </c>
      <c r="B203" s="42" t="str">
        <f aca="false">IF($A203="","",Data_Engine!$B203)</f>
        <v/>
      </c>
      <c r="C203" s="42" t="str">
        <f aca="false">IF($A203="","",Data_Engine!$D203)</f>
        <v/>
      </c>
      <c r="D203" s="69" t="str">
        <f aca="false">IF($A203="","",Data_Engine!$AD203)</f>
        <v/>
      </c>
      <c r="E203" s="69" t="str">
        <f aca="false">IF($A203="","",Data_Engine!$AE203)</f>
        <v/>
      </c>
      <c r="F203" s="73" t="str">
        <f aca="false">IF($A203="","",$D203-$E203)</f>
        <v/>
      </c>
      <c r="G203" s="72" t="str">
        <f aca="false">IF($A203="","",IF(ROUND($E203,2)=0,"n/a",$F203/ABS($E203)))</f>
        <v/>
      </c>
      <c r="H203" s="70" t="str">
        <f aca="false">IF($A203="","",Data_Engine!$AH203)</f>
        <v/>
      </c>
      <c r="I203" s="69" t="str">
        <f aca="false">IF($A203="","",Data_Engine!$AI203)</f>
        <v/>
      </c>
      <c r="J203" s="71" t="str">
        <f aca="false">IF($A203="","",$H203-$I203)</f>
        <v/>
      </c>
      <c r="K203" s="72" t="str">
        <f aca="false">IF($A203="","",IF(ROUND($I203,2)=0,"n/a",$J203/ABS($I203)))</f>
        <v/>
      </c>
      <c r="L203" s="69" t="str">
        <f aca="false">IF($A203="","",Data_Engine!$AJ203)</f>
        <v/>
      </c>
      <c r="M203" s="73" t="str">
        <f aca="false">IF($A203="","",IF(Setup!$B$8=0,0,$H203/Setup!$B$8*12))</f>
        <v/>
      </c>
      <c r="N203" s="72" t="str">
        <f aca="false">IF($A203="","",IF(ROUND($L203,2)=0,"n/a",($M203-$L203)/ABS($L203)))</f>
        <v/>
      </c>
      <c r="O203" s="76" t="str">
        <f aca="false">IF($A203="","",IF(AND(ROUND($H203,2)=0,ROUND($I203,2)=0),"Dormant",IF(ROUND($I203,2)=0,"New this year",IF(ROUND($H203,2)=0,"Ceased",IF($J203&gt;0,"Increase",IF($J203&lt;0,"Decrease","Flat"))))))</f>
        <v/>
      </c>
      <c r="P203" s="74" t="str">
        <f aca="false">IF($A203="","",IF(AND(ROUND($H203,2)=0,ROUND($I203,2)=0),"No Activity",IF(ABS($J203)&lt;Setup!$B$14,"Low",IF(ROUND($I203,2)=0,"High",IF(OR(ABS($J203/$I203)&gt;=Setup!$B$16,ABS($J203)&gt;=Setup!$B$17),"High",IF(ABS($J203/$I203)&gt;=Setup!$B$15,"Medium","Low"))))))</f>
        <v/>
      </c>
      <c r="Q203" s="57"/>
      <c r="R203" s="75" t="n">
        <f aca="false">IF($A203="",-1000000000000000,IF(ROUND(ABS($J203),0)=0,-1000000000000000,ABS($J203)+ROW()/1000000))</f>
        <v>-1000000000000000</v>
      </c>
    </row>
    <row r="204" customFormat="false" ht="15" hidden="false" customHeight="false" outlineLevel="0" collapsed="false">
      <c r="A204" s="68" t="str">
        <f aca="false">IF(Data_Engine!$A204="","",Data_Engine!$A204)</f>
        <v/>
      </c>
      <c r="B204" s="42" t="str">
        <f aca="false">IF($A204="","",Data_Engine!$B204)</f>
        <v/>
      </c>
      <c r="C204" s="42" t="str">
        <f aca="false">IF($A204="","",Data_Engine!$D204)</f>
        <v/>
      </c>
      <c r="D204" s="69" t="str">
        <f aca="false">IF($A204="","",Data_Engine!$AD204)</f>
        <v/>
      </c>
      <c r="E204" s="69" t="str">
        <f aca="false">IF($A204="","",Data_Engine!$AE204)</f>
        <v/>
      </c>
      <c r="F204" s="73" t="str">
        <f aca="false">IF($A204="","",$D204-$E204)</f>
        <v/>
      </c>
      <c r="G204" s="72" t="str">
        <f aca="false">IF($A204="","",IF(ROUND($E204,2)=0,"n/a",$F204/ABS($E204)))</f>
        <v/>
      </c>
      <c r="H204" s="70" t="str">
        <f aca="false">IF($A204="","",Data_Engine!$AH204)</f>
        <v/>
      </c>
      <c r="I204" s="69" t="str">
        <f aca="false">IF($A204="","",Data_Engine!$AI204)</f>
        <v/>
      </c>
      <c r="J204" s="71" t="str">
        <f aca="false">IF($A204="","",$H204-$I204)</f>
        <v/>
      </c>
      <c r="K204" s="72" t="str">
        <f aca="false">IF($A204="","",IF(ROUND($I204,2)=0,"n/a",$J204/ABS($I204)))</f>
        <v/>
      </c>
      <c r="L204" s="69" t="str">
        <f aca="false">IF($A204="","",Data_Engine!$AJ204)</f>
        <v/>
      </c>
      <c r="M204" s="73" t="str">
        <f aca="false">IF($A204="","",IF(Setup!$B$8=0,0,$H204/Setup!$B$8*12))</f>
        <v/>
      </c>
      <c r="N204" s="72" t="str">
        <f aca="false">IF($A204="","",IF(ROUND($L204,2)=0,"n/a",($M204-$L204)/ABS($L204)))</f>
        <v/>
      </c>
      <c r="O204" s="76" t="str">
        <f aca="false">IF($A204="","",IF(AND(ROUND($H204,2)=0,ROUND($I204,2)=0),"Dormant",IF(ROUND($I204,2)=0,"New this year",IF(ROUND($H204,2)=0,"Ceased",IF($J204&gt;0,"Increase",IF($J204&lt;0,"Decrease","Flat"))))))</f>
        <v/>
      </c>
      <c r="P204" s="74" t="str">
        <f aca="false">IF($A204="","",IF(AND(ROUND($H204,2)=0,ROUND($I204,2)=0),"No Activity",IF(ABS($J204)&lt;Setup!$B$14,"Low",IF(ROUND($I204,2)=0,"High",IF(OR(ABS($J204/$I204)&gt;=Setup!$B$16,ABS($J204)&gt;=Setup!$B$17),"High",IF(ABS($J204/$I204)&gt;=Setup!$B$15,"Medium","Low"))))))</f>
        <v/>
      </c>
      <c r="Q204" s="57"/>
      <c r="R204" s="75" t="n">
        <f aca="false">IF($A204="",-1000000000000000,IF(ROUND(ABS($J204),0)=0,-1000000000000000,ABS($J204)+ROW()/1000000))</f>
        <v>-1000000000000000</v>
      </c>
    </row>
    <row r="205" customFormat="false" ht="15" hidden="false" customHeight="false" outlineLevel="0" collapsed="false">
      <c r="A205" s="68" t="str">
        <f aca="false">IF(Data_Engine!$A205="","",Data_Engine!$A205)</f>
        <v/>
      </c>
      <c r="B205" s="42" t="str">
        <f aca="false">IF($A205="","",Data_Engine!$B205)</f>
        <v/>
      </c>
      <c r="C205" s="42" t="str">
        <f aca="false">IF($A205="","",Data_Engine!$D205)</f>
        <v/>
      </c>
      <c r="D205" s="69" t="str">
        <f aca="false">IF($A205="","",Data_Engine!$AD205)</f>
        <v/>
      </c>
      <c r="E205" s="69" t="str">
        <f aca="false">IF($A205="","",Data_Engine!$AE205)</f>
        <v/>
      </c>
      <c r="F205" s="73" t="str">
        <f aca="false">IF($A205="","",$D205-$E205)</f>
        <v/>
      </c>
      <c r="G205" s="72" t="str">
        <f aca="false">IF($A205="","",IF(ROUND($E205,2)=0,"n/a",$F205/ABS($E205)))</f>
        <v/>
      </c>
      <c r="H205" s="70" t="str">
        <f aca="false">IF($A205="","",Data_Engine!$AH205)</f>
        <v/>
      </c>
      <c r="I205" s="69" t="str">
        <f aca="false">IF($A205="","",Data_Engine!$AI205)</f>
        <v/>
      </c>
      <c r="J205" s="71" t="str">
        <f aca="false">IF($A205="","",$H205-$I205)</f>
        <v/>
      </c>
      <c r="K205" s="72" t="str">
        <f aca="false">IF($A205="","",IF(ROUND($I205,2)=0,"n/a",$J205/ABS($I205)))</f>
        <v/>
      </c>
      <c r="L205" s="69" t="str">
        <f aca="false">IF($A205="","",Data_Engine!$AJ205)</f>
        <v/>
      </c>
      <c r="M205" s="73" t="str">
        <f aca="false">IF($A205="","",IF(Setup!$B$8=0,0,$H205/Setup!$B$8*12))</f>
        <v/>
      </c>
      <c r="N205" s="72" t="str">
        <f aca="false">IF($A205="","",IF(ROUND($L205,2)=0,"n/a",($M205-$L205)/ABS($L205)))</f>
        <v/>
      </c>
      <c r="O205" s="76" t="str">
        <f aca="false">IF($A205="","",IF(AND(ROUND($H205,2)=0,ROUND($I205,2)=0),"Dormant",IF(ROUND($I205,2)=0,"New this year",IF(ROUND($H205,2)=0,"Ceased",IF($J205&gt;0,"Increase",IF($J205&lt;0,"Decrease","Flat"))))))</f>
        <v/>
      </c>
      <c r="P205" s="74" t="str">
        <f aca="false">IF($A205="","",IF(AND(ROUND($H205,2)=0,ROUND($I205,2)=0),"No Activity",IF(ABS($J205)&lt;Setup!$B$14,"Low",IF(ROUND($I205,2)=0,"High",IF(OR(ABS($J205/$I205)&gt;=Setup!$B$16,ABS($J205)&gt;=Setup!$B$17),"High",IF(ABS($J205/$I205)&gt;=Setup!$B$15,"Medium","Low"))))))</f>
        <v/>
      </c>
      <c r="Q205" s="57"/>
      <c r="R205" s="75" t="n">
        <f aca="false">IF($A205="",-1000000000000000,IF(ROUND(ABS($J205),0)=0,-1000000000000000,ABS($J205)+ROW()/1000000))</f>
        <v>-1000000000000000</v>
      </c>
    </row>
    <row r="206" customFormat="false" ht="15" hidden="false" customHeight="false" outlineLevel="0" collapsed="false">
      <c r="A206" s="68" t="str">
        <f aca="false">IF(Data_Engine!$A206="","",Data_Engine!$A206)</f>
        <v/>
      </c>
      <c r="B206" s="42" t="str">
        <f aca="false">IF($A206="","",Data_Engine!$B206)</f>
        <v/>
      </c>
      <c r="C206" s="42" t="str">
        <f aca="false">IF($A206="","",Data_Engine!$D206)</f>
        <v/>
      </c>
      <c r="D206" s="69" t="str">
        <f aca="false">IF($A206="","",Data_Engine!$AD206)</f>
        <v/>
      </c>
      <c r="E206" s="69" t="str">
        <f aca="false">IF($A206="","",Data_Engine!$AE206)</f>
        <v/>
      </c>
      <c r="F206" s="73" t="str">
        <f aca="false">IF($A206="","",$D206-$E206)</f>
        <v/>
      </c>
      <c r="G206" s="72" t="str">
        <f aca="false">IF($A206="","",IF(ROUND($E206,2)=0,"n/a",$F206/ABS($E206)))</f>
        <v/>
      </c>
      <c r="H206" s="70" t="str">
        <f aca="false">IF($A206="","",Data_Engine!$AH206)</f>
        <v/>
      </c>
      <c r="I206" s="69" t="str">
        <f aca="false">IF($A206="","",Data_Engine!$AI206)</f>
        <v/>
      </c>
      <c r="J206" s="71" t="str">
        <f aca="false">IF($A206="","",$H206-$I206)</f>
        <v/>
      </c>
      <c r="K206" s="72" t="str">
        <f aca="false">IF($A206="","",IF(ROUND($I206,2)=0,"n/a",$J206/ABS($I206)))</f>
        <v/>
      </c>
      <c r="L206" s="69" t="str">
        <f aca="false">IF($A206="","",Data_Engine!$AJ206)</f>
        <v/>
      </c>
      <c r="M206" s="73" t="str">
        <f aca="false">IF($A206="","",IF(Setup!$B$8=0,0,$H206/Setup!$B$8*12))</f>
        <v/>
      </c>
      <c r="N206" s="72" t="str">
        <f aca="false">IF($A206="","",IF(ROUND($L206,2)=0,"n/a",($M206-$L206)/ABS($L206)))</f>
        <v/>
      </c>
      <c r="O206" s="76" t="str">
        <f aca="false">IF($A206="","",IF(AND(ROUND($H206,2)=0,ROUND($I206,2)=0),"Dormant",IF(ROUND($I206,2)=0,"New this year",IF(ROUND($H206,2)=0,"Ceased",IF($J206&gt;0,"Increase",IF($J206&lt;0,"Decrease","Flat"))))))</f>
        <v/>
      </c>
      <c r="P206" s="74" t="str">
        <f aca="false">IF($A206="","",IF(AND(ROUND($H206,2)=0,ROUND($I206,2)=0),"No Activity",IF(ABS($J206)&lt;Setup!$B$14,"Low",IF(ROUND($I206,2)=0,"High",IF(OR(ABS($J206/$I206)&gt;=Setup!$B$16,ABS($J206)&gt;=Setup!$B$17),"High",IF(ABS($J206/$I206)&gt;=Setup!$B$15,"Medium","Low"))))))</f>
        <v/>
      </c>
      <c r="Q206" s="57"/>
      <c r="R206" s="75" t="n">
        <f aca="false">IF($A206="",-1000000000000000,IF(ROUND(ABS($J206),0)=0,-1000000000000000,ABS($J206)+ROW()/1000000))</f>
        <v>-1000000000000000</v>
      </c>
    </row>
    <row r="207" customFormat="false" ht="15" hidden="false" customHeight="false" outlineLevel="0" collapsed="false">
      <c r="A207" s="68" t="str">
        <f aca="false">IF(Data_Engine!$A207="","",Data_Engine!$A207)</f>
        <v/>
      </c>
      <c r="B207" s="42" t="str">
        <f aca="false">IF($A207="","",Data_Engine!$B207)</f>
        <v/>
      </c>
      <c r="C207" s="42" t="str">
        <f aca="false">IF($A207="","",Data_Engine!$D207)</f>
        <v/>
      </c>
      <c r="D207" s="69" t="str">
        <f aca="false">IF($A207="","",Data_Engine!$AD207)</f>
        <v/>
      </c>
      <c r="E207" s="69" t="str">
        <f aca="false">IF($A207="","",Data_Engine!$AE207)</f>
        <v/>
      </c>
      <c r="F207" s="73" t="str">
        <f aca="false">IF($A207="","",$D207-$E207)</f>
        <v/>
      </c>
      <c r="G207" s="72" t="str">
        <f aca="false">IF($A207="","",IF(ROUND($E207,2)=0,"n/a",$F207/ABS($E207)))</f>
        <v/>
      </c>
      <c r="H207" s="70" t="str">
        <f aca="false">IF($A207="","",Data_Engine!$AH207)</f>
        <v/>
      </c>
      <c r="I207" s="69" t="str">
        <f aca="false">IF($A207="","",Data_Engine!$AI207)</f>
        <v/>
      </c>
      <c r="J207" s="71" t="str">
        <f aca="false">IF($A207="","",$H207-$I207)</f>
        <v/>
      </c>
      <c r="K207" s="72" t="str">
        <f aca="false">IF($A207="","",IF(ROUND($I207,2)=0,"n/a",$J207/ABS($I207)))</f>
        <v/>
      </c>
      <c r="L207" s="69" t="str">
        <f aca="false">IF($A207="","",Data_Engine!$AJ207)</f>
        <v/>
      </c>
      <c r="M207" s="73" t="str">
        <f aca="false">IF($A207="","",IF(Setup!$B$8=0,0,$H207/Setup!$B$8*12))</f>
        <v/>
      </c>
      <c r="N207" s="72" t="str">
        <f aca="false">IF($A207="","",IF(ROUND($L207,2)=0,"n/a",($M207-$L207)/ABS($L207)))</f>
        <v/>
      </c>
      <c r="O207" s="76" t="str">
        <f aca="false">IF($A207="","",IF(AND(ROUND($H207,2)=0,ROUND($I207,2)=0),"Dormant",IF(ROUND($I207,2)=0,"New this year",IF(ROUND($H207,2)=0,"Ceased",IF($J207&gt;0,"Increase",IF($J207&lt;0,"Decrease","Flat"))))))</f>
        <v/>
      </c>
      <c r="P207" s="74" t="str">
        <f aca="false">IF($A207="","",IF(AND(ROUND($H207,2)=0,ROUND($I207,2)=0),"No Activity",IF(ABS($J207)&lt;Setup!$B$14,"Low",IF(ROUND($I207,2)=0,"High",IF(OR(ABS($J207/$I207)&gt;=Setup!$B$16,ABS($J207)&gt;=Setup!$B$17),"High",IF(ABS($J207/$I207)&gt;=Setup!$B$15,"Medium","Low"))))))</f>
        <v/>
      </c>
      <c r="Q207" s="57"/>
      <c r="R207" s="75" t="n">
        <f aca="false">IF($A207="",-1000000000000000,IF(ROUND(ABS($J207),0)=0,-1000000000000000,ABS($J207)+ROW()/1000000))</f>
        <v>-1000000000000000</v>
      </c>
    </row>
    <row r="208" customFormat="false" ht="15" hidden="false" customHeight="false" outlineLevel="0" collapsed="false">
      <c r="A208" s="68" t="str">
        <f aca="false">IF(Data_Engine!$A208="","",Data_Engine!$A208)</f>
        <v/>
      </c>
      <c r="B208" s="42" t="str">
        <f aca="false">IF($A208="","",Data_Engine!$B208)</f>
        <v/>
      </c>
      <c r="C208" s="42" t="str">
        <f aca="false">IF($A208="","",Data_Engine!$D208)</f>
        <v/>
      </c>
      <c r="D208" s="69" t="str">
        <f aca="false">IF($A208="","",Data_Engine!$AD208)</f>
        <v/>
      </c>
      <c r="E208" s="69" t="str">
        <f aca="false">IF($A208="","",Data_Engine!$AE208)</f>
        <v/>
      </c>
      <c r="F208" s="73" t="str">
        <f aca="false">IF($A208="","",$D208-$E208)</f>
        <v/>
      </c>
      <c r="G208" s="72" t="str">
        <f aca="false">IF($A208="","",IF(ROUND($E208,2)=0,"n/a",$F208/ABS($E208)))</f>
        <v/>
      </c>
      <c r="H208" s="70" t="str">
        <f aca="false">IF($A208="","",Data_Engine!$AH208)</f>
        <v/>
      </c>
      <c r="I208" s="69" t="str">
        <f aca="false">IF($A208="","",Data_Engine!$AI208)</f>
        <v/>
      </c>
      <c r="J208" s="71" t="str">
        <f aca="false">IF($A208="","",$H208-$I208)</f>
        <v/>
      </c>
      <c r="K208" s="72" t="str">
        <f aca="false">IF($A208="","",IF(ROUND($I208,2)=0,"n/a",$J208/ABS($I208)))</f>
        <v/>
      </c>
      <c r="L208" s="69" t="str">
        <f aca="false">IF($A208="","",Data_Engine!$AJ208)</f>
        <v/>
      </c>
      <c r="M208" s="73" t="str">
        <f aca="false">IF($A208="","",IF(Setup!$B$8=0,0,$H208/Setup!$B$8*12))</f>
        <v/>
      </c>
      <c r="N208" s="72" t="str">
        <f aca="false">IF($A208="","",IF(ROUND($L208,2)=0,"n/a",($M208-$L208)/ABS($L208)))</f>
        <v/>
      </c>
      <c r="O208" s="76" t="str">
        <f aca="false">IF($A208="","",IF(AND(ROUND($H208,2)=0,ROUND($I208,2)=0),"Dormant",IF(ROUND($I208,2)=0,"New this year",IF(ROUND($H208,2)=0,"Ceased",IF($J208&gt;0,"Increase",IF($J208&lt;0,"Decrease","Flat"))))))</f>
        <v/>
      </c>
      <c r="P208" s="74" t="str">
        <f aca="false">IF($A208="","",IF(AND(ROUND($H208,2)=0,ROUND($I208,2)=0),"No Activity",IF(ABS($J208)&lt;Setup!$B$14,"Low",IF(ROUND($I208,2)=0,"High",IF(OR(ABS($J208/$I208)&gt;=Setup!$B$16,ABS($J208)&gt;=Setup!$B$17),"High",IF(ABS($J208/$I208)&gt;=Setup!$B$15,"Medium","Low"))))))</f>
        <v/>
      </c>
      <c r="Q208" s="57"/>
      <c r="R208" s="75" t="n">
        <f aca="false">IF($A208="",-1000000000000000,IF(ROUND(ABS($J208),0)=0,-1000000000000000,ABS($J208)+ROW()/1000000))</f>
        <v>-1000000000000000</v>
      </c>
    </row>
    <row r="209" customFormat="false" ht="15" hidden="false" customHeight="false" outlineLevel="0" collapsed="false">
      <c r="A209" s="68" t="str">
        <f aca="false">IF(Data_Engine!$A209="","",Data_Engine!$A209)</f>
        <v/>
      </c>
      <c r="B209" s="42" t="str">
        <f aca="false">IF($A209="","",Data_Engine!$B209)</f>
        <v/>
      </c>
      <c r="C209" s="42" t="str">
        <f aca="false">IF($A209="","",Data_Engine!$D209)</f>
        <v/>
      </c>
      <c r="D209" s="69" t="str">
        <f aca="false">IF($A209="","",Data_Engine!$AD209)</f>
        <v/>
      </c>
      <c r="E209" s="69" t="str">
        <f aca="false">IF($A209="","",Data_Engine!$AE209)</f>
        <v/>
      </c>
      <c r="F209" s="73" t="str">
        <f aca="false">IF($A209="","",$D209-$E209)</f>
        <v/>
      </c>
      <c r="G209" s="72" t="str">
        <f aca="false">IF($A209="","",IF(ROUND($E209,2)=0,"n/a",$F209/ABS($E209)))</f>
        <v/>
      </c>
      <c r="H209" s="70" t="str">
        <f aca="false">IF($A209="","",Data_Engine!$AH209)</f>
        <v/>
      </c>
      <c r="I209" s="69" t="str">
        <f aca="false">IF($A209="","",Data_Engine!$AI209)</f>
        <v/>
      </c>
      <c r="J209" s="71" t="str">
        <f aca="false">IF($A209="","",$H209-$I209)</f>
        <v/>
      </c>
      <c r="K209" s="72" t="str">
        <f aca="false">IF($A209="","",IF(ROUND($I209,2)=0,"n/a",$J209/ABS($I209)))</f>
        <v/>
      </c>
      <c r="L209" s="69" t="str">
        <f aca="false">IF($A209="","",Data_Engine!$AJ209)</f>
        <v/>
      </c>
      <c r="M209" s="73" t="str">
        <f aca="false">IF($A209="","",IF(Setup!$B$8=0,0,$H209/Setup!$B$8*12))</f>
        <v/>
      </c>
      <c r="N209" s="72" t="str">
        <f aca="false">IF($A209="","",IF(ROUND($L209,2)=0,"n/a",($M209-$L209)/ABS($L209)))</f>
        <v/>
      </c>
      <c r="O209" s="76" t="str">
        <f aca="false">IF($A209="","",IF(AND(ROUND($H209,2)=0,ROUND($I209,2)=0),"Dormant",IF(ROUND($I209,2)=0,"New this year",IF(ROUND($H209,2)=0,"Ceased",IF($J209&gt;0,"Increase",IF($J209&lt;0,"Decrease","Flat"))))))</f>
        <v/>
      </c>
      <c r="P209" s="74" t="str">
        <f aca="false">IF($A209="","",IF(AND(ROUND($H209,2)=0,ROUND($I209,2)=0),"No Activity",IF(ABS($J209)&lt;Setup!$B$14,"Low",IF(ROUND($I209,2)=0,"High",IF(OR(ABS($J209/$I209)&gt;=Setup!$B$16,ABS($J209)&gt;=Setup!$B$17),"High",IF(ABS($J209/$I209)&gt;=Setup!$B$15,"Medium","Low"))))))</f>
        <v/>
      </c>
      <c r="Q209" s="57"/>
      <c r="R209" s="75" t="n">
        <f aca="false">IF($A209="",-1000000000000000,IF(ROUND(ABS($J209),0)=0,-1000000000000000,ABS($J209)+ROW()/1000000))</f>
        <v>-1000000000000000</v>
      </c>
    </row>
    <row r="210" customFormat="false" ht="15" hidden="false" customHeight="false" outlineLevel="0" collapsed="false">
      <c r="A210" s="68" t="str">
        <f aca="false">IF(Data_Engine!$A210="","",Data_Engine!$A210)</f>
        <v/>
      </c>
      <c r="B210" s="42" t="str">
        <f aca="false">IF($A210="","",Data_Engine!$B210)</f>
        <v/>
      </c>
      <c r="C210" s="42" t="str">
        <f aca="false">IF($A210="","",Data_Engine!$D210)</f>
        <v/>
      </c>
      <c r="D210" s="69" t="str">
        <f aca="false">IF($A210="","",Data_Engine!$AD210)</f>
        <v/>
      </c>
      <c r="E210" s="69" t="str">
        <f aca="false">IF($A210="","",Data_Engine!$AE210)</f>
        <v/>
      </c>
      <c r="F210" s="73" t="str">
        <f aca="false">IF($A210="","",$D210-$E210)</f>
        <v/>
      </c>
      <c r="G210" s="72" t="str">
        <f aca="false">IF($A210="","",IF(ROUND($E210,2)=0,"n/a",$F210/ABS($E210)))</f>
        <v/>
      </c>
      <c r="H210" s="70" t="str">
        <f aca="false">IF($A210="","",Data_Engine!$AH210)</f>
        <v/>
      </c>
      <c r="I210" s="69" t="str">
        <f aca="false">IF($A210="","",Data_Engine!$AI210)</f>
        <v/>
      </c>
      <c r="J210" s="71" t="str">
        <f aca="false">IF($A210="","",$H210-$I210)</f>
        <v/>
      </c>
      <c r="K210" s="72" t="str">
        <f aca="false">IF($A210="","",IF(ROUND($I210,2)=0,"n/a",$J210/ABS($I210)))</f>
        <v/>
      </c>
      <c r="L210" s="69" t="str">
        <f aca="false">IF($A210="","",Data_Engine!$AJ210)</f>
        <v/>
      </c>
      <c r="M210" s="73" t="str">
        <f aca="false">IF($A210="","",IF(Setup!$B$8=0,0,$H210/Setup!$B$8*12))</f>
        <v/>
      </c>
      <c r="N210" s="72" t="str">
        <f aca="false">IF($A210="","",IF(ROUND($L210,2)=0,"n/a",($M210-$L210)/ABS($L210)))</f>
        <v/>
      </c>
      <c r="O210" s="76" t="str">
        <f aca="false">IF($A210="","",IF(AND(ROUND($H210,2)=0,ROUND($I210,2)=0),"Dormant",IF(ROUND($I210,2)=0,"New this year",IF(ROUND($H210,2)=0,"Ceased",IF($J210&gt;0,"Increase",IF($J210&lt;0,"Decrease","Flat"))))))</f>
        <v/>
      </c>
      <c r="P210" s="74" t="str">
        <f aca="false">IF($A210="","",IF(AND(ROUND($H210,2)=0,ROUND($I210,2)=0),"No Activity",IF(ABS($J210)&lt;Setup!$B$14,"Low",IF(ROUND($I210,2)=0,"High",IF(OR(ABS($J210/$I210)&gt;=Setup!$B$16,ABS($J210)&gt;=Setup!$B$17),"High",IF(ABS($J210/$I210)&gt;=Setup!$B$15,"Medium","Low"))))))</f>
        <v/>
      </c>
      <c r="Q210" s="57"/>
      <c r="R210" s="75" t="n">
        <f aca="false">IF($A210="",-1000000000000000,IF(ROUND(ABS($J210),0)=0,-1000000000000000,ABS($J210)+ROW()/1000000))</f>
        <v>-1000000000000000</v>
      </c>
    </row>
    <row r="211" customFormat="false" ht="15" hidden="false" customHeight="false" outlineLevel="0" collapsed="false">
      <c r="A211" s="68" t="str">
        <f aca="false">IF(Data_Engine!$A211="","",Data_Engine!$A211)</f>
        <v/>
      </c>
      <c r="B211" s="42" t="str">
        <f aca="false">IF($A211="","",Data_Engine!$B211)</f>
        <v/>
      </c>
      <c r="C211" s="42" t="str">
        <f aca="false">IF($A211="","",Data_Engine!$D211)</f>
        <v/>
      </c>
      <c r="D211" s="69" t="str">
        <f aca="false">IF($A211="","",Data_Engine!$AD211)</f>
        <v/>
      </c>
      <c r="E211" s="69" t="str">
        <f aca="false">IF($A211="","",Data_Engine!$AE211)</f>
        <v/>
      </c>
      <c r="F211" s="73" t="str">
        <f aca="false">IF($A211="","",$D211-$E211)</f>
        <v/>
      </c>
      <c r="G211" s="72" t="str">
        <f aca="false">IF($A211="","",IF(ROUND($E211,2)=0,"n/a",$F211/ABS($E211)))</f>
        <v/>
      </c>
      <c r="H211" s="70" t="str">
        <f aca="false">IF($A211="","",Data_Engine!$AH211)</f>
        <v/>
      </c>
      <c r="I211" s="69" t="str">
        <f aca="false">IF($A211="","",Data_Engine!$AI211)</f>
        <v/>
      </c>
      <c r="J211" s="71" t="str">
        <f aca="false">IF($A211="","",$H211-$I211)</f>
        <v/>
      </c>
      <c r="K211" s="72" t="str">
        <f aca="false">IF($A211="","",IF(ROUND($I211,2)=0,"n/a",$J211/ABS($I211)))</f>
        <v/>
      </c>
      <c r="L211" s="69" t="str">
        <f aca="false">IF($A211="","",Data_Engine!$AJ211)</f>
        <v/>
      </c>
      <c r="M211" s="73" t="str">
        <f aca="false">IF($A211="","",IF(Setup!$B$8=0,0,$H211/Setup!$B$8*12))</f>
        <v/>
      </c>
      <c r="N211" s="72" t="str">
        <f aca="false">IF($A211="","",IF(ROUND($L211,2)=0,"n/a",($M211-$L211)/ABS($L211)))</f>
        <v/>
      </c>
      <c r="O211" s="76" t="str">
        <f aca="false">IF($A211="","",IF(AND(ROUND($H211,2)=0,ROUND($I211,2)=0),"Dormant",IF(ROUND($I211,2)=0,"New this year",IF(ROUND($H211,2)=0,"Ceased",IF($J211&gt;0,"Increase",IF($J211&lt;0,"Decrease","Flat"))))))</f>
        <v/>
      </c>
      <c r="P211" s="74" t="str">
        <f aca="false">IF($A211="","",IF(AND(ROUND($H211,2)=0,ROUND($I211,2)=0),"No Activity",IF(ABS($J211)&lt;Setup!$B$14,"Low",IF(ROUND($I211,2)=0,"High",IF(OR(ABS($J211/$I211)&gt;=Setup!$B$16,ABS($J211)&gt;=Setup!$B$17),"High",IF(ABS($J211/$I211)&gt;=Setup!$B$15,"Medium","Low"))))))</f>
        <v/>
      </c>
      <c r="Q211" s="57"/>
      <c r="R211" s="75" t="n">
        <f aca="false">IF($A211="",-1000000000000000,IF(ROUND(ABS($J211),0)=0,-1000000000000000,ABS($J211)+ROW()/1000000))</f>
        <v>-1000000000000000</v>
      </c>
    </row>
    <row r="212" customFormat="false" ht="15" hidden="false" customHeight="false" outlineLevel="0" collapsed="false">
      <c r="A212" s="68" t="str">
        <f aca="false">IF(Data_Engine!$A212="","",Data_Engine!$A212)</f>
        <v/>
      </c>
      <c r="B212" s="42" t="str">
        <f aca="false">IF($A212="","",Data_Engine!$B212)</f>
        <v/>
      </c>
      <c r="C212" s="42" t="str">
        <f aca="false">IF($A212="","",Data_Engine!$D212)</f>
        <v/>
      </c>
      <c r="D212" s="69" t="str">
        <f aca="false">IF($A212="","",Data_Engine!$AD212)</f>
        <v/>
      </c>
      <c r="E212" s="69" t="str">
        <f aca="false">IF($A212="","",Data_Engine!$AE212)</f>
        <v/>
      </c>
      <c r="F212" s="73" t="str">
        <f aca="false">IF($A212="","",$D212-$E212)</f>
        <v/>
      </c>
      <c r="G212" s="72" t="str">
        <f aca="false">IF($A212="","",IF(ROUND($E212,2)=0,"n/a",$F212/ABS($E212)))</f>
        <v/>
      </c>
      <c r="H212" s="70" t="str">
        <f aca="false">IF($A212="","",Data_Engine!$AH212)</f>
        <v/>
      </c>
      <c r="I212" s="69" t="str">
        <f aca="false">IF($A212="","",Data_Engine!$AI212)</f>
        <v/>
      </c>
      <c r="J212" s="71" t="str">
        <f aca="false">IF($A212="","",$H212-$I212)</f>
        <v/>
      </c>
      <c r="K212" s="72" t="str">
        <f aca="false">IF($A212="","",IF(ROUND($I212,2)=0,"n/a",$J212/ABS($I212)))</f>
        <v/>
      </c>
      <c r="L212" s="69" t="str">
        <f aca="false">IF($A212="","",Data_Engine!$AJ212)</f>
        <v/>
      </c>
      <c r="M212" s="73" t="str">
        <f aca="false">IF($A212="","",IF(Setup!$B$8=0,0,$H212/Setup!$B$8*12))</f>
        <v/>
      </c>
      <c r="N212" s="72" t="str">
        <f aca="false">IF($A212="","",IF(ROUND($L212,2)=0,"n/a",($M212-$L212)/ABS($L212)))</f>
        <v/>
      </c>
      <c r="O212" s="76" t="str">
        <f aca="false">IF($A212="","",IF(AND(ROUND($H212,2)=0,ROUND($I212,2)=0),"Dormant",IF(ROUND($I212,2)=0,"New this year",IF(ROUND($H212,2)=0,"Ceased",IF($J212&gt;0,"Increase",IF($J212&lt;0,"Decrease","Flat"))))))</f>
        <v/>
      </c>
      <c r="P212" s="74" t="str">
        <f aca="false">IF($A212="","",IF(AND(ROUND($H212,2)=0,ROUND($I212,2)=0),"No Activity",IF(ABS($J212)&lt;Setup!$B$14,"Low",IF(ROUND($I212,2)=0,"High",IF(OR(ABS($J212/$I212)&gt;=Setup!$B$16,ABS($J212)&gt;=Setup!$B$17),"High",IF(ABS($J212/$I212)&gt;=Setup!$B$15,"Medium","Low"))))))</f>
        <v/>
      </c>
      <c r="Q212" s="57"/>
      <c r="R212" s="75" t="n">
        <f aca="false">IF($A212="",-1000000000000000,IF(ROUND(ABS($J212),0)=0,-1000000000000000,ABS($J212)+ROW()/1000000))</f>
        <v>-1000000000000000</v>
      </c>
    </row>
    <row r="213" customFormat="false" ht="15" hidden="false" customHeight="false" outlineLevel="0" collapsed="false">
      <c r="A213" s="68" t="str">
        <f aca="false">IF(Data_Engine!$A213="","",Data_Engine!$A213)</f>
        <v/>
      </c>
      <c r="B213" s="42" t="str">
        <f aca="false">IF($A213="","",Data_Engine!$B213)</f>
        <v/>
      </c>
      <c r="C213" s="42" t="str">
        <f aca="false">IF($A213="","",Data_Engine!$D213)</f>
        <v/>
      </c>
      <c r="D213" s="69" t="str">
        <f aca="false">IF($A213="","",Data_Engine!$AD213)</f>
        <v/>
      </c>
      <c r="E213" s="69" t="str">
        <f aca="false">IF($A213="","",Data_Engine!$AE213)</f>
        <v/>
      </c>
      <c r="F213" s="73" t="str">
        <f aca="false">IF($A213="","",$D213-$E213)</f>
        <v/>
      </c>
      <c r="G213" s="72" t="str">
        <f aca="false">IF($A213="","",IF(ROUND($E213,2)=0,"n/a",$F213/ABS($E213)))</f>
        <v/>
      </c>
      <c r="H213" s="70" t="str">
        <f aca="false">IF($A213="","",Data_Engine!$AH213)</f>
        <v/>
      </c>
      <c r="I213" s="69" t="str">
        <f aca="false">IF($A213="","",Data_Engine!$AI213)</f>
        <v/>
      </c>
      <c r="J213" s="71" t="str">
        <f aca="false">IF($A213="","",$H213-$I213)</f>
        <v/>
      </c>
      <c r="K213" s="72" t="str">
        <f aca="false">IF($A213="","",IF(ROUND($I213,2)=0,"n/a",$J213/ABS($I213)))</f>
        <v/>
      </c>
      <c r="L213" s="69" t="str">
        <f aca="false">IF($A213="","",Data_Engine!$AJ213)</f>
        <v/>
      </c>
      <c r="M213" s="73" t="str">
        <f aca="false">IF($A213="","",IF(Setup!$B$8=0,0,$H213/Setup!$B$8*12))</f>
        <v/>
      </c>
      <c r="N213" s="72" t="str">
        <f aca="false">IF($A213="","",IF(ROUND($L213,2)=0,"n/a",($M213-$L213)/ABS($L213)))</f>
        <v/>
      </c>
      <c r="O213" s="76" t="str">
        <f aca="false">IF($A213="","",IF(AND(ROUND($H213,2)=0,ROUND($I213,2)=0),"Dormant",IF(ROUND($I213,2)=0,"New this year",IF(ROUND($H213,2)=0,"Ceased",IF($J213&gt;0,"Increase",IF($J213&lt;0,"Decrease","Flat"))))))</f>
        <v/>
      </c>
      <c r="P213" s="74" t="str">
        <f aca="false">IF($A213="","",IF(AND(ROUND($H213,2)=0,ROUND($I213,2)=0),"No Activity",IF(ABS($J213)&lt;Setup!$B$14,"Low",IF(ROUND($I213,2)=0,"High",IF(OR(ABS($J213/$I213)&gt;=Setup!$B$16,ABS($J213)&gt;=Setup!$B$17),"High",IF(ABS($J213/$I213)&gt;=Setup!$B$15,"Medium","Low"))))))</f>
        <v/>
      </c>
      <c r="Q213" s="57"/>
      <c r="R213" s="75" t="n">
        <f aca="false">IF($A213="",-1000000000000000,IF(ROUND(ABS($J213),0)=0,-1000000000000000,ABS($J213)+ROW()/1000000))</f>
        <v>-1000000000000000</v>
      </c>
    </row>
    <row r="214" customFormat="false" ht="15" hidden="false" customHeight="false" outlineLevel="0" collapsed="false">
      <c r="A214" s="68" t="str">
        <f aca="false">IF(Data_Engine!$A214="","",Data_Engine!$A214)</f>
        <v/>
      </c>
      <c r="B214" s="42" t="str">
        <f aca="false">IF($A214="","",Data_Engine!$B214)</f>
        <v/>
      </c>
      <c r="C214" s="42" t="str">
        <f aca="false">IF($A214="","",Data_Engine!$D214)</f>
        <v/>
      </c>
      <c r="D214" s="69" t="str">
        <f aca="false">IF($A214="","",Data_Engine!$AD214)</f>
        <v/>
      </c>
      <c r="E214" s="69" t="str">
        <f aca="false">IF($A214="","",Data_Engine!$AE214)</f>
        <v/>
      </c>
      <c r="F214" s="73" t="str">
        <f aca="false">IF($A214="","",$D214-$E214)</f>
        <v/>
      </c>
      <c r="G214" s="72" t="str">
        <f aca="false">IF($A214="","",IF(ROUND($E214,2)=0,"n/a",$F214/ABS($E214)))</f>
        <v/>
      </c>
      <c r="H214" s="70" t="str">
        <f aca="false">IF($A214="","",Data_Engine!$AH214)</f>
        <v/>
      </c>
      <c r="I214" s="69" t="str">
        <f aca="false">IF($A214="","",Data_Engine!$AI214)</f>
        <v/>
      </c>
      <c r="J214" s="71" t="str">
        <f aca="false">IF($A214="","",$H214-$I214)</f>
        <v/>
      </c>
      <c r="K214" s="72" t="str">
        <f aca="false">IF($A214="","",IF(ROUND($I214,2)=0,"n/a",$J214/ABS($I214)))</f>
        <v/>
      </c>
      <c r="L214" s="69" t="str">
        <f aca="false">IF($A214="","",Data_Engine!$AJ214)</f>
        <v/>
      </c>
      <c r="M214" s="73" t="str">
        <f aca="false">IF($A214="","",IF(Setup!$B$8=0,0,$H214/Setup!$B$8*12))</f>
        <v/>
      </c>
      <c r="N214" s="72" t="str">
        <f aca="false">IF($A214="","",IF(ROUND($L214,2)=0,"n/a",($M214-$L214)/ABS($L214)))</f>
        <v/>
      </c>
      <c r="O214" s="76" t="str">
        <f aca="false">IF($A214="","",IF(AND(ROUND($H214,2)=0,ROUND($I214,2)=0),"Dormant",IF(ROUND($I214,2)=0,"New this year",IF(ROUND($H214,2)=0,"Ceased",IF($J214&gt;0,"Increase",IF($J214&lt;0,"Decrease","Flat"))))))</f>
        <v/>
      </c>
      <c r="P214" s="74" t="str">
        <f aca="false">IF($A214="","",IF(AND(ROUND($H214,2)=0,ROUND($I214,2)=0),"No Activity",IF(ABS($J214)&lt;Setup!$B$14,"Low",IF(ROUND($I214,2)=0,"High",IF(OR(ABS($J214/$I214)&gt;=Setup!$B$16,ABS($J214)&gt;=Setup!$B$17),"High",IF(ABS($J214/$I214)&gt;=Setup!$B$15,"Medium","Low"))))))</f>
        <v/>
      </c>
      <c r="Q214" s="57"/>
      <c r="R214" s="75" t="n">
        <f aca="false">IF($A214="",-1000000000000000,IF(ROUND(ABS($J214),0)=0,-1000000000000000,ABS($J214)+ROW()/1000000))</f>
        <v>-1000000000000000</v>
      </c>
    </row>
    <row r="215" customFormat="false" ht="15" hidden="false" customHeight="false" outlineLevel="0" collapsed="false">
      <c r="A215" s="68" t="str">
        <f aca="false">IF(Data_Engine!$A215="","",Data_Engine!$A215)</f>
        <v/>
      </c>
      <c r="B215" s="42" t="str">
        <f aca="false">IF($A215="","",Data_Engine!$B215)</f>
        <v/>
      </c>
      <c r="C215" s="42" t="str">
        <f aca="false">IF($A215="","",Data_Engine!$D215)</f>
        <v/>
      </c>
      <c r="D215" s="69" t="str">
        <f aca="false">IF($A215="","",Data_Engine!$AD215)</f>
        <v/>
      </c>
      <c r="E215" s="69" t="str">
        <f aca="false">IF($A215="","",Data_Engine!$AE215)</f>
        <v/>
      </c>
      <c r="F215" s="73" t="str">
        <f aca="false">IF($A215="","",$D215-$E215)</f>
        <v/>
      </c>
      <c r="G215" s="72" t="str">
        <f aca="false">IF($A215="","",IF(ROUND($E215,2)=0,"n/a",$F215/ABS($E215)))</f>
        <v/>
      </c>
      <c r="H215" s="70" t="str">
        <f aca="false">IF($A215="","",Data_Engine!$AH215)</f>
        <v/>
      </c>
      <c r="I215" s="69" t="str">
        <f aca="false">IF($A215="","",Data_Engine!$AI215)</f>
        <v/>
      </c>
      <c r="J215" s="71" t="str">
        <f aca="false">IF($A215="","",$H215-$I215)</f>
        <v/>
      </c>
      <c r="K215" s="72" t="str">
        <f aca="false">IF($A215="","",IF(ROUND($I215,2)=0,"n/a",$J215/ABS($I215)))</f>
        <v/>
      </c>
      <c r="L215" s="69" t="str">
        <f aca="false">IF($A215="","",Data_Engine!$AJ215)</f>
        <v/>
      </c>
      <c r="M215" s="73" t="str">
        <f aca="false">IF($A215="","",IF(Setup!$B$8=0,0,$H215/Setup!$B$8*12))</f>
        <v/>
      </c>
      <c r="N215" s="72" t="str">
        <f aca="false">IF($A215="","",IF(ROUND($L215,2)=0,"n/a",($M215-$L215)/ABS($L215)))</f>
        <v/>
      </c>
      <c r="O215" s="76" t="str">
        <f aca="false">IF($A215="","",IF(AND(ROUND($H215,2)=0,ROUND($I215,2)=0),"Dormant",IF(ROUND($I215,2)=0,"New this year",IF(ROUND($H215,2)=0,"Ceased",IF($J215&gt;0,"Increase",IF($J215&lt;0,"Decrease","Flat"))))))</f>
        <v/>
      </c>
      <c r="P215" s="74" t="str">
        <f aca="false">IF($A215="","",IF(AND(ROUND($H215,2)=0,ROUND($I215,2)=0),"No Activity",IF(ABS($J215)&lt;Setup!$B$14,"Low",IF(ROUND($I215,2)=0,"High",IF(OR(ABS($J215/$I215)&gt;=Setup!$B$16,ABS($J215)&gt;=Setup!$B$17),"High",IF(ABS($J215/$I215)&gt;=Setup!$B$15,"Medium","Low"))))))</f>
        <v/>
      </c>
      <c r="Q215" s="57"/>
      <c r="R215" s="75" t="n">
        <f aca="false">IF($A215="",-1000000000000000,IF(ROUND(ABS($J215),0)=0,-1000000000000000,ABS($J215)+ROW()/1000000))</f>
        <v>-1000000000000000</v>
      </c>
    </row>
    <row r="216" customFormat="false" ht="15" hidden="false" customHeight="false" outlineLevel="0" collapsed="false">
      <c r="A216" s="68" t="str">
        <f aca="false">IF(Data_Engine!$A216="","",Data_Engine!$A216)</f>
        <v/>
      </c>
      <c r="B216" s="42" t="str">
        <f aca="false">IF($A216="","",Data_Engine!$B216)</f>
        <v/>
      </c>
      <c r="C216" s="42" t="str">
        <f aca="false">IF($A216="","",Data_Engine!$D216)</f>
        <v/>
      </c>
      <c r="D216" s="69" t="str">
        <f aca="false">IF($A216="","",Data_Engine!$AD216)</f>
        <v/>
      </c>
      <c r="E216" s="69" t="str">
        <f aca="false">IF($A216="","",Data_Engine!$AE216)</f>
        <v/>
      </c>
      <c r="F216" s="73" t="str">
        <f aca="false">IF($A216="","",$D216-$E216)</f>
        <v/>
      </c>
      <c r="G216" s="72" t="str">
        <f aca="false">IF($A216="","",IF(ROUND($E216,2)=0,"n/a",$F216/ABS($E216)))</f>
        <v/>
      </c>
      <c r="H216" s="70" t="str">
        <f aca="false">IF($A216="","",Data_Engine!$AH216)</f>
        <v/>
      </c>
      <c r="I216" s="69" t="str">
        <f aca="false">IF($A216="","",Data_Engine!$AI216)</f>
        <v/>
      </c>
      <c r="J216" s="71" t="str">
        <f aca="false">IF($A216="","",$H216-$I216)</f>
        <v/>
      </c>
      <c r="K216" s="72" t="str">
        <f aca="false">IF($A216="","",IF(ROUND($I216,2)=0,"n/a",$J216/ABS($I216)))</f>
        <v/>
      </c>
      <c r="L216" s="69" t="str">
        <f aca="false">IF($A216="","",Data_Engine!$AJ216)</f>
        <v/>
      </c>
      <c r="M216" s="73" t="str">
        <f aca="false">IF($A216="","",IF(Setup!$B$8=0,0,$H216/Setup!$B$8*12))</f>
        <v/>
      </c>
      <c r="N216" s="72" t="str">
        <f aca="false">IF($A216="","",IF(ROUND($L216,2)=0,"n/a",($M216-$L216)/ABS($L216)))</f>
        <v/>
      </c>
      <c r="O216" s="76" t="str">
        <f aca="false">IF($A216="","",IF(AND(ROUND($H216,2)=0,ROUND($I216,2)=0),"Dormant",IF(ROUND($I216,2)=0,"New this year",IF(ROUND($H216,2)=0,"Ceased",IF($J216&gt;0,"Increase",IF($J216&lt;0,"Decrease","Flat"))))))</f>
        <v/>
      </c>
      <c r="P216" s="74" t="str">
        <f aca="false">IF($A216="","",IF(AND(ROUND($H216,2)=0,ROUND($I216,2)=0),"No Activity",IF(ABS($J216)&lt;Setup!$B$14,"Low",IF(ROUND($I216,2)=0,"High",IF(OR(ABS($J216/$I216)&gt;=Setup!$B$16,ABS($J216)&gt;=Setup!$B$17),"High",IF(ABS($J216/$I216)&gt;=Setup!$B$15,"Medium","Low"))))))</f>
        <v/>
      </c>
      <c r="Q216" s="57"/>
      <c r="R216" s="75" t="n">
        <f aca="false">IF($A216="",-1000000000000000,IF(ROUND(ABS($J216),0)=0,-1000000000000000,ABS($J216)+ROW()/1000000))</f>
        <v>-1000000000000000</v>
      </c>
    </row>
    <row r="217" customFormat="false" ht="15" hidden="false" customHeight="false" outlineLevel="0" collapsed="false">
      <c r="A217" s="68" t="str">
        <f aca="false">IF(Data_Engine!$A217="","",Data_Engine!$A217)</f>
        <v/>
      </c>
      <c r="B217" s="42" t="str">
        <f aca="false">IF($A217="","",Data_Engine!$B217)</f>
        <v/>
      </c>
      <c r="C217" s="42" t="str">
        <f aca="false">IF($A217="","",Data_Engine!$D217)</f>
        <v/>
      </c>
      <c r="D217" s="69" t="str">
        <f aca="false">IF($A217="","",Data_Engine!$AD217)</f>
        <v/>
      </c>
      <c r="E217" s="69" t="str">
        <f aca="false">IF($A217="","",Data_Engine!$AE217)</f>
        <v/>
      </c>
      <c r="F217" s="73" t="str">
        <f aca="false">IF($A217="","",$D217-$E217)</f>
        <v/>
      </c>
      <c r="G217" s="72" t="str">
        <f aca="false">IF($A217="","",IF(ROUND($E217,2)=0,"n/a",$F217/ABS($E217)))</f>
        <v/>
      </c>
      <c r="H217" s="70" t="str">
        <f aca="false">IF($A217="","",Data_Engine!$AH217)</f>
        <v/>
      </c>
      <c r="I217" s="69" t="str">
        <f aca="false">IF($A217="","",Data_Engine!$AI217)</f>
        <v/>
      </c>
      <c r="J217" s="71" t="str">
        <f aca="false">IF($A217="","",$H217-$I217)</f>
        <v/>
      </c>
      <c r="K217" s="72" t="str">
        <f aca="false">IF($A217="","",IF(ROUND($I217,2)=0,"n/a",$J217/ABS($I217)))</f>
        <v/>
      </c>
      <c r="L217" s="69" t="str">
        <f aca="false">IF($A217="","",Data_Engine!$AJ217)</f>
        <v/>
      </c>
      <c r="M217" s="73" t="str">
        <f aca="false">IF($A217="","",IF(Setup!$B$8=0,0,$H217/Setup!$B$8*12))</f>
        <v/>
      </c>
      <c r="N217" s="72" t="str">
        <f aca="false">IF($A217="","",IF(ROUND($L217,2)=0,"n/a",($M217-$L217)/ABS($L217)))</f>
        <v/>
      </c>
      <c r="O217" s="76" t="str">
        <f aca="false">IF($A217="","",IF(AND(ROUND($H217,2)=0,ROUND($I217,2)=0),"Dormant",IF(ROUND($I217,2)=0,"New this year",IF(ROUND($H217,2)=0,"Ceased",IF($J217&gt;0,"Increase",IF($J217&lt;0,"Decrease","Flat"))))))</f>
        <v/>
      </c>
      <c r="P217" s="74" t="str">
        <f aca="false">IF($A217="","",IF(AND(ROUND($H217,2)=0,ROUND($I217,2)=0),"No Activity",IF(ABS($J217)&lt;Setup!$B$14,"Low",IF(ROUND($I217,2)=0,"High",IF(OR(ABS($J217/$I217)&gt;=Setup!$B$16,ABS($J217)&gt;=Setup!$B$17),"High",IF(ABS($J217/$I217)&gt;=Setup!$B$15,"Medium","Low"))))))</f>
        <v/>
      </c>
      <c r="Q217" s="57"/>
      <c r="R217" s="75" t="n">
        <f aca="false">IF($A217="",-1000000000000000,IF(ROUND(ABS($J217),0)=0,-1000000000000000,ABS($J217)+ROW()/1000000))</f>
        <v>-1000000000000000</v>
      </c>
    </row>
    <row r="218" customFormat="false" ht="15" hidden="false" customHeight="false" outlineLevel="0" collapsed="false">
      <c r="A218" s="68" t="str">
        <f aca="false">IF(Data_Engine!$A218="","",Data_Engine!$A218)</f>
        <v/>
      </c>
      <c r="B218" s="42" t="str">
        <f aca="false">IF($A218="","",Data_Engine!$B218)</f>
        <v/>
      </c>
      <c r="C218" s="42" t="str">
        <f aca="false">IF($A218="","",Data_Engine!$D218)</f>
        <v/>
      </c>
      <c r="D218" s="69" t="str">
        <f aca="false">IF($A218="","",Data_Engine!$AD218)</f>
        <v/>
      </c>
      <c r="E218" s="69" t="str">
        <f aca="false">IF($A218="","",Data_Engine!$AE218)</f>
        <v/>
      </c>
      <c r="F218" s="73" t="str">
        <f aca="false">IF($A218="","",$D218-$E218)</f>
        <v/>
      </c>
      <c r="G218" s="72" t="str">
        <f aca="false">IF($A218="","",IF(ROUND($E218,2)=0,"n/a",$F218/ABS($E218)))</f>
        <v/>
      </c>
      <c r="H218" s="70" t="str">
        <f aca="false">IF($A218="","",Data_Engine!$AH218)</f>
        <v/>
      </c>
      <c r="I218" s="69" t="str">
        <f aca="false">IF($A218="","",Data_Engine!$AI218)</f>
        <v/>
      </c>
      <c r="J218" s="71" t="str">
        <f aca="false">IF($A218="","",$H218-$I218)</f>
        <v/>
      </c>
      <c r="K218" s="72" t="str">
        <f aca="false">IF($A218="","",IF(ROUND($I218,2)=0,"n/a",$J218/ABS($I218)))</f>
        <v/>
      </c>
      <c r="L218" s="69" t="str">
        <f aca="false">IF($A218="","",Data_Engine!$AJ218)</f>
        <v/>
      </c>
      <c r="M218" s="73" t="str">
        <f aca="false">IF($A218="","",IF(Setup!$B$8=0,0,$H218/Setup!$B$8*12))</f>
        <v/>
      </c>
      <c r="N218" s="72" t="str">
        <f aca="false">IF($A218="","",IF(ROUND($L218,2)=0,"n/a",($M218-$L218)/ABS($L218)))</f>
        <v/>
      </c>
      <c r="O218" s="76" t="str">
        <f aca="false">IF($A218="","",IF(AND(ROUND($H218,2)=0,ROUND($I218,2)=0),"Dormant",IF(ROUND($I218,2)=0,"New this year",IF(ROUND($H218,2)=0,"Ceased",IF($J218&gt;0,"Increase",IF($J218&lt;0,"Decrease","Flat"))))))</f>
        <v/>
      </c>
      <c r="P218" s="74" t="str">
        <f aca="false">IF($A218="","",IF(AND(ROUND($H218,2)=0,ROUND($I218,2)=0),"No Activity",IF(ABS($J218)&lt;Setup!$B$14,"Low",IF(ROUND($I218,2)=0,"High",IF(OR(ABS($J218/$I218)&gt;=Setup!$B$16,ABS($J218)&gt;=Setup!$B$17),"High",IF(ABS($J218/$I218)&gt;=Setup!$B$15,"Medium","Low"))))))</f>
        <v/>
      </c>
      <c r="Q218" s="57"/>
      <c r="R218" s="75" t="n">
        <f aca="false">IF($A218="",-1000000000000000,IF(ROUND(ABS($J218),0)=0,-1000000000000000,ABS($J218)+ROW()/1000000))</f>
        <v>-1000000000000000</v>
      </c>
    </row>
    <row r="219" customFormat="false" ht="15" hidden="false" customHeight="false" outlineLevel="0" collapsed="false">
      <c r="A219" s="68" t="str">
        <f aca="false">IF(Data_Engine!$A219="","",Data_Engine!$A219)</f>
        <v/>
      </c>
      <c r="B219" s="42" t="str">
        <f aca="false">IF($A219="","",Data_Engine!$B219)</f>
        <v/>
      </c>
      <c r="C219" s="42" t="str">
        <f aca="false">IF($A219="","",Data_Engine!$D219)</f>
        <v/>
      </c>
      <c r="D219" s="69" t="str">
        <f aca="false">IF($A219="","",Data_Engine!$AD219)</f>
        <v/>
      </c>
      <c r="E219" s="69" t="str">
        <f aca="false">IF($A219="","",Data_Engine!$AE219)</f>
        <v/>
      </c>
      <c r="F219" s="73" t="str">
        <f aca="false">IF($A219="","",$D219-$E219)</f>
        <v/>
      </c>
      <c r="G219" s="72" t="str">
        <f aca="false">IF($A219="","",IF(ROUND($E219,2)=0,"n/a",$F219/ABS($E219)))</f>
        <v/>
      </c>
      <c r="H219" s="70" t="str">
        <f aca="false">IF($A219="","",Data_Engine!$AH219)</f>
        <v/>
      </c>
      <c r="I219" s="69" t="str">
        <f aca="false">IF($A219="","",Data_Engine!$AI219)</f>
        <v/>
      </c>
      <c r="J219" s="71" t="str">
        <f aca="false">IF($A219="","",$H219-$I219)</f>
        <v/>
      </c>
      <c r="K219" s="72" t="str">
        <f aca="false">IF($A219="","",IF(ROUND($I219,2)=0,"n/a",$J219/ABS($I219)))</f>
        <v/>
      </c>
      <c r="L219" s="69" t="str">
        <f aca="false">IF($A219="","",Data_Engine!$AJ219)</f>
        <v/>
      </c>
      <c r="M219" s="73" t="str">
        <f aca="false">IF($A219="","",IF(Setup!$B$8=0,0,$H219/Setup!$B$8*12))</f>
        <v/>
      </c>
      <c r="N219" s="72" t="str">
        <f aca="false">IF($A219="","",IF(ROUND($L219,2)=0,"n/a",($M219-$L219)/ABS($L219)))</f>
        <v/>
      </c>
      <c r="O219" s="76" t="str">
        <f aca="false">IF($A219="","",IF(AND(ROUND($H219,2)=0,ROUND($I219,2)=0),"Dormant",IF(ROUND($I219,2)=0,"New this year",IF(ROUND($H219,2)=0,"Ceased",IF($J219&gt;0,"Increase",IF($J219&lt;0,"Decrease","Flat"))))))</f>
        <v/>
      </c>
      <c r="P219" s="74" t="str">
        <f aca="false">IF($A219="","",IF(AND(ROUND($H219,2)=0,ROUND($I219,2)=0),"No Activity",IF(ABS($J219)&lt;Setup!$B$14,"Low",IF(ROUND($I219,2)=0,"High",IF(OR(ABS($J219/$I219)&gt;=Setup!$B$16,ABS($J219)&gt;=Setup!$B$17),"High",IF(ABS($J219/$I219)&gt;=Setup!$B$15,"Medium","Low"))))))</f>
        <v/>
      </c>
      <c r="Q219" s="57"/>
      <c r="R219" s="75" t="n">
        <f aca="false">IF($A219="",-1000000000000000,IF(ROUND(ABS($J219),0)=0,-1000000000000000,ABS($J219)+ROW()/1000000))</f>
        <v>-1000000000000000</v>
      </c>
    </row>
    <row r="220" customFormat="false" ht="15" hidden="false" customHeight="false" outlineLevel="0" collapsed="false">
      <c r="A220" s="68" t="str">
        <f aca="false">IF(Data_Engine!$A220="","",Data_Engine!$A220)</f>
        <v/>
      </c>
      <c r="B220" s="42" t="str">
        <f aca="false">IF($A220="","",Data_Engine!$B220)</f>
        <v/>
      </c>
      <c r="C220" s="42" t="str">
        <f aca="false">IF($A220="","",Data_Engine!$D220)</f>
        <v/>
      </c>
      <c r="D220" s="69" t="str">
        <f aca="false">IF($A220="","",Data_Engine!$AD220)</f>
        <v/>
      </c>
      <c r="E220" s="69" t="str">
        <f aca="false">IF($A220="","",Data_Engine!$AE220)</f>
        <v/>
      </c>
      <c r="F220" s="73" t="str">
        <f aca="false">IF($A220="","",$D220-$E220)</f>
        <v/>
      </c>
      <c r="G220" s="72" t="str">
        <f aca="false">IF($A220="","",IF(ROUND($E220,2)=0,"n/a",$F220/ABS($E220)))</f>
        <v/>
      </c>
      <c r="H220" s="70" t="str">
        <f aca="false">IF($A220="","",Data_Engine!$AH220)</f>
        <v/>
      </c>
      <c r="I220" s="69" t="str">
        <f aca="false">IF($A220="","",Data_Engine!$AI220)</f>
        <v/>
      </c>
      <c r="J220" s="71" t="str">
        <f aca="false">IF($A220="","",$H220-$I220)</f>
        <v/>
      </c>
      <c r="K220" s="72" t="str">
        <f aca="false">IF($A220="","",IF(ROUND($I220,2)=0,"n/a",$J220/ABS($I220)))</f>
        <v/>
      </c>
      <c r="L220" s="69" t="str">
        <f aca="false">IF($A220="","",Data_Engine!$AJ220)</f>
        <v/>
      </c>
      <c r="M220" s="73" t="str">
        <f aca="false">IF($A220="","",IF(Setup!$B$8=0,0,$H220/Setup!$B$8*12))</f>
        <v/>
      </c>
      <c r="N220" s="72" t="str">
        <f aca="false">IF($A220="","",IF(ROUND($L220,2)=0,"n/a",($M220-$L220)/ABS($L220)))</f>
        <v/>
      </c>
      <c r="O220" s="76" t="str">
        <f aca="false">IF($A220="","",IF(AND(ROUND($H220,2)=0,ROUND($I220,2)=0),"Dormant",IF(ROUND($I220,2)=0,"New this year",IF(ROUND($H220,2)=0,"Ceased",IF($J220&gt;0,"Increase",IF($J220&lt;0,"Decrease","Flat"))))))</f>
        <v/>
      </c>
      <c r="P220" s="74" t="str">
        <f aca="false">IF($A220="","",IF(AND(ROUND($H220,2)=0,ROUND($I220,2)=0),"No Activity",IF(ABS($J220)&lt;Setup!$B$14,"Low",IF(ROUND($I220,2)=0,"High",IF(OR(ABS($J220/$I220)&gt;=Setup!$B$16,ABS($J220)&gt;=Setup!$B$17),"High",IF(ABS($J220/$I220)&gt;=Setup!$B$15,"Medium","Low"))))))</f>
        <v/>
      </c>
      <c r="Q220" s="57"/>
      <c r="R220" s="75" t="n">
        <f aca="false">IF($A220="",-1000000000000000,IF(ROUND(ABS($J220),0)=0,-1000000000000000,ABS($J220)+ROW()/1000000))</f>
        <v>-1000000000000000</v>
      </c>
    </row>
    <row r="221" customFormat="false" ht="15" hidden="false" customHeight="false" outlineLevel="0" collapsed="false">
      <c r="A221" s="68" t="str">
        <f aca="false">IF(Data_Engine!$A221="","",Data_Engine!$A221)</f>
        <v/>
      </c>
      <c r="B221" s="42" t="str">
        <f aca="false">IF($A221="","",Data_Engine!$B221)</f>
        <v/>
      </c>
      <c r="C221" s="42" t="str">
        <f aca="false">IF($A221="","",Data_Engine!$D221)</f>
        <v/>
      </c>
      <c r="D221" s="69" t="str">
        <f aca="false">IF($A221="","",Data_Engine!$AD221)</f>
        <v/>
      </c>
      <c r="E221" s="69" t="str">
        <f aca="false">IF($A221="","",Data_Engine!$AE221)</f>
        <v/>
      </c>
      <c r="F221" s="73" t="str">
        <f aca="false">IF($A221="","",$D221-$E221)</f>
        <v/>
      </c>
      <c r="G221" s="72" t="str">
        <f aca="false">IF($A221="","",IF(ROUND($E221,2)=0,"n/a",$F221/ABS($E221)))</f>
        <v/>
      </c>
      <c r="H221" s="70" t="str">
        <f aca="false">IF($A221="","",Data_Engine!$AH221)</f>
        <v/>
      </c>
      <c r="I221" s="69" t="str">
        <f aca="false">IF($A221="","",Data_Engine!$AI221)</f>
        <v/>
      </c>
      <c r="J221" s="71" t="str">
        <f aca="false">IF($A221="","",$H221-$I221)</f>
        <v/>
      </c>
      <c r="K221" s="72" t="str">
        <f aca="false">IF($A221="","",IF(ROUND($I221,2)=0,"n/a",$J221/ABS($I221)))</f>
        <v/>
      </c>
      <c r="L221" s="69" t="str">
        <f aca="false">IF($A221="","",Data_Engine!$AJ221)</f>
        <v/>
      </c>
      <c r="M221" s="73" t="str">
        <f aca="false">IF($A221="","",IF(Setup!$B$8=0,0,$H221/Setup!$B$8*12))</f>
        <v/>
      </c>
      <c r="N221" s="72" t="str">
        <f aca="false">IF($A221="","",IF(ROUND($L221,2)=0,"n/a",($M221-$L221)/ABS($L221)))</f>
        <v/>
      </c>
      <c r="O221" s="76" t="str">
        <f aca="false">IF($A221="","",IF(AND(ROUND($H221,2)=0,ROUND($I221,2)=0),"Dormant",IF(ROUND($I221,2)=0,"New this year",IF(ROUND($H221,2)=0,"Ceased",IF($J221&gt;0,"Increase",IF($J221&lt;0,"Decrease","Flat"))))))</f>
        <v/>
      </c>
      <c r="P221" s="74" t="str">
        <f aca="false">IF($A221="","",IF(AND(ROUND($H221,2)=0,ROUND($I221,2)=0),"No Activity",IF(ABS($J221)&lt;Setup!$B$14,"Low",IF(ROUND($I221,2)=0,"High",IF(OR(ABS($J221/$I221)&gt;=Setup!$B$16,ABS($J221)&gt;=Setup!$B$17),"High",IF(ABS($J221/$I221)&gt;=Setup!$B$15,"Medium","Low"))))))</f>
        <v/>
      </c>
      <c r="Q221" s="57"/>
      <c r="R221" s="75" t="n">
        <f aca="false">IF($A221="",-1000000000000000,IF(ROUND(ABS($J221),0)=0,-1000000000000000,ABS($J221)+ROW()/1000000))</f>
        <v>-1000000000000000</v>
      </c>
    </row>
    <row r="222" customFormat="false" ht="15" hidden="false" customHeight="false" outlineLevel="0" collapsed="false">
      <c r="A222" s="68" t="str">
        <f aca="false">IF(Data_Engine!$A222="","",Data_Engine!$A222)</f>
        <v/>
      </c>
      <c r="B222" s="42" t="str">
        <f aca="false">IF($A222="","",Data_Engine!$B222)</f>
        <v/>
      </c>
      <c r="C222" s="42" t="str">
        <f aca="false">IF($A222="","",Data_Engine!$D222)</f>
        <v/>
      </c>
      <c r="D222" s="69" t="str">
        <f aca="false">IF($A222="","",Data_Engine!$AD222)</f>
        <v/>
      </c>
      <c r="E222" s="69" t="str">
        <f aca="false">IF($A222="","",Data_Engine!$AE222)</f>
        <v/>
      </c>
      <c r="F222" s="73" t="str">
        <f aca="false">IF($A222="","",$D222-$E222)</f>
        <v/>
      </c>
      <c r="G222" s="72" t="str">
        <f aca="false">IF($A222="","",IF(ROUND($E222,2)=0,"n/a",$F222/ABS($E222)))</f>
        <v/>
      </c>
      <c r="H222" s="70" t="str">
        <f aca="false">IF($A222="","",Data_Engine!$AH222)</f>
        <v/>
      </c>
      <c r="I222" s="69" t="str">
        <f aca="false">IF($A222="","",Data_Engine!$AI222)</f>
        <v/>
      </c>
      <c r="J222" s="71" t="str">
        <f aca="false">IF($A222="","",$H222-$I222)</f>
        <v/>
      </c>
      <c r="K222" s="72" t="str">
        <f aca="false">IF($A222="","",IF(ROUND($I222,2)=0,"n/a",$J222/ABS($I222)))</f>
        <v/>
      </c>
      <c r="L222" s="69" t="str">
        <f aca="false">IF($A222="","",Data_Engine!$AJ222)</f>
        <v/>
      </c>
      <c r="M222" s="73" t="str">
        <f aca="false">IF($A222="","",IF(Setup!$B$8=0,0,$H222/Setup!$B$8*12))</f>
        <v/>
      </c>
      <c r="N222" s="72" t="str">
        <f aca="false">IF($A222="","",IF(ROUND($L222,2)=0,"n/a",($M222-$L222)/ABS($L222)))</f>
        <v/>
      </c>
      <c r="O222" s="76" t="str">
        <f aca="false">IF($A222="","",IF(AND(ROUND($H222,2)=0,ROUND($I222,2)=0),"Dormant",IF(ROUND($I222,2)=0,"New this year",IF(ROUND($H222,2)=0,"Ceased",IF($J222&gt;0,"Increase",IF($J222&lt;0,"Decrease","Flat"))))))</f>
        <v/>
      </c>
      <c r="P222" s="74" t="str">
        <f aca="false">IF($A222="","",IF(AND(ROUND($H222,2)=0,ROUND($I222,2)=0),"No Activity",IF(ABS($J222)&lt;Setup!$B$14,"Low",IF(ROUND($I222,2)=0,"High",IF(OR(ABS($J222/$I222)&gt;=Setup!$B$16,ABS($J222)&gt;=Setup!$B$17),"High",IF(ABS($J222/$I222)&gt;=Setup!$B$15,"Medium","Low"))))))</f>
        <v/>
      </c>
      <c r="Q222" s="57"/>
      <c r="R222" s="75" t="n">
        <f aca="false">IF($A222="",-1000000000000000,IF(ROUND(ABS($J222),0)=0,-1000000000000000,ABS($J222)+ROW()/1000000))</f>
        <v>-1000000000000000</v>
      </c>
    </row>
    <row r="223" customFormat="false" ht="15" hidden="false" customHeight="false" outlineLevel="0" collapsed="false">
      <c r="A223" s="68" t="str">
        <f aca="false">IF(Data_Engine!$A223="","",Data_Engine!$A223)</f>
        <v/>
      </c>
      <c r="B223" s="42" t="str">
        <f aca="false">IF($A223="","",Data_Engine!$B223)</f>
        <v/>
      </c>
      <c r="C223" s="42" t="str">
        <f aca="false">IF($A223="","",Data_Engine!$D223)</f>
        <v/>
      </c>
      <c r="D223" s="69" t="str">
        <f aca="false">IF($A223="","",Data_Engine!$AD223)</f>
        <v/>
      </c>
      <c r="E223" s="69" t="str">
        <f aca="false">IF($A223="","",Data_Engine!$AE223)</f>
        <v/>
      </c>
      <c r="F223" s="73" t="str">
        <f aca="false">IF($A223="","",$D223-$E223)</f>
        <v/>
      </c>
      <c r="G223" s="72" t="str">
        <f aca="false">IF($A223="","",IF(ROUND($E223,2)=0,"n/a",$F223/ABS($E223)))</f>
        <v/>
      </c>
      <c r="H223" s="70" t="str">
        <f aca="false">IF($A223="","",Data_Engine!$AH223)</f>
        <v/>
      </c>
      <c r="I223" s="69" t="str">
        <f aca="false">IF($A223="","",Data_Engine!$AI223)</f>
        <v/>
      </c>
      <c r="J223" s="71" t="str">
        <f aca="false">IF($A223="","",$H223-$I223)</f>
        <v/>
      </c>
      <c r="K223" s="72" t="str">
        <f aca="false">IF($A223="","",IF(ROUND($I223,2)=0,"n/a",$J223/ABS($I223)))</f>
        <v/>
      </c>
      <c r="L223" s="69" t="str">
        <f aca="false">IF($A223="","",Data_Engine!$AJ223)</f>
        <v/>
      </c>
      <c r="M223" s="73" t="str">
        <f aca="false">IF($A223="","",IF(Setup!$B$8=0,0,$H223/Setup!$B$8*12))</f>
        <v/>
      </c>
      <c r="N223" s="72" t="str">
        <f aca="false">IF($A223="","",IF(ROUND($L223,2)=0,"n/a",($M223-$L223)/ABS($L223)))</f>
        <v/>
      </c>
      <c r="O223" s="76" t="str">
        <f aca="false">IF($A223="","",IF(AND(ROUND($H223,2)=0,ROUND($I223,2)=0),"Dormant",IF(ROUND($I223,2)=0,"New this year",IF(ROUND($H223,2)=0,"Ceased",IF($J223&gt;0,"Increase",IF($J223&lt;0,"Decrease","Flat"))))))</f>
        <v/>
      </c>
      <c r="P223" s="74" t="str">
        <f aca="false">IF($A223="","",IF(AND(ROUND($H223,2)=0,ROUND($I223,2)=0),"No Activity",IF(ABS($J223)&lt;Setup!$B$14,"Low",IF(ROUND($I223,2)=0,"High",IF(OR(ABS($J223/$I223)&gt;=Setup!$B$16,ABS($J223)&gt;=Setup!$B$17),"High",IF(ABS($J223/$I223)&gt;=Setup!$B$15,"Medium","Low"))))))</f>
        <v/>
      </c>
      <c r="Q223" s="57"/>
      <c r="R223" s="75" t="n">
        <f aca="false">IF($A223="",-1000000000000000,IF(ROUND(ABS($J223),0)=0,-1000000000000000,ABS($J223)+ROW()/1000000))</f>
        <v>-1000000000000000</v>
      </c>
    </row>
    <row r="224" customFormat="false" ht="15" hidden="false" customHeight="false" outlineLevel="0" collapsed="false">
      <c r="A224" s="68" t="str">
        <f aca="false">IF(Data_Engine!$A224="","",Data_Engine!$A224)</f>
        <v/>
      </c>
      <c r="B224" s="42" t="str">
        <f aca="false">IF($A224="","",Data_Engine!$B224)</f>
        <v/>
      </c>
      <c r="C224" s="42" t="str">
        <f aca="false">IF($A224="","",Data_Engine!$D224)</f>
        <v/>
      </c>
      <c r="D224" s="69" t="str">
        <f aca="false">IF($A224="","",Data_Engine!$AD224)</f>
        <v/>
      </c>
      <c r="E224" s="69" t="str">
        <f aca="false">IF($A224="","",Data_Engine!$AE224)</f>
        <v/>
      </c>
      <c r="F224" s="73" t="str">
        <f aca="false">IF($A224="","",$D224-$E224)</f>
        <v/>
      </c>
      <c r="G224" s="72" t="str">
        <f aca="false">IF($A224="","",IF(ROUND($E224,2)=0,"n/a",$F224/ABS($E224)))</f>
        <v/>
      </c>
      <c r="H224" s="70" t="str">
        <f aca="false">IF($A224="","",Data_Engine!$AH224)</f>
        <v/>
      </c>
      <c r="I224" s="69" t="str">
        <f aca="false">IF($A224="","",Data_Engine!$AI224)</f>
        <v/>
      </c>
      <c r="J224" s="71" t="str">
        <f aca="false">IF($A224="","",$H224-$I224)</f>
        <v/>
      </c>
      <c r="K224" s="72" t="str">
        <f aca="false">IF($A224="","",IF(ROUND($I224,2)=0,"n/a",$J224/ABS($I224)))</f>
        <v/>
      </c>
      <c r="L224" s="69" t="str">
        <f aca="false">IF($A224="","",Data_Engine!$AJ224)</f>
        <v/>
      </c>
      <c r="M224" s="73" t="str">
        <f aca="false">IF($A224="","",IF(Setup!$B$8=0,0,$H224/Setup!$B$8*12))</f>
        <v/>
      </c>
      <c r="N224" s="72" t="str">
        <f aca="false">IF($A224="","",IF(ROUND($L224,2)=0,"n/a",($M224-$L224)/ABS($L224)))</f>
        <v/>
      </c>
      <c r="O224" s="76" t="str">
        <f aca="false">IF($A224="","",IF(AND(ROUND($H224,2)=0,ROUND($I224,2)=0),"Dormant",IF(ROUND($I224,2)=0,"New this year",IF(ROUND($H224,2)=0,"Ceased",IF($J224&gt;0,"Increase",IF($J224&lt;0,"Decrease","Flat"))))))</f>
        <v/>
      </c>
      <c r="P224" s="74" t="str">
        <f aca="false">IF($A224="","",IF(AND(ROUND($H224,2)=0,ROUND($I224,2)=0),"No Activity",IF(ABS($J224)&lt;Setup!$B$14,"Low",IF(ROUND($I224,2)=0,"High",IF(OR(ABS($J224/$I224)&gt;=Setup!$B$16,ABS($J224)&gt;=Setup!$B$17),"High",IF(ABS($J224/$I224)&gt;=Setup!$B$15,"Medium","Low"))))))</f>
        <v/>
      </c>
      <c r="Q224" s="57"/>
      <c r="R224" s="75" t="n">
        <f aca="false">IF($A224="",-1000000000000000,IF(ROUND(ABS($J224),0)=0,-1000000000000000,ABS($J224)+ROW()/1000000))</f>
        <v>-1000000000000000</v>
      </c>
    </row>
    <row r="225" customFormat="false" ht="15" hidden="false" customHeight="false" outlineLevel="0" collapsed="false">
      <c r="A225" s="68" t="str">
        <f aca="false">IF(Data_Engine!$A225="","",Data_Engine!$A225)</f>
        <v/>
      </c>
      <c r="B225" s="42" t="str">
        <f aca="false">IF($A225="","",Data_Engine!$B225)</f>
        <v/>
      </c>
      <c r="C225" s="42" t="str">
        <f aca="false">IF($A225="","",Data_Engine!$D225)</f>
        <v/>
      </c>
      <c r="D225" s="69" t="str">
        <f aca="false">IF($A225="","",Data_Engine!$AD225)</f>
        <v/>
      </c>
      <c r="E225" s="69" t="str">
        <f aca="false">IF($A225="","",Data_Engine!$AE225)</f>
        <v/>
      </c>
      <c r="F225" s="73" t="str">
        <f aca="false">IF($A225="","",$D225-$E225)</f>
        <v/>
      </c>
      <c r="G225" s="72" t="str">
        <f aca="false">IF($A225="","",IF(ROUND($E225,2)=0,"n/a",$F225/ABS($E225)))</f>
        <v/>
      </c>
      <c r="H225" s="70" t="str">
        <f aca="false">IF($A225="","",Data_Engine!$AH225)</f>
        <v/>
      </c>
      <c r="I225" s="69" t="str">
        <f aca="false">IF($A225="","",Data_Engine!$AI225)</f>
        <v/>
      </c>
      <c r="J225" s="71" t="str">
        <f aca="false">IF($A225="","",$H225-$I225)</f>
        <v/>
      </c>
      <c r="K225" s="72" t="str">
        <f aca="false">IF($A225="","",IF(ROUND($I225,2)=0,"n/a",$J225/ABS($I225)))</f>
        <v/>
      </c>
      <c r="L225" s="69" t="str">
        <f aca="false">IF($A225="","",Data_Engine!$AJ225)</f>
        <v/>
      </c>
      <c r="M225" s="73" t="str">
        <f aca="false">IF($A225="","",IF(Setup!$B$8=0,0,$H225/Setup!$B$8*12))</f>
        <v/>
      </c>
      <c r="N225" s="72" t="str">
        <f aca="false">IF($A225="","",IF(ROUND($L225,2)=0,"n/a",($M225-$L225)/ABS($L225)))</f>
        <v/>
      </c>
      <c r="O225" s="76" t="str">
        <f aca="false">IF($A225="","",IF(AND(ROUND($H225,2)=0,ROUND($I225,2)=0),"Dormant",IF(ROUND($I225,2)=0,"New this year",IF(ROUND($H225,2)=0,"Ceased",IF($J225&gt;0,"Increase",IF($J225&lt;0,"Decrease","Flat"))))))</f>
        <v/>
      </c>
      <c r="P225" s="74" t="str">
        <f aca="false">IF($A225="","",IF(AND(ROUND($H225,2)=0,ROUND($I225,2)=0),"No Activity",IF(ABS($J225)&lt;Setup!$B$14,"Low",IF(ROUND($I225,2)=0,"High",IF(OR(ABS($J225/$I225)&gt;=Setup!$B$16,ABS($J225)&gt;=Setup!$B$17),"High",IF(ABS($J225/$I225)&gt;=Setup!$B$15,"Medium","Low"))))))</f>
        <v/>
      </c>
      <c r="Q225" s="57"/>
      <c r="R225" s="75" t="n">
        <f aca="false">IF($A225="",-1000000000000000,IF(ROUND(ABS($J225),0)=0,-1000000000000000,ABS($J225)+ROW()/1000000))</f>
        <v>-1000000000000000</v>
      </c>
    </row>
    <row r="226" customFormat="false" ht="15" hidden="false" customHeight="false" outlineLevel="0" collapsed="false">
      <c r="A226" s="68" t="str">
        <f aca="false">IF(Data_Engine!$A226="","",Data_Engine!$A226)</f>
        <v/>
      </c>
      <c r="B226" s="42" t="str">
        <f aca="false">IF($A226="","",Data_Engine!$B226)</f>
        <v/>
      </c>
      <c r="C226" s="42" t="str">
        <f aca="false">IF($A226="","",Data_Engine!$D226)</f>
        <v/>
      </c>
      <c r="D226" s="69" t="str">
        <f aca="false">IF($A226="","",Data_Engine!$AD226)</f>
        <v/>
      </c>
      <c r="E226" s="69" t="str">
        <f aca="false">IF($A226="","",Data_Engine!$AE226)</f>
        <v/>
      </c>
      <c r="F226" s="73" t="str">
        <f aca="false">IF($A226="","",$D226-$E226)</f>
        <v/>
      </c>
      <c r="G226" s="72" t="str">
        <f aca="false">IF($A226="","",IF(ROUND($E226,2)=0,"n/a",$F226/ABS($E226)))</f>
        <v/>
      </c>
      <c r="H226" s="70" t="str">
        <f aca="false">IF($A226="","",Data_Engine!$AH226)</f>
        <v/>
      </c>
      <c r="I226" s="69" t="str">
        <f aca="false">IF($A226="","",Data_Engine!$AI226)</f>
        <v/>
      </c>
      <c r="J226" s="71" t="str">
        <f aca="false">IF($A226="","",$H226-$I226)</f>
        <v/>
      </c>
      <c r="K226" s="72" t="str">
        <f aca="false">IF($A226="","",IF(ROUND($I226,2)=0,"n/a",$J226/ABS($I226)))</f>
        <v/>
      </c>
      <c r="L226" s="69" t="str">
        <f aca="false">IF($A226="","",Data_Engine!$AJ226)</f>
        <v/>
      </c>
      <c r="M226" s="73" t="str">
        <f aca="false">IF($A226="","",IF(Setup!$B$8=0,0,$H226/Setup!$B$8*12))</f>
        <v/>
      </c>
      <c r="N226" s="72" t="str">
        <f aca="false">IF($A226="","",IF(ROUND($L226,2)=0,"n/a",($M226-$L226)/ABS($L226)))</f>
        <v/>
      </c>
      <c r="O226" s="76" t="str">
        <f aca="false">IF($A226="","",IF(AND(ROUND($H226,2)=0,ROUND($I226,2)=0),"Dormant",IF(ROUND($I226,2)=0,"New this year",IF(ROUND($H226,2)=0,"Ceased",IF($J226&gt;0,"Increase",IF($J226&lt;0,"Decrease","Flat"))))))</f>
        <v/>
      </c>
      <c r="P226" s="74" t="str">
        <f aca="false">IF($A226="","",IF(AND(ROUND($H226,2)=0,ROUND($I226,2)=0),"No Activity",IF(ABS($J226)&lt;Setup!$B$14,"Low",IF(ROUND($I226,2)=0,"High",IF(OR(ABS($J226/$I226)&gt;=Setup!$B$16,ABS($J226)&gt;=Setup!$B$17),"High",IF(ABS($J226/$I226)&gt;=Setup!$B$15,"Medium","Low"))))))</f>
        <v/>
      </c>
      <c r="Q226" s="57"/>
      <c r="R226" s="75" t="n">
        <f aca="false">IF($A226="",-1000000000000000,IF(ROUND(ABS($J226),0)=0,-1000000000000000,ABS($J226)+ROW()/1000000))</f>
        <v>-1000000000000000</v>
      </c>
    </row>
    <row r="227" customFormat="false" ht="15" hidden="false" customHeight="false" outlineLevel="0" collapsed="false">
      <c r="A227" s="68" t="str">
        <f aca="false">IF(Data_Engine!$A227="","",Data_Engine!$A227)</f>
        <v/>
      </c>
      <c r="B227" s="42" t="str">
        <f aca="false">IF($A227="","",Data_Engine!$B227)</f>
        <v/>
      </c>
      <c r="C227" s="42" t="str">
        <f aca="false">IF($A227="","",Data_Engine!$D227)</f>
        <v/>
      </c>
      <c r="D227" s="69" t="str">
        <f aca="false">IF($A227="","",Data_Engine!$AD227)</f>
        <v/>
      </c>
      <c r="E227" s="69" t="str">
        <f aca="false">IF($A227="","",Data_Engine!$AE227)</f>
        <v/>
      </c>
      <c r="F227" s="73" t="str">
        <f aca="false">IF($A227="","",$D227-$E227)</f>
        <v/>
      </c>
      <c r="G227" s="72" t="str">
        <f aca="false">IF($A227="","",IF(ROUND($E227,2)=0,"n/a",$F227/ABS($E227)))</f>
        <v/>
      </c>
      <c r="H227" s="70" t="str">
        <f aca="false">IF($A227="","",Data_Engine!$AH227)</f>
        <v/>
      </c>
      <c r="I227" s="69" t="str">
        <f aca="false">IF($A227="","",Data_Engine!$AI227)</f>
        <v/>
      </c>
      <c r="J227" s="71" t="str">
        <f aca="false">IF($A227="","",$H227-$I227)</f>
        <v/>
      </c>
      <c r="K227" s="72" t="str">
        <f aca="false">IF($A227="","",IF(ROUND($I227,2)=0,"n/a",$J227/ABS($I227)))</f>
        <v/>
      </c>
      <c r="L227" s="69" t="str">
        <f aca="false">IF($A227="","",Data_Engine!$AJ227)</f>
        <v/>
      </c>
      <c r="M227" s="73" t="str">
        <f aca="false">IF($A227="","",IF(Setup!$B$8=0,0,$H227/Setup!$B$8*12))</f>
        <v/>
      </c>
      <c r="N227" s="72" t="str">
        <f aca="false">IF($A227="","",IF(ROUND($L227,2)=0,"n/a",($M227-$L227)/ABS($L227)))</f>
        <v/>
      </c>
      <c r="O227" s="76" t="str">
        <f aca="false">IF($A227="","",IF(AND(ROUND($H227,2)=0,ROUND($I227,2)=0),"Dormant",IF(ROUND($I227,2)=0,"New this year",IF(ROUND($H227,2)=0,"Ceased",IF($J227&gt;0,"Increase",IF($J227&lt;0,"Decrease","Flat"))))))</f>
        <v/>
      </c>
      <c r="P227" s="74" t="str">
        <f aca="false">IF($A227="","",IF(AND(ROUND($H227,2)=0,ROUND($I227,2)=0),"No Activity",IF(ABS($J227)&lt;Setup!$B$14,"Low",IF(ROUND($I227,2)=0,"High",IF(OR(ABS($J227/$I227)&gt;=Setup!$B$16,ABS($J227)&gt;=Setup!$B$17),"High",IF(ABS($J227/$I227)&gt;=Setup!$B$15,"Medium","Low"))))))</f>
        <v/>
      </c>
      <c r="Q227" s="57"/>
      <c r="R227" s="75" t="n">
        <f aca="false">IF($A227="",-1000000000000000,IF(ROUND(ABS($J227),0)=0,-1000000000000000,ABS($J227)+ROW()/1000000))</f>
        <v>-1000000000000000</v>
      </c>
    </row>
    <row r="228" customFormat="false" ht="15" hidden="false" customHeight="false" outlineLevel="0" collapsed="false">
      <c r="A228" s="68" t="str">
        <f aca="false">IF(Data_Engine!$A228="","",Data_Engine!$A228)</f>
        <v/>
      </c>
      <c r="B228" s="42" t="str">
        <f aca="false">IF($A228="","",Data_Engine!$B228)</f>
        <v/>
      </c>
      <c r="C228" s="42" t="str">
        <f aca="false">IF($A228="","",Data_Engine!$D228)</f>
        <v/>
      </c>
      <c r="D228" s="69" t="str">
        <f aca="false">IF($A228="","",Data_Engine!$AD228)</f>
        <v/>
      </c>
      <c r="E228" s="69" t="str">
        <f aca="false">IF($A228="","",Data_Engine!$AE228)</f>
        <v/>
      </c>
      <c r="F228" s="73" t="str">
        <f aca="false">IF($A228="","",$D228-$E228)</f>
        <v/>
      </c>
      <c r="G228" s="72" t="str">
        <f aca="false">IF($A228="","",IF(ROUND($E228,2)=0,"n/a",$F228/ABS($E228)))</f>
        <v/>
      </c>
      <c r="H228" s="70" t="str">
        <f aca="false">IF($A228="","",Data_Engine!$AH228)</f>
        <v/>
      </c>
      <c r="I228" s="69" t="str">
        <f aca="false">IF($A228="","",Data_Engine!$AI228)</f>
        <v/>
      </c>
      <c r="J228" s="71" t="str">
        <f aca="false">IF($A228="","",$H228-$I228)</f>
        <v/>
      </c>
      <c r="K228" s="72" t="str">
        <f aca="false">IF($A228="","",IF(ROUND($I228,2)=0,"n/a",$J228/ABS($I228)))</f>
        <v/>
      </c>
      <c r="L228" s="69" t="str">
        <f aca="false">IF($A228="","",Data_Engine!$AJ228)</f>
        <v/>
      </c>
      <c r="M228" s="73" t="str">
        <f aca="false">IF($A228="","",IF(Setup!$B$8=0,0,$H228/Setup!$B$8*12))</f>
        <v/>
      </c>
      <c r="N228" s="72" t="str">
        <f aca="false">IF($A228="","",IF(ROUND($L228,2)=0,"n/a",($M228-$L228)/ABS($L228)))</f>
        <v/>
      </c>
      <c r="O228" s="76" t="str">
        <f aca="false">IF($A228="","",IF(AND(ROUND($H228,2)=0,ROUND($I228,2)=0),"Dormant",IF(ROUND($I228,2)=0,"New this year",IF(ROUND($H228,2)=0,"Ceased",IF($J228&gt;0,"Increase",IF($J228&lt;0,"Decrease","Flat"))))))</f>
        <v/>
      </c>
      <c r="P228" s="74" t="str">
        <f aca="false">IF($A228="","",IF(AND(ROUND($H228,2)=0,ROUND($I228,2)=0),"No Activity",IF(ABS($J228)&lt;Setup!$B$14,"Low",IF(ROUND($I228,2)=0,"High",IF(OR(ABS($J228/$I228)&gt;=Setup!$B$16,ABS($J228)&gt;=Setup!$B$17),"High",IF(ABS($J228/$I228)&gt;=Setup!$B$15,"Medium","Low"))))))</f>
        <v/>
      </c>
      <c r="Q228" s="57"/>
      <c r="R228" s="75" t="n">
        <f aca="false">IF($A228="",-1000000000000000,IF(ROUND(ABS($J228),0)=0,-1000000000000000,ABS($J228)+ROW()/1000000))</f>
        <v>-1000000000000000</v>
      </c>
    </row>
    <row r="229" customFormat="false" ht="15" hidden="false" customHeight="false" outlineLevel="0" collapsed="false">
      <c r="A229" s="68" t="str">
        <f aca="false">IF(Data_Engine!$A229="","",Data_Engine!$A229)</f>
        <v/>
      </c>
      <c r="B229" s="42" t="str">
        <f aca="false">IF($A229="","",Data_Engine!$B229)</f>
        <v/>
      </c>
      <c r="C229" s="42" t="str">
        <f aca="false">IF($A229="","",Data_Engine!$D229)</f>
        <v/>
      </c>
      <c r="D229" s="69" t="str">
        <f aca="false">IF($A229="","",Data_Engine!$AD229)</f>
        <v/>
      </c>
      <c r="E229" s="69" t="str">
        <f aca="false">IF($A229="","",Data_Engine!$AE229)</f>
        <v/>
      </c>
      <c r="F229" s="73" t="str">
        <f aca="false">IF($A229="","",$D229-$E229)</f>
        <v/>
      </c>
      <c r="G229" s="72" t="str">
        <f aca="false">IF($A229="","",IF(ROUND($E229,2)=0,"n/a",$F229/ABS($E229)))</f>
        <v/>
      </c>
      <c r="H229" s="70" t="str">
        <f aca="false">IF($A229="","",Data_Engine!$AH229)</f>
        <v/>
      </c>
      <c r="I229" s="69" t="str">
        <f aca="false">IF($A229="","",Data_Engine!$AI229)</f>
        <v/>
      </c>
      <c r="J229" s="71" t="str">
        <f aca="false">IF($A229="","",$H229-$I229)</f>
        <v/>
      </c>
      <c r="K229" s="72" t="str">
        <f aca="false">IF($A229="","",IF(ROUND($I229,2)=0,"n/a",$J229/ABS($I229)))</f>
        <v/>
      </c>
      <c r="L229" s="69" t="str">
        <f aca="false">IF($A229="","",Data_Engine!$AJ229)</f>
        <v/>
      </c>
      <c r="M229" s="73" t="str">
        <f aca="false">IF($A229="","",IF(Setup!$B$8=0,0,$H229/Setup!$B$8*12))</f>
        <v/>
      </c>
      <c r="N229" s="72" t="str">
        <f aca="false">IF($A229="","",IF(ROUND($L229,2)=0,"n/a",($M229-$L229)/ABS($L229)))</f>
        <v/>
      </c>
      <c r="O229" s="76" t="str">
        <f aca="false">IF($A229="","",IF(AND(ROUND($H229,2)=0,ROUND($I229,2)=0),"Dormant",IF(ROUND($I229,2)=0,"New this year",IF(ROUND($H229,2)=0,"Ceased",IF($J229&gt;0,"Increase",IF($J229&lt;0,"Decrease","Flat"))))))</f>
        <v/>
      </c>
      <c r="P229" s="74" t="str">
        <f aca="false">IF($A229="","",IF(AND(ROUND($H229,2)=0,ROUND($I229,2)=0),"No Activity",IF(ABS($J229)&lt;Setup!$B$14,"Low",IF(ROUND($I229,2)=0,"High",IF(OR(ABS($J229/$I229)&gt;=Setup!$B$16,ABS($J229)&gt;=Setup!$B$17),"High",IF(ABS($J229/$I229)&gt;=Setup!$B$15,"Medium","Low"))))))</f>
        <v/>
      </c>
      <c r="Q229" s="57"/>
      <c r="R229" s="75" t="n">
        <f aca="false">IF($A229="",-1000000000000000,IF(ROUND(ABS($J229),0)=0,-1000000000000000,ABS($J229)+ROW()/1000000))</f>
        <v>-1000000000000000</v>
      </c>
    </row>
    <row r="230" customFormat="false" ht="15" hidden="false" customHeight="false" outlineLevel="0" collapsed="false">
      <c r="A230" s="68" t="str">
        <f aca="false">IF(Data_Engine!$A230="","",Data_Engine!$A230)</f>
        <v/>
      </c>
      <c r="B230" s="42" t="str">
        <f aca="false">IF($A230="","",Data_Engine!$B230)</f>
        <v/>
      </c>
      <c r="C230" s="42" t="str">
        <f aca="false">IF($A230="","",Data_Engine!$D230)</f>
        <v/>
      </c>
      <c r="D230" s="69" t="str">
        <f aca="false">IF($A230="","",Data_Engine!$AD230)</f>
        <v/>
      </c>
      <c r="E230" s="69" t="str">
        <f aca="false">IF($A230="","",Data_Engine!$AE230)</f>
        <v/>
      </c>
      <c r="F230" s="73" t="str">
        <f aca="false">IF($A230="","",$D230-$E230)</f>
        <v/>
      </c>
      <c r="G230" s="72" t="str">
        <f aca="false">IF($A230="","",IF(ROUND($E230,2)=0,"n/a",$F230/ABS($E230)))</f>
        <v/>
      </c>
      <c r="H230" s="70" t="str">
        <f aca="false">IF($A230="","",Data_Engine!$AH230)</f>
        <v/>
      </c>
      <c r="I230" s="69" t="str">
        <f aca="false">IF($A230="","",Data_Engine!$AI230)</f>
        <v/>
      </c>
      <c r="J230" s="71" t="str">
        <f aca="false">IF($A230="","",$H230-$I230)</f>
        <v/>
      </c>
      <c r="K230" s="72" t="str">
        <f aca="false">IF($A230="","",IF(ROUND($I230,2)=0,"n/a",$J230/ABS($I230)))</f>
        <v/>
      </c>
      <c r="L230" s="69" t="str">
        <f aca="false">IF($A230="","",Data_Engine!$AJ230)</f>
        <v/>
      </c>
      <c r="M230" s="73" t="str">
        <f aca="false">IF($A230="","",IF(Setup!$B$8=0,0,$H230/Setup!$B$8*12))</f>
        <v/>
      </c>
      <c r="N230" s="72" t="str">
        <f aca="false">IF($A230="","",IF(ROUND($L230,2)=0,"n/a",($M230-$L230)/ABS($L230)))</f>
        <v/>
      </c>
      <c r="O230" s="76" t="str">
        <f aca="false">IF($A230="","",IF(AND(ROUND($H230,2)=0,ROUND($I230,2)=0),"Dormant",IF(ROUND($I230,2)=0,"New this year",IF(ROUND($H230,2)=0,"Ceased",IF($J230&gt;0,"Increase",IF($J230&lt;0,"Decrease","Flat"))))))</f>
        <v/>
      </c>
      <c r="P230" s="74" t="str">
        <f aca="false">IF($A230="","",IF(AND(ROUND($H230,2)=0,ROUND($I230,2)=0),"No Activity",IF(ABS($J230)&lt;Setup!$B$14,"Low",IF(ROUND($I230,2)=0,"High",IF(OR(ABS($J230/$I230)&gt;=Setup!$B$16,ABS($J230)&gt;=Setup!$B$17),"High",IF(ABS($J230/$I230)&gt;=Setup!$B$15,"Medium","Low"))))))</f>
        <v/>
      </c>
      <c r="Q230" s="57"/>
      <c r="R230" s="75" t="n">
        <f aca="false">IF($A230="",-1000000000000000,IF(ROUND(ABS($J230),0)=0,-1000000000000000,ABS($J230)+ROW()/1000000))</f>
        <v>-1000000000000000</v>
      </c>
    </row>
    <row r="231" customFormat="false" ht="15" hidden="false" customHeight="false" outlineLevel="0" collapsed="false">
      <c r="A231" s="68" t="str">
        <f aca="false">IF(Data_Engine!$A231="","",Data_Engine!$A231)</f>
        <v/>
      </c>
      <c r="B231" s="42" t="str">
        <f aca="false">IF($A231="","",Data_Engine!$B231)</f>
        <v/>
      </c>
      <c r="C231" s="42" t="str">
        <f aca="false">IF($A231="","",Data_Engine!$D231)</f>
        <v/>
      </c>
      <c r="D231" s="69" t="str">
        <f aca="false">IF($A231="","",Data_Engine!$AD231)</f>
        <v/>
      </c>
      <c r="E231" s="69" t="str">
        <f aca="false">IF($A231="","",Data_Engine!$AE231)</f>
        <v/>
      </c>
      <c r="F231" s="73" t="str">
        <f aca="false">IF($A231="","",$D231-$E231)</f>
        <v/>
      </c>
      <c r="G231" s="72" t="str">
        <f aca="false">IF($A231="","",IF(ROUND($E231,2)=0,"n/a",$F231/ABS($E231)))</f>
        <v/>
      </c>
      <c r="H231" s="70" t="str">
        <f aca="false">IF($A231="","",Data_Engine!$AH231)</f>
        <v/>
      </c>
      <c r="I231" s="69" t="str">
        <f aca="false">IF($A231="","",Data_Engine!$AI231)</f>
        <v/>
      </c>
      <c r="J231" s="71" t="str">
        <f aca="false">IF($A231="","",$H231-$I231)</f>
        <v/>
      </c>
      <c r="K231" s="72" t="str">
        <f aca="false">IF($A231="","",IF(ROUND($I231,2)=0,"n/a",$J231/ABS($I231)))</f>
        <v/>
      </c>
      <c r="L231" s="69" t="str">
        <f aca="false">IF($A231="","",Data_Engine!$AJ231)</f>
        <v/>
      </c>
      <c r="M231" s="73" t="str">
        <f aca="false">IF($A231="","",IF(Setup!$B$8=0,0,$H231/Setup!$B$8*12))</f>
        <v/>
      </c>
      <c r="N231" s="72" t="str">
        <f aca="false">IF($A231="","",IF(ROUND($L231,2)=0,"n/a",($M231-$L231)/ABS($L231)))</f>
        <v/>
      </c>
      <c r="O231" s="76" t="str">
        <f aca="false">IF($A231="","",IF(AND(ROUND($H231,2)=0,ROUND($I231,2)=0),"Dormant",IF(ROUND($I231,2)=0,"New this year",IF(ROUND($H231,2)=0,"Ceased",IF($J231&gt;0,"Increase",IF($J231&lt;0,"Decrease","Flat"))))))</f>
        <v/>
      </c>
      <c r="P231" s="74" t="str">
        <f aca="false">IF($A231="","",IF(AND(ROUND($H231,2)=0,ROUND($I231,2)=0),"No Activity",IF(ABS($J231)&lt;Setup!$B$14,"Low",IF(ROUND($I231,2)=0,"High",IF(OR(ABS($J231/$I231)&gt;=Setup!$B$16,ABS($J231)&gt;=Setup!$B$17),"High",IF(ABS($J231/$I231)&gt;=Setup!$B$15,"Medium","Low"))))))</f>
        <v/>
      </c>
      <c r="Q231" s="57"/>
      <c r="R231" s="75" t="n">
        <f aca="false">IF($A231="",-1000000000000000,IF(ROUND(ABS($J231),0)=0,-1000000000000000,ABS($J231)+ROW()/1000000))</f>
        <v>-1000000000000000</v>
      </c>
    </row>
    <row r="232" customFormat="false" ht="15" hidden="false" customHeight="false" outlineLevel="0" collapsed="false">
      <c r="A232" s="68" t="str">
        <f aca="false">IF(Data_Engine!$A232="","",Data_Engine!$A232)</f>
        <v/>
      </c>
      <c r="B232" s="42" t="str">
        <f aca="false">IF($A232="","",Data_Engine!$B232)</f>
        <v/>
      </c>
      <c r="C232" s="42" t="str">
        <f aca="false">IF($A232="","",Data_Engine!$D232)</f>
        <v/>
      </c>
      <c r="D232" s="69" t="str">
        <f aca="false">IF($A232="","",Data_Engine!$AD232)</f>
        <v/>
      </c>
      <c r="E232" s="69" t="str">
        <f aca="false">IF($A232="","",Data_Engine!$AE232)</f>
        <v/>
      </c>
      <c r="F232" s="73" t="str">
        <f aca="false">IF($A232="","",$D232-$E232)</f>
        <v/>
      </c>
      <c r="G232" s="72" t="str">
        <f aca="false">IF($A232="","",IF(ROUND($E232,2)=0,"n/a",$F232/ABS($E232)))</f>
        <v/>
      </c>
      <c r="H232" s="70" t="str">
        <f aca="false">IF($A232="","",Data_Engine!$AH232)</f>
        <v/>
      </c>
      <c r="I232" s="69" t="str">
        <f aca="false">IF($A232="","",Data_Engine!$AI232)</f>
        <v/>
      </c>
      <c r="J232" s="71" t="str">
        <f aca="false">IF($A232="","",$H232-$I232)</f>
        <v/>
      </c>
      <c r="K232" s="72" t="str">
        <f aca="false">IF($A232="","",IF(ROUND($I232,2)=0,"n/a",$J232/ABS($I232)))</f>
        <v/>
      </c>
      <c r="L232" s="69" t="str">
        <f aca="false">IF($A232="","",Data_Engine!$AJ232)</f>
        <v/>
      </c>
      <c r="M232" s="73" t="str">
        <f aca="false">IF($A232="","",IF(Setup!$B$8=0,0,$H232/Setup!$B$8*12))</f>
        <v/>
      </c>
      <c r="N232" s="72" t="str">
        <f aca="false">IF($A232="","",IF(ROUND($L232,2)=0,"n/a",($M232-$L232)/ABS($L232)))</f>
        <v/>
      </c>
      <c r="O232" s="76" t="str">
        <f aca="false">IF($A232="","",IF(AND(ROUND($H232,2)=0,ROUND($I232,2)=0),"Dormant",IF(ROUND($I232,2)=0,"New this year",IF(ROUND($H232,2)=0,"Ceased",IF($J232&gt;0,"Increase",IF($J232&lt;0,"Decrease","Flat"))))))</f>
        <v/>
      </c>
      <c r="P232" s="74" t="str">
        <f aca="false">IF($A232="","",IF(AND(ROUND($H232,2)=0,ROUND($I232,2)=0),"No Activity",IF(ABS($J232)&lt;Setup!$B$14,"Low",IF(ROUND($I232,2)=0,"High",IF(OR(ABS($J232/$I232)&gt;=Setup!$B$16,ABS($J232)&gt;=Setup!$B$17),"High",IF(ABS($J232/$I232)&gt;=Setup!$B$15,"Medium","Low"))))))</f>
        <v/>
      </c>
      <c r="Q232" s="57"/>
      <c r="R232" s="75" t="n">
        <f aca="false">IF($A232="",-1000000000000000,IF(ROUND(ABS($J232),0)=0,-1000000000000000,ABS($J232)+ROW()/1000000))</f>
        <v>-1000000000000000</v>
      </c>
    </row>
    <row r="233" customFormat="false" ht="15" hidden="false" customHeight="false" outlineLevel="0" collapsed="false">
      <c r="A233" s="68" t="str">
        <f aca="false">IF(Data_Engine!$A233="","",Data_Engine!$A233)</f>
        <v/>
      </c>
      <c r="B233" s="42" t="str">
        <f aca="false">IF($A233="","",Data_Engine!$B233)</f>
        <v/>
      </c>
      <c r="C233" s="42" t="str">
        <f aca="false">IF($A233="","",Data_Engine!$D233)</f>
        <v/>
      </c>
      <c r="D233" s="69" t="str">
        <f aca="false">IF($A233="","",Data_Engine!$AD233)</f>
        <v/>
      </c>
      <c r="E233" s="69" t="str">
        <f aca="false">IF($A233="","",Data_Engine!$AE233)</f>
        <v/>
      </c>
      <c r="F233" s="73" t="str">
        <f aca="false">IF($A233="","",$D233-$E233)</f>
        <v/>
      </c>
      <c r="G233" s="72" t="str">
        <f aca="false">IF($A233="","",IF(ROUND($E233,2)=0,"n/a",$F233/ABS($E233)))</f>
        <v/>
      </c>
      <c r="H233" s="70" t="str">
        <f aca="false">IF($A233="","",Data_Engine!$AH233)</f>
        <v/>
      </c>
      <c r="I233" s="69" t="str">
        <f aca="false">IF($A233="","",Data_Engine!$AI233)</f>
        <v/>
      </c>
      <c r="J233" s="71" t="str">
        <f aca="false">IF($A233="","",$H233-$I233)</f>
        <v/>
      </c>
      <c r="K233" s="72" t="str">
        <f aca="false">IF($A233="","",IF(ROUND($I233,2)=0,"n/a",$J233/ABS($I233)))</f>
        <v/>
      </c>
      <c r="L233" s="69" t="str">
        <f aca="false">IF($A233="","",Data_Engine!$AJ233)</f>
        <v/>
      </c>
      <c r="M233" s="73" t="str">
        <f aca="false">IF($A233="","",IF(Setup!$B$8=0,0,$H233/Setup!$B$8*12))</f>
        <v/>
      </c>
      <c r="N233" s="72" t="str">
        <f aca="false">IF($A233="","",IF(ROUND($L233,2)=0,"n/a",($M233-$L233)/ABS($L233)))</f>
        <v/>
      </c>
      <c r="O233" s="76" t="str">
        <f aca="false">IF($A233="","",IF(AND(ROUND($H233,2)=0,ROUND($I233,2)=0),"Dormant",IF(ROUND($I233,2)=0,"New this year",IF(ROUND($H233,2)=0,"Ceased",IF($J233&gt;0,"Increase",IF($J233&lt;0,"Decrease","Flat"))))))</f>
        <v/>
      </c>
      <c r="P233" s="74" t="str">
        <f aca="false">IF($A233="","",IF(AND(ROUND($H233,2)=0,ROUND($I233,2)=0),"No Activity",IF(ABS($J233)&lt;Setup!$B$14,"Low",IF(ROUND($I233,2)=0,"High",IF(OR(ABS($J233/$I233)&gt;=Setup!$B$16,ABS($J233)&gt;=Setup!$B$17),"High",IF(ABS($J233/$I233)&gt;=Setup!$B$15,"Medium","Low"))))))</f>
        <v/>
      </c>
      <c r="Q233" s="57"/>
      <c r="R233" s="75" t="n">
        <f aca="false">IF($A233="",-1000000000000000,IF(ROUND(ABS($J233),0)=0,-1000000000000000,ABS($J233)+ROW()/1000000))</f>
        <v>-1000000000000000</v>
      </c>
    </row>
    <row r="234" customFormat="false" ht="15" hidden="false" customHeight="false" outlineLevel="0" collapsed="false">
      <c r="A234" s="68" t="str">
        <f aca="false">IF(Data_Engine!$A234="","",Data_Engine!$A234)</f>
        <v/>
      </c>
      <c r="B234" s="42" t="str">
        <f aca="false">IF($A234="","",Data_Engine!$B234)</f>
        <v/>
      </c>
      <c r="C234" s="42" t="str">
        <f aca="false">IF($A234="","",Data_Engine!$D234)</f>
        <v/>
      </c>
      <c r="D234" s="69" t="str">
        <f aca="false">IF($A234="","",Data_Engine!$AD234)</f>
        <v/>
      </c>
      <c r="E234" s="69" t="str">
        <f aca="false">IF($A234="","",Data_Engine!$AE234)</f>
        <v/>
      </c>
      <c r="F234" s="73" t="str">
        <f aca="false">IF($A234="","",$D234-$E234)</f>
        <v/>
      </c>
      <c r="G234" s="72" t="str">
        <f aca="false">IF($A234="","",IF(ROUND($E234,2)=0,"n/a",$F234/ABS($E234)))</f>
        <v/>
      </c>
      <c r="H234" s="70" t="str">
        <f aca="false">IF($A234="","",Data_Engine!$AH234)</f>
        <v/>
      </c>
      <c r="I234" s="69" t="str">
        <f aca="false">IF($A234="","",Data_Engine!$AI234)</f>
        <v/>
      </c>
      <c r="J234" s="71" t="str">
        <f aca="false">IF($A234="","",$H234-$I234)</f>
        <v/>
      </c>
      <c r="K234" s="72" t="str">
        <f aca="false">IF($A234="","",IF(ROUND($I234,2)=0,"n/a",$J234/ABS($I234)))</f>
        <v/>
      </c>
      <c r="L234" s="69" t="str">
        <f aca="false">IF($A234="","",Data_Engine!$AJ234)</f>
        <v/>
      </c>
      <c r="M234" s="73" t="str">
        <f aca="false">IF($A234="","",IF(Setup!$B$8=0,0,$H234/Setup!$B$8*12))</f>
        <v/>
      </c>
      <c r="N234" s="72" t="str">
        <f aca="false">IF($A234="","",IF(ROUND($L234,2)=0,"n/a",($M234-$L234)/ABS($L234)))</f>
        <v/>
      </c>
      <c r="O234" s="76" t="str">
        <f aca="false">IF($A234="","",IF(AND(ROUND($H234,2)=0,ROUND($I234,2)=0),"Dormant",IF(ROUND($I234,2)=0,"New this year",IF(ROUND($H234,2)=0,"Ceased",IF($J234&gt;0,"Increase",IF($J234&lt;0,"Decrease","Flat"))))))</f>
        <v/>
      </c>
      <c r="P234" s="74" t="str">
        <f aca="false">IF($A234="","",IF(AND(ROUND($H234,2)=0,ROUND($I234,2)=0),"No Activity",IF(ABS($J234)&lt;Setup!$B$14,"Low",IF(ROUND($I234,2)=0,"High",IF(OR(ABS($J234/$I234)&gt;=Setup!$B$16,ABS($J234)&gt;=Setup!$B$17),"High",IF(ABS($J234/$I234)&gt;=Setup!$B$15,"Medium","Low"))))))</f>
        <v/>
      </c>
      <c r="Q234" s="57"/>
      <c r="R234" s="75" t="n">
        <f aca="false">IF($A234="",-1000000000000000,IF(ROUND(ABS($J234),0)=0,-1000000000000000,ABS($J234)+ROW()/1000000))</f>
        <v>-1000000000000000</v>
      </c>
    </row>
    <row r="235" customFormat="false" ht="15" hidden="false" customHeight="false" outlineLevel="0" collapsed="false">
      <c r="A235" s="68" t="str">
        <f aca="false">IF(Data_Engine!$A235="","",Data_Engine!$A235)</f>
        <v/>
      </c>
      <c r="B235" s="42" t="str">
        <f aca="false">IF($A235="","",Data_Engine!$B235)</f>
        <v/>
      </c>
      <c r="C235" s="42" t="str">
        <f aca="false">IF($A235="","",Data_Engine!$D235)</f>
        <v/>
      </c>
      <c r="D235" s="69" t="str">
        <f aca="false">IF($A235="","",Data_Engine!$AD235)</f>
        <v/>
      </c>
      <c r="E235" s="69" t="str">
        <f aca="false">IF($A235="","",Data_Engine!$AE235)</f>
        <v/>
      </c>
      <c r="F235" s="73" t="str">
        <f aca="false">IF($A235="","",$D235-$E235)</f>
        <v/>
      </c>
      <c r="G235" s="72" t="str">
        <f aca="false">IF($A235="","",IF(ROUND($E235,2)=0,"n/a",$F235/ABS($E235)))</f>
        <v/>
      </c>
      <c r="H235" s="70" t="str">
        <f aca="false">IF($A235="","",Data_Engine!$AH235)</f>
        <v/>
      </c>
      <c r="I235" s="69" t="str">
        <f aca="false">IF($A235="","",Data_Engine!$AI235)</f>
        <v/>
      </c>
      <c r="J235" s="71" t="str">
        <f aca="false">IF($A235="","",$H235-$I235)</f>
        <v/>
      </c>
      <c r="K235" s="72" t="str">
        <f aca="false">IF($A235="","",IF(ROUND($I235,2)=0,"n/a",$J235/ABS($I235)))</f>
        <v/>
      </c>
      <c r="L235" s="69" t="str">
        <f aca="false">IF($A235="","",Data_Engine!$AJ235)</f>
        <v/>
      </c>
      <c r="M235" s="73" t="str">
        <f aca="false">IF($A235="","",IF(Setup!$B$8=0,0,$H235/Setup!$B$8*12))</f>
        <v/>
      </c>
      <c r="N235" s="72" t="str">
        <f aca="false">IF($A235="","",IF(ROUND($L235,2)=0,"n/a",($M235-$L235)/ABS($L235)))</f>
        <v/>
      </c>
      <c r="O235" s="76" t="str">
        <f aca="false">IF($A235="","",IF(AND(ROUND($H235,2)=0,ROUND($I235,2)=0),"Dormant",IF(ROUND($I235,2)=0,"New this year",IF(ROUND($H235,2)=0,"Ceased",IF($J235&gt;0,"Increase",IF($J235&lt;0,"Decrease","Flat"))))))</f>
        <v/>
      </c>
      <c r="P235" s="74" t="str">
        <f aca="false">IF($A235="","",IF(AND(ROUND($H235,2)=0,ROUND($I235,2)=0),"No Activity",IF(ABS($J235)&lt;Setup!$B$14,"Low",IF(ROUND($I235,2)=0,"High",IF(OR(ABS($J235/$I235)&gt;=Setup!$B$16,ABS($J235)&gt;=Setup!$B$17),"High",IF(ABS($J235/$I235)&gt;=Setup!$B$15,"Medium","Low"))))))</f>
        <v/>
      </c>
      <c r="Q235" s="57"/>
      <c r="R235" s="75" t="n">
        <f aca="false">IF($A235="",-1000000000000000,IF(ROUND(ABS($J235),0)=0,-1000000000000000,ABS($J235)+ROW()/1000000))</f>
        <v>-1000000000000000</v>
      </c>
    </row>
    <row r="236" customFormat="false" ht="15" hidden="false" customHeight="false" outlineLevel="0" collapsed="false">
      <c r="A236" s="68" t="str">
        <f aca="false">IF(Data_Engine!$A236="","",Data_Engine!$A236)</f>
        <v/>
      </c>
      <c r="B236" s="42" t="str">
        <f aca="false">IF($A236="","",Data_Engine!$B236)</f>
        <v/>
      </c>
      <c r="C236" s="42" t="str">
        <f aca="false">IF($A236="","",Data_Engine!$D236)</f>
        <v/>
      </c>
      <c r="D236" s="69" t="str">
        <f aca="false">IF($A236="","",Data_Engine!$AD236)</f>
        <v/>
      </c>
      <c r="E236" s="69" t="str">
        <f aca="false">IF($A236="","",Data_Engine!$AE236)</f>
        <v/>
      </c>
      <c r="F236" s="73" t="str">
        <f aca="false">IF($A236="","",$D236-$E236)</f>
        <v/>
      </c>
      <c r="G236" s="72" t="str">
        <f aca="false">IF($A236="","",IF(ROUND($E236,2)=0,"n/a",$F236/ABS($E236)))</f>
        <v/>
      </c>
      <c r="H236" s="70" t="str">
        <f aca="false">IF($A236="","",Data_Engine!$AH236)</f>
        <v/>
      </c>
      <c r="I236" s="69" t="str">
        <f aca="false">IF($A236="","",Data_Engine!$AI236)</f>
        <v/>
      </c>
      <c r="J236" s="71" t="str">
        <f aca="false">IF($A236="","",$H236-$I236)</f>
        <v/>
      </c>
      <c r="K236" s="72" t="str">
        <f aca="false">IF($A236="","",IF(ROUND($I236,2)=0,"n/a",$J236/ABS($I236)))</f>
        <v/>
      </c>
      <c r="L236" s="69" t="str">
        <f aca="false">IF($A236="","",Data_Engine!$AJ236)</f>
        <v/>
      </c>
      <c r="M236" s="73" t="str">
        <f aca="false">IF($A236="","",IF(Setup!$B$8=0,0,$H236/Setup!$B$8*12))</f>
        <v/>
      </c>
      <c r="N236" s="72" t="str">
        <f aca="false">IF($A236="","",IF(ROUND($L236,2)=0,"n/a",($M236-$L236)/ABS($L236)))</f>
        <v/>
      </c>
      <c r="O236" s="76" t="str">
        <f aca="false">IF($A236="","",IF(AND(ROUND($H236,2)=0,ROUND($I236,2)=0),"Dormant",IF(ROUND($I236,2)=0,"New this year",IF(ROUND($H236,2)=0,"Ceased",IF($J236&gt;0,"Increase",IF($J236&lt;0,"Decrease","Flat"))))))</f>
        <v/>
      </c>
      <c r="P236" s="74" t="str">
        <f aca="false">IF($A236="","",IF(AND(ROUND($H236,2)=0,ROUND($I236,2)=0),"No Activity",IF(ABS($J236)&lt;Setup!$B$14,"Low",IF(ROUND($I236,2)=0,"High",IF(OR(ABS($J236/$I236)&gt;=Setup!$B$16,ABS($J236)&gt;=Setup!$B$17),"High",IF(ABS($J236/$I236)&gt;=Setup!$B$15,"Medium","Low"))))))</f>
        <v/>
      </c>
      <c r="Q236" s="57"/>
      <c r="R236" s="75" t="n">
        <f aca="false">IF($A236="",-1000000000000000,IF(ROUND(ABS($J236),0)=0,-1000000000000000,ABS($J236)+ROW()/1000000))</f>
        <v>-1000000000000000</v>
      </c>
    </row>
    <row r="237" customFormat="false" ht="15" hidden="false" customHeight="false" outlineLevel="0" collapsed="false">
      <c r="A237" s="68" t="str">
        <f aca="false">IF(Data_Engine!$A237="","",Data_Engine!$A237)</f>
        <v/>
      </c>
      <c r="B237" s="42" t="str">
        <f aca="false">IF($A237="","",Data_Engine!$B237)</f>
        <v/>
      </c>
      <c r="C237" s="42" t="str">
        <f aca="false">IF($A237="","",Data_Engine!$D237)</f>
        <v/>
      </c>
      <c r="D237" s="69" t="str">
        <f aca="false">IF($A237="","",Data_Engine!$AD237)</f>
        <v/>
      </c>
      <c r="E237" s="69" t="str">
        <f aca="false">IF($A237="","",Data_Engine!$AE237)</f>
        <v/>
      </c>
      <c r="F237" s="73" t="str">
        <f aca="false">IF($A237="","",$D237-$E237)</f>
        <v/>
      </c>
      <c r="G237" s="72" t="str">
        <f aca="false">IF($A237="","",IF(ROUND($E237,2)=0,"n/a",$F237/ABS($E237)))</f>
        <v/>
      </c>
      <c r="H237" s="70" t="str">
        <f aca="false">IF($A237="","",Data_Engine!$AH237)</f>
        <v/>
      </c>
      <c r="I237" s="69" t="str">
        <f aca="false">IF($A237="","",Data_Engine!$AI237)</f>
        <v/>
      </c>
      <c r="J237" s="71" t="str">
        <f aca="false">IF($A237="","",$H237-$I237)</f>
        <v/>
      </c>
      <c r="K237" s="72" t="str">
        <f aca="false">IF($A237="","",IF(ROUND($I237,2)=0,"n/a",$J237/ABS($I237)))</f>
        <v/>
      </c>
      <c r="L237" s="69" t="str">
        <f aca="false">IF($A237="","",Data_Engine!$AJ237)</f>
        <v/>
      </c>
      <c r="M237" s="73" t="str">
        <f aca="false">IF($A237="","",IF(Setup!$B$8=0,0,$H237/Setup!$B$8*12))</f>
        <v/>
      </c>
      <c r="N237" s="72" t="str">
        <f aca="false">IF($A237="","",IF(ROUND($L237,2)=0,"n/a",($M237-$L237)/ABS($L237)))</f>
        <v/>
      </c>
      <c r="O237" s="76" t="str">
        <f aca="false">IF($A237="","",IF(AND(ROUND($H237,2)=0,ROUND($I237,2)=0),"Dormant",IF(ROUND($I237,2)=0,"New this year",IF(ROUND($H237,2)=0,"Ceased",IF($J237&gt;0,"Increase",IF($J237&lt;0,"Decrease","Flat"))))))</f>
        <v/>
      </c>
      <c r="P237" s="74" t="str">
        <f aca="false">IF($A237="","",IF(AND(ROUND($H237,2)=0,ROUND($I237,2)=0),"No Activity",IF(ABS($J237)&lt;Setup!$B$14,"Low",IF(ROUND($I237,2)=0,"High",IF(OR(ABS($J237/$I237)&gt;=Setup!$B$16,ABS($J237)&gt;=Setup!$B$17),"High",IF(ABS($J237/$I237)&gt;=Setup!$B$15,"Medium","Low"))))))</f>
        <v/>
      </c>
      <c r="Q237" s="57"/>
      <c r="R237" s="75" t="n">
        <f aca="false">IF($A237="",-1000000000000000,IF(ROUND(ABS($J237),0)=0,-1000000000000000,ABS($J237)+ROW()/1000000))</f>
        <v>-1000000000000000</v>
      </c>
    </row>
    <row r="238" customFormat="false" ht="15" hidden="false" customHeight="false" outlineLevel="0" collapsed="false">
      <c r="A238" s="68" t="str">
        <f aca="false">IF(Data_Engine!$A238="","",Data_Engine!$A238)</f>
        <v/>
      </c>
      <c r="B238" s="42" t="str">
        <f aca="false">IF($A238="","",Data_Engine!$B238)</f>
        <v/>
      </c>
      <c r="C238" s="42" t="str">
        <f aca="false">IF($A238="","",Data_Engine!$D238)</f>
        <v/>
      </c>
      <c r="D238" s="69" t="str">
        <f aca="false">IF($A238="","",Data_Engine!$AD238)</f>
        <v/>
      </c>
      <c r="E238" s="69" t="str">
        <f aca="false">IF($A238="","",Data_Engine!$AE238)</f>
        <v/>
      </c>
      <c r="F238" s="73" t="str">
        <f aca="false">IF($A238="","",$D238-$E238)</f>
        <v/>
      </c>
      <c r="G238" s="72" t="str">
        <f aca="false">IF($A238="","",IF(ROUND($E238,2)=0,"n/a",$F238/ABS($E238)))</f>
        <v/>
      </c>
      <c r="H238" s="70" t="str">
        <f aca="false">IF($A238="","",Data_Engine!$AH238)</f>
        <v/>
      </c>
      <c r="I238" s="69" t="str">
        <f aca="false">IF($A238="","",Data_Engine!$AI238)</f>
        <v/>
      </c>
      <c r="J238" s="71" t="str">
        <f aca="false">IF($A238="","",$H238-$I238)</f>
        <v/>
      </c>
      <c r="K238" s="72" t="str">
        <f aca="false">IF($A238="","",IF(ROUND($I238,2)=0,"n/a",$J238/ABS($I238)))</f>
        <v/>
      </c>
      <c r="L238" s="69" t="str">
        <f aca="false">IF($A238="","",Data_Engine!$AJ238)</f>
        <v/>
      </c>
      <c r="M238" s="73" t="str">
        <f aca="false">IF($A238="","",IF(Setup!$B$8=0,0,$H238/Setup!$B$8*12))</f>
        <v/>
      </c>
      <c r="N238" s="72" t="str">
        <f aca="false">IF($A238="","",IF(ROUND($L238,2)=0,"n/a",($M238-$L238)/ABS($L238)))</f>
        <v/>
      </c>
      <c r="O238" s="76" t="str">
        <f aca="false">IF($A238="","",IF(AND(ROUND($H238,2)=0,ROUND($I238,2)=0),"Dormant",IF(ROUND($I238,2)=0,"New this year",IF(ROUND($H238,2)=0,"Ceased",IF($J238&gt;0,"Increase",IF($J238&lt;0,"Decrease","Flat"))))))</f>
        <v/>
      </c>
      <c r="P238" s="74" t="str">
        <f aca="false">IF($A238="","",IF(AND(ROUND($H238,2)=0,ROUND($I238,2)=0),"No Activity",IF(ABS($J238)&lt;Setup!$B$14,"Low",IF(ROUND($I238,2)=0,"High",IF(OR(ABS($J238/$I238)&gt;=Setup!$B$16,ABS($J238)&gt;=Setup!$B$17),"High",IF(ABS($J238/$I238)&gt;=Setup!$B$15,"Medium","Low"))))))</f>
        <v/>
      </c>
      <c r="Q238" s="57"/>
      <c r="R238" s="75" t="n">
        <f aca="false">IF($A238="",-1000000000000000,IF(ROUND(ABS($J238),0)=0,-1000000000000000,ABS($J238)+ROW()/1000000))</f>
        <v>-1000000000000000</v>
      </c>
    </row>
    <row r="239" customFormat="false" ht="15" hidden="false" customHeight="false" outlineLevel="0" collapsed="false">
      <c r="A239" s="68" t="str">
        <f aca="false">IF(Data_Engine!$A239="","",Data_Engine!$A239)</f>
        <v/>
      </c>
      <c r="B239" s="42" t="str">
        <f aca="false">IF($A239="","",Data_Engine!$B239)</f>
        <v/>
      </c>
      <c r="C239" s="42" t="str">
        <f aca="false">IF($A239="","",Data_Engine!$D239)</f>
        <v/>
      </c>
      <c r="D239" s="69" t="str">
        <f aca="false">IF($A239="","",Data_Engine!$AD239)</f>
        <v/>
      </c>
      <c r="E239" s="69" t="str">
        <f aca="false">IF($A239="","",Data_Engine!$AE239)</f>
        <v/>
      </c>
      <c r="F239" s="73" t="str">
        <f aca="false">IF($A239="","",$D239-$E239)</f>
        <v/>
      </c>
      <c r="G239" s="72" t="str">
        <f aca="false">IF($A239="","",IF(ROUND($E239,2)=0,"n/a",$F239/ABS($E239)))</f>
        <v/>
      </c>
      <c r="H239" s="70" t="str">
        <f aca="false">IF($A239="","",Data_Engine!$AH239)</f>
        <v/>
      </c>
      <c r="I239" s="69" t="str">
        <f aca="false">IF($A239="","",Data_Engine!$AI239)</f>
        <v/>
      </c>
      <c r="J239" s="71" t="str">
        <f aca="false">IF($A239="","",$H239-$I239)</f>
        <v/>
      </c>
      <c r="K239" s="72" t="str">
        <f aca="false">IF($A239="","",IF(ROUND($I239,2)=0,"n/a",$J239/ABS($I239)))</f>
        <v/>
      </c>
      <c r="L239" s="69" t="str">
        <f aca="false">IF($A239="","",Data_Engine!$AJ239)</f>
        <v/>
      </c>
      <c r="M239" s="73" t="str">
        <f aca="false">IF($A239="","",IF(Setup!$B$8=0,0,$H239/Setup!$B$8*12))</f>
        <v/>
      </c>
      <c r="N239" s="72" t="str">
        <f aca="false">IF($A239="","",IF(ROUND($L239,2)=0,"n/a",($M239-$L239)/ABS($L239)))</f>
        <v/>
      </c>
      <c r="O239" s="76" t="str">
        <f aca="false">IF($A239="","",IF(AND(ROUND($H239,2)=0,ROUND($I239,2)=0),"Dormant",IF(ROUND($I239,2)=0,"New this year",IF(ROUND($H239,2)=0,"Ceased",IF($J239&gt;0,"Increase",IF($J239&lt;0,"Decrease","Flat"))))))</f>
        <v/>
      </c>
      <c r="P239" s="74" t="str">
        <f aca="false">IF($A239="","",IF(AND(ROUND($H239,2)=0,ROUND($I239,2)=0),"No Activity",IF(ABS($J239)&lt;Setup!$B$14,"Low",IF(ROUND($I239,2)=0,"High",IF(OR(ABS($J239/$I239)&gt;=Setup!$B$16,ABS($J239)&gt;=Setup!$B$17),"High",IF(ABS($J239/$I239)&gt;=Setup!$B$15,"Medium","Low"))))))</f>
        <v/>
      </c>
      <c r="Q239" s="57"/>
      <c r="R239" s="75" t="n">
        <f aca="false">IF($A239="",-1000000000000000,IF(ROUND(ABS($J239),0)=0,-1000000000000000,ABS($J239)+ROW()/1000000))</f>
        <v>-1000000000000000</v>
      </c>
    </row>
    <row r="240" customFormat="false" ht="15" hidden="false" customHeight="false" outlineLevel="0" collapsed="false">
      <c r="A240" s="68" t="str">
        <f aca="false">IF(Data_Engine!$A240="","",Data_Engine!$A240)</f>
        <v/>
      </c>
      <c r="B240" s="42" t="str">
        <f aca="false">IF($A240="","",Data_Engine!$B240)</f>
        <v/>
      </c>
      <c r="C240" s="42" t="str">
        <f aca="false">IF($A240="","",Data_Engine!$D240)</f>
        <v/>
      </c>
      <c r="D240" s="69" t="str">
        <f aca="false">IF($A240="","",Data_Engine!$AD240)</f>
        <v/>
      </c>
      <c r="E240" s="69" t="str">
        <f aca="false">IF($A240="","",Data_Engine!$AE240)</f>
        <v/>
      </c>
      <c r="F240" s="73" t="str">
        <f aca="false">IF($A240="","",$D240-$E240)</f>
        <v/>
      </c>
      <c r="G240" s="72" t="str">
        <f aca="false">IF($A240="","",IF(ROUND($E240,2)=0,"n/a",$F240/ABS($E240)))</f>
        <v/>
      </c>
      <c r="H240" s="70" t="str">
        <f aca="false">IF($A240="","",Data_Engine!$AH240)</f>
        <v/>
      </c>
      <c r="I240" s="69" t="str">
        <f aca="false">IF($A240="","",Data_Engine!$AI240)</f>
        <v/>
      </c>
      <c r="J240" s="71" t="str">
        <f aca="false">IF($A240="","",$H240-$I240)</f>
        <v/>
      </c>
      <c r="K240" s="72" t="str">
        <f aca="false">IF($A240="","",IF(ROUND($I240,2)=0,"n/a",$J240/ABS($I240)))</f>
        <v/>
      </c>
      <c r="L240" s="69" t="str">
        <f aca="false">IF($A240="","",Data_Engine!$AJ240)</f>
        <v/>
      </c>
      <c r="M240" s="73" t="str">
        <f aca="false">IF($A240="","",IF(Setup!$B$8=0,0,$H240/Setup!$B$8*12))</f>
        <v/>
      </c>
      <c r="N240" s="72" t="str">
        <f aca="false">IF($A240="","",IF(ROUND($L240,2)=0,"n/a",($M240-$L240)/ABS($L240)))</f>
        <v/>
      </c>
      <c r="O240" s="76" t="str">
        <f aca="false">IF($A240="","",IF(AND(ROUND($H240,2)=0,ROUND($I240,2)=0),"Dormant",IF(ROUND($I240,2)=0,"New this year",IF(ROUND($H240,2)=0,"Ceased",IF($J240&gt;0,"Increase",IF($J240&lt;0,"Decrease","Flat"))))))</f>
        <v/>
      </c>
      <c r="P240" s="74" t="str">
        <f aca="false">IF($A240="","",IF(AND(ROUND($H240,2)=0,ROUND($I240,2)=0),"No Activity",IF(ABS($J240)&lt;Setup!$B$14,"Low",IF(ROUND($I240,2)=0,"High",IF(OR(ABS($J240/$I240)&gt;=Setup!$B$16,ABS($J240)&gt;=Setup!$B$17),"High",IF(ABS($J240/$I240)&gt;=Setup!$B$15,"Medium","Low"))))))</f>
        <v/>
      </c>
      <c r="Q240" s="57"/>
      <c r="R240" s="75" t="n">
        <f aca="false">IF($A240="",-1000000000000000,IF(ROUND(ABS($J240),0)=0,-1000000000000000,ABS($J240)+ROW()/1000000))</f>
        <v>-1000000000000000</v>
      </c>
    </row>
    <row r="241" customFormat="false" ht="15" hidden="false" customHeight="false" outlineLevel="0" collapsed="false">
      <c r="A241" s="68" t="str">
        <f aca="false">IF(Data_Engine!$A241="","",Data_Engine!$A241)</f>
        <v/>
      </c>
      <c r="B241" s="42" t="str">
        <f aca="false">IF($A241="","",Data_Engine!$B241)</f>
        <v/>
      </c>
      <c r="C241" s="42" t="str">
        <f aca="false">IF($A241="","",Data_Engine!$D241)</f>
        <v/>
      </c>
      <c r="D241" s="69" t="str">
        <f aca="false">IF($A241="","",Data_Engine!$AD241)</f>
        <v/>
      </c>
      <c r="E241" s="69" t="str">
        <f aca="false">IF($A241="","",Data_Engine!$AE241)</f>
        <v/>
      </c>
      <c r="F241" s="73" t="str">
        <f aca="false">IF($A241="","",$D241-$E241)</f>
        <v/>
      </c>
      <c r="G241" s="72" t="str">
        <f aca="false">IF($A241="","",IF(ROUND($E241,2)=0,"n/a",$F241/ABS($E241)))</f>
        <v/>
      </c>
      <c r="H241" s="70" t="str">
        <f aca="false">IF($A241="","",Data_Engine!$AH241)</f>
        <v/>
      </c>
      <c r="I241" s="69" t="str">
        <f aca="false">IF($A241="","",Data_Engine!$AI241)</f>
        <v/>
      </c>
      <c r="J241" s="71" t="str">
        <f aca="false">IF($A241="","",$H241-$I241)</f>
        <v/>
      </c>
      <c r="K241" s="72" t="str">
        <f aca="false">IF($A241="","",IF(ROUND($I241,2)=0,"n/a",$J241/ABS($I241)))</f>
        <v/>
      </c>
      <c r="L241" s="69" t="str">
        <f aca="false">IF($A241="","",Data_Engine!$AJ241)</f>
        <v/>
      </c>
      <c r="M241" s="73" t="str">
        <f aca="false">IF($A241="","",IF(Setup!$B$8=0,0,$H241/Setup!$B$8*12))</f>
        <v/>
      </c>
      <c r="N241" s="72" t="str">
        <f aca="false">IF($A241="","",IF(ROUND($L241,2)=0,"n/a",($M241-$L241)/ABS($L241)))</f>
        <v/>
      </c>
      <c r="O241" s="76" t="str">
        <f aca="false">IF($A241="","",IF(AND(ROUND($H241,2)=0,ROUND($I241,2)=0),"Dormant",IF(ROUND($I241,2)=0,"New this year",IF(ROUND($H241,2)=0,"Ceased",IF($J241&gt;0,"Increase",IF($J241&lt;0,"Decrease","Flat"))))))</f>
        <v/>
      </c>
      <c r="P241" s="74" t="str">
        <f aca="false">IF($A241="","",IF(AND(ROUND($H241,2)=0,ROUND($I241,2)=0),"No Activity",IF(ABS($J241)&lt;Setup!$B$14,"Low",IF(ROUND($I241,2)=0,"High",IF(OR(ABS($J241/$I241)&gt;=Setup!$B$16,ABS($J241)&gt;=Setup!$B$17),"High",IF(ABS($J241/$I241)&gt;=Setup!$B$15,"Medium","Low"))))))</f>
        <v/>
      </c>
      <c r="Q241" s="57"/>
      <c r="R241" s="75" t="n">
        <f aca="false">IF($A241="",-1000000000000000,IF(ROUND(ABS($J241),0)=0,-1000000000000000,ABS($J241)+ROW()/1000000))</f>
        <v>-1000000000000000</v>
      </c>
    </row>
    <row r="242" customFormat="false" ht="15" hidden="false" customHeight="false" outlineLevel="0" collapsed="false">
      <c r="A242" s="68" t="str">
        <f aca="false">IF(Data_Engine!$A242="","",Data_Engine!$A242)</f>
        <v/>
      </c>
      <c r="B242" s="42" t="str">
        <f aca="false">IF($A242="","",Data_Engine!$B242)</f>
        <v/>
      </c>
      <c r="C242" s="42" t="str">
        <f aca="false">IF($A242="","",Data_Engine!$D242)</f>
        <v/>
      </c>
      <c r="D242" s="69" t="str">
        <f aca="false">IF($A242="","",Data_Engine!$AD242)</f>
        <v/>
      </c>
      <c r="E242" s="69" t="str">
        <f aca="false">IF($A242="","",Data_Engine!$AE242)</f>
        <v/>
      </c>
      <c r="F242" s="73" t="str">
        <f aca="false">IF($A242="","",$D242-$E242)</f>
        <v/>
      </c>
      <c r="G242" s="72" t="str">
        <f aca="false">IF($A242="","",IF(ROUND($E242,2)=0,"n/a",$F242/ABS($E242)))</f>
        <v/>
      </c>
      <c r="H242" s="70" t="str">
        <f aca="false">IF($A242="","",Data_Engine!$AH242)</f>
        <v/>
      </c>
      <c r="I242" s="69" t="str">
        <f aca="false">IF($A242="","",Data_Engine!$AI242)</f>
        <v/>
      </c>
      <c r="J242" s="71" t="str">
        <f aca="false">IF($A242="","",$H242-$I242)</f>
        <v/>
      </c>
      <c r="K242" s="72" t="str">
        <f aca="false">IF($A242="","",IF(ROUND($I242,2)=0,"n/a",$J242/ABS($I242)))</f>
        <v/>
      </c>
      <c r="L242" s="69" t="str">
        <f aca="false">IF($A242="","",Data_Engine!$AJ242)</f>
        <v/>
      </c>
      <c r="M242" s="73" t="str">
        <f aca="false">IF($A242="","",IF(Setup!$B$8=0,0,$H242/Setup!$B$8*12))</f>
        <v/>
      </c>
      <c r="N242" s="72" t="str">
        <f aca="false">IF($A242="","",IF(ROUND($L242,2)=0,"n/a",($M242-$L242)/ABS($L242)))</f>
        <v/>
      </c>
      <c r="O242" s="76" t="str">
        <f aca="false">IF($A242="","",IF(AND(ROUND($H242,2)=0,ROUND($I242,2)=0),"Dormant",IF(ROUND($I242,2)=0,"New this year",IF(ROUND($H242,2)=0,"Ceased",IF($J242&gt;0,"Increase",IF($J242&lt;0,"Decrease","Flat"))))))</f>
        <v/>
      </c>
      <c r="P242" s="74" t="str">
        <f aca="false">IF($A242="","",IF(AND(ROUND($H242,2)=0,ROUND($I242,2)=0),"No Activity",IF(ABS($J242)&lt;Setup!$B$14,"Low",IF(ROUND($I242,2)=0,"High",IF(OR(ABS($J242/$I242)&gt;=Setup!$B$16,ABS($J242)&gt;=Setup!$B$17),"High",IF(ABS($J242/$I242)&gt;=Setup!$B$15,"Medium","Low"))))))</f>
        <v/>
      </c>
      <c r="Q242" s="57"/>
      <c r="R242" s="75" t="n">
        <f aca="false">IF($A242="",-1000000000000000,IF(ROUND(ABS($J242),0)=0,-1000000000000000,ABS($J242)+ROW()/1000000))</f>
        <v>-1000000000000000</v>
      </c>
    </row>
    <row r="243" customFormat="false" ht="15" hidden="false" customHeight="false" outlineLevel="0" collapsed="false">
      <c r="A243" s="68" t="str">
        <f aca="false">IF(Data_Engine!$A243="","",Data_Engine!$A243)</f>
        <v/>
      </c>
      <c r="B243" s="42" t="str">
        <f aca="false">IF($A243="","",Data_Engine!$B243)</f>
        <v/>
      </c>
      <c r="C243" s="42" t="str">
        <f aca="false">IF($A243="","",Data_Engine!$D243)</f>
        <v/>
      </c>
      <c r="D243" s="69" t="str">
        <f aca="false">IF($A243="","",Data_Engine!$AD243)</f>
        <v/>
      </c>
      <c r="E243" s="69" t="str">
        <f aca="false">IF($A243="","",Data_Engine!$AE243)</f>
        <v/>
      </c>
      <c r="F243" s="73" t="str">
        <f aca="false">IF($A243="","",$D243-$E243)</f>
        <v/>
      </c>
      <c r="G243" s="72" t="str">
        <f aca="false">IF($A243="","",IF(ROUND($E243,2)=0,"n/a",$F243/ABS($E243)))</f>
        <v/>
      </c>
      <c r="H243" s="70" t="str">
        <f aca="false">IF($A243="","",Data_Engine!$AH243)</f>
        <v/>
      </c>
      <c r="I243" s="69" t="str">
        <f aca="false">IF($A243="","",Data_Engine!$AI243)</f>
        <v/>
      </c>
      <c r="J243" s="71" t="str">
        <f aca="false">IF($A243="","",$H243-$I243)</f>
        <v/>
      </c>
      <c r="K243" s="72" t="str">
        <f aca="false">IF($A243="","",IF(ROUND($I243,2)=0,"n/a",$J243/ABS($I243)))</f>
        <v/>
      </c>
      <c r="L243" s="69" t="str">
        <f aca="false">IF($A243="","",Data_Engine!$AJ243)</f>
        <v/>
      </c>
      <c r="M243" s="73" t="str">
        <f aca="false">IF($A243="","",IF(Setup!$B$8=0,0,$H243/Setup!$B$8*12))</f>
        <v/>
      </c>
      <c r="N243" s="72" t="str">
        <f aca="false">IF($A243="","",IF(ROUND($L243,2)=0,"n/a",($M243-$L243)/ABS($L243)))</f>
        <v/>
      </c>
      <c r="O243" s="76" t="str">
        <f aca="false">IF($A243="","",IF(AND(ROUND($H243,2)=0,ROUND($I243,2)=0),"Dormant",IF(ROUND($I243,2)=0,"New this year",IF(ROUND($H243,2)=0,"Ceased",IF($J243&gt;0,"Increase",IF($J243&lt;0,"Decrease","Flat"))))))</f>
        <v/>
      </c>
      <c r="P243" s="74" t="str">
        <f aca="false">IF($A243="","",IF(AND(ROUND($H243,2)=0,ROUND($I243,2)=0),"No Activity",IF(ABS($J243)&lt;Setup!$B$14,"Low",IF(ROUND($I243,2)=0,"High",IF(OR(ABS($J243/$I243)&gt;=Setup!$B$16,ABS($J243)&gt;=Setup!$B$17),"High",IF(ABS($J243/$I243)&gt;=Setup!$B$15,"Medium","Low"))))))</f>
        <v/>
      </c>
      <c r="Q243" s="57"/>
      <c r="R243" s="75" t="n">
        <f aca="false">IF($A243="",-1000000000000000,IF(ROUND(ABS($J243),0)=0,-1000000000000000,ABS($J243)+ROW()/1000000))</f>
        <v>-1000000000000000</v>
      </c>
    </row>
    <row r="244" customFormat="false" ht="15" hidden="false" customHeight="false" outlineLevel="0" collapsed="false">
      <c r="A244" s="68" t="str">
        <f aca="false">IF(Data_Engine!$A244="","",Data_Engine!$A244)</f>
        <v/>
      </c>
      <c r="B244" s="42" t="str">
        <f aca="false">IF($A244="","",Data_Engine!$B244)</f>
        <v/>
      </c>
      <c r="C244" s="42" t="str">
        <f aca="false">IF($A244="","",Data_Engine!$D244)</f>
        <v/>
      </c>
      <c r="D244" s="69" t="str">
        <f aca="false">IF($A244="","",Data_Engine!$AD244)</f>
        <v/>
      </c>
      <c r="E244" s="69" t="str">
        <f aca="false">IF($A244="","",Data_Engine!$AE244)</f>
        <v/>
      </c>
      <c r="F244" s="73" t="str">
        <f aca="false">IF($A244="","",$D244-$E244)</f>
        <v/>
      </c>
      <c r="G244" s="72" t="str">
        <f aca="false">IF($A244="","",IF(ROUND($E244,2)=0,"n/a",$F244/ABS($E244)))</f>
        <v/>
      </c>
      <c r="H244" s="70" t="str">
        <f aca="false">IF($A244="","",Data_Engine!$AH244)</f>
        <v/>
      </c>
      <c r="I244" s="69" t="str">
        <f aca="false">IF($A244="","",Data_Engine!$AI244)</f>
        <v/>
      </c>
      <c r="J244" s="71" t="str">
        <f aca="false">IF($A244="","",$H244-$I244)</f>
        <v/>
      </c>
      <c r="K244" s="72" t="str">
        <f aca="false">IF($A244="","",IF(ROUND($I244,2)=0,"n/a",$J244/ABS($I244)))</f>
        <v/>
      </c>
      <c r="L244" s="69" t="str">
        <f aca="false">IF($A244="","",Data_Engine!$AJ244)</f>
        <v/>
      </c>
      <c r="M244" s="73" t="str">
        <f aca="false">IF($A244="","",IF(Setup!$B$8=0,0,$H244/Setup!$B$8*12))</f>
        <v/>
      </c>
      <c r="N244" s="72" t="str">
        <f aca="false">IF($A244="","",IF(ROUND($L244,2)=0,"n/a",($M244-$L244)/ABS($L244)))</f>
        <v/>
      </c>
      <c r="O244" s="76" t="str">
        <f aca="false">IF($A244="","",IF(AND(ROUND($H244,2)=0,ROUND($I244,2)=0),"Dormant",IF(ROUND($I244,2)=0,"New this year",IF(ROUND($H244,2)=0,"Ceased",IF($J244&gt;0,"Increase",IF($J244&lt;0,"Decrease","Flat"))))))</f>
        <v/>
      </c>
      <c r="P244" s="74" t="str">
        <f aca="false">IF($A244="","",IF(AND(ROUND($H244,2)=0,ROUND($I244,2)=0),"No Activity",IF(ABS($J244)&lt;Setup!$B$14,"Low",IF(ROUND($I244,2)=0,"High",IF(OR(ABS($J244/$I244)&gt;=Setup!$B$16,ABS($J244)&gt;=Setup!$B$17),"High",IF(ABS($J244/$I244)&gt;=Setup!$B$15,"Medium","Low"))))))</f>
        <v/>
      </c>
      <c r="Q244" s="57"/>
      <c r="R244" s="75" t="n">
        <f aca="false">IF($A244="",-1000000000000000,IF(ROUND(ABS($J244),0)=0,-1000000000000000,ABS($J244)+ROW()/1000000))</f>
        <v>-1000000000000000</v>
      </c>
    </row>
    <row r="245" customFormat="false" ht="15" hidden="false" customHeight="false" outlineLevel="0" collapsed="false">
      <c r="A245" s="68" t="str">
        <f aca="false">IF(Data_Engine!$A245="","",Data_Engine!$A245)</f>
        <v/>
      </c>
      <c r="B245" s="42" t="str">
        <f aca="false">IF($A245="","",Data_Engine!$B245)</f>
        <v/>
      </c>
      <c r="C245" s="42" t="str">
        <f aca="false">IF($A245="","",Data_Engine!$D245)</f>
        <v/>
      </c>
      <c r="D245" s="69" t="str">
        <f aca="false">IF($A245="","",Data_Engine!$AD245)</f>
        <v/>
      </c>
      <c r="E245" s="69" t="str">
        <f aca="false">IF($A245="","",Data_Engine!$AE245)</f>
        <v/>
      </c>
      <c r="F245" s="73" t="str">
        <f aca="false">IF($A245="","",$D245-$E245)</f>
        <v/>
      </c>
      <c r="G245" s="72" t="str">
        <f aca="false">IF($A245="","",IF(ROUND($E245,2)=0,"n/a",$F245/ABS($E245)))</f>
        <v/>
      </c>
      <c r="H245" s="70" t="str">
        <f aca="false">IF($A245="","",Data_Engine!$AH245)</f>
        <v/>
      </c>
      <c r="I245" s="69" t="str">
        <f aca="false">IF($A245="","",Data_Engine!$AI245)</f>
        <v/>
      </c>
      <c r="J245" s="71" t="str">
        <f aca="false">IF($A245="","",$H245-$I245)</f>
        <v/>
      </c>
      <c r="K245" s="72" t="str">
        <f aca="false">IF($A245="","",IF(ROUND($I245,2)=0,"n/a",$J245/ABS($I245)))</f>
        <v/>
      </c>
      <c r="L245" s="69" t="str">
        <f aca="false">IF($A245="","",Data_Engine!$AJ245)</f>
        <v/>
      </c>
      <c r="M245" s="73" t="str">
        <f aca="false">IF($A245="","",IF(Setup!$B$8=0,0,$H245/Setup!$B$8*12))</f>
        <v/>
      </c>
      <c r="N245" s="72" t="str">
        <f aca="false">IF($A245="","",IF(ROUND($L245,2)=0,"n/a",($M245-$L245)/ABS($L245)))</f>
        <v/>
      </c>
      <c r="O245" s="76" t="str">
        <f aca="false">IF($A245="","",IF(AND(ROUND($H245,2)=0,ROUND($I245,2)=0),"Dormant",IF(ROUND($I245,2)=0,"New this year",IF(ROUND($H245,2)=0,"Ceased",IF($J245&gt;0,"Increase",IF($J245&lt;0,"Decrease","Flat"))))))</f>
        <v/>
      </c>
      <c r="P245" s="74" t="str">
        <f aca="false">IF($A245="","",IF(AND(ROUND($H245,2)=0,ROUND($I245,2)=0),"No Activity",IF(ABS($J245)&lt;Setup!$B$14,"Low",IF(ROUND($I245,2)=0,"High",IF(OR(ABS($J245/$I245)&gt;=Setup!$B$16,ABS($J245)&gt;=Setup!$B$17),"High",IF(ABS($J245/$I245)&gt;=Setup!$B$15,"Medium","Low"))))))</f>
        <v/>
      </c>
      <c r="Q245" s="57"/>
      <c r="R245" s="75" t="n">
        <f aca="false">IF($A245="",-1000000000000000,IF(ROUND(ABS($J245),0)=0,-1000000000000000,ABS($J245)+ROW()/1000000))</f>
        <v>-1000000000000000</v>
      </c>
    </row>
    <row r="246" customFormat="false" ht="15" hidden="false" customHeight="false" outlineLevel="0" collapsed="false">
      <c r="A246" s="68" t="str">
        <f aca="false">IF(Data_Engine!$A246="","",Data_Engine!$A246)</f>
        <v/>
      </c>
      <c r="B246" s="42" t="str">
        <f aca="false">IF($A246="","",Data_Engine!$B246)</f>
        <v/>
      </c>
      <c r="C246" s="42" t="str">
        <f aca="false">IF($A246="","",Data_Engine!$D246)</f>
        <v/>
      </c>
      <c r="D246" s="69" t="str">
        <f aca="false">IF($A246="","",Data_Engine!$AD246)</f>
        <v/>
      </c>
      <c r="E246" s="69" t="str">
        <f aca="false">IF($A246="","",Data_Engine!$AE246)</f>
        <v/>
      </c>
      <c r="F246" s="73" t="str">
        <f aca="false">IF($A246="","",$D246-$E246)</f>
        <v/>
      </c>
      <c r="G246" s="72" t="str">
        <f aca="false">IF($A246="","",IF(ROUND($E246,2)=0,"n/a",$F246/ABS($E246)))</f>
        <v/>
      </c>
      <c r="H246" s="70" t="str">
        <f aca="false">IF($A246="","",Data_Engine!$AH246)</f>
        <v/>
      </c>
      <c r="I246" s="69" t="str">
        <f aca="false">IF($A246="","",Data_Engine!$AI246)</f>
        <v/>
      </c>
      <c r="J246" s="71" t="str">
        <f aca="false">IF($A246="","",$H246-$I246)</f>
        <v/>
      </c>
      <c r="K246" s="72" t="str">
        <f aca="false">IF($A246="","",IF(ROUND($I246,2)=0,"n/a",$J246/ABS($I246)))</f>
        <v/>
      </c>
      <c r="L246" s="69" t="str">
        <f aca="false">IF($A246="","",Data_Engine!$AJ246)</f>
        <v/>
      </c>
      <c r="M246" s="73" t="str">
        <f aca="false">IF($A246="","",IF(Setup!$B$8=0,0,$H246/Setup!$B$8*12))</f>
        <v/>
      </c>
      <c r="N246" s="72" t="str">
        <f aca="false">IF($A246="","",IF(ROUND($L246,2)=0,"n/a",($M246-$L246)/ABS($L246)))</f>
        <v/>
      </c>
      <c r="O246" s="76" t="str">
        <f aca="false">IF($A246="","",IF(AND(ROUND($H246,2)=0,ROUND($I246,2)=0),"Dormant",IF(ROUND($I246,2)=0,"New this year",IF(ROUND($H246,2)=0,"Ceased",IF($J246&gt;0,"Increase",IF($J246&lt;0,"Decrease","Flat"))))))</f>
        <v/>
      </c>
      <c r="P246" s="74" t="str">
        <f aca="false">IF($A246="","",IF(AND(ROUND($H246,2)=0,ROUND($I246,2)=0),"No Activity",IF(ABS($J246)&lt;Setup!$B$14,"Low",IF(ROUND($I246,2)=0,"High",IF(OR(ABS($J246/$I246)&gt;=Setup!$B$16,ABS($J246)&gt;=Setup!$B$17),"High",IF(ABS($J246/$I246)&gt;=Setup!$B$15,"Medium","Low"))))))</f>
        <v/>
      </c>
      <c r="Q246" s="57"/>
      <c r="R246" s="75" t="n">
        <f aca="false">IF($A246="",-1000000000000000,IF(ROUND(ABS($J246),0)=0,-1000000000000000,ABS($J246)+ROW()/1000000))</f>
        <v>-1000000000000000</v>
      </c>
    </row>
    <row r="247" customFormat="false" ht="15" hidden="false" customHeight="false" outlineLevel="0" collapsed="false">
      <c r="A247" s="68" t="str">
        <f aca="false">IF(Data_Engine!$A247="","",Data_Engine!$A247)</f>
        <v/>
      </c>
      <c r="B247" s="42" t="str">
        <f aca="false">IF($A247="","",Data_Engine!$B247)</f>
        <v/>
      </c>
      <c r="C247" s="42" t="str">
        <f aca="false">IF($A247="","",Data_Engine!$D247)</f>
        <v/>
      </c>
      <c r="D247" s="69" t="str">
        <f aca="false">IF($A247="","",Data_Engine!$AD247)</f>
        <v/>
      </c>
      <c r="E247" s="69" t="str">
        <f aca="false">IF($A247="","",Data_Engine!$AE247)</f>
        <v/>
      </c>
      <c r="F247" s="73" t="str">
        <f aca="false">IF($A247="","",$D247-$E247)</f>
        <v/>
      </c>
      <c r="G247" s="72" t="str">
        <f aca="false">IF($A247="","",IF(ROUND($E247,2)=0,"n/a",$F247/ABS($E247)))</f>
        <v/>
      </c>
      <c r="H247" s="70" t="str">
        <f aca="false">IF($A247="","",Data_Engine!$AH247)</f>
        <v/>
      </c>
      <c r="I247" s="69" t="str">
        <f aca="false">IF($A247="","",Data_Engine!$AI247)</f>
        <v/>
      </c>
      <c r="J247" s="71" t="str">
        <f aca="false">IF($A247="","",$H247-$I247)</f>
        <v/>
      </c>
      <c r="K247" s="72" t="str">
        <f aca="false">IF($A247="","",IF(ROUND($I247,2)=0,"n/a",$J247/ABS($I247)))</f>
        <v/>
      </c>
      <c r="L247" s="69" t="str">
        <f aca="false">IF($A247="","",Data_Engine!$AJ247)</f>
        <v/>
      </c>
      <c r="M247" s="73" t="str">
        <f aca="false">IF($A247="","",IF(Setup!$B$8=0,0,$H247/Setup!$B$8*12))</f>
        <v/>
      </c>
      <c r="N247" s="72" t="str">
        <f aca="false">IF($A247="","",IF(ROUND($L247,2)=0,"n/a",($M247-$L247)/ABS($L247)))</f>
        <v/>
      </c>
      <c r="O247" s="76" t="str">
        <f aca="false">IF($A247="","",IF(AND(ROUND($H247,2)=0,ROUND($I247,2)=0),"Dormant",IF(ROUND($I247,2)=0,"New this year",IF(ROUND($H247,2)=0,"Ceased",IF($J247&gt;0,"Increase",IF($J247&lt;0,"Decrease","Flat"))))))</f>
        <v/>
      </c>
      <c r="P247" s="74" t="str">
        <f aca="false">IF($A247="","",IF(AND(ROUND($H247,2)=0,ROUND($I247,2)=0),"No Activity",IF(ABS($J247)&lt;Setup!$B$14,"Low",IF(ROUND($I247,2)=0,"High",IF(OR(ABS($J247/$I247)&gt;=Setup!$B$16,ABS($J247)&gt;=Setup!$B$17),"High",IF(ABS($J247/$I247)&gt;=Setup!$B$15,"Medium","Low"))))))</f>
        <v/>
      </c>
      <c r="Q247" s="57"/>
      <c r="R247" s="75" t="n">
        <f aca="false">IF($A247="",-1000000000000000,IF(ROUND(ABS($J247),0)=0,-1000000000000000,ABS($J247)+ROW()/1000000))</f>
        <v>-1000000000000000</v>
      </c>
    </row>
    <row r="248" customFormat="false" ht="15" hidden="false" customHeight="false" outlineLevel="0" collapsed="false">
      <c r="A248" s="68" t="str">
        <f aca="false">IF(Data_Engine!$A248="","",Data_Engine!$A248)</f>
        <v/>
      </c>
      <c r="B248" s="42" t="str">
        <f aca="false">IF($A248="","",Data_Engine!$B248)</f>
        <v/>
      </c>
      <c r="C248" s="42" t="str">
        <f aca="false">IF($A248="","",Data_Engine!$D248)</f>
        <v/>
      </c>
      <c r="D248" s="69" t="str">
        <f aca="false">IF($A248="","",Data_Engine!$AD248)</f>
        <v/>
      </c>
      <c r="E248" s="69" t="str">
        <f aca="false">IF($A248="","",Data_Engine!$AE248)</f>
        <v/>
      </c>
      <c r="F248" s="73" t="str">
        <f aca="false">IF($A248="","",$D248-$E248)</f>
        <v/>
      </c>
      <c r="G248" s="72" t="str">
        <f aca="false">IF($A248="","",IF(ROUND($E248,2)=0,"n/a",$F248/ABS($E248)))</f>
        <v/>
      </c>
      <c r="H248" s="70" t="str">
        <f aca="false">IF($A248="","",Data_Engine!$AH248)</f>
        <v/>
      </c>
      <c r="I248" s="69" t="str">
        <f aca="false">IF($A248="","",Data_Engine!$AI248)</f>
        <v/>
      </c>
      <c r="J248" s="71" t="str">
        <f aca="false">IF($A248="","",$H248-$I248)</f>
        <v/>
      </c>
      <c r="K248" s="72" t="str">
        <f aca="false">IF($A248="","",IF(ROUND($I248,2)=0,"n/a",$J248/ABS($I248)))</f>
        <v/>
      </c>
      <c r="L248" s="69" t="str">
        <f aca="false">IF($A248="","",Data_Engine!$AJ248)</f>
        <v/>
      </c>
      <c r="M248" s="73" t="str">
        <f aca="false">IF($A248="","",IF(Setup!$B$8=0,0,$H248/Setup!$B$8*12))</f>
        <v/>
      </c>
      <c r="N248" s="72" t="str">
        <f aca="false">IF($A248="","",IF(ROUND($L248,2)=0,"n/a",($M248-$L248)/ABS($L248)))</f>
        <v/>
      </c>
      <c r="O248" s="76" t="str">
        <f aca="false">IF($A248="","",IF(AND(ROUND($H248,2)=0,ROUND($I248,2)=0),"Dormant",IF(ROUND($I248,2)=0,"New this year",IF(ROUND($H248,2)=0,"Ceased",IF($J248&gt;0,"Increase",IF($J248&lt;0,"Decrease","Flat"))))))</f>
        <v/>
      </c>
      <c r="P248" s="74" t="str">
        <f aca="false">IF($A248="","",IF(AND(ROUND($H248,2)=0,ROUND($I248,2)=0),"No Activity",IF(ABS($J248)&lt;Setup!$B$14,"Low",IF(ROUND($I248,2)=0,"High",IF(OR(ABS($J248/$I248)&gt;=Setup!$B$16,ABS($J248)&gt;=Setup!$B$17),"High",IF(ABS($J248/$I248)&gt;=Setup!$B$15,"Medium","Low"))))))</f>
        <v/>
      </c>
      <c r="Q248" s="57"/>
      <c r="R248" s="75" t="n">
        <f aca="false">IF($A248="",-1000000000000000,IF(ROUND(ABS($J248),0)=0,-1000000000000000,ABS($J248)+ROW()/1000000))</f>
        <v>-1000000000000000</v>
      </c>
    </row>
    <row r="249" customFormat="false" ht="15" hidden="false" customHeight="false" outlineLevel="0" collapsed="false">
      <c r="A249" s="68" t="str">
        <f aca="false">IF(Data_Engine!$A249="","",Data_Engine!$A249)</f>
        <v/>
      </c>
      <c r="B249" s="42" t="str">
        <f aca="false">IF($A249="","",Data_Engine!$B249)</f>
        <v/>
      </c>
      <c r="C249" s="42" t="str">
        <f aca="false">IF($A249="","",Data_Engine!$D249)</f>
        <v/>
      </c>
      <c r="D249" s="69" t="str">
        <f aca="false">IF($A249="","",Data_Engine!$AD249)</f>
        <v/>
      </c>
      <c r="E249" s="69" t="str">
        <f aca="false">IF($A249="","",Data_Engine!$AE249)</f>
        <v/>
      </c>
      <c r="F249" s="73" t="str">
        <f aca="false">IF($A249="","",$D249-$E249)</f>
        <v/>
      </c>
      <c r="G249" s="72" t="str">
        <f aca="false">IF($A249="","",IF(ROUND($E249,2)=0,"n/a",$F249/ABS($E249)))</f>
        <v/>
      </c>
      <c r="H249" s="70" t="str">
        <f aca="false">IF($A249="","",Data_Engine!$AH249)</f>
        <v/>
      </c>
      <c r="I249" s="69" t="str">
        <f aca="false">IF($A249="","",Data_Engine!$AI249)</f>
        <v/>
      </c>
      <c r="J249" s="71" t="str">
        <f aca="false">IF($A249="","",$H249-$I249)</f>
        <v/>
      </c>
      <c r="K249" s="72" t="str">
        <f aca="false">IF($A249="","",IF(ROUND($I249,2)=0,"n/a",$J249/ABS($I249)))</f>
        <v/>
      </c>
      <c r="L249" s="69" t="str">
        <f aca="false">IF($A249="","",Data_Engine!$AJ249)</f>
        <v/>
      </c>
      <c r="M249" s="73" t="str">
        <f aca="false">IF($A249="","",IF(Setup!$B$8=0,0,$H249/Setup!$B$8*12))</f>
        <v/>
      </c>
      <c r="N249" s="72" t="str">
        <f aca="false">IF($A249="","",IF(ROUND($L249,2)=0,"n/a",($M249-$L249)/ABS($L249)))</f>
        <v/>
      </c>
      <c r="O249" s="76" t="str">
        <f aca="false">IF($A249="","",IF(AND(ROUND($H249,2)=0,ROUND($I249,2)=0),"Dormant",IF(ROUND($I249,2)=0,"New this year",IF(ROUND($H249,2)=0,"Ceased",IF($J249&gt;0,"Increase",IF($J249&lt;0,"Decrease","Flat"))))))</f>
        <v/>
      </c>
      <c r="P249" s="74" t="str">
        <f aca="false">IF($A249="","",IF(AND(ROUND($H249,2)=0,ROUND($I249,2)=0),"No Activity",IF(ABS($J249)&lt;Setup!$B$14,"Low",IF(ROUND($I249,2)=0,"High",IF(OR(ABS($J249/$I249)&gt;=Setup!$B$16,ABS($J249)&gt;=Setup!$B$17),"High",IF(ABS($J249/$I249)&gt;=Setup!$B$15,"Medium","Low"))))))</f>
        <v/>
      </c>
      <c r="Q249" s="57"/>
      <c r="R249" s="75" t="n">
        <f aca="false">IF($A249="",-1000000000000000,IF(ROUND(ABS($J249),0)=0,-1000000000000000,ABS($J249)+ROW()/1000000))</f>
        <v>-1000000000000000</v>
      </c>
    </row>
    <row r="250" customFormat="false" ht="15" hidden="false" customHeight="false" outlineLevel="0" collapsed="false">
      <c r="A250" s="68" t="str">
        <f aca="false">IF(Data_Engine!$A250="","",Data_Engine!$A250)</f>
        <v/>
      </c>
      <c r="B250" s="42" t="str">
        <f aca="false">IF($A250="","",Data_Engine!$B250)</f>
        <v/>
      </c>
      <c r="C250" s="42" t="str">
        <f aca="false">IF($A250="","",Data_Engine!$D250)</f>
        <v/>
      </c>
      <c r="D250" s="69" t="str">
        <f aca="false">IF($A250="","",Data_Engine!$AD250)</f>
        <v/>
      </c>
      <c r="E250" s="69" t="str">
        <f aca="false">IF($A250="","",Data_Engine!$AE250)</f>
        <v/>
      </c>
      <c r="F250" s="73" t="str">
        <f aca="false">IF($A250="","",$D250-$E250)</f>
        <v/>
      </c>
      <c r="G250" s="72" t="str">
        <f aca="false">IF($A250="","",IF(ROUND($E250,2)=0,"n/a",$F250/ABS($E250)))</f>
        <v/>
      </c>
      <c r="H250" s="70" t="str">
        <f aca="false">IF($A250="","",Data_Engine!$AH250)</f>
        <v/>
      </c>
      <c r="I250" s="69" t="str">
        <f aca="false">IF($A250="","",Data_Engine!$AI250)</f>
        <v/>
      </c>
      <c r="J250" s="71" t="str">
        <f aca="false">IF($A250="","",$H250-$I250)</f>
        <v/>
      </c>
      <c r="K250" s="72" t="str">
        <f aca="false">IF($A250="","",IF(ROUND($I250,2)=0,"n/a",$J250/ABS($I250)))</f>
        <v/>
      </c>
      <c r="L250" s="69" t="str">
        <f aca="false">IF($A250="","",Data_Engine!$AJ250)</f>
        <v/>
      </c>
      <c r="M250" s="73" t="str">
        <f aca="false">IF($A250="","",IF(Setup!$B$8=0,0,$H250/Setup!$B$8*12))</f>
        <v/>
      </c>
      <c r="N250" s="72" t="str">
        <f aca="false">IF($A250="","",IF(ROUND($L250,2)=0,"n/a",($M250-$L250)/ABS($L250)))</f>
        <v/>
      </c>
      <c r="O250" s="76" t="str">
        <f aca="false">IF($A250="","",IF(AND(ROUND($H250,2)=0,ROUND($I250,2)=0),"Dormant",IF(ROUND($I250,2)=0,"New this year",IF(ROUND($H250,2)=0,"Ceased",IF($J250&gt;0,"Increase",IF($J250&lt;0,"Decrease","Flat"))))))</f>
        <v/>
      </c>
      <c r="P250" s="74" t="str">
        <f aca="false">IF($A250="","",IF(AND(ROUND($H250,2)=0,ROUND($I250,2)=0),"No Activity",IF(ABS($J250)&lt;Setup!$B$14,"Low",IF(ROUND($I250,2)=0,"High",IF(OR(ABS($J250/$I250)&gt;=Setup!$B$16,ABS($J250)&gt;=Setup!$B$17),"High",IF(ABS($J250/$I250)&gt;=Setup!$B$15,"Medium","Low"))))))</f>
        <v/>
      </c>
      <c r="Q250" s="57"/>
      <c r="R250" s="75" t="n">
        <f aca="false">IF($A250="",-1000000000000000,IF(ROUND(ABS($J250),0)=0,-1000000000000000,ABS($J250)+ROW()/1000000))</f>
        <v>-1000000000000000</v>
      </c>
    </row>
    <row r="251" customFormat="false" ht="15" hidden="false" customHeight="false" outlineLevel="0" collapsed="false">
      <c r="A251" s="68" t="str">
        <f aca="false">IF(Data_Engine!$A251="","",Data_Engine!$A251)</f>
        <v/>
      </c>
      <c r="B251" s="42" t="str">
        <f aca="false">IF($A251="","",Data_Engine!$B251)</f>
        <v/>
      </c>
      <c r="C251" s="42" t="str">
        <f aca="false">IF($A251="","",Data_Engine!$D251)</f>
        <v/>
      </c>
      <c r="D251" s="69" t="str">
        <f aca="false">IF($A251="","",Data_Engine!$AD251)</f>
        <v/>
      </c>
      <c r="E251" s="69" t="str">
        <f aca="false">IF($A251="","",Data_Engine!$AE251)</f>
        <v/>
      </c>
      <c r="F251" s="73" t="str">
        <f aca="false">IF($A251="","",$D251-$E251)</f>
        <v/>
      </c>
      <c r="G251" s="72" t="str">
        <f aca="false">IF($A251="","",IF(ROUND($E251,2)=0,"n/a",$F251/ABS($E251)))</f>
        <v/>
      </c>
      <c r="H251" s="70" t="str">
        <f aca="false">IF($A251="","",Data_Engine!$AH251)</f>
        <v/>
      </c>
      <c r="I251" s="69" t="str">
        <f aca="false">IF($A251="","",Data_Engine!$AI251)</f>
        <v/>
      </c>
      <c r="J251" s="71" t="str">
        <f aca="false">IF($A251="","",$H251-$I251)</f>
        <v/>
      </c>
      <c r="K251" s="72" t="str">
        <f aca="false">IF($A251="","",IF(ROUND($I251,2)=0,"n/a",$J251/ABS($I251)))</f>
        <v/>
      </c>
      <c r="L251" s="69" t="str">
        <f aca="false">IF($A251="","",Data_Engine!$AJ251)</f>
        <v/>
      </c>
      <c r="M251" s="73" t="str">
        <f aca="false">IF($A251="","",IF(Setup!$B$8=0,0,$H251/Setup!$B$8*12))</f>
        <v/>
      </c>
      <c r="N251" s="72" t="str">
        <f aca="false">IF($A251="","",IF(ROUND($L251,2)=0,"n/a",($M251-$L251)/ABS($L251)))</f>
        <v/>
      </c>
      <c r="O251" s="76" t="str">
        <f aca="false">IF($A251="","",IF(AND(ROUND($H251,2)=0,ROUND($I251,2)=0),"Dormant",IF(ROUND($I251,2)=0,"New this year",IF(ROUND($H251,2)=0,"Ceased",IF($J251&gt;0,"Increase",IF($J251&lt;0,"Decrease","Flat"))))))</f>
        <v/>
      </c>
      <c r="P251" s="74" t="str">
        <f aca="false">IF($A251="","",IF(AND(ROUND($H251,2)=0,ROUND($I251,2)=0),"No Activity",IF(ABS($J251)&lt;Setup!$B$14,"Low",IF(ROUND($I251,2)=0,"High",IF(OR(ABS($J251/$I251)&gt;=Setup!$B$16,ABS($J251)&gt;=Setup!$B$17),"High",IF(ABS($J251/$I251)&gt;=Setup!$B$15,"Medium","Low"))))))</f>
        <v/>
      </c>
      <c r="Q251" s="57"/>
      <c r="R251" s="75" t="n">
        <f aca="false">IF($A251="",-1000000000000000,IF(ROUND(ABS($J251),0)=0,-1000000000000000,ABS($J251)+ROW()/1000000))</f>
        <v>-1000000000000000</v>
      </c>
    </row>
    <row r="252" customFormat="false" ht="15" hidden="false" customHeight="false" outlineLevel="0" collapsed="false">
      <c r="A252" s="68" t="str">
        <f aca="false">IF(Data_Engine!$A252="","",Data_Engine!$A252)</f>
        <v/>
      </c>
      <c r="B252" s="42" t="str">
        <f aca="false">IF($A252="","",Data_Engine!$B252)</f>
        <v/>
      </c>
      <c r="C252" s="42" t="str">
        <f aca="false">IF($A252="","",Data_Engine!$D252)</f>
        <v/>
      </c>
      <c r="D252" s="69" t="str">
        <f aca="false">IF($A252="","",Data_Engine!$AD252)</f>
        <v/>
      </c>
      <c r="E252" s="69" t="str">
        <f aca="false">IF($A252="","",Data_Engine!$AE252)</f>
        <v/>
      </c>
      <c r="F252" s="73" t="str">
        <f aca="false">IF($A252="","",$D252-$E252)</f>
        <v/>
      </c>
      <c r="G252" s="72" t="str">
        <f aca="false">IF($A252="","",IF(ROUND($E252,2)=0,"n/a",$F252/ABS($E252)))</f>
        <v/>
      </c>
      <c r="H252" s="70" t="str">
        <f aca="false">IF($A252="","",Data_Engine!$AH252)</f>
        <v/>
      </c>
      <c r="I252" s="69" t="str">
        <f aca="false">IF($A252="","",Data_Engine!$AI252)</f>
        <v/>
      </c>
      <c r="J252" s="71" t="str">
        <f aca="false">IF($A252="","",$H252-$I252)</f>
        <v/>
      </c>
      <c r="K252" s="72" t="str">
        <f aca="false">IF($A252="","",IF(ROUND($I252,2)=0,"n/a",$J252/ABS($I252)))</f>
        <v/>
      </c>
      <c r="L252" s="69" t="str">
        <f aca="false">IF($A252="","",Data_Engine!$AJ252)</f>
        <v/>
      </c>
      <c r="M252" s="73" t="str">
        <f aca="false">IF($A252="","",IF(Setup!$B$8=0,0,$H252/Setup!$B$8*12))</f>
        <v/>
      </c>
      <c r="N252" s="72" t="str">
        <f aca="false">IF($A252="","",IF(ROUND($L252,2)=0,"n/a",($M252-$L252)/ABS($L252)))</f>
        <v/>
      </c>
      <c r="O252" s="76" t="str">
        <f aca="false">IF($A252="","",IF(AND(ROUND($H252,2)=0,ROUND($I252,2)=0),"Dormant",IF(ROUND($I252,2)=0,"New this year",IF(ROUND($H252,2)=0,"Ceased",IF($J252&gt;0,"Increase",IF($J252&lt;0,"Decrease","Flat"))))))</f>
        <v/>
      </c>
      <c r="P252" s="74" t="str">
        <f aca="false">IF($A252="","",IF(AND(ROUND($H252,2)=0,ROUND($I252,2)=0),"No Activity",IF(ABS($J252)&lt;Setup!$B$14,"Low",IF(ROUND($I252,2)=0,"High",IF(OR(ABS($J252/$I252)&gt;=Setup!$B$16,ABS($J252)&gt;=Setup!$B$17),"High",IF(ABS($J252/$I252)&gt;=Setup!$B$15,"Medium","Low"))))))</f>
        <v/>
      </c>
      <c r="Q252" s="57"/>
      <c r="R252" s="75" t="n">
        <f aca="false">IF($A252="",-1000000000000000,IF(ROUND(ABS($J252),0)=0,-1000000000000000,ABS($J252)+ROW()/1000000))</f>
        <v>-1000000000000000</v>
      </c>
    </row>
    <row r="253" customFormat="false" ht="15" hidden="false" customHeight="false" outlineLevel="0" collapsed="false">
      <c r="A253" s="68" t="str">
        <f aca="false">IF(Data_Engine!$A253="","",Data_Engine!$A253)</f>
        <v/>
      </c>
      <c r="B253" s="42" t="str">
        <f aca="false">IF($A253="","",Data_Engine!$B253)</f>
        <v/>
      </c>
      <c r="C253" s="42" t="str">
        <f aca="false">IF($A253="","",Data_Engine!$D253)</f>
        <v/>
      </c>
      <c r="D253" s="69" t="str">
        <f aca="false">IF($A253="","",Data_Engine!$AD253)</f>
        <v/>
      </c>
      <c r="E253" s="69" t="str">
        <f aca="false">IF($A253="","",Data_Engine!$AE253)</f>
        <v/>
      </c>
      <c r="F253" s="73" t="str">
        <f aca="false">IF($A253="","",$D253-$E253)</f>
        <v/>
      </c>
      <c r="G253" s="72" t="str">
        <f aca="false">IF($A253="","",IF(ROUND($E253,2)=0,"n/a",$F253/ABS($E253)))</f>
        <v/>
      </c>
      <c r="H253" s="70" t="str">
        <f aca="false">IF($A253="","",Data_Engine!$AH253)</f>
        <v/>
      </c>
      <c r="I253" s="69" t="str">
        <f aca="false">IF($A253="","",Data_Engine!$AI253)</f>
        <v/>
      </c>
      <c r="J253" s="71" t="str">
        <f aca="false">IF($A253="","",$H253-$I253)</f>
        <v/>
      </c>
      <c r="K253" s="72" t="str">
        <f aca="false">IF($A253="","",IF(ROUND($I253,2)=0,"n/a",$J253/ABS($I253)))</f>
        <v/>
      </c>
      <c r="L253" s="69" t="str">
        <f aca="false">IF($A253="","",Data_Engine!$AJ253)</f>
        <v/>
      </c>
      <c r="M253" s="73" t="str">
        <f aca="false">IF($A253="","",IF(Setup!$B$8=0,0,$H253/Setup!$B$8*12))</f>
        <v/>
      </c>
      <c r="N253" s="72" t="str">
        <f aca="false">IF($A253="","",IF(ROUND($L253,2)=0,"n/a",($M253-$L253)/ABS($L253)))</f>
        <v/>
      </c>
      <c r="O253" s="76" t="str">
        <f aca="false">IF($A253="","",IF(AND(ROUND($H253,2)=0,ROUND($I253,2)=0),"Dormant",IF(ROUND($I253,2)=0,"New this year",IF(ROUND($H253,2)=0,"Ceased",IF($J253&gt;0,"Increase",IF($J253&lt;0,"Decrease","Flat"))))))</f>
        <v/>
      </c>
      <c r="P253" s="74" t="str">
        <f aca="false">IF($A253="","",IF(AND(ROUND($H253,2)=0,ROUND($I253,2)=0),"No Activity",IF(ABS($J253)&lt;Setup!$B$14,"Low",IF(ROUND($I253,2)=0,"High",IF(OR(ABS($J253/$I253)&gt;=Setup!$B$16,ABS($J253)&gt;=Setup!$B$17),"High",IF(ABS($J253/$I253)&gt;=Setup!$B$15,"Medium","Low"))))))</f>
        <v/>
      </c>
      <c r="Q253" s="57"/>
      <c r="R253" s="75" t="n">
        <f aca="false">IF($A253="",-1000000000000000,IF(ROUND(ABS($J253),0)=0,-1000000000000000,ABS($J253)+ROW()/1000000))</f>
        <v>-1000000000000000</v>
      </c>
    </row>
    <row r="254" customFormat="false" ht="15" hidden="false" customHeight="false" outlineLevel="0" collapsed="false">
      <c r="A254" s="68" t="str">
        <f aca="false">IF(Data_Engine!$A254="","",Data_Engine!$A254)</f>
        <v/>
      </c>
      <c r="B254" s="42" t="str">
        <f aca="false">IF($A254="","",Data_Engine!$B254)</f>
        <v/>
      </c>
      <c r="C254" s="42" t="str">
        <f aca="false">IF($A254="","",Data_Engine!$D254)</f>
        <v/>
      </c>
      <c r="D254" s="69" t="str">
        <f aca="false">IF($A254="","",Data_Engine!$AD254)</f>
        <v/>
      </c>
      <c r="E254" s="69" t="str">
        <f aca="false">IF($A254="","",Data_Engine!$AE254)</f>
        <v/>
      </c>
      <c r="F254" s="73" t="str">
        <f aca="false">IF($A254="","",$D254-$E254)</f>
        <v/>
      </c>
      <c r="G254" s="72" t="str">
        <f aca="false">IF($A254="","",IF(ROUND($E254,2)=0,"n/a",$F254/ABS($E254)))</f>
        <v/>
      </c>
      <c r="H254" s="70" t="str">
        <f aca="false">IF($A254="","",Data_Engine!$AH254)</f>
        <v/>
      </c>
      <c r="I254" s="69" t="str">
        <f aca="false">IF($A254="","",Data_Engine!$AI254)</f>
        <v/>
      </c>
      <c r="J254" s="71" t="str">
        <f aca="false">IF($A254="","",$H254-$I254)</f>
        <v/>
      </c>
      <c r="K254" s="72" t="str">
        <f aca="false">IF($A254="","",IF(ROUND($I254,2)=0,"n/a",$J254/ABS($I254)))</f>
        <v/>
      </c>
      <c r="L254" s="69" t="str">
        <f aca="false">IF($A254="","",Data_Engine!$AJ254)</f>
        <v/>
      </c>
      <c r="M254" s="73" t="str">
        <f aca="false">IF($A254="","",IF(Setup!$B$8=0,0,$H254/Setup!$B$8*12))</f>
        <v/>
      </c>
      <c r="N254" s="72" t="str">
        <f aca="false">IF($A254="","",IF(ROUND($L254,2)=0,"n/a",($M254-$L254)/ABS($L254)))</f>
        <v/>
      </c>
      <c r="O254" s="76" t="str">
        <f aca="false">IF($A254="","",IF(AND(ROUND($H254,2)=0,ROUND($I254,2)=0),"Dormant",IF(ROUND($I254,2)=0,"New this year",IF(ROUND($H254,2)=0,"Ceased",IF($J254&gt;0,"Increase",IF($J254&lt;0,"Decrease","Flat"))))))</f>
        <v/>
      </c>
      <c r="P254" s="74" t="str">
        <f aca="false">IF($A254="","",IF(AND(ROUND($H254,2)=0,ROUND($I254,2)=0),"No Activity",IF(ABS($J254)&lt;Setup!$B$14,"Low",IF(ROUND($I254,2)=0,"High",IF(OR(ABS($J254/$I254)&gt;=Setup!$B$16,ABS($J254)&gt;=Setup!$B$17),"High",IF(ABS($J254/$I254)&gt;=Setup!$B$15,"Medium","Low"))))))</f>
        <v/>
      </c>
      <c r="Q254" s="57"/>
      <c r="R254" s="75" t="n">
        <f aca="false">IF($A254="",-1000000000000000,IF(ROUND(ABS($J254),0)=0,-1000000000000000,ABS($J254)+ROW()/1000000))</f>
        <v>-1000000000000000</v>
      </c>
    </row>
    <row r="255" customFormat="false" ht="15" hidden="false" customHeight="false" outlineLevel="0" collapsed="false">
      <c r="A255" s="68" t="str">
        <f aca="false">IF(Data_Engine!$A255="","",Data_Engine!$A255)</f>
        <v/>
      </c>
      <c r="B255" s="42" t="str">
        <f aca="false">IF($A255="","",Data_Engine!$B255)</f>
        <v/>
      </c>
      <c r="C255" s="42" t="str">
        <f aca="false">IF($A255="","",Data_Engine!$D255)</f>
        <v/>
      </c>
      <c r="D255" s="69" t="str">
        <f aca="false">IF($A255="","",Data_Engine!$AD255)</f>
        <v/>
      </c>
      <c r="E255" s="69" t="str">
        <f aca="false">IF($A255="","",Data_Engine!$AE255)</f>
        <v/>
      </c>
      <c r="F255" s="73" t="str">
        <f aca="false">IF($A255="","",$D255-$E255)</f>
        <v/>
      </c>
      <c r="G255" s="72" t="str">
        <f aca="false">IF($A255="","",IF(ROUND($E255,2)=0,"n/a",$F255/ABS($E255)))</f>
        <v/>
      </c>
      <c r="H255" s="70" t="str">
        <f aca="false">IF($A255="","",Data_Engine!$AH255)</f>
        <v/>
      </c>
      <c r="I255" s="69" t="str">
        <f aca="false">IF($A255="","",Data_Engine!$AI255)</f>
        <v/>
      </c>
      <c r="J255" s="71" t="str">
        <f aca="false">IF($A255="","",$H255-$I255)</f>
        <v/>
      </c>
      <c r="K255" s="72" t="str">
        <f aca="false">IF($A255="","",IF(ROUND($I255,2)=0,"n/a",$J255/ABS($I255)))</f>
        <v/>
      </c>
      <c r="L255" s="69" t="str">
        <f aca="false">IF($A255="","",Data_Engine!$AJ255)</f>
        <v/>
      </c>
      <c r="M255" s="73" t="str">
        <f aca="false">IF($A255="","",IF(Setup!$B$8=0,0,$H255/Setup!$B$8*12))</f>
        <v/>
      </c>
      <c r="N255" s="72" t="str">
        <f aca="false">IF($A255="","",IF(ROUND($L255,2)=0,"n/a",($M255-$L255)/ABS($L255)))</f>
        <v/>
      </c>
      <c r="O255" s="76" t="str">
        <f aca="false">IF($A255="","",IF(AND(ROUND($H255,2)=0,ROUND($I255,2)=0),"Dormant",IF(ROUND($I255,2)=0,"New this year",IF(ROUND($H255,2)=0,"Ceased",IF($J255&gt;0,"Increase",IF($J255&lt;0,"Decrease","Flat"))))))</f>
        <v/>
      </c>
      <c r="P255" s="74" t="str">
        <f aca="false">IF($A255="","",IF(AND(ROUND($H255,2)=0,ROUND($I255,2)=0),"No Activity",IF(ABS($J255)&lt;Setup!$B$14,"Low",IF(ROUND($I255,2)=0,"High",IF(OR(ABS($J255/$I255)&gt;=Setup!$B$16,ABS($J255)&gt;=Setup!$B$17),"High",IF(ABS($J255/$I255)&gt;=Setup!$B$15,"Medium","Low"))))))</f>
        <v/>
      </c>
      <c r="Q255" s="57"/>
      <c r="R255" s="75" t="n">
        <f aca="false">IF($A255="",-1000000000000000,IF(ROUND(ABS($J255),0)=0,-1000000000000000,ABS($J255)+ROW()/1000000))</f>
        <v>-1000000000000000</v>
      </c>
    </row>
  </sheetData>
  <conditionalFormatting sqref="A6:Q255">
    <cfRule type="expression" priority="2" aboveAverage="0" equalAverage="0" bottom="0" percent="0" rank="0" text="" dxfId="6">
      <formula>$P6="High"</formula>
    </cfRule>
    <cfRule type="expression" priority="3" aboveAverage="0" equalAverage="0" bottom="0" percent="0" rank="0" text="" dxfId="7">
      <formula>$P6="Medium"</formula>
    </cfRule>
    <cfRule type="expression" priority="4" aboveAverage="0" equalAverage="0" bottom="0" percent="0" rank="0" text="" dxfId="5">
      <formula>$P6="No Activity"</formula>
    </cfRule>
  </conditionalFormatting>
  <conditionalFormatting sqref="P6:P255">
    <cfRule type="expression" priority="5" aboveAverage="0" equalAverage="0" bottom="0" percent="0" rank="0" text="" dxfId="0">
      <formula>$P6="High"</formula>
    </cfRule>
    <cfRule type="expression" priority="6" aboveAverage="0" equalAverage="0" bottom="0" percent="0" rank="0" text="" dxfId="4">
      <formula>$P6="Medium"</formula>
    </cfRule>
    <cfRule type="expression" priority="7" aboveAverage="0" equalAverage="0" bottom="0" percent="0" rank="0" text="" dxfId="1">
      <formula>$P6="Low"</formula>
    </cfRule>
    <cfRule type="expression" priority="8" aboveAverage="0" equalAverage="0" bottom="0" percent="0" rank="0" text="" dxfId="8">
      <formula>$P6="No Activity"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L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7" min="5" style="0" width="14"/>
    <col collapsed="false" customWidth="true" hidden="false" outlineLevel="0" max="9" min="8" style="0" width="11"/>
    <col collapsed="false" customWidth="true" hidden="false" outlineLevel="0" max="10" min="10" style="0" width="3"/>
    <col collapsed="false" customWidth="true" hidden="false" outlineLevel="0" max="11" min="11" style="0" width="14"/>
    <col collapsed="false" customWidth="true" hidden="false" outlineLevel="0" max="12" min="12" style="0" width="9"/>
  </cols>
  <sheetData>
    <row r="1" customFormat="false" ht="18.55" hidden="false" customHeight="false" outlineLevel="0" collapsed="false">
      <c r="A1" s="1" t="s">
        <v>429</v>
      </c>
    </row>
    <row r="2" customFormat="false" ht="15" hidden="false" customHeight="false" outlineLevel="0" collapsed="false">
      <c r="A2" s="2" t="s">
        <v>430</v>
      </c>
    </row>
    <row r="3" customFormat="false" ht="15" hidden="false" customHeight="false" outlineLevel="0" collapsed="false">
      <c r="K3" s="67" t="s">
        <v>431</v>
      </c>
    </row>
    <row r="4" customFormat="false" ht="18" hidden="false" customHeight="true" outlineLevel="0" collapsed="false">
      <c r="A4" s="3" t="s">
        <v>432</v>
      </c>
      <c r="B4" s="4"/>
      <c r="C4" s="4"/>
      <c r="D4" s="4"/>
      <c r="E4" s="4"/>
      <c r="F4" s="4"/>
      <c r="G4" s="4"/>
      <c r="H4" s="4"/>
      <c r="I4" s="4"/>
    </row>
    <row r="5" customFormat="false" ht="31.5" hidden="false" customHeight="true" outlineLevel="0" collapsed="false">
      <c r="A5" s="30" t="s">
        <v>433</v>
      </c>
      <c r="B5" s="30" t="s">
        <v>116</v>
      </c>
      <c r="C5" s="30" t="s">
        <v>127</v>
      </c>
      <c r="D5" s="30" t="s">
        <v>141</v>
      </c>
      <c r="E5" s="30" t="s">
        <v>410</v>
      </c>
      <c r="F5" s="30" t="s">
        <v>411</v>
      </c>
      <c r="G5" s="30" t="s">
        <v>434</v>
      </c>
      <c r="H5" s="30" t="s">
        <v>435</v>
      </c>
      <c r="I5" s="30" t="s">
        <v>436</v>
      </c>
    </row>
    <row r="6" customFormat="false" ht="15" hidden="false" customHeight="false" outlineLevel="0" collapsed="false">
      <c r="A6" s="77" t="str">
        <f aca="false">IF($K6&lt;0,"",1)</f>
        <v/>
      </c>
      <c r="B6" s="68" t="str">
        <f aca="false">IF($K6&lt;0,"",INDEX(MoM_Analysis!$A$6:$A$255,$L6))</f>
        <v/>
      </c>
      <c r="C6" s="68" t="str">
        <f aca="false">IF($K6&lt;0,"",INDEX(MoM_Analysis!$B$6:$B$255,$L6))</f>
        <v/>
      </c>
      <c r="D6" s="68" t="str">
        <f aca="false">IF($K6&lt;0,"",INDEX(MoM_Analysis!$C$6:$C$255,$L6))</f>
        <v/>
      </c>
      <c r="E6" s="69" t="str">
        <f aca="false">IF($K6&lt;0,"",INDEX(MoM_Analysis!$Q$6:$Q$255,$L6))</f>
        <v/>
      </c>
      <c r="F6" s="69" t="str">
        <f aca="false">IF($K6&lt;0,"",INDEX(MoM_Analysis!$R$6:$R$255,$L6))</f>
        <v/>
      </c>
      <c r="G6" s="69" t="str">
        <f aca="false">IF($K6&lt;0,"",INDEX(MoM_Analysis!$S$6:$S$255,$L6))</f>
        <v/>
      </c>
      <c r="H6" s="78" t="str">
        <f aca="false">IF($K6&lt;0,"",INDEX(MoM_Analysis!$T$6:$T$255,$L6))</f>
        <v/>
      </c>
      <c r="I6" s="64" t="str">
        <f aca="false">IF($K6&lt;0,"",INDEX(MoM_Analysis!$X$6:$X$255,$L6))</f>
        <v/>
      </c>
      <c r="K6" s="67" t="n">
        <f aca="false">LARGE(MoM_Analysis!$Z$6:$Z$255,1)</f>
        <v>-1000000000000000</v>
      </c>
      <c r="L6" s="67" t="str">
        <f aca="false">IF($K6&lt;0,"",MATCH($K6,MoM_Analysis!$Z$6:$Z$255,0))</f>
        <v/>
      </c>
    </row>
    <row r="7" customFormat="false" ht="15" hidden="false" customHeight="false" outlineLevel="0" collapsed="false">
      <c r="A7" s="77" t="str">
        <f aca="false">IF($K7&lt;0,"",2)</f>
        <v/>
      </c>
      <c r="B7" s="68" t="str">
        <f aca="false">IF($K7&lt;0,"",INDEX(MoM_Analysis!$A$6:$A$255,$L7))</f>
        <v/>
      </c>
      <c r="C7" s="68" t="str">
        <f aca="false">IF($K7&lt;0,"",INDEX(MoM_Analysis!$B$6:$B$255,$L7))</f>
        <v/>
      </c>
      <c r="D7" s="68" t="str">
        <f aca="false">IF($K7&lt;0,"",INDEX(MoM_Analysis!$C$6:$C$255,$L7))</f>
        <v/>
      </c>
      <c r="E7" s="69" t="str">
        <f aca="false">IF($K7&lt;0,"",INDEX(MoM_Analysis!$Q$6:$Q$255,$L7))</f>
        <v/>
      </c>
      <c r="F7" s="69" t="str">
        <f aca="false">IF($K7&lt;0,"",INDEX(MoM_Analysis!$R$6:$R$255,$L7))</f>
        <v/>
      </c>
      <c r="G7" s="69" t="str">
        <f aca="false">IF($K7&lt;0,"",INDEX(MoM_Analysis!$S$6:$S$255,$L7))</f>
        <v/>
      </c>
      <c r="H7" s="78" t="str">
        <f aca="false">IF($K7&lt;0,"",INDEX(MoM_Analysis!$T$6:$T$255,$L7))</f>
        <v/>
      </c>
      <c r="I7" s="64" t="str">
        <f aca="false">IF($K7&lt;0,"",INDEX(MoM_Analysis!$X$6:$X$255,$L7))</f>
        <v/>
      </c>
      <c r="K7" s="67" t="n">
        <f aca="false">LARGE(MoM_Analysis!$Z$6:$Z$255,2)</f>
        <v>-1000000000000000</v>
      </c>
      <c r="L7" s="67" t="str">
        <f aca="false">IF($K7&lt;0,"",MATCH($K7,MoM_Analysis!$Z$6:$Z$255,0))</f>
        <v/>
      </c>
    </row>
    <row r="8" customFormat="false" ht="15" hidden="false" customHeight="false" outlineLevel="0" collapsed="false">
      <c r="A8" s="77" t="str">
        <f aca="false">IF($K8&lt;0,"",3)</f>
        <v/>
      </c>
      <c r="B8" s="68" t="str">
        <f aca="false">IF($K8&lt;0,"",INDEX(MoM_Analysis!$A$6:$A$255,$L8))</f>
        <v/>
      </c>
      <c r="C8" s="68" t="str">
        <f aca="false">IF($K8&lt;0,"",INDEX(MoM_Analysis!$B$6:$B$255,$L8))</f>
        <v/>
      </c>
      <c r="D8" s="68" t="str">
        <f aca="false">IF($K8&lt;0,"",INDEX(MoM_Analysis!$C$6:$C$255,$L8))</f>
        <v/>
      </c>
      <c r="E8" s="69" t="str">
        <f aca="false">IF($K8&lt;0,"",INDEX(MoM_Analysis!$Q$6:$Q$255,$L8))</f>
        <v/>
      </c>
      <c r="F8" s="69" t="str">
        <f aca="false">IF($K8&lt;0,"",INDEX(MoM_Analysis!$R$6:$R$255,$L8))</f>
        <v/>
      </c>
      <c r="G8" s="69" t="str">
        <f aca="false">IF($K8&lt;0,"",INDEX(MoM_Analysis!$S$6:$S$255,$L8))</f>
        <v/>
      </c>
      <c r="H8" s="78" t="str">
        <f aca="false">IF($K8&lt;0,"",INDEX(MoM_Analysis!$T$6:$T$255,$L8))</f>
        <v/>
      </c>
      <c r="I8" s="64" t="str">
        <f aca="false">IF($K8&lt;0,"",INDEX(MoM_Analysis!$X$6:$X$255,$L8))</f>
        <v/>
      </c>
      <c r="K8" s="67" t="n">
        <f aca="false">LARGE(MoM_Analysis!$Z$6:$Z$255,3)</f>
        <v>-1000000000000000</v>
      </c>
      <c r="L8" s="67" t="str">
        <f aca="false">IF($K8&lt;0,"",MATCH($K8,MoM_Analysis!$Z$6:$Z$255,0))</f>
        <v/>
      </c>
    </row>
    <row r="9" customFormat="false" ht="15" hidden="false" customHeight="false" outlineLevel="0" collapsed="false">
      <c r="A9" s="77" t="str">
        <f aca="false">IF($K9&lt;0,"",4)</f>
        <v/>
      </c>
      <c r="B9" s="68" t="str">
        <f aca="false">IF($K9&lt;0,"",INDEX(MoM_Analysis!$A$6:$A$255,$L9))</f>
        <v/>
      </c>
      <c r="C9" s="68" t="str">
        <f aca="false">IF($K9&lt;0,"",INDEX(MoM_Analysis!$B$6:$B$255,$L9))</f>
        <v/>
      </c>
      <c r="D9" s="68" t="str">
        <f aca="false">IF($K9&lt;0,"",INDEX(MoM_Analysis!$C$6:$C$255,$L9))</f>
        <v/>
      </c>
      <c r="E9" s="69" t="str">
        <f aca="false">IF($K9&lt;0,"",INDEX(MoM_Analysis!$Q$6:$Q$255,$L9))</f>
        <v/>
      </c>
      <c r="F9" s="69" t="str">
        <f aca="false">IF($K9&lt;0,"",INDEX(MoM_Analysis!$R$6:$R$255,$L9))</f>
        <v/>
      </c>
      <c r="G9" s="69" t="str">
        <f aca="false">IF($K9&lt;0,"",INDEX(MoM_Analysis!$S$6:$S$255,$L9))</f>
        <v/>
      </c>
      <c r="H9" s="78" t="str">
        <f aca="false">IF($K9&lt;0,"",INDEX(MoM_Analysis!$T$6:$T$255,$L9))</f>
        <v/>
      </c>
      <c r="I9" s="64" t="str">
        <f aca="false">IF($K9&lt;0,"",INDEX(MoM_Analysis!$X$6:$X$255,$L9))</f>
        <v/>
      </c>
      <c r="K9" s="67" t="n">
        <f aca="false">LARGE(MoM_Analysis!$Z$6:$Z$255,4)</f>
        <v>-1000000000000000</v>
      </c>
      <c r="L9" s="67" t="str">
        <f aca="false">IF($K9&lt;0,"",MATCH($K9,MoM_Analysis!$Z$6:$Z$255,0))</f>
        <v/>
      </c>
    </row>
    <row r="10" customFormat="false" ht="15" hidden="false" customHeight="false" outlineLevel="0" collapsed="false">
      <c r="A10" s="77" t="str">
        <f aca="false">IF($K10&lt;0,"",5)</f>
        <v/>
      </c>
      <c r="B10" s="68" t="str">
        <f aca="false">IF($K10&lt;0,"",INDEX(MoM_Analysis!$A$6:$A$255,$L10))</f>
        <v/>
      </c>
      <c r="C10" s="68" t="str">
        <f aca="false">IF($K10&lt;0,"",INDEX(MoM_Analysis!$B$6:$B$255,$L10))</f>
        <v/>
      </c>
      <c r="D10" s="68" t="str">
        <f aca="false">IF($K10&lt;0,"",INDEX(MoM_Analysis!$C$6:$C$255,$L10))</f>
        <v/>
      </c>
      <c r="E10" s="69" t="str">
        <f aca="false">IF($K10&lt;0,"",INDEX(MoM_Analysis!$Q$6:$Q$255,$L10))</f>
        <v/>
      </c>
      <c r="F10" s="69" t="str">
        <f aca="false">IF($K10&lt;0,"",INDEX(MoM_Analysis!$R$6:$R$255,$L10))</f>
        <v/>
      </c>
      <c r="G10" s="69" t="str">
        <f aca="false">IF($K10&lt;0,"",INDEX(MoM_Analysis!$S$6:$S$255,$L10))</f>
        <v/>
      </c>
      <c r="H10" s="78" t="str">
        <f aca="false">IF($K10&lt;0,"",INDEX(MoM_Analysis!$T$6:$T$255,$L10))</f>
        <v/>
      </c>
      <c r="I10" s="64" t="str">
        <f aca="false">IF($K10&lt;0,"",INDEX(MoM_Analysis!$X$6:$X$255,$L10))</f>
        <v/>
      </c>
      <c r="K10" s="67" t="n">
        <f aca="false">LARGE(MoM_Analysis!$Z$6:$Z$255,5)</f>
        <v>-1000000000000000</v>
      </c>
      <c r="L10" s="67" t="str">
        <f aca="false">IF($K10&lt;0,"",MATCH($K10,MoM_Analysis!$Z$6:$Z$255,0))</f>
        <v/>
      </c>
    </row>
    <row r="11" customFormat="false" ht="15" hidden="false" customHeight="false" outlineLevel="0" collapsed="false">
      <c r="A11" s="77" t="str">
        <f aca="false">IF($K11&lt;0,"",6)</f>
        <v/>
      </c>
      <c r="B11" s="68" t="str">
        <f aca="false">IF($K11&lt;0,"",INDEX(MoM_Analysis!$A$6:$A$255,$L11))</f>
        <v/>
      </c>
      <c r="C11" s="68" t="str">
        <f aca="false">IF($K11&lt;0,"",INDEX(MoM_Analysis!$B$6:$B$255,$L11))</f>
        <v/>
      </c>
      <c r="D11" s="68" t="str">
        <f aca="false">IF($K11&lt;0,"",INDEX(MoM_Analysis!$C$6:$C$255,$L11))</f>
        <v/>
      </c>
      <c r="E11" s="69" t="str">
        <f aca="false">IF($K11&lt;0,"",INDEX(MoM_Analysis!$Q$6:$Q$255,$L11))</f>
        <v/>
      </c>
      <c r="F11" s="69" t="str">
        <f aca="false">IF($K11&lt;0,"",INDEX(MoM_Analysis!$R$6:$R$255,$L11))</f>
        <v/>
      </c>
      <c r="G11" s="69" t="str">
        <f aca="false">IF($K11&lt;0,"",INDEX(MoM_Analysis!$S$6:$S$255,$L11))</f>
        <v/>
      </c>
      <c r="H11" s="78" t="str">
        <f aca="false">IF($K11&lt;0,"",INDEX(MoM_Analysis!$T$6:$T$255,$L11))</f>
        <v/>
      </c>
      <c r="I11" s="64" t="str">
        <f aca="false">IF($K11&lt;0,"",INDEX(MoM_Analysis!$X$6:$X$255,$L11))</f>
        <v/>
      </c>
      <c r="K11" s="67" t="n">
        <f aca="false">LARGE(MoM_Analysis!$Z$6:$Z$255,6)</f>
        <v>-1000000000000000</v>
      </c>
      <c r="L11" s="67" t="str">
        <f aca="false">IF($K11&lt;0,"",MATCH($K11,MoM_Analysis!$Z$6:$Z$255,0))</f>
        <v/>
      </c>
    </row>
    <row r="12" customFormat="false" ht="15" hidden="false" customHeight="false" outlineLevel="0" collapsed="false">
      <c r="A12" s="77" t="str">
        <f aca="false">IF($K12&lt;0,"",7)</f>
        <v/>
      </c>
      <c r="B12" s="68" t="str">
        <f aca="false">IF($K12&lt;0,"",INDEX(MoM_Analysis!$A$6:$A$255,$L12))</f>
        <v/>
      </c>
      <c r="C12" s="68" t="str">
        <f aca="false">IF($K12&lt;0,"",INDEX(MoM_Analysis!$B$6:$B$255,$L12))</f>
        <v/>
      </c>
      <c r="D12" s="68" t="str">
        <f aca="false">IF($K12&lt;0,"",INDEX(MoM_Analysis!$C$6:$C$255,$L12))</f>
        <v/>
      </c>
      <c r="E12" s="69" t="str">
        <f aca="false">IF($K12&lt;0,"",INDEX(MoM_Analysis!$Q$6:$Q$255,$L12))</f>
        <v/>
      </c>
      <c r="F12" s="69" t="str">
        <f aca="false">IF($K12&lt;0,"",INDEX(MoM_Analysis!$R$6:$R$255,$L12))</f>
        <v/>
      </c>
      <c r="G12" s="69" t="str">
        <f aca="false">IF($K12&lt;0,"",INDEX(MoM_Analysis!$S$6:$S$255,$L12))</f>
        <v/>
      </c>
      <c r="H12" s="78" t="str">
        <f aca="false">IF($K12&lt;0,"",INDEX(MoM_Analysis!$T$6:$T$255,$L12))</f>
        <v/>
      </c>
      <c r="I12" s="64" t="str">
        <f aca="false">IF($K12&lt;0,"",INDEX(MoM_Analysis!$X$6:$X$255,$L12))</f>
        <v/>
      </c>
      <c r="K12" s="67" t="n">
        <f aca="false">LARGE(MoM_Analysis!$Z$6:$Z$255,7)</f>
        <v>-1000000000000000</v>
      </c>
      <c r="L12" s="67" t="str">
        <f aca="false">IF($K12&lt;0,"",MATCH($K12,MoM_Analysis!$Z$6:$Z$255,0))</f>
        <v/>
      </c>
    </row>
    <row r="13" customFormat="false" ht="15" hidden="false" customHeight="false" outlineLevel="0" collapsed="false">
      <c r="A13" s="77" t="str">
        <f aca="false">IF($K13&lt;0,"",8)</f>
        <v/>
      </c>
      <c r="B13" s="68" t="str">
        <f aca="false">IF($K13&lt;0,"",INDEX(MoM_Analysis!$A$6:$A$255,$L13))</f>
        <v/>
      </c>
      <c r="C13" s="68" t="str">
        <f aca="false">IF($K13&lt;0,"",INDEX(MoM_Analysis!$B$6:$B$255,$L13))</f>
        <v/>
      </c>
      <c r="D13" s="68" t="str">
        <f aca="false">IF($K13&lt;0,"",INDEX(MoM_Analysis!$C$6:$C$255,$L13))</f>
        <v/>
      </c>
      <c r="E13" s="69" t="str">
        <f aca="false">IF($K13&lt;0,"",INDEX(MoM_Analysis!$Q$6:$Q$255,$L13))</f>
        <v/>
      </c>
      <c r="F13" s="69" t="str">
        <f aca="false">IF($K13&lt;0,"",INDEX(MoM_Analysis!$R$6:$R$255,$L13))</f>
        <v/>
      </c>
      <c r="G13" s="69" t="str">
        <f aca="false">IF($K13&lt;0,"",INDEX(MoM_Analysis!$S$6:$S$255,$L13))</f>
        <v/>
      </c>
      <c r="H13" s="78" t="str">
        <f aca="false">IF($K13&lt;0,"",INDEX(MoM_Analysis!$T$6:$T$255,$L13))</f>
        <v/>
      </c>
      <c r="I13" s="64" t="str">
        <f aca="false">IF($K13&lt;0,"",INDEX(MoM_Analysis!$X$6:$X$255,$L13))</f>
        <v/>
      </c>
      <c r="K13" s="67" t="n">
        <f aca="false">LARGE(MoM_Analysis!$Z$6:$Z$255,8)</f>
        <v>-1000000000000000</v>
      </c>
      <c r="L13" s="67" t="str">
        <f aca="false">IF($K13&lt;0,"",MATCH($K13,MoM_Analysis!$Z$6:$Z$255,0))</f>
        <v/>
      </c>
    </row>
    <row r="14" customFormat="false" ht="15" hidden="false" customHeight="false" outlineLevel="0" collapsed="false">
      <c r="A14" s="77" t="str">
        <f aca="false">IF($K14&lt;0,"",9)</f>
        <v/>
      </c>
      <c r="B14" s="68" t="str">
        <f aca="false">IF($K14&lt;0,"",INDEX(MoM_Analysis!$A$6:$A$255,$L14))</f>
        <v/>
      </c>
      <c r="C14" s="68" t="str">
        <f aca="false">IF($K14&lt;0,"",INDEX(MoM_Analysis!$B$6:$B$255,$L14))</f>
        <v/>
      </c>
      <c r="D14" s="68" t="str">
        <f aca="false">IF($K14&lt;0,"",INDEX(MoM_Analysis!$C$6:$C$255,$L14))</f>
        <v/>
      </c>
      <c r="E14" s="69" t="str">
        <f aca="false">IF($K14&lt;0,"",INDEX(MoM_Analysis!$Q$6:$Q$255,$L14))</f>
        <v/>
      </c>
      <c r="F14" s="69" t="str">
        <f aca="false">IF($K14&lt;0,"",INDEX(MoM_Analysis!$R$6:$R$255,$L14))</f>
        <v/>
      </c>
      <c r="G14" s="69" t="str">
        <f aca="false">IF($K14&lt;0,"",INDEX(MoM_Analysis!$S$6:$S$255,$L14))</f>
        <v/>
      </c>
      <c r="H14" s="78" t="str">
        <f aca="false">IF($K14&lt;0,"",INDEX(MoM_Analysis!$T$6:$T$255,$L14))</f>
        <v/>
      </c>
      <c r="I14" s="64" t="str">
        <f aca="false">IF($K14&lt;0,"",INDEX(MoM_Analysis!$X$6:$X$255,$L14))</f>
        <v/>
      </c>
      <c r="K14" s="67" t="n">
        <f aca="false">LARGE(MoM_Analysis!$Z$6:$Z$255,9)</f>
        <v>-1000000000000000</v>
      </c>
      <c r="L14" s="67" t="str">
        <f aca="false">IF($K14&lt;0,"",MATCH($K14,MoM_Analysis!$Z$6:$Z$255,0))</f>
        <v/>
      </c>
    </row>
    <row r="15" customFormat="false" ht="15" hidden="false" customHeight="false" outlineLevel="0" collapsed="false">
      <c r="A15" s="77" t="str">
        <f aca="false">IF($K15&lt;0,"",10)</f>
        <v/>
      </c>
      <c r="B15" s="68" t="str">
        <f aca="false">IF($K15&lt;0,"",INDEX(MoM_Analysis!$A$6:$A$255,$L15))</f>
        <v/>
      </c>
      <c r="C15" s="68" t="str">
        <f aca="false">IF($K15&lt;0,"",INDEX(MoM_Analysis!$B$6:$B$255,$L15))</f>
        <v/>
      </c>
      <c r="D15" s="68" t="str">
        <f aca="false">IF($K15&lt;0,"",INDEX(MoM_Analysis!$C$6:$C$255,$L15))</f>
        <v/>
      </c>
      <c r="E15" s="69" t="str">
        <f aca="false">IF($K15&lt;0,"",INDEX(MoM_Analysis!$Q$6:$Q$255,$L15))</f>
        <v/>
      </c>
      <c r="F15" s="69" t="str">
        <f aca="false">IF($K15&lt;0,"",INDEX(MoM_Analysis!$R$6:$R$255,$L15))</f>
        <v/>
      </c>
      <c r="G15" s="69" t="str">
        <f aca="false">IF($K15&lt;0,"",INDEX(MoM_Analysis!$S$6:$S$255,$L15))</f>
        <v/>
      </c>
      <c r="H15" s="78" t="str">
        <f aca="false">IF($K15&lt;0,"",INDEX(MoM_Analysis!$T$6:$T$255,$L15))</f>
        <v/>
      </c>
      <c r="I15" s="64" t="str">
        <f aca="false">IF($K15&lt;0,"",INDEX(MoM_Analysis!$X$6:$X$255,$L15))</f>
        <v/>
      </c>
      <c r="K15" s="67" t="n">
        <f aca="false">LARGE(MoM_Analysis!$Z$6:$Z$255,10)</f>
        <v>-1000000000000000</v>
      </c>
      <c r="L15" s="67" t="str">
        <f aca="false">IF($K15&lt;0,"",MATCH($K15,MoM_Analysis!$Z$6:$Z$255,0))</f>
        <v/>
      </c>
    </row>
    <row r="16" customFormat="false" ht="15" hidden="false" customHeight="false" outlineLevel="0" collapsed="false">
      <c r="A16" s="77" t="str">
        <f aca="false">IF($K16&lt;0,"",11)</f>
        <v/>
      </c>
      <c r="B16" s="68" t="str">
        <f aca="false">IF($K16&lt;0,"",INDEX(MoM_Analysis!$A$6:$A$255,$L16))</f>
        <v/>
      </c>
      <c r="C16" s="68" t="str">
        <f aca="false">IF($K16&lt;0,"",INDEX(MoM_Analysis!$B$6:$B$255,$L16))</f>
        <v/>
      </c>
      <c r="D16" s="68" t="str">
        <f aca="false">IF($K16&lt;0,"",INDEX(MoM_Analysis!$C$6:$C$255,$L16))</f>
        <v/>
      </c>
      <c r="E16" s="69" t="str">
        <f aca="false">IF($K16&lt;0,"",INDEX(MoM_Analysis!$Q$6:$Q$255,$L16))</f>
        <v/>
      </c>
      <c r="F16" s="69" t="str">
        <f aca="false">IF($K16&lt;0,"",INDEX(MoM_Analysis!$R$6:$R$255,$L16))</f>
        <v/>
      </c>
      <c r="G16" s="69" t="str">
        <f aca="false">IF($K16&lt;0,"",INDEX(MoM_Analysis!$S$6:$S$255,$L16))</f>
        <v/>
      </c>
      <c r="H16" s="78" t="str">
        <f aca="false">IF($K16&lt;0,"",INDEX(MoM_Analysis!$T$6:$T$255,$L16))</f>
        <v/>
      </c>
      <c r="I16" s="64" t="str">
        <f aca="false">IF($K16&lt;0,"",INDEX(MoM_Analysis!$X$6:$X$255,$L16))</f>
        <v/>
      </c>
      <c r="K16" s="67" t="n">
        <f aca="false">LARGE(MoM_Analysis!$Z$6:$Z$255,11)</f>
        <v>-1000000000000000</v>
      </c>
      <c r="L16" s="67" t="str">
        <f aca="false">IF($K16&lt;0,"",MATCH($K16,MoM_Analysis!$Z$6:$Z$255,0))</f>
        <v/>
      </c>
    </row>
    <row r="17" customFormat="false" ht="15" hidden="false" customHeight="false" outlineLevel="0" collapsed="false">
      <c r="A17" s="77" t="str">
        <f aca="false">IF($K17&lt;0,"",12)</f>
        <v/>
      </c>
      <c r="B17" s="68" t="str">
        <f aca="false">IF($K17&lt;0,"",INDEX(MoM_Analysis!$A$6:$A$255,$L17))</f>
        <v/>
      </c>
      <c r="C17" s="68" t="str">
        <f aca="false">IF($K17&lt;0,"",INDEX(MoM_Analysis!$B$6:$B$255,$L17))</f>
        <v/>
      </c>
      <c r="D17" s="68" t="str">
        <f aca="false">IF($K17&lt;0,"",INDEX(MoM_Analysis!$C$6:$C$255,$L17))</f>
        <v/>
      </c>
      <c r="E17" s="69" t="str">
        <f aca="false">IF($K17&lt;0,"",INDEX(MoM_Analysis!$Q$6:$Q$255,$L17))</f>
        <v/>
      </c>
      <c r="F17" s="69" t="str">
        <f aca="false">IF($K17&lt;0,"",INDEX(MoM_Analysis!$R$6:$R$255,$L17))</f>
        <v/>
      </c>
      <c r="G17" s="69" t="str">
        <f aca="false">IF($K17&lt;0,"",INDEX(MoM_Analysis!$S$6:$S$255,$L17))</f>
        <v/>
      </c>
      <c r="H17" s="78" t="str">
        <f aca="false">IF($K17&lt;0,"",INDEX(MoM_Analysis!$T$6:$T$255,$L17))</f>
        <v/>
      </c>
      <c r="I17" s="64" t="str">
        <f aca="false">IF($K17&lt;0,"",INDEX(MoM_Analysis!$X$6:$X$255,$L17))</f>
        <v/>
      </c>
      <c r="K17" s="67" t="n">
        <f aca="false">LARGE(MoM_Analysis!$Z$6:$Z$255,12)</f>
        <v>-1000000000000000</v>
      </c>
      <c r="L17" s="67" t="str">
        <f aca="false">IF($K17&lt;0,"",MATCH($K17,MoM_Analysis!$Z$6:$Z$255,0))</f>
        <v/>
      </c>
    </row>
    <row r="18" customFormat="false" ht="15" hidden="false" customHeight="false" outlineLevel="0" collapsed="false">
      <c r="A18" s="77" t="str">
        <f aca="false">IF($K18&lt;0,"",13)</f>
        <v/>
      </c>
      <c r="B18" s="68" t="str">
        <f aca="false">IF($K18&lt;0,"",INDEX(MoM_Analysis!$A$6:$A$255,$L18))</f>
        <v/>
      </c>
      <c r="C18" s="68" t="str">
        <f aca="false">IF($K18&lt;0,"",INDEX(MoM_Analysis!$B$6:$B$255,$L18))</f>
        <v/>
      </c>
      <c r="D18" s="68" t="str">
        <f aca="false">IF($K18&lt;0,"",INDEX(MoM_Analysis!$C$6:$C$255,$L18))</f>
        <v/>
      </c>
      <c r="E18" s="69" t="str">
        <f aca="false">IF($K18&lt;0,"",INDEX(MoM_Analysis!$Q$6:$Q$255,$L18))</f>
        <v/>
      </c>
      <c r="F18" s="69" t="str">
        <f aca="false">IF($K18&lt;0,"",INDEX(MoM_Analysis!$R$6:$R$255,$L18))</f>
        <v/>
      </c>
      <c r="G18" s="69" t="str">
        <f aca="false">IF($K18&lt;0,"",INDEX(MoM_Analysis!$S$6:$S$255,$L18))</f>
        <v/>
      </c>
      <c r="H18" s="78" t="str">
        <f aca="false">IF($K18&lt;0,"",INDEX(MoM_Analysis!$T$6:$T$255,$L18))</f>
        <v/>
      </c>
      <c r="I18" s="64" t="str">
        <f aca="false">IF($K18&lt;0,"",INDEX(MoM_Analysis!$X$6:$X$255,$L18))</f>
        <v/>
      </c>
      <c r="K18" s="67" t="n">
        <f aca="false">LARGE(MoM_Analysis!$Z$6:$Z$255,13)</f>
        <v>-1000000000000000</v>
      </c>
      <c r="L18" s="67" t="str">
        <f aca="false">IF($K18&lt;0,"",MATCH($K18,MoM_Analysis!$Z$6:$Z$255,0))</f>
        <v/>
      </c>
    </row>
    <row r="19" customFormat="false" ht="15" hidden="false" customHeight="false" outlineLevel="0" collapsed="false">
      <c r="A19" s="77" t="str">
        <f aca="false">IF($K19&lt;0,"",14)</f>
        <v/>
      </c>
      <c r="B19" s="68" t="str">
        <f aca="false">IF($K19&lt;0,"",INDEX(MoM_Analysis!$A$6:$A$255,$L19))</f>
        <v/>
      </c>
      <c r="C19" s="68" t="str">
        <f aca="false">IF($K19&lt;0,"",INDEX(MoM_Analysis!$B$6:$B$255,$L19))</f>
        <v/>
      </c>
      <c r="D19" s="68" t="str">
        <f aca="false">IF($K19&lt;0,"",INDEX(MoM_Analysis!$C$6:$C$255,$L19))</f>
        <v/>
      </c>
      <c r="E19" s="69" t="str">
        <f aca="false">IF($K19&lt;0,"",INDEX(MoM_Analysis!$Q$6:$Q$255,$L19))</f>
        <v/>
      </c>
      <c r="F19" s="69" t="str">
        <f aca="false">IF($K19&lt;0,"",INDEX(MoM_Analysis!$R$6:$R$255,$L19))</f>
        <v/>
      </c>
      <c r="G19" s="69" t="str">
        <f aca="false">IF($K19&lt;0,"",INDEX(MoM_Analysis!$S$6:$S$255,$L19))</f>
        <v/>
      </c>
      <c r="H19" s="78" t="str">
        <f aca="false">IF($K19&lt;0,"",INDEX(MoM_Analysis!$T$6:$T$255,$L19))</f>
        <v/>
      </c>
      <c r="I19" s="64" t="str">
        <f aca="false">IF($K19&lt;0,"",INDEX(MoM_Analysis!$X$6:$X$255,$L19))</f>
        <v/>
      </c>
      <c r="K19" s="67" t="n">
        <f aca="false">LARGE(MoM_Analysis!$Z$6:$Z$255,14)</f>
        <v>-1000000000000000</v>
      </c>
      <c r="L19" s="67" t="str">
        <f aca="false">IF($K19&lt;0,"",MATCH($K19,MoM_Analysis!$Z$6:$Z$255,0))</f>
        <v/>
      </c>
    </row>
    <row r="20" customFormat="false" ht="15" hidden="false" customHeight="false" outlineLevel="0" collapsed="false">
      <c r="A20" s="77" t="str">
        <f aca="false">IF($K20&lt;0,"",15)</f>
        <v/>
      </c>
      <c r="B20" s="68" t="str">
        <f aca="false">IF($K20&lt;0,"",INDEX(MoM_Analysis!$A$6:$A$255,$L20))</f>
        <v/>
      </c>
      <c r="C20" s="68" t="str">
        <f aca="false">IF($K20&lt;0,"",INDEX(MoM_Analysis!$B$6:$B$255,$L20))</f>
        <v/>
      </c>
      <c r="D20" s="68" t="str">
        <f aca="false">IF($K20&lt;0,"",INDEX(MoM_Analysis!$C$6:$C$255,$L20))</f>
        <v/>
      </c>
      <c r="E20" s="69" t="str">
        <f aca="false">IF($K20&lt;0,"",INDEX(MoM_Analysis!$Q$6:$Q$255,$L20))</f>
        <v/>
      </c>
      <c r="F20" s="69" t="str">
        <f aca="false">IF($K20&lt;0,"",INDEX(MoM_Analysis!$R$6:$R$255,$L20))</f>
        <v/>
      </c>
      <c r="G20" s="69" t="str">
        <f aca="false">IF($K20&lt;0,"",INDEX(MoM_Analysis!$S$6:$S$255,$L20))</f>
        <v/>
      </c>
      <c r="H20" s="78" t="str">
        <f aca="false">IF($K20&lt;0,"",INDEX(MoM_Analysis!$T$6:$T$255,$L20))</f>
        <v/>
      </c>
      <c r="I20" s="64" t="str">
        <f aca="false">IF($K20&lt;0,"",INDEX(MoM_Analysis!$X$6:$X$255,$L20))</f>
        <v/>
      </c>
      <c r="K20" s="67" t="n">
        <f aca="false">LARGE(MoM_Analysis!$Z$6:$Z$255,15)</f>
        <v>-1000000000000000</v>
      </c>
      <c r="L20" s="67" t="str">
        <f aca="false">IF($K20&lt;0,"",MATCH($K20,MoM_Analysis!$Z$6:$Z$255,0))</f>
        <v/>
      </c>
    </row>
    <row r="21" customFormat="false" ht="15" hidden="false" customHeight="false" outlineLevel="0" collapsed="false">
      <c r="A21" s="77" t="str">
        <f aca="false">IF($K21&lt;0,"",16)</f>
        <v/>
      </c>
      <c r="B21" s="68" t="str">
        <f aca="false">IF($K21&lt;0,"",INDEX(MoM_Analysis!$A$6:$A$255,$L21))</f>
        <v/>
      </c>
      <c r="C21" s="68" t="str">
        <f aca="false">IF($K21&lt;0,"",INDEX(MoM_Analysis!$B$6:$B$255,$L21))</f>
        <v/>
      </c>
      <c r="D21" s="68" t="str">
        <f aca="false">IF($K21&lt;0,"",INDEX(MoM_Analysis!$C$6:$C$255,$L21))</f>
        <v/>
      </c>
      <c r="E21" s="69" t="str">
        <f aca="false">IF($K21&lt;0,"",INDEX(MoM_Analysis!$Q$6:$Q$255,$L21))</f>
        <v/>
      </c>
      <c r="F21" s="69" t="str">
        <f aca="false">IF($K21&lt;0,"",INDEX(MoM_Analysis!$R$6:$R$255,$L21))</f>
        <v/>
      </c>
      <c r="G21" s="69" t="str">
        <f aca="false">IF($K21&lt;0,"",INDEX(MoM_Analysis!$S$6:$S$255,$L21))</f>
        <v/>
      </c>
      <c r="H21" s="78" t="str">
        <f aca="false">IF($K21&lt;0,"",INDEX(MoM_Analysis!$T$6:$T$255,$L21))</f>
        <v/>
      </c>
      <c r="I21" s="64" t="str">
        <f aca="false">IF($K21&lt;0,"",INDEX(MoM_Analysis!$X$6:$X$255,$L21))</f>
        <v/>
      </c>
      <c r="K21" s="67" t="n">
        <f aca="false">LARGE(MoM_Analysis!$Z$6:$Z$255,16)</f>
        <v>-1000000000000000</v>
      </c>
      <c r="L21" s="67" t="str">
        <f aca="false">IF($K21&lt;0,"",MATCH($K21,MoM_Analysis!$Z$6:$Z$255,0))</f>
        <v/>
      </c>
    </row>
    <row r="22" customFormat="false" ht="15" hidden="false" customHeight="false" outlineLevel="0" collapsed="false">
      <c r="A22" s="77" t="str">
        <f aca="false">IF($K22&lt;0,"",17)</f>
        <v/>
      </c>
      <c r="B22" s="68" t="str">
        <f aca="false">IF($K22&lt;0,"",INDEX(MoM_Analysis!$A$6:$A$255,$L22))</f>
        <v/>
      </c>
      <c r="C22" s="68" t="str">
        <f aca="false">IF($K22&lt;0,"",INDEX(MoM_Analysis!$B$6:$B$255,$L22))</f>
        <v/>
      </c>
      <c r="D22" s="68" t="str">
        <f aca="false">IF($K22&lt;0,"",INDEX(MoM_Analysis!$C$6:$C$255,$L22))</f>
        <v/>
      </c>
      <c r="E22" s="69" t="str">
        <f aca="false">IF($K22&lt;0,"",INDEX(MoM_Analysis!$Q$6:$Q$255,$L22))</f>
        <v/>
      </c>
      <c r="F22" s="69" t="str">
        <f aca="false">IF($K22&lt;0,"",INDEX(MoM_Analysis!$R$6:$R$255,$L22))</f>
        <v/>
      </c>
      <c r="G22" s="69" t="str">
        <f aca="false">IF($K22&lt;0,"",INDEX(MoM_Analysis!$S$6:$S$255,$L22))</f>
        <v/>
      </c>
      <c r="H22" s="78" t="str">
        <f aca="false">IF($K22&lt;0,"",INDEX(MoM_Analysis!$T$6:$T$255,$L22))</f>
        <v/>
      </c>
      <c r="I22" s="64" t="str">
        <f aca="false">IF($K22&lt;0,"",INDEX(MoM_Analysis!$X$6:$X$255,$L22))</f>
        <v/>
      </c>
      <c r="K22" s="67" t="n">
        <f aca="false">LARGE(MoM_Analysis!$Z$6:$Z$255,17)</f>
        <v>-1000000000000000</v>
      </c>
      <c r="L22" s="67" t="str">
        <f aca="false">IF($K22&lt;0,"",MATCH($K22,MoM_Analysis!$Z$6:$Z$255,0))</f>
        <v/>
      </c>
    </row>
    <row r="23" customFormat="false" ht="15" hidden="false" customHeight="false" outlineLevel="0" collapsed="false">
      <c r="A23" s="77" t="str">
        <f aca="false">IF($K23&lt;0,"",18)</f>
        <v/>
      </c>
      <c r="B23" s="68" t="str">
        <f aca="false">IF($K23&lt;0,"",INDEX(MoM_Analysis!$A$6:$A$255,$L23))</f>
        <v/>
      </c>
      <c r="C23" s="68" t="str">
        <f aca="false">IF($K23&lt;0,"",INDEX(MoM_Analysis!$B$6:$B$255,$L23))</f>
        <v/>
      </c>
      <c r="D23" s="68" t="str">
        <f aca="false">IF($K23&lt;0,"",INDEX(MoM_Analysis!$C$6:$C$255,$L23))</f>
        <v/>
      </c>
      <c r="E23" s="69" t="str">
        <f aca="false">IF($K23&lt;0,"",INDEX(MoM_Analysis!$Q$6:$Q$255,$L23))</f>
        <v/>
      </c>
      <c r="F23" s="69" t="str">
        <f aca="false">IF($K23&lt;0,"",INDEX(MoM_Analysis!$R$6:$R$255,$L23))</f>
        <v/>
      </c>
      <c r="G23" s="69" t="str">
        <f aca="false">IF($K23&lt;0,"",INDEX(MoM_Analysis!$S$6:$S$255,$L23))</f>
        <v/>
      </c>
      <c r="H23" s="78" t="str">
        <f aca="false">IF($K23&lt;0,"",INDEX(MoM_Analysis!$T$6:$T$255,$L23))</f>
        <v/>
      </c>
      <c r="I23" s="64" t="str">
        <f aca="false">IF($K23&lt;0,"",INDEX(MoM_Analysis!$X$6:$X$255,$L23))</f>
        <v/>
      </c>
      <c r="K23" s="67" t="n">
        <f aca="false">LARGE(MoM_Analysis!$Z$6:$Z$255,18)</f>
        <v>-1000000000000000</v>
      </c>
      <c r="L23" s="67" t="str">
        <f aca="false">IF($K23&lt;0,"",MATCH($K23,MoM_Analysis!$Z$6:$Z$255,0))</f>
        <v/>
      </c>
    </row>
    <row r="24" customFormat="false" ht="15" hidden="false" customHeight="false" outlineLevel="0" collapsed="false">
      <c r="A24" s="77" t="str">
        <f aca="false">IF($K24&lt;0,"",19)</f>
        <v/>
      </c>
      <c r="B24" s="68" t="str">
        <f aca="false">IF($K24&lt;0,"",INDEX(MoM_Analysis!$A$6:$A$255,$L24))</f>
        <v/>
      </c>
      <c r="C24" s="68" t="str">
        <f aca="false">IF($K24&lt;0,"",INDEX(MoM_Analysis!$B$6:$B$255,$L24))</f>
        <v/>
      </c>
      <c r="D24" s="68" t="str">
        <f aca="false">IF($K24&lt;0,"",INDEX(MoM_Analysis!$C$6:$C$255,$L24))</f>
        <v/>
      </c>
      <c r="E24" s="69" t="str">
        <f aca="false">IF($K24&lt;0,"",INDEX(MoM_Analysis!$Q$6:$Q$255,$L24))</f>
        <v/>
      </c>
      <c r="F24" s="69" t="str">
        <f aca="false">IF($K24&lt;0,"",INDEX(MoM_Analysis!$R$6:$R$255,$L24))</f>
        <v/>
      </c>
      <c r="G24" s="69" t="str">
        <f aca="false">IF($K24&lt;0,"",INDEX(MoM_Analysis!$S$6:$S$255,$L24))</f>
        <v/>
      </c>
      <c r="H24" s="78" t="str">
        <f aca="false">IF($K24&lt;0,"",INDEX(MoM_Analysis!$T$6:$T$255,$L24))</f>
        <v/>
      </c>
      <c r="I24" s="64" t="str">
        <f aca="false">IF($K24&lt;0,"",INDEX(MoM_Analysis!$X$6:$X$255,$L24))</f>
        <v/>
      </c>
      <c r="K24" s="67" t="n">
        <f aca="false">LARGE(MoM_Analysis!$Z$6:$Z$255,19)</f>
        <v>-1000000000000000</v>
      </c>
      <c r="L24" s="67" t="str">
        <f aca="false">IF($K24&lt;0,"",MATCH($K24,MoM_Analysis!$Z$6:$Z$255,0))</f>
        <v/>
      </c>
    </row>
    <row r="25" customFormat="false" ht="15" hidden="false" customHeight="false" outlineLevel="0" collapsed="false">
      <c r="A25" s="77" t="str">
        <f aca="false">IF($K25&lt;0,"",20)</f>
        <v/>
      </c>
      <c r="B25" s="68" t="str">
        <f aca="false">IF($K25&lt;0,"",INDEX(MoM_Analysis!$A$6:$A$255,$L25))</f>
        <v/>
      </c>
      <c r="C25" s="68" t="str">
        <f aca="false">IF($K25&lt;0,"",INDEX(MoM_Analysis!$B$6:$B$255,$L25))</f>
        <v/>
      </c>
      <c r="D25" s="68" t="str">
        <f aca="false">IF($K25&lt;0,"",INDEX(MoM_Analysis!$C$6:$C$255,$L25))</f>
        <v/>
      </c>
      <c r="E25" s="69" t="str">
        <f aca="false">IF($K25&lt;0,"",INDEX(MoM_Analysis!$Q$6:$Q$255,$L25))</f>
        <v/>
      </c>
      <c r="F25" s="69" t="str">
        <f aca="false">IF($K25&lt;0,"",INDEX(MoM_Analysis!$R$6:$R$255,$L25))</f>
        <v/>
      </c>
      <c r="G25" s="69" t="str">
        <f aca="false">IF($K25&lt;0,"",INDEX(MoM_Analysis!$S$6:$S$255,$L25))</f>
        <v/>
      </c>
      <c r="H25" s="78" t="str">
        <f aca="false">IF($K25&lt;0,"",INDEX(MoM_Analysis!$T$6:$T$255,$L25))</f>
        <v/>
      </c>
      <c r="I25" s="64" t="str">
        <f aca="false">IF($K25&lt;0,"",INDEX(MoM_Analysis!$X$6:$X$255,$L25))</f>
        <v/>
      </c>
      <c r="K25" s="67" t="n">
        <f aca="false">LARGE(MoM_Analysis!$Z$6:$Z$255,20)</f>
        <v>-1000000000000000</v>
      </c>
      <c r="L25" s="67" t="str">
        <f aca="false">IF($K25&lt;0,"",MATCH($K25,MoM_Analysis!$Z$6:$Z$255,0))</f>
        <v/>
      </c>
    </row>
    <row r="26" customFormat="false" ht="15" hidden="false" customHeight="false" outlineLevel="0" collapsed="false">
      <c r="A26" s="77" t="str">
        <f aca="false">IF($K26&lt;0,"",21)</f>
        <v/>
      </c>
      <c r="B26" s="68" t="str">
        <f aca="false">IF($K26&lt;0,"",INDEX(MoM_Analysis!$A$6:$A$255,$L26))</f>
        <v/>
      </c>
      <c r="C26" s="68" t="str">
        <f aca="false">IF($K26&lt;0,"",INDEX(MoM_Analysis!$B$6:$B$255,$L26))</f>
        <v/>
      </c>
      <c r="D26" s="68" t="str">
        <f aca="false">IF($K26&lt;0,"",INDEX(MoM_Analysis!$C$6:$C$255,$L26))</f>
        <v/>
      </c>
      <c r="E26" s="69" t="str">
        <f aca="false">IF($K26&lt;0,"",INDEX(MoM_Analysis!$Q$6:$Q$255,$L26))</f>
        <v/>
      </c>
      <c r="F26" s="69" t="str">
        <f aca="false">IF($K26&lt;0,"",INDEX(MoM_Analysis!$R$6:$R$255,$L26))</f>
        <v/>
      </c>
      <c r="G26" s="69" t="str">
        <f aca="false">IF($K26&lt;0,"",INDEX(MoM_Analysis!$S$6:$S$255,$L26))</f>
        <v/>
      </c>
      <c r="H26" s="78" t="str">
        <f aca="false">IF($K26&lt;0,"",INDEX(MoM_Analysis!$T$6:$T$255,$L26))</f>
        <v/>
      </c>
      <c r="I26" s="64" t="str">
        <f aca="false">IF($K26&lt;0,"",INDEX(MoM_Analysis!$X$6:$X$255,$L26))</f>
        <v/>
      </c>
      <c r="K26" s="67" t="n">
        <f aca="false">LARGE(MoM_Analysis!$Z$6:$Z$255,21)</f>
        <v>-1000000000000000</v>
      </c>
      <c r="L26" s="67" t="str">
        <f aca="false">IF($K26&lt;0,"",MATCH($K26,MoM_Analysis!$Z$6:$Z$255,0))</f>
        <v/>
      </c>
    </row>
    <row r="27" customFormat="false" ht="15" hidden="false" customHeight="false" outlineLevel="0" collapsed="false">
      <c r="A27" s="77" t="str">
        <f aca="false">IF($K27&lt;0,"",22)</f>
        <v/>
      </c>
      <c r="B27" s="68" t="str">
        <f aca="false">IF($K27&lt;0,"",INDEX(MoM_Analysis!$A$6:$A$255,$L27))</f>
        <v/>
      </c>
      <c r="C27" s="68" t="str">
        <f aca="false">IF($K27&lt;0,"",INDEX(MoM_Analysis!$B$6:$B$255,$L27))</f>
        <v/>
      </c>
      <c r="D27" s="68" t="str">
        <f aca="false">IF($K27&lt;0,"",INDEX(MoM_Analysis!$C$6:$C$255,$L27))</f>
        <v/>
      </c>
      <c r="E27" s="69" t="str">
        <f aca="false">IF($K27&lt;0,"",INDEX(MoM_Analysis!$Q$6:$Q$255,$L27))</f>
        <v/>
      </c>
      <c r="F27" s="69" t="str">
        <f aca="false">IF($K27&lt;0,"",INDEX(MoM_Analysis!$R$6:$R$255,$L27))</f>
        <v/>
      </c>
      <c r="G27" s="69" t="str">
        <f aca="false">IF($K27&lt;0,"",INDEX(MoM_Analysis!$S$6:$S$255,$L27))</f>
        <v/>
      </c>
      <c r="H27" s="78" t="str">
        <f aca="false">IF($K27&lt;0,"",INDEX(MoM_Analysis!$T$6:$T$255,$L27))</f>
        <v/>
      </c>
      <c r="I27" s="64" t="str">
        <f aca="false">IF($K27&lt;0,"",INDEX(MoM_Analysis!$X$6:$X$255,$L27))</f>
        <v/>
      </c>
      <c r="K27" s="67" t="n">
        <f aca="false">LARGE(MoM_Analysis!$Z$6:$Z$255,22)</f>
        <v>-1000000000000000</v>
      </c>
      <c r="L27" s="67" t="str">
        <f aca="false">IF($K27&lt;0,"",MATCH($K27,MoM_Analysis!$Z$6:$Z$255,0))</f>
        <v/>
      </c>
    </row>
    <row r="28" customFormat="false" ht="15" hidden="false" customHeight="false" outlineLevel="0" collapsed="false">
      <c r="A28" s="77" t="str">
        <f aca="false">IF($K28&lt;0,"",23)</f>
        <v/>
      </c>
      <c r="B28" s="68" t="str">
        <f aca="false">IF($K28&lt;0,"",INDEX(MoM_Analysis!$A$6:$A$255,$L28))</f>
        <v/>
      </c>
      <c r="C28" s="68" t="str">
        <f aca="false">IF($K28&lt;0,"",INDEX(MoM_Analysis!$B$6:$B$255,$L28))</f>
        <v/>
      </c>
      <c r="D28" s="68" t="str">
        <f aca="false">IF($K28&lt;0,"",INDEX(MoM_Analysis!$C$6:$C$255,$L28))</f>
        <v/>
      </c>
      <c r="E28" s="69" t="str">
        <f aca="false">IF($K28&lt;0,"",INDEX(MoM_Analysis!$Q$6:$Q$255,$L28))</f>
        <v/>
      </c>
      <c r="F28" s="69" t="str">
        <f aca="false">IF($K28&lt;0,"",INDEX(MoM_Analysis!$R$6:$R$255,$L28))</f>
        <v/>
      </c>
      <c r="G28" s="69" t="str">
        <f aca="false">IF($K28&lt;0,"",INDEX(MoM_Analysis!$S$6:$S$255,$L28))</f>
        <v/>
      </c>
      <c r="H28" s="78" t="str">
        <f aca="false">IF($K28&lt;0,"",INDEX(MoM_Analysis!$T$6:$T$255,$L28))</f>
        <v/>
      </c>
      <c r="I28" s="64" t="str">
        <f aca="false">IF($K28&lt;0,"",INDEX(MoM_Analysis!$X$6:$X$255,$L28))</f>
        <v/>
      </c>
      <c r="K28" s="67" t="n">
        <f aca="false">LARGE(MoM_Analysis!$Z$6:$Z$255,23)</f>
        <v>-1000000000000000</v>
      </c>
      <c r="L28" s="67" t="str">
        <f aca="false">IF($K28&lt;0,"",MATCH($K28,MoM_Analysis!$Z$6:$Z$255,0))</f>
        <v/>
      </c>
    </row>
    <row r="29" customFormat="false" ht="15" hidden="false" customHeight="false" outlineLevel="0" collapsed="false">
      <c r="A29" s="77" t="str">
        <f aca="false">IF($K29&lt;0,"",24)</f>
        <v/>
      </c>
      <c r="B29" s="68" t="str">
        <f aca="false">IF($K29&lt;0,"",INDEX(MoM_Analysis!$A$6:$A$255,$L29))</f>
        <v/>
      </c>
      <c r="C29" s="68" t="str">
        <f aca="false">IF($K29&lt;0,"",INDEX(MoM_Analysis!$B$6:$B$255,$L29))</f>
        <v/>
      </c>
      <c r="D29" s="68" t="str">
        <f aca="false">IF($K29&lt;0,"",INDEX(MoM_Analysis!$C$6:$C$255,$L29))</f>
        <v/>
      </c>
      <c r="E29" s="69" t="str">
        <f aca="false">IF($K29&lt;0,"",INDEX(MoM_Analysis!$Q$6:$Q$255,$L29))</f>
        <v/>
      </c>
      <c r="F29" s="69" t="str">
        <f aca="false">IF($K29&lt;0,"",INDEX(MoM_Analysis!$R$6:$R$255,$L29))</f>
        <v/>
      </c>
      <c r="G29" s="69" t="str">
        <f aca="false">IF($K29&lt;0,"",INDEX(MoM_Analysis!$S$6:$S$255,$L29))</f>
        <v/>
      </c>
      <c r="H29" s="78" t="str">
        <f aca="false">IF($K29&lt;0,"",INDEX(MoM_Analysis!$T$6:$T$255,$L29))</f>
        <v/>
      </c>
      <c r="I29" s="64" t="str">
        <f aca="false">IF($K29&lt;0,"",INDEX(MoM_Analysis!$X$6:$X$255,$L29))</f>
        <v/>
      </c>
      <c r="K29" s="67" t="n">
        <f aca="false">LARGE(MoM_Analysis!$Z$6:$Z$255,24)</f>
        <v>-1000000000000000</v>
      </c>
      <c r="L29" s="67" t="str">
        <f aca="false">IF($K29&lt;0,"",MATCH($K29,MoM_Analysis!$Z$6:$Z$255,0))</f>
        <v/>
      </c>
    </row>
    <row r="30" customFormat="false" ht="15" hidden="false" customHeight="false" outlineLevel="0" collapsed="false">
      <c r="A30" s="77" t="str">
        <f aca="false">IF($K30&lt;0,"",25)</f>
        <v/>
      </c>
      <c r="B30" s="68" t="str">
        <f aca="false">IF($K30&lt;0,"",INDEX(MoM_Analysis!$A$6:$A$255,$L30))</f>
        <v/>
      </c>
      <c r="C30" s="68" t="str">
        <f aca="false">IF($K30&lt;0,"",INDEX(MoM_Analysis!$B$6:$B$255,$L30))</f>
        <v/>
      </c>
      <c r="D30" s="68" t="str">
        <f aca="false">IF($K30&lt;0,"",INDEX(MoM_Analysis!$C$6:$C$255,$L30))</f>
        <v/>
      </c>
      <c r="E30" s="69" t="str">
        <f aca="false">IF($K30&lt;0,"",INDEX(MoM_Analysis!$Q$6:$Q$255,$L30))</f>
        <v/>
      </c>
      <c r="F30" s="69" t="str">
        <f aca="false">IF($K30&lt;0,"",INDEX(MoM_Analysis!$R$6:$R$255,$L30))</f>
        <v/>
      </c>
      <c r="G30" s="69" t="str">
        <f aca="false">IF($K30&lt;0,"",INDEX(MoM_Analysis!$S$6:$S$255,$L30))</f>
        <v/>
      </c>
      <c r="H30" s="78" t="str">
        <f aca="false">IF($K30&lt;0,"",INDEX(MoM_Analysis!$T$6:$T$255,$L30))</f>
        <v/>
      </c>
      <c r="I30" s="64" t="str">
        <f aca="false">IF($K30&lt;0,"",INDEX(MoM_Analysis!$X$6:$X$255,$L30))</f>
        <v/>
      </c>
      <c r="K30" s="67" t="n">
        <f aca="false">LARGE(MoM_Analysis!$Z$6:$Z$255,25)</f>
        <v>-1000000000000000</v>
      </c>
      <c r="L30" s="67" t="str">
        <f aca="false">IF($K30&lt;0,"",MATCH($K30,MoM_Analysis!$Z$6:$Z$255,0))</f>
        <v/>
      </c>
    </row>
    <row r="33" customFormat="false" ht="18" hidden="false" customHeight="true" outlineLevel="0" collapsed="false">
      <c r="A33" s="3" t="s">
        <v>437</v>
      </c>
      <c r="B33" s="4"/>
      <c r="C33" s="4"/>
      <c r="D33" s="4"/>
      <c r="E33" s="4"/>
      <c r="F33" s="4"/>
      <c r="G33" s="4"/>
      <c r="H33" s="4"/>
      <c r="I33" s="4"/>
    </row>
    <row r="34" customFormat="false" ht="31.5" hidden="false" customHeight="true" outlineLevel="0" collapsed="false">
      <c r="A34" s="30" t="s">
        <v>433</v>
      </c>
      <c r="B34" s="30" t="s">
        <v>116</v>
      </c>
      <c r="C34" s="30" t="s">
        <v>127</v>
      </c>
      <c r="D34" s="30" t="s">
        <v>141</v>
      </c>
      <c r="E34" s="30" t="s">
        <v>361</v>
      </c>
      <c r="F34" s="30" t="s">
        <v>362</v>
      </c>
      <c r="G34" s="30" t="s">
        <v>424</v>
      </c>
      <c r="H34" s="30" t="s">
        <v>425</v>
      </c>
      <c r="I34" s="30" t="s">
        <v>436</v>
      </c>
    </row>
    <row r="35" customFormat="false" ht="15" hidden="false" customHeight="false" outlineLevel="0" collapsed="false">
      <c r="A35" s="77" t="str">
        <f aca="false">IF($K35&lt;0,"",1)</f>
        <v/>
      </c>
      <c r="B35" s="68" t="str">
        <f aca="false">IF($K35&lt;0,"",INDEX(YoY_Analysis!$A$6:$A$255,$L35))</f>
        <v/>
      </c>
      <c r="C35" s="68" t="str">
        <f aca="false">IF($K35&lt;0,"",INDEX(YoY_Analysis!$B$6:$B$255,$L35))</f>
        <v/>
      </c>
      <c r="D35" s="68" t="str">
        <f aca="false">IF($K35&lt;0,"",INDEX(YoY_Analysis!$C$6:$C$255,$L35))</f>
        <v/>
      </c>
      <c r="E35" s="69" t="str">
        <f aca="false">IF($K35&lt;0,"",INDEX(YoY_Analysis!$H$6:$H$255,$L35))</f>
        <v/>
      </c>
      <c r="F35" s="69" t="str">
        <f aca="false">IF($K35&lt;0,"",INDEX(YoY_Analysis!$I$6:$I$255,$L35))</f>
        <v/>
      </c>
      <c r="G35" s="69" t="str">
        <f aca="false">IF($K35&lt;0,"",INDEX(YoY_Analysis!$J$6:$J$255,$L35))</f>
        <v/>
      </c>
      <c r="H35" s="78" t="str">
        <f aca="false">IF($K35&lt;0,"",INDEX(YoY_Analysis!$K$6:$K$255,$L35))</f>
        <v/>
      </c>
      <c r="I35" s="64" t="str">
        <f aca="false">IF($K35&lt;0,"",INDEX(YoY_Analysis!$P$6:$P$255,$L35))</f>
        <v/>
      </c>
      <c r="K35" s="67" t="n">
        <f aca="false">LARGE(YoY_Analysis!$R$6:$R$255,1)</f>
        <v>-1000000000000000</v>
      </c>
      <c r="L35" s="67" t="str">
        <f aca="false">IF($K35&lt;0,"",MATCH($K35,YoY_Analysis!$R$6:$R$255,0))</f>
        <v/>
      </c>
    </row>
    <row r="36" customFormat="false" ht="15" hidden="false" customHeight="false" outlineLevel="0" collapsed="false">
      <c r="A36" s="77" t="str">
        <f aca="false">IF($K36&lt;0,"",2)</f>
        <v/>
      </c>
      <c r="B36" s="68" t="str">
        <f aca="false">IF($K36&lt;0,"",INDEX(YoY_Analysis!$A$6:$A$255,$L36))</f>
        <v/>
      </c>
      <c r="C36" s="68" t="str">
        <f aca="false">IF($K36&lt;0,"",INDEX(YoY_Analysis!$B$6:$B$255,$L36))</f>
        <v/>
      </c>
      <c r="D36" s="68" t="str">
        <f aca="false">IF($K36&lt;0,"",INDEX(YoY_Analysis!$C$6:$C$255,$L36))</f>
        <v/>
      </c>
      <c r="E36" s="69" t="str">
        <f aca="false">IF($K36&lt;0,"",INDEX(YoY_Analysis!$H$6:$H$255,$L36))</f>
        <v/>
      </c>
      <c r="F36" s="69" t="str">
        <f aca="false">IF($K36&lt;0,"",INDEX(YoY_Analysis!$I$6:$I$255,$L36))</f>
        <v/>
      </c>
      <c r="G36" s="69" t="str">
        <f aca="false">IF($K36&lt;0,"",INDEX(YoY_Analysis!$J$6:$J$255,$L36))</f>
        <v/>
      </c>
      <c r="H36" s="78" t="str">
        <f aca="false">IF($K36&lt;0,"",INDEX(YoY_Analysis!$K$6:$K$255,$L36))</f>
        <v/>
      </c>
      <c r="I36" s="64" t="str">
        <f aca="false">IF($K36&lt;0,"",INDEX(YoY_Analysis!$P$6:$P$255,$L36))</f>
        <v/>
      </c>
      <c r="K36" s="67" t="n">
        <f aca="false">LARGE(YoY_Analysis!$R$6:$R$255,2)</f>
        <v>-1000000000000000</v>
      </c>
      <c r="L36" s="67" t="str">
        <f aca="false">IF($K36&lt;0,"",MATCH($K36,YoY_Analysis!$R$6:$R$255,0))</f>
        <v/>
      </c>
    </row>
    <row r="37" customFormat="false" ht="15" hidden="false" customHeight="false" outlineLevel="0" collapsed="false">
      <c r="A37" s="77" t="str">
        <f aca="false">IF($K37&lt;0,"",3)</f>
        <v/>
      </c>
      <c r="B37" s="68" t="str">
        <f aca="false">IF($K37&lt;0,"",INDEX(YoY_Analysis!$A$6:$A$255,$L37))</f>
        <v/>
      </c>
      <c r="C37" s="68" t="str">
        <f aca="false">IF($K37&lt;0,"",INDEX(YoY_Analysis!$B$6:$B$255,$L37))</f>
        <v/>
      </c>
      <c r="D37" s="68" t="str">
        <f aca="false">IF($K37&lt;0,"",INDEX(YoY_Analysis!$C$6:$C$255,$L37))</f>
        <v/>
      </c>
      <c r="E37" s="69" t="str">
        <f aca="false">IF($K37&lt;0,"",INDEX(YoY_Analysis!$H$6:$H$255,$L37))</f>
        <v/>
      </c>
      <c r="F37" s="69" t="str">
        <f aca="false">IF($K37&lt;0,"",INDEX(YoY_Analysis!$I$6:$I$255,$L37))</f>
        <v/>
      </c>
      <c r="G37" s="69" t="str">
        <f aca="false">IF($K37&lt;0,"",INDEX(YoY_Analysis!$J$6:$J$255,$L37))</f>
        <v/>
      </c>
      <c r="H37" s="78" t="str">
        <f aca="false">IF($K37&lt;0,"",INDEX(YoY_Analysis!$K$6:$K$255,$L37))</f>
        <v/>
      </c>
      <c r="I37" s="64" t="str">
        <f aca="false">IF($K37&lt;0,"",INDEX(YoY_Analysis!$P$6:$P$255,$L37))</f>
        <v/>
      </c>
      <c r="K37" s="67" t="n">
        <f aca="false">LARGE(YoY_Analysis!$R$6:$R$255,3)</f>
        <v>-1000000000000000</v>
      </c>
      <c r="L37" s="67" t="str">
        <f aca="false">IF($K37&lt;0,"",MATCH($K37,YoY_Analysis!$R$6:$R$255,0))</f>
        <v/>
      </c>
    </row>
    <row r="38" customFormat="false" ht="15" hidden="false" customHeight="false" outlineLevel="0" collapsed="false">
      <c r="A38" s="77" t="str">
        <f aca="false">IF($K38&lt;0,"",4)</f>
        <v/>
      </c>
      <c r="B38" s="68" t="str">
        <f aca="false">IF($K38&lt;0,"",INDEX(YoY_Analysis!$A$6:$A$255,$L38))</f>
        <v/>
      </c>
      <c r="C38" s="68" t="str">
        <f aca="false">IF($K38&lt;0,"",INDEX(YoY_Analysis!$B$6:$B$255,$L38))</f>
        <v/>
      </c>
      <c r="D38" s="68" t="str">
        <f aca="false">IF($K38&lt;0,"",INDEX(YoY_Analysis!$C$6:$C$255,$L38))</f>
        <v/>
      </c>
      <c r="E38" s="69" t="str">
        <f aca="false">IF($K38&lt;0,"",INDEX(YoY_Analysis!$H$6:$H$255,$L38))</f>
        <v/>
      </c>
      <c r="F38" s="69" t="str">
        <f aca="false">IF($K38&lt;0,"",INDEX(YoY_Analysis!$I$6:$I$255,$L38))</f>
        <v/>
      </c>
      <c r="G38" s="69" t="str">
        <f aca="false">IF($K38&lt;0,"",INDEX(YoY_Analysis!$J$6:$J$255,$L38))</f>
        <v/>
      </c>
      <c r="H38" s="78" t="str">
        <f aca="false">IF($K38&lt;0,"",INDEX(YoY_Analysis!$K$6:$K$255,$L38))</f>
        <v/>
      </c>
      <c r="I38" s="64" t="str">
        <f aca="false">IF($K38&lt;0,"",INDEX(YoY_Analysis!$P$6:$P$255,$L38))</f>
        <v/>
      </c>
      <c r="K38" s="67" t="n">
        <f aca="false">LARGE(YoY_Analysis!$R$6:$R$255,4)</f>
        <v>-1000000000000000</v>
      </c>
      <c r="L38" s="67" t="str">
        <f aca="false">IF($K38&lt;0,"",MATCH($K38,YoY_Analysis!$R$6:$R$255,0))</f>
        <v/>
      </c>
    </row>
    <row r="39" customFormat="false" ht="15" hidden="false" customHeight="false" outlineLevel="0" collapsed="false">
      <c r="A39" s="77" t="str">
        <f aca="false">IF($K39&lt;0,"",5)</f>
        <v/>
      </c>
      <c r="B39" s="68" t="str">
        <f aca="false">IF($K39&lt;0,"",INDEX(YoY_Analysis!$A$6:$A$255,$L39))</f>
        <v/>
      </c>
      <c r="C39" s="68" t="str">
        <f aca="false">IF($K39&lt;0,"",INDEX(YoY_Analysis!$B$6:$B$255,$L39))</f>
        <v/>
      </c>
      <c r="D39" s="68" t="str">
        <f aca="false">IF($K39&lt;0,"",INDEX(YoY_Analysis!$C$6:$C$255,$L39))</f>
        <v/>
      </c>
      <c r="E39" s="69" t="str">
        <f aca="false">IF($K39&lt;0,"",INDEX(YoY_Analysis!$H$6:$H$255,$L39))</f>
        <v/>
      </c>
      <c r="F39" s="69" t="str">
        <f aca="false">IF($K39&lt;0,"",INDEX(YoY_Analysis!$I$6:$I$255,$L39))</f>
        <v/>
      </c>
      <c r="G39" s="69" t="str">
        <f aca="false">IF($K39&lt;0,"",INDEX(YoY_Analysis!$J$6:$J$255,$L39))</f>
        <v/>
      </c>
      <c r="H39" s="78" t="str">
        <f aca="false">IF($K39&lt;0,"",INDEX(YoY_Analysis!$K$6:$K$255,$L39))</f>
        <v/>
      </c>
      <c r="I39" s="64" t="str">
        <f aca="false">IF($K39&lt;0,"",INDEX(YoY_Analysis!$P$6:$P$255,$L39))</f>
        <v/>
      </c>
      <c r="K39" s="67" t="n">
        <f aca="false">LARGE(YoY_Analysis!$R$6:$R$255,5)</f>
        <v>-1000000000000000</v>
      </c>
      <c r="L39" s="67" t="str">
        <f aca="false">IF($K39&lt;0,"",MATCH($K39,YoY_Analysis!$R$6:$R$255,0))</f>
        <v/>
      </c>
    </row>
    <row r="40" customFormat="false" ht="15" hidden="false" customHeight="false" outlineLevel="0" collapsed="false">
      <c r="A40" s="77" t="str">
        <f aca="false">IF($K40&lt;0,"",6)</f>
        <v/>
      </c>
      <c r="B40" s="68" t="str">
        <f aca="false">IF($K40&lt;0,"",INDEX(YoY_Analysis!$A$6:$A$255,$L40))</f>
        <v/>
      </c>
      <c r="C40" s="68" t="str">
        <f aca="false">IF($K40&lt;0,"",INDEX(YoY_Analysis!$B$6:$B$255,$L40))</f>
        <v/>
      </c>
      <c r="D40" s="68" t="str">
        <f aca="false">IF($K40&lt;0,"",INDEX(YoY_Analysis!$C$6:$C$255,$L40))</f>
        <v/>
      </c>
      <c r="E40" s="69" t="str">
        <f aca="false">IF($K40&lt;0,"",INDEX(YoY_Analysis!$H$6:$H$255,$L40))</f>
        <v/>
      </c>
      <c r="F40" s="69" t="str">
        <f aca="false">IF($K40&lt;0,"",INDEX(YoY_Analysis!$I$6:$I$255,$L40))</f>
        <v/>
      </c>
      <c r="G40" s="69" t="str">
        <f aca="false">IF($K40&lt;0,"",INDEX(YoY_Analysis!$J$6:$J$255,$L40))</f>
        <v/>
      </c>
      <c r="H40" s="78" t="str">
        <f aca="false">IF($K40&lt;0,"",INDEX(YoY_Analysis!$K$6:$K$255,$L40))</f>
        <v/>
      </c>
      <c r="I40" s="64" t="str">
        <f aca="false">IF($K40&lt;0,"",INDEX(YoY_Analysis!$P$6:$P$255,$L40))</f>
        <v/>
      </c>
      <c r="K40" s="67" t="n">
        <f aca="false">LARGE(YoY_Analysis!$R$6:$R$255,6)</f>
        <v>-1000000000000000</v>
      </c>
      <c r="L40" s="67" t="str">
        <f aca="false">IF($K40&lt;0,"",MATCH($K40,YoY_Analysis!$R$6:$R$255,0))</f>
        <v/>
      </c>
    </row>
    <row r="41" customFormat="false" ht="15" hidden="false" customHeight="false" outlineLevel="0" collapsed="false">
      <c r="A41" s="77" t="str">
        <f aca="false">IF($K41&lt;0,"",7)</f>
        <v/>
      </c>
      <c r="B41" s="68" t="str">
        <f aca="false">IF($K41&lt;0,"",INDEX(YoY_Analysis!$A$6:$A$255,$L41))</f>
        <v/>
      </c>
      <c r="C41" s="68" t="str">
        <f aca="false">IF($K41&lt;0,"",INDEX(YoY_Analysis!$B$6:$B$255,$L41))</f>
        <v/>
      </c>
      <c r="D41" s="68" t="str">
        <f aca="false">IF($K41&lt;0,"",INDEX(YoY_Analysis!$C$6:$C$255,$L41))</f>
        <v/>
      </c>
      <c r="E41" s="69" t="str">
        <f aca="false">IF($K41&lt;0,"",INDEX(YoY_Analysis!$H$6:$H$255,$L41))</f>
        <v/>
      </c>
      <c r="F41" s="69" t="str">
        <f aca="false">IF($K41&lt;0,"",INDEX(YoY_Analysis!$I$6:$I$255,$L41))</f>
        <v/>
      </c>
      <c r="G41" s="69" t="str">
        <f aca="false">IF($K41&lt;0,"",INDEX(YoY_Analysis!$J$6:$J$255,$L41))</f>
        <v/>
      </c>
      <c r="H41" s="78" t="str">
        <f aca="false">IF($K41&lt;0,"",INDEX(YoY_Analysis!$K$6:$K$255,$L41))</f>
        <v/>
      </c>
      <c r="I41" s="64" t="str">
        <f aca="false">IF($K41&lt;0,"",INDEX(YoY_Analysis!$P$6:$P$255,$L41))</f>
        <v/>
      </c>
      <c r="K41" s="67" t="n">
        <f aca="false">LARGE(YoY_Analysis!$R$6:$R$255,7)</f>
        <v>-1000000000000000</v>
      </c>
      <c r="L41" s="67" t="str">
        <f aca="false">IF($K41&lt;0,"",MATCH($K41,YoY_Analysis!$R$6:$R$255,0))</f>
        <v/>
      </c>
    </row>
    <row r="42" customFormat="false" ht="15" hidden="false" customHeight="false" outlineLevel="0" collapsed="false">
      <c r="A42" s="77" t="str">
        <f aca="false">IF($K42&lt;0,"",8)</f>
        <v/>
      </c>
      <c r="B42" s="68" t="str">
        <f aca="false">IF($K42&lt;0,"",INDEX(YoY_Analysis!$A$6:$A$255,$L42))</f>
        <v/>
      </c>
      <c r="C42" s="68" t="str">
        <f aca="false">IF($K42&lt;0,"",INDEX(YoY_Analysis!$B$6:$B$255,$L42))</f>
        <v/>
      </c>
      <c r="D42" s="68" t="str">
        <f aca="false">IF($K42&lt;0,"",INDEX(YoY_Analysis!$C$6:$C$255,$L42))</f>
        <v/>
      </c>
      <c r="E42" s="69" t="str">
        <f aca="false">IF($K42&lt;0,"",INDEX(YoY_Analysis!$H$6:$H$255,$L42))</f>
        <v/>
      </c>
      <c r="F42" s="69" t="str">
        <f aca="false">IF($K42&lt;0,"",INDEX(YoY_Analysis!$I$6:$I$255,$L42))</f>
        <v/>
      </c>
      <c r="G42" s="69" t="str">
        <f aca="false">IF($K42&lt;0,"",INDEX(YoY_Analysis!$J$6:$J$255,$L42))</f>
        <v/>
      </c>
      <c r="H42" s="78" t="str">
        <f aca="false">IF($K42&lt;0,"",INDEX(YoY_Analysis!$K$6:$K$255,$L42))</f>
        <v/>
      </c>
      <c r="I42" s="64" t="str">
        <f aca="false">IF($K42&lt;0,"",INDEX(YoY_Analysis!$P$6:$P$255,$L42))</f>
        <v/>
      </c>
      <c r="K42" s="67" t="n">
        <f aca="false">LARGE(YoY_Analysis!$R$6:$R$255,8)</f>
        <v>-1000000000000000</v>
      </c>
      <c r="L42" s="67" t="str">
        <f aca="false">IF($K42&lt;0,"",MATCH($K42,YoY_Analysis!$R$6:$R$255,0))</f>
        <v/>
      </c>
    </row>
    <row r="43" customFormat="false" ht="15" hidden="false" customHeight="false" outlineLevel="0" collapsed="false">
      <c r="A43" s="77" t="str">
        <f aca="false">IF($K43&lt;0,"",9)</f>
        <v/>
      </c>
      <c r="B43" s="68" t="str">
        <f aca="false">IF($K43&lt;0,"",INDEX(YoY_Analysis!$A$6:$A$255,$L43))</f>
        <v/>
      </c>
      <c r="C43" s="68" t="str">
        <f aca="false">IF($K43&lt;0,"",INDEX(YoY_Analysis!$B$6:$B$255,$L43))</f>
        <v/>
      </c>
      <c r="D43" s="68" t="str">
        <f aca="false">IF($K43&lt;0,"",INDEX(YoY_Analysis!$C$6:$C$255,$L43))</f>
        <v/>
      </c>
      <c r="E43" s="69" t="str">
        <f aca="false">IF($K43&lt;0,"",INDEX(YoY_Analysis!$H$6:$H$255,$L43))</f>
        <v/>
      </c>
      <c r="F43" s="69" t="str">
        <f aca="false">IF($K43&lt;0,"",INDEX(YoY_Analysis!$I$6:$I$255,$L43))</f>
        <v/>
      </c>
      <c r="G43" s="69" t="str">
        <f aca="false">IF($K43&lt;0,"",INDEX(YoY_Analysis!$J$6:$J$255,$L43))</f>
        <v/>
      </c>
      <c r="H43" s="78" t="str">
        <f aca="false">IF($K43&lt;0,"",INDEX(YoY_Analysis!$K$6:$K$255,$L43))</f>
        <v/>
      </c>
      <c r="I43" s="64" t="str">
        <f aca="false">IF($K43&lt;0,"",INDEX(YoY_Analysis!$P$6:$P$255,$L43))</f>
        <v/>
      </c>
      <c r="K43" s="67" t="n">
        <f aca="false">LARGE(YoY_Analysis!$R$6:$R$255,9)</f>
        <v>-1000000000000000</v>
      </c>
      <c r="L43" s="67" t="str">
        <f aca="false">IF($K43&lt;0,"",MATCH($K43,YoY_Analysis!$R$6:$R$255,0))</f>
        <v/>
      </c>
    </row>
    <row r="44" customFormat="false" ht="15" hidden="false" customHeight="false" outlineLevel="0" collapsed="false">
      <c r="A44" s="77" t="str">
        <f aca="false">IF($K44&lt;0,"",10)</f>
        <v/>
      </c>
      <c r="B44" s="68" t="str">
        <f aca="false">IF($K44&lt;0,"",INDEX(YoY_Analysis!$A$6:$A$255,$L44))</f>
        <v/>
      </c>
      <c r="C44" s="68" t="str">
        <f aca="false">IF($K44&lt;0,"",INDEX(YoY_Analysis!$B$6:$B$255,$L44))</f>
        <v/>
      </c>
      <c r="D44" s="68" t="str">
        <f aca="false">IF($K44&lt;0,"",INDEX(YoY_Analysis!$C$6:$C$255,$L44))</f>
        <v/>
      </c>
      <c r="E44" s="69" t="str">
        <f aca="false">IF($K44&lt;0,"",INDEX(YoY_Analysis!$H$6:$H$255,$L44))</f>
        <v/>
      </c>
      <c r="F44" s="69" t="str">
        <f aca="false">IF($K44&lt;0,"",INDEX(YoY_Analysis!$I$6:$I$255,$L44))</f>
        <v/>
      </c>
      <c r="G44" s="69" t="str">
        <f aca="false">IF($K44&lt;0,"",INDEX(YoY_Analysis!$J$6:$J$255,$L44))</f>
        <v/>
      </c>
      <c r="H44" s="78" t="str">
        <f aca="false">IF($K44&lt;0,"",INDEX(YoY_Analysis!$K$6:$K$255,$L44))</f>
        <v/>
      </c>
      <c r="I44" s="64" t="str">
        <f aca="false">IF($K44&lt;0,"",INDEX(YoY_Analysis!$P$6:$P$255,$L44))</f>
        <v/>
      </c>
      <c r="K44" s="67" t="n">
        <f aca="false">LARGE(YoY_Analysis!$R$6:$R$255,10)</f>
        <v>-1000000000000000</v>
      </c>
      <c r="L44" s="67" t="str">
        <f aca="false">IF($K44&lt;0,"",MATCH($K44,YoY_Analysis!$R$6:$R$255,0))</f>
        <v/>
      </c>
    </row>
    <row r="45" customFormat="false" ht="15" hidden="false" customHeight="false" outlineLevel="0" collapsed="false">
      <c r="A45" s="77" t="str">
        <f aca="false">IF($K45&lt;0,"",11)</f>
        <v/>
      </c>
      <c r="B45" s="68" t="str">
        <f aca="false">IF($K45&lt;0,"",INDEX(YoY_Analysis!$A$6:$A$255,$L45))</f>
        <v/>
      </c>
      <c r="C45" s="68" t="str">
        <f aca="false">IF($K45&lt;0,"",INDEX(YoY_Analysis!$B$6:$B$255,$L45))</f>
        <v/>
      </c>
      <c r="D45" s="68" t="str">
        <f aca="false">IF($K45&lt;0,"",INDEX(YoY_Analysis!$C$6:$C$255,$L45))</f>
        <v/>
      </c>
      <c r="E45" s="69" t="str">
        <f aca="false">IF($K45&lt;0,"",INDEX(YoY_Analysis!$H$6:$H$255,$L45))</f>
        <v/>
      </c>
      <c r="F45" s="69" t="str">
        <f aca="false">IF($K45&lt;0,"",INDEX(YoY_Analysis!$I$6:$I$255,$L45))</f>
        <v/>
      </c>
      <c r="G45" s="69" t="str">
        <f aca="false">IF($K45&lt;0,"",INDEX(YoY_Analysis!$J$6:$J$255,$L45))</f>
        <v/>
      </c>
      <c r="H45" s="78" t="str">
        <f aca="false">IF($K45&lt;0,"",INDEX(YoY_Analysis!$K$6:$K$255,$L45))</f>
        <v/>
      </c>
      <c r="I45" s="64" t="str">
        <f aca="false">IF($K45&lt;0,"",INDEX(YoY_Analysis!$P$6:$P$255,$L45))</f>
        <v/>
      </c>
      <c r="K45" s="67" t="n">
        <f aca="false">LARGE(YoY_Analysis!$R$6:$R$255,11)</f>
        <v>-1000000000000000</v>
      </c>
      <c r="L45" s="67" t="str">
        <f aca="false">IF($K45&lt;0,"",MATCH($K45,YoY_Analysis!$R$6:$R$255,0))</f>
        <v/>
      </c>
    </row>
    <row r="46" customFormat="false" ht="15" hidden="false" customHeight="false" outlineLevel="0" collapsed="false">
      <c r="A46" s="77" t="str">
        <f aca="false">IF($K46&lt;0,"",12)</f>
        <v/>
      </c>
      <c r="B46" s="68" t="str">
        <f aca="false">IF($K46&lt;0,"",INDEX(YoY_Analysis!$A$6:$A$255,$L46))</f>
        <v/>
      </c>
      <c r="C46" s="68" t="str">
        <f aca="false">IF($K46&lt;0,"",INDEX(YoY_Analysis!$B$6:$B$255,$L46))</f>
        <v/>
      </c>
      <c r="D46" s="68" t="str">
        <f aca="false">IF($K46&lt;0,"",INDEX(YoY_Analysis!$C$6:$C$255,$L46))</f>
        <v/>
      </c>
      <c r="E46" s="69" t="str">
        <f aca="false">IF($K46&lt;0,"",INDEX(YoY_Analysis!$H$6:$H$255,$L46))</f>
        <v/>
      </c>
      <c r="F46" s="69" t="str">
        <f aca="false">IF($K46&lt;0,"",INDEX(YoY_Analysis!$I$6:$I$255,$L46))</f>
        <v/>
      </c>
      <c r="G46" s="69" t="str">
        <f aca="false">IF($K46&lt;0,"",INDEX(YoY_Analysis!$J$6:$J$255,$L46))</f>
        <v/>
      </c>
      <c r="H46" s="78" t="str">
        <f aca="false">IF($K46&lt;0,"",INDEX(YoY_Analysis!$K$6:$K$255,$L46))</f>
        <v/>
      </c>
      <c r="I46" s="64" t="str">
        <f aca="false">IF($K46&lt;0,"",INDEX(YoY_Analysis!$P$6:$P$255,$L46))</f>
        <v/>
      </c>
      <c r="K46" s="67" t="n">
        <f aca="false">LARGE(YoY_Analysis!$R$6:$R$255,12)</f>
        <v>-1000000000000000</v>
      </c>
      <c r="L46" s="67" t="str">
        <f aca="false">IF($K46&lt;0,"",MATCH($K46,YoY_Analysis!$R$6:$R$255,0))</f>
        <v/>
      </c>
    </row>
    <row r="47" customFormat="false" ht="15" hidden="false" customHeight="false" outlineLevel="0" collapsed="false">
      <c r="A47" s="77" t="str">
        <f aca="false">IF($K47&lt;0,"",13)</f>
        <v/>
      </c>
      <c r="B47" s="68" t="str">
        <f aca="false">IF($K47&lt;0,"",INDEX(YoY_Analysis!$A$6:$A$255,$L47))</f>
        <v/>
      </c>
      <c r="C47" s="68" t="str">
        <f aca="false">IF($K47&lt;0,"",INDEX(YoY_Analysis!$B$6:$B$255,$L47))</f>
        <v/>
      </c>
      <c r="D47" s="68" t="str">
        <f aca="false">IF($K47&lt;0,"",INDEX(YoY_Analysis!$C$6:$C$255,$L47))</f>
        <v/>
      </c>
      <c r="E47" s="69" t="str">
        <f aca="false">IF($K47&lt;0,"",INDEX(YoY_Analysis!$H$6:$H$255,$L47))</f>
        <v/>
      </c>
      <c r="F47" s="69" t="str">
        <f aca="false">IF($K47&lt;0,"",INDEX(YoY_Analysis!$I$6:$I$255,$L47))</f>
        <v/>
      </c>
      <c r="G47" s="69" t="str">
        <f aca="false">IF($K47&lt;0,"",INDEX(YoY_Analysis!$J$6:$J$255,$L47))</f>
        <v/>
      </c>
      <c r="H47" s="78" t="str">
        <f aca="false">IF($K47&lt;0,"",INDEX(YoY_Analysis!$K$6:$K$255,$L47))</f>
        <v/>
      </c>
      <c r="I47" s="64" t="str">
        <f aca="false">IF($K47&lt;0,"",INDEX(YoY_Analysis!$P$6:$P$255,$L47))</f>
        <v/>
      </c>
      <c r="K47" s="67" t="n">
        <f aca="false">LARGE(YoY_Analysis!$R$6:$R$255,13)</f>
        <v>-1000000000000000</v>
      </c>
      <c r="L47" s="67" t="str">
        <f aca="false">IF($K47&lt;0,"",MATCH($K47,YoY_Analysis!$R$6:$R$255,0))</f>
        <v/>
      </c>
    </row>
    <row r="48" customFormat="false" ht="15" hidden="false" customHeight="false" outlineLevel="0" collapsed="false">
      <c r="A48" s="77" t="str">
        <f aca="false">IF($K48&lt;0,"",14)</f>
        <v/>
      </c>
      <c r="B48" s="68" t="str">
        <f aca="false">IF($K48&lt;0,"",INDEX(YoY_Analysis!$A$6:$A$255,$L48))</f>
        <v/>
      </c>
      <c r="C48" s="68" t="str">
        <f aca="false">IF($K48&lt;0,"",INDEX(YoY_Analysis!$B$6:$B$255,$L48))</f>
        <v/>
      </c>
      <c r="D48" s="68" t="str">
        <f aca="false">IF($K48&lt;0,"",INDEX(YoY_Analysis!$C$6:$C$255,$L48))</f>
        <v/>
      </c>
      <c r="E48" s="69" t="str">
        <f aca="false">IF($K48&lt;0,"",INDEX(YoY_Analysis!$H$6:$H$255,$L48))</f>
        <v/>
      </c>
      <c r="F48" s="69" t="str">
        <f aca="false">IF($K48&lt;0,"",INDEX(YoY_Analysis!$I$6:$I$255,$L48))</f>
        <v/>
      </c>
      <c r="G48" s="69" t="str">
        <f aca="false">IF($K48&lt;0,"",INDEX(YoY_Analysis!$J$6:$J$255,$L48))</f>
        <v/>
      </c>
      <c r="H48" s="78" t="str">
        <f aca="false">IF($K48&lt;0,"",INDEX(YoY_Analysis!$K$6:$K$255,$L48))</f>
        <v/>
      </c>
      <c r="I48" s="64" t="str">
        <f aca="false">IF($K48&lt;0,"",INDEX(YoY_Analysis!$P$6:$P$255,$L48))</f>
        <v/>
      </c>
      <c r="K48" s="67" t="n">
        <f aca="false">LARGE(YoY_Analysis!$R$6:$R$255,14)</f>
        <v>-1000000000000000</v>
      </c>
      <c r="L48" s="67" t="str">
        <f aca="false">IF($K48&lt;0,"",MATCH($K48,YoY_Analysis!$R$6:$R$255,0))</f>
        <v/>
      </c>
    </row>
    <row r="49" customFormat="false" ht="15" hidden="false" customHeight="false" outlineLevel="0" collapsed="false">
      <c r="A49" s="77" t="str">
        <f aca="false">IF($K49&lt;0,"",15)</f>
        <v/>
      </c>
      <c r="B49" s="68" t="str">
        <f aca="false">IF($K49&lt;0,"",INDEX(YoY_Analysis!$A$6:$A$255,$L49))</f>
        <v/>
      </c>
      <c r="C49" s="68" t="str">
        <f aca="false">IF($K49&lt;0,"",INDEX(YoY_Analysis!$B$6:$B$255,$L49))</f>
        <v/>
      </c>
      <c r="D49" s="68" t="str">
        <f aca="false">IF($K49&lt;0,"",INDEX(YoY_Analysis!$C$6:$C$255,$L49))</f>
        <v/>
      </c>
      <c r="E49" s="69" t="str">
        <f aca="false">IF($K49&lt;0,"",INDEX(YoY_Analysis!$H$6:$H$255,$L49))</f>
        <v/>
      </c>
      <c r="F49" s="69" t="str">
        <f aca="false">IF($K49&lt;0,"",INDEX(YoY_Analysis!$I$6:$I$255,$L49))</f>
        <v/>
      </c>
      <c r="G49" s="69" t="str">
        <f aca="false">IF($K49&lt;0,"",INDEX(YoY_Analysis!$J$6:$J$255,$L49))</f>
        <v/>
      </c>
      <c r="H49" s="78" t="str">
        <f aca="false">IF($K49&lt;0,"",INDEX(YoY_Analysis!$K$6:$K$255,$L49))</f>
        <v/>
      </c>
      <c r="I49" s="64" t="str">
        <f aca="false">IF($K49&lt;0,"",INDEX(YoY_Analysis!$P$6:$P$255,$L49))</f>
        <v/>
      </c>
      <c r="K49" s="67" t="n">
        <f aca="false">LARGE(YoY_Analysis!$R$6:$R$255,15)</f>
        <v>-1000000000000000</v>
      </c>
      <c r="L49" s="67" t="str">
        <f aca="false">IF($K49&lt;0,"",MATCH($K49,YoY_Analysis!$R$6:$R$255,0))</f>
        <v/>
      </c>
    </row>
    <row r="50" customFormat="false" ht="15" hidden="false" customHeight="false" outlineLevel="0" collapsed="false">
      <c r="A50" s="77" t="str">
        <f aca="false">IF($K50&lt;0,"",16)</f>
        <v/>
      </c>
      <c r="B50" s="68" t="str">
        <f aca="false">IF($K50&lt;0,"",INDEX(YoY_Analysis!$A$6:$A$255,$L50))</f>
        <v/>
      </c>
      <c r="C50" s="68" t="str">
        <f aca="false">IF($K50&lt;0,"",INDEX(YoY_Analysis!$B$6:$B$255,$L50))</f>
        <v/>
      </c>
      <c r="D50" s="68" t="str">
        <f aca="false">IF($K50&lt;0,"",INDEX(YoY_Analysis!$C$6:$C$255,$L50))</f>
        <v/>
      </c>
      <c r="E50" s="69" t="str">
        <f aca="false">IF($K50&lt;0,"",INDEX(YoY_Analysis!$H$6:$H$255,$L50))</f>
        <v/>
      </c>
      <c r="F50" s="69" t="str">
        <f aca="false">IF($K50&lt;0,"",INDEX(YoY_Analysis!$I$6:$I$255,$L50))</f>
        <v/>
      </c>
      <c r="G50" s="69" t="str">
        <f aca="false">IF($K50&lt;0,"",INDEX(YoY_Analysis!$J$6:$J$255,$L50))</f>
        <v/>
      </c>
      <c r="H50" s="78" t="str">
        <f aca="false">IF($K50&lt;0,"",INDEX(YoY_Analysis!$K$6:$K$255,$L50))</f>
        <v/>
      </c>
      <c r="I50" s="64" t="str">
        <f aca="false">IF($K50&lt;0,"",INDEX(YoY_Analysis!$P$6:$P$255,$L50))</f>
        <v/>
      </c>
      <c r="K50" s="67" t="n">
        <f aca="false">LARGE(YoY_Analysis!$R$6:$R$255,16)</f>
        <v>-1000000000000000</v>
      </c>
      <c r="L50" s="67" t="str">
        <f aca="false">IF($K50&lt;0,"",MATCH($K50,YoY_Analysis!$R$6:$R$255,0))</f>
        <v/>
      </c>
    </row>
    <row r="51" customFormat="false" ht="15" hidden="false" customHeight="false" outlineLevel="0" collapsed="false">
      <c r="A51" s="77" t="str">
        <f aca="false">IF($K51&lt;0,"",17)</f>
        <v/>
      </c>
      <c r="B51" s="68" t="str">
        <f aca="false">IF($K51&lt;0,"",INDEX(YoY_Analysis!$A$6:$A$255,$L51))</f>
        <v/>
      </c>
      <c r="C51" s="68" t="str">
        <f aca="false">IF($K51&lt;0,"",INDEX(YoY_Analysis!$B$6:$B$255,$L51))</f>
        <v/>
      </c>
      <c r="D51" s="68" t="str">
        <f aca="false">IF($K51&lt;0,"",INDEX(YoY_Analysis!$C$6:$C$255,$L51))</f>
        <v/>
      </c>
      <c r="E51" s="69" t="str">
        <f aca="false">IF($K51&lt;0,"",INDEX(YoY_Analysis!$H$6:$H$255,$L51))</f>
        <v/>
      </c>
      <c r="F51" s="69" t="str">
        <f aca="false">IF($K51&lt;0,"",INDEX(YoY_Analysis!$I$6:$I$255,$L51))</f>
        <v/>
      </c>
      <c r="G51" s="69" t="str">
        <f aca="false">IF($K51&lt;0,"",INDEX(YoY_Analysis!$J$6:$J$255,$L51))</f>
        <v/>
      </c>
      <c r="H51" s="78" t="str">
        <f aca="false">IF($K51&lt;0,"",INDEX(YoY_Analysis!$K$6:$K$255,$L51))</f>
        <v/>
      </c>
      <c r="I51" s="64" t="str">
        <f aca="false">IF($K51&lt;0,"",INDEX(YoY_Analysis!$P$6:$P$255,$L51))</f>
        <v/>
      </c>
      <c r="K51" s="67" t="n">
        <f aca="false">LARGE(YoY_Analysis!$R$6:$R$255,17)</f>
        <v>-1000000000000000</v>
      </c>
      <c r="L51" s="67" t="str">
        <f aca="false">IF($K51&lt;0,"",MATCH($K51,YoY_Analysis!$R$6:$R$255,0))</f>
        <v/>
      </c>
    </row>
    <row r="52" customFormat="false" ht="15" hidden="false" customHeight="false" outlineLevel="0" collapsed="false">
      <c r="A52" s="77" t="str">
        <f aca="false">IF($K52&lt;0,"",18)</f>
        <v/>
      </c>
      <c r="B52" s="68" t="str">
        <f aca="false">IF($K52&lt;0,"",INDEX(YoY_Analysis!$A$6:$A$255,$L52))</f>
        <v/>
      </c>
      <c r="C52" s="68" t="str">
        <f aca="false">IF($K52&lt;0,"",INDEX(YoY_Analysis!$B$6:$B$255,$L52))</f>
        <v/>
      </c>
      <c r="D52" s="68" t="str">
        <f aca="false">IF($K52&lt;0,"",INDEX(YoY_Analysis!$C$6:$C$255,$L52))</f>
        <v/>
      </c>
      <c r="E52" s="69" t="str">
        <f aca="false">IF($K52&lt;0,"",INDEX(YoY_Analysis!$H$6:$H$255,$L52))</f>
        <v/>
      </c>
      <c r="F52" s="69" t="str">
        <f aca="false">IF($K52&lt;0,"",INDEX(YoY_Analysis!$I$6:$I$255,$L52))</f>
        <v/>
      </c>
      <c r="G52" s="69" t="str">
        <f aca="false">IF($K52&lt;0,"",INDEX(YoY_Analysis!$J$6:$J$255,$L52))</f>
        <v/>
      </c>
      <c r="H52" s="78" t="str">
        <f aca="false">IF($K52&lt;0,"",INDEX(YoY_Analysis!$K$6:$K$255,$L52))</f>
        <v/>
      </c>
      <c r="I52" s="64" t="str">
        <f aca="false">IF($K52&lt;0,"",INDEX(YoY_Analysis!$P$6:$P$255,$L52))</f>
        <v/>
      </c>
      <c r="K52" s="67" t="n">
        <f aca="false">LARGE(YoY_Analysis!$R$6:$R$255,18)</f>
        <v>-1000000000000000</v>
      </c>
      <c r="L52" s="67" t="str">
        <f aca="false">IF($K52&lt;0,"",MATCH($K52,YoY_Analysis!$R$6:$R$255,0))</f>
        <v/>
      </c>
    </row>
    <row r="53" customFormat="false" ht="15" hidden="false" customHeight="false" outlineLevel="0" collapsed="false">
      <c r="A53" s="77" t="str">
        <f aca="false">IF($K53&lt;0,"",19)</f>
        <v/>
      </c>
      <c r="B53" s="68" t="str">
        <f aca="false">IF($K53&lt;0,"",INDEX(YoY_Analysis!$A$6:$A$255,$L53))</f>
        <v/>
      </c>
      <c r="C53" s="68" t="str">
        <f aca="false">IF($K53&lt;0,"",INDEX(YoY_Analysis!$B$6:$B$255,$L53))</f>
        <v/>
      </c>
      <c r="D53" s="68" t="str">
        <f aca="false">IF($K53&lt;0,"",INDEX(YoY_Analysis!$C$6:$C$255,$L53))</f>
        <v/>
      </c>
      <c r="E53" s="69" t="str">
        <f aca="false">IF($K53&lt;0,"",INDEX(YoY_Analysis!$H$6:$H$255,$L53))</f>
        <v/>
      </c>
      <c r="F53" s="69" t="str">
        <f aca="false">IF($K53&lt;0,"",INDEX(YoY_Analysis!$I$6:$I$255,$L53))</f>
        <v/>
      </c>
      <c r="G53" s="69" t="str">
        <f aca="false">IF($K53&lt;0,"",INDEX(YoY_Analysis!$J$6:$J$255,$L53))</f>
        <v/>
      </c>
      <c r="H53" s="78" t="str">
        <f aca="false">IF($K53&lt;0,"",INDEX(YoY_Analysis!$K$6:$K$255,$L53))</f>
        <v/>
      </c>
      <c r="I53" s="64" t="str">
        <f aca="false">IF($K53&lt;0,"",INDEX(YoY_Analysis!$P$6:$P$255,$L53))</f>
        <v/>
      </c>
      <c r="K53" s="67" t="n">
        <f aca="false">LARGE(YoY_Analysis!$R$6:$R$255,19)</f>
        <v>-1000000000000000</v>
      </c>
      <c r="L53" s="67" t="str">
        <f aca="false">IF($K53&lt;0,"",MATCH($K53,YoY_Analysis!$R$6:$R$255,0))</f>
        <v/>
      </c>
    </row>
    <row r="54" customFormat="false" ht="15" hidden="false" customHeight="false" outlineLevel="0" collapsed="false">
      <c r="A54" s="77" t="str">
        <f aca="false">IF($K54&lt;0,"",20)</f>
        <v/>
      </c>
      <c r="B54" s="68" t="str">
        <f aca="false">IF($K54&lt;0,"",INDEX(YoY_Analysis!$A$6:$A$255,$L54))</f>
        <v/>
      </c>
      <c r="C54" s="68" t="str">
        <f aca="false">IF($K54&lt;0,"",INDEX(YoY_Analysis!$B$6:$B$255,$L54))</f>
        <v/>
      </c>
      <c r="D54" s="68" t="str">
        <f aca="false">IF($K54&lt;0,"",INDEX(YoY_Analysis!$C$6:$C$255,$L54))</f>
        <v/>
      </c>
      <c r="E54" s="69" t="str">
        <f aca="false">IF($K54&lt;0,"",INDEX(YoY_Analysis!$H$6:$H$255,$L54))</f>
        <v/>
      </c>
      <c r="F54" s="69" t="str">
        <f aca="false">IF($K54&lt;0,"",INDEX(YoY_Analysis!$I$6:$I$255,$L54))</f>
        <v/>
      </c>
      <c r="G54" s="69" t="str">
        <f aca="false">IF($K54&lt;0,"",INDEX(YoY_Analysis!$J$6:$J$255,$L54))</f>
        <v/>
      </c>
      <c r="H54" s="78" t="str">
        <f aca="false">IF($K54&lt;0,"",INDEX(YoY_Analysis!$K$6:$K$255,$L54))</f>
        <v/>
      </c>
      <c r="I54" s="64" t="str">
        <f aca="false">IF($K54&lt;0,"",INDEX(YoY_Analysis!$P$6:$P$255,$L54))</f>
        <v/>
      </c>
      <c r="K54" s="67" t="n">
        <f aca="false">LARGE(YoY_Analysis!$R$6:$R$255,20)</f>
        <v>-1000000000000000</v>
      </c>
      <c r="L54" s="67" t="str">
        <f aca="false">IF($K54&lt;0,"",MATCH($K54,YoY_Analysis!$R$6:$R$255,0))</f>
        <v/>
      </c>
    </row>
    <row r="55" customFormat="false" ht="15" hidden="false" customHeight="false" outlineLevel="0" collapsed="false">
      <c r="A55" s="77" t="str">
        <f aca="false">IF($K55&lt;0,"",21)</f>
        <v/>
      </c>
      <c r="B55" s="68" t="str">
        <f aca="false">IF($K55&lt;0,"",INDEX(YoY_Analysis!$A$6:$A$255,$L55))</f>
        <v/>
      </c>
      <c r="C55" s="68" t="str">
        <f aca="false">IF($K55&lt;0,"",INDEX(YoY_Analysis!$B$6:$B$255,$L55))</f>
        <v/>
      </c>
      <c r="D55" s="68" t="str">
        <f aca="false">IF($K55&lt;0,"",INDEX(YoY_Analysis!$C$6:$C$255,$L55))</f>
        <v/>
      </c>
      <c r="E55" s="69" t="str">
        <f aca="false">IF($K55&lt;0,"",INDEX(YoY_Analysis!$H$6:$H$255,$L55))</f>
        <v/>
      </c>
      <c r="F55" s="69" t="str">
        <f aca="false">IF($K55&lt;0,"",INDEX(YoY_Analysis!$I$6:$I$255,$L55))</f>
        <v/>
      </c>
      <c r="G55" s="69" t="str">
        <f aca="false">IF($K55&lt;0,"",INDEX(YoY_Analysis!$J$6:$J$255,$L55))</f>
        <v/>
      </c>
      <c r="H55" s="78" t="str">
        <f aca="false">IF($K55&lt;0,"",INDEX(YoY_Analysis!$K$6:$K$255,$L55))</f>
        <v/>
      </c>
      <c r="I55" s="64" t="str">
        <f aca="false">IF($K55&lt;0,"",INDEX(YoY_Analysis!$P$6:$P$255,$L55))</f>
        <v/>
      </c>
      <c r="K55" s="67" t="n">
        <f aca="false">LARGE(YoY_Analysis!$R$6:$R$255,21)</f>
        <v>-1000000000000000</v>
      </c>
      <c r="L55" s="67" t="str">
        <f aca="false">IF($K55&lt;0,"",MATCH($K55,YoY_Analysis!$R$6:$R$255,0))</f>
        <v/>
      </c>
    </row>
    <row r="56" customFormat="false" ht="15" hidden="false" customHeight="false" outlineLevel="0" collapsed="false">
      <c r="A56" s="77" t="str">
        <f aca="false">IF($K56&lt;0,"",22)</f>
        <v/>
      </c>
      <c r="B56" s="68" t="str">
        <f aca="false">IF($K56&lt;0,"",INDEX(YoY_Analysis!$A$6:$A$255,$L56))</f>
        <v/>
      </c>
      <c r="C56" s="68" t="str">
        <f aca="false">IF($K56&lt;0,"",INDEX(YoY_Analysis!$B$6:$B$255,$L56))</f>
        <v/>
      </c>
      <c r="D56" s="68" t="str">
        <f aca="false">IF($K56&lt;0,"",INDEX(YoY_Analysis!$C$6:$C$255,$L56))</f>
        <v/>
      </c>
      <c r="E56" s="69" t="str">
        <f aca="false">IF($K56&lt;0,"",INDEX(YoY_Analysis!$H$6:$H$255,$L56))</f>
        <v/>
      </c>
      <c r="F56" s="69" t="str">
        <f aca="false">IF($K56&lt;0,"",INDEX(YoY_Analysis!$I$6:$I$255,$L56))</f>
        <v/>
      </c>
      <c r="G56" s="69" t="str">
        <f aca="false">IF($K56&lt;0,"",INDEX(YoY_Analysis!$J$6:$J$255,$L56))</f>
        <v/>
      </c>
      <c r="H56" s="78" t="str">
        <f aca="false">IF($K56&lt;0,"",INDEX(YoY_Analysis!$K$6:$K$255,$L56))</f>
        <v/>
      </c>
      <c r="I56" s="64" t="str">
        <f aca="false">IF($K56&lt;0,"",INDEX(YoY_Analysis!$P$6:$P$255,$L56))</f>
        <v/>
      </c>
      <c r="K56" s="67" t="n">
        <f aca="false">LARGE(YoY_Analysis!$R$6:$R$255,22)</f>
        <v>-1000000000000000</v>
      </c>
      <c r="L56" s="67" t="str">
        <f aca="false">IF($K56&lt;0,"",MATCH($K56,YoY_Analysis!$R$6:$R$255,0))</f>
        <v/>
      </c>
    </row>
    <row r="57" customFormat="false" ht="15" hidden="false" customHeight="false" outlineLevel="0" collapsed="false">
      <c r="A57" s="77" t="str">
        <f aca="false">IF($K57&lt;0,"",23)</f>
        <v/>
      </c>
      <c r="B57" s="68" t="str">
        <f aca="false">IF($K57&lt;0,"",INDEX(YoY_Analysis!$A$6:$A$255,$L57))</f>
        <v/>
      </c>
      <c r="C57" s="68" t="str">
        <f aca="false">IF($K57&lt;0,"",INDEX(YoY_Analysis!$B$6:$B$255,$L57))</f>
        <v/>
      </c>
      <c r="D57" s="68" t="str">
        <f aca="false">IF($K57&lt;0,"",INDEX(YoY_Analysis!$C$6:$C$255,$L57))</f>
        <v/>
      </c>
      <c r="E57" s="69" t="str">
        <f aca="false">IF($K57&lt;0,"",INDEX(YoY_Analysis!$H$6:$H$255,$L57))</f>
        <v/>
      </c>
      <c r="F57" s="69" t="str">
        <f aca="false">IF($K57&lt;0,"",INDEX(YoY_Analysis!$I$6:$I$255,$L57))</f>
        <v/>
      </c>
      <c r="G57" s="69" t="str">
        <f aca="false">IF($K57&lt;0,"",INDEX(YoY_Analysis!$J$6:$J$255,$L57))</f>
        <v/>
      </c>
      <c r="H57" s="78" t="str">
        <f aca="false">IF($K57&lt;0,"",INDEX(YoY_Analysis!$K$6:$K$255,$L57))</f>
        <v/>
      </c>
      <c r="I57" s="64" t="str">
        <f aca="false">IF($K57&lt;0,"",INDEX(YoY_Analysis!$P$6:$P$255,$L57))</f>
        <v/>
      </c>
      <c r="K57" s="67" t="n">
        <f aca="false">LARGE(YoY_Analysis!$R$6:$R$255,23)</f>
        <v>-1000000000000000</v>
      </c>
      <c r="L57" s="67" t="str">
        <f aca="false">IF($K57&lt;0,"",MATCH($K57,YoY_Analysis!$R$6:$R$255,0))</f>
        <v/>
      </c>
    </row>
    <row r="58" customFormat="false" ht="15" hidden="false" customHeight="false" outlineLevel="0" collapsed="false">
      <c r="A58" s="77" t="str">
        <f aca="false">IF($K58&lt;0,"",24)</f>
        <v/>
      </c>
      <c r="B58" s="68" t="str">
        <f aca="false">IF($K58&lt;0,"",INDEX(YoY_Analysis!$A$6:$A$255,$L58))</f>
        <v/>
      </c>
      <c r="C58" s="68" t="str">
        <f aca="false">IF($K58&lt;0,"",INDEX(YoY_Analysis!$B$6:$B$255,$L58))</f>
        <v/>
      </c>
      <c r="D58" s="68" t="str">
        <f aca="false">IF($K58&lt;0,"",INDEX(YoY_Analysis!$C$6:$C$255,$L58))</f>
        <v/>
      </c>
      <c r="E58" s="69" t="str">
        <f aca="false">IF($K58&lt;0,"",INDEX(YoY_Analysis!$H$6:$H$255,$L58))</f>
        <v/>
      </c>
      <c r="F58" s="69" t="str">
        <f aca="false">IF($K58&lt;0,"",INDEX(YoY_Analysis!$I$6:$I$255,$L58))</f>
        <v/>
      </c>
      <c r="G58" s="69" t="str">
        <f aca="false">IF($K58&lt;0,"",INDEX(YoY_Analysis!$J$6:$J$255,$L58))</f>
        <v/>
      </c>
      <c r="H58" s="78" t="str">
        <f aca="false">IF($K58&lt;0,"",INDEX(YoY_Analysis!$K$6:$K$255,$L58))</f>
        <v/>
      </c>
      <c r="I58" s="64" t="str">
        <f aca="false">IF($K58&lt;0,"",INDEX(YoY_Analysis!$P$6:$P$255,$L58))</f>
        <v/>
      </c>
      <c r="K58" s="67" t="n">
        <f aca="false">LARGE(YoY_Analysis!$R$6:$R$255,24)</f>
        <v>-1000000000000000</v>
      </c>
      <c r="L58" s="67" t="str">
        <f aca="false">IF($K58&lt;0,"",MATCH($K58,YoY_Analysis!$R$6:$R$255,0))</f>
        <v/>
      </c>
    </row>
    <row r="59" customFormat="false" ht="15" hidden="false" customHeight="false" outlineLevel="0" collapsed="false">
      <c r="A59" s="77" t="str">
        <f aca="false">IF($K59&lt;0,"",25)</f>
        <v/>
      </c>
      <c r="B59" s="68" t="str">
        <f aca="false">IF($K59&lt;0,"",INDEX(YoY_Analysis!$A$6:$A$255,$L59))</f>
        <v/>
      </c>
      <c r="C59" s="68" t="str">
        <f aca="false">IF($K59&lt;0,"",INDEX(YoY_Analysis!$B$6:$B$255,$L59))</f>
        <v/>
      </c>
      <c r="D59" s="68" t="str">
        <f aca="false">IF($K59&lt;0,"",INDEX(YoY_Analysis!$C$6:$C$255,$L59))</f>
        <v/>
      </c>
      <c r="E59" s="69" t="str">
        <f aca="false">IF($K59&lt;0,"",INDEX(YoY_Analysis!$H$6:$H$255,$L59))</f>
        <v/>
      </c>
      <c r="F59" s="69" t="str">
        <f aca="false">IF($K59&lt;0,"",INDEX(YoY_Analysis!$I$6:$I$255,$L59))</f>
        <v/>
      </c>
      <c r="G59" s="69" t="str">
        <f aca="false">IF($K59&lt;0,"",INDEX(YoY_Analysis!$J$6:$J$255,$L59))</f>
        <v/>
      </c>
      <c r="H59" s="78" t="str">
        <f aca="false">IF($K59&lt;0,"",INDEX(YoY_Analysis!$K$6:$K$255,$L59))</f>
        <v/>
      </c>
      <c r="I59" s="64" t="str">
        <f aca="false">IF($K59&lt;0,"",INDEX(YoY_Analysis!$P$6:$P$255,$L59))</f>
        <v/>
      </c>
      <c r="K59" s="67" t="n">
        <f aca="false">LARGE(YoY_Analysis!$R$6:$R$255,25)</f>
        <v>-1000000000000000</v>
      </c>
      <c r="L59" s="67" t="str">
        <f aca="false">IF($K59&lt;0,"",MATCH($K59,YoY_Analysis!$R$6:$R$255,0))</f>
        <v/>
      </c>
    </row>
  </sheetData>
  <conditionalFormatting sqref="A6:I30">
    <cfRule type="expression" priority="2" aboveAverage="0" equalAverage="0" bottom="0" percent="0" rank="0" text="" dxfId="6">
      <formula>$I6="High"</formula>
    </cfRule>
    <cfRule type="expression" priority="3" aboveAverage="0" equalAverage="0" bottom="0" percent="0" rank="0" text="" dxfId="7">
      <formula>$I6="Medium"</formula>
    </cfRule>
    <cfRule type="expression" priority="4" aboveAverage="0" equalAverage="0" bottom="0" percent="0" rank="0" text="" dxfId="5">
      <formula>$I6="No Activity"</formula>
    </cfRule>
  </conditionalFormatting>
  <conditionalFormatting sqref="I6:I30">
    <cfRule type="expression" priority="5" aboveAverage="0" equalAverage="0" bottom="0" percent="0" rank="0" text="" dxfId="0">
      <formula>$I6="High"</formula>
    </cfRule>
    <cfRule type="expression" priority="6" aboveAverage="0" equalAverage="0" bottom="0" percent="0" rank="0" text="" dxfId="4">
      <formula>$I6="Medium"</formula>
    </cfRule>
    <cfRule type="expression" priority="7" aboveAverage="0" equalAverage="0" bottom="0" percent="0" rank="0" text="" dxfId="1">
      <formula>$I6="Low"</formula>
    </cfRule>
    <cfRule type="expression" priority="8" aboveAverage="0" equalAverage="0" bottom="0" percent="0" rank="0" text="" dxfId="8">
      <formula>$I6="No Activity"</formula>
    </cfRule>
  </conditionalFormatting>
  <conditionalFormatting sqref="A35:I59">
    <cfRule type="expression" priority="9" aboveAverage="0" equalAverage="0" bottom="0" percent="0" rank="0" text="" dxfId="6">
      <formula>$I35="High"</formula>
    </cfRule>
    <cfRule type="expression" priority="10" aboveAverage="0" equalAverage="0" bottom="0" percent="0" rank="0" text="" dxfId="7">
      <formula>$I35="Medium"</formula>
    </cfRule>
    <cfRule type="expression" priority="11" aboveAverage="0" equalAverage="0" bottom="0" percent="0" rank="0" text="" dxfId="5">
      <formula>$I35="No Activity"</formula>
    </cfRule>
  </conditionalFormatting>
  <conditionalFormatting sqref="I35:I59">
    <cfRule type="expression" priority="12" aboveAverage="0" equalAverage="0" bottom="0" percent="0" rank="0" text="" dxfId="0">
      <formula>$I35="High"</formula>
    </cfRule>
    <cfRule type="expression" priority="13" aboveAverage="0" equalAverage="0" bottom="0" percent="0" rank="0" text="" dxfId="4">
      <formula>$I35="Medium"</formula>
    </cfRule>
    <cfRule type="expression" priority="14" aboveAverage="0" equalAverage="0" bottom="0" percent="0" rank="0" text="" dxfId="1">
      <formula>$I35="Low"</formula>
    </cfRule>
    <cfRule type="expression" priority="15" aboveAverage="0" equalAverage="0" bottom="0" percent="0" rank="0" text="" dxfId="8">
      <formula>$I35="No Activity"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4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62"/>
  </cols>
  <sheetData>
    <row r="1" customFormat="false" ht="18.55" hidden="false" customHeight="false" outlineLevel="0" collapsed="false">
      <c r="A1" s="1" t="s">
        <v>438</v>
      </c>
    </row>
    <row r="2" customFormat="false" ht="15" hidden="false" customHeight="false" outlineLevel="0" collapsed="false">
      <c r="A2" s="2" t="s">
        <v>439</v>
      </c>
    </row>
    <row r="5" customFormat="false" ht="31.5" hidden="false" customHeight="true" outlineLevel="0" collapsed="false">
      <c r="A5" s="30" t="s">
        <v>440</v>
      </c>
      <c r="B5" s="30" t="s">
        <v>441</v>
      </c>
      <c r="C5" s="30" t="s">
        <v>442</v>
      </c>
      <c r="D5" s="30" t="s">
        <v>443</v>
      </c>
      <c r="E5" s="30" t="s">
        <v>145</v>
      </c>
      <c r="F5" s="30" t="s">
        <v>444</v>
      </c>
      <c r="G5" s="30" t="s">
        <v>445</v>
      </c>
    </row>
    <row r="6" customFormat="false" ht="30" hidden="false" customHeight="true" outlineLevel="0" collapsed="false">
      <c r="A6" s="64" t="s">
        <v>446</v>
      </c>
      <c r="B6" s="79" t="s">
        <v>447</v>
      </c>
      <c r="C6" s="65" t="n">
        <f aca="false">ROUND(SUM(GL_Data!$G$8:$G$5007)-SUM(GL_Data!$H$8:$H$5007),2)</f>
        <v>0</v>
      </c>
      <c r="D6" s="80" t="n">
        <f aca="false">0</f>
        <v>0</v>
      </c>
      <c r="E6" s="56" t="str">
        <f aca="false">IF(ROUND($C6,2)=0,"PASS","FAIL")</f>
        <v>PASS</v>
      </c>
      <c r="F6" s="80" t="s">
        <v>448</v>
      </c>
      <c r="G6" s="81" t="s">
        <v>449</v>
      </c>
    </row>
    <row r="7" customFormat="false" ht="30" hidden="false" customHeight="true" outlineLevel="0" collapsed="false">
      <c r="A7" s="64" t="s">
        <v>450</v>
      </c>
      <c r="B7" s="79" t="s">
        <v>451</v>
      </c>
      <c r="C7" s="65" t="n">
        <f aca="false">ROUND(SUM(GL_Data!$I$8:$I$5007),2)</f>
        <v>0</v>
      </c>
      <c r="D7" s="80" t="n">
        <f aca="false">0</f>
        <v>0</v>
      </c>
      <c r="E7" s="56" t="str">
        <f aca="false">IF(ROUND($C7,2)=0,"PASS","FAIL")</f>
        <v>PASS</v>
      </c>
      <c r="F7" s="80" t="s">
        <v>448</v>
      </c>
      <c r="G7" s="81" t="s">
        <v>452</v>
      </c>
    </row>
    <row r="8" customFormat="false" ht="30" hidden="false" customHeight="true" outlineLevel="0" collapsed="false">
      <c r="A8" s="64" t="s">
        <v>453</v>
      </c>
      <c r="B8" s="79" t="s">
        <v>454</v>
      </c>
      <c r="C8" s="63" t="n">
        <f aca="false">COUNTIF(GL_Data!$T$8:$T$5007,"UNMAPPED")</f>
        <v>0</v>
      </c>
      <c r="D8" s="80" t="n">
        <f aca="false">0</f>
        <v>0</v>
      </c>
      <c r="E8" s="56" t="str">
        <f aca="false">IF(ROUND($C8,2)=0,"PASS","FAIL")</f>
        <v>PASS</v>
      </c>
      <c r="F8" s="80" t="s">
        <v>448</v>
      </c>
      <c r="G8" s="81" t="s">
        <v>455</v>
      </c>
    </row>
    <row r="9" customFormat="false" ht="30" hidden="false" customHeight="true" outlineLevel="0" collapsed="false">
      <c r="A9" s="64" t="s">
        <v>456</v>
      </c>
      <c r="B9" s="79" t="s">
        <v>457</v>
      </c>
      <c r="C9" s="63" t="n">
        <f aca="false">COUNTIF(GL_Data!$T$8:$T$5007,"NO ACCOUNT")</f>
        <v>0</v>
      </c>
      <c r="D9" s="80" t="n">
        <f aca="false">0</f>
        <v>0</v>
      </c>
      <c r="E9" s="56" t="str">
        <f aca="false">IF(ROUND($C9,2)=0,"PASS","FAIL")</f>
        <v>PASS</v>
      </c>
      <c r="F9" s="80" t="s">
        <v>448</v>
      </c>
      <c r="G9" s="81" t="s">
        <v>458</v>
      </c>
    </row>
    <row r="10" customFormat="false" ht="30" hidden="false" customHeight="true" outlineLevel="0" collapsed="false">
      <c r="A10" s="64" t="s">
        <v>459</v>
      </c>
      <c r="B10" s="79" t="s">
        <v>460</v>
      </c>
      <c r="C10" s="63" t="n">
        <f aca="false">SUMPRODUCT(--(Data_Engine!$A$6:$A$255&amp;""&lt;&gt;COA_Mapping!$A$7:$A$256&amp;""))</f>
        <v>0</v>
      </c>
      <c r="D10" s="80" t="n">
        <f aca="false">0</f>
        <v>0</v>
      </c>
      <c r="E10" s="56" t="str">
        <f aca="false">IF(ROUND($C10,2)=0,"PASS","FAIL")</f>
        <v>PASS</v>
      </c>
      <c r="F10" s="80" t="s">
        <v>448</v>
      </c>
      <c r="G10" s="81" t="s">
        <v>461</v>
      </c>
    </row>
    <row r="11" customFormat="false" ht="30" hidden="false" customHeight="true" outlineLevel="0" collapsed="false">
      <c r="A11" s="64" t="s">
        <v>462</v>
      </c>
      <c r="B11" s="79" t="s">
        <v>463</v>
      </c>
      <c r="C11" s="63" t="n">
        <f aca="false">COUNTIFS(GL_Data!$J$8:$J$5007,Setup!$B$7,GL_Data!$K$8:$K$5007,Setup!$B$8)</f>
        <v>0</v>
      </c>
      <c r="D11" s="80" t="s">
        <v>464</v>
      </c>
      <c r="E11" s="56" t="str">
        <f aca="false">IF($C11&gt;0,"PASS","FAIL")</f>
        <v>FAIL</v>
      </c>
      <c r="F11" s="80" t="s">
        <v>448</v>
      </c>
      <c r="G11" s="81" t="s">
        <v>465</v>
      </c>
    </row>
    <row r="12" customFormat="false" ht="30" hidden="false" customHeight="true" outlineLevel="0" collapsed="false">
      <c r="A12" s="64" t="s">
        <v>466</v>
      </c>
      <c r="B12" s="79" t="s">
        <v>467</v>
      </c>
      <c r="C12" s="63" t="n">
        <f aca="false">COUNTIF(GL_Data!$J$8:$J$5007,Setup!$B$9)</f>
        <v>0</v>
      </c>
      <c r="D12" s="80" t="s">
        <v>464</v>
      </c>
      <c r="E12" s="56" t="str">
        <f aca="false">IF($C12&gt;0,"PASS","REVIEW")</f>
        <v>REVIEW</v>
      </c>
      <c r="F12" s="80" t="s">
        <v>407</v>
      </c>
      <c r="G12" s="81" t="s">
        <v>468</v>
      </c>
    </row>
    <row r="13" customFormat="false" ht="30" hidden="false" customHeight="true" outlineLevel="0" collapsed="false">
      <c r="A13" s="64" t="s">
        <v>469</v>
      </c>
      <c r="B13" s="79" t="s">
        <v>470</v>
      </c>
      <c r="C13" s="63" t="n">
        <f aca="false">COUNTIF(GL_Data!$T$8:$T$5007,"OUTSIDE FY RANGE")</f>
        <v>0</v>
      </c>
      <c r="D13" s="80" t="n">
        <f aca="false">0</f>
        <v>0</v>
      </c>
      <c r="E13" s="56" t="str">
        <f aca="false">IF(ROUND($C13,2)=0,"PASS","REVIEW")</f>
        <v>PASS</v>
      </c>
      <c r="F13" s="80" t="s">
        <v>407</v>
      </c>
      <c r="G13" s="81" t="s">
        <v>471</v>
      </c>
    </row>
    <row r="14" customFormat="false" ht="30" hidden="false" customHeight="true" outlineLevel="0" collapsed="false">
      <c r="A14" s="64" t="s">
        <v>472</v>
      </c>
      <c r="B14" s="79" t="s">
        <v>473</v>
      </c>
      <c r="C14" s="63" t="n">
        <f aca="false">IF(Setup!$B$21&gt;=5000,1,0)</f>
        <v>0</v>
      </c>
      <c r="D14" s="80" t="n">
        <f aca="false">0</f>
        <v>0</v>
      </c>
      <c r="E14" s="56" t="str">
        <f aca="false">IF(ROUND($C14,2)=0,"PASS","FAIL")</f>
        <v>PASS</v>
      </c>
      <c r="F14" s="80" t="s">
        <v>448</v>
      </c>
      <c r="G14" s="81" t="s">
        <v>474</v>
      </c>
    </row>
    <row r="15" customFormat="false" ht="30" hidden="false" customHeight="true" outlineLevel="0" collapsed="false">
      <c r="A15" s="64" t="s">
        <v>475</v>
      </c>
      <c r="B15" s="79" t="s">
        <v>476</v>
      </c>
      <c r="C15" s="63" t="n">
        <f aca="false">COUNTIF(GL_Data!$V$8:$V$5007,"&gt;1")</f>
        <v>0</v>
      </c>
      <c r="D15" s="80" t="n">
        <f aca="false">0</f>
        <v>0</v>
      </c>
      <c r="E15" s="56" t="str">
        <f aca="false">IF(ROUND($C15,2)=0,"PASS","REVIEW")</f>
        <v>PASS</v>
      </c>
      <c r="F15" s="80" t="s">
        <v>407</v>
      </c>
      <c r="G15" s="81" t="s">
        <v>477</v>
      </c>
    </row>
    <row r="16" customFormat="false" ht="30" hidden="false" customHeight="true" outlineLevel="0" collapsed="false">
      <c r="A16" s="64" t="s">
        <v>478</v>
      </c>
      <c r="B16" s="79" t="s">
        <v>479</v>
      </c>
      <c r="C16" s="63" t="n">
        <f aca="true">SUMPRODUCT((GL_Data!$A$8:$A$5007&lt;&gt;"")*(GL_Data!$A$8:$A$5007&gt;TODAY()))</f>
        <v>0</v>
      </c>
      <c r="D16" s="80" t="n">
        <f aca="false">0</f>
        <v>0</v>
      </c>
      <c r="E16" s="56" t="str">
        <f aca="false">IF(ROUND($C16,2)=0,"PASS","REVIEW")</f>
        <v>PASS</v>
      </c>
      <c r="F16" s="80" t="s">
        <v>407</v>
      </c>
      <c r="G16" s="81" t="s">
        <v>480</v>
      </c>
    </row>
    <row r="17" customFormat="false" ht="30" hidden="false" customHeight="true" outlineLevel="0" collapsed="false">
      <c r="A17" s="64" t="s">
        <v>481</v>
      </c>
      <c r="B17" s="79" t="s">
        <v>482</v>
      </c>
      <c r="C17" s="63" t="n">
        <f aca="false">SUMPRODUCT((GL_Data!$A$8:$A$5007&gt;0)*(WEEKDAY(GL_Data!$A$8:$A$5007+0,2)&gt;5))</f>
        <v>0</v>
      </c>
      <c r="D17" s="80" t="n">
        <f aca="false">0</f>
        <v>0</v>
      </c>
      <c r="E17" s="56" t="str">
        <f aca="false">IF(ROUND($C17,2)=0,"PASS","REVIEW")</f>
        <v>PASS</v>
      </c>
      <c r="F17" s="80" t="s">
        <v>407</v>
      </c>
      <c r="G17" s="81" t="s">
        <v>483</v>
      </c>
    </row>
    <row r="18" customFormat="false" ht="30" hidden="false" customHeight="true" outlineLevel="0" collapsed="false">
      <c r="A18" s="64" t="s">
        <v>484</v>
      </c>
      <c r="B18" s="79" t="s">
        <v>485</v>
      </c>
      <c r="C18" s="63" t="n">
        <f aca="false">SUMPRODUCT((GL_Data!$A$8:$A$5007&lt;&gt;"")*(ABS(GL_Data!$G$8:$G$5007-GL_Data!$H$8:$H$5007)&gt;=10000)*(MOD(ABS(GL_Data!$G$8:$G$5007-GL_Data!$H$8:$H$5007),1000)=0))</f>
        <v>0</v>
      </c>
      <c r="D18" s="80" t="n">
        <f aca="false">0</f>
        <v>0</v>
      </c>
      <c r="E18" s="56" t="str">
        <f aca="false">IF(ROUND($C18,2)=0,"PASS","REVIEW")</f>
        <v>PASS</v>
      </c>
      <c r="F18" s="80" t="s">
        <v>407</v>
      </c>
      <c r="G18" s="81" t="s">
        <v>486</v>
      </c>
    </row>
    <row r="19" customFormat="false" ht="30" hidden="false" customHeight="true" outlineLevel="0" collapsed="false">
      <c r="A19" s="64" t="s">
        <v>487</v>
      </c>
      <c r="B19" s="79" t="s">
        <v>488</v>
      </c>
      <c r="C19" s="63" t="n">
        <f aca="false">SUMPRODUCT((GL_Data!$A$8:$A$5007&lt;&gt;"")*(GL_Data!$C$8:$C$5007=""))</f>
        <v>0</v>
      </c>
      <c r="D19" s="80" t="n">
        <f aca="false">0</f>
        <v>0</v>
      </c>
      <c r="E19" s="56" t="str">
        <f aca="false">IF(ROUND($C19,2)=0,"PASS","REVIEW")</f>
        <v>PASS</v>
      </c>
      <c r="F19" s="80" t="s">
        <v>407</v>
      </c>
      <c r="G19" s="81" t="s">
        <v>489</v>
      </c>
    </row>
    <row r="20" customFormat="false" ht="30" hidden="false" customHeight="true" outlineLevel="0" collapsed="false">
      <c r="A20" s="64" t="s">
        <v>490</v>
      </c>
      <c r="B20" s="79" t="s">
        <v>491</v>
      </c>
      <c r="C20" s="63" t="n">
        <f aca="false">SUMPRODUCT((GL_Data!$A$8:$A$5007&lt;&gt;"")*(ROUND(GL_Data!$G$8:$G$5007-GL_Data!$H$8:$H$5007,2)=0))</f>
        <v>0</v>
      </c>
      <c r="D20" s="80" t="n">
        <f aca="false">0</f>
        <v>0</v>
      </c>
      <c r="E20" s="56" t="str">
        <f aca="false">IF(ROUND($C20,2)=0,"PASS","REVIEW")</f>
        <v>PASS</v>
      </c>
      <c r="F20" s="80" t="s">
        <v>407</v>
      </c>
      <c r="G20" s="81" t="s">
        <v>492</v>
      </c>
    </row>
    <row r="21" customFormat="false" ht="30" hidden="false" customHeight="true" outlineLevel="0" collapsed="false">
      <c r="A21" s="64" t="s">
        <v>493</v>
      </c>
      <c r="B21" s="79" t="s">
        <v>494</v>
      </c>
      <c r="C21" s="63" t="n">
        <f aca="false">COUNTIF(COA_Mapping!$I$7:$I$256,"NO GROUP")+COUNTIF(COA_Mapping!$I$7:$I$256,"BAD GROUP")</f>
        <v>0</v>
      </c>
      <c r="D21" s="80" t="n">
        <f aca="false">0</f>
        <v>0</v>
      </c>
      <c r="E21" s="56" t="str">
        <f aca="false">IF(ROUND($C21,2)=0,"PASS","FAIL")</f>
        <v>PASS</v>
      </c>
      <c r="F21" s="80" t="s">
        <v>448</v>
      </c>
      <c r="G21" s="81" t="s">
        <v>495</v>
      </c>
    </row>
    <row r="22" customFormat="false" ht="30" hidden="false" customHeight="true" outlineLevel="0" collapsed="false">
      <c r="A22" s="64" t="s">
        <v>496</v>
      </c>
      <c r="B22" s="79" t="s">
        <v>497</v>
      </c>
      <c r="C22" s="63" t="n">
        <f aca="false">COUNTIFS(COA_Mapping!$A$7:$A$256,"&lt;&gt;",COA_Mapping!$H$7:$H$256,0)</f>
        <v>190</v>
      </c>
      <c r="D22" s="80" t="n">
        <f aca="false">0</f>
        <v>0</v>
      </c>
      <c r="E22" s="56" t="str">
        <f aca="false">IF(ROUND($C22,2)=0,"PASS","REVIEW")</f>
        <v>REVIEW</v>
      </c>
      <c r="F22" s="80" t="s">
        <v>407</v>
      </c>
      <c r="G22" s="81" t="s">
        <v>498</v>
      </c>
    </row>
    <row r="23" customFormat="false" ht="30" hidden="false" customHeight="true" outlineLevel="0" collapsed="false">
      <c r="A23" s="64" t="s">
        <v>499</v>
      </c>
      <c r="B23" s="79" t="s">
        <v>500</v>
      </c>
      <c r="C23" s="63" t="n">
        <f aca="false">SUMPRODUCT((MoM_Analysis!$X$6:$X$255="High")*(MoM_Analysis!$Y$6:$Y$255=""))+SUMPRODUCT((YoY_Analysis!$P$6:$P$255="High")*(YoY_Analysis!$Q$6:$Q$255=""))</f>
        <v>0</v>
      </c>
      <c r="D23" s="80" t="n">
        <f aca="false">0</f>
        <v>0</v>
      </c>
      <c r="E23" s="56" t="str">
        <f aca="false">IF(ROUND($C23,2)=0,"PASS","REVIEW")</f>
        <v>PASS</v>
      </c>
      <c r="F23" s="80" t="s">
        <v>407</v>
      </c>
      <c r="G23" s="81" t="s">
        <v>501</v>
      </c>
    </row>
    <row r="24" customFormat="false" ht="30" hidden="false" customHeight="true" outlineLevel="0" collapsed="false">
      <c r="A24" s="64" t="s">
        <v>502</v>
      </c>
      <c r="B24" s="79" t="s">
        <v>503</v>
      </c>
      <c r="C24" s="63" t="n">
        <f aca="false">IF(Setup!$B$16&gt;Setup!$B$15,0,1)</f>
        <v>0</v>
      </c>
      <c r="D24" s="80" t="n">
        <f aca="false">0</f>
        <v>0</v>
      </c>
      <c r="E24" s="56" t="str">
        <f aca="false">IF(ROUND($C24,2)=0,"PASS","FAIL")</f>
        <v>PASS</v>
      </c>
      <c r="F24" s="80" t="s">
        <v>448</v>
      </c>
      <c r="G24" s="81" t="s">
        <v>504</v>
      </c>
    </row>
    <row r="26" customFormat="false" ht="18" hidden="false" customHeight="true" outlineLevel="0" collapsed="false">
      <c r="A26" s="3" t="s">
        <v>505</v>
      </c>
      <c r="B26" s="4"/>
      <c r="C26" s="4"/>
      <c r="D26" s="4"/>
      <c r="E26" s="4"/>
      <c r="F26" s="4"/>
      <c r="G26" s="4"/>
    </row>
    <row r="27" customFormat="false" ht="15" hidden="false" customHeight="false" outlineLevel="0" collapsed="false">
      <c r="B27" s="5" t="s">
        <v>506</v>
      </c>
      <c r="C27" s="82" t="n">
        <f aca="false">COUNTIF($E$6:$E$24,"FAIL")</f>
        <v>1</v>
      </c>
    </row>
    <row r="28" customFormat="false" ht="15" hidden="false" customHeight="false" outlineLevel="0" collapsed="false">
      <c r="B28" s="5" t="s">
        <v>507</v>
      </c>
      <c r="C28" s="82" t="n">
        <f aca="false">COUNTIF($E$6:$E$24,"REVIEW")</f>
        <v>2</v>
      </c>
    </row>
    <row r="29" customFormat="false" ht="15" hidden="false" customHeight="false" outlineLevel="0" collapsed="false">
      <c r="B29" s="5" t="s">
        <v>508</v>
      </c>
      <c r="C29" s="82" t="n">
        <f aca="false">COUNTIF($E$6:$E$24,"PASS")</f>
        <v>16</v>
      </c>
    </row>
  </sheetData>
  <conditionalFormatting sqref="A6:G24">
    <cfRule type="expression" priority="2" aboveAverage="0" equalAverage="0" bottom="0" percent="0" rank="0" text="" dxfId="6">
      <formula>$E6="FAIL"</formula>
    </cfRule>
    <cfRule type="expression" priority="3" aboveAverage="0" equalAverage="0" bottom="0" percent="0" rank="0" text="" dxfId="7">
      <formula>$E6="REVIEW"</formula>
    </cfRule>
  </conditionalFormatting>
  <conditionalFormatting sqref="E6:E24">
    <cfRule type="expression" priority="4" aboveAverage="0" equalAverage="0" bottom="0" percent="0" rank="0" text="" dxfId="1">
      <formula>$E6="PASS"</formula>
    </cfRule>
    <cfRule type="expression" priority="5" aboveAverage="0" equalAverage="0" bottom="0" percent="0" rank="0" text="" dxfId="4">
      <formula>$E6="REVIEW"</formula>
    </cfRule>
    <cfRule type="expression" priority="6" aboveAverage="0" equalAverage="0" bottom="0" percent="0" rank="0" text="" dxfId="0">
      <formula>$E6="FAIL"</formula>
    </cfRule>
  </conditionalFormatting>
  <conditionalFormatting sqref="C27">
    <cfRule type="expression" priority="7" aboveAverage="0" equalAverage="0" bottom="0" percent="0" rank="0" text="" dxfId="0">
      <formula>$C$27&gt;0</formula>
    </cfRule>
    <cfRule type="expression" priority="8" aboveAverage="0" equalAverage="0" bottom="0" percent="0" rank="0" text="" dxfId="1">
      <formula>$C$27=0</formula>
    </cfRule>
  </conditionalFormatting>
  <conditionalFormatting sqref="C28">
    <cfRule type="expression" priority="9" aboveAverage="0" equalAverage="0" bottom="0" percent="0" rank="0" text="" dxfId="4">
      <formula>$C$28&gt;0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true"/>
  </sheetPr>
  <dimension ref="A1:AL2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29" min="6" style="0" width="12"/>
    <col collapsed="false" customWidth="true" hidden="false" outlineLevel="0" max="38" min="30" style="0" width="13"/>
  </cols>
  <sheetData>
    <row r="1" customFormat="false" ht="18.55" hidden="false" customHeight="false" outlineLevel="0" collapsed="false">
      <c r="A1" s="1" t="s">
        <v>509</v>
      </c>
    </row>
    <row r="2" customFormat="false" ht="15" hidden="false" customHeight="false" outlineLevel="0" collapsed="false">
      <c r="A2" s="2" t="s">
        <v>510</v>
      </c>
    </row>
    <row r="3" customFormat="false" ht="15" hidden="false" customHeight="false" outlineLevel="0" collapsed="false">
      <c r="A3" s="29" t="s">
        <v>511</v>
      </c>
      <c r="F3" s="83" t="n">
        <v>1</v>
      </c>
      <c r="G3" s="83" t="n">
        <v>2</v>
      </c>
      <c r="H3" s="83" t="n">
        <v>3</v>
      </c>
      <c r="I3" s="83" t="n">
        <v>4</v>
      </c>
      <c r="J3" s="83" t="n">
        <v>5</v>
      </c>
      <c r="K3" s="83" t="n">
        <v>6</v>
      </c>
      <c r="L3" s="83" t="n">
        <v>7</v>
      </c>
      <c r="M3" s="83" t="n">
        <v>8</v>
      </c>
      <c r="N3" s="83" t="n">
        <v>9</v>
      </c>
      <c r="O3" s="83" t="n">
        <v>10</v>
      </c>
      <c r="P3" s="83" t="n">
        <v>11</v>
      </c>
      <c r="Q3" s="83" t="n">
        <v>12</v>
      </c>
      <c r="R3" s="83" t="n">
        <v>1</v>
      </c>
      <c r="S3" s="83" t="n">
        <v>2</v>
      </c>
      <c r="T3" s="83" t="n">
        <v>3</v>
      </c>
      <c r="U3" s="83" t="n">
        <v>4</v>
      </c>
      <c r="V3" s="83" t="n">
        <v>5</v>
      </c>
      <c r="W3" s="83" t="n">
        <v>6</v>
      </c>
      <c r="X3" s="83" t="n">
        <v>7</v>
      </c>
      <c r="Y3" s="83" t="n">
        <v>8</v>
      </c>
      <c r="Z3" s="83" t="n">
        <v>9</v>
      </c>
      <c r="AA3" s="83" t="n">
        <v>10</v>
      </c>
      <c r="AB3" s="83" t="n">
        <v>11</v>
      </c>
      <c r="AC3" s="83" t="n">
        <v>12</v>
      </c>
    </row>
    <row r="4" customFormat="false" ht="15" hidden="false" customHeight="false" outlineLevel="0" collapsed="false">
      <c r="A4" s="29" t="s">
        <v>512</v>
      </c>
      <c r="F4" s="83" t="n">
        <v>1</v>
      </c>
      <c r="G4" s="83" t="n">
        <v>2</v>
      </c>
      <c r="H4" s="83" t="n">
        <v>3</v>
      </c>
      <c r="I4" s="83" t="n">
        <v>4</v>
      </c>
      <c r="J4" s="83" t="n">
        <v>5</v>
      </c>
      <c r="K4" s="83" t="n">
        <v>6</v>
      </c>
      <c r="L4" s="83" t="n">
        <v>7</v>
      </c>
      <c r="M4" s="83" t="n">
        <v>8</v>
      </c>
      <c r="N4" s="83" t="n">
        <v>9</v>
      </c>
      <c r="O4" s="83" t="n">
        <v>10</v>
      </c>
      <c r="P4" s="83" t="n">
        <v>11</v>
      </c>
      <c r="Q4" s="83" t="n">
        <v>12</v>
      </c>
      <c r="R4" s="83" t="n">
        <v>101</v>
      </c>
      <c r="S4" s="83" t="n">
        <v>102</v>
      </c>
      <c r="T4" s="83" t="n">
        <v>103</v>
      </c>
      <c r="U4" s="83" t="n">
        <v>104</v>
      </c>
      <c r="V4" s="83" t="n">
        <v>105</v>
      </c>
      <c r="W4" s="83" t="n">
        <v>106</v>
      </c>
      <c r="X4" s="83" t="n">
        <v>107</v>
      </c>
      <c r="Y4" s="83" t="n">
        <v>108</v>
      </c>
      <c r="Z4" s="83" t="n">
        <v>109</v>
      </c>
      <c r="AA4" s="83" t="n">
        <v>110</v>
      </c>
      <c r="AB4" s="83" t="n">
        <v>111</v>
      </c>
      <c r="AC4" s="83" t="n">
        <v>112</v>
      </c>
    </row>
    <row r="5" customFormat="false" ht="31.5" hidden="false" customHeight="true" outlineLevel="0" collapsed="false">
      <c r="A5" s="30" t="s">
        <v>116</v>
      </c>
      <c r="B5" s="30" t="s">
        <v>127</v>
      </c>
      <c r="C5" s="30" t="s">
        <v>142</v>
      </c>
      <c r="D5" s="30" t="s">
        <v>141</v>
      </c>
      <c r="E5" s="30" t="s">
        <v>129</v>
      </c>
      <c r="F5" s="84" t="str">
        <f aca="false">TEXT(DATE(Setup!$B$9-IF(AND(Setup!$B$6&gt;1,MOD(Setup!$B$6+1-2,12)+1&gt;=Setup!$B$6),1,0),MOD(Setup!$B$6+1-2,12)+1,1),"MMM-YY")</f>
        <v>Jul-25</v>
      </c>
      <c r="G5" s="84" t="str">
        <f aca="false">TEXT(DATE(Setup!$B$9-IF(AND(Setup!$B$6&gt;1,MOD(Setup!$B$6+2-2,12)+1&gt;=Setup!$B$6),1,0),MOD(Setup!$B$6+2-2,12)+1,1),"MMM-YY")</f>
        <v>Aug-25</v>
      </c>
      <c r="H5" s="84" t="str">
        <f aca="false">TEXT(DATE(Setup!$B$9-IF(AND(Setup!$B$6&gt;1,MOD(Setup!$B$6+3-2,12)+1&gt;=Setup!$B$6),1,0),MOD(Setup!$B$6+3-2,12)+1,1),"MMM-YY")</f>
        <v>Sep-25</v>
      </c>
      <c r="I5" s="84" t="str">
        <f aca="false">TEXT(DATE(Setup!$B$9-IF(AND(Setup!$B$6&gt;1,MOD(Setup!$B$6+4-2,12)+1&gt;=Setup!$B$6),1,0),MOD(Setup!$B$6+4-2,12)+1,1),"MMM-YY")</f>
        <v>Oct-25</v>
      </c>
      <c r="J5" s="84" t="str">
        <f aca="false">TEXT(DATE(Setup!$B$9-IF(AND(Setup!$B$6&gt;1,MOD(Setup!$B$6+5-2,12)+1&gt;=Setup!$B$6),1,0),MOD(Setup!$B$6+5-2,12)+1,1),"MMM-YY")</f>
        <v>Nov-25</v>
      </c>
      <c r="K5" s="84" t="str">
        <f aca="false">TEXT(DATE(Setup!$B$9-IF(AND(Setup!$B$6&gt;1,MOD(Setup!$B$6+6-2,12)+1&gt;=Setup!$B$6),1,0),MOD(Setup!$B$6+6-2,12)+1,1),"MMM-YY")</f>
        <v>Dec-25</v>
      </c>
      <c r="L5" s="84" t="str">
        <f aca="false">TEXT(DATE(Setup!$B$9-IF(AND(Setup!$B$6&gt;1,MOD(Setup!$B$6+7-2,12)+1&gt;=Setup!$B$6),1,0),MOD(Setup!$B$6+7-2,12)+1,1),"MMM-YY")</f>
        <v>Jan-26</v>
      </c>
      <c r="M5" s="84" t="str">
        <f aca="false">TEXT(DATE(Setup!$B$9-IF(AND(Setup!$B$6&gt;1,MOD(Setup!$B$6+8-2,12)+1&gt;=Setup!$B$6),1,0),MOD(Setup!$B$6+8-2,12)+1,1),"MMM-YY")</f>
        <v>Feb-26</v>
      </c>
      <c r="N5" s="84" t="str">
        <f aca="false">TEXT(DATE(Setup!$B$9-IF(AND(Setup!$B$6&gt;1,MOD(Setup!$B$6+9-2,12)+1&gt;=Setup!$B$6),1,0),MOD(Setup!$B$6+9-2,12)+1,1),"MMM-YY")</f>
        <v>Mar-26</v>
      </c>
      <c r="O5" s="84" t="str">
        <f aca="false">TEXT(DATE(Setup!$B$9-IF(AND(Setup!$B$6&gt;1,MOD(Setup!$B$6+10-2,12)+1&gt;=Setup!$B$6),1,0),MOD(Setup!$B$6+10-2,12)+1,1),"MMM-YY")</f>
        <v>Apr-26</v>
      </c>
      <c r="P5" s="84" t="str">
        <f aca="false">TEXT(DATE(Setup!$B$9-IF(AND(Setup!$B$6&gt;1,MOD(Setup!$B$6+11-2,12)+1&gt;=Setup!$B$6),1,0),MOD(Setup!$B$6+11-2,12)+1,1),"MMM-YY")</f>
        <v>May-26</v>
      </c>
      <c r="Q5" s="84" t="str">
        <f aca="false">TEXT(DATE(Setup!$B$9-IF(AND(Setup!$B$6&gt;1,MOD(Setup!$B$6+12-2,12)+1&gt;=Setup!$B$6),1,0),MOD(Setup!$B$6+12-2,12)+1,1),"MMM-YY")</f>
        <v>Jun-26</v>
      </c>
      <c r="R5" s="85" t="str">
        <f aca="false">TEXT(DATE(Setup!$B$7-IF(AND(Setup!$B$6&gt;1,MOD(Setup!$B$6+1-2,12)+1&gt;=Setup!$B$6),1,0),MOD(Setup!$B$6+1-2,12)+1,1),"MMM-YY")</f>
        <v>Jul-26</v>
      </c>
      <c r="S5" s="85" t="str">
        <f aca="false">TEXT(DATE(Setup!$B$7-IF(AND(Setup!$B$6&gt;1,MOD(Setup!$B$6+2-2,12)+1&gt;=Setup!$B$6),1,0),MOD(Setup!$B$6+2-2,12)+1,1),"MMM-YY")</f>
        <v>Aug-26</v>
      </c>
      <c r="T5" s="85" t="str">
        <f aca="false">TEXT(DATE(Setup!$B$7-IF(AND(Setup!$B$6&gt;1,MOD(Setup!$B$6+3-2,12)+1&gt;=Setup!$B$6),1,0),MOD(Setup!$B$6+3-2,12)+1,1),"MMM-YY")</f>
        <v>Sep-26</v>
      </c>
      <c r="U5" s="85" t="str">
        <f aca="false">TEXT(DATE(Setup!$B$7-IF(AND(Setup!$B$6&gt;1,MOD(Setup!$B$6+4-2,12)+1&gt;=Setup!$B$6),1,0),MOD(Setup!$B$6+4-2,12)+1,1),"MMM-YY")</f>
        <v>Oct-26</v>
      </c>
      <c r="V5" s="85" t="str">
        <f aca="false">TEXT(DATE(Setup!$B$7-IF(AND(Setup!$B$6&gt;1,MOD(Setup!$B$6+5-2,12)+1&gt;=Setup!$B$6),1,0),MOD(Setup!$B$6+5-2,12)+1,1),"MMM-YY")</f>
        <v>Nov-26</v>
      </c>
      <c r="W5" s="85" t="str">
        <f aca="false">TEXT(DATE(Setup!$B$7-IF(AND(Setup!$B$6&gt;1,MOD(Setup!$B$6+6-2,12)+1&gt;=Setup!$B$6),1,0),MOD(Setup!$B$6+6-2,12)+1,1),"MMM-YY")</f>
        <v>Dec-26</v>
      </c>
      <c r="X5" s="85" t="str">
        <f aca="false">TEXT(DATE(Setup!$B$7-IF(AND(Setup!$B$6&gt;1,MOD(Setup!$B$6+7-2,12)+1&gt;=Setup!$B$6),1,0),MOD(Setup!$B$6+7-2,12)+1,1),"MMM-YY")</f>
        <v>Jan-27</v>
      </c>
      <c r="Y5" s="85" t="str">
        <f aca="false">TEXT(DATE(Setup!$B$7-IF(AND(Setup!$B$6&gt;1,MOD(Setup!$B$6+8-2,12)+1&gt;=Setup!$B$6),1,0),MOD(Setup!$B$6+8-2,12)+1,1),"MMM-YY")</f>
        <v>Feb-27</v>
      </c>
      <c r="Z5" s="85" t="str">
        <f aca="false">TEXT(DATE(Setup!$B$7-IF(AND(Setup!$B$6&gt;1,MOD(Setup!$B$6+9-2,12)+1&gt;=Setup!$B$6),1,0),MOD(Setup!$B$6+9-2,12)+1,1),"MMM-YY")</f>
        <v>Mar-27</v>
      </c>
      <c r="AA5" s="85" t="str">
        <f aca="false">TEXT(DATE(Setup!$B$7-IF(AND(Setup!$B$6&gt;1,MOD(Setup!$B$6+10-2,12)+1&gt;=Setup!$B$6),1,0),MOD(Setup!$B$6+10-2,12)+1,1),"MMM-YY")</f>
        <v>Apr-27</v>
      </c>
      <c r="AB5" s="85" t="str">
        <f aca="false">TEXT(DATE(Setup!$B$7-IF(AND(Setup!$B$6&gt;1,MOD(Setup!$B$6+11-2,12)+1&gt;=Setup!$B$6),1,0),MOD(Setup!$B$6+11-2,12)+1,1),"MMM-YY")</f>
        <v>May-27</v>
      </c>
      <c r="AC5" s="85" t="str">
        <f aca="false">TEXT(DATE(Setup!$B$7-IF(AND(Setup!$B$6&gt;1,MOD(Setup!$B$6+12-2,12)+1&gt;=Setup!$B$6),1,0),MOD(Setup!$B$6+12-2,12)+1,1),"MMM-YY")</f>
        <v>Jun-27</v>
      </c>
      <c r="AD5" s="30" t="s">
        <v>410</v>
      </c>
      <c r="AE5" s="30" t="s">
        <v>355</v>
      </c>
      <c r="AF5" s="30" t="s">
        <v>358</v>
      </c>
      <c r="AG5" s="30" t="s">
        <v>414</v>
      </c>
      <c r="AH5" s="30" t="s">
        <v>361</v>
      </c>
      <c r="AI5" s="30" t="s">
        <v>362</v>
      </c>
      <c r="AJ5" s="30" t="s">
        <v>365</v>
      </c>
      <c r="AK5" s="30" t="s">
        <v>513</v>
      </c>
      <c r="AL5" s="30" t="s">
        <v>514</v>
      </c>
    </row>
    <row r="6" customFormat="false" ht="15" hidden="false" customHeight="false" outlineLevel="0" collapsed="false">
      <c r="A6" s="68" t="str">
        <f aca="false">IF(COA_Mapping!$A7="","",COA_Mapping!$A7)</f>
        <v>Ad Hoc Service Labour</v>
      </c>
      <c r="B6" s="68" t="str">
        <f aca="false">IF($A6="","",COA_Mapping!$C7)</f>
        <v>Income</v>
      </c>
      <c r="C6" s="68" t="str">
        <f aca="false">IF($A6="","",COA_Mapping!$E7)</f>
        <v>P&amp;L</v>
      </c>
      <c r="D6" s="68" t="str">
        <f aca="false">IF($A6="","",COA_Mapping!$D7)</f>
        <v>Unallocated</v>
      </c>
      <c r="E6" s="86" t="n">
        <f aca="false">IF($A6="",1,COA_Mapping!$F7)</f>
        <v>-1</v>
      </c>
      <c r="F6" s="87" t="n">
        <f aca="false">IF($A6="",0,SUMIF(GL_Data!$S$8:$S$5007,1001,GL_Data!$P$8:$P$5007))</f>
        <v>0</v>
      </c>
      <c r="G6" s="87" t="n">
        <f aca="false">IF($A6="",0,SUMIF(GL_Data!$S$8:$S$5007,1002,GL_Data!$P$8:$P$5007))</f>
        <v>0</v>
      </c>
      <c r="H6" s="87" t="n">
        <f aca="false">IF($A6="",0,SUMIF(GL_Data!$S$8:$S$5007,1003,GL_Data!$P$8:$P$5007))</f>
        <v>0</v>
      </c>
      <c r="I6" s="87" t="n">
        <f aca="false">IF($A6="",0,SUMIF(GL_Data!$S$8:$S$5007,1004,GL_Data!$P$8:$P$5007))</f>
        <v>0</v>
      </c>
      <c r="J6" s="87" t="n">
        <f aca="false">IF($A6="",0,SUMIF(GL_Data!$S$8:$S$5007,1005,GL_Data!$P$8:$P$5007))</f>
        <v>0</v>
      </c>
      <c r="K6" s="87" t="n">
        <f aca="false">IF($A6="",0,SUMIF(GL_Data!$S$8:$S$5007,1006,GL_Data!$P$8:$P$5007))</f>
        <v>0</v>
      </c>
      <c r="L6" s="87" t="n">
        <f aca="false">IF($A6="",0,SUMIF(GL_Data!$S$8:$S$5007,1007,GL_Data!$P$8:$P$5007))</f>
        <v>0</v>
      </c>
      <c r="M6" s="87" t="n">
        <f aca="false">IF($A6="",0,SUMIF(GL_Data!$S$8:$S$5007,1008,GL_Data!$P$8:$P$5007))</f>
        <v>0</v>
      </c>
      <c r="N6" s="87" t="n">
        <f aca="false">IF($A6="",0,SUMIF(GL_Data!$S$8:$S$5007,1009,GL_Data!$P$8:$P$5007))</f>
        <v>0</v>
      </c>
      <c r="O6" s="87" t="n">
        <f aca="false">IF($A6="",0,SUMIF(GL_Data!$S$8:$S$5007,1010,GL_Data!$P$8:$P$5007))</f>
        <v>0</v>
      </c>
      <c r="P6" s="87" t="n">
        <f aca="false">IF($A6="",0,SUMIF(GL_Data!$S$8:$S$5007,1011,GL_Data!$P$8:$P$5007))</f>
        <v>0</v>
      </c>
      <c r="Q6" s="87" t="n">
        <f aca="false">IF($A6="",0,SUMIF(GL_Data!$S$8:$S$5007,1012,GL_Data!$P$8:$P$5007))</f>
        <v>0</v>
      </c>
      <c r="R6" s="88" t="n">
        <f aca="false">IF($A6="",0,SUMIF(GL_Data!$S$8:$S$5007,1101,GL_Data!$P$8:$P$5007))</f>
        <v>0</v>
      </c>
      <c r="S6" s="88" t="n">
        <f aca="false">IF($A6="",0,SUMIF(GL_Data!$S$8:$S$5007,1102,GL_Data!$P$8:$P$5007))</f>
        <v>0</v>
      </c>
      <c r="T6" s="88" t="n">
        <f aca="false">IF($A6="",0,SUMIF(GL_Data!$S$8:$S$5007,1103,GL_Data!$P$8:$P$5007))</f>
        <v>0</v>
      </c>
      <c r="U6" s="88" t="n">
        <f aca="false">IF($A6="",0,SUMIF(GL_Data!$S$8:$S$5007,1104,GL_Data!$P$8:$P$5007))</f>
        <v>0</v>
      </c>
      <c r="V6" s="88" t="n">
        <f aca="false">IF($A6="",0,SUMIF(GL_Data!$S$8:$S$5007,1105,GL_Data!$P$8:$P$5007))</f>
        <v>0</v>
      </c>
      <c r="W6" s="88" t="n">
        <f aca="false">IF($A6="",0,SUMIF(GL_Data!$S$8:$S$5007,1106,GL_Data!$P$8:$P$5007))</f>
        <v>0</v>
      </c>
      <c r="X6" s="88" t="n">
        <f aca="false">IF($A6="",0,SUMIF(GL_Data!$S$8:$S$5007,1107,GL_Data!$P$8:$P$5007))</f>
        <v>0</v>
      </c>
      <c r="Y6" s="88" t="n">
        <f aca="false">IF($A6="",0,SUMIF(GL_Data!$S$8:$S$5007,1108,GL_Data!$P$8:$P$5007))</f>
        <v>0</v>
      </c>
      <c r="Z6" s="88" t="n">
        <f aca="false">IF($A6="",0,SUMIF(GL_Data!$S$8:$S$5007,1109,GL_Data!$P$8:$P$5007))</f>
        <v>0</v>
      </c>
      <c r="AA6" s="88" t="n">
        <f aca="false">IF($A6="",0,SUMIF(GL_Data!$S$8:$S$5007,1110,GL_Data!$P$8:$P$5007))</f>
        <v>0</v>
      </c>
      <c r="AB6" s="88" t="n">
        <f aca="false">IF($A6="",0,SUMIF(GL_Data!$S$8:$S$5007,1111,GL_Data!$P$8:$P$5007))</f>
        <v>0</v>
      </c>
      <c r="AC6" s="88" t="n">
        <f aca="false">IF($A6="",0,SUMIF(GL_Data!$S$8:$S$5007,1112,GL_Data!$P$8:$P$5007))</f>
        <v>0</v>
      </c>
      <c r="AD6" s="89" t="n">
        <f aca="false">IF($A6="",0,INDEX($F6:$AC6,12+Setup!$B$8))</f>
        <v>0</v>
      </c>
      <c r="AE6" s="90" t="n">
        <f aca="false">IF($A6="",0,INDEX($F6:$AC6,Setup!$B$8))</f>
        <v>0</v>
      </c>
      <c r="AF6" s="90" t="n">
        <f aca="false">IF($A6="",0,INDEX($F6:$AC6,11+Setup!$B$8))</f>
        <v>0</v>
      </c>
      <c r="AG6" s="90" t="n">
        <f aca="false">IF($A6="",0,AVERAGE(INDEX($F6:$AC6,9+Setup!$B$8):INDEX($F6:$AC6,11+Setup!$B$8)))</f>
        <v>0</v>
      </c>
      <c r="AH6" s="89" t="n">
        <f aca="false">IF($A6="",0,SUMPRODUCT(($R$3:$AC$3&lt;=Setup!$B$8)*$R6:$AC6))</f>
        <v>0</v>
      </c>
      <c r="AI6" s="90" t="n">
        <f aca="false">IF($A6="",0,SUMPRODUCT(($F$3:$Q$3&lt;=Setup!$B$8)*$F6:$Q6))</f>
        <v>0</v>
      </c>
      <c r="AJ6" s="90" t="n">
        <f aca="false">IF($A6="",0,SUM($F6:$Q6))</f>
        <v>0</v>
      </c>
      <c r="AK6" s="90" t="n">
        <f aca="false">IF($A6="",0,SUM($R6:$AC6))</f>
        <v>0</v>
      </c>
      <c r="AL6" s="91" t="n">
        <f aca="false">IF($A6="",0,IF(SUMPRODUCT(ABS($F6:$AC6))&gt;0,1,0))</f>
        <v>0</v>
      </c>
    </row>
    <row r="7" customFormat="false" ht="15" hidden="false" customHeight="false" outlineLevel="0" collapsed="false">
      <c r="A7" s="68" t="str">
        <f aca="false">IF(COA_Mapping!$A8="","",COA_Mapping!$A8)</f>
        <v>Closing Work in Progress</v>
      </c>
      <c r="B7" s="68" t="str">
        <f aca="false">IF($A7="","",COA_Mapping!$C8)</f>
        <v>Income</v>
      </c>
      <c r="C7" s="68" t="str">
        <f aca="false">IF($A7="","",COA_Mapping!$E8)</f>
        <v>P&amp;L</v>
      </c>
      <c r="D7" s="68" t="str">
        <f aca="false">IF($A7="","",COA_Mapping!$D8)</f>
        <v>Unallocated</v>
      </c>
      <c r="E7" s="86" t="n">
        <f aca="false">IF($A7="",1,COA_Mapping!$F8)</f>
        <v>-1</v>
      </c>
      <c r="F7" s="87" t="n">
        <f aca="false">IF($A7="",0,SUMIF(GL_Data!$S$8:$S$5007,2001,GL_Data!$P$8:$P$5007))</f>
        <v>0</v>
      </c>
      <c r="G7" s="87" t="n">
        <f aca="false">IF($A7="",0,SUMIF(GL_Data!$S$8:$S$5007,2002,GL_Data!$P$8:$P$5007))</f>
        <v>0</v>
      </c>
      <c r="H7" s="87" t="n">
        <f aca="false">IF($A7="",0,SUMIF(GL_Data!$S$8:$S$5007,2003,GL_Data!$P$8:$P$5007))</f>
        <v>0</v>
      </c>
      <c r="I7" s="87" t="n">
        <f aca="false">IF($A7="",0,SUMIF(GL_Data!$S$8:$S$5007,2004,GL_Data!$P$8:$P$5007))</f>
        <v>0</v>
      </c>
      <c r="J7" s="87" t="n">
        <f aca="false">IF($A7="",0,SUMIF(GL_Data!$S$8:$S$5007,2005,GL_Data!$P$8:$P$5007))</f>
        <v>0</v>
      </c>
      <c r="K7" s="87" t="n">
        <f aca="false">IF($A7="",0,SUMIF(GL_Data!$S$8:$S$5007,2006,GL_Data!$P$8:$P$5007))</f>
        <v>0</v>
      </c>
      <c r="L7" s="87" t="n">
        <f aca="false">IF($A7="",0,SUMIF(GL_Data!$S$8:$S$5007,2007,GL_Data!$P$8:$P$5007))</f>
        <v>0</v>
      </c>
      <c r="M7" s="87" t="n">
        <f aca="false">IF($A7="",0,SUMIF(GL_Data!$S$8:$S$5007,2008,GL_Data!$P$8:$P$5007))</f>
        <v>0</v>
      </c>
      <c r="N7" s="87" t="n">
        <f aca="false">IF($A7="",0,SUMIF(GL_Data!$S$8:$S$5007,2009,GL_Data!$P$8:$P$5007))</f>
        <v>0</v>
      </c>
      <c r="O7" s="87" t="n">
        <f aca="false">IF($A7="",0,SUMIF(GL_Data!$S$8:$S$5007,2010,GL_Data!$P$8:$P$5007))</f>
        <v>0</v>
      </c>
      <c r="P7" s="87" t="n">
        <f aca="false">IF($A7="",0,SUMIF(GL_Data!$S$8:$S$5007,2011,GL_Data!$P$8:$P$5007))</f>
        <v>0</v>
      </c>
      <c r="Q7" s="87" t="n">
        <f aca="false">IF($A7="",0,SUMIF(GL_Data!$S$8:$S$5007,2012,GL_Data!$P$8:$P$5007))</f>
        <v>0</v>
      </c>
      <c r="R7" s="88" t="n">
        <f aca="false">IF($A7="",0,SUMIF(GL_Data!$S$8:$S$5007,2101,GL_Data!$P$8:$P$5007))</f>
        <v>0</v>
      </c>
      <c r="S7" s="88" t="n">
        <f aca="false">IF($A7="",0,SUMIF(GL_Data!$S$8:$S$5007,2102,GL_Data!$P$8:$P$5007))</f>
        <v>0</v>
      </c>
      <c r="T7" s="88" t="n">
        <f aca="false">IF($A7="",0,SUMIF(GL_Data!$S$8:$S$5007,2103,GL_Data!$P$8:$P$5007))</f>
        <v>0</v>
      </c>
      <c r="U7" s="88" t="n">
        <f aca="false">IF($A7="",0,SUMIF(GL_Data!$S$8:$S$5007,2104,GL_Data!$P$8:$P$5007))</f>
        <v>0</v>
      </c>
      <c r="V7" s="88" t="n">
        <f aca="false">IF($A7="",0,SUMIF(GL_Data!$S$8:$S$5007,2105,GL_Data!$P$8:$P$5007))</f>
        <v>0</v>
      </c>
      <c r="W7" s="88" t="n">
        <f aca="false">IF($A7="",0,SUMIF(GL_Data!$S$8:$S$5007,2106,GL_Data!$P$8:$P$5007))</f>
        <v>0</v>
      </c>
      <c r="X7" s="88" t="n">
        <f aca="false">IF($A7="",0,SUMIF(GL_Data!$S$8:$S$5007,2107,GL_Data!$P$8:$P$5007))</f>
        <v>0</v>
      </c>
      <c r="Y7" s="88" t="n">
        <f aca="false">IF($A7="",0,SUMIF(GL_Data!$S$8:$S$5007,2108,GL_Data!$P$8:$P$5007))</f>
        <v>0</v>
      </c>
      <c r="Z7" s="88" t="n">
        <f aca="false">IF($A7="",0,SUMIF(GL_Data!$S$8:$S$5007,2109,GL_Data!$P$8:$P$5007))</f>
        <v>0</v>
      </c>
      <c r="AA7" s="88" t="n">
        <f aca="false">IF($A7="",0,SUMIF(GL_Data!$S$8:$S$5007,2110,GL_Data!$P$8:$P$5007))</f>
        <v>0</v>
      </c>
      <c r="AB7" s="88" t="n">
        <f aca="false">IF($A7="",0,SUMIF(GL_Data!$S$8:$S$5007,2111,GL_Data!$P$8:$P$5007))</f>
        <v>0</v>
      </c>
      <c r="AC7" s="88" t="n">
        <f aca="false">IF($A7="",0,SUMIF(GL_Data!$S$8:$S$5007,2112,GL_Data!$P$8:$P$5007))</f>
        <v>0</v>
      </c>
      <c r="AD7" s="89" t="n">
        <f aca="false">IF($A7="",0,INDEX($F7:$AC7,12+Setup!$B$8))</f>
        <v>0</v>
      </c>
      <c r="AE7" s="90" t="n">
        <f aca="false">IF($A7="",0,INDEX($F7:$AC7,Setup!$B$8))</f>
        <v>0</v>
      </c>
      <c r="AF7" s="90" t="n">
        <f aca="false">IF($A7="",0,INDEX($F7:$AC7,11+Setup!$B$8))</f>
        <v>0</v>
      </c>
      <c r="AG7" s="90" t="n">
        <f aca="false">IF($A7="",0,AVERAGE(INDEX($F7:$AC7,9+Setup!$B$8):INDEX($F7:$AC7,11+Setup!$B$8)))</f>
        <v>0</v>
      </c>
      <c r="AH7" s="89" t="n">
        <f aca="false">IF($A7="",0,SUMPRODUCT(($R$3:$AC$3&lt;=Setup!$B$8)*$R7:$AC7))</f>
        <v>0</v>
      </c>
      <c r="AI7" s="90" t="n">
        <f aca="false">IF($A7="",0,SUMPRODUCT(($F$3:$Q$3&lt;=Setup!$B$8)*$F7:$Q7))</f>
        <v>0</v>
      </c>
      <c r="AJ7" s="90" t="n">
        <f aca="false">IF($A7="",0,SUM($F7:$Q7))</f>
        <v>0</v>
      </c>
      <c r="AK7" s="90" t="n">
        <f aca="false">IF($A7="",0,SUM($R7:$AC7))</f>
        <v>0</v>
      </c>
      <c r="AL7" s="91" t="n">
        <f aca="false">IF($A7="",0,IF(SUMPRODUCT(ABS($F7:$AC7))&gt;0,1,0))</f>
        <v>0</v>
      </c>
    </row>
    <row r="8" customFormat="false" ht="15" hidden="false" customHeight="false" outlineLevel="0" collapsed="false">
      <c r="A8" s="68" t="str">
        <f aca="false">IF(COA_Mapping!$A9="","",COA_Mapping!$A9)</f>
        <v>Conference Call Charge</v>
      </c>
      <c r="B8" s="68" t="str">
        <f aca="false">IF($A8="","",COA_Mapping!$C9)</f>
        <v>Income</v>
      </c>
      <c r="C8" s="68" t="str">
        <f aca="false">IF($A8="","",COA_Mapping!$E9)</f>
        <v>P&amp;L</v>
      </c>
      <c r="D8" s="68" t="str">
        <f aca="false">IF($A8="","",COA_Mapping!$D9)</f>
        <v>Unallocated</v>
      </c>
      <c r="E8" s="86" t="n">
        <f aca="false">IF($A8="",1,COA_Mapping!$F9)</f>
        <v>-1</v>
      </c>
      <c r="F8" s="87" t="n">
        <f aca="false">IF($A8="",0,SUMIF(GL_Data!$S$8:$S$5007,3001,GL_Data!$P$8:$P$5007))</f>
        <v>0</v>
      </c>
      <c r="G8" s="87" t="n">
        <f aca="false">IF($A8="",0,SUMIF(GL_Data!$S$8:$S$5007,3002,GL_Data!$P$8:$P$5007))</f>
        <v>0</v>
      </c>
      <c r="H8" s="87" t="n">
        <f aca="false">IF($A8="",0,SUMIF(GL_Data!$S$8:$S$5007,3003,GL_Data!$P$8:$P$5007))</f>
        <v>0</v>
      </c>
      <c r="I8" s="87" t="n">
        <f aca="false">IF($A8="",0,SUMIF(GL_Data!$S$8:$S$5007,3004,GL_Data!$P$8:$P$5007))</f>
        <v>0</v>
      </c>
      <c r="J8" s="87" t="n">
        <f aca="false">IF($A8="",0,SUMIF(GL_Data!$S$8:$S$5007,3005,GL_Data!$P$8:$P$5007))</f>
        <v>0</v>
      </c>
      <c r="K8" s="87" t="n">
        <f aca="false">IF($A8="",0,SUMIF(GL_Data!$S$8:$S$5007,3006,GL_Data!$P$8:$P$5007))</f>
        <v>0</v>
      </c>
      <c r="L8" s="87" t="n">
        <f aca="false">IF($A8="",0,SUMIF(GL_Data!$S$8:$S$5007,3007,GL_Data!$P$8:$P$5007))</f>
        <v>0</v>
      </c>
      <c r="M8" s="87" t="n">
        <f aca="false">IF($A8="",0,SUMIF(GL_Data!$S$8:$S$5007,3008,GL_Data!$P$8:$P$5007))</f>
        <v>0</v>
      </c>
      <c r="N8" s="87" t="n">
        <f aca="false">IF($A8="",0,SUMIF(GL_Data!$S$8:$S$5007,3009,GL_Data!$P$8:$P$5007))</f>
        <v>0</v>
      </c>
      <c r="O8" s="87" t="n">
        <f aca="false">IF($A8="",0,SUMIF(GL_Data!$S$8:$S$5007,3010,GL_Data!$P$8:$P$5007))</f>
        <v>0</v>
      </c>
      <c r="P8" s="87" t="n">
        <f aca="false">IF($A8="",0,SUMIF(GL_Data!$S$8:$S$5007,3011,GL_Data!$P$8:$P$5007))</f>
        <v>0</v>
      </c>
      <c r="Q8" s="87" t="n">
        <f aca="false">IF($A8="",0,SUMIF(GL_Data!$S$8:$S$5007,3012,GL_Data!$P$8:$P$5007))</f>
        <v>0</v>
      </c>
      <c r="R8" s="88" t="n">
        <f aca="false">IF($A8="",0,SUMIF(GL_Data!$S$8:$S$5007,3101,GL_Data!$P$8:$P$5007))</f>
        <v>0</v>
      </c>
      <c r="S8" s="88" t="n">
        <f aca="false">IF($A8="",0,SUMIF(GL_Data!$S$8:$S$5007,3102,GL_Data!$P$8:$P$5007))</f>
        <v>0</v>
      </c>
      <c r="T8" s="88" t="n">
        <f aca="false">IF($A8="",0,SUMIF(GL_Data!$S$8:$S$5007,3103,GL_Data!$P$8:$P$5007))</f>
        <v>0</v>
      </c>
      <c r="U8" s="88" t="n">
        <f aca="false">IF($A8="",0,SUMIF(GL_Data!$S$8:$S$5007,3104,GL_Data!$P$8:$P$5007))</f>
        <v>0</v>
      </c>
      <c r="V8" s="88" t="n">
        <f aca="false">IF($A8="",0,SUMIF(GL_Data!$S$8:$S$5007,3105,GL_Data!$P$8:$P$5007))</f>
        <v>0</v>
      </c>
      <c r="W8" s="88" t="n">
        <f aca="false">IF($A8="",0,SUMIF(GL_Data!$S$8:$S$5007,3106,GL_Data!$P$8:$P$5007))</f>
        <v>0</v>
      </c>
      <c r="X8" s="88" t="n">
        <f aca="false">IF($A8="",0,SUMIF(GL_Data!$S$8:$S$5007,3107,GL_Data!$P$8:$P$5007))</f>
        <v>0</v>
      </c>
      <c r="Y8" s="88" t="n">
        <f aca="false">IF($A8="",0,SUMIF(GL_Data!$S$8:$S$5007,3108,GL_Data!$P$8:$P$5007))</f>
        <v>0</v>
      </c>
      <c r="Z8" s="88" t="n">
        <f aca="false">IF($A8="",0,SUMIF(GL_Data!$S$8:$S$5007,3109,GL_Data!$P$8:$P$5007))</f>
        <v>0</v>
      </c>
      <c r="AA8" s="88" t="n">
        <f aca="false">IF($A8="",0,SUMIF(GL_Data!$S$8:$S$5007,3110,GL_Data!$P$8:$P$5007))</f>
        <v>0</v>
      </c>
      <c r="AB8" s="88" t="n">
        <f aca="false">IF($A8="",0,SUMIF(GL_Data!$S$8:$S$5007,3111,GL_Data!$P$8:$P$5007))</f>
        <v>0</v>
      </c>
      <c r="AC8" s="88" t="n">
        <f aca="false">IF($A8="",0,SUMIF(GL_Data!$S$8:$S$5007,3112,GL_Data!$P$8:$P$5007))</f>
        <v>0</v>
      </c>
      <c r="AD8" s="89" t="n">
        <f aca="false">IF($A8="",0,INDEX($F8:$AC8,12+Setup!$B$8))</f>
        <v>0</v>
      </c>
      <c r="AE8" s="90" t="n">
        <f aca="false">IF($A8="",0,INDEX($F8:$AC8,Setup!$B$8))</f>
        <v>0</v>
      </c>
      <c r="AF8" s="90" t="n">
        <f aca="false">IF($A8="",0,INDEX($F8:$AC8,11+Setup!$B$8))</f>
        <v>0</v>
      </c>
      <c r="AG8" s="90" t="n">
        <f aca="false">IF($A8="",0,AVERAGE(INDEX($F8:$AC8,9+Setup!$B$8):INDEX($F8:$AC8,11+Setup!$B$8)))</f>
        <v>0</v>
      </c>
      <c r="AH8" s="89" t="n">
        <f aca="false">IF($A8="",0,SUMPRODUCT(($R$3:$AC$3&lt;=Setup!$B$8)*$R8:$AC8))</f>
        <v>0</v>
      </c>
      <c r="AI8" s="90" t="n">
        <f aca="false">IF($A8="",0,SUMPRODUCT(($F$3:$Q$3&lt;=Setup!$B$8)*$F8:$Q8))</f>
        <v>0</v>
      </c>
      <c r="AJ8" s="90" t="n">
        <f aca="false">IF($A8="",0,SUM($F8:$Q8))</f>
        <v>0</v>
      </c>
      <c r="AK8" s="90" t="n">
        <f aca="false">IF($A8="",0,SUM($R8:$AC8))</f>
        <v>0</v>
      </c>
      <c r="AL8" s="91" t="n">
        <f aca="false">IF($A8="",0,IF(SUMPRODUCT(ABS($F8:$AC8))&gt;0,1,0))</f>
        <v>0</v>
      </c>
    </row>
    <row r="9" customFormat="false" ht="15" hidden="false" customHeight="false" outlineLevel="0" collapsed="false">
      <c r="A9" s="68" t="str">
        <f aca="false">IF(COA_Mapping!$A10="","",COA_Mapping!$A10)</f>
        <v>Contract Help Desk</v>
      </c>
      <c r="B9" s="68" t="str">
        <f aca="false">IF($A9="","",COA_Mapping!$C10)</f>
        <v>Income</v>
      </c>
      <c r="C9" s="68" t="str">
        <f aca="false">IF($A9="","",COA_Mapping!$E10)</f>
        <v>P&amp;L</v>
      </c>
      <c r="D9" s="68" t="str">
        <f aca="false">IF($A9="","",COA_Mapping!$D10)</f>
        <v>Unallocated</v>
      </c>
      <c r="E9" s="86" t="n">
        <f aca="false">IF($A9="",1,COA_Mapping!$F10)</f>
        <v>-1</v>
      </c>
      <c r="F9" s="87" t="n">
        <f aca="false">IF($A9="",0,SUMIF(GL_Data!$S$8:$S$5007,4001,GL_Data!$P$8:$P$5007))</f>
        <v>0</v>
      </c>
      <c r="G9" s="87" t="n">
        <f aca="false">IF($A9="",0,SUMIF(GL_Data!$S$8:$S$5007,4002,GL_Data!$P$8:$P$5007))</f>
        <v>0</v>
      </c>
      <c r="H9" s="87" t="n">
        <f aca="false">IF($A9="",0,SUMIF(GL_Data!$S$8:$S$5007,4003,GL_Data!$P$8:$P$5007))</f>
        <v>0</v>
      </c>
      <c r="I9" s="87" t="n">
        <f aca="false">IF($A9="",0,SUMIF(GL_Data!$S$8:$S$5007,4004,GL_Data!$P$8:$P$5007))</f>
        <v>0</v>
      </c>
      <c r="J9" s="87" t="n">
        <f aca="false">IF($A9="",0,SUMIF(GL_Data!$S$8:$S$5007,4005,GL_Data!$P$8:$P$5007))</f>
        <v>0</v>
      </c>
      <c r="K9" s="87" t="n">
        <f aca="false">IF($A9="",0,SUMIF(GL_Data!$S$8:$S$5007,4006,GL_Data!$P$8:$P$5007))</f>
        <v>0</v>
      </c>
      <c r="L9" s="87" t="n">
        <f aca="false">IF($A9="",0,SUMIF(GL_Data!$S$8:$S$5007,4007,GL_Data!$P$8:$P$5007))</f>
        <v>0</v>
      </c>
      <c r="M9" s="87" t="n">
        <f aca="false">IF($A9="",0,SUMIF(GL_Data!$S$8:$S$5007,4008,GL_Data!$P$8:$P$5007))</f>
        <v>0</v>
      </c>
      <c r="N9" s="87" t="n">
        <f aca="false">IF($A9="",0,SUMIF(GL_Data!$S$8:$S$5007,4009,GL_Data!$P$8:$P$5007))</f>
        <v>0</v>
      </c>
      <c r="O9" s="87" t="n">
        <f aca="false">IF($A9="",0,SUMIF(GL_Data!$S$8:$S$5007,4010,GL_Data!$P$8:$P$5007))</f>
        <v>0</v>
      </c>
      <c r="P9" s="87" t="n">
        <f aca="false">IF($A9="",0,SUMIF(GL_Data!$S$8:$S$5007,4011,GL_Data!$P$8:$P$5007))</f>
        <v>0</v>
      </c>
      <c r="Q9" s="87" t="n">
        <f aca="false">IF($A9="",0,SUMIF(GL_Data!$S$8:$S$5007,4012,GL_Data!$P$8:$P$5007))</f>
        <v>0</v>
      </c>
      <c r="R9" s="88" t="n">
        <f aca="false">IF($A9="",0,SUMIF(GL_Data!$S$8:$S$5007,4101,GL_Data!$P$8:$P$5007))</f>
        <v>0</v>
      </c>
      <c r="S9" s="88" t="n">
        <f aca="false">IF($A9="",0,SUMIF(GL_Data!$S$8:$S$5007,4102,GL_Data!$P$8:$P$5007))</f>
        <v>0</v>
      </c>
      <c r="T9" s="88" t="n">
        <f aca="false">IF($A9="",0,SUMIF(GL_Data!$S$8:$S$5007,4103,GL_Data!$P$8:$P$5007))</f>
        <v>0</v>
      </c>
      <c r="U9" s="88" t="n">
        <f aca="false">IF($A9="",0,SUMIF(GL_Data!$S$8:$S$5007,4104,GL_Data!$P$8:$P$5007))</f>
        <v>0</v>
      </c>
      <c r="V9" s="88" t="n">
        <f aca="false">IF($A9="",0,SUMIF(GL_Data!$S$8:$S$5007,4105,GL_Data!$P$8:$P$5007))</f>
        <v>0</v>
      </c>
      <c r="W9" s="88" t="n">
        <f aca="false">IF($A9="",0,SUMIF(GL_Data!$S$8:$S$5007,4106,GL_Data!$P$8:$P$5007))</f>
        <v>0</v>
      </c>
      <c r="X9" s="88" t="n">
        <f aca="false">IF($A9="",0,SUMIF(GL_Data!$S$8:$S$5007,4107,GL_Data!$P$8:$P$5007))</f>
        <v>0</v>
      </c>
      <c r="Y9" s="88" t="n">
        <f aca="false">IF($A9="",0,SUMIF(GL_Data!$S$8:$S$5007,4108,GL_Data!$P$8:$P$5007))</f>
        <v>0</v>
      </c>
      <c r="Z9" s="88" t="n">
        <f aca="false">IF($A9="",0,SUMIF(GL_Data!$S$8:$S$5007,4109,GL_Data!$P$8:$P$5007))</f>
        <v>0</v>
      </c>
      <c r="AA9" s="88" t="n">
        <f aca="false">IF($A9="",0,SUMIF(GL_Data!$S$8:$S$5007,4110,GL_Data!$P$8:$P$5007))</f>
        <v>0</v>
      </c>
      <c r="AB9" s="88" t="n">
        <f aca="false">IF($A9="",0,SUMIF(GL_Data!$S$8:$S$5007,4111,GL_Data!$P$8:$P$5007))</f>
        <v>0</v>
      </c>
      <c r="AC9" s="88" t="n">
        <f aca="false">IF($A9="",0,SUMIF(GL_Data!$S$8:$S$5007,4112,GL_Data!$P$8:$P$5007))</f>
        <v>0</v>
      </c>
      <c r="AD9" s="89" t="n">
        <f aca="false">IF($A9="",0,INDEX($F9:$AC9,12+Setup!$B$8))</f>
        <v>0</v>
      </c>
      <c r="AE9" s="90" t="n">
        <f aca="false">IF($A9="",0,INDEX($F9:$AC9,Setup!$B$8))</f>
        <v>0</v>
      </c>
      <c r="AF9" s="90" t="n">
        <f aca="false">IF($A9="",0,INDEX($F9:$AC9,11+Setup!$B$8))</f>
        <v>0</v>
      </c>
      <c r="AG9" s="90" t="n">
        <f aca="false">IF($A9="",0,AVERAGE(INDEX($F9:$AC9,9+Setup!$B$8):INDEX($F9:$AC9,11+Setup!$B$8)))</f>
        <v>0</v>
      </c>
      <c r="AH9" s="89" t="n">
        <f aca="false">IF($A9="",0,SUMPRODUCT(($R$3:$AC$3&lt;=Setup!$B$8)*$R9:$AC9))</f>
        <v>0</v>
      </c>
      <c r="AI9" s="90" t="n">
        <f aca="false">IF($A9="",0,SUMPRODUCT(($F$3:$Q$3&lt;=Setup!$B$8)*$F9:$Q9))</f>
        <v>0</v>
      </c>
      <c r="AJ9" s="90" t="n">
        <f aca="false">IF($A9="",0,SUM($F9:$Q9))</f>
        <v>0</v>
      </c>
      <c r="AK9" s="90" t="n">
        <f aca="false">IF($A9="",0,SUM($R9:$AC9))</f>
        <v>0</v>
      </c>
      <c r="AL9" s="91" t="n">
        <f aca="false">IF($A9="",0,IF(SUMPRODUCT(ABS($F9:$AC9))&gt;0,1,0))</f>
        <v>0</v>
      </c>
    </row>
    <row r="10" customFormat="false" ht="15" hidden="false" customHeight="false" outlineLevel="0" collapsed="false">
      <c r="A10" s="68" t="str">
        <f aca="false">IF(COA_Mapping!$A11="","",COA_Mapping!$A11)</f>
        <v>Contract Maintenance</v>
      </c>
      <c r="B10" s="68" t="str">
        <f aca="false">IF($A10="","",COA_Mapping!$C11)</f>
        <v>Income</v>
      </c>
      <c r="C10" s="68" t="str">
        <f aca="false">IF($A10="","",COA_Mapping!$E11)</f>
        <v>P&amp;L</v>
      </c>
      <c r="D10" s="68" t="str">
        <f aca="false">IF($A10="","",COA_Mapping!$D11)</f>
        <v>Unallocated</v>
      </c>
      <c r="E10" s="86" t="n">
        <f aca="false">IF($A10="",1,COA_Mapping!$F11)</f>
        <v>-1</v>
      </c>
      <c r="F10" s="87" t="n">
        <f aca="false">IF($A10="",0,SUMIF(GL_Data!$S$8:$S$5007,5001,GL_Data!$P$8:$P$5007))</f>
        <v>0</v>
      </c>
      <c r="G10" s="87" t="n">
        <f aca="false">IF($A10="",0,SUMIF(GL_Data!$S$8:$S$5007,5002,GL_Data!$P$8:$P$5007))</f>
        <v>0</v>
      </c>
      <c r="H10" s="87" t="n">
        <f aca="false">IF($A10="",0,SUMIF(GL_Data!$S$8:$S$5007,5003,GL_Data!$P$8:$P$5007))</f>
        <v>0</v>
      </c>
      <c r="I10" s="87" t="n">
        <f aca="false">IF($A10="",0,SUMIF(GL_Data!$S$8:$S$5007,5004,GL_Data!$P$8:$P$5007))</f>
        <v>0</v>
      </c>
      <c r="J10" s="87" t="n">
        <f aca="false">IF($A10="",0,SUMIF(GL_Data!$S$8:$S$5007,5005,GL_Data!$P$8:$P$5007))</f>
        <v>0</v>
      </c>
      <c r="K10" s="87" t="n">
        <f aca="false">IF($A10="",0,SUMIF(GL_Data!$S$8:$S$5007,5006,GL_Data!$P$8:$P$5007))</f>
        <v>0</v>
      </c>
      <c r="L10" s="87" t="n">
        <f aca="false">IF($A10="",0,SUMIF(GL_Data!$S$8:$S$5007,5007,GL_Data!$P$8:$P$5007))</f>
        <v>0</v>
      </c>
      <c r="M10" s="87" t="n">
        <f aca="false">IF($A10="",0,SUMIF(GL_Data!$S$8:$S$5007,5008,GL_Data!$P$8:$P$5007))</f>
        <v>0</v>
      </c>
      <c r="N10" s="87" t="n">
        <f aca="false">IF($A10="",0,SUMIF(GL_Data!$S$8:$S$5007,5009,GL_Data!$P$8:$P$5007))</f>
        <v>0</v>
      </c>
      <c r="O10" s="87" t="n">
        <f aca="false">IF($A10="",0,SUMIF(GL_Data!$S$8:$S$5007,5010,GL_Data!$P$8:$P$5007))</f>
        <v>0</v>
      </c>
      <c r="P10" s="87" t="n">
        <f aca="false">IF($A10="",0,SUMIF(GL_Data!$S$8:$S$5007,5011,GL_Data!$P$8:$P$5007))</f>
        <v>0</v>
      </c>
      <c r="Q10" s="87" t="n">
        <f aca="false">IF($A10="",0,SUMIF(GL_Data!$S$8:$S$5007,5012,GL_Data!$P$8:$P$5007))</f>
        <v>0</v>
      </c>
      <c r="R10" s="88" t="n">
        <f aca="false">IF($A10="",0,SUMIF(GL_Data!$S$8:$S$5007,5101,GL_Data!$P$8:$P$5007))</f>
        <v>0</v>
      </c>
      <c r="S10" s="88" t="n">
        <f aca="false">IF($A10="",0,SUMIF(GL_Data!$S$8:$S$5007,5102,GL_Data!$P$8:$P$5007))</f>
        <v>0</v>
      </c>
      <c r="T10" s="88" t="n">
        <f aca="false">IF($A10="",0,SUMIF(GL_Data!$S$8:$S$5007,5103,GL_Data!$P$8:$P$5007))</f>
        <v>0</v>
      </c>
      <c r="U10" s="88" t="n">
        <f aca="false">IF($A10="",0,SUMIF(GL_Data!$S$8:$S$5007,5104,GL_Data!$P$8:$P$5007))</f>
        <v>0</v>
      </c>
      <c r="V10" s="88" t="n">
        <f aca="false">IF($A10="",0,SUMIF(GL_Data!$S$8:$S$5007,5105,GL_Data!$P$8:$P$5007))</f>
        <v>0</v>
      </c>
      <c r="W10" s="88" t="n">
        <f aca="false">IF($A10="",0,SUMIF(GL_Data!$S$8:$S$5007,5106,GL_Data!$P$8:$P$5007))</f>
        <v>0</v>
      </c>
      <c r="X10" s="88" t="n">
        <f aca="false">IF($A10="",0,SUMIF(GL_Data!$S$8:$S$5007,5107,GL_Data!$P$8:$P$5007))</f>
        <v>0</v>
      </c>
      <c r="Y10" s="88" t="n">
        <f aca="false">IF($A10="",0,SUMIF(GL_Data!$S$8:$S$5007,5108,GL_Data!$P$8:$P$5007))</f>
        <v>0</v>
      </c>
      <c r="Z10" s="88" t="n">
        <f aca="false">IF($A10="",0,SUMIF(GL_Data!$S$8:$S$5007,5109,GL_Data!$P$8:$P$5007))</f>
        <v>0</v>
      </c>
      <c r="AA10" s="88" t="n">
        <f aca="false">IF($A10="",0,SUMIF(GL_Data!$S$8:$S$5007,5110,GL_Data!$P$8:$P$5007))</f>
        <v>0</v>
      </c>
      <c r="AB10" s="88" t="n">
        <f aca="false">IF($A10="",0,SUMIF(GL_Data!$S$8:$S$5007,5111,GL_Data!$P$8:$P$5007))</f>
        <v>0</v>
      </c>
      <c r="AC10" s="88" t="n">
        <f aca="false">IF($A10="",0,SUMIF(GL_Data!$S$8:$S$5007,5112,GL_Data!$P$8:$P$5007))</f>
        <v>0</v>
      </c>
      <c r="AD10" s="89" t="n">
        <f aca="false">IF($A10="",0,INDEX($F10:$AC10,12+Setup!$B$8))</f>
        <v>0</v>
      </c>
      <c r="AE10" s="90" t="n">
        <f aca="false">IF($A10="",0,INDEX($F10:$AC10,Setup!$B$8))</f>
        <v>0</v>
      </c>
      <c r="AF10" s="90" t="n">
        <f aca="false">IF($A10="",0,INDEX($F10:$AC10,11+Setup!$B$8))</f>
        <v>0</v>
      </c>
      <c r="AG10" s="90" t="n">
        <f aca="false">IF($A10="",0,AVERAGE(INDEX($F10:$AC10,9+Setup!$B$8):INDEX($F10:$AC10,11+Setup!$B$8)))</f>
        <v>0</v>
      </c>
      <c r="AH10" s="89" t="n">
        <f aca="false">IF($A10="",0,SUMPRODUCT(($R$3:$AC$3&lt;=Setup!$B$8)*$R10:$AC10))</f>
        <v>0</v>
      </c>
      <c r="AI10" s="90" t="n">
        <f aca="false">IF($A10="",0,SUMPRODUCT(($F$3:$Q$3&lt;=Setup!$B$8)*$F10:$Q10))</f>
        <v>0</v>
      </c>
      <c r="AJ10" s="90" t="n">
        <f aca="false">IF($A10="",0,SUM($F10:$Q10))</f>
        <v>0</v>
      </c>
      <c r="AK10" s="90" t="n">
        <f aca="false">IF($A10="",0,SUM($R10:$AC10))</f>
        <v>0</v>
      </c>
      <c r="AL10" s="91" t="n">
        <f aca="false">IF($A10="",0,IF(SUMPRODUCT(ABS($F10:$AC10))&gt;0,1,0))</f>
        <v>0</v>
      </c>
    </row>
    <row r="11" customFormat="false" ht="15" hidden="false" customHeight="false" outlineLevel="0" collapsed="false">
      <c r="A11" s="68" t="str">
        <f aca="false">IF(COA_Mapping!$A12="","",COA_Mapping!$A12)</f>
        <v>Contract Support Staff</v>
      </c>
      <c r="B11" s="68" t="str">
        <f aca="false">IF($A11="","",COA_Mapping!$C12)</f>
        <v>Income</v>
      </c>
      <c r="C11" s="68" t="str">
        <f aca="false">IF($A11="","",COA_Mapping!$E12)</f>
        <v>P&amp;L</v>
      </c>
      <c r="D11" s="68" t="str">
        <f aca="false">IF($A11="","",COA_Mapping!$D12)</f>
        <v>Unallocated</v>
      </c>
      <c r="E11" s="86" t="n">
        <f aca="false">IF($A11="",1,COA_Mapping!$F12)</f>
        <v>-1</v>
      </c>
      <c r="F11" s="87" t="n">
        <f aca="false">IF($A11="",0,SUMIF(GL_Data!$S$8:$S$5007,6001,GL_Data!$P$8:$P$5007))</f>
        <v>0</v>
      </c>
      <c r="G11" s="87" t="n">
        <f aca="false">IF($A11="",0,SUMIF(GL_Data!$S$8:$S$5007,6002,GL_Data!$P$8:$P$5007))</f>
        <v>0</v>
      </c>
      <c r="H11" s="87" t="n">
        <f aca="false">IF($A11="",0,SUMIF(GL_Data!$S$8:$S$5007,6003,GL_Data!$P$8:$P$5007))</f>
        <v>0</v>
      </c>
      <c r="I11" s="87" t="n">
        <f aca="false">IF($A11="",0,SUMIF(GL_Data!$S$8:$S$5007,6004,GL_Data!$P$8:$P$5007))</f>
        <v>0</v>
      </c>
      <c r="J11" s="87" t="n">
        <f aca="false">IF($A11="",0,SUMIF(GL_Data!$S$8:$S$5007,6005,GL_Data!$P$8:$P$5007))</f>
        <v>0</v>
      </c>
      <c r="K11" s="87" t="n">
        <f aca="false">IF($A11="",0,SUMIF(GL_Data!$S$8:$S$5007,6006,GL_Data!$P$8:$P$5007))</f>
        <v>0</v>
      </c>
      <c r="L11" s="87" t="n">
        <f aca="false">IF($A11="",0,SUMIF(GL_Data!$S$8:$S$5007,6007,GL_Data!$P$8:$P$5007))</f>
        <v>0</v>
      </c>
      <c r="M11" s="87" t="n">
        <f aca="false">IF($A11="",0,SUMIF(GL_Data!$S$8:$S$5007,6008,GL_Data!$P$8:$P$5007))</f>
        <v>0</v>
      </c>
      <c r="N11" s="87" t="n">
        <f aca="false">IF($A11="",0,SUMIF(GL_Data!$S$8:$S$5007,6009,GL_Data!$P$8:$P$5007))</f>
        <v>0</v>
      </c>
      <c r="O11" s="87" t="n">
        <f aca="false">IF($A11="",0,SUMIF(GL_Data!$S$8:$S$5007,6010,GL_Data!$P$8:$P$5007))</f>
        <v>0</v>
      </c>
      <c r="P11" s="87" t="n">
        <f aca="false">IF($A11="",0,SUMIF(GL_Data!$S$8:$S$5007,6011,GL_Data!$P$8:$P$5007))</f>
        <v>0</v>
      </c>
      <c r="Q11" s="87" t="n">
        <f aca="false">IF($A11="",0,SUMIF(GL_Data!$S$8:$S$5007,6012,GL_Data!$P$8:$P$5007))</f>
        <v>0</v>
      </c>
      <c r="R11" s="88" t="n">
        <f aca="false">IF($A11="",0,SUMIF(GL_Data!$S$8:$S$5007,6101,GL_Data!$P$8:$P$5007))</f>
        <v>0</v>
      </c>
      <c r="S11" s="88" t="n">
        <f aca="false">IF($A11="",0,SUMIF(GL_Data!$S$8:$S$5007,6102,GL_Data!$P$8:$P$5007))</f>
        <v>0</v>
      </c>
      <c r="T11" s="88" t="n">
        <f aca="false">IF($A11="",0,SUMIF(GL_Data!$S$8:$S$5007,6103,GL_Data!$P$8:$P$5007))</f>
        <v>0</v>
      </c>
      <c r="U11" s="88" t="n">
        <f aca="false">IF($A11="",0,SUMIF(GL_Data!$S$8:$S$5007,6104,GL_Data!$P$8:$P$5007))</f>
        <v>0</v>
      </c>
      <c r="V11" s="88" t="n">
        <f aca="false">IF($A11="",0,SUMIF(GL_Data!$S$8:$S$5007,6105,GL_Data!$P$8:$P$5007))</f>
        <v>0</v>
      </c>
      <c r="W11" s="88" t="n">
        <f aca="false">IF($A11="",0,SUMIF(GL_Data!$S$8:$S$5007,6106,GL_Data!$P$8:$P$5007))</f>
        <v>0</v>
      </c>
      <c r="X11" s="88" t="n">
        <f aca="false">IF($A11="",0,SUMIF(GL_Data!$S$8:$S$5007,6107,GL_Data!$P$8:$P$5007))</f>
        <v>0</v>
      </c>
      <c r="Y11" s="88" t="n">
        <f aca="false">IF($A11="",0,SUMIF(GL_Data!$S$8:$S$5007,6108,GL_Data!$P$8:$P$5007))</f>
        <v>0</v>
      </c>
      <c r="Z11" s="88" t="n">
        <f aca="false">IF($A11="",0,SUMIF(GL_Data!$S$8:$S$5007,6109,GL_Data!$P$8:$P$5007))</f>
        <v>0</v>
      </c>
      <c r="AA11" s="88" t="n">
        <f aca="false">IF($A11="",0,SUMIF(GL_Data!$S$8:$S$5007,6110,GL_Data!$P$8:$P$5007))</f>
        <v>0</v>
      </c>
      <c r="AB11" s="88" t="n">
        <f aca="false">IF($A11="",0,SUMIF(GL_Data!$S$8:$S$5007,6111,GL_Data!$P$8:$P$5007))</f>
        <v>0</v>
      </c>
      <c r="AC11" s="88" t="n">
        <f aca="false">IF($A11="",0,SUMIF(GL_Data!$S$8:$S$5007,6112,GL_Data!$P$8:$P$5007))</f>
        <v>0</v>
      </c>
      <c r="AD11" s="89" t="n">
        <f aca="false">IF($A11="",0,INDEX($F11:$AC11,12+Setup!$B$8))</f>
        <v>0</v>
      </c>
      <c r="AE11" s="90" t="n">
        <f aca="false">IF($A11="",0,INDEX($F11:$AC11,Setup!$B$8))</f>
        <v>0</v>
      </c>
      <c r="AF11" s="90" t="n">
        <f aca="false">IF($A11="",0,INDEX($F11:$AC11,11+Setup!$B$8))</f>
        <v>0</v>
      </c>
      <c r="AG11" s="90" t="n">
        <f aca="false">IF($A11="",0,AVERAGE(INDEX($F11:$AC11,9+Setup!$B$8):INDEX($F11:$AC11,11+Setup!$B$8)))</f>
        <v>0</v>
      </c>
      <c r="AH11" s="89" t="n">
        <f aca="false">IF($A11="",0,SUMPRODUCT(($R$3:$AC$3&lt;=Setup!$B$8)*$R11:$AC11))</f>
        <v>0</v>
      </c>
      <c r="AI11" s="90" t="n">
        <f aca="false">IF($A11="",0,SUMPRODUCT(($F$3:$Q$3&lt;=Setup!$B$8)*$F11:$Q11))</f>
        <v>0</v>
      </c>
      <c r="AJ11" s="90" t="n">
        <f aca="false">IF($A11="",0,SUM($F11:$Q11))</f>
        <v>0</v>
      </c>
      <c r="AK11" s="90" t="n">
        <f aca="false">IF($A11="",0,SUM($R11:$AC11))</f>
        <v>0</v>
      </c>
      <c r="AL11" s="91" t="n">
        <f aca="false">IF($A11="",0,IF(SUMPRODUCT(ABS($F11:$AC11))&gt;0,1,0))</f>
        <v>0</v>
      </c>
    </row>
    <row r="12" customFormat="false" ht="15" hidden="false" customHeight="false" outlineLevel="0" collapsed="false">
      <c r="A12" s="68" t="str">
        <f aca="false">IF(COA_Mapping!$A13="","",COA_Mapping!$A13)</f>
        <v>Credit Card Collected - CONS</v>
      </c>
      <c r="B12" s="68" t="str">
        <f aca="false">IF($A12="","",COA_Mapping!$C13)</f>
        <v>Income</v>
      </c>
      <c r="C12" s="68" t="str">
        <f aca="false">IF($A12="","",COA_Mapping!$E13)</f>
        <v>P&amp;L</v>
      </c>
      <c r="D12" s="68" t="str">
        <f aca="false">IF($A12="","",COA_Mapping!$D13)</f>
        <v>Consulting</v>
      </c>
      <c r="E12" s="86" t="n">
        <f aca="false">IF($A12="",1,COA_Mapping!$F13)</f>
        <v>-1</v>
      </c>
      <c r="F12" s="87" t="n">
        <f aca="false">IF($A12="",0,SUMIF(GL_Data!$S$8:$S$5007,7001,GL_Data!$P$8:$P$5007))</f>
        <v>0</v>
      </c>
      <c r="G12" s="87" t="n">
        <f aca="false">IF($A12="",0,SUMIF(GL_Data!$S$8:$S$5007,7002,GL_Data!$P$8:$P$5007))</f>
        <v>0</v>
      </c>
      <c r="H12" s="87" t="n">
        <f aca="false">IF($A12="",0,SUMIF(GL_Data!$S$8:$S$5007,7003,GL_Data!$P$8:$P$5007))</f>
        <v>0</v>
      </c>
      <c r="I12" s="87" t="n">
        <f aca="false">IF($A12="",0,SUMIF(GL_Data!$S$8:$S$5007,7004,GL_Data!$P$8:$P$5007))</f>
        <v>0</v>
      </c>
      <c r="J12" s="87" t="n">
        <f aca="false">IF($A12="",0,SUMIF(GL_Data!$S$8:$S$5007,7005,GL_Data!$P$8:$P$5007))</f>
        <v>0</v>
      </c>
      <c r="K12" s="87" t="n">
        <f aca="false">IF($A12="",0,SUMIF(GL_Data!$S$8:$S$5007,7006,GL_Data!$P$8:$P$5007))</f>
        <v>0</v>
      </c>
      <c r="L12" s="87" t="n">
        <f aca="false">IF($A12="",0,SUMIF(GL_Data!$S$8:$S$5007,7007,GL_Data!$P$8:$P$5007))</f>
        <v>0</v>
      </c>
      <c r="M12" s="87" t="n">
        <f aca="false">IF($A12="",0,SUMIF(GL_Data!$S$8:$S$5007,7008,GL_Data!$P$8:$P$5007))</f>
        <v>0</v>
      </c>
      <c r="N12" s="87" t="n">
        <f aca="false">IF($A12="",0,SUMIF(GL_Data!$S$8:$S$5007,7009,GL_Data!$P$8:$P$5007))</f>
        <v>0</v>
      </c>
      <c r="O12" s="87" t="n">
        <f aca="false">IF($A12="",0,SUMIF(GL_Data!$S$8:$S$5007,7010,GL_Data!$P$8:$P$5007))</f>
        <v>0</v>
      </c>
      <c r="P12" s="87" t="n">
        <f aca="false">IF($A12="",0,SUMIF(GL_Data!$S$8:$S$5007,7011,GL_Data!$P$8:$P$5007))</f>
        <v>0</v>
      </c>
      <c r="Q12" s="87" t="n">
        <f aca="false">IF($A12="",0,SUMIF(GL_Data!$S$8:$S$5007,7012,GL_Data!$P$8:$P$5007))</f>
        <v>0</v>
      </c>
      <c r="R12" s="88" t="n">
        <f aca="false">IF($A12="",0,SUMIF(GL_Data!$S$8:$S$5007,7101,GL_Data!$P$8:$P$5007))</f>
        <v>0</v>
      </c>
      <c r="S12" s="88" t="n">
        <f aca="false">IF($A12="",0,SUMIF(GL_Data!$S$8:$S$5007,7102,GL_Data!$P$8:$P$5007))</f>
        <v>0</v>
      </c>
      <c r="T12" s="88" t="n">
        <f aca="false">IF($A12="",0,SUMIF(GL_Data!$S$8:$S$5007,7103,GL_Data!$P$8:$P$5007))</f>
        <v>0</v>
      </c>
      <c r="U12" s="88" t="n">
        <f aca="false">IF($A12="",0,SUMIF(GL_Data!$S$8:$S$5007,7104,GL_Data!$P$8:$P$5007))</f>
        <v>0</v>
      </c>
      <c r="V12" s="88" t="n">
        <f aca="false">IF($A12="",0,SUMIF(GL_Data!$S$8:$S$5007,7105,GL_Data!$P$8:$P$5007))</f>
        <v>0</v>
      </c>
      <c r="W12" s="88" t="n">
        <f aca="false">IF($A12="",0,SUMIF(GL_Data!$S$8:$S$5007,7106,GL_Data!$P$8:$P$5007))</f>
        <v>0</v>
      </c>
      <c r="X12" s="88" t="n">
        <f aca="false">IF($A12="",0,SUMIF(GL_Data!$S$8:$S$5007,7107,GL_Data!$P$8:$P$5007))</f>
        <v>0</v>
      </c>
      <c r="Y12" s="88" t="n">
        <f aca="false">IF($A12="",0,SUMIF(GL_Data!$S$8:$S$5007,7108,GL_Data!$P$8:$P$5007))</f>
        <v>0</v>
      </c>
      <c r="Z12" s="88" t="n">
        <f aca="false">IF($A12="",0,SUMIF(GL_Data!$S$8:$S$5007,7109,GL_Data!$P$8:$P$5007))</f>
        <v>0</v>
      </c>
      <c r="AA12" s="88" t="n">
        <f aca="false">IF($A12="",0,SUMIF(GL_Data!$S$8:$S$5007,7110,GL_Data!$P$8:$P$5007))</f>
        <v>0</v>
      </c>
      <c r="AB12" s="88" t="n">
        <f aca="false">IF($A12="",0,SUMIF(GL_Data!$S$8:$S$5007,7111,GL_Data!$P$8:$P$5007))</f>
        <v>0</v>
      </c>
      <c r="AC12" s="88" t="n">
        <f aca="false">IF($A12="",0,SUMIF(GL_Data!$S$8:$S$5007,7112,GL_Data!$P$8:$P$5007))</f>
        <v>0</v>
      </c>
      <c r="AD12" s="89" t="n">
        <f aca="false">IF($A12="",0,INDEX($F12:$AC12,12+Setup!$B$8))</f>
        <v>0</v>
      </c>
      <c r="AE12" s="90" t="n">
        <f aca="false">IF($A12="",0,INDEX($F12:$AC12,Setup!$B$8))</f>
        <v>0</v>
      </c>
      <c r="AF12" s="90" t="n">
        <f aca="false">IF($A12="",0,INDEX($F12:$AC12,11+Setup!$B$8))</f>
        <v>0</v>
      </c>
      <c r="AG12" s="90" t="n">
        <f aca="false">IF($A12="",0,AVERAGE(INDEX($F12:$AC12,9+Setup!$B$8):INDEX($F12:$AC12,11+Setup!$B$8)))</f>
        <v>0</v>
      </c>
      <c r="AH12" s="89" t="n">
        <f aca="false">IF($A12="",0,SUMPRODUCT(($R$3:$AC$3&lt;=Setup!$B$8)*$R12:$AC12))</f>
        <v>0</v>
      </c>
      <c r="AI12" s="90" t="n">
        <f aca="false">IF($A12="",0,SUMPRODUCT(($F$3:$Q$3&lt;=Setup!$B$8)*$F12:$Q12))</f>
        <v>0</v>
      </c>
      <c r="AJ12" s="90" t="n">
        <f aca="false">IF($A12="",0,SUM($F12:$Q12))</f>
        <v>0</v>
      </c>
      <c r="AK12" s="90" t="n">
        <f aca="false">IF($A12="",0,SUM($R12:$AC12))</f>
        <v>0</v>
      </c>
      <c r="AL12" s="91" t="n">
        <f aca="false">IF($A12="",0,IF(SUMPRODUCT(ABS($F12:$AC12))&gt;0,1,0))</f>
        <v>0</v>
      </c>
    </row>
    <row r="13" customFormat="false" ht="15" hidden="false" customHeight="false" outlineLevel="0" collapsed="false">
      <c r="A13" s="68" t="str">
        <f aca="false">IF(COA_Mapping!$A14="","",COA_Mapping!$A14)</f>
        <v>Credit Card Collected - ONS</v>
      </c>
      <c r="B13" s="68" t="str">
        <f aca="false">IF($A13="","",COA_Mapping!$C14)</f>
        <v>Income</v>
      </c>
      <c r="C13" s="68" t="str">
        <f aca="false">IF($A13="","",COA_Mapping!$E14)</f>
        <v>P&amp;L</v>
      </c>
      <c r="D13" s="68" t="str">
        <f aca="false">IF($A13="","",COA_Mapping!$D14)</f>
        <v>Onsite</v>
      </c>
      <c r="E13" s="86" t="n">
        <f aca="false">IF($A13="",1,COA_Mapping!$F14)</f>
        <v>-1</v>
      </c>
      <c r="F13" s="87" t="n">
        <f aca="false">IF($A13="",0,SUMIF(GL_Data!$S$8:$S$5007,8001,GL_Data!$P$8:$P$5007))</f>
        <v>0</v>
      </c>
      <c r="G13" s="87" t="n">
        <f aca="false">IF($A13="",0,SUMIF(GL_Data!$S$8:$S$5007,8002,GL_Data!$P$8:$P$5007))</f>
        <v>0</v>
      </c>
      <c r="H13" s="87" t="n">
        <f aca="false">IF($A13="",0,SUMIF(GL_Data!$S$8:$S$5007,8003,GL_Data!$P$8:$P$5007))</f>
        <v>0</v>
      </c>
      <c r="I13" s="87" t="n">
        <f aca="false">IF($A13="",0,SUMIF(GL_Data!$S$8:$S$5007,8004,GL_Data!$P$8:$P$5007))</f>
        <v>0</v>
      </c>
      <c r="J13" s="87" t="n">
        <f aca="false">IF($A13="",0,SUMIF(GL_Data!$S$8:$S$5007,8005,GL_Data!$P$8:$P$5007))</f>
        <v>0</v>
      </c>
      <c r="K13" s="87" t="n">
        <f aca="false">IF($A13="",0,SUMIF(GL_Data!$S$8:$S$5007,8006,GL_Data!$P$8:$P$5007))</f>
        <v>0</v>
      </c>
      <c r="L13" s="87" t="n">
        <f aca="false">IF($A13="",0,SUMIF(GL_Data!$S$8:$S$5007,8007,GL_Data!$P$8:$P$5007))</f>
        <v>0</v>
      </c>
      <c r="M13" s="87" t="n">
        <f aca="false">IF($A13="",0,SUMIF(GL_Data!$S$8:$S$5007,8008,GL_Data!$P$8:$P$5007))</f>
        <v>0</v>
      </c>
      <c r="N13" s="87" t="n">
        <f aca="false">IF($A13="",0,SUMIF(GL_Data!$S$8:$S$5007,8009,GL_Data!$P$8:$P$5007))</f>
        <v>0</v>
      </c>
      <c r="O13" s="87" t="n">
        <f aca="false">IF($A13="",0,SUMIF(GL_Data!$S$8:$S$5007,8010,GL_Data!$P$8:$P$5007))</f>
        <v>0</v>
      </c>
      <c r="P13" s="87" t="n">
        <f aca="false">IF($A13="",0,SUMIF(GL_Data!$S$8:$S$5007,8011,GL_Data!$P$8:$P$5007))</f>
        <v>0</v>
      </c>
      <c r="Q13" s="87" t="n">
        <f aca="false">IF($A13="",0,SUMIF(GL_Data!$S$8:$S$5007,8012,GL_Data!$P$8:$P$5007))</f>
        <v>0</v>
      </c>
      <c r="R13" s="88" t="n">
        <f aca="false">IF($A13="",0,SUMIF(GL_Data!$S$8:$S$5007,8101,GL_Data!$P$8:$P$5007))</f>
        <v>0</v>
      </c>
      <c r="S13" s="88" t="n">
        <f aca="false">IF($A13="",0,SUMIF(GL_Data!$S$8:$S$5007,8102,GL_Data!$P$8:$P$5007))</f>
        <v>0</v>
      </c>
      <c r="T13" s="88" t="n">
        <f aca="false">IF($A13="",0,SUMIF(GL_Data!$S$8:$S$5007,8103,GL_Data!$P$8:$P$5007))</f>
        <v>0</v>
      </c>
      <c r="U13" s="88" t="n">
        <f aca="false">IF($A13="",0,SUMIF(GL_Data!$S$8:$S$5007,8104,GL_Data!$P$8:$P$5007))</f>
        <v>0</v>
      </c>
      <c r="V13" s="88" t="n">
        <f aca="false">IF($A13="",0,SUMIF(GL_Data!$S$8:$S$5007,8105,GL_Data!$P$8:$P$5007))</f>
        <v>0</v>
      </c>
      <c r="W13" s="88" t="n">
        <f aca="false">IF($A13="",0,SUMIF(GL_Data!$S$8:$S$5007,8106,GL_Data!$P$8:$P$5007))</f>
        <v>0</v>
      </c>
      <c r="X13" s="88" t="n">
        <f aca="false">IF($A13="",0,SUMIF(GL_Data!$S$8:$S$5007,8107,GL_Data!$P$8:$P$5007))</f>
        <v>0</v>
      </c>
      <c r="Y13" s="88" t="n">
        <f aca="false">IF($A13="",0,SUMIF(GL_Data!$S$8:$S$5007,8108,GL_Data!$P$8:$P$5007))</f>
        <v>0</v>
      </c>
      <c r="Z13" s="88" t="n">
        <f aca="false">IF($A13="",0,SUMIF(GL_Data!$S$8:$S$5007,8109,GL_Data!$P$8:$P$5007))</f>
        <v>0</v>
      </c>
      <c r="AA13" s="88" t="n">
        <f aca="false">IF($A13="",0,SUMIF(GL_Data!$S$8:$S$5007,8110,GL_Data!$P$8:$P$5007))</f>
        <v>0</v>
      </c>
      <c r="AB13" s="88" t="n">
        <f aca="false">IF($A13="",0,SUMIF(GL_Data!$S$8:$S$5007,8111,GL_Data!$P$8:$P$5007))</f>
        <v>0</v>
      </c>
      <c r="AC13" s="88" t="n">
        <f aca="false">IF($A13="",0,SUMIF(GL_Data!$S$8:$S$5007,8112,GL_Data!$P$8:$P$5007))</f>
        <v>0</v>
      </c>
      <c r="AD13" s="89" t="n">
        <f aca="false">IF($A13="",0,INDEX($F13:$AC13,12+Setup!$B$8))</f>
        <v>0</v>
      </c>
      <c r="AE13" s="90" t="n">
        <f aca="false">IF($A13="",0,INDEX($F13:$AC13,Setup!$B$8))</f>
        <v>0</v>
      </c>
      <c r="AF13" s="90" t="n">
        <f aca="false">IF($A13="",0,INDEX($F13:$AC13,11+Setup!$B$8))</f>
        <v>0</v>
      </c>
      <c r="AG13" s="90" t="n">
        <f aca="false">IF($A13="",0,AVERAGE(INDEX($F13:$AC13,9+Setup!$B$8):INDEX($F13:$AC13,11+Setup!$B$8)))</f>
        <v>0</v>
      </c>
      <c r="AH13" s="89" t="n">
        <f aca="false">IF($A13="",0,SUMPRODUCT(($R$3:$AC$3&lt;=Setup!$B$8)*$R13:$AC13))</f>
        <v>0</v>
      </c>
      <c r="AI13" s="90" t="n">
        <f aca="false">IF($A13="",0,SUMPRODUCT(($F$3:$Q$3&lt;=Setup!$B$8)*$F13:$Q13))</f>
        <v>0</v>
      </c>
      <c r="AJ13" s="90" t="n">
        <f aca="false">IF($A13="",0,SUM($F13:$Q13))</f>
        <v>0</v>
      </c>
      <c r="AK13" s="90" t="n">
        <f aca="false">IF($A13="",0,SUM($R13:$AC13))</f>
        <v>0</v>
      </c>
      <c r="AL13" s="91" t="n">
        <f aca="false">IF($A13="",0,IF(SUMPRODUCT(ABS($F13:$AC13))&gt;0,1,0))</f>
        <v>0</v>
      </c>
    </row>
    <row r="14" customFormat="false" ht="15" hidden="false" customHeight="false" outlineLevel="0" collapsed="false">
      <c r="A14" s="68" t="str">
        <f aca="false">IF(COA_Mapping!$A15="","",COA_Mapping!$A15)</f>
        <v>Credit Card Collected - PRD</v>
      </c>
      <c r="B14" s="68" t="str">
        <f aca="false">IF($A14="","",COA_Mapping!$C15)</f>
        <v>Income</v>
      </c>
      <c r="C14" s="68" t="str">
        <f aca="false">IF($A14="","",COA_Mapping!$E15)</f>
        <v>P&amp;L</v>
      </c>
      <c r="D14" s="68" t="str">
        <f aca="false">IF($A14="","",COA_Mapping!$D15)</f>
        <v>Production</v>
      </c>
      <c r="E14" s="86" t="n">
        <f aca="false">IF($A14="",1,COA_Mapping!$F15)</f>
        <v>-1</v>
      </c>
      <c r="F14" s="87" t="n">
        <f aca="false">IF($A14="",0,SUMIF(GL_Data!$S$8:$S$5007,9001,GL_Data!$P$8:$P$5007))</f>
        <v>0</v>
      </c>
      <c r="G14" s="87" t="n">
        <f aca="false">IF($A14="",0,SUMIF(GL_Data!$S$8:$S$5007,9002,GL_Data!$P$8:$P$5007))</f>
        <v>0</v>
      </c>
      <c r="H14" s="87" t="n">
        <f aca="false">IF($A14="",0,SUMIF(GL_Data!$S$8:$S$5007,9003,GL_Data!$P$8:$P$5007))</f>
        <v>0</v>
      </c>
      <c r="I14" s="87" t="n">
        <f aca="false">IF($A14="",0,SUMIF(GL_Data!$S$8:$S$5007,9004,GL_Data!$P$8:$P$5007))</f>
        <v>0</v>
      </c>
      <c r="J14" s="87" t="n">
        <f aca="false">IF($A14="",0,SUMIF(GL_Data!$S$8:$S$5007,9005,GL_Data!$P$8:$P$5007))</f>
        <v>0</v>
      </c>
      <c r="K14" s="87" t="n">
        <f aca="false">IF($A14="",0,SUMIF(GL_Data!$S$8:$S$5007,9006,GL_Data!$P$8:$P$5007))</f>
        <v>0</v>
      </c>
      <c r="L14" s="87" t="n">
        <f aca="false">IF($A14="",0,SUMIF(GL_Data!$S$8:$S$5007,9007,GL_Data!$P$8:$P$5007))</f>
        <v>0</v>
      </c>
      <c r="M14" s="87" t="n">
        <f aca="false">IF($A14="",0,SUMIF(GL_Data!$S$8:$S$5007,9008,GL_Data!$P$8:$P$5007))</f>
        <v>0</v>
      </c>
      <c r="N14" s="87" t="n">
        <f aca="false">IF($A14="",0,SUMIF(GL_Data!$S$8:$S$5007,9009,GL_Data!$P$8:$P$5007))</f>
        <v>0</v>
      </c>
      <c r="O14" s="87" t="n">
        <f aca="false">IF($A14="",0,SUMIF(GL_Data!$S$8:$S$5007,9010,GL_Data!$P$8:$P$5007))</f>
        <v>0</v>
      </c>
      <c r="P14" s="87" t="n">
        <f aca="false">IF($A14="",0,SUMIF(GL_Data!$S$8:$S$5007,9011,GL_Data!$P$8:$P$5007))</f>
        <v>0</v>
      </c>
      <c r="Q14" s="87" t="n">
        <f aca="false">IF($A14="",0,SUMIF(GL_Data!$S$8:$S$5007,9012,GL_Data!$P$8:$P$5007))</f>
        <v>0</v>
      </c>
      <c r="R14" s="88" t="n">
        <f aca="false">IF($A14="",0,SUMIF(GL_Data!$S$8:$S$5007,9101,GL_Data!$P$8:$P$5007))</f>
        <v>0</v>
      </c>
      <c r="S14" s="88" t="n">
        <f aca="false">IF($A14="",0,SUMIF(GL_Data!$S$8:$S$5007,9102,GL_Data!$P$8:$P$5007))</f>
        <v>0</v>
      </c>
      <c r="T14" s="88" t="n">
        <f aca="false">IF($A14="",0,SUMIF(GL_Data!$S$8:$S$5007,9103,GL_Data!$P$8:$P$5007))</f>
        <v>0</v>
      </c>
      <c r="U14" s="88" t="n">
        <f aca="false">IF($A14="",0,SUMIF(GL_Data!$S$8:$S$5007,9104,GL_Data!$P$8:$P$5007))</f>
        <v>0</v>
      </c>
      <c r="V14" s="88" t="n">
        <f aca="false">IF($A14="",0,SUMIF(GL_Data!$S$8:$S$5007,9105,GL_Data!$P$8:$P$5007))</f>
        <v>0</v>
      </c>
      <c r="W14" s="88" t="n">
        <f aca="false">IF($A14="",0,SUMIF(GL_Data!$S$8:$S$5007,9106,GL_Data!$P$8:$P$5007))</f>
        <v>0</v>
      </c>
      <c r="X14" s="88" t="n">
        <f aca="false">IF($A14="",0,SUMIF(GL_Data!$S$8:$S$5007,9107,GL_Data!$P$8:$P$5007))</f>
        <v>0</v>
      </c>
      <c r="Y14" s="88" t="n">
        <f aca="false">IF($A14="",0,SUMIF(GL_Data!$S$8:$S$5007,9108,GL_Data!$P$8:$P$5007))</f>
        <v>0</v>
      </c>
      <c r="Z14" s="88" t="n">
        <f aca="false">IF($A14="",0,SUMIF(GL_Data!$S$8:$S$5007,9109,GL_Data!$P$8:$P$5007))</f>
        <v>0</v>
      </c>
      <c r="AA14" s="88" t="n">
        <f aca="false">IF($A14="",0,SUMIF(GL_Data!$S$8:$S$5007,9110,GL_Data!$P$8:$P$5007))</f>
        <v>0</v>
      </c>
      <c r="AB14" s="88" t="n">
        <f aca="false">IF($A14="",0,SUMIF(GL_Data!$S$8:$S$5007,9111,GL_Data!$P$8:$P$5007))</f>
        <v>0</v>
      </c>
      <c r="AC14" s="88" t="n">
        <f aca="false">IF($A14="",0,SUMIF(GL_Data!$S$8:$S$5007,9112,GL_Data!$P$8:$P$5007))</f>
        <v>0</v>
      </c>
      <c r="AD14" s="89" t="n">
        <f aca="false">IF($A14="",0,INDEX($F14:$AC14,12+Setup!$B$8))</f>
        <v>0</v>
      </c>
      <c r="AE14" s="90" t="n">
        <f aca="false">IF($A14="",0,INDEX($F14:$AC14,Setup!$B$8))</f>
        <v>0</v>
      </c>
      <c r="AF14" s="90" t="n">
        <f aca="false">IF($A14="",0,INDEX($F14:$AC14,11+Setup!$B$8))</f>
        <v>0</v>
      </c>
      <c r="AG14" s="90" t="n">
        <f aca="false">IF($A14="",0,AVERAGE(INDEX($F14:$AC14,9+Setup!$B$8):INDEX($F14:$AC14,11+Setup!$B$8)))</f>
        <v>0</v>
      </c>
      <c r="AH14" s="89" t="n">
        <f aca="false">IF($A14="",0,SUMPRODUCT(($R$3:$AC$3&lt;=Setup!$B$8)*$R14:$AC14))</f>
        <v>0</v>
      </c>
      <c r="AI14" s="90" t="n">
        <f aca="false">IF($A14="",0,SUMPRODUCT(($F$3:$Q$3&lt;=Setup!$B$8)*$F14:$Q14))</f>
        <v>0</v>
      </c>
      <c r="AJ14" s="90" t="n">
        <f aca="false">IF($A14="",0,SUM($F14:$Q14))</f>
        <v>0</v>
      </c>
      <c r="AK14" s="90" t="n">
        <f aca="false">IF($A14="",0,SUM($R14:$AC14))</f>
        <v>0</v>
      </c>
      <c r="AL14" s="91" t="n">
        <f aca="false">IF($A14="",0,IF(SUMPRODUCT(ABS($F14:$AC14))&gt;0,1,0))</f>
        <v>0</v>
      </c>
    </row>
    <row r="15" customFormat="false" ht="15" hidden="false" customHeight="false" outlineLevel="0" collapsed="false">
      <c r="A15" s="68" t="str">
        <f aca="false">IF(COA_Mapping!$A16="","",COA_Mapping!$A16)</f>
        <v>Credit Card Collected - VID</v>
      </c>
      <c r="B15" s="68" t="str">
        <f aca="false">IF($A15="","",COA_Mapping!$C16)</f>
        <v>Income</v>
      </c>
      <c r="C15" s="68" t="str">
        <f aca="false">IF($A15="","",COA_Mapping!$E16)</f>
        <v>P&amp;L</v>
      </c>
      <c r="D15" s="68" t="str">
        <f aca="false">IF($A15="","",COA_Mapping!$D16)</f>
        <v>Video</v>
      </c>
      <c r="E15" s="86" t="n">
        <f aca="false">IF($A15="",1,COA_Mapping!$F16)</f>
        <v>-1</v>
      </c>
      <c r="F15" s="87" t="n">
        <f aca="false">IF($A15="",0,SUMIF(GL_Data!$S$8:$S$5007,10001,GL_Data!$P$8:$P$5007))</f>
        <v>0</v>
      </c>
      <c r="G15" s="87" t="n">
        <f aca="false">IF($A15="",0,SUMIF(GL_Data!$S$8:$S$5007,10002,GL_Data!$P$8:$P$5007))</f>
        <v>0</v>
      </c>
      <c r="H15" s="87" t="n">
        <f aca="false">IF($A15="",0,SUMIF(GL_Data!$S$8:$S$5007,10003,GL_Data!$P$8:$P$5007))</f>
        <v>0</v>
      </c>
      <c r="I15" s="87" t="n">
        <f aca="false">IF($A15="",0,SUMIF(GL_Data!$S$8:$S$5007,10004,GL_Data!$P$8:$P$5007))</f>
        <v>0</v>
      </c>
      <c r="J15" s="87" t="n">
        <f aca="false">IF($A15="",0,SUMIF(GL_Data!$S$8:$S$5007,10005,GL_Data!$P$8:$P$5007))</f>
        <v>0</v>
      </c>
      <c r="K15" s="87" t="n">
        <f aca="false">IF($A15="",0,SUMIF(GL_Data!$S$8:$S$5007,10006,GL_Data!$P$8:$P$5007))</f>
        <v>0</v>
      </c>
      <c r="L15" s="87" t="n">
        <f aca="false">IF($A15="",0,SUMIF(GL_Data!$S$8:$S$5007,10007,GL_Data!$P$8:$P$5007))</f>
        <v>0</v>
      </c>
      <c r="M15" s="87" t="n">
        <f aca="false">IF($A15="",0,SUMIF(GL_Data!$S$8:$S$5007,10008,GL_Data!$P$8:$P$5007))</f>
        <v>0</v>
      </c>
      <c r="N15" s="87" t="n">
        <f aca="false">IF($A15="",0,SUMIF(GL_Data!$S$8:$S$5007,10009,GL_Data!$P$8:$P$5007))</f>
        <v>0</v>
      </c>
      <c r="O15" s="87" t="n">
        <f aca="false">IF($A15="",0,SUMIF(GL_Data!$S$8:$S$5007,10010,GL_Data!$P$8:$P$5007))</f>
        <v>0</v>
      </c>
      <c r="P15" s="87" t="n">
        <f aca="false">IF($A15="",0,SUMIF(GL_Data!$S$8:$S$5007,10011,GL_Data!$P$8:$P$5007))</f>
        <v>0</v>
      </c>
      <c r="Q15" s="87" t="n">
        <f aca="false">IF($A15="",0,SUMIF(GL_Data!$S$8:$S$5007,10012,GL_Data!$P$8:$P$5007))</f>
        <v>0</v>
      </c>
      <c r="R15" s="88" t="n">
        <f aca="false">IF($A15="",0,SUMIF(GL_Data!$S$8:$S$5007,10101,GL_Data!$P$8:$P$5007))</f>
        <v>0</v>
      </c>
      <c r="S15" s="88" t="n">
        <f aca="false">IF($A15="",0,SUMIF(GL_Data!$S$8:$S$5007,10102,GL_Data!$P$8:$P$5007))</f>
        <v>0</v>
      </c>
      <c r="T15" s="88" t="n">
        <f aca="false">IF($A15="",0,SUMIF(GL_Data!$S$8:$S$5007,10103,GL_Data!$P$8:$P$5007))</f>
        <v>0</v>
      </c>
      <c r="U15" s="88" t="n">
        <f aca="false">IF($A15="",0,SUMIF(GL_Data!$S$8:$S$5007,10104,GL_Data!$P$8:$P$5007))</f>
        <v>0</v>
      </c>
      <c r="V15" s="88" t="n">
        <f aca="false">IF($A15="",0,SUMIF(GL_Data!$S$8:$S$5007,10105,GL_Data!$P$8:$P$5007))</f>
        <v>0</v>
      </c>
      <c r="W15" s="88" t="n">
        <f aca="false">IF($A15="",0,SUMIF(GL_Data!$S$8:$S$5007,10106,GL_Data!$P$8:$P$5007))</f>
        <v>0</v>
      </c>
      <c r="X15" s="88" t="n">
        <f aca="false">IF($A15="",0,SUMIF(GL_Data!$S$8:$S$5007,10107,GL_Data!$P$8:$P$5007))</f>
        <v>0</v>
      </c>
      <c r="Y15" s="88" t="n">
        <f aca="false">IF($A15="",0,SUMIF(GL_Data!$S$8:$S$5007,10108,GL_Data!$P$8:$P$5007))</f>
        <v>0</v>
      </c>
      <c r="Z15" s="88" t="n">
        <f aca="false">IF($A15="",0,SUMIF(GL_Data!$S$8:$S$5007,10109,GL_Data!$P$8:$P$5007))</f>
        <v>0</v>
      </c>
      <c r="AA15" s="88" t="n">
        <f aca="false">IF($A15="",0,SUMIF(GL_Data!$S$8:$S$5007,10110,GL_Data!$P$8:$P$5007))</f>
        <v>0</v>
      </c>
      <c r="AB15" s="88" t="n">
        <f aca="false">IF($A15="",0,SUMIF(GL_Data!$S$8:$S$5007,10111,GL_Data!$P$8:$P$5007))</f>
        <v>0</v>
      </c>
      <c r="AC15" s="88" t="n">
        <f aca="false">IF($A15="",0,SUMIF(GL_Data!$S$8:$S$5007,10112,GL_Data!$P$8:$P$5007))</f>
        <v>0</v>
      </c>
      <c r="AD15" s="89" t="n">
        <f aca="false">IF($A15="",0,INDEX($F15:$AC15,12+Setup!$B$8))</f>
        <v>0</v>
      </c>
      <c r="AE15" s="90" t="n">
        <f aca="false">IF($A15="",0,INDEX($F15:$AC15,Setup!$B$8))</f>
        <v>0</v>
      </c>
      <c r="AF15" s="90" t="n">
        <f aca="false">IF($A15="",0,INDEX($F15:$AC15,11+Setup!$B$8))</f>
        <v>0</v>
      </c>
      <c r="AG15" s="90" t="n">
        <f aca="false">IF($A15="",0,AVERAGE(INDEX($F15:$AC15,9+Setup!$B$8):INDEX($F15:$AC15,11+Setup!$B$8)))</f>
        <v>0</v>
      </c>
      <c r="AH15" s="89" t="n">
        <f aca="false">IF($A15="",0,SUMPRODUCT(($R$3:$AC$3&lt;=Setup!$B$8)*$R15:$AC15))</f>
        <v>0</v>
      </c>
      <c r="AI15" s="90" t="n">
        <f aca="false">IF($A15="",0,SUMPRODUCT(($F$3:$Q$3&lt;=Setup!$B$8)*$F15:$Q15))</f>
        <v>0</v>
      </c>
      <c r="AJ15" s="90" t="n">
        <f aca="false">IF($A15="",0,SUM($F15:$Q15))</f>
        <v>0</v>
      </c>
      <c r="AK15" s="90" t="n">
        <f aca="false">IF($A15="",0,SUM($R15:$AC15))</f>
        <v>0</v>
      </c>
      <c r="AL15" s="91" t="n">
        <f aca="false">IF($A15="",0,IF(SUMPRODUCT(ABS($F15:$AC15))&gt;0,1,0))</f>
        <v>0</v>
      </c>
    </row>
    <row r="16" customFormat="false" ht="15" hidden="false" customHeight="false" outlineLevel="0" collapsed="false">
      <c r="A16" s="68" t="str">
        <f aca="false">IF(COA_Mapping!$A17="","",COA_Mapping!$A17)</f>
        <v>Credit Card Collected-INTEGRATION</v>
      </c>
      <c r="B16" s="68" t="str">
        <f aca="false">IF($A16="","",COA_Mapping!$C17)</f>
        <v>Income</v>
      </c>
      <c r="C16" s="68" t="str">
        <f aca="false">IF($A16="","",COA_Mapping!$E17)</f>
        <v>P&amp;L</v>
      </c>
      <c r="D16" s="68" t="str">
        <f aca="false">IF($A16="","",COA_Mapping!$D17)</f>
        <v>Integration</v>
      </c>
      <c r="E16" s="86" t="n">
        <f aca="false">IF($A16="",1,COA_Mapping!$F17)</f>
        <v>-1</v>
      </c>
      <c r="F16" s="87" t="n">
        <f aca="false">IF($A16="",0,SUMIF(GL_Data!$S$8:$S$5007,11001,GL_Data!$P$8:$P$5007))</f>
        <v>0</v>
      </c>
      <c r="G16" s="87" t="n">
        <f aca="false">IF($A16="",0,SUMIF(GL_Data!$S$8:$S$5007,11002,GL_Data!$P$8:$P$5007))</f>
        <v>0</v>
      </c>
      <c r="H16" s="87" t="n">
        <f aca="false">IF($A16="",0,SUMIF(GL_Data!$S$8:$S$5007,11003,GL_Data!$P$8:$P$5007))</f>
        <v>0</v>
      </c>
      <c r="I16" s="87" t="n">
        <f aca="false">IF($A16="",0,SUMIF(GL_Data!$S$8:$S$5007,11004,GL_Data!$P$8:$P$5007))</f>
        <v>0</v>
      </c>
      <c r="J16" s="87" t="n">
        <f aca="false">IF($A16="",0,SUMIF(GL_Data!$S$8:$S$5007,11005,GL_Data!$P$8:$P$5007))</f>
        <v>0</v>
      </c>
      <c r="K16" s="87" t="n">
        <f aca="false">IF($A16="",0,SUMIF(GL_Data!$S$8:$S$5007,11006,GL_Data!$P$8:$P$5007))</f>
        <v>0</v>
      </c>
      <c r="L16" s="87" t="n">
        <f aca="false">IF($A16="",0,SUMIF(GL_Data!$S$8:$S$5007,11007,GL_Data!$P$8:$P$5007))</f>
        <v>0</v>
      </c>
      <c r="M16" s="87" t="n">
        <f aca="false">IF($A16="",0,SUMIF(GL_Data!$S$8:$S$5007,11008,GL_Data!$P$8:$P$5007))</f>
        <v>0</v>
      </c>
      <c r="N16" s="87" t="n">
        <f aca="false">IF($A16="",0,SUMIF(GL_Data!$S$8:$S$5007,11009,GL_Data!$P$8:$P$5007))</f>
        <v>0</v>
      </c>
      <c r="O16" s="87" t="n">
        <f aca="false">IF($A16="",0,SUMIF(GL_Data!$S$8:$S$5007,11010,GL_Data!$P$8:$P$5007))</f>
        <v>0</v>
      </c>
      <c r="P16" s="87" t="n">
        <f aca="false">IF($A16="",0,SUMIF(GL_Data!$S$8:$S$5007,11011,GL_Data!$P$8:$P$5007))</f>
        <v>0</v>
      </c>
      <c r="Q16" s="87" t="n">
        <f aca="false">IF($A16="",0,SUMIF(GL_Data!$S$8:$S$5007,11012,GL_Data!$P$8:$P$5007))</f>
        <v>0</v>
      </c>
      <c r="R16" s="88" t="n">
        <f aca="false">IF($A16="",0,SUMIF(GL_Data!$S$8:$S$5007,11101,GL_Data!$P$8:$P$5007))</f>
        <v>0</v>
      </c>
      <c r="S16" s="88" t="n">
        <f aca="false">IF($A16="",0,SUMIF(GL_Data!$S$8:$S$5007,11102,GL_Data!$P$8:$P$5007))</f>
        <v>0</v>
      </c>
      <c r="T16" s="88" t="n">
        <f aca="false">IF($A16="",0,SUMIF(GL_Data!$S$8:$S$5007,11103,GL_Data!$P$8:$P$5007))</f>
        <v>0</v>
      </c>
      <c r="U16" s="88" t="n">
        <f aca="false">IF($A16="",0,SUMIF(GL_Data!$S$8:$S$5007,11104,GL_Data!$P$8:$P$5007))</f>
        <v>0</v>
      </c>
      <c r="V16" s="88" t="n">
        <f aca="false">IF($A16="",0,SUMIF(GL_Data!$S$8:$S$5007,11105,GL_Data!$P$8:$P$5007))</f>
        <v>0</v>
      </c>
      <c r="W16" s="88" t="n">
        <f aca="false">IF($A16="",0,SUMIF(GL_Data!$S$8:$S$5007,11106,GL_Data!$P$8:$P$5007))</f>
        <v>0</v>
      </c>
      <c r="X16" s="88" t="n">
        <f aca="false">IF($A16="",0,SUMIF(GL_Data!$S$8:$S$5007,11107,GL_Data!$P$8:$P$5007))</f>
        <v>0</v>
      </c>
      <c r="Y16" s="88" t="n">
        <f aca="false">IF($A16="",0,SUMIF(GL_Data!$S$8:$S$5007,11108,GL_Data!$P$8:$P$5007))</f>
        <v>0</v>
      </c>
      <c r="Z16" s="88" t="n">
        <f aca="false">IF($A16="",0,SUMIF(GL_Data!$S$8:$S$5007,11109,GL_Data!$P$8:$P$5007))</f>
        <v>0</v>
      </c>
      <c r="AA16" s="88" t="n">
        <f aca="false">IF($A16="",0,SUMIF(GL_Data!$S$8:$S$5007,11110,GL_Data!$P$8:$P$5007))</f>
        <v>0</v>
      </c>
      <c r="AB16" s="88" t="n">
        <f aca="false">IF($A16="",0,SUMIF(GL_Data!$S$8:$S$5007,11111,GL_Data!$P$8:$P$5007))</f>
        <v>0</v>
      </c>
      <c r="AC16" s="88" t="n">
        <f aca="false">IF($A16="",0,SUMIF(GL_Data!$S$8:$S$5007,11112,GL_Data!$P$8:$P$5007))</f>
        <v>0</v>
      </c>
      <c r="AD16" s="89" t="n">
        <f aca="false">IF($A16="",0,INDEX($F16:$AC16,12+Setup!$B$8))</f>
        <v>0</v>
      </c>
      <c r="AE16" s="90" t="n">
        <f aca="false">IF($A16="",0,INDEX($F16:$AC16,Setup!$B$8))</f>
        <v>0</v>
      </c>
      <c r="AF16" s="90" t="n">
        <f aca="false">IF($A16="",0,INDEX($F16:$AC16,11+Setup!$B$8))</f>
        <v>0</v>
      </c>
      <c r="AG16" s="90" t="n">
        <f aca="false">IF($A16="",0,AVERAGE(INDEX($F16:$AC16,9+Setup!$B$8):INDEX($F16:$AC16,11+Setup!$B$8)))</f>
        <v>0</v>
      </c>
      <c r="AH16" s="89" t="n">
        <f aca="false">IF($A16="",0,SUMPRODUCT(($R$3:$AC$3&lt;=Setup!$B$8)*$R16:$AC16))</f>
        <v>0</v>
      </c>
      <c r="AI16" s="90" t="n">
        <f aca="false">IF($A16="",0,SUMPRODUCT(($F$3:$Q$3&lt;=Setup!$B$8)*$F16:$Q16))</f>
        <v>0</v>
      </c>
      <c r="AJ16" s="90" t="n">
        <f aca="false">IF($A16="",0,SUM($F16:$Q16))</f>
        <v>0</v>
      </c>
      <c r="AK16" s="90" t="n">
        <f aca="false">IF($A16="",0,SUM($R16:$AC16))</f>
        <v>0</v>
      </c>
      <c r="AL16" s="91" t="n">
        <f aca="false">IF($A16="",0,IF(SUMPRODUCT(ABS($F16:$AC16))&gt;0,1,0))</f>
        <v>0</v>
      </c>
    </row>
    <row r="17" customFormat="false" ht="15" hidden="false" customHeight="false" outlineLevel="0" collapsed="false">
      <c r="A17" s="68" t="str">
        <f aca="false">IF(COA_Mapping!$A18="","",COA_Mapping!$A18)</f>
        <v>Credit Card Fees - ADMIN</v>
      </c>
      <c r="B17" s="68" t="str">
        <f aca="false">IF($A17="","",COA_Mapping!$C18)</f>
        <v>Income</v>
      </c>
      <c r="C17" s="68" t="str">
        <f aca="false">IF($A17="","",COA_Mapping!$E18)</f>
        <v>P&amp;L</v>
      </c>
      <c r="D17" s="68" t="str">
        <f aca="false">IF($A17="","",COA_Mapping!$D18)</f>
        <v>Admin</v>
      </c>
      <c r="E17" s="86" t="n">
        <f aca="false">IF($A17="",1,COA_Mapping!$F18)</f>
        <v>-1</v>
      </c>
      <c r="F17" s="87" t="n">
        <f aca="false">IF($A17="",0,SUMIF(GL_Data!$S$8:$S$5007,12001,GL_Data!$P$8:$P$5007))</f>
        <v>0</v>
      </c>
      <c r="G17" s="87" t="n">
        <f aca="false">IF($A17="",0,SUMIF(GL_Data!$S$8:$S$5007,12002,GL_Data!$P$8:$P$5007))</f>
        <v>0</v>
      </c>
      <c r="H17" s="87" t="n">
        <f aca="false">IF($A17="",0,SUMIF(GL_Data!$S$8:$S$5007,12003,GL_Data!$P$8:$P$5007))</f>
        <v>0</v>
      </c>
      <c r="I17" s="87" t="n">
        <f aca="false">IF($A17="",0,SUMIF(GL_Data!$S$8:$S$5007,12004,GL_Data!$P$8:$P$5007))</f>
        <v>0</v>
      </c>
      <c r="J17" s="87" t="n">
        <f aca="false">IF($A17="",0,SUMIF(GL_Data!$S$8:$S$5007,12005,GL_Data!$P$8:$P$5007))</f>
        <v>0</v>
      </c>
      <c r="K17" s="87" t="n">
        <f aca="false">IF($A17="",0,SUMIF(GL_Data!$S$8:$S$5007,12006,GL_Data!$P$8:$P$5007))</f>
        <v>0</v>
      </c>
      <c r="L17" s="87" t="n">
        <f aca="false">IF($A17="",0,SUMIF(GL_Data!$S$8:$S$5007,12007,GL_Data!$P$8:$P$5007))</f>
        <v>0</v>
      </c>
      <c r="M17" s="87" t="n">
        <f aca="false">IF($A17="",0,SUMIF(GL_Data!$S$8:$S$5007,12008,GL_Data!$P$8:$P$5007))</f>
        <v>0</v>
      </c>
      <c r="N17" s="87" t="n">
        <f aca="false">IF($A17="",0,SUMIF(GL_Data!$S$8:$S$5007,12009,GL_Data!$P$8:$P$5007))</f>
        <v>0</v>
      </c>
      <c r="O17" s="87" t="n">
        <f aca="false">IF($A17="",0,SUMIF(GL_Data!$S$8:$S$5007,12010,GL_Data!$P$8:$P$5007))</f>
        <v>0</v>
      </c>
      <c r="P17" s="87" t="n">
        <f aca="false">IF($A17="",0,SUMIF(GL_Data!$S$8:$S$5007,12011,GL_Data!$P$8:$P$5007))</f>
        <v>0</v>
      </c>
      <c r="Q17" s="87" t="n">
        <f aca="false">IF($A17="",0,SUMIF(GL_Data!$S$8:$S$5007,12012,GL_Data!$P$8:$P$5007))</f>
        <v>0</v>
      </c>
      <c r="R17" s="88" t="n">
        <f aca="false">IF($A17="",0,SUMIF(GL_Data!$S$8:$S$5007,12101,GL_Data!$P$8:$P$5007))</f>
        <v>0</v>
      </c>
      <c r="S17" s="88" t="n">
        <f aca="false">IF($A17="",0,SUMIF(GL_Data!$S$8:$S$5007,12102,GL_Data!$P$8:$P$5007))</f>
        <v>0</v>
      </c>
      <c r="T17" s="88" t="n">
        <f aca="false">IF($A17="",0,SUMIF(GL_Data!$S$8:$S$5007,12103,GL_Data!$P$8:$P$5007))</f>
        <v>0</v>
      </c>
      <c r="U17" s="88" t="n">
        <f aca="false">IF($A17="",0,SUMIF(GL_Data!$S$8:$S$5007,12104,GL_Data!$P$8:$P$5007))</f>
        <v>0</v>
      </c>
      <c r="V17" s="88" t="n">
        <f aca="false">IF($A17="",0,SUMIF(GL_Data!$S$8:$S$5007,12105,GL_Data!$P$8:$P$5007))</f>
        <v>0</v>
      </c>
      <c r="W17" s="88" t="n">
        <f aca="false">IF($A17="",0,SUMIF(GL_Data!$S$8:$S$5007,12106,GL_Data!$P$8:$P$5007))</f>
        <v>0</v>
      </c>
      <c r="X17" s="88" t="n">
        <f aca="false">IF($A17="",0,SUMIF(GL_Data!$S$8:$S$5007,12107,GL_Data!$P$8:$P$5007))</f>
        <v>0</v>
      </c>
      <c r="Y17" s="88" t="n">
        <f aca="false">IF($A17="",0,SUMIF(GL_Data!$S$8:$S$5007,12108,GL_Data!$P$8:$P$5007))</f>
        <v>0</v>
      </c>
      <c r="Z17" s="88" t="n">
        <f aca="false">IF($A17="",0,SUMIF(GL_Data!$S$8:$S$5007,12109,GL_Data!$P$8:$P$5007))</f>
        <v>0</v>
      </c>
      <c r="AA17" s="88" t="n">
        <f aca="false">IF($A17="",0,SUMIF(GL_Data!$S$8:$S$5007,12110,GL_Data!$P$8:$P$5007))</f>
        <v>0</v>
      </c>
      <c r="AB17" s="88" t="n">
        <f aca="false">IF($A17="",0,SUMIF(GL_Data!$S$8:$S$5007,12111,GL_Data!$P$8:$P$5007))</f>
        <v>0</v>
      </c>
      <c r="AC17" s="88" t="n">
        <f aca="false">IF($A17="",0,SUMIF(GL_Data!$S$8:$S$5007,12112,GL_Data!$P$8:$P$5007))</f>
        <v>0</v>
      </c>
      <c r="AD17" s="89" t="n">
        <f aca="false">IF($A17="",0,INDEX($F17:$AC17,12+Setup!$B$8))</f>
        <v>0</v>
      </c>
      <c r="AE17" s="90" t="n">
        <f aca="false">IF($A17="",0,INDEX($F17:$AC17,Setup!$B$8))</f>
        <v>0</v>
      </c>
      <c r="AF17" s="90" t="n">
        <f aca="false">IF($A17="",0,INDEX($F17:$AC17,11+Setup!$B$8))</f>
        <v>0</v>
      </c>
      <c r="AG17" s="90" t="n">
        <f aca="false">IF($A17="",0,AVERAGE(INDEX($F17:$AC17,9+Setup!$B$8):INDEX($F17:$AC17,11+Setup!$B$8)))</f>
        <v>0</v>
      </c>
      <c r="AH17" s="89" t="n">
        <f aca="false">IF($A17="",0,SUMPRODUCT(($R$3:$AC$3&lt;=Setup!$B$8)*$R17:$AC17))</f>
        <v>0</v>
      </c>
      <c r="AI17" s="90" t="n">
        <f aca="false">IF($A17="",0,SUMPRODUCT(($F$3:$Q$3&lt;=Setup!$B$8)*$F17:$Q17))</f>
        <v>0</v>
      </c>
      <c r="AJ17" s="90" t="n">
        <f aca="false">IF($A17="",0,SUM($F17:$Q17))</f>
        <v>0</v>
      </c>
      <c r="AK17" s="90" t="n">
        <f aca="false">IF($A17="",0,SUM($R17:$AC17))</f>
        <v>0</v>
      </c>
      <c r="AL17" s="91" t="n">
        <f aca="false">IF($A17="",0,IF(SUMPRODUCT(ABS($F17:$AC17))&gt;0,1,0))</f>
        <v>0</v>
      </c>
    </row>
    <row r="18" customFormat="false" ht="15" hidden="false" customHeight="false" outlineLevel="0" collapsed="false">
      <c r="A18" s="68" t="str">
        <f aca="false">IF(COA_Mapping!$A19="","",COA_Mapping!$A19)</f>
        <v>Equipment Hires</v>
      </c>
      <c r="B18" s="68" t="str">
        <f aca="false">IF($A18="","",COA_Mapping!$C19)</f>
        <v>Income</v>
      </c>
      <c r="C18" s="68" t="str">
        <f aca="false">IF($A18="","",COA_Mapping!$E19)</f>
        <v>P&amp;L</v>
      </c>
      <c r="D18" s="68" t="str">
        <f aca="false">IF($A18="","",COA_Mapping!$D19)</f>
        <v>Unallocated</v>
      </c>
      <c r="E18" s="86" t="n">
        <f aca="false">IF($A18="",1,COA_Mapping!$F19)</f>
        <v>-1</v>
      </c>
      <c r="F18" s="87" t="n">
        <f aca="false">IF($A18="",0,SUMIF(GL_Data!$S$8:$S$5007,13001,GL_Data!$P$8:$P$5007))</f>
        <v>0</v>
      </c>
      <c r="G18" s="87" t="n">
        <f aca="false">IF($A18="",0,SUMIF(GL_Data!$S$8:$S$5007,13002,GL_Data!$P$8:$P$5007))</f>
        <v>0</v>
      </c>
      <c r="H18" s="87" t="n">
        <f aca="false">IF($A18="",0,SUMIF(GL_Data!$S$8:$S$5007,13003,GL_Data!$P$8:$P$5007))</f>
        <v>0</v>
      </c>
      <c r="I18" s="87" t="n">
        <f aca="false">IF($A18="",0,SUMIF(GL_Data!$S$8:$S$5007,13004,GL_Data!$P$8:$P$5007))</f>
        <v>0</v>
      </c>
      <c r="J18" s="87" t="n">
        <f aca="false">IF($A18="",0,SUMIF(GL_Data!$S$8:$S$5007,13005,GL_Data!$P$8:$P$5007))</f>
        <v>0</v>
      </c>
      <c r="K18" s="87" t="n">
        <f aca="false">IF($A18="",0,SUMIF(GL_Data!$S$8:$S$5007,13006,GL_Data!$P$8:$P$5007))</f>
        <v>0</v>
      </c>
      <c r="L18" s="87" t="n">
        <f aca="false">IF($A18="",0,SUMIF(GL_Data!$S$8:$S$5007,13007,GL_Data!$P$8:$P$5007))</f>
        <v>0</v>
      </c>
      <c r="M18" s="87" t="n">
        <f aca="false">IF($A18="",0,SUMIF(GL_Data!$S$8:$S$5007,13008,GL_Data!$P$8:$P$5007))</f>
        <v>0</v>
      </c>
      <c r="N18" s="87" t="n">
        <f aca="false">IF($A18="",0,SUMIF(GL_Data!$S$8:$S$5007,13009,GL_Data!$P$8:$P$5007))</f>
        <v>0</v>
      </c>
      <c r="O18" s="87" t="n">
        <f aca="false">IF($A18="",0,SUMIF(GL_Data!$S$8:$S$5007,13010,GL_Data!$P$8:$P$5007))</f>
        <v>0</v>
      </c>
      <c r="P18" s="87" t="n">
        <f aca="false">IF($A18="",0,SUMIF(GL_Data!$S$8:$S$5007,13011,GL_Data!$P$8:$P$5007))</f>
        <v>0</v>
      </c>
      <c r="Q18" s="87" t="n">
        <f aca="false">IF($A18="",0,SUMIF(GL_Data!$S$8:$S$5007,13012,GL_Data!$P$8:$P$5007))</f>
        <v>0</v>
      </c>
      <c r="R18" s="88" t="n">
        <f aca="false">IF($A18="",0,SUMIF(GL_Data!$S$8:$S$5007,13101,GL_Data!$P$8:$P$5007))</f>
        <v>0</v>
      </c>
      <c r="S18" s="88" t="n">
        <f aca="false">IF($A18="",0,SUMIF(GL_Data!$S$8:$S$5007,13102,GL_Data!$P$8:$P$5007))</f>
        <v>0</v>
      </c>
      <c r="T18" s="88" t="n">
        <f aca="false">IF($A18="",0,SUMIF(GL_Data!$S$8:$S$5007,13103,GL_Data!$P$8:$P$5007))</f>
        <v>0</v>
      </c>
      <c r="U18" s="88" t="n">
        <f aca="false">IF($A18="",0,SUMIF(GL_Data!$S$8:$S$5007,13104,GL_Data!$P$8:$P$5007))</f>
        <v>0</v>
      </c>
      <c r="V18" s="88" t="n">
        <f aca="false">IF($A18="",0,SUMIF(GL_Data!$S$8:$S$5007,13105,GL_Data!$P$8:$P$5007))</f>
        <v>0</v>
      </c>
      <c r="W18" s="88" t="n">
        <f aca="false">IF($A18="",0,SUMIF(GL_Data!$S$8:$S$5007,13106,GL_Data!$P$8:$P$5007))</f>
        <v>0</v>
      </c>
      <c r="X18" s="88" t="n">
        <f aca="false">IF($A18="",0,SUMIF(GL_Data!$S$8:$S$5007,13107,GL_Data!$P$8:$P$5007))</f>
        <v>0</v>
      </c>
      <c r="Y18" s="88" t="n">
        <f aca="false">IF($A18="",0,SUMIF(GL_Data!$S$8:$S$5007,13108,GL_Data!$P$8:$P$5007))</f>
        <v>0</v>
      </c>
      <c r="Z18" s="88" t="n">
        <f aca="false">IF($A18="",0,SUMIF(GL_Data!$S$8:$S$5007,13109,GL_Data!$P$8:$P$5007))</f>
        <v>0</v>
      </c>
      <c r="AA18" s="88" t="n">
        <f aca="false">IF($A18="",0,SUMIF(GL_Data!$S$8:$S$5007,13110,GL_Data!$P$8:$P$5007))</f>
        <v>0</v>
      </c>
      <c r="AB18" s="88" t="n">
        <f aca="false">IF($A18="",0,SUMIF(GL_Data!$S$8:$S$5007,13111,GL_Data!$P$8:$P$5007))</f>
        <v>0</v>
      </c>
      <c r="AC18" s="88" t="n">
        <f aca="false">IF($A18="",0,SUMIF(GL_Data!$S$8:$S$5007,13112,GL_Data!$P$8:$P$5007))</f>
        <v>0</v>
      </c>
      <c r="AD18" s="89" t="n">
        <f aca="false">IF($A18="",0,INDEX($F18:$AC18,12+Setup!$B$8))</f>
        <v>0</v>
      </c>
      <c r="AE18" s="90" t="n">
        <f aca="false">IF($A18="",0,INDEX($F18:$AC18,Setup!$B$8))</f>
        <v>0</v>
      </c>
      <c r="AF18" s="90" t="n">
        <f aca="false">IF($A18="",0,INDEX($F18:$AC18,11+Setup!$B$8))</f>
        <v>0</v>
      </c>
      <c r="AG18" s="90" t="n">
        <f aca="false">IF($A18="",0,AVERAGE(INDEX($F18:$AC18,9+Setup!$B$8):INDEX($F18:$AC18,11+Setup!$B$8)))</f>
        <v>0</v>
      </c>
      <c r="AH18" s="89" t="n">
        <f aca="false">IF($A18="",0,SUMPRODUCT(($R$3:$AC$3&lt;=Setup!$B$8)*$R18:$AC18))</f>
        <v>0</v>
      </c>
      <c r="AI18" s="90" t="n">
        <f aca="false">IF($A18="",0,SUMPRODUCT(($F$3:$Q$3&lt;=Setup!$B$8)*$F18:$Q18))</f>
        <v>0</v>
      </c>
      <c r="AJ18" s="90" t="n">
        <f aca="false">IF($A18="",0,SUM($F18:$Q18))</f>
        <v>0</v>
      </c>
      <c r="AK18" s="90" t="n">
        <f aca="false">IF($A18="",0,SUM($R18:$AC18))</f>
        <v>0</v>
      </c>
      <c r="AL18" s="91" t="n">
        <f aca="false">IF($A18="",0,IF(SUMPRODUCT(ABS($F18:$AC18))&gt;0,1,0))</f>
        <v>0</v>
      </c>
    </row>
    <row r="19" customFormat="false" ht="15" hidden="false" customHeight="false" outlineLevel="0" collapsed="false">
      <c r="A19" s="68" t="str">
        <f aca="false">IF(COA_Mapping!$A20="","",COA_Mapping!$A20)</f>
        <v>Equipment Sales</v>
      </c>
      <c r="B19" s="68" t="str">
        <f aca="false">IF($A19="","",COA_Mapping!$C20)</f>
        <v>Income</v>
      </c>
      <c r="C19" s="68" t="str">
        <f aca="false">IF($A19="","",COA_Mapping!$E20)</f>
        <v>P&amp;L</v>
      </c>
      <c r="D19" s="68" t="str">
        <f aca="false">IF($A19="","",COA_Mapping!$D20)</f>
        <v>Unallocated</v>
      </c>
      <c r="E19" s="86" t="n">
        <f aca="false">IF($A19="",1,COA_Mapping!$F20)</f>
        <v>-1</v>
      </c>
      <c r="F19" s="87" t="n">
        <f aca="false">IF($A19="",0,SUMIF(GL_Data!$S$8:$S$5007,14001,GL_Data!$P$8:$P$5007))</f>
        <v>0</v>
      </c>
      <c r="G19" s="87" t="n">
        <f aca="false">IF($A19="",0,SUMIF(GL_Data!$S$8:$S$5007,14002,GL_Data!$P$8:$P$5007))</f>
        <v>0</v>
      </c>
      <c r="H19" s="87" t="n">
        <f aca="false">IF($A19="",0,SUMIF(GL_Data!$S$8:$S$5007,14003,GL_Data!$P$8:$P$5007))</f>
        <v>0</v>
      </c>
      <c r="I19" s="87" t="n">
        <f aca="false">IF($A19="",0,SUMIF(GL_Data!$S$8:$S$5007,14004,GL_Data!$P$8:$P$5007))</f>
        <v>0</v>
      </c>
      <c r="J19" s="87" t="n">
        <f aca="false">IF($A19="",0,SUMIF(GL_Data!$S$8:$S$5007,14005,GL_Data!$P$8:$P$5007))</f>
        <v>0</v>
      </c>
      <c r="K19" s="87" t="n">
        <f aca="false">IF($A19="",0,SUMIF(GL_Data!$S$8:$S$5007,14006,GL_Data!$P$8:$P$5007))</f>
        <v>0</v>
      </c>
      <c r="L19" s="87" t="n">
        <f aca="false">IF($A19="",0,SUMIF(GL_Data!$S$8:$S$5007,14007,GL_Data!$P$8:$P$5007))</f>
        <v>0</v>
      </c>
      <c r="M19" s="87" t="n">
        <f aca="false">IF($A19="",0,SUMIF(GL_Data!$S$8:$S$5007,14008,GL_Data!$P$8:$P$5007))</f>
        <v>0</v>
      </c>
      <c r="N19" s="87" t="n">
        <f aca="false">IF($A19="",0,SUMIF(GL_Data!$S$8:$S$5007,14009,GL_Data!$P$8:$P$5007))</f>
        <v>0</v>
      </c>
      <c r="O19" s="87" t="n">
        <f aca="false">IF($A19="",0,SUMIF(GL_Data!$S$8:$S$5007,14010,GL_Data!$P$8:$P$5007))</f>
        <v>0</v>
      </c>
      <c r="P19" s="87" t="n">
        <f aca="false">IF($A19="",0,SUMIF(GL_Data!$S$8:$S$5007,14011,GL_Data!$P$8:$P$5007))</f>
        <v>0</v>
      </c>
      <c r="Q19" s="87" t="n">
        <f aca="false">IF($A19="",0,SUMIF(GL_Data!$S$8:$S$5007,14012,GL_Data!$P$8:$P$5007))</f>
        <v>0</v>
      </c>
      <c r="R19" s="88" t="n">
        <f aca="false">IF($A19="",0,SUMIF(GL_Data!$S$8:$S$5007,14101,GL_Data!$P$8:$P$5007))</f>
        <v>0</v>
      </c>
      <c r="S19" s="88" t="n">
        <f aca="false">IF($A19="",0,SUMIF(GL_Data!$S$8:$S$5007,14102,GL_Data!$P$8:$P$5007))</f>
        <v>0</v>
      </c>
      <c r="T19" s="88" t="n">
        <f aca="false">IF($A19="",0,SUMIF(GL_Data!$S$8:$S$5007,14103,GL_Data!$P$8:$P$5007))</f>
        <v>0</v>
      </c>
      <c r="U19" s="88" t="n">
        <f aca="false">IF($A19="",0,SUMIF(GL_Data!$S$8:$S$5007,14104,GL_Data!$P$8:$P$5007))</f>
        <v>0</v>
      </c>
      <c r="V19" s="88" t="n">
        <f aca="false">IF($A19="",0,SUMIF(GL_Data!$S$8:$S$5007,14105,GL_Data!$P$8:$P$5007))</f>
        <v>0</v>
      </c>
      <c r="W19" s="88" t="n">
        <f aca="false">IF($A19="",0,SUMIF(GL_Data!$S$8:$S$5007,14106,GL_Data!$P$8:$P$5007))</f>
        <v>0</v>
      </c>
      <c r="X19" s="88" t="n">
        <f aca="false">IF($A19="",0,SUMIF(GL_Data!$S$8:$S$5007,14107,GL_Data!$P$8:$P$5007))</f>
        <v>0</v>
      </c>
      <c r="Y19" s="88" t="n">
        <f aca="false">IF($A19="",0,SUMIF(GL_Data!$S$8:$S$5007,14108,GL_Data!$P$8:$P$5007))</f>
        <v>0</v>
      </c>
      <c r="Z19" s="88" t="n">
        <f aca="false">IF($A19="",0,SUMIF(GL_Data!$S$8:$S$5007,14109,GL_Data!$P$8:$P$5007))</f>
        <v>0</v>
      </c>
      <c r="AA19" s="88" t="n">
        <f aca="false">IF($A19="",0,SUMIF(GL_Data!$S$8:$S$5007,14110,GL_Data!$P$8:$P$5007))</f>
        <v>0</v>
      </c>
      <c r="AB19" s="88" t="n">
        <f aca="false">IF($A19="",0,SUMIF(GL_Data!$S$8:$S$5007,14111,GL_Data!$P$8:$P$5007))</f>
        <v>0</v>
      </c>
      <c r="AC19" s="88" t="n">
        <f aca="false">IF($A19="",0,SUMIF(GL_Data!$S$8:$S$5007,14112,GL_Data!$P$8:$P$5007))</f>
        <v>0</v>
      </c>
      <c r="AD19" s="89" t="n">
        <f aca="false">IF($A19="",0,INDEX($F19:$AC19,12+Setup!$B$8))</f>
        <v>0</v>
      </c>
      <c r="AE19" s="90" t="n">
        <f aca="false">IF($A19="",0,INDEX($F19:$AC19,Setup!$B$8))</f>
        <v>0</v>
      </c>
      <c r="AF19" s="90" t="n">
        <f aca="false">IF($A19="",0,INDEX($F19:$AC19,11+Setup!$B$8))</f>
        <v>0</v>
      </c>
      <c r="AG19" s="90" t="n">
        <f aca="false">IF($A19="",0,AVERAGE(INDEX($F19:$AC19,9+Setup!$B$8):INDEX($F19:$AC19,11+Setup!$B$8)))</f>
        <v>0</v>
      </c>
      <c r="AH19" s="89" t="n">
        <f aca="false">IF($A19="",0,SUMPRODUCT(($R$3:$AC$3&lt;=Setup!$B$8)*$R19:$AC19))</f>
        <v>0</v>
      </c>
      <c r="AI19" s="90" t="n">
        <f aca="false">IF($A19="",0,SUMPRODUCT(($F$3:$Q$3&lt;=Setup!$B$8)*$F19:$Q19))</f>
        <v>0</v>
      </c>
      <c r="AJ19" s="90" t="n">
        <f aca="false">IF($A19="",0,SUM($F19:$Q19))</f>
        <v>0</v>
      </c>
      <c r="AK19" s="90" t="n">
        <f aca="false">IF($A19="",0,SUM($R19:$AC19))</f>
        <v>0</v>
      </c>
      <c r="AL19" s="91" t="n">
        <f aca="false">IF($A19="",0,IF(SUMPRODUCT(ABS($F19:$AC19))&gt;0,1,0))</f>
        <v>0</v>
      </c>
    </row>
    <row r="20" customFormat="false" ht="15" hidden="false" customHeight="false" outlineLevel="0" collapsed="false">
      <c r="A20" s="68" t="str">
        <f aca="false">IF(COA_Mapping!$A21="","",COA_Mapping!$A21)</f>
        <v>Freight &amp; Travel - ADMIN</v>
      </c>
      <c r="B20" s="68" t="str">
        <f aca="false">IF($A20="","",COA_Mapping!$C21)</f>
        <v>Income</v>
      </c>
      <c r="C20" s="68" t="str">
        <f aca="false">IF($A20="","",COA_Mapping!$E21)</f>
        <v>P&amp;L</v>
      </c>
      <c r="D20" s="68" t="str">
        <f aca="false">IF($A20="","",COA_Mapping!$D21)</f>
        <v>Admin</v>
      </c>
      <c r="E20" s="86" t="n">
        <f aca="false">IF($A20="",1,COA_Mapping!$F21)</f>
        <v>-1</v>
      </c>
      <c r="F20" s="87" t="n">
        <f aca="false">IF($A20="",0,SUMIF(GL_Data!$S$8:$S$5007,15001,GL_Data!$P$8:$P$5007))</f>
        <v>0</v>
      </c>
      <c r="G20" s="87" t="n">
        <f aca="false">IF($A20="",0,SUMIF(GL_Data!$S$8:$S$5007,15002,GL_Data!$P$8:$P$5007))</f>
        <v>0</v>
      </c>
      <c r="H20" s="87" t="n">
        <f aca="false">IF($A20="",0,SUMIF(GL_Data!$S$8:$S$5007,15003,GL_Data!$P$8:$P$5007))</f>
        <v>0</v>
      </c>
      <c r="I20" s="87" t="n">
        <f aca="false">IF($A20="",0,SUMIF(GL_Data!$S$8:$S$5007,15004,GL_Data!$P$8:$P$5007))</f>
        <v>0</v>
      </c>
      <c r="J20" s="87" t="n">
        <f aca="false">IF($A20="",0,SUMIF(GL_Data!$S$8:$S$5007,15005,GL_Data!$P$8:$P$5007))</f>
        <v>0</v>
      </c>
      <c r="K20" s="87" t="n">
        <f aca="false">IF($A20="",0,SUMIF(GL_Data!$S$8:$S$5007,15006,GL_Data!$P$8:$P$5007))</f>
        <v>0</v>
      </c>
      <c r="L20" s="87" t="n">
        <f aca="false">IF($A20="",0,SUMIF(GL_Data!$S$8:$S$5007,15007,GL_Data!$P$8:$P$5007))</f>
        <v>0</v>
      </c>
      <c r="M20" s="87" t="n">
        <f aca="false">IF($A20="",0,SUMIF(GL_Data!$S$8:$S$5007,15008,GL_Data!$P$8:$P$5007))</f>
        <v>0</v>
      </c>
      <c r="N20" s="87" t="n">
        <f aca="false">IF($A20="",0,SUMIF(GL_Data!$S$8:$S$5007,15009,GL_Data!$P$8:$P$5007))</f>
        <v>0</v>
      </c>
      <c r="O20" s="87" t="n">
        <f aca="false">IF($A20="",0,SUMIF(GL_Data!$S$8:$S$5007,15010,GL_Data!$P$8:$P$5007))</f>
        <v>0</v>
      </c>
      <c r="P20" s="87" t="n">
        <f aca="false">IF($A20="",0,SUMIF(GL_Data!$S$8:$S$5007,15011,GL_Data!$P$8:$P$5007))</f>
        <v>0</v>
      </c>
      <c r="Q20" s="87" t="n">
        <f aca="false">IF($A20="",0,SUMIF(GL_Data!$S$8:$S$5007,15012,GL_Data!$P$8:$P$5007))</f>
        <v>0</v>
      </c>
      <c r="R20" s="88" t="n">
        <f aca="false">IF($A20="",0,SUMIF(GL_Data!$S$8:$S$5007,15101,GL_Data!$P$8:$P$5007))</f>
        <v>0</v>
      </c>
      <c r="S20" s="88" t="n">
        <f aca="false">IF($A20="",0,SUMIF(GL_Data!$S$8:$S$5007,15102,GL_Data!$P$8:$P$5007))</f>
        <v>0</v>
      </c>
      <c r="T20" s="88" t="n">
        <f aca="false">IF($A20="",0,SUMIF(GL_Data!$S$8:$S$5007,15103,GL_Data!$P$8:$P$5007))</f>
        <v>0</v>
      </c>
      <c r="U20" s="88" t="n">
        <f aca="false">IF($A20="",0,SUMIF(GL_Data!$S$8:$S$5007,15104,GL_Data!$P$8:$P$5007))</f>
        <v>0</v>
      </c>
      <c r="V20" s="88" t="n">
        <f aca="false">IF($A20="",0,SUMIF(GL_Data!$S$8:$S$5007,15105,GL_Data!$P$8:$P$5007))</f>
        <v>0</v>
      </c>
      <c r="W20" s="88" t="n">
        <f aca="false">IF($A20="",0,SUMIF(GL_Data!$S$8:$S$5007,15106,GL_Data!$P$8:$P$5007))</f>
        <v>0</v>
      </c>
      <c r="X20" s="88" t="n">
        <f aca="false">IF($A20="",0,SUMIF(GL_Data!$S$8:$S$5007,15107,GL_Data!$P$8:$P$5007))</f>
        <v>0</v>
      </c>
      <c r="Y20" s="88" t="n">
        <f aca="false">IF($A20="",0,SUMIF(GL_Data!$S$8:$S$5007,15108,GL_Data!$P$8:$P$5007))</f>
        <v>0</v>
      </c>
      <c r="Z20" s="88" t="n">
        <f aca="false">IF($A20="",0,SUMIF(GL_Data!$S$8:$S$5007,15109,GL_Data!$P$8:$P$5007))</f>
        <v>0</v>
      </c>
      <c r="AA20" s="88" t="n">
        <f aca="false">IF($A20="",0,SUMIF(GL_Data!$S$8:$S$5007,15110,GL_Data!$P$8:$P$5007))</f>
        <v>0</v>
      </c>
      <c r="AB20" s="88" t="n">
        <f aca="false">IF($A20="",0,SUMIF(GL_Data!$S$8:$S$5007,15111,GL_Data!$P$8:$P$5007))</f>
        <v>0</v>
      </c>
      <c r="AC20" s="88" t="n">
        <f aca="false">IF($A20="",0,SUMIF(GL_Data!$S$8:$S$5007,15112,GL_Data!$P$8:$P$5007))</f>
        <v>0</v>
      </c>
      <c r="AD20" s="89" t="n">
        <f aca="false">IF($A20="",0,INDEX($F20:$AC20,12+Setup!$B$8))</f>
        <v>0</v>
      </c>
      <c r="AE20" s="90" t="n">
        <f aca="false">IF($A20="",0,INDEX($F20:$AC20,Setup!$B$8))</f>
        <v>0</v>
      </c>
      <c r="AF20" s="90" t="n">
        <f aca="false">IF($A20="",0,INDEX($F20:$AC20,11+Setup!$B$8))</f>
        <v>0</v>
      </c>
      <c r="AG20" s="90" t="n">
        <f aca="false">IF($A20="",0,AVERAGE(INDEX($F20:$AC20,9+Setup!$B$8):INDEX($F20:$AC20,11+Setup!$B$8)))</f>
        <v>0</v>
      </c>
      <c r="AH20" s="89" t="n">
        <f aca="false">IF($A20="",0,SUMPRODUCT(($R$3:$AC$3&lt;=Setup!$B$8)*$R20:$AC20))</f>
        <v>0</v>
      </c>
      <c r="AI20" s="90" t="n">
        <f aca="false">IF($A20="",0,SUMPRODUCT(($F$3:$Q$3&lt;=Setup!$B$8)*$F20:$Q20))</f>
        <v>0</v>
      </c>
      <c r="AJ20" s="90" t="n">
        <f aca="false">IF($A20="",0,SUM($F20:$Q20))</f>
        <v>0</v>
      </c>
      <c r="AK20" s="90" t="n">
        <f aca="false">IF($A20="",0,SUM($R20:$AC20))</f>
        <v>0</v>
      </c>
      <c r="AL20" s="91" t="n">
        <f aca="false">IF($A20="",0,IF(SUMPRODUCT(ABS($F20:$AC20))&gt;0,1,0))</f>
        <v>0</v>
      </c>
    </row>
    <row r="21" customFormat="false" ht="15" hidden="false" customHeight="false" outlineLevel="0" collapsed="false">
      <c r="A21" s="68" t="str">
        <f aca="false">IF(COA_Mapping!$A22="","",COA_Mapping!$A22)</f>
        <v>Freight &amp; Travel - CONS</v>
      </c>
      <c r="B21" s="68" t="str">
        <f aca="false">IF($A21="","",COA_Mapping!$C22)</f>
        <v>Income</v>
      </c>
      <c r="C21" s="68" t="str">
        <f aca="false">IF($A21="","",COA_Mapping!$E22)</f>
        <v>P&amp;L</v>
      </c>
      <c r="D21" s="68" t="str">
        <f aca="false">IF($A21="","",COA_Mapping!$D22)</f>
        <v>Consulting</v>
      </c>
      <c r="E21" s="86" t="n">
        <f aca="false">IF($A21="",1,COA_Mapping!$F22)</f>
        <v>-1</v>
      </c>
      <c r="F21" s="87" t="n">
        <f aca="false">IF($A21="",0,SUMIF(GL_Data!$S$8:$S$5007,16001,GL_Data!$P$8:$P$5007))</f>
        <v>0</v>
      </c>
      <c r="G21" s="87" t="n">
        <f aca="false">IF($A21="",0,SUMIF(GL_Data!$S$8:$S$5007,16002,GL_Data!$P$8:$P$5007))</f>
        <v>0</v>
      </c>
      <c r="H21" s="87" t="n">
        <f aca="false">IF($A21="",0,SUMIF(GL_Data!$S$8:$S$5007,16003,GL_Data!$P$8:$P$5007))</f>
        <v>0</v>
      </c>
      <c r="I21" s="87" t="n">
        <f aca="false">IF($A21="",0,SUMIF(GL_Data!$S$8:$S$5007,16004,GL_Data!$P$8:$P$5007))</f>
        <v>0</v>
      </c>
      <c r="J21" s="87" t="n">
        <f aca="false">IF($A21="",0,SUMIF(GL_Data!$S$8:$S$5007,16005,GL_Data!$P$8:$P$5007))</f>
        <v>0</v>
      </c>
      <c r="K21" s="87" t="n">
        <f aca="false">IF($A21="",0,SUMIF(GL_Data!$S$8:$S$5007,16006,GL_Data!$P$8:$P$5007))</f>
        <v>0</v>
      </c>
      <c r="L21" s="87" t="n">
        <f aca="false">IF($A21="",0,SUMIF(GL_Data!$S$8:$S$5007,16007,GL_Data!$P$8:$P$5007))</f>
        <v>0</v>
      </c>
      <c r="M21" s="87" t="n">
        <f aca="false">IF($A21="",0,SUMIF(GL_Data!$S$8:$S$5007,16008,GL_Data!$P$8:$P$5007))</f>
        <v>0</v>
      </c>
      <c r="N21" s="87" t="n">
        <f aca="false">IF($A21="",0,SUMIF(GL_Data!$S$8:$S$5007,16009,GL_Data!$P$8:$P$5007))</f>
        <v>0</v>
      </c>
      <c r="O21" s="87" t="n">
        <f aca="false">IF($A21="",0,SUMIF(GL_Data!$S$8:$S$5007,16010,GL_Data!$P$8:$P$5007))</f>
        <v>0</v>
      </c>
      <c r="P21" s="87" t="n">
        <f aca="false">IF($A21="",0,SUMIF(GL_Data!$S$8:$S$5007,16011,GL_Data!$P$8:$P$5007))</f>
        <v>0</v>
      </c>
      <c r="Q21" s="87" t="n">
        <f aca="false">IF($A21="",0,SUMIF(GL_Data!$S$8:$S$5007,16012,GL_Data!$P$8:$P$5007))</f>
        <v>0</v>
      </c>
      <c r="R21" s="88" t="n">
        <f aca="false">IF($A21="",0,SUMIF(GL_Data!$S$8:$S$5007,16101,GL_Data!$P$8:$P$5007))</f>
        <v>0</v>
      </c>
      <c r="S21" s="88" t="n">
        <f aca="false">IF($A21="",0,SUMIF(GL_Data!$S$8:$S$5007,16102,GL_Data!$P$8:$P$5007))</f>
        <v>0</v>
      </c>
      <c r="T21" s="88" t="n">
        <f aca="false">IF($A21="",0,SUMIF(GL_Data!$S$8:$S$5007,16103,GL_Data!$P$8:$P$5007))</f>
        <v>0</v>
      </c>
      <c r="U21" s="88" t="n">
        <f aca="false">IF($A21="",0,SUMIF(GL_Data!$S$8:$S$5007,16104,GL_Data!$P$8:$P$5007))</f>
        <v>0</v>
      </c>
      <c r="V21" s="88" t="n">
        <f aca="false">IF($A21="",0,SUMIF(GL_Data!$S$8:$S$5007,16105,GL_Data!$P$8:$P$5007))</f>
        <v>0</v>
      </c>
      <c r="W21" s="88" t="n">
        <f aca="false">IF($A21="",0,SUMIF(GL_Data!$S$8:$S$5007,16106,GL_Data!$P$8:$P$5007))</f>
        <v>0</v>
      </c>
      <c r="X21" s="88" t="n">
        <f aca="false">IF($A21="",0,SUMIF(GL_Data!$S$8:$S$5007,16107,GL_Data!$P$8:$P$5007))</f>
        <v>0</v>
      </c>
      <c r="Y21" s="88" t="n">
        <f aca="false">IF($A21="",0,SUMIF(GL_Data!$S$8:$S$5007,16108,GL_Data!$P$8:$P$5007))</f>
        <v>0</v>
      </c>
      <c r="Z21" s="88" t="n">
        <f aca="false">IF($A21="",0,SUMIF(GL_Data!$S$8:$S$5007,16109,GL_Data!$P$8:$P$5007))</f>
        <v>0</v>
      </c>
      <c r="AA21" s="88" t="n">
        <f aca="false">IF($A21="",0,SUMIF(GL_Data!$S$8:$S$5007,16110,GL_Data!$P$8:$P$5007))</f>
        <v>0</v>
      </c>
      <c r="AB21" s="88" t="n">
        <f aca="false">IF($A21="",0,SUMIF(GL_Data!$S$8:$S$5007,16111,GL_Data!$P$8:$P$5007))</f>
        <v>0</v>
      </c>
      <c r="AC21" s="88" t="n">
        <f aca="false">IF($A21="",0,SUMIF(GL_Data!$S$8:$S$5007,16112,GL_Data!$P$8:$P$5007))</f>
        <v>0</v>
      </c>
      <c r="AD21" s="89" t="n">
        <f aca="false">IF($A21="",0,INDEX($F21:$AC21,12+Setup!$B$8))</f>
        <v>0</v>
      </c>
      <c r="AE21" s="90" t="n">
        <f aca="false">IF($A21="",0,INDEX($F21:$AC21,Setup!$B$8))</f>
        <v>0</v>
      </c>
      <c r="AF21" s="90" t="n">
        <f aca="false">IF($A21="",0,INDEX($F21:$AC21,11+Setup!$B$8))</f>
        <v>0</v>
      </c>
      <c r="AG21" s="90" t="n">
        <f aca="false">IF($A21="",0,AVERAGE(INDEX($F21:$AC21,9+Setup!$B$8):INDEX($F21:$AC21,11+Setup!$B$8)))</f>
        <v>0</v>
      </c>
      <c r="AH21" s="89" t="n">
        <f aca="false">IF($A21="",0,SUMPRODUCT(($R$3:$AC$3&lt;=Setup!$B$8)*$R21:$AC21))</f>
        <v>0</v>
      </c>
      <c r="AI21" s="90" t="n">
        <f aca="false">IF($A21="",0,SUMPRODUCT(($F$3:$Q$3&lt;=Setup!$B$8)*$F21:$Q21))</f>
        <v>0</v>
      </c>
      <c r="AJ21" s="90" t="n">
        <f aca="false">IF($A21="",0,SUM($F21:$Q21))</f>
        <v>0</v>
      </c>
      <c r="AK21" s="90" t="n">
        <f aca="false">IF($A21="",0,SUM($R21:$AC21))</f>
        <v>0</v>
      </c>
      <c r="AL21" s="91" t="n">
        <f aca="false">IF($A21="",0,IF(SUMPRODUCT(ABS($F21:$AC21))&gt;0,1,0))</f>
        <v>0</v>
      </c>
    </row>
    <row r="22" customFormat="false" ht="15" hidden="false" customHeight="false" outlineLevel="0" collapsed="false">
      <c r="A22" s="68" t="str">
        <f aca="false">IF(COA_Mapping!$A23="","",COA_Mapping!$A23)</f>
        <v>Freight &amp; Travel - INTEGRATION</v>
      </c>
      <c r="B22" s="68" t="str">
        <f aca="false">IF($A22="","",COA_Mapping!$C23)</f>
        <v>Income</v>
      </c>
      <c r="C22" s="68" t="str">
        <f aca="false">IF($A22="","",COA_Mapping!$E23)</f>
        <v>P&amp;L</v>
      </c>
      <c r="D22" s="68" t="str">
        <f aca="false">IF($A22="","",COA_Mapping!$D23)</f>
        <v>Integration</v>
      </c>
      <c r="E22" s="86" t="n">
        <f aca="false">IF($A22="",1,COA_Mapping!$F23)</f>
        <v>-1</v>
      </c>
      <c r="F22" s="87" t="n">
        <f aca="false">IF($A22="",0,SUMIF(GL_Data!$S$8:$S$5007,17001,GL_Data!$P$8:$P$5007))</f>
        <v>0</v>
      </c>
      <c r="G22" s="87" t="n">
        <f aca="false">IF($A22="",0,SUMIF(GL_Data!$S$8:$S$5007,17002,GL_Data!$P$8:$P$5007))</f>
        <v>0</v>
      </c>
      <c r="H22" s="87" t="n">
        <f aca="false">IF($A22="",0,SUMIF(GL_Data!$S$8:$S$5007,17003,GL_Data!$P$8:$P$5007))</f>
        <v>0</v>
      </c>
      <c r="I22" s="87" t="n">
        <f aca="false">IF($A22="",0,SUMIF(GL_Data!$S$8:$S$5007,17004,GL_Data!$P$8:$P$5007))</f>
        <v>0</v>
      </c>
      <c r="J22" s="87" t="n">
        <f aca="false">IF($A22="",0,SUMIF(GL_Data!$S$8:$S$5007,17005,GL_Data!$P$8:$P$5007))</f>
        <v>0</v>
      </c>
      <c r="K22" s="87" t="n">
        <f aca="false">IF($A22="",0,SUMIF(GL_Data!$S$8:$S$5007,17006,GL_Data!$P$8:$P$5007))</f>
        <v>0</v>
      </c>
      <c r="L22" s="87" t="n">
        <f aca="false">IF($A22="",0,SUMIF(GL_Data!$S$8:$S$5007,17007,GL_Data!$P$8:$P$5007))</f>
        <v>0</v>
      </c>
      <c r="M22" s="87" t="n">
        <f aca="false">IF($A22="",0,SUMIF(GL_Data!$S$8:$S$5007,17008,GL_Data!$P$8:$P$5007))</f>
        <v>0</v>
      </c>
      <c r="N22" s="87" t="n">
        <f aca="false">IF($A22="",0,SUMIF(GL_Data!$S$8:$S$5007,17009,GL_Data!$P$8:$P$5007))</f>
        <v>0</v>
      </c>
      <c r="O22" s="87" t="n">
        <f aca="false">IF($A22="",0,SUMIF(GL_Data!$S$8:$S$5007,17010,GL_Data!$P$8:$P$5007))</f>
        <v>0</v>
      </c>
      <c r="P22" s="87" t="n">
        <f aca="false">IF($A22="",0,SUMIF(GL_Data!$S$8:$S$5007,17011,GL_Data!$P$8:$P$5007))</f>
        <v>0</v>
      </c>
      <c r="Q22" s="87" t="n">
        <f aca="false">IF($A22="",0,SUMIF(GL_Data!$S$8:$S$5007,17012,GL_Data!$P$8:$P$5007))</f>
        <v>0</v>
      </c>
      <c r="R22" s="88" t="n">
        <f aca="false">IF($A22="",0,SUMIF(GL_Data!$S$8:$S$5007,17101,GL_Data!$P$8:$P$5007))</f>
        <v>0</v>
      </c>
      <c r="S22" s="88" t="n">
        <f aca="false">IF($A22="",0,SUMIF(GL_Data!$S$8:$S$5007,17102,GL_Data!$P$8:$P$5007))</f>
        <v>0</v>
      </c>
      <c r="T22" s="88" t="n">
        <f aca="false">IF($A22="",0,SUMIF(GL_Data!$S$8:$S$5007,17103,GL_Data!$P$8:$P$5007))</f>
        <v>0</v>
      </c>
      <c r="U22" s="88" t="n">
        <f aca="false">IF($A22="",0,SUMIF(GL_Data!$S$8:$S$5007,17104,GL_Data!$P$8:$P$5007))</f>
        <v>0</v>
      </c>
      <c r="V22" s="88" t="n">
        <f aca="false">IF($A22="",0,SUMIF(GL_Data!$S$8:$S$5007,17105,GL_Data!$P$8:$P$5007))</f>
        <v>0</v>
      </c>
      <c r="W22" s="88" t="n">
        <f aca="false">IF($A22="",0,SUMIF(GL_Data!$S$8:$S$5007,17106,GL_Data!$P$8:$P$5007))</f>
        <v>0</v>
      </c>
      <c r="X22" s="88" t="n">
        <f aca="false">IF($A22="",0,SUMIF(GL_Data!$S$8:$S$5007,17107,GL_Data!$P$8:$P$5007))</f>
        <v>0</v>
      </c>
      <c r="Y22" s="88" t="n">
        <f aca="false">IF($A22="",0,SUMIF(GL_Data!$S$8:$S$5007,17108,GL_Data!$P$8:$P$5007))</f>
        <v>0</v>
      </c>
      <c r="Z22" s="88" t="n">
        <f aca="false">IF($A22="",0,SUMIF(GL_Data!$S$8:$S$5007,17109,GL_Data!$P$8:$P$5007))</f>
        <v>0</v>
      </c>
      <c r="AA22" s="88" t="n">
        <f aca="false">IF($A22="",0,SUMIF(GL_Data!$S$8:$S$5007,17110,GL_Data!$P$8:$P$5007))</f>
        <v>0</v>
      </c>
      <c r="AB22" s="88" t="n">
        <f aca="false">IF($A22="",0,SUMIF(GL_Data!$S$8:$S$5007,17111,GL_Data!$P$8:$P$5007))</f>
        <v>0</v>
      </c>
      <c r="AC22" s="88" t="n">
        <f aca="false">IF($A22="",0,SUMIF(GL_Data!$S$8:$S$5007,17112,GL_Data!$P$8:$P$5007))</f>
        <v>0</v>
      </c>
      <c r="AD22" s="89" t="n">
        <f aca="false">IF($A22="",0,INDEX($F22:$AC22,12+Setup!$B$8))</f>
        <v>0</v>
      </c>
      <c r="AE22" s="90" t="n">
        <f aca="false">IF($A22="",0,INDEX($F22:$AC22,Setup!$B$8))</f>
        <v>0</v>
      </c>
      <c r="AF22" s="90" t="n">
        <f aca="false">IF($A22="",0,INDEX($F22:$AC22,11+Setup!$B$8))</f>
        <v>0</v>
      </c>
      <c r="AG22" s="90" t="n">
        <f aca="false">IF($A22="",0,AVERAGE(INDEX($F22:$AC22,9+Setup!$B$8):INDEX($F22:$AC22,11+Setup!$B$8)))</f>
        <v>0</v>
      </c>
      <c r="AH22" s="89" t="n">
        <f aca="false">IF($A22="",0,SUMPRODUCT(($R$3:$AC$3&lt;=Setup!$B$8)*$R22:$AC22))</f>
        <v>0</v>
      </c>
      <c r="AI22" s="90" t="n">
        <f aca="false">IF($A22="",0,SUMPRODUCT(($F$3:$Q$3&lt;=Setup!$B$8)*$F22:$Q22))</f>
        <v>0</v>
      </c>
      <c r="AJ22" s="90" t="n">
        <f aca="false">IF($A22="",0,SUM($F22:$Q22))</f>
        <v>0</v>
      </c>
      <c r="AK22" s="90" t="n">
        <f aca="false">IF($A22="",0,SUM($R22:$AC22))</f>
        <v>0</v>
      </c>
      <c r="AL22" s="91" t="n">
        <f aca="false">IF($A22="",0,IF(SUMPRODUCT(ABS($F22:$AC22))&gt;0,1,0))</f>
        <v>0</v>
      </c>
    </row>
    <row r="23" customFormat="false" ht="15" hidden="false" customHeight="false" outlineLevel="0" collapsed="false">
      <c r="A23" s="68" t="str">
        <f aca="false">IF(COA_Mapping!$A24="","",COA_Mapping!$A24)</f>
        <v>Freight &amp; Travel - ONS</v>
      </c>
      <c r="B23" s="68" t="str">
        <f aca="false">IF($A23="","",COA_Mapping!$C24)</f>
        <v>Income</v>
      </c>
      <c r="C23" s="68" t="str">
        <f aca="false">IF($A23="","",COA_Mapping!$E24)</f>
        <v>P&amp;L</v>
      </c>
      <c r="D23" s="68" t="str">
        <f aca="false">IF($A23="","",COA_Mapping!$D24)</f>
        <v>Onsite</v>
      </c>
      <c r="E23" s="86" t="n">
        <f aca="false">IF($A23="",1,COA_Mapping!$F24)</f>
        <v>-1</v>
      </c>
      <c r="F23" s="87" t="n">
        <f aca="false">IF($A23="",0,SUMIF(GL_Data!$S$8:$S$5007,18001,GL_Data!$P$8:$P$5007))</f>
        <v>0</v>
      </c>
      <c r="G23" s="87" t="n">
        <f aca="false">IF($A23="",0,SUMIF(GL_Data!$S$8:$S$5007,18002,GL_Data!$P$8:$P$5007))</f>
        <v>0</v>
      </c>
      <c r="H23" s="87" t="n">
        <f aca="false">IF($A23="",0,SUMIF(GL_Data!$S$8:$S$5007,18003,GL_Data!$P$8:$P$5007))</f>
        <v>0</v>
      </c>
      <c r="I23" s="87" t="n">
        <f aca="false">IF($A23="",0,SUMIF(GL_Data!$S$8:$S$5007,18004,GL_Data!$P$8:$P$5007))</f>
        <v>0</v>
      </c>
      <c r="J23" s="87" t="n">
        <f aca="false">IF($A23="",0,SUMIF(GL_Data!$S$8:$S$5007,18005,GL_Data!$P$8:$P$5007))</f>
        <v>0</v>
      </c>
      <c r="K23" s="87" t="n">
        <f aca="false">IF($A23="",0,SUMIF(GL_Data!$S$8:$S$5007,18006,GL_Data!$P$8:$P$5007))</f>
        <v>0</v>
      </c>
      <c r="L23" s="87" t="n">
        <f aca="false">IF($A23="",0,SUMIF(GL_Data!$S$8:$S$5007,18007,GL_Data!$P$8:$P$5007))</f>
        <v>0</v>
      </c>
      <c r="M23" s="87" t="n">
        <f aca="false">IF($A23="",0,SUMIF(GL_Data!$S$8:$S$5007,18008,GL_Data!$P$8:$P$5007))</f>
        <v>0</v>
      </c>
      <c r="N23" s="87" t="n">
        <f aca="false">IF($A23="",0,SUMIF(GL_Data!$S$8:$S$5007,18009,GL_Data!$P$8:$P$5007))</f>
        <v>0</v>
      </c>
      <c r="O23" s="87" t="n">
        <f aca="false">IF($A23="",0,SUMIF(GL_Data!$S$8:$S$5007,18010,GL_Data!$P$8:$P$5007))</f>
        <v>0</v>
      </c>
      <c r="P23" s="87" t="n">
        <f aca="false">IF($A23="",0,SUMIF(GL_Data!$S$8:$S$5007,18011,GL_Data!$P$8:$P$5007))</f>
        <v>0</v>
      </c>
      <c r="Q23" s="87" t="n">
        <f aca="false">IF($A23="",0,SUMIF(GL_Data!$S$8:$S$5007,18012,GL_Data!$P$8:$P$5007))</f>
        <v>0</v>
      </c>
      <c r="R23" s="88" t="n">
        <f aca="false">IF($A23="",0,SUMIF(GL_Data!$S$8:$S$5007,18101,GL_Data!$P$8:$P$5007))</f>
        <v>0</v>
      </c>
      <c r="S23" s="88" t="n">
        <f aca="false">IF($A23="",0,SUMIF(GL_Data!$S$8:$S$5007,18102,GL_Data!$P$8:$P$5007))</f>
        <v>0</v>
      </c>
      <c r="T23" s="88" t="n">
        <f aca="false">IF($A23="",0,SUMIF(GL_Data!$S$8:$S$5007,18103,GL_Data!$P$8:$P$5007))</f>
        <v>0</v>
      </c>
      <c r="U23" s="88" t="n">
        <f aca="false">IF($A23="",0,SUMIF(GL_Data!$S$8:$S$5007,18104,GL_Data!$P$8:$P$5007))</f>
        <v>0</v>
      </c>
      <c r="V23" s="88" t="n">
        <f aca="false">IF($A23="",0,SUMIF(GL_Data!$S$8:$S$5007,18105,GL_Data!$P$8:$P$5007))</f>
        <v>0</v>
      </c>
      <c r="W23" s="88" t="n">
        <f aca="false">IF($A23="",0,SUMIF(GL_Data!$S$8:$S$5007,18106,GL_Data!$P$8:$P$5007))</f>
        <v>0</v>
      </c>
      <c r="X23" s="88" t="n">
        <f aca="false">IF($A23="",0,SUMIF(GL_Data!$S$8:$S$5007,18107,GL_Data!$P$8:$P$5007))</f>
        <v>0</v>
      </c>
      <c r="Y23" s="88" t="n">
        <f aca="false">IF($A23="",0,SUMIF(GL_Data!$S$8:$S$5007,18108,GL_Data!$P$8:$P$5007))</f>
        <v>0</v>
      </c>
      <c r="Z23" s="88" t="n">
        <f aca="false">IF($A23="",0,SUMIF(GL_Data!$S$8:$S$5007,18109,GL_Data!$P$8:$P$5007))</f>
        <v>0</v>
      </c>
      <c r="AA23" s="88" t="n">
        <f aca="false">IF($A23="",0,SUMIF(GL_Data!$S$8:$S$5007,18110,GL_Data!$P$8:$P$5007))</f>
        <v>0</v>
      </c>
      <c r="AB23" s="88" t="n">
        <f aca="false">IF($A23="",0,SUMIF(GL_Data!$S$8:$S$5007,18111,GL_Data!$P$8:$P$5007))</f>
        <v>0</v>
      </c>
      <c r="AC23" s="88" t="n">
        <f aca="false">IF($A23="",0,SUMIF(GL_Data!$S$8:$S$5007,18112,GL_Data!$P$8:$P$5007))</f>
        <v>0</v>
      </c>
      <c r="AD23" s="89" t="n">
        <f aca="false">IF($A23="",0,INDEX($F23:$AC23,12+Setup!$B$8))</f>
        <v>0</v>
      </c>
      <c r="AE23" s="90" t="n">
        <f aca="false">IF($A23="",0,INDEX($F23:$AC23,Setup!$B$8))</f>
        <v>0</v>
      </c>
      <c r="AF23" s="90" t="n">
        <f aca="false">IF($A23="",0,INDEX($F23:$AC23,11+Setup!$B$8))</f>
        <v>0</v>
      </c>
      <c r="AG23" s="90" t="n">
        <f aca="false">IF($A23="",0,AVERAGE(INDEX($F23:$AC23,9+Setup!$B$8):INDEX($F23:$AC23,11+Setup!$B$8)))</f>
        <v>0</v>
      </c>
      <c r="AH23" s="89" t="n">
        <f aca="false">IF($A23="",0,SUMPRODUCT(($R$3:$AC$3&lt;=Setup!$B$8)*$R23:$AC23))</f>
        <v>0</v>
      </c>
      <c r="AI23" s="90" t="n">
        <f aca="false">IF($A23="",0,SUMPRODUCT(($F$3:$Q$3&lt;=Setup!$B$8)*$F23:$Q23))</f>
        <v>0</v>
      </c>
      <c r="AJ23" s="90" t="n">
        <f aca="false">IF($A23="",0,SUM($F23:$Q23))</f>
        <v>0</v>
      </c>
      <c r="AK23" s="90" t="n">
        <f aca="false">IF($A23="",0,SUM($R23:$AC23))</f>
        <v>0</v>
      </c>
      <c r="AL23" s="91" t="n">
        <f aca="false">IF($A23="",0,IF(SUMPRODUCT(ABS($F23:$AC23))&gt;0,1,0))</f>
        <v>0</v>
      </c>
    </row>
    <row r="24" customFormat="false" ht="15" hidden="false" customHeight="false" outlineLevel="0" collapsed="false">
      <c r="A24" s="68" t="str">
        <f aca="false">IF(COA_Mapping!$A25="","",COA_Mapping!$A25)</f>
        <v>Freight &amp; Travel - PRD</v>
      </c>
      <c r="B24" s="68" t="str">
        <f aca="false">IF($A24="","",COA_Mapping!$C25)</f>
        <v>Income</v>
      </c>
      <c r="C24" s="68" t="str">
        <f aca="false">IF($A24="","",COA_Mapping!$E25)</f>
        <v>P&amp;L</v>
      </c>
      <c r="D24" s="68" t="str">
        <f aca="false">IF($A24="","",COA_Mapping!$D25)</f>
        <v>Production</v>
      </c>
      <c r="E24" s="86" t="n">
        <f aca="false">IF($A24="",1,COA_Mapping!$F25)</f>
        <v>-1</v>
      </c>
      <c r="F24" s="87" t="n">
        <f aca="false">IF($A24="",0,SUMIF(GL_Data!$S$8:$S$5007,19001,GL_Data!$P$8:$P$5007))</f>
        <v>0</v>
      </c>
      <c r="G24" s="87" t="n">
        <f aca="false">IF($A24="",0,SUMIF(GL_Data!$S$8:$S$5007,19002,GL_Data!$P$8:$P$5007))</f>
        <v>0</v>
      </c>
      <c r="H24" s="87" t="n">
        <f aca="false">IF($A24="",0,SUMIF(GL_Data!$S$8:$S$5007,19003,GL_Data!$P$8:$P$5007))</f>
        <v>0</v>
      </c>
      <c r="I24" s="87" t="n">
        <f aca="false">IF($A24="",0,SUMIF(GL_Data!$S$8:$S$5007,19004,GL_Data!$P$8:$P$5007))</f>
        <v>0</v>
      </c>
      <c r="J24" s="87" t="n">
        <f aca="false">IF($A24="",0,SUMIF(GL_Data!$S$8:$S$5007,19005,GL_Data!$P$8:$P$5007))</f>
        <v>0</v>
      </c>
      <c r="K24" s="87" t="n">
        <f aca="false">IF($A24="",0,SUMIF(GL_Data!$S$8:$S$5007,19006,GL_Data!$P$8:$P$5007))</f>
        <v>0</v>
      </c>
      <c r="L24" s="87" t="n">
        <f aca="false">IF($A24="",0,SUMIF(GL_Data!$S$8:$S$5007,19007,GL_Data!$P$8:$P$5007))</f>
        <v>0</v>
      </c>
      <c r="M24" s="87" t="n">
        <f aca="false">IF($A24="",0,SUMIF(GL_Data!$S$8:$S$5007,19008,GL_Data!$P$8:$P$5007))</f>
        <v>0</v>
      </c>
      <c r="N24" s="87" t="n">
        <f aca="false">IF($A24="",0,SUMIF(GL_Data!$S$8:$S$5007,19009,GL_Data!$P$8:$P$5007))</f>
        <v>0</v>
      </c>
      <c r="O24" s="87" t="n">
        <f aca="false">IF($A24="",0,SUMIF(GL_Data!$S$8:$S$5007,19010,GL_Data!$P$8:$P$5007))</f>
        <v>0</v>
      </c>
      <c r="P24" s="87" t="n">
        <f aca="false">IF($A24="",0,SUMIF(GL_Data!$S$8:$S$5007,19011,GL_Data!$P$8:$P$5007))</f>
        <v>0</v>
      </c>
      <c r="Q24" s="87" t="n">
        <f aca="false">IF($A24="",0,SUMIF(GL_Data!$S$8:$S$5007,19012,GL_Data!$P$8:$P$5007))</f>
        <v>0</v>
      </c>
      <c r="R24" s="88" t="n">
        <f aca="false">IF($A24="",0,SUMIF(GL_Data!$S$8:$S$5007,19101,GL_Data!$P$8:$P$5007))</f>
        <v>0</v>
      </c>
      <c r="S24" s="88" t="n">
        <f aca="false">IF($A24="",0,SUMIF(GL_Data!$S$8:$S$5007,19102,GL_Data!$P$8:$P$5007))</f>
        <v>0</v>
      </c>
      <c r="T24" s="88" t="n">
        <f aca="false">IF($A24="",0,SUMIF(GL_Data!$S$8:$S$5007,19103,GL_Data!$P$8:$P$5007))</f>
        <v>0</v>
      </c>
      <c r="U24" s="88" t="n">
        <f aca="false">IF($A24="",0,SUMIF(GL_Data!$S$8:$S$5007,19104,GL_Data!$P$8:$P$5007))</f>
        <v>0</v>
      </c>
      <c r="V24" s="88" t="n">
        <f aca="false">IF($A24="",0,SUMIF(GL_Data!$S$8:$S$5007,19105,GL_Data!$P$8:$P$5007))</f>
        <v>0</v>
      </c>
      <c r="W24" s="88" t="n">
        <f aca="false">IF($A24="",0,SUMIF(GL_Data!$S$8:$S$5007,19106,GL_Data!$P$8:$P$5007))</f>
        <v>0</v>
      </c>
      <c r="X24" s="88" t="n">
        <f aca="false">IF($A24="",0,SUMIF(GL_Data!$S$8:$S$5007,19107,GL_Data!$P$8:$P$5007))</f>
        <v>0</v>
      </c>
      <c r="Y24" s="88" t="n">
        <f aca="false">IF($A24="",0,SUMIF(GL_Data!$S$8:$S$5007,19108,GL_Data!$P$8:$P$5007))</f>
        <v>0</v>
      </c>
      <c r="Z24" s="88" t="n">
        <f aca="false">IF($A24="",0,SUMIF(GL_Data!$S$8:$S$5007,19109,GL_Data!$P$8:$P$5007))</f>
        <v>0</v>
      </c>
      <c r="AA24" s="88" t="n">
        <f aca="false">IF($A24="",0,SUMIF(GL_Data!$S$8:$S$5007,19110,GL_Data!$P$8:$P$5007))</f>
        <v>0</v>
      </c>
      <c r="AB24" s="88" t="n">
        <f aca="false">IF($A24="",0,SUMIF(GL_Data!$S$8:$S$5007,19111,GL_Data!$P$8:$P$5007))</f>
        <v>0</v>
      </c>
      <c r="AC24" s="88" t="n">
        <f aca="false">IF($A24="",0,SUMIF(GL_Data!$S$8:$S$5007,19112,GL_Data!$P$8:$P$5007))</f>
        <v>0</v>
      </c>
      <c r="AD24" s="89" t="n">
        <f aca="false">IF($A24="",0,INDEX($F24:$AC24,12+Setup!$B$8))</f>
        <v>0</v>
      </c>
      <c r="AE24" s="90" t="n">
        <f aca="false">IF($A24="",0,INDEX($F24:$AC24,Setup!$B$8))</f>
        <v>0</v>
      </c>
      <c r="AF24" s="90" t="n">
        <f aca="false">IF($A24="",0,INDEX($F24:$AC24,11+Setup!$B$8))</f>
        <v>0</v>
      </c>
      <c r="AG24" s="90" t="n">
        <f aca="false">IF($A24="",0,AVERAGE(INDEX($F24:$AC24,9+Setup!$B$8):INDEX($F24:$AC24,11+Setup!$B$8)))</f>
        <v>0</v>
      </c>
      <c r="AH24" s="89" t="n">
        <f aca="false">IF($A24="",0,SUMPRODUCT(($R$3:$AC$3&lt;=Setup!$B$8)*$R24:$AC24))</f>
        <v>0</v>
      </c>
      <c r="AI24" s="90" t="n">
        <f aca="false">IF($A24="",0,SUMPRODUCT(($F$3:$Q$3&lt;=Setup!$B$8)*$F24:$Q24))</f>
        <v>0</v>
      </c>
      <c r="AJ24" s="90" t="n">
        <f aca="false">IF($A24="",0,SUM($F24:$Q24))</f>
        <v>0</v>
      </c>
      <c r="AK24" s="90" t="n">
        <f aca="false">IF($A24="",0,SUM($R24:$AC24))</f>
        <v>0</v>
      </c>
      <c r="AL24" s="91" t="n">
        <f aca="false">IF($A24="",0,IF(SUMPRODUCT(ABS($F24:$AC24))&gt;0,1,0))</f>
        <v>0</v>
      </c>
    </row>
    <row r="25" customFormat="false" ht="15" hidden="false" customHeight="false" outlineLevel="0" collapsed="false">
      <c r="A25" s="68" t="str">
        <f aca="false">IF(COA_Mapping!$A26="","",COA_Mapping!$A26)</f>
        <v>Freight &amp; Travel - VID</v>
      </c>
      <c r="B25" s="68" t="str">
        <f aca="false">IF($A25="","",COA_Mapping!$C26)</f>
        <v>Income</v>
      </c>
      <c r="C25" s="68" t="str">
        <f aca="false">IF($A25="","",COA_Mapping!$E26)</f>
        <v>P&amp;L</v>
      </c>
      <c r="D25" s="68" t="str">
        <f aca="false">IF($A25="","",COA_Mapping!$D26)</f>
        <v>Video</v>
      </c>
      <c r="E25" s="86" t="n">
        <f aca="false">IF($A25="",1,COA_Mapping!$F26)</f>
        <v>-1</v>
      </c>
      <c r="F25" s="87" t="n">
        <f aca="false">IF($A25="",0,SUMIF(GL_Data!$S$8:$S$5007,20001,GL_Data!$P$8:$P$5007))</f>
        <v>0</v>
      </c>
      <c r="G25" s="87" t="n">
        <f aca="false">IF($A25="",0,SUMIF(GL_Data!$S$8:$S$5007,20002,GL_Data!$P$8:$P$5007))</f>
        <v>0</v>
      </c>
      <c r="H25" s="87" t="n">
        <f aca="false">IF($A25="",0,SUMIF(GL_Data!$S$8:$S$5007,20003,GL_Data!$P$8:$P$5007))</f>
        <v>0</v>
      </c>
      <c r="I25" s="87" t="n">
        <f aca="false">IF($A25="",0,SUMIF(GL_Data!$S$8:$S$5007,20004,GL_Data!$P$8:$P$5007))</f>
        <v>0</v>
      </c>
      <c r="J25" s="87" t="n">
        <f aca="false">IF($A25="",0,SUMIF(GL_Data!$S$8:$S$5007,20005,GL_Data!$P$8:$P$5007))</f>
        <v>0</v>
      </c>
      <c r="K25" s="87" t="n">
        <f aca="false">IF($A25="",0,SUMIF(GL_Data!$S$8:$S$5007,20006,GL_Data!$P$8:$P$5007))</f>
        <v>0</v>
      </c>
      <c r="L25" s="87" t="n">
        <f aca="false">IF($A25="",0,SUMIF(GL_Data!$S$8:$S$5007,20007,GL_Data!$P$8:$P$5007))</f>
        <v>0</v>
      </c>
      <c r="M25" s="87" t="n">
        <f aca="false">IF($A25="",0,SUMIF(GL_Data!$S$8:$S$5007,20008,GL_Data!$P$8:$P$5007))</f>
        <v>0</v>
      </c>
      <c r="N25" s="87" t="n">
        <f aca="false">IF($A25="",0,SUMIF(GL_Data!$S$8:$S$5007,20009,GL_Data!$P$8:$P$5007))</f>
        <v>0</v>
      </c>
      <c r="O25" s="87" t="n">
        <f aca="false">IF($A25="",0,SUMIF(GL_Data!$S$8:$S$5007,20010,GL_Data!$P$8:$P$5007))</f>
        <v>0</v>
      </c>
      <c r="P25" s="87" t="n">
        <f aca="false">IF($A25="",0,SUMIF(GL_Data!$S$8:$S$5007,20011,GL_Data!$P$8:$P$5007))</f>
        <v>0</v>
      </c>
      <c r="Q25" s="87" t="n">
        <f aca="false">IF($A25="",0,SUMIF(GL_Data!$S$8:$S$5007,20012,GL_Data!$P$8:$P$5007))</f>
        <v>0</v>
      </c>
      <c r="R25" s="88" t="n">
        <f aca="false">IF($A25="",0,SUMIF(GL_Data!$S$8:$S$5007,20101,GL_Data!$P$8:$P$5007))</f>
        <v>0</v>
      </c>
      <c r="S25" s="88" t="n">
        <f aca="false">IF($A25="",0,SUMIF(GL_Data!$S$8:$S$5007,20102,GL_Data!$P$8:$P$5007))</f>
        <v>0</v>
      </c>
      <c r="T25" s="88" t="n">
        <f aca="false">IF($A25="",0,SUMIF(GL_Data!$S$8:$S$5007,20103,GL_Data!$P$8:$P$5007))</f>
        <v>0</v>
      </c>
      <c r="U25" s="88" t="n">
        <f aca="false">IF($A25="",0,SUMIF(GL_Data!$S$8:$S$5007,20104,GL_Data!$P$8:$P$5007))</f>
        <v>0</v>
      </c>
      <c r="V25" s="88" t="n">
        <f aca="false">IF($A25="",0,SUMIF(GL_Data!$S$8:$S$5007,20105,GL_Data!$P$8:$P$5007))</f>
        <v>0</v>
      </c>
      <c r="W25" s="88" t="n">
        <f aca="false">IF($A25="",0,SUMIF(GL_Data!$S$8:$S$5007,20106,GL_Data!$P$8:$P$5007))</f>
        <v>0</v>
      </c>
      <c r="X25" s="88" t="n">
        <f aca="false">IF($A25="",0,SUMIF(GL_Data!$S$8:$S$5007,20107,GL_Data!$P$8:$P$5007))</f>
        <v>0</v>
      </c>
      <c r="Y25" s="88" t="n">
        <f aca="false">IF($A25="",0,SUMIF(GL_Data!$S$8:$S$5007,20108,GL_Data!$P$8:$P$5007))</f>
        <v>0</v>
      </c>
      <c r="Z25" s="88" t="n">
        <f aca="false">IF($A25="",0,SUMIF(GL_Data!$S$8:$S$5007,20109,GL_Data!$P$8:$P$5007))</f>
        <v>0</v>
      </c>
      <c r="AA25" s="88" t="n">
        <f aca="false">IF($A25="",0,SUMIF(GL_Data!$S$8:$S$5007,20110,GL_Data!$P$8:$P$5007))</f>
        <v>0</v>
      </c>
      <c r="AB25" s="88" t="n">
        <f aca="false">IF($A25="",0,SUMIF(GL_Data!$S$8:$S$5007,20111,GL_Data!$P$8:$P$5007))</f>
        <v>0</v>
      </c>
      <c r="AC25" s="88" t="n">
        <f aca="false">IF($A25="",0,SUMIF(GL_Data!$S$8:$S$5007,20112,GL_Data!$P$8:$P$5007))</f>
        <v>0</v>
      </c>
      <c r="AD25" s="89" t="n">
        <f aca="false">IF($A25="",0,INDEX($F25:$AC25,12+Setup!$B$8))</f>
        <v>0</v>
      </c>
      <c r="AE25" s="90" t="n">
        <f aca="false">IF($A25="",0,INDEX($F25:$AC25,Setup!$B$8))</f>
        <v>0</v>
      </c>
      <c r="AF25" s="90" t="n">
        <f aca="false">IF($A25="",0,INDEX($F25:$AC25,11+Setup!$B$8))</f>
        <v>0</v>
      </c>
      <c r="AG25" s="90" t="n">
        <f aca="false">IF($A25="",0,AVERAGE(INDEX($F25:$AC25,9+Setup!$B$8):INDEX($F25:$AC25,11+Setup!$B$8)))</f>
        <v>0</v>
      </c>
      <c r="AH25" s="89" t="n">
        <f aca="false">IF($A25="",0,SUMPRODUCT(($R$3:$AC$3&lt;=Setup!$B$8)*$R25:$AC25))</f>
        <v>0</v>
      </c>
      <c r="AI25" s="90" t="n">
        <f aca="false">IF($A25="",0,SUMPRODUCT(($F$3:$Q$3&lt;=Setup!$B$8)*$F25:$Q25))</f>
        <v>0</v>
      </c>
      <c r="AJ25" s="90" t="n">
        <f aca="false">IF($A25="",0,SUM($F25:$Q25))</f>
        <v>0</v>
      </c>
      <c r="AK25" s="90" t="n">
        <f aca="false">IF($A25="",0,SUM($R25:$AC25))</f>
        <v>0</v>
      </c>
      <c r="AL25" s="91" t="n">
        <f aca="false">IF($A25="",0,IF(SUMPRODUCT(ABS($F25:$AC25))&gt;0,1,0))</f>
        <v>0</v>
      </c>
    </row>
    <row r="26" customFormat="false" ht="15" hidden="false" customHeight="false" outlineLevel="0" collapsed="false">
      <c r="A26" s="68" t="str">
        <f aca="false">IF(COA_Mapping!$A27="","",COA_Mapping!$A27)</f>
        <v>Installation Labour</v>
      </c>
      <c r="B26" s="68" t="str">
        <f aca="false">IF($A26="","",COA_Mapping!$C27)</f>
        <v>Income</v>
      </c>
      <c r="C26" s="68" t="str">
        <f aca="false">IF($A26="","",COA_Mapping!$E27)</f>
        <v>P&amp;L</v>
      </c>
      <c r="D26" s="68" t="str">
        <f aca="false">IF($A26="","",COA_Mapping!$D27)</f>
        <v>Unallocated</v>
      </c>
      <c r="E26" s="86" t="n">
        <f aca="false">IF($A26="",1,COA_Mapping!$F27)</f>
        <v>-1</v>
      </c>
      <c r="F26" s="87" t="n">
        <f aca="false">IF($A26="",0,SUMIF(GL_Data!$S$8:$S$5007,21001,GL_Data!$P$8:$P$5007))</f>
        <v>0</v>
      </c>
      <c r="G26" s="87" t="n">
        <f aca="false">IF($A26="",0,SUMIF(GL_Data!$S$8:$S$5007,21002,GL_Data!$P$8:$P$5007))</f>
        <v>0</v>
      </c>
      <c r="H26" s="87" t="n">
        <f aca="false">IF($A26="",0,SUMIF(GL_Data!$S$8:$S$5007,21003,GL_Data!$P$8:$P$5007))</f>
        <v>0</v>
      </c>
      <c r="I26" s="87" t="n">
        <f aca="false">IF($A26="",0,SUMIF(GL_Data!$S$8:$S$5007,21004,GL_Data!$P$8:$P$5007))</f>
        <v>0</v>
      </c>
      <c r="J26" s="87" t="n">
        <f aca="false">IF($A26="",0,SUMIF(GL_Data!$S$8:$S$5007,21005,GL_Data!$P$8:$P$5007))</f>
        <v>0</v>
      </c>
      <c r="K26" s="87" t="n">
        <f aca="false">IF($A26="",0,SUMIF(GL_Data!$S$8:$S$5007,21006,GL_Data!$P$8:$P$5007))</f>
        <v>0</v>
      </c>
      <c r="L26" s="87" t="n">
        <f aca="false">IF($A26="",0,SUMIF(GL_Data!$S$8:$S$5007,21007,GL_Data!$P$8:$P$5007))</f>
        <v>0</v>
      </c>
      <c r="M26" s="87" t="n">
        <f aca="false">IF($A26="",0,SUMIF(GL_Data!$S$8:$S$5007,21008,GL_Data!$P$8:$P$5007))</f>
        <v>0</v>
      </c>
      <c r="N26" s="87" t="n">
        <f aca="false">IF($A26="",0,SUMIF(GL_Data!$S$8:$S$5007,21009,GL_Data!$P$8:$P$5007))</f>
        <v>0</v>
      </c>
      <c r="O26" s="87" t="n">
        <f aca="false">IF($A26="",0,SUMIF(GL_Data!$S$8:$S$5007,21010,GL_Data!$P$8:$P$5007))</f>
        <v>0</v>
      </c>
      <c r="P26" s="87" t="n">
        <f aca="false">IF($A26="",0,SUMIF(GL_Data!$S$8:$S$5007,21011,GL_Data!$P$8:$P$5007))</f>
        <v>0</v>
      </c>
      <c r="Q26" s="87" t="n">
        <f aca="false">IF($A26="",0,SUMIF(GL_Data!$S$8:$S$5007,21012,GL_Data!$P$8:$P$5007))</f>
        <v>0</v>
      </c>
      <c r="R26" s="88" t="n">
        <f aca="false">IF($A26="",0,SUMIF(GL_Data!$S$8:$S$5007,21101,GL_Data!$P$8:$P$5007))</f>
        <v>0</v>
      </c>
      <c r="S26" s="88" t="n">
        <f aca="false">IF($A26="",0,SUMIF(GL_Data!$S$8:$S$5007,21102,GL_Data!$P$8:$P$5007))</f>
        <v>0</v>
      </c>
      <c r="T26" s="88" t="n">
        <f aca="false">IF($A26="",0,SUMIF(GL_Data!$S$8:$S$5007,21103,GL_Data!$P$8:$P$5007))</f>
        <v>0</v>
      </c>
      <c r="U26" s="88" t="n">
        <f aca="false">IF($A26="",0,SUMIF(GL_Data!$S$8:$S$5007,21104,GL_Data!$P$8:$P$5007))</f>
        <v>0</v>
      </c>
      <c r="V26" s="88" t="n">
        <f aca="false">IF($A26="",0,SUMIF(GL_Data!$S$8:$S$5007,21105,GL_Data!$P$8:$P$5007))</f>
        <v>0</v>
      </c>
      <c r="W26" s="88" t="n">
        <f aca="false">IF($A26="",0,SUMIF(GL_Data!$S$8:$S$5007,21106,GL_Data!$P$8:$P$5007))</f>
        <v>0</v>
      </c>
      <c r="X26" s="88" t="n">
        <f aca="false">IF($A26="",0,SUMIF(GL_Data!$S$8:$S$5007,21107,GL_Data!$P$8:$P$5007))</f>
        <v>0</v>
      </c>
      <c r="Y26" s="88" t="n">
        <f aca="false">IF($A26="",0,SUMIF(GL_Data!$S$8:$S$5007,21108,GL_Data!$P$8:$P$5007))</f>
        <v>0</v>
      </c>
      <c r="Z26" s="88" t="n">
        <f aca="false">IF($A26="",0,SUMIF(GL_Data!$S$8:$S$5007,21109,GL_Data!$P$8:$P$5007))</f>
        <v>0</v>
      </c>
      <c r="AA26" s="88" t="n">
        <f aca="false">IF($A26="",0,SUMIF(GL_Data!$S$8:$S$5007,21110,GL_Data!$P$8:$P$5007))</f>
        <v>0</v>
      </c>
      <c r="AB26" s="88" t="n">
        <f aca="false">IF($A26="",0,SUMIF(GL_Data!$S$8:$S$5007,21111,GL_Data!$P$8:$P$5007))</f>
        <v>0</v>
      </c>
      <c r="AC26" s="88" t="n">
        <f aca="false">IF($A26="",0,SUMIF(GL_Data!$S$8:$S$5007,21112,GL_Data!$P$8:$P$5007))</f>
        <v>0</v>
      </c>
      <c r="AD26" s="89" t="n">
        <f aca="false">IF($A26="",0,INDEX($F26:$AC26,12+Setup!$B$8))</f>
        <v>0</v>
      </c>
      <c r="AE26" s="90" t="n">
        <f aca="false">IF($A26="",0,INDEX($F26:$AC26,Setup!$B$8))</f>
        <v>0</v>
      </c>
      <c r="AF26" s="90" t="n">
        <f aca="false">IF($A26="",0,INDEX($F26:$AC26,11+Setup!$B$8))</f>
        <v>0</v>
      </c>
      <c r="AG26" s="90" t="n">
        <f aca="false">IF($A26="",0,AVERAGE(INDEX($F26:$AC26,9+Setup!$B$8):INDEX($F26:$AC26,11+Setup!$B$8)))</f>
        <v>0</v>
      </c>
      <c r="AH26" s="89" t="n">
        <f aca="false">IF($A26="",0,SUMPRODUCT(($R$3:$AC$3&lt;=Setup!$B$8)*$R26:$AC26))</f>
        <v>0</v>
      </c>
      <c r="AI26" s="90" t="n">
        <f aca="false">IF($A26="",0,SUMPRODUCT(($F$3:$Q$3&lt;=Setup!$B$8)*$F26:$Q26))</f>
        <v>0</v>
      </c>
      <c r="AJ26" s="90" t="n">
        <f aca="false">IF($A26="",0,SUM($F26:$Q26))</f>
        <v>0</v>
      </c>
      <c r="AK26" s="90" t="n">
        <f aca="false">IF($A26="",0,SUM($R26:$AC26))</f>
        <v>0</v>
      </c>
      <c r="AL26" s="91" t="n">
        <f aca="false">IF($A26="",0,IF(SUMPRODUCT(ABS($F26:$AC26))&gt;0,1,0))</f>
        <v>0</v>
      </c>
    </row>
    <row r="27" customFormat="false" ht="15" hidden="false" customHeight="false" outlineLevel="0" collapsed="false">
      <c r="A27" s="68" t="str">
        <f aca="false">IF(COA_Mapping!$A28="","",COA_Mapping!$A28)</f>
        <v>Meal &amp; Travel - ADMIN</v>
      </c>
      <c r="B27" s="68" t="str">
        <f aca="false">IF($A27="","",COA_Mapping!$C28)</f>
        <v>Income</v>
      </c>
      <c r="C27" s="68" t="str">
        <f aca="false">IF($A27="","",COA_Mapping!$E28)</f>
        <v>P&amp;L</v>
      </c>
      <c r="D27" s="68" t="str">
        <f aca="false">IF($A27="","",COA_Mapping!$D28)</f>
        <v>Admin</v>
      </c>
      <c r="E27" s="86" t="n">
        <f aca="false">IF($A27="",1,COA_Mapping!$F28)</f>
        <v>-1</v>
      </c>
      <c r="F27" s="87" t="n">
        <f aca="false">IF($A27="",0,SUMIF(GL_Data!$S$8:$S$5007,22001,GL_Data!$P$8:$P$5007))</f>
        <v>0</v>
      </c>
      <c r="G27" s="87" t="n">
        <f aca="false">IF($A27="",0,SUMIF(GL_Data!$S$8:$S$5007,22002,GL_Data!$P$8:$P$5007))</f>
        <v>0</v>
      </c>
      <c r="H27" s="87" t="n">
        <f aca="false">IF($A27="",0,SUMIF(GL_Data!$S$8:$S$5007,22003,GL_Data!$P$8:$P$5007))</f>
        <v>0</v>
      </c>
      <c r="I27" s="87" t="n">
        <f aca="false">IF($A27="",0,SUMIF(GL_Data!$S$8:$S$5007,22004,GL_Data!$P$8:$P$5007))</f>
        <v>0</v>
      </c>
      <c r="J27" s="87" t="n">
        <f aca="false">IF($A27="",0,SUMIF(GL_Data!$S$8:$S$5007,22005,GL_Data!$P$8:$P$5007))</f>
        <v>0</v>
      </c>
      <c r="K27" s="87" t="n">
        <f aca="false">IF($A27="",0,SUMIF(GL_Data!$S$8:$S$5007,22006,GL_Data!$P$8:$P$5007))</f>
        <v>0</v>
      </c>
      <c r="L27" s="87" t="n">
        <f aca="false">IF($A27="",0,SUMIF(GL_Data!$S$8:$S$5007,22007,GL_Data!$P$8:$P$5007))</f>
        <v>0</v>
      </c>
      <c r="M27" s="87" t="n">
        <f aca="false">IF($A27="",0,SUMIF(GL_Data!$S$8:$S$5007,22008,GL_Data!$P$8:$P$5007))</f>
        <v>0</v>
      </c>
      <c r="N27" s="87" t="n">
        <f aca="false">IF($A27="",0,SUMIF(GL_Data!$S$8:$S$5007,22009,GL_Data!$P$8:$P$5007))</f>
        <v>0</v>
      </c>
      <c r="O27" s="87" t="n">
        <f aca="false">IF($A27="",0,SUMIF(GL_Data!$S$8:$S$5007,22010,GL_Data!$P$8:$P$5007))</f>
        <v>0</v>
      </c>
      <c r="P27" s="87" t="n">
        <f aca="false">IF($A27="",0,SUMIF(GL_Data!$S$8:$S$5007,22011,GL_Data!$P$8:$P$5007))</f>
        <v>0</v>
      </c>
      <c r="Q27" s="87" t="n">
        <f aca="false">IF($A27="",0,SUMIF(GL_Data!$S$8:$S$5007,22012,GL_Data!$P$8:$P$5007))</f>
        <v>0</v>
      </c>
      <c r="R27" s="88" t="n">
        <f aca="false">IF($A27="",0,SUMIF(GL_Data!$S$8:$S$5007,22101,GL_Data!$P$8:$P$5007))</f>
        <v>0</v>
      </c>
      <c r="S27" s="88" t="n">
        <f aca="false">IF($A27="",0,SUMIF(GL_Data!$S$8:$S$5007,22102,GL_Data!$P$8:$P$5007))</f>
        <v>0</v>
      </c>
      <c r="T27" s="88" t="n">
        <f aca="false">IF($A27="",0,SUMIF(GL_Data!$S$8:$S$5007,22103,GL_Data!$P$8:$P$5007))</f>
        <v>0</v>
      </c>
      <c r="U27" s="88" t="n">
        <f aca="false">IF($A27="",0,SUMIF(GL_Data!$S$8:$S$5007,22104,GL_Data!$P$8:$P$5007))</f>
        <v>0</v>
      </c>
      <c r="V27" s="88" t="n">
        <f aca="false">IF($A27="",0,SUMIF(GL_Data!$S$8:$S$5007,22105,GL_Data!$P$8:$P$5007))</f>
        <v>0</v>
      </c>
      <c r="W27" s="88" t="n">
        <f aca="false">IF($A27="",0,SUMIF(GL_Data!$S$8:$S$5007,22106,GL_Data!$P$8:$P$5007))</f>
        <v>0</v>
      </c>
      <c r="X27" s="88" t="n">
        <f aca="false">IF($A27="",0,SUMIF(GL_Data!$S$8:$S$5007,22107,GL_Data!$P$8:$P$5007))</f>
        <v>0</v>
      </c>
      <c r="Y27" s="88" t="n">
        <f aca="false">IF($A27="",0,SUMIF(GL_Data!$S$8:$S$5007,22108,GL_Data!$P$8:$P$5007))</f>
        <v>0</v>
      </c>
      <c r="Z27" s="88" t="n">
        <f aca="false">IF($A27="",0,SUMIF(GL_Data!$S$8:$S$5007,22109,GL_Data!$P$8:$P$5007))</f>
        <v>0</v>
      </c>
      <c r="AA27" s="88" t="n">
        <f aca="false">IF($A27="",0,SUMIF(GL_Data!$S$8:$S$5007,22110,GL_Data!$P$8:$P$5007))</f>
        <v>0</v>
      </c>
      <c r="AB27" s="88" t="n">
        <f aca="false">IF($A27="",0,SUMIF(GL_Data!$S$8:$S$5007,22111,GL_Data!$P$8:$P$5007))</f>
        <v>0</v>
      </c>
      <c r="AC27" s="88" t="n">
        <f aca="false">IF($A27="",0,SUMIF(GL_Data!$S$8:$S$5007,22112,GL_Data!$P$8:$P$5007))</f>
        <v>0</v>
      </c>
      <c r="AD27" s="89" t="n">
        <f aca="false">IF($A27="",0,INDEX($F27:$AC27,12+Setup!$B$8))</f>
        <v>0</v>
      </c>
      <c r="AE27" s="90" t="n">
        <f aca="false">IF($A27="",0,INDEX($F27:$AC27,Setup!$B$8))</f>
        <v>0</v>
      </c>
      <c r="AF27" s="90" t="n">
        <f aca="false">IF($A27="",0,INDEX($F27:$AC27,11+Setup!$B$8))</f>
        <v>0</v>
      </c>
      <c r="AG27" s="90" t="n">
        <f aca="false">IF($A27="",0,AVERAGE(INDEX($F27:$AC27,9+Setup!$B$8):INDEX($F27:$AC27,11+Setup!$B$8)))</f>
        <v>0</v>
      </c>
      <c r="AH27" s="89" t="n">
        <f aca="false">IF($A27="",0,SUMPRODUCT(($R$3:$AC$3&lt;=Setup!$B$8)*$R27:$AC27))</f>
        <v>0</v>
      </c>
      <c r="AI27" s="90" t="n">
        <f aca="false">IF($A27="",0,SUMPRODUCT(($F$3:$Q$3&lt;=Setup!$B$8)*$F27:$Q27))</f>
        <v>0</v>
      </c>
      <c r="AJ27" s="90" t="n">
        <f aca="false">IF($A27="",0,SUM($F27:$Q27))</f>
        <v>0</v>
      </c>
      <c r="AK27" s="90" t="n">
        <f aca="false">IF($A27="",0,SUM($R27:$AC27))</f>
        <v>0</v>
      </c>
      <c r="AL27" s="91" t="n">
        <f aca="false">IF($A27="",0,IF(SUMPRODUCT(ABS($F27:$AC27))&gt;0,1,0))</f>
        <v>0</v>
      </c>
    </row>
    <row r="28" customFormat="false" ht="15" hidden="false" customHeight="false" outlineLevel="0" collapsed="false">
      <c r="A28" s="68" t="str">
        <f aca="false">IF(COA_Mapping!$A29="","",COA_Mapping!$A29)</f>
        <v>Meal &amp; Travel - CONS</v>
      </c>
      <c r="B28" s="68" t="str">
        <f aca="false">IF($A28="","",COA_Mapping!$C29)</f>
        <v>Income</v>
      </c>
      <c r="C28" s="68" t="str">
        <f aca="false">IF($A28="","",COA_Mapping!$E29)</f>
        <v>P&amp;L</v>
      </c>
      <c r="D28" s="68" t="str">
        <f aca="false">IF($A28="","",COA_Mapping!$D29)</f>
        <v>Consulting</v>
      </c>
      <c r="E28" s="86" t="n">
        <f aca="false">IF($A28="",1,COA_Mapping!$F29)</f>
        <v>-1</v>
      </c>
      <c r="F28" s="87" t="n">
        <f aca="false">IF($A28="",0,SUMIF(GL_Data!$S$8:$S$5007,23001,GL_Data!$P$8:$P$5007))</f>
        <v>0</v>
      </c>
      <c r="G28" s="87" t="n">
        <f aca="false">IF($A28="",0,SUMIF(GL_Data!$S$8:$S$5007,23002,GL_Data!$P$8:$P$5007))</f>
        <v>0</v>
      </c>
      <c r="H28" s="87" t="n">
        <f aca="false">IF($A28="",0,SUMIF(GL_Data!$S$8:$S$5007,23003,GL_Data!$P$8:$P$5007))</f>
        <v>0</v>
      </c>
      <c r="I28" s="87" t="n">
        <f aca="false">IF($A28="",0,SUMIF(GL_Data!$S$8:$S$5007,23004,GL_Data!$P$8:$P$5007))</f>
        <v>0</v>
      </c>
      <c r="J28" s="87" t="n">
        <f aca="false">IF($A28="",0,SUMIF(GL_Data!$S$8:$S$5007,23005,GL_Data!$P$8:$P$5007))</f>
        <v>0</v>
      </c>
      <c r="K28" s="87" t="n">
        <f aca="false">IF($A28="",0,SUMIF(GL_Data!$S$8:$S$5007,23006,GL_Data!$P$8:$P$5007))</f>
        <v>0</v>
      </c>
      <c r="L28" s="87" t="n">
        <f aca="false">IF($A28="",0,SUMIF(GL_Data!$S$8:$S$5007,23007,GL_Data!$P$8:$P$5007))</f>
        <v>0</v>
      </c>
      <c r="M28" s="87" t="n">
        <f aca="false">IF($A28="",0,SUMIF(GL_Data!$S$8:$S$5007,23008,GL_Data!$P$8:$P$5007))</f>
        <v>0</v>
      </c>
      <c r="N28" s="87" t="n">
        <f aca="false">IF($A28="",0,SUMIF(GL_Data!$S$8:$S$5007,23009,GL_Data!$P$8:$P$5007))</f>
        <v>0</v>
      </c>
      <c r="O28" s="87" t="n">
        <f aca="false">IF($A28="",0,SUMIF(GL_Data!$S$8:$S$5007,23010,GL_Data!$P$8:$P$5007))</f>
        <v>0</v>
      </c>
      <c r="P28" s="87" t="n">
        <f aca="false">IF($A28="",0,SUMIF(GL_Data!$S$8:$S$5007,23011,GL_Data!$P$8:$P$5007))</f>
        <v>0</v>
      </c>
      <c r="Q28" s="87" t="n">
        <f aca="false">IF($A28="",0,SUMIF(GL_Data!$S$8:$S$5007,23012,GL_Data!$P$8:$P$5007))</f>
        <v>0</v>
      </c>
      <c r="R28" s="88" t="n">
        <f aca="false">IF($A28="",0,SUMIF(GL_Data!$S$8:$S$5007,23101,GL_Data!$P$8:$P$5007))</f>
        <v>0</v>
      </c>
      <c r="S28" s="88" t="n">
        <f aca="false">IF($A28="",0,SUMIF(GL_Data!$S$8:$S$5007,23102,GL_Data!$P$8:$P$5007))</f>
        <v>0</v>
      </c>
      <c r="T28" s="88" t="n">
        <f aca="false">IF($A28="",0,SUMIF(GL_Data!$S$8:$S$5007,23103,GL_Data!$P$8:$P$5007))</f>
        <v>0</v>
      </c>
      <c r="U28" s="88" t="n">
        <f aca="false">IF($A28="",0,SUMIF(GL_Data!$S$8:$S$5007,23104,GL_Data!$P$8:$P$5007))</f>
        <v>0</v>
      </c>
      <c r="V28" s="88" t="n">
        <f aca="false">IF($A28="",0,SUMIF(GL_Data!$S$8:$S$5007,23105,GL_Data!$P$8:$P$5007))</f>
        <v>0</v>
      </c>
      <c r="W28" s="88" t="n">
        <f aca="false">IF($A28="",0,SUMIF(GL_Data!$S$8:$S$5007,23106,GL_Data!$P$8:$P$5007))</f>
        <v>0</v>
      </c>
      <c r="X28" s="88" t="n">
        <f aca="false">IF($A28="",0,SUMIF(GL_Data!$S$8:$S$5007,23107,GL_Data!$P$8:$P$5007))</f>
        <v>0</v>
      </c>
      <c r="Y28" s="88" t="n">
        <f aca="false">IF($A28="",0,SUMIF(GL_Data!$S$8:$S$5007,23108,GL_Data!$P$8:$P$5007))</f>
        <v>0</v>
      </c>
      <c r="Z28" s="88" t="n">
        <f aca="false">IF($A28="",0,SUMIF(GL_Data!$S$8:$S$5007,23109,GL_Data!$P$8:$P$5007))</f>
        <v>0</v>
      </c>
      <c r="AA28" s="88" t="n">
        <f aca="false">IF($A28="",0,SUMIF(GL_Data!$S$8:$S$5007,23110,GL_Data!$P$8:$P$5007))</f>
        <v>0</v>
      </c>
      <c r="AB28" s="88" t="n">
        <f aca="false">IF($A28="",0,SUMIF(GL_Data!$S$8:$S$5007,23111,GL_Data!$P$8:$P$5007))</f>
        <v>0</v>
      </c>
      <c r="AC28" s="88" t="n">
        <f aca="false">IF($A28="",0,SUMIF(GL_Data!$S$8:$S$5007,23112,GL_Data!$P$8:$P$5007))</f>
        <v>0</v>
      </c>
      <c r="AD28" s="89" t="n">
        <f aca="false">IF($A28="",0,INDEX($F28:$AC28,12+Setup!$B$8))</f>
        <v>0</v>
      </c>
      <c r="AE28" s="90" t="n">
        <f aca="false">IF($A28="",0,INDEX($F28:$AC28,Setup!$B$8))</f>
        <v>0</v>
      </c>
      <c r="AF28" s="90" t="n">
        <f aca="false">IF($A28="",0,INDEX($F28:$AC28,11+Setup!$B$8))</f>
        <v>0</v>
      </c>
      <c r="AG28" s="90" t="n">
        <f aca="false">IF($A28="",0,AVERAGE(INDEX($F28:$AC28,9+Setup!$B$8):INDEX($F28:$AC28,11+Setup!$B$8)))</f>
        <v>0</v>
      </c>
      <c r="AH28" s="89" t="n">
        <f aca="false">IF($A28="",0,SUMPRODUCT(($R$3:$AC$3&lt;=Setup!$B$8)*$R28:$AC28))</f>
        <v>0</v>
      </c>
      <c r="AI28" s="90" t="n">
        <f aca="false">IF($A28="",0,SUMPRODUCT(($F$3:$Q$3&lt;=Setup!$B$8)*$F28:$Q28))</f>
        <v>0</v>
      </c>
      <c r="AJ28" s="90" t="n">
        <f aca="false">IF($A28="",0,SUM($F28:$Q28))</f>
        <v>0</v>
      </c>
      <c r="AK28" s="90" t="n">
        <f aca="false">IF($A28="",0,SUM($R28:$AC28))</f>
        <v>0</v>
      </c>
      <c r="AL28" s="91" t="n">
        <f aca="false">IF($A28="",0,IF(SUMPRODUCT(ABS($F28:$AC28))&gt;0,1,0))</f>
        <v>0</v>
      </c>
    </row>
    <row r="29" customFormat="false" ht="15" hidden="false" customHeight="false" outlineLevel="0" collapsed="false">
      <c r="A29" s="68" t="str">
        <f aca="false">IF(COA_Mapping!$A30="","",COA_Mapping!$A30)</f>
        <v>Meal &amp; Travel - INTEGRATION</v>
      </c>
      <c r="B29" s="68" t="str">
        <f aca="false">IF($A29="","",COA_Mapping!$C30)</f>
        <v>Income</v>
      </c>
      <c r="C29" s="68" t="str">
        <f aca="false">IF($A29="","",COA_Mapping!$E30)</f>
        <v>P&amp;L</v>
      </c>
      <c r="D29" s="68" t="str">
        <f aca="false">IF($A29="","",COA_Mapping!$D30)</f>
        <v>Integration</v>
      </c>
      <c r="E29" s="86" t="n">
        <f aca="false">IF($A29="",1,COA_Mapping!$F30)</f>
        <v>-1</v>
      </c>
      <c r="F29" s="87" t="n">
        <f aca="false">IF($A29="",0,SUMIF(GL_Data!$S$8:$S$5007,24001,GL_Data!$P$8:$P$5007))</f>
        <v>0</v>
      </c>
      <c r="G29" s="87" t="n">
        <f aca="false">IF($A29="",0,SUMIF(GL_Data!$S$8:$S$5007,24002,GL_Data!$P$8:$P$5007))</f>
        <v>0</v>
      </c>
      <c r="H29" s="87" t="n">
        <f aca="false">IF($A29="",0,SUMIF(GL_Data!$S$8:$S$5007,24003,GL_Data!$P$8:$P$5007))</f>
        <v>0</v>
      </c>
      <c r="I29" s="87" t="n">
        <f aca="false">IF($A29="",0,SUMIF(GL_Data!$S$8:$S$5007,24004,GL_Data!$P$8:$P$5007))</f>
        <v>0</v>
      </c>
      <c r="J29" s="87" t="n">
        <f aca="false">IF($A29="",0,SUMIF(GL_Data!$S$8:$S$5007,24005,GL_Data!$P$8:$P$5007))</f>
        <v>0</v>
      </c>
      <c r="K29" s="87" t="n">
        <f aca="false">IF($A29="",0,SUMIF(GL_Data!$S$8:$S$5007,24006,GL_Data!$P$8:$P$5007))</f>
        <v>0</v>
      </c>
      <c r="L29" s="87" t="n">
        <f aca="false">IF($A29="",0,SUMIF(GL_Data!$S$8:$S$5007,24007,GL_Data!$P$8:$P$5007))</f>
        <v>0</v>
      </c>
      <c r="M29" s="87" t="n">
        <f aca="false">IF($A29="",0,SUMIF(GL_Data!$S$8:$S$5007,24008,GL_Data!$P$8:$P$5007))</f>
        <v>0</v>
      </c>
      <c r="N29" s="87" t="n">
        <f aca="false">IF($A29="",0,SUMIF(GL_Data!$S$8:$S$5007,24009,GL_Data!$P$8:$P$5007))</f>
        <v>0</v>
      </c>
      <c r="O29" s="87" t="n">
        <f aca="false">IF($A29="",0,SUMIF(GL_Data!$S$8:$S$5007,24010,GL_Data!$P$8:$P$5007))</f>
        <v>0</v>
      </c>
      <c r="P29" s="87" t="n">
        <f aca="false">IF($A29="",0,SUMIF(GL_Data!$S$8:$S$5007,24011,GL_Data!$P$8:$P$5007))</f>
        <v>0</v>
      </c>
      <c r="Q29" s="87" t="n">
        <f aca="false">IF($A29="",0,SUMIF(GL_Data!$S$8:$S$5007,24012,GL_Data!$P$8:$P$5007))</f>
        <v>0</v>
      </c>
      <c r="R29" s="88" t="n">
        <f aca="false">IF($A29="",0,SUMIF(GL_Data!$S$8:$S$5007,24101,GL_Data!$P$8:$P$5007))</f>
        <v>0</v>
      </c>
      <c r="S29" s="88" t="n">
        <f aca="false">IF($A29="",0,SUMIF(GL_Data!$S$8:$S$5007,24102,GL_Data!$P$8:$P$5007))</f>
        <v>0</v>
      </c>
      <c r="T29" s="88" t="n">
        <f aca="false">IF($A29="",0,SUMIF(GL_Data!$S$8:$S$5007,24103,GL_Data!$P$8:$P$5007))</f>
        <v>0</v>
      </c>
      <c r="U29" s="88" t="n">
        <f aca="false">IF($A29="",0,SUMIF(GL_Data!$S$8:$S$5007,24104,GL_Data!$P$8:$P$5007))</f>
        <v>0</v>
      </c>
      <c r="V29" s="88" t="n">
        <f aca="false">IF($A29="",0,SUMIF(GL_Data!$S$8:$S$5007,24105,GL_Data!$P$8:$P$5007))</f>
        <v>0</v>
      </c>
      <c r="W29" s="88" t="n">
        <f aca="false">IF($A29="",0,SUMIF(GL_Data!$S$8:$S$5007,24106,GL_Data!$P$8:$P$5007))</f>
        <v>0</v>
      </c>
      <c r="X29" s="88" t="n">
        <f aca="false">IF($A29="",0,SUMIF(GL_Data!$S$8:$S$5007,24107,GL_Data!$P$8:$P$5007))</f>
        <v>0</v>
      </c>
      <c r="Y29" s="88" t="n">
        <f aca="false">IF($A29="",0,SUMIF(GL_Data!$S$8:$S$5007,24108,GL_Data!$P$8:$P$5007))</f>
        <v>0</v>
      </c>
      <c r="Z29" s="88" t="n">
        <f aca="false">IF($A29="",0,SUMIF(GL_Data!$S$8:$S$5007,24109,GL_Data!$P$8:$P$5007))</f>
        <v>0</v>
      </c>
      <c r="AA29" s="88" t="n">
        <f aca="false">IF($A29="",0,SUMIF(GL_Data!$S$8:$S$5007,24110,GL_Data!$P$8:$P$5007))</f>
        <v>0</v>
      </c>
      <c r="AB29" s="88" t="n">
        <f aca="false">IF($A29="",0,SUMIF(GL_Data!$S$8:$S$5007,24111,GL_Data!$P$8:$P$5007))</f>
        <v>0</v>
      </c>
      <c r="AC29" s="88" t="n">
        <f aca="false">IF($A29="",0,SUMIF(GL_Data!$S$8:$S$5007,24112,GL_Data!$P$8:$P$5007))</f>
        <v>0</v>
      </c>
      <c r="AD29" s="89" t="n">
        <f aca="false">IF($A29="",0,INDEX($F29:$AC29,12+Setup!$B$8))</f>
        <v>0</v>
      </c>
      <c r="AE29" s="90" t="n">
        <f aca="false">IF($A29="",0,INDEX($F29:$AC29,Setup!$B$8))</f>
        <v>0</v>
      </c>
      <c r="AF29" s="90" t="n">
        <f aca="false">IF($A29="",0,INDEX($F29:$AC29,11+Setup!$B$8))</f>
        <v>0</v>
      </c>
      <c r="AG29" s="90" t="n">
        <f aca="false">IF($A29="",0,AVERAGE(INDEX($F29:$AC29,9+Setup!$B$8):INDEX($F29:$AC29,11+Setup!$B$8)))</f>
        <v>0</v>
      </c>
      <c r="AH29" s="89" t="n">
        <f aca="false">IF($A29="",0,SUMPRODUCT(($R$3:$AC$3&lt;=Setup!$B$8)*$R29:$AC29))</f>
        <v>0</v>
      </c>
      <c r="AI29" s="90" t="n">
        <f aca="false">IF($A29="",0,SUMPRODUCT(($F$3:$Q$3&lt;=Setup!$B$8)*$F29:$Q29))</f>
        <v>0</v>
      </c>
      <c r="AJ29" s="90" t="n">
        <f aca="false">IF($A29="",0,SUM($F29:$Q29))</f>
        <v>0</v>
      </c>
      <c r="AK29" s="90" t="n">
        <f aca="false">IF($A29="",0,SUM($R29:$AC29))</f>
        <v>0</v>
      </c>
      <c r="AL29" s="91" t="n">
        <f aca="false">IF($A29="",0,IF(SUMPRODUCT(ABS($F29:$AC29))&gt;0,1,0))</f>
        <v>0</v>
      </c>
    </row>
    <row r="30" customFormat="false" ht="15" hidden="false" customHeight="false" outlineLevel="0" collapsed="false">
      <c r="A30" s="68" t="str">
        <f aca="false">IF(COA_Mapping!$A31="","",COA_Mapping!$A31)</f>
        <v>Meal &amp; Travel - ONS</v>
      </c>
      <c r="B30" s="68" t="str">
        <f aca="false">IF($A30="","",COA_Mapping!$C31)</f>
        <v>Income</v>
      </c>
      <c r="C30" s="68" t="str">
        <f aca="false">IF($A30="","",COA_Mapping!$E31)</f>
        <v>P&amp;L</v>
      </c>
      <c r="D30" s="68" t="str">
        <f aca="false">IF($A30="","",COA_Mapping!$D31)</f>
        <v>Onsite</v>
      </c>
      <c r="E30" s="86" t="n">
        <f aca="false">IF($A30="",1,COA_Mapping!$F31)</f>
        <v>-1</v>
      </c>
      <c r="F30" s="87" t="n">
        <f aca="false">IF($A30="",0,SUMIF(GL_Data!$S$8:$S$5007,25001,GL_Data!$P$8:$P$5007))</f>
        <v>0</v>
      </c>
      <c r="G30" s="87" t="n">
        <f aca="false">IF($A30="",0,SUMIF(GL_Data!$S$8:$S$5007,25002,GL_Data!$P$8:$P$5007))</f>
        <v>0</v>
      </c>
      <c r="H30" s="87" t="n">
        <f aca="false">IF($A30="",0,SUMIF(GL_Data!$S$8:$S$5007,25003,GL_Data!$P$8:$P$5007))</f>
        <v>0</v>
      </c>
      <c r="I30" s="87" t="n">
        <f aca="false">IF($A30="",0,SUMIF(GL_Data!$S$8:$S$5007,25004,GL_Data!$P$8:$P$5007))</f>
        <v>0</v>
      </c>
      <c r="J30" s="87" t="n">
        <f aca="false">IF($A30="",0,SUMIF(GL_Data!$S$8:$S$5007,25005,GL_Data!$P$8:$P$5007))</f>
        <v>0</v>
      </c>
      <c r="K30" s="87" t="n">
        <f aca="false">IF($A30="",0,SUMIF(GL_Data!$S$8:$S$5007,25006,GL_Data!$P$8:$P$5007))</f>
        <v>0</v>
      </c>
      <c r="L30" s="87" t="n">
        <f aca="false">IF($A30="",0,SUMIF(GL_Data!$S$8:$S$5007,25007,GL_Data!$P$8:$P$5007))</f>
        <v>0</v>
      </c>
      <c r="M30" s="87" t="n">
        <f aca="false">IF($A30="",0,SUMIF(GL_Data!$S$8:$S$5007,25008,GL_Data!$P$8:$P$5007))</f>
        <v>0</v>
      </c>
      <c r="N30" s="87" t="n">
        <f aca="false">IF($A30="",0,SUMIF(GL_Data!$S$8:$S$5007,25009,GL_Data!$P$8:$P$5007))</f>
        <v>0</v>
      </c>
      <c r="O30" s="87" t="n">
        <f aca="false">IF($A30="",0,SUMIF(GL_Data!$S$8:$S$5007,25010,GL_Data!$P$8:$P$5007))</f>
        <v>0</v>
      </c>
      <c r="P30" s="87" t="n">
        <f aca="false">IF($A30="",0,SUMIF(GL_Data!$S$8:$S$5007,25011,GL_Data!$P$8:$P$5007))</f>
        <v>0</v>
      </c>
      <c r="Q30" s="87" t="n">
        <f aca="false">IF($A30="",0,SUMIF(GL_Data!$S$8:$S$5007,25012,GL_Data!$P$8:$P$5007))</f>
        <v>0</v>
      </c>
      <c r="R30" s="88" t="n">
        <f aca="false">IF($A30="",0,SUMIF(GL_Data!$S$8:$S$5007,25101,GL_Data!$P$8:$P$5007))</f>
        <v>0</v>
      </c>
      <c r="S30" s="88" t="n">
        <f aca="false">IF($A30="",0,SUMIF(GL_Data!$S$8:$S$5007,25102,GL_Data!$P$8:$P$5007))</f>
        <v>0</v>
      </c>
      <c r="T30" s="88" t="n">
        <f aca="false">IF($A30="",0,SUMIF(GL_Data!$S$8:$S$5007,25103,GL_Data!$P$8:$P$5007))</f>
        <v>0</v>
      </c>
      <c r="U30" s="88" t="n">
        <f aca="false">IF($A30="",0,SUMIF(GL_Data!$S$8:$S$5007,25104,GL_Data!$P$8:$P$5007))</f>
        <v>0</v>
      </c>
      <c r="V30" s="88" t="n">
        <f aca="false">IF($A30="",0,SUMIF(GL_Data!$S$8:$S$5007,25105,GL_Data!$P$8:$P$5007))</f>
        <v>0</v>
      </c>
      <c r="W30" s="88" t="n">
        <f aca="false">IF($A30="",0,SUMIF(GL_Data!$S$8:$S$5007,25106,GL_Data!$P$8:$P$5007))</f>
        <v>0</v>
      </c>
      <c r="X30" s="88" t="n">
        <f aca="false">IF($A30="",0,SUMIF(GL_Data!$S$8:$S$5007,25107,GL_Data!$P$8:$P$5007))</f>
        <v>0</v>
      </c>
      <c r="Y30" s="88" t="n">
        <f aca="false">IF($A30="",0,SUMIF(GL_Data!$S$8:$S$5007,25108,GL_Data!$P$8:$P$5007))</f>
        <v>0</v>
      </c>
      <c r="Z30" s="88" t="n">
        <f aca="false">IF($A30="",0,SUMIF(GL_Data!$S$8:$S$5007,25109,GL_Data!$P$8:$P$5007))</f>
        <v>0</v>
      </c>
      <c r="AA30" s="88" t="n">
        <f aca="false">IF($A30="",0,SUMIF(GL_Data!$S$8:$S$5007,25110,GL_Data!$P$8:$P$5007))</f>
        <v>0</v>
      </c>
      <c r="AB30" s="88" t="n">
        <f aca="false">IF($A30="",0,SUMIF(GL_Data!$S$8:$S$5007,25111,GL_Data!$P$8:$P$5007))</f>
        <v>0</v>
      </c>
      <c r="AC30" s="88" t="n">
        <f aca="false">IF($A30="",0,SUMIF(GL_Data!$S$8:$S$5007,25112,GL_Data!$P$8:$P$5007))</f>
        <v>0</v>
      </c>
      <c r="AD30" s="89" t="n">
        <f aca="false">IF($A30="",0,INDEX($F30:$AC30,12+Setup!$B$8))</f>
        <v>0</v>
      </c>
      <c r="AE30" s="90" t="n">
        <f aca="false">IF($A30="",0,INDEX($F30:$AC30,Setup!$B$8))</f>
        <v>0</v>
      </c>
      <c r="AF30" s="90" t="n">
        <f aca="false">IF($A30="",0,INDEX($F30:$AC30,11+Setup!$B$8))</f>
        <v>0</v>
      </c>
      <c r="AG30" s="90" t="n">
        <f aca="false">IF($A30="",0,AVERAGE(INDEX($F30:$AC30,9+Setup!$B$8):INDEX($F30:$AC30,11+Setup!$B$8)))</f>
        <v>0</v>
      </c>
      <c r="AH30" s="89" t="n">
        <f aca="false">IF($A30="",0,SUMPRODUCT(($R$3:$AC$3&lt;=Setup!$B$8)*$R30:$AC30))</f>
        <v>0</v>
      </c>
      <c r="AI30" s="90" t="n">
        <f aca="false">IF($A30="",0,SUMPRODUCT(($F$3:$Q$3&lt;=Setup!$B$8)*$F30:$Q30))</f>
        <v>0</v>
      </c>
      <c r="AJ30" s="90" t="n">
        <f aca="false">IF($A30="",0,SUM($F30:$Q30))</f>
        <v>0</v>
      </c>
      <c r="AK30" s="90" t="n">
        <f aca="false">IF($A30="",0,SUM($R30:$AC30))</f>
        <v>0</v>
      </c>
      <c r="AL30" s="91" t="n">
        <f aca="false">IF($A30="",0,IF(SUMPRODUCT(ABS($F30:$AC30))&gt;0,1,0))</f>
        <v>0</v>
      </c>
    </row>
    <row r="31" customFormat="false" ht="15" hidden="false" customHeight="false" outlineLevel="0" collapsed="false">
      <c r="A31" s="68" t="str">
        <f aca="false">IF(COA_Mapping!$A32="","",COA_Mapping!$A32)</f>
        <v>Meal &amp; Travel - PRD</v>
      </c>
      <c r="B31" s="68" t="str">
        <f aca="false">IF($A31="","",COA_Mapping!$C32)</f>
        <v>Income</v>
      </c>
      <c r="C31" s="68" t="str">
        <f aca="false">IF($A31="","",COA_Mapping!$E32)</f>
        <v>P&amp;L</v>
      </c>
      <c r="D31" s="68" t="str">
        <f aca="false">IF($A31="","",COA_Mapping!$D32)</f>
        <v>Production</v>
      </c>
      <c r="E31" s="86" t="n">
        <f aca="false">IF($A31="",1,COA_Mapping!$F32)</f>
        <v>-1</v>
      </c>
      <c r="F31" s="87" t="n">
        <f aca="false">IF($A31="",0,SUMIF(GL_Data!$S$8:$S$5007,26001,GL_Data!$P$8:$P$5007))</f>
        <v>0</v>
      </c>
      <c r="G31" s="87" t="n">
        <f aca="false">IF($A31="",0,SUMIF(GL_Data!$S$8:$S$5007,26002,GL_Data!$P$8:$P$5007))</f>
        <v>0</v>
      </c>
      <c r="H31" s="87" t="n">
        <f aca="false">IF($A31="",0,SUMIF(GL_Data!$S$8:$S$5007,26003,GL_Data!$P$8:$P$5007))</f>
        <v>0</v>
      </c>
      <c r="I31" s="87" t="n">
        <f aca="false">IF($A31="",0,SUMIF(GL_Data!$S$8:$S$5007,26004,GL_Data!$P$8:$P$5007))</f>
        <v>0</v>
      </c>
      <c r="J31" s="87" t="n">
        <f aca="false">IF($A31="",0,SUMIF(GL_Data!$S$8:$S$5007,26005,GL_Data!$P$8:$P$5007))</f>
        <v>0</v>
      </c>
      <c r="K31" s="87" t="n">
        <f aca="false">IF($A31="",0,SUMIF(GL_Data!$S$8:$S$5007,26006,GL_Data!$P$8:$P$5007))</f>
        <v>0</v>
      </c>
      <c r="L31" s="87" t="n">
        <f aca="false">IF($A31="",0,SUMIF(GL_Data!$S$8:$S$5007,26007,GL_Data!$P$8:$P$5007))</f>
        <v>0</v>
      </c>
      <c r="M31" s="87" t="n">
        <f aca="false">IF($A31="",0,SUMIF(GL_Data!$S$8:$S$5007,26008,GL_Data!$P$8:$P$5007))</f>
        <v>0</v>
      </c>
      <c r="N31" s="87" t="n">
        <f aca="false">IF($A31="",0,SUMIF(GL_Data!$S$8:$S$5007,26009,GL_Data!$P$8:$P$5007))</f>
        <v>0</v>
      </c>
      <c r="O31" s="87" t="n">
        <f aca="false">IF($A31="",0,SUMIF(GL_Data!$S$8:$S$5007,26010,GL_Data!$P$8:$P$5007))</f>
        <v>0</v>
      </c>
      <c r="P31" s="87" t="n">
        <f aca="false">IF($A31="",0,SUMIF(GL_Data!$S$8:$S$5007,26011,GL_Data!$P$8:$P$5007))</f>
        <v>0</v>
      </c>
      <c r="Q31" s="87" t="n">
        <f aca="false">IF($A31="",0,SUMIF(GL_Data!$S$8:$S$5007,26012,GL_Data!$P$8:$P$5007))</f>
        <v>0</v>
      </c>
      <c r="R31" s="88" t="n">
        <f aca="false">IF($A31="",0,SUMIF(GL_Data!$S$8:$S$5007,26101,GL_Data!$P$8:$P$5007))</f>
        <v>0</v>
      </c>
      <c r="S31" s="88" t="n">
        <f aca="false">IF($A31="",0,SUMIF(GL_Data!$S$8:$S$5007,26102,GL_Data!$P$8:$P$5007))</f>
        <v>0</v>
      </c>
      <c r="T31" s="88" t="n">
        <f aca="false">IF($A31="",0,SUMIF(GL_Data!$S$8:$S$5007,26103,GL_Data!$P$8:$P$5007))</f>
        <v>0</v>
      </c>
      <c r="U31" s="88" t="n">
        <f aca="false">IF($A31="",0,SUMIF(GL_Data!$S$8:$S$5007,26104,GL_Data!$P$8:$P$5007))</f>
        <v>0</v>
      </c>
      <c r="V31" s="88" t="n">
        <f aca="false">IF($A31="",0,SUMIF(GL_Data!$S$8:$S$5007,26105,GL_Data!$P$8:$P$5007))</f>
        <v>0</v>
      </c>
      <c r="W31" s="88" t="n">
        <f aca="false">IF($A31="",0,SUMIF(GL_Data!$S$8:$S$5007,26106,GL_Data!$P$8:$P$5007))</f>
        <v>0</v>
      </c>
      <c r="X31" s="88" t="n">
        <f aca="false">IF($A31="",0,SUMIF(GL_Data!$S$8:$S$5007,26107,GL_Data!$P$8:$P$5007))</f>
        <v>0</v>
      </c>
      <c r="Y31" s="88" t="n">
        <f aca="false">IF($A31="",0,SUMIF(GL_Data!$S$8:$S$5007,26108,GL_Data!$P$8:$P$5007))</f>
        <v>0</v>
      </c>
      <c r="Z31" s="88" t="n">
        <f aca="false">IF($A31="",0,SUMIF(GL_Data!$S$8:$S$5007,26109,GL_Data!$P$8:$P$5007))</f>
        <v>0</v>
      </c>
      <c r="AA31" s="88" t="n">
        <f aca="false">IF($A31="",0,SUMIF(GL_Data!$S$8:$S$5007,26110,GL_Data!$P$8:$P$5007))</f>
        <v>0</v>
      </c>
      <c r="AB31" s="88" t="n">
        <f aca="false">IF($A31="",0,SUMIF(GL_Data!$S$8:$S$5007,26111,GL_Data!$P$8:$P$5007))</f>
        <v>0</v>
      </c>
      <c r="AC31" s="88" t="n">
        <f aca="false">IF($A31="",0,SUMIF(GL_Data!$S$8:$S$5007,26112,GL_Data!$P$8:$P$5007))</f>
        <v>0</v>
      </c>
      <c r="AD31" s="89" t="n">
        <f aca="false">IF($A31="",0,INDEX($F31:$AC31,12+Setup!$B$8))</f>
        <v>0</v>
      </c>
      <c r="AE31" s="90" t="n">
        <f aca="false">IF($A31="",0,INDEX($F31:$AC31,Setup!$B$8))</f>
        <v>0</v>
      </c>
      <c r="AF31" s="90" t="n">
        <f aca="false">IF($A31="",0,INDEX($F31:$AC31,11+Setup!$B$8))</f>
        <v>0</v>
      </c>
      <c r="AG31" s="90" t="n">
        <f aca="false">IF($A31="",0,AVERAGE(INDEX($F31:$AC31,9+Setup!$B$8):INDEX($F31:$AC31,11+Setup!$B$8)))</f>
        <v>0</v>
      </c>
      <c r="AH31" s="89" t="n">
        <f aca="false">IF($A31="",0,SUMPRODUCT(($R$3:$AC$3&lt;=Setup!$B$8)*$R31:$AC31))</f>
        <v>0</v>
      </c>
      <c r="AI31" s="90" t="n">
        <f aca="false">IF($A31="",0,SUMPRODUCT(($F$3:$Q$3&lt;=Setup!$B$8)*$F31:$Q31))</f>
        <v>0</v>
      </c>
      <c r="AJ31" s="90" t="n">
        <f aca="false">IF($A31="",0,SUM($F31:$Q31))</f>
        <v>0</v>
      </c>
      <c r="AK31" s="90" t="n">
        <f aca="false">IF($A31="",0,SUM($R31:$AC31))</f>
        <v>0</v>
      </c>
      <c r="AL31" s="91" t="n">
        <f aca="false">IF($A31="",0,IF(SUMPRODUCT(ABS($F31:$AC31))&gt;0,1,0))</f>
        <v>0</v>
      </c>
    </row>
    <row r="32" customFormat="false" ht="15" hidden="false" customHeight="false" outlineLevel="0" collapsed="false">
      <c r="A32" s="68" t="str">
        <f aca="false">IF(COA_Mapping!$A33="","",COA_Mapping!$A33)</f>
        <v>Meal &amp; Travel - VID</v>
      </c>
      <c r="B32" s="68" t="str">
        <f aca="false">IF($A32="","",COA_Mapping!$C33)</f>
        <v>Income</v>
      </c>
      <c r="C32" s="68" t="str">
        <f aca="false">IF($A32="","",COA_Mapping!$E33)</f>
        <v>P&amp;L</v>
      </c>
      <c r="D32" s="68" t="str">
        <f aca="false">IF($A32="","",COA_Mapping!$D33)</f>
        <v>Video</v>
      </c>
      <c r="E32" s="86" t="n">
        <f aca="false">IF($A32="",1,COA_Mapping!$F33)</f>
        <v>-1</v>
      </c>
      <c r="F32" s="87" t="n">
        <f aca="false">IF($A32="",0,SUMIF(GL_Data!$S$8:$S$5007,27001,GL_Data!$P$8:$P$5007))</f>
        <v>0</v>
      </c>
      <c r="G32" s="87" t="n">
        <f aca="false">IF($A32="",0,SUMIF(GL_Data!$S$8:$S$5007,27002,GL_Data!$P$8:$P$5007))</f>
        <v>0</v>
      </c>
      <c r="H32" s="87" t="n">
        <f aca="false">IF($A32="",0,SUMIF(GL_Data!$S$8:$S$5007,27003,GL_Data!$P$8:$P$5007))</f>
        <v>0</v>
      </c>
      <c r="I32" s="87" t="n">
        <f aca="false">IF($A32="",0,SUMIF(GL_Data!$S$8:$S$5007,27004,GL_Data!$P$8:$P$5007))</f>
        <v>0</v>
      </c>
      <c r="J32" s="87" t="n">
        <f aca="false">IF($A32="",0,SUMIF(GL_Data!$S$8:$S$5007,27005,GL_Data!$P$8:$P$5007))</f>
        <v>0</v>
      </c>
      <c r="K32" s="87" t="n">
        <f aca="false">IF($A32="",0,SUMIF(GL_Data!$S$8:$S$5007,27006,GL_Data!$P$8:$P$5007))</f>
        <v>0</v>
      </c>
      <c r="L32" s="87" t="n">
        <f aca="false">IF($A32="",0,SUMIF(GL_Data!$S$8:$S$5007,27007,GL_Data!$P$8:$P$5007))</f>
        <v>0</v>
      </c>
      <c r="M32" s="87" t="n">
        <f aca="false">IF($A32="",0,SUMIF(GL_Data!$S$8:$S$5007,27008,GL_Data!$P$8:$P$5007))</f>
        <v>0</v>
      </c>
      <c r="N32" s="87" t="n">
        <f aca="false">IF($A32="",0,SUMIF(GL_Data!$S$8:$S$5007,27009,GL_Data!$P$8:$P$5007))</f>
        <v>0</v>
      </c>
      <c r="O32" s="87" t="n">
        <f aca="false">IF($A32="",0,SUMIF(GL_Data!$S$8:$S$5007,27010,GL_Data!$P$8:$P$5007))</f>
        <v>0</v>
      </c>
      <c r="P32" s="87" t="n">
        <f aca="false">IF($A32="",0,SUMIF(GL_Data!$S$8:$S$5007,27011,GL_Data!$P$8:$P$5007))</f>
        <v>0</v>
      </c>
      <c r="Q32" s="87" t="n">
        <f aca="false">IF($A32="",0,SUMIF(GL_Data!$S$8:$S$5007,27012,GL_Data!$P$8:$P$5007))</f>
        <v>0</v>
      </c>
      <c r="R32" s="88" t="n">
        <f aca="false">IF($A32="",0,SUMIF(GL_Data!$S$8:$S$5007,27101,GL_Data!$P$8:$P$5007))</f>
        <v>0</v>
      </c>
      <c r="S32" s="88" t="n">
        <f aca="false">IF($A32="",0,SUMIF(GL_Data!$S$8:$S$5007,27102,GL_Data!$P$8:$P$5007))</f>
        <v>0</v>
      </c>
      <c r="T32" s="88" t="n">
        <f aca="false">IF($A32="",0,SUMIF(GL_Data!$S$8:$S$5007,27103,GL_Data!$P$8:$P$5007))</f>
        <v>0</v>
      </c>
      <c r="U32" s="88" t="n">
        <f aca="false">IF($A32="",0,SUMIF(GL_Data!$S$8:$S$5007,27104,GL_Data!$P$8:$P$5007))</f>
        <v>0</v>
      </c>
      <c r="V32" s="88" t="n">
        <f aca="false">IF($A32="",0,SUMIF(GL_Data!$S$8:$S$5007,27105,GL_Data!$P$8:$P$5007))</f>
        <v>0</v>
      </c>
      <c r="W32" s="88" t="n">
        <f aca="false">IF($A32="",0,SUMIF(GL_Data!$S$8:$S$5007,27106,GL_Data!$P$8:$P$5007))</f>
        <v>0</v>
      </c>
      <c r="X32" s="88" t="n">
        <f aca="false">IF($A32="",0,SUMIF(GL_Data!$S$8:$S$5007,27107,GL_Data!$P$8:$P$5007))</f>
        <v>0</v>
      </c>
      <c r="Y32" s="88" t="n">
        <f aca="false">IF($A32="",0,SUMIF(GL_Data!$S$8:$S$5007,27108,GL_Data!$P$8:$P$5007))</f>
        <v>0</v>
      </c>
      <c r="Z32" s="88" t="n">
        <f aca="false">IF($A32="",0,SUMIF(GL_Data!$S$8:$S$5007,27109,GL_Data!$P$8:$P$5007))</f>
        <v>0</v>
      </c>
      <c r="AA32" s="88" t="n">
        <f aca="false">IF($A32="",0,SUMIF(GL_Data!$S$8:$S$5007,27110,GL_Data!$P$8:$P$5007))</f>
        <v>0</v>
      </c>
      <c r="AB32" s="88" t="n">
        <f aca="false">IF($A32="",0,SUMIF(GL_Data!$S$8:$S$5007,27111,GL_Data!$P$8:$P$5007))</f>
        <v>0</v>
      </c>
      <c r="AC32" s="88" t="n">
        <f aca="false">IF($A32="",0,SUMIF(GL_Data!$S$8:$S$5007,27112,GL_Data!$P$8:$P$5007))</f>
        <v>0</v>
      </c>
      <c r="AD32" s="89" t="n">
        <f aca="false">IF($A32="",0,INDEX($F32:$AC32,12+Setup!$B$8))</f>
        <v>0</v>
      </c>
      <c r="AE32" s="90" t="n">
        <f aca="false">IF($A32="",0,INDEX($F32:$AC32,Setup!$B$8))</f>
        <v>0</v>
      </c>
      <c r="AF32" s="90" t="n">
        <f aca="false">IF($A32="",0,INDEX($F32:$AC32,11+Setup!$B$8))</f>
        <v>0</v>
      </c>
      <c r="AG32" s="90" t="n">
        <f aca="false">IF($A32="",0,AVERAGE(INDEX($F32:$AC32,9+Setup!$B$8):INDEX($F32:$AC32,11+Setup!$B$8)))</f>
        <v>0</v>
      </c>
      <c r="AH32" s="89" t="n">
        <f aca="false">IF($A32="",0,SUMPRODUCT(($R$3:$AC$3&lt;=Setup!$B$8)*$R32:$AC32))</f>
        <v>0</v>
      </c>
      <c r="AI32" s="90" t="n">
        <f aca="false">IF($A32="",0,SUMPRODUCT(($F$3:$Q$3&lt;=Setup!$B$8)*$F32:$Q32))</f>
        <v>0</v>
      </c>
      <c r="AJ32" s="90" t="n">
        <f aca="false">IF($A32="",0,SUM($F32:$Q32))</f>
        <v>0</v>
      </c>
      <c r="AK32" s="90" t="n">
        <f aca="false">IF($A32="",0,SUM($R32:$AC32))</f>
        <v>0</v>
      </c>
      <c r="AL32" s="91" t="n">
        <f aca="false">IF($A32="",0,IF(SUMPRODUCT(ABS($F32:$AC32))&gt;0,1,0))</f>
        <v>0</v>
      </c>
    </row>
    <row r="33" customFormat="false" ht="15" hidden="false" customHeight="false" outlineLevel="0" collapsed="false">
      <c r="A33" s="68" t="str">
        <f aca="false">IF(COA_Mapping!$A34="","",COA_Mapping!$A34)</f>
        <v>Miscellaneous Income</v>
      </c>
      <c r="B33" s="68" t="str">
        <f aca="false">IF($A33="","",COA_Mapping!$C34)</f>
        <v>Income</v>
      </c>
      <c r="C33" s="68" t="str">
        <f aca="false">IF($A33="","",COA_Mapping!$E34)</f>
        <v>P&amp;L</v>
      </c>
      <c r="D33" s="68" t="str">
        <f aca="false">IF($A33="","",COA_Mapping!$D34)</f>
        <v>Unallocated</v>
      </c>
      <c r="E33" s="86" t="n">
        <f aca="false">IF($A33="",1,COA_Mapping!$F34)</f>
        <v>-1</v>
      </c>
      <c r="F33" s="87" t="n">
        <f aca="false">IF($A33="",0,SUMIF(GL_Data!$S$8:$S$5007,28001,GL_Data!$P$8:$P$5007))</f>
        <v>0</v>
      </c>
      <c r="G33" s="87" t="n">
        <f aca="false">IF($A33="",0,SUMIF(GL_Data!$S$8:$S$5007,28002,GL_Data!$P$8:$P$5007))</f>
        <v>0</v>
      </c>
      <c r="H33" s="87" t="n">
        <f aca="false">IF($A33="",0,SUMIF(GL_Data!$S$8:$S$5007,28003,GL_Data!$P$8:$P$5007))</f>
        <v>0</v>
      </c>
      <c r="I33" s="87" t="n">
        <f aca="false">IF($A33="",0,SUMIF(GL_Data!$S$8:$S$5007,28004,GL_Data!$P$8:$P$5007))</f>
        <v>0</v>
      </c>
      <c r="J33" s="87" t="n">
        <f aca="false">IF($A33="",0,SUMIF(GL_Data!$S$8:$S$5007,28005,GL_Data!$P$8:$P$5007))</f>
        <v>0</v>
      </c>
      <c r="K33" s="87" t="n">
        <f aca="false">IF($A33="",0,SUMIF(GL_Data!$S$8:$S$5007,28006,GL_Data!$P$8:$P$5007))</f>
        <v>0</v>
      </c>
      <c r="L33" s="87" t="n">
        <f aca="false">IF($A33="",0,SUMIF(GL_Data!$S$8:$S$5007,28007,GL_Data!$P$8:$P$5007))</f>
        <v>0</v>
      </c>
      <c r="M33" s="87" t="n">
        <f aca="false">IF($A33="",0,SUMIF(GL_Data!$S$8:$S$5007,28008,GL_Data!$P$8:$P$5007))</f>
        <v>0</v>
      </c>
      <c r="N33" s="87" t="n">
        <f aca="false">IF($A33="",0,SUMIF(GL_Data!$S$8:$S$5007,28009,GL_Data!$P$8:$P$5007))</f>
        <v>0</v>
      </c>
      <c r="O33" s="87" t="n">
        <f aca="false">IF($A33="",0,SUMIF(GL_Data!$S$8:$S$5007,28010,GL_Data!$P$8:$P$5007))</f>
        <v>0</v>
      </c>
      <c r="P33" s="87" t="n">
        <f aca="false">IF($A33="",0,SUMIF(GL_Data!$S$8:$S$5007,28011,GL_Data!$P$8:$P$5007))</f>
        <v>0</v>
      </c>
      <c r="Q33" s="87" t="n">
        <f aca="false">IF($A33="",0,SUMIF(GL_Data!$S$8:$S$5007,28012,GL_Data!$P$8:$P$5007))</f>
        <v>0</v>
      </c>
      <c r="R33" s="88" t="n">
        <f aca="false">IF($A33="",0,SUMIF(GL_Data!$S$8:$S$5007,28101,GL_Data!$P$8:$P$5007))</f>
        <v>0</v>
      </c>
      <c r="S33" s="88" t="n">
        <f aca="false">IF($A33="",0,SUMIF(GL_Data!$S$8:$S$5007,28102,GL_Data!$P$8:$P$5007))</f>
        <v>0</v>
      </c>
      <c r="T33" s="88" t="n">
        <f aca="false">IF($A33="",0,SUMIF(GL_Data!$S$8:$S$5007,28103,GL_Data!$P$8:$P$5007))</f>
        <v>0</v>
      </c>
      <c r="U33" s="88" t="n">
        <f aca="false">IF($A33="",0,SUMIF(GL_Data!$S$8:$S$5007,28104,GL_Data!$P$8:$P$5007))</f>
        <v>0</v>
      </c>
      <c r="V33" s="88" t="n">
        <f aca="false">IF($A33="",0,SUMIF(GL_Data!$S$8:$S$5007,28105,GL_Data!$P$8:$P$5007))</f>
        <v>0</v>
      </c>
      <c r="W33" s="88" t="n">
        <f aca="false">IF($A33="",0,SUMIF(GL_Data!$S$8:$S$5007,28106,GL_Data!$P$8:$P$5007))</f>
        <v>0</v>
      </c>
      <c r="X33" s="88" t="n">
        <f aca="false">IF($A33="",0,SUMIF(GL_Data!$S$8:$S$5007,28107,GL_Data!$P$8:$P$5007))</f>
        <v>0</v>
      </c>
      <c r="Y33" s="88" t="n">
        <f aca="false">IF($A33="",0,SUMIF(GL_Data!$S$8:$S$5007,28108,GL_Data!$P$8:$P$5007))</f>
        <v>0</v>
      </c>
      <c r="Z33" s="88" t="n">
        <f aca="false">IF($A33="",0,SUMIF(GL_Data!$S$8:$S$5007,28109,GL_Data!$P$8:$P$5007))</f>
        <v>0</v>
      </c>
      <c r="AA33" s="88" t="n">
        <f aca="false">IF($A33="",0,SUMIF(GL_Data!$S$8:$S$5007,28110,GL_Data!$P$8:$P$5007))</f>
        <v>0</v>
      </c>
      <c r="AB33" s="88" t="n">
        <f aca="false">IF($A33="",0,SUMIF(GL_Data!$S$8:$S$5007,28111,GL_Data!$P$8:$P$5007))</f>
        <v>0</v>
      </c>
      <c r="AC33" s="88" t="n">
        <f aca="false">IF($A33="",0,SUMIF(GL_Data!$S$8:$S$5007,28112,GL_Data!$P$8:$P$5007))</f>
        <v>0</v>
      </c>
      <c r="AD33" s="89" t="n">
        <f aca="false">IF($A33="",0,INDEX($F33:$AC33,12+Setup!$B$8))</f>
        <v>0</v>
      </c>
      <c r="AE33" s="90" t="n">
        <f aca="false">IF($A33="",0,INDEX($F33:$AC33,Setup!$B$8))</f>
        <v>0</v>
      </c>
      <c r="AF33" s="90" t="n">
        <f aca="false">IF($A33="",0,INDEX($F33:$AC33,11+Setup!$B$8))</f>
        <v>0</v>
      </c>
      <c r="AG33" s="90" t="n">
        <f aca="false">IF($A33="",0,AVERAGE(INDEX($F33:$AC33,9+Setup!$B$8):INDEX($F33:$AC33,11+Setup!$B$8)))</f>
        <v>0</v>
      </c>
      <c r="AH33" s="89" t="n">
        <f aca="false">IF($A33="",0,SUMPRODUCT(($R$3:$AC$3&lt;=Setup!$B$8)*$R33:$AC33))</f>
        <v>0</v>
      </c>
      <c r="AI33" s="90" t="n">
        <f aca="false">IF($A33="",0,SUMPRODUCT(($F$3:$Q$3&lt;=Setup!$B$8)*$F33:$Q33))</f>
        <v>0</v>
      </c>
      <c r="AJ33" s="90" t="n">
        <f aca="false">IF($A33="",0,SUM($F33:$Q33))</f>
        <v>0</v>
      </c>
      <c r="AK33" s="90" t="n">
        <f aca="false">IF($A33="",0,SUM($R33:$AC33))</f>
        <v>0</v>
      </c>
      <c r="AL33" s="91" t="n">
        <f aca="false">IF($A33="",0,IF(SUMPRODUCT(ABS($F33:$AC33))&gt;0,1,0))</f>
        <v>0</v>
      </c>
    </row>
    <row r="34" customFormat="false" ht="15" hidden="false" customHeight="false" outlineLevel="0" collapsed="false">
      <c r="A34" s="68" t="str">
        <f aca="false">IF(COA_Mapping!$A35="","",COA_Mapping!$A35)</f>
        <v>Mobile Phone Plans</v>
      </c>
      <c r="B34" s="68" t="str">
        <f aca="false">IF($A34="","",COA_Mapping!$C35)</f>
        <v>Income</v>
      </c>
      <c r="C34" s="68" t="str">
        <f aca="false">IF($A34="","",COA_Mapping!$E35)</f>
        <v>P&amp;L</v>
      </c>
      <c r="D34" s="68" t="str">
        <f aca="false">IF($A34="","",COA_Mapping!$D35)</f>
        <v>Unallocated</v>
      </c>
      <c r="E34" s="86" t="n">
        <f aca="false">IF($A34="",1,COA_Mapping!$F35)</f>
        <v>-1</v>
      </c>
      <c r="F34" s="87" t="n">
        <f aca="false">IF($A34="",0,SUMIF(GL_Data!$S$8:$S$5007,29001,GL_Data!$P$8:$P$5007))</f>
        <v>0</v>
      </c>
      <c r="G34" s="87" t="n">
        <f aca="false">IF($A34="",0,SUMIF(GL_Data!$S$8:$S$5007,29002,GL_Data!$P$8:$P$5007))</f>
        <v>0</v>
      </c>
      <c r="H34" s="87" t="n">
        <f aca="false">IF($A34="",0,SUMIF(GL_Data!$S$8:$S$5007,29003,GL_Data!$P$8:$P$5007))</f>
        <v>0</v>
      </c>
      <c r="I34" s="87" t="n">
        <f aca="false">IF($A34="",0,SUMIF(GL_Data!$S$8:$S$5007,29004,GL_Data!$P$8:$P$5007))</f>
        <v>0</v>
      </c>
      <c r="J34" s="87" t="n">
        <f aca="false">IF($A34="",0,SUMIF(GL_Data!$S$8:$S$5007,29005,GL_Data!$P$8:$P$5007))</f>
        <v>0</v>
      </c>
      <c r="K34" s="87" t="n">
        <f aca="false">IF($A34="",0,SUMIF(GL_Data!$S$8:$S$5007,29006,GL_Data!$P$8:$P$5007))</f>
        <v>0</v>
      </c>
      <c r="L34" s="87" t="n">
        <f aca="false">IF($A34="",0,SUMIF(GL_Data!$S$8:$S$5007,29007,GL_Data!$P$8:$P$5007))</f>
        <v>0</v>
      </c>
      <c r="M34" s="87" t="n">
        <f aca="false">IF($A34="",0,SUMIF(GL_Data!$S$8:$S$5007,29008,GL_Data!$P$8:$P$5007))</f>
        <v>0</v>
      </c>
      <c r="N34" s="87" t="n">
        <f aca="false">IF($A34="",0,SUMIF(GL_Data!$S$8:$S$5007,29009,GL_Data!$P$8:$P$5007))</f>
        <v>0</v>
      </c>
      <c r="O34" s="87" t="n">
        <f aca="false">IF($A34="",0,SUMIF(GL_Data!$S$8:$S$5007,29010,GL_Data!$P$8:$P$5007))</f>
        <v>0</v>
      </c>
      <c r="P34" s="87" t="n">
        <f aca="false">IF($A34="",0,SUMIF(GL_Data!$S$8:$S$5007,29011,GL_Data!$P$8:$P$5007))</f>
        <v>0</v>
      </c>
      <c r="Q34" s="87" t="n">
        <f aca="false">IF($A34="",0,SUMIF(GL_Data!$S$8:$S$5007,29012,GL_Data!$P$8:$P$5007))</f>
        <v>0</v>
      </c>
      <c r="R34" s="88" t="n">
        <f aca="false">IF($A34="",0,SUMIF(GL_Data!$S$8:$S$5007,29101,GL_Data!$P$8:$P$5007))</f>
        <v>0</v>
      </c>
      <c r="S34" s="88" t="n">
        <f aca="false">IF($A34="",0,SUMIF(GL_Data!$S$8:$S$5007,29102,GL_Data!$P$8:$P$5007))</f>
        <v>0</v>
      </c>
      <c r="T34" s="88" t="n">
        <f aca="false">IF($A34="",0,SUMIF(GL_Data!$S$8:$S$5007,29103,GL_Data!$P$8:$P$5007))</f>
        <v>0</v>
      </c>
      <c r="U34" s="88" t="n">
        <f aca="false">IF($A34="",0,SUMIF(GL_Data!$S$8:$S$5007,29104,GL_Data!$P$8:$P$5007))</f>
        <v>0</v>
      </c>
      <c r="V34" s="88" t="n">
        <f aca="false">IF($A34="",0,SUMIF(GL_Data!$S$8:$S$5007,29105,GL_Data!$P$8:$P$5007))</f>
        <v>0</v>
      </c>
      <c r="W34" s="88" t="n">
        <f aca="false">IF($A34="",0,SUMIF(GL_Data!$S$8:$S$5007,29106,GL_Data!$P$8:$P$5007))</f>
        <v>0</v>
      </c>
      <c r="X34" s="88" t="n">
        <f aca="false">IF($A34="",0,SUMIF(GL_Data!$S$8:$S$5007,29107,GL_Data!$P$8:$P$5007))</f>
        <v>0</v>
      </c>
      <c r="Y34" s="88" t="n">
        <f aca="false">IF($A34="",0,SUMIF(GL_Data!$S$8:$S$5007,29108,GL_Data!$P$8:$P$5007))</f>
        <v>0</v>
      </c>
      <c r="Z34" s="88" t="n">
        <f aca="false">IF($A34="",0,SUMIF(GL_Data!$S$8:$S$5007,29109,GL_Data!$P$8:$P$5007))</f>
        <v>0</v>
      </c>
      <c r="AA34" s="88" t="n">
        <f aca="false">IF($A34="",0,SUMIF(GL_Data!$S$8:$S$5007,29110,GL_Data!$P$8:$P$5007))</f>
        <v>0</v>
      </c>
      <c r="AB34" s="88" t="n">
        <f aca="false">IF($A34="",0,SUMIF(GL_Data!$S$8:$S$5007,29111,GL_Data!$P$8:$P$5007))</f>
        <v>0</v>
      </c>
      <c r="AC34" s="88" t="n">
        <f aca="false">IF($A34="",0,SUMIF(GL_Data!$S$8:$S$5007,29112,GL_Data!$P$8:$P$5007))</f>
        <v>0</v>
      </c>
      <c r="AD34" s="89" t="n">
        <f aca="false">IF($A34="",0,INDEX($F34:$AC34,12+Setup!$B$8))</f>
        <v>0</v>
      </c>
      <c r="AE34" s="90" t="n">
        <f aca="false">IF($A34="",0,INDEX($F34:$AC34,Setup!$B$8))</f>
        <v>0</v>
      </c>
      <c r="AF34" s="90" t="n">
        <f aca="false">IF($A34="",0,INDEX($F34:$AC34,11+Setup!$B$8))</f>
        <v>0</v>
      </c>
      <c r="AG34" s="90" t="n">
        <f aca="false">IF($A34="",0,AVERAGE(INDEX($F34:$AC34,9+Setup!$B$8):INDEX($F34:$AC34,11+Setup!$B$8)))</f>
        <v>0</v>
      </c>
      <c r="AH34" s="89" t="n">
        <f aca="false">IF($A34="",0,SUMPRODUCT(($R$3:$AC$3&lt;=Setup!$B$8)*$R34:$AC34))</f>
        <v>0</v>
      </c>
      <c r="AI34" s="90" t="n">
        <f aca="false">IF($A34="",0,SUMPRODUCT(($F$3:$Q$3&lt;=Setup!$B$8)*$F34:$Q34))</f>
        <v>0</v>
      </c>
      <c r="AJ34" s="90" t="n">
        <f aca="false">IF($A34="",0,SUM($F34:$Q34))</f>
        <v>0</v>
      </c>
      <c r="AK34" s="90" t="n">
        <f aca="false">IF($A34="",0,SUM($R34:$AC34))</f>
        <v>0</v>
      </c>
      <c r="AL34" s="91" t="n">
        <f aca="false">IF($A34="",0,IF(SUMPRODUCT(ABS($F34:$AC34))&gt;0,1,0))</f>
        <v>0</v>
      </c>
    </row>
    <row r="35" customFormat="false" ht="15" hidden="false" customHeight="false" outlineLevel="0" collapsed="false">
      <c r="A35" s="68" t="str">
        <f aca="false">IF(COA_Mapping!$A36="","",COA_Mapping!$A36)</f>
        <v>Opening Work in Progress</v>
      </c>
      <c r="B35" s="68" t="str">
        <f aca="false">IF($A35="","",COA_Mapping!$C36)</f>
        <v>Income</v>
      </c>
      <c r="C35" s="68" t="str">
        <f aca="false">IF($A35="","",COA_Mapping!$E36)</f>
        <v>P&amp;L</v>
      </c>
      <c r="D35" s="68" t="str">
        <f aca="false">IF($A35="","",COA_Mapping!$D36)</f>
        <v>Unallocated</v>
      </c>
      <c r="E35" s="86" t="n">
        <f aca="false">IF($A35="",1,COA_Mapping!$F36)</f>
        <v>-1</v>
      </c>
      <c r="F35" s="87" t="n">
        <f aca="false">IF($A35="",0,SUMIF(GL_Data!$S$8:$S$5007,30001,GL_Data!$P$8:$P$5007))</f>
        <v>0</v>
      </c>
      <c r="G35" s="87" t="n">
        <f aca="false">IF($A35="",0,SUMIF(GL_Data!$S$8:$S$5007,30002,GL_Data!$P$8:$P$5007))</f>
        <v>0</v>
      </c>
      <c r="H35" s="87" t="n">
        <f aca="false">IF($A35="",0,SUMIF(GL_Data!$S$8:$S$5007,30003,GL_Data!$P$8:$P$5007))</f>
        <v>0</v>
      </c>
      <c r="I35" s="87" t="n">
        <f aca="false">IF($A35="",0,SUMIF(GL_Data!$S$8:$S$5007,30004,GL_Data!$P$8:$P$5007))</f>
        <v>0</v>
      </c>
      <c r="J35" s="87" t="n">
        <f aca="false">IF($A35="",0,SUMIF(GL_Data!$S$8:$S$5007,30005,GL_Data!$P$8:$P$5007))</f>
        <v>0</v>
      </c>
      <c r="K35" s="87" t="n">
        <f aca="false">IF($A35="",0,SUMIF(GL_Data!$S$8:$S$5007,30006,GL_Data!$P$8:$P$5007))</f>
        <v>0</v>
      </c>
      <c r="L35" s="87" t="n">
        <f aca="false">IF($A35="",0,SUMIF(GL_Data!$S$8:$S$5007,30007,GL_Data!$P$8:$P$5007))</f>
        <v>0</v>
      </c>
      <c r="M35" s="87" t="n">
        <f aca="false">IF($A35="",0,SUMIF(GL_Data!$S$8:$S$5007,30008,GL_Data!$P$8:$P$5007))</f>
        <v>0</v>
      </c>
      <c r="N35" s="87" t="n">
        <f aca="false">IF($A35="",0,SUMIF(GL_Data!$S$8:$S$5007,30009,GL_Data!$P$8:$P$5007))</f>
        <v>0</v>
      </c>
      <c r="O35" s="87" t="n">
        <f aca="false">IF($A35="",0,SUMIF(GL_Data!$S$8:$S$5007,30010,GL_Data!$P$8:$P$5007))</f>
        <v>0</v>
      </c>
      <c r="P35" s="87" t="n">
        <f aca="false">IF($A35="",0,SUMIF(GL_Data!$S$8:$S$5007,30011,GL_Data!$P$8:$P$5007))</f>
        <v>0</v>
      </c>
      <c r="Q35" s="87" t="n">
        <f aca="false">IF($A35="",0,SUMIF(GL_Data!$S$8:$S$5007,30012,GL_Data!$P$8:$P$5007))</f>
        <v>0</v>
      </c>
      <c r="R35" s="88" t="n">
        <f aca="false">IF($A35="",0,SUMIF(GL_Data!$S$8:$S$5007,30101,GL_Data!$P$8:$P$5007))</f>
        <v>0</v>
      </c>
      <c r="S35" s="88" t="n">
        <f aca="false">IF($A35="",0,SUMIF(GL_Data!$S$8:$S$5007,30102,GL_Data!$P$8:$P$5007))</f>
        <v>0</v>
      </c>
      <c r="T35" s="88" t="n">
        <f aca="false">IF($A35="",0,SUMIF(GL_Data!$S$8:$S$5007,30103,GL_Data!$P$8:$P$5007))</f>
        <v>0</v>
      </c>
      <c r="U35" s="88" t="n">
        <f aca="false">IF($A35="",0,SUMIF(GL_Data!$S$8:$S$5007,30104,GL_Data!$P$8:$P$5007))</f>
        <v>0</v>
      </c>
      <c r="V35" s="88" t="n">
        <f aca="false">IF($A35="",0,SUMIF(GL_Data!$S$8:$S$5007,30105,GL_Data!$P$8:$P$5007))</f>
        <v>0</v>
      </c>
      <c r="W35" s="88" t="n">
        <f aca="false">IF($A35="",0,SUMIF(GL_Data!$S$8:$S$5007,30106,GL_Data!$P$8:$P$5007))</f>
        <v>0</v>
      </c>
      <c r="X35" s="88" t="n">
        <f aca="false">IF($A35="",0,SUMIF(GL_Data!$S$8:$S$5007,30107,GL_Data!$P$8:$P$5007))</f>
        <v>0</v>
      </c>
      <c r="Y35" s="88" t="n">
        <f aca="false">IF($A35="",0,SUMIF(GL_Data!$S$8:$S$5007,30108,GL_Data!$P$8:$P$5007))</f>
        <v>0</v>
      </c>
      <c r="Z35" s="88" t="n">
        <f aca="false">IF($A35="",0,SUMIF(GL_Data!$S$8:$S$5007,30109,GL_Data!$P$8:$P$5007))</f>
        <v>0</v>
      </c>
      <c r="AA35" s="88" t="n">
        <f aca="false">IF($A35="",0,SUMIF(GL_Data!$S$8:$S$5007,30110,GL_Data!$P$8:$P$5007))</f>
        <v>0</v>
      </c>
      <c r="AB35" s="88" t="n">
        <f aca="false">IF($A35="",0,SUMIF(GL_Data!$S$8:$S$5007,30111,GL_Data!$P$8:$P$5007))</f>
        <v>0</v>
      </c>
      <c r="AC35" s="88" t="n">
        <f aca="false">IF($A35="",0,SUMIF(GL_Data!$S$8:$S$5007,30112,GL_Data!$P$8:$P$5007))</f>
        <v>0</v>
      </c>
      <c r="AD35" s="89" t="n">
        <f aca="false">IF($A35="",0,INDEX($F35:$AC35,12+Setup!$B$8))</f>
        <v>0</v>
      </c>
      <c r="AE35" s="90" t="n">
        <f aca="false">IF($A35="",0,INDEX($F35:$AC35,Setup!$B$8))</f>
        <v>0</v>
      </c>
      <c r="AF35" s="90" t="n">
        <f aca="false">IF($A35="",0,INDEX($F35:$AC35,11+Setup!$B$8))</f>
        <v>0</v>
      </c>
      <c r="AG35" s="90" t="n">
        <f aca="false">IF($A35="",0,AVERAGE(INDEX($F35:$AC35,9+Setup!$B$8):INDEX($F35:$AC35,11+Setup!$B$8)))</f>
        <v>0</v>
      </c>
      <c r="AH35" s="89" t="n">
        <f aca="false">IF($A35="",0,SUMPRODUCT(($R$3:$AC$3&lt;=Setup!$B$8)*$R35:$AC35))</f>
        <v>0</v>
      </c>
      <c r="AI35" s="90" t="n">
        <f aca="false">IF($A35="",0,SUMPRODUCT(($F$3:$Q$3&lt;=Setup!$B$8)*$F35:$Q35))</f>
        <v>0</v>
      </c>
      <c r="AJ35" s="90" t="n">
        <f aca="false">IF($A35="",0,SUM($F35:$Q35))</f>
        <v>0</v>
      </c>
      <c r="AK35" s="90" t="n">
        <f aca="false">IF($A35="",0,SUM($R35:$AC35))</f>
        <v>0</v>
      </c>
      <c r="AL35" s="91" t="n">
        <f aca="false">IF($A35="",0,IF(SUMPRODUCT(ABS($F35:$AC35))&gt;0,1,0))</f>
        <v>0</v>
      </c>
    </row>
    <row r="36" customFormat="false" ht="15" hidden="false" customHeight="false" outlineLevel="0" collapsed="false">
      <c r="A36" s="68" t="str">
        <f aca="false">IF(COA_Mapping!$A37="","",COA_Mapping!$A37)</f>
        <v>Production Labour</v>
      </c>
      <c r="B36" s="68" t="str">
        <f aca="false">IF($A36="","",COA_Mapping!$C37)</f>
        <v>Income</v>
      </c>
      <c r="C36" s="68" t="str">
        <f aca="false">IF($A36="","",COA_Mapping!$E37)</f>
        <v>P&amp;L</v>
      </c>
      <c r="D36" s="68" t="str">
        <f aca="false">IF($A36="","",COA_Mapping!$D37)</f>
        <v>Unallocated</v>
      </c>
      <c r="E36" s="86" t="n">
        <f aca="false">IF($A36="",1,COA_Mapping!$F37)</f>
        <v>-1</v>
      </c>
      <c r="F36" s="87" t="n">
        <f aca="false">IF($A36="",0,SUMIF(GL_Data!$S$8:$S$5007,31001,GL_Data!$P$8:$P$5007))</f>
        <v>0</v>
      </c>
      <c r="G36" s="87" t="n">
        <f aca="false">IF($A36="",0,SUMIF(GL_Data!$S$8:$S$5007,31002,GL_Data!$P$8:$P$5007))</f>
        <v>0</v>
      </c>
      <c r="H36" s="87" t="n">
        <f aca="false">IF($A36="",0,SUMIF(GL_Data!$S$8:$S$5007,31003,GL_Data!$P$8:$P$5007))</f>
        <v>0</v>
      </c>
      <c r="I36" s="87" t="n">
        <f aca="false">IF($A36="",0,SUMIF(GL_Data!$S$8:$S$5007,31004,GL_Data!$P$8:$P$5007))</f>
        <v>0</v>
      </c>
      <c r="J36" s="87" t="n">
        <f aca="false">IF($A36="",0,SUMIF(GL_Data!$S$8:$S$5007,31005,GL_Data!$P$8:$P$5007))</f>
        <v>0</v>
      </c>
      <c r="K36" s="87" t="n">
        <f aca="false">IF($A36="",0,SUMIF(GL_Data!$S$8:$S$5007,31006,GL_Data!$P$8:$P$5007))</f>
        <v>0</v>
      </c>
      <c r="L36" s="87" t="n">
        <f aca="false">IF($A36="",0,SUMIF(GL_Data!$S$8:$S$5007,31007,GL_Data!$P$8:$P$5007))</f>
        <v>0</v>
      </c>
      <c r="M36" s="87" t="n">
        <f aca="false">IF($A36="",0,SUMIF(GL_Data!$S$8:$S$5007,31008,GL_Data!$P$8:$P$5007))</f>
        <v>0</v>
      </c>
      <c r="N36" s="87" t="n">
        <f aca="false">IF($A36="",0,SUMIF(GL_Data!$S$8:$S$5007,31009,GL_Data!$P$8:$P$5007))</f>
        <v>0</v>
      </c>
      <c r="O36" s="87" t="n">
        <f aca="false">IF($A36="",0,SUMIF(GL_Data!$S$8:$S$5007,31010,GL_Data!$P$8:$P$5007))</f>
        <v>0</v>
      </c>
      <c r="P36" s="87" t="n">
        <f aca="false">IF($A36="",0,SUMIF(GL_Data!$S$8:$S$5007,31011,GL_Data!$P$8:$P$5007))</f>
        <v>0</v>
      </c>
      <c r="Q36" s="87" t="n">
        <f aca="false">IF($A36="",0,SUMIF(GL_Data!$S$8:$S$5007,31012,GL_Data!$P$8:$P$5007))</f>
        <v>0</v>
      </c>
      <c r="R36" s="88" t="n">
        <f aca="false">IF($A36="",0,SUMIF(GL_Data!$S$8:$S$5007,31101,GL_Data!$P$8:$P$5007))</f>
        <v>0</v>
      </c>
      <c r="S36" s="88" t="n">
        <f aca="false">IF($A36="",0,SUMIF(GL_Data!$S$8:$S$5007,31102,GL_Data!$P$8:$P$5007))</f>
        <v>0</v>
      </c>
      <c r="T36" s="88" t="n">
        <f aca="false">IF($A36="",0,SUMIF(GL_Data!$S$8:$S$5007,31103,GL_Data!$P$8:$P$5007))</f>
        <v>0</v>
      </c>
      <c r="U36" s="88" t="n">
        <f aca="false">IF($A36="",0,SUMIF(GL_Data!$S$8:$S$5007,31104,GL_Data!$P$8:$P$5007))</f>
        <v>0</v>
      </c>
      <c r="V36" s="88" t="n">
        <f aca="false">IF($A36="",0,SUMIF(GL_Data!$S$8:$S$5007,31105,GL_Data!$P$8:$P$5007))</f>
        <v>0</v>
      </c>
      <c r="W36" s="88" t="n">
        <f aca="false">IF($A36="",0,SUMIF(GL_Data!$S$8:$S$5007,31106,GL_Data!$P$8:$P$5007))</f>
        <v>0</v>
      </c>
      <c r="X36" s="88" t="n">
        <f aca="false">IF($A36="",0,SUMIF(GL_Data!$S$8:$S$5007,31107,GL_Data!$P$8:$P$5007))</f>
        <v>0</v>
      </c>
      <c r="Y36" s="88" t="n">
        <f aca="false">IF($A36="",0,SUMIF(GL_Data!$S$8:$S$5007,31108,GL_Data!$P$8:$P$5007))</f>
        <v>0</v>
      </c>
      <c r="Z36" s="88" t="n">
        <f aca="false">IF($A36="",0,SUMIF(GL_Data!$S$8:$S$5007,31109,GL_Data!$P$8:$P$5007))</f>
        <v>0</v>
      </c>
      <c r="AA36" s="88" t="n">
        <f aca="false">IF($A36="",0,SUMIF(GL_Data!$S$8:$S$5007,31110,GL_Data!$P$8:$P$5007))</f>
        <v>0</v>
      </c>
      <c r="AB36" s="88" t="n">
        <f aca="false">IF($A36="",0,SUMIF(GL_Data!$S$8:$S$5007,31111,GL_Data!$P$8:$P$5007))</f>
        <v>0</v>
      </c>
      <c r="AC36" s="88" t="n">
        <f aca="false">IF($A36="",0,SUMIF(GL_Data!$S$8:$S$5007,31112,GL_Data!$P$8:$P$5007))</f>
        <v>0</v>
      </c>
      <c r="AD36" s="89" t="n">
        <f aca="false">IF($A36="",0,INDEX($F36:$AC36,12+Setup!$B$8))</f>
        <v>0</v>
      </c>
      <c r="AE36" s="90" t="n">
        <f aca="false">IF($A36="",0,INDEX($F36:$AC36,Setup!$B$8))</f>
        <v>0</v>
      </c>
      <c r="AF36" s="90" t="n">
        <f aca="false">IF($A36="",0,INDEX($F36:$AC36,11+Setup!$B$8))</f>
        <v>0</v>
      </c>
      <c r="AG36" s="90" t="n">
        <f aca="false">IF($A36="",0,AVERAGE(INDEX($F36:$AC36,9+Setup!$B$8):INDEX($F36:$AC36,11+Setup!$B$8)))</f>
        <v>0</v>
      </c>
      <c r="AH36" s="89" t="n">
        <f aca="false">IF($A36="",0,SUMPRODUCT(($R$3:$AC$3&lt;=Setup!$B$8)*$R36:$AC36))</f>
        <v>0</v>
      </c>
      <c r="AI36" s="90" t="n">
        <f aca="false">IF($A36="",0,SUMPRODUCT(($F$3:$Q$3&lt;=Setup!$B$8)*$F36:$Q36))</f>
        <v>0</v>
      </c>
      <c r="AJ36" s="90" t="n">
        <f aca="false">IF($A36="",0,SUM($F36:$Q36))</f>
        <v>0</v>
      </c>
      <c r="AK36" s="90" t="n">
        <f aca="false">IF($A36="",0,SUM($R36:$AC36))</f>
        <v>0</v>
      </c>
      <c r="AL36" s="91" t="n">
        <f aca="false">IF($A36="",0,IF(SUMPRODUCT(ABS($F36:$AC36))&gt;0,1,0))</f>
        <v>0</v>
      </c>
    </row>
    <row r="37" customFormat="false" ht="15" hidden="false" customHeight="false" outlineLevel="0" collapsed="false">
      <c r="A37" s="68" t="str">
        <f aca="false">IF(COA_Mapping!$A38="","",COA_Mapping!$A38)</f>
        <v>Subscriptions &amp; Licences - Income</v>
      </c>
      <c r="B37" s="68" t="str">
        <f aca="false">IF($A37="","",COA_Mapping!$C38)</f>
        <v>Income</v>
      </c>
      <c r="C37" s="68" t="str">
        <f aca="false">IF($A37="","",COA_Mapping!$E38)</f>
        <v>P&amp;L</v>
      </c>
      <c r="D37" s="68" t="str">
        <f aca="false">IF($A37="","",COA_Mapping!$D38)</f>
        <v>Unallocated</v>
      </c>
      <c r="E37" s="86" t="n">
        <f aca="false">IF($A37="",1,COA_Mapping!$F38)</f>
        <v>-1</v>
      </c>
      <c r="F37" s="87" t="n">
        <f aca="false">IF($A37="",0,SUMIF(GL_Data!$S$8:$S$5007,32001,GL_Data!$P$8:$P$5007))</f>
        <v>0</v>
      </c>
      <c r="G37" s="87" t="n">
        <f aca="false">IF($A37="",0,SUMIF(GL_Data!$S$8:$S$5007,32002,GL_Data!$P$8:$P$5007))</f>
        <v>0</v>
      </c>
      <c r="H37" s="87" t="n">
        <f aca="false">IF($A37="",0,SUMIF(GL_Data!$S$8:$S$5007,32003,GL_Data!$P$8:$P$5007))</f>
        <v>0</v>
      </c>
      <c r="I37" s="87" t="n">
        <f aca="false">IF($A37="",0,SUMIF(GL_Data!$S$8:$S$5007,32004,GL_Data!$P$8:$P$5007))</f>
        <v>0</v>
      </c>
      <c r="J37" s="87" t="n">
        <f aca="false">IF($A37="",0,SUMIF(GL_Data!$S$8:$S$5007,32005,GL_Data!$P$8:$P$5007))</f>
        <v>0</v>
      </c>
      <c r="K37" s="87" t="n">
        <f aca="false">IF($A37="",0,SUMIF(GL_Data!$S$8:$S$5007,32006,GL_Data!$P$8:$P$5007))</f>
        <v>0</v>
      </c>
      <c r="L37" s="87" t="n">
        <f aca="false">IF($A37="",0,SUMIF(GL_Data!$S$8:$S$5007,32007,GL_Data!$P$8:$P$5007))</f>
        <v>0</v>
      </c>
      <c r="M37" s="87" t="n">
        <f aca="false">IF($A37="",0,SUMIF(GL_Data!$S$8:$S$5007,32008,GL_Data!$P$8:$P$5007))</f>
        <v>0</v>
      </c>
      <c r="N37" s="87" t="n">
        <f aca="false">IF($A37="",0,SUMIF(GL_Data!$S$8:$S$5007,32009,GL_Data!$P$8:$P$5007))</f>
        <v>0</v>
      </c>
      <c r="O37" s="87" t="n">
        <f aca="false">IF($A37="",0,SUMIF(GL_Data!$S$8:$S$5007,32010,GL_Data!$P$8:$P$5007))</f>
        <v>0</v>
      </c>
      <c r="P37" s="87" t="n">
        <f aca="false">IF($A37="",0,SUMIF(GL_Data!$S$8:$S$5007,32011,GL_Data!$P$8:$P$5007))</f>
        <v>0</v>
      </c>
      <c r="Q37" s="87" t="n">
        <f aca="false">IF($A37="",0,SUMIF(GL_Data!$S$8:$S$5007,32012,GL_Data!$P$8:$P$5007))</f>
        <v>0</v>
      </c>
      <c r="R37" s="88" t="n">
        <f aca="false">IF($A37="",0,SUMIF(GL_Data!$S$8:$S$5007,32101,GL_Data!$P$8:$P$5007))</f>
        <v>0</v>
      </c>
      <c r="S37" s="88" t="n">
        <f aca="false">IF($A37="",0,SUMIF(GL_Data!$S$8:$S$5007,32102,GL_Data!$P$8:$P$5007))</f>
        <v>0</v>
      </c>
      <c r="T37" s="88" t="n">
        <f aca="false">IF($A37="",0,SUMIF(GL_Data!$S$8:$S$5007,32103,GL_Data!$P$8:$P$5007))</f>
        <v>0</v>
      </c>
      <c r="U37" s="88" t="n">
        <f aca="false">IF($A37="",0,SUMIF(GL_Data!$S$8:$S$5007,32104,GL_Data!$P$8:$P$5007))</f>
        <v>0</v>
      </c>
      <c r="V37" s="88" t="n">
        <f aca="false">IF($A37="",0,SUMIF(GL_Data!$S$8:$S$5007,32105,GL_Data!$P$8:$P$5007))</f>
        <v>0</v>
      </c>
      <c r="W37" s="88" t="n">
        <f aca="false">IF($A37="",0,SUMIF(GL_Data!$S$8:$S$5007,32106,GL_Data!$P$8:$P$5007))</f>
        <v>0</v>
      </c>
      <c r="X37" s="88" t="n">
        <f aca="false">IF($A37="",0,SUMIF(GL_Data!$S$8:$S$5007,32107,GL_Data!$P$8:$P$5007))</f>
        <v>0</v>
      </c>
      <c r="Y37" s="88" t="n">
        <f aca="false">IF($A37="",0,SUMIF(GL_Data!$S$8:$S$5007,32108,GL_Data!$P$8:$P$5007))</f>
        <v>0</v>
      </c>
      <c r="Z37" s="88" t="n">
        <f aca="false">IF($A37="",0,SUMIF(GL_Data!$S$8:$S$5007,32109,GL_Data!$P$8:$P$5007))</f>
        <v>0</v>
      </c>
      <c r="AA37" s="88" t="n">
        <f aca="false">IF($A37="",0,SUMIF(GL_Data!$S$8:$S$5007,32110,GL_Data!$P$8:$P$5007))</f>
        <v>0</v>
      </c>
      <c r="AB37" s="88" t="n">
        <f aca="false">IF($A37="",0,SUMIF(GL_Data!$S$8:$S$5007,32111,GL_Data!$P$8:$P$5007))</f>
        <v>0</v>
      </c>
      <c r="AC37" s="88" t="n">
        <f aca="false">IF($A37="",0,SUMIF(GL_Data!$S$8:$S$5007,32112,GL_Data!$P$8:$P$5007))</f>
        <v>0</v>
      </c>
      <c r="AD37" s="89" t="n">
        <f aca="false">IF($A37="",0,INDEX($F37:$AC37,12+Setup!$B$8))</f>
        <v>0</v>
      </c>
      <c r="AE37" s="90" t="n">
        <f aca="false">IF($A37="",0,INDEX($F37:$AC37,Setup!$B$8))</f>
        <v>0</v>
      </c>
      <c r="AF37" s="90" t="n">
        <f aca="false">IF($A37="",0,INDEX($F37:$AC37,11+Setup!$B$8))</f>
        <v>0</v>
      </c>
      <c r="AG37" s="90" t="n">
        <f aca="false">IF($A37="",0,AVERAGE(INDEX($F37:$AC37,9+Setup!$B$8):INDEX($F37:$AC37,11+Setup!$B$8)))</f>
        <v>0</v>
      </c>
      <c r="AH37" s="89" t="n">
        <f aca="false">IF($A37="",0,SUMPRODUCT(($R$3:$AC$3&lt;=Setup!$B$8)*$R37:$AC37))</f>
        <v>0</v>
      </c>
      <c r="AI37" s="90" t="n">
        <f aca="false">IF($A37="",0,SUMPRODUCT(($F$3:$Q$3&lt;=Setup!$B$8)*$F37:$Q37))</f>
        <v>0</v>
      </c>
      <c r="AJ37" s="90" t="n">
        <f aca="false">IF($A37="",0,SUM($F37:$Q37))</f>
        <v>0</v>
      </c>
      <c r="AK37" s="90" t="n">
        <f aca="false">IF($A37="",0,SUM($R37:$AC37))</f>
        <v>0</v>
      </c>
      <c r="AL37" s="91" t="n">
        <f aca="false">IF($A37="",0,IF(SUMPRODUCT(ABS($F37:$AC37))&gt;0,1,0))</f>
        <v>0</v>
      </c>
    </row>
    <row r="38" customFormat="false" ht="15" hidden="false" customHeight="false" outlineLevel="0" collapsed="false">
      <c r="A38" s="68" t="str">
        <f aca="false">IF(COA_Mapping!$A39="","",COA_Mapping!$A39)</f>
        <v>Tech Consulting/Project Manage</v>
      </c>
      <c r="B38" s="68" t="str">
        <f aca="false">IF($A38="","",COA_Mapping!$C39)</f>
        <v>Income</v>
      </c>
      <c r="C38" s="68" t="str">
        <f aca="false">IF($A38="","",COA_Mapping!$E39)</f>
        <v>P&amp;L</v>
      </c>
      <c r="D38" s="68" t="str">
        <f aca="false">IF($A38="","",COA_Mapping!$D39)</f>
        <v>Unallocated</v>
      </c>
      <c r="E38" s="86" t="n">
        <f aca="false">IF($A38="",1,COA_Mapping!$F39)</f>
        <v>-1</v>
      </c>
      <c r="F38" s="87" t="n">
        <f aca="false">IF($A38="",0,SUMIF(GL_Data!$S$8:$S$5007,33001,GL_Data!$P$8:$P$5007))</f>
        <v>0</v>
      </c>
      <c r="G38" s="87" t="n">
        <f aca="false">IF($A38="",0,SUMIF(GL_Data!$S$8:$S$5007,33002,GL_Data!$P$8:$P$5007))</f>
        <v>0</v>
      </c>
      <c r="H38" s="87" t="n">
        <f aca="false">IF($A38="",0,SUMIF(GL_Data!$S$8:$S$5007,33003,GL_Data!$P$8:$P$5007))</f>
        <v>0</v>
      </c>
      <c r="I38" s="87" t="n">
        <f aca="false">IF($A38="",0,SUMIF(GL_Data!$S$8:$S$5007,33004,GL_Data!$P$8:$P$5007))</f>
        <v>0</v>
      </c>
      <c r="J38" s="87" t="n">
        <f aca="false">IF($A38="",0,SUMIF(GL_Data!$S$8:$S$5007,33005,GL_Data!$P$8:$P$5007))</f>
        <v>0</v>
      </c>
      <c r="K38" s="87" t="n">
        <f aca="false">IF($A38="",0,SUMIF(GL_Data!$S$8:$S$5007,33006,GL_Data!$P$8:$P$5007))</f>
        <v>0</v>
      </c>
      <c r="L38" s="87" t="n">
        <f aca="false">IF($A38="",0,SUMIF(GL_Data!$S$8:$S$5007,33007,GL_Data!$P$8:$P$5007))</f>
        <v>0</v>
      </c>
      <c r="M38" s="87" t="n">
        <f aca="false">IF($A38="",0,SUMIF(GL_Data!$S$8:$S$5007,33008,GL_Data!$P$8:$P$5007))</f>
        <v>0</v>
      </c>
      <c r="N38" s="87" t="n">
        <f aca="false">IF($A38="",0,SUMIF(GL_Data!$S$8:$S$5007,33009,GL_Data!$P$8:$P$5007))</f>
        <v>0</v>
      </c>
      <c r="O38" s="87" t="n">
        <f aca="false">IF($A38="",0,SUMIF(GL_Data!$S$8:$S$5007,33010,GL_Data!$P$8:$P$5007))</f>
        <v>0</v>
      </c>
      <c r="P38" s="87" t="n">
        <f aca="false">IF($A38="",0,SUMIF(GL_Data!$S$8:$S$5007,33011,GL_Data!$P$8:$P$5007))</f>
        <v>0</v>
      </c>
      <c r="Q38" s="87" t="n">
        <f aca="false">IF($A38="",0,SUMIF(GL_Data!$S$8:$S$5007,33012,GL_Data!$P$8:$P$5007))</f>
        <v>0</v>
      </c>
      <c r="R38" s="88" t="n">
        <f aca="false">IF($A38="",0,SUMIF(GL_Data!$S$8:$S$5007,33101,GL_Data!$P$8:$P$5007))</f>
        <v>0</v>
      </c>
      <c r="S38" s="88" t="n">
        <f aca="false">IF($A38="",0,SUMIF(GL_Data!$S$8:$S$5007,33102,GL_Data!$P$8:$P$5007))</f>
        <v>0</v>
      </c>
      <c r="T38" s="88" t="n">
        <f aca="false">IF($A38="",0,SUMIF(GL_Data!$S$8:$S$5007,33103,GL_Data!$P$8:$P$5007))</f>
        <v>0</v>
      </c>
      <c r="U38" s="88" t="n">
        <f aca="false">IF($A38="",0,SUMIF(GL_Data!$S$8:$S$5007,33104,GL_Data!$P$8:$P$5007))</f>
        <v>0</v>
      </c>
      <c r="V38" s="88" t="n">
        <f aca="false">IF($A38="",0,SUMIF(GL_Data!$S$8:$S$5007,33105,GL_Data!$P$8:$P$5007))</f>
        <v>0</v>
      </c>
      <c r="W38" s="88" t="n">
        <f aca="false">IF($A38="",0,SUMIF(GL_Data!$S$8:$S$5007,33106,GL_Data!$P$8:$P$5007))</f>
        <v>0</v>
      </c>
      <c r="X38" s="88" t="n">
        <f aca="false">IF($A38="",0,SUMIF(GL_Data!$S$8:$S$5007,33107,GL_Data!$P$8:$P$5007))</f>
        <v>0</v>
      </c>
      <c r="Y38" s="88" t="n">
        <f aca="false">IF($A38="",0,SUMIF(GL_Data!$S$8:$S$5007,33108,GL_Data!$P$8:$P$5007))</f>
        <v>0</v>
      </c>
      <c r="Z38" s="88" t="n">
        <f aca="false">IF($A38="",0,SUMIF(GL_Data!$S$8:$S$5007,33109,GL_Data!$P$8:$P$5007))</f>
        <v>0</v>
      </c>
      <c r="AA38" s="88" t="n">
        <f aca="false">IF($A38="",0,SUMIF(GL_Data!$S$8:$S$5007,33110,GL_Data!$P$8:$P$5007))</f>
        <v>0</v>
      </c>
      <c r="AB38" s="88" t="n">
        <f aca="false">IF($A38="",0,SUMIF(GL_Data!$S$8:$S$5007,33111,GL_Data!$P$8:$P$5007))</f>
        <v>0</v>
      </c>
      <c r="AC38" s="88" t="n">
        <f aca="false">IF($A38="",0,SUMIF(GL_Data!$S$8:$S$5007,33112,GL_Data!$P$8:$P$5007))</f>
        <v>0</v>
      </c>
      <c r="AD38" s="89" t="n">
        <f aca="false">IF($A38="",0,INDEX($F38:$AC38,12+Setup!$B$8))</f>
        <v>0</v>
      </c>
      <c r="AE38" s="90" t="n">
        <f aca="false">IF($A38="",0,INDEX($F38:$AC38,Setup!$B$8))</f>
        <v>0</v>
      </c>
      <c r="AF38" s="90" t="n">
        <f aca="false">IF($A38="",0,INDEX($F38:$AC38,11+Setup!$B$8))</f>
        <v>0</v>
      </c>
      <c r="AG38" s="90" t="n">
        <f aca="false">IF($A38="",0,AVERAGE(INDEX($F38:$AC38,9+Setup!$B$8):INDEX($F38:$AC38,11+Setup!$B$8)))</f>
        <v>0</v>
      </c>
      <c r="AH38" s="89" t="n">
        <f aca="false">IF($A38="",0,SUMPRODUCT(($R$3:$AC$3&lt;=Setup!$B$8)*$R38:$AC38))</f>
        <v>0</v>
      </c>
      <c r="AI38" s="90" t="n">
        <f aca="false">IF($A38="",0,SUMPRODUCT(($F$3:$Q$3&lt;=Setup!$B$8)*$F38:$Q38))</f>
        <v>0</v>
      </c>
      <c r="AJ38" s="90" t="n">
        <f aca="false">IF($A38="",0,SUM($F38:$Q38))</f>
        <v>0</v>
      </c>
      <c r="AK38" s="90" t="n">
        <f aca="false">IF($A38="",0,SUM($R38:$AC38))</f>
        <v>0</v>
      </c>
      <c r="AL38" s="91" t="n">
        <f aca="false">IF($A38="",0,IF(SUMPRODUCT(ABS($F38:$AC38))&gt;0,1,0))</f>
        <v>0</v>
      </c>
    </row>
    <row r="39" customFormat="false" ht="15" hidden="false" customHeight="false" outlineLevel="0" collapsed="false">
      <c r="A39" s="68" t="str">
        <f aca="false">IF(COA_Mapping!$A40="","",COA_Mapping!$A40)</f>
        <v>Tech Event Management</v>
      </c>
      <c r="B39" s="68" t="str">
        <f aca="false">IF($A39="","",COA_Mapping!$C40)</f>
        <v>Income</v>
      </c>
      <c r="C39" s="68" t="str">
        <f aca="false">IF($A39="","",COA_Mapping!$E40)</f>
        <v>P&amp;L</v>
      </c>
      <c r="D39" s="68" t="str">
        <f aca="false">IF($A39="","",COA_Mapping!$D40)</f>
        <v>Unallocated</v>
      </c>
      <c r="E39" s="86" t="n">
        <f aca="false">IF($A39="",1,COA_Mapping!$F40)</f>
        <v>-1</v>
      </c>
      <c r="F39" s="87" t="n">
        <f aca="false">IF($A39="",0,SUMIF(GL_Data!$S$8:$S$5007,34001,GL_Data!$P$8:$P$5007))</f>
        <v>0</v>
      </c>
      <c r="G39" s="87" t="n">
        <f aca="false">IF($A39="",0,SUMIF(GL_Data!$S$8:$S$5007,34002,GL_Data!$P$8:$P$5007))</f>
        <v>0</v>
      </c>
      <c r="H39" s="87" t="n">
        <f aca="false">IF($A39="",0,SUMIF(GL_Data!$S$8:$S$5007,34003,GL_Data!$P$8:$P$5007))</f>
        <v>0</v>
      </c>
      <c r="I39" s="87" t="n">
        <f aca="false">IF($A39="",0,SUMIF(GL_Data!$S$8:$S$5007,34004,GL_Data!$P$8:$P$5007))</f>
        <v>0</v>
      </c>
      <c r="J39" s="87" t="n">
        <f aca="false">IF($A39="",0,SUMIF(GL_Data!$S$8:$S$5007,34005,GL_Data!$P$8:$P$5007))</f>
        <v>0</v>
      </c>
      <c r="K39" s="87" t="n">
        <f aca="false">IF($A39="",0,SUMIF(GL_Data!$S$8:$S$5007,34006,GL_Data!$P$8:$P$5007))</f>
        <v>0</v>
      </c>
      <c r="L39" s="87" t="n">
        <f aca="false">IF($A39="",0,SUMIF(GL_Data!$S$8:$S$5007,34007,GL_Data!$P$8:$P$5007))</f>
        <v>0</v>
      </c>
      <c r="M39" s="87" t="n">
        <f aca="false">IF($A39="",0,SUMIF(GL_Data!$S$8:$S$5007,34008,GL_Data!$P$8:$P$5007))</f>
        <v>0</v>
      </c>
      <c r="N39" s="87" t="n">
        <f aca="false">IF($A39="",0,SUMIF(GL_Data!$S$8:$S$5007,34009,GL_Data!$P$8:$P$5007))</f>
        <v>0</v>
      </c>
      <c r="O39" s="87" t="n">
        <f aca="false">IF($A39="",0,SUMIF(GL_Data!$S$8:$S$5007,34010,GL_Data!$P$8:$P$5007))</f>
        <v>0</v>
      </c>
      <c r="P39" s="87" t="n">
        <f aca="false">IF($A39="",0,SUMIF(GL_Data!$S$8:$S$5007,34011,GL_Data!$P$8:$P$5007))</f>
        <v>0</v>
      </c>
      <c r="Q39" s="87" t="n">
        <f aca="false">IF($A39="",0,SUMIF(GL_Data!$S$8:$S$5007,34012,GL_Data!$P$8:$P$5007))</f>
        <v>0</v>
      </c>
      <c r="R39" s="88" t="n">
        <f aca="false">IF($A39="",0,SUMIF(GL_Data!$S$8:$S$5007,34101,GL_Data!$P$8:$P$5007))</f>
        <v>0</v>
      </c>
      <c r="S39" s="88" t="n">
        <f aca="false">IF($A39="",0,SUMIF(GL_Data!$S$8:$S$5007,34102,GL_Data!$P$8:$P$5007))</f>
        <v>0</v>
      </c>
      <c r="T39" s="88" t="n">
        <f aca="false">IF($A39="",0,SUMIF(GL_Data!$S$8:$S$5007,34103,GL_Data!$P$8:$P$5007))</f>
        <v>0</v>
      </c>
      <c r="U39" s="88" t="n">
        <f aca="false">IF($A39="",0,SUMIF(GL_Data!$S$8:$S$5007,34104,GL_Data!$P$8:$P$5007))</f>
        <v>0</v>
      </c>
      <c r="V39" s="88" t="n">
        <f aca="false">IF($A39="",0,SUMIF(GL_Data!$S$8:$S$5007,34105,GL_Data!$P$8:$P$5007))</f>
        <v>0</v>
      </c>
      <c r="W39" s="88" t="n">
        <f aca="false">IF($A39="",0,SUMIF(GL_Data!$S$8:$S$5007,34106,GL_Data!$P$8:$P$5007))</f>
        <v>0</v>
      </c>
      <c r="X39" s="88" t="n">
        <f aca="false">IF($A39="",0,SUMIF(GL_Data!$S$8:$S$5007,34107,GL_Data!$P$8:$P$5007))</f>
        <v>0</v>
      </c>
      <c r="Y39" s="88" t="n">
        <f aca="false">IF($A39="",0,SUMIF(GL_Data!$S$8:$S$5007,34108,GL_Data!$P$8:$P$5007))</f>
        <v>0</v>
      </c>
      <c r="Z39" s="88" t="n">
        <f aca="false">IF($A39="",0,SUMIF(GL_Data!$S$8:$S$5007,34109,GL_Data!$P$8:$P$5007))</f>
        <v>0</v>
      </c>
      <c r="AA39" s="88" t="n">
        <f aca="false">IF($A39="",0,SUMIF(GL_Data!$S$8:$S$5007,34110,GL_Data!$P$8:$P$5007))</f>
        <v>0</v>
      </c>
      <c r="AB39" s="88" t="n">
        <f aca="false">IF($A39="",0,SUMIF(GL_Data!$S$8:$S$5007,34111,GL_Data!$P$8:$P$5007))</f>
        <v>0</v>
      </c>
      <c r="AC39" s="88" t="n">
        <f aca="false">IF($A39="",0,SUMIF(GL_Data!$S$8:$S$5007,34112,GL_Data!$P$8:$P$5007))</f>
        <v>0</v>
      </c>
      <c r="AD39" s="89" t="n">
        <f aca="false">IF($A39="",0,INDEX($F39:$AC39,12+Setup!$B$8))</f>
        <v>0</v>
      </c>
      <c r="AE39" s="90" t="n">
        <f aca="false">IF($A39="",0,INDEX($F39:$AC39,Setup!$B$8))</f>
        <v>0</v>
      </c>
      <c r="AF39" s="90" t="n">
        <f aca="false">IF($A39="",0,INDEX($F39:$AC39,11+Setup!$B$8))</f>
        <v>0</v>
      </c>
      <c r="AG39" s="90" t="n">
        <f aca="false">IF($A39="",0,AVERAGE(INDEX($F39:$AC39,9+Setup!$B$8):INDEX($F39:$AC39,11+Setup!$B$8)))</f>
        <v>0</v>
      </c>
      <c r="AH39" s="89" t="n">
        <f aca="false">IF($A39="",0,SUMPRODUCT(($R$3:$AC$3&lt;=Setup!$B$8)*$R39:$AC39))</f>
        <v>0</v>
      </c>
      <c r="AI39" s="90" t="n">
        <f aca="false">IF($A39="",0,SUMPRODUCT(($F$3:$Q$3&lt;=Setup!$B$8)*$F39:$Q39))</f>
        <v>0</v>
      </c>
      <c r="AJ39" s="90" t="n">
        <f aca="false">IF($A39="",0,SUM($F39:$Q39))</f>
        <v>0</v>
      </c>
      <c r="AK39" s="90" t="n">
        <f aca="false">IF($A39="",0,SUM($R39:$AC39))</f>
        <v>0</v>
      </c>
      <c r="AL39" s="91" t="n">
        <f aca="false">IF($A39="",0,IF(SUMPRODUCT(ABS($F39:$AC39))&gt;0,1,0))</f>
        <v>0</v>
      </c>
    </row>
    <row r="40" customFormat="false" ht="15" hidden="false" customHeight="false" outlineLevel="0" collapsed="false">
      <c r="A40" s="68" t="str">
        <f aca="false">IF(COA_Mapping!$A41="","",COA_Mapping!$A41)</f>
        <v>Video Labour</v>
      </c>
      <c r="B40" s="68" t="str">
        <f aca="false">IF($A40="","",COA_Mapping!$C41)</f>
        <v>Income</v>
      </c>
      <c r="C40" s="68" t="str">
        <f aca="false">IF($A40="","",COA_Mapping!$E41)</f>
        <v>P&amp;L</v>
      </c>
      <c r="D40" s="68" t="str">
        <f aca="false">IF($A40="","",COA_Mapping!$D41)</f>
        <v>Unallocated</v>
      </c>
      <c r="E40" s="86" t="n">
        <f aca="false">IF($A40="",1,COA_Mapping!$F41)</f>
        <v>-1</v>
      </c>
      <c r="F40" s="87" t="n">
        <f aca="false">IF($A40="",0,SUMIF(GL_Data!$S$8:$S$5007,35001,GL_Data!$P$8:$P$5007))</f>
        <v>0</v>
      </c>
      <c r="G40" s="87" t="n">
        <f aca="false">IF($A40="",0,SUMIF(GL_Data!$S$8:$S$5007,35002,GL_Data!$P$8:$P$5007))</f>
        <v>0</v>
      </c>
      <c r="H40" s="87" t="n">
        <f aca="false">IF($A40="",0,SUMIF(GL_Data!$S$8:$S$5007,35003,GL_Data!$P$8:$P$5007))</f>
        <v>0</v>
      </c>
      <c r="I40" s="87" t="n">
        <f aca="false">IF($A40="",0,SUMIF(GL_Data!$S$8:$S$5007,35004,GL_Data!$P$8:$P$5007))</f>
        <v>0</v>
      </c>
      <c r="J40" s="87" t="n">
        <f aca="false">IF($A40="",0,SUMIF(GL_Data!$S$8:$S$5007,35005,GL_Data!$P$8:$P$5007))</f>
        <v>0</v>
      </c>
      <c r="K40" s="87" t="n">
        <f aca="false">IF($A40="",0,SUMIF(GL_Data!$S$8:$S$5007,35006,GL_Data!$P$8:$P$5007))</f>
        <v>0</v>
      </c>
      <c r="L40" s="87" t="n">
        <f aca="false">IF($A40="",0,SUMIF(GL_Data!$S$8:$S$5007,35007,GL_Data!$P$8:$P$5007))</f>
        <v>0</v>
      </c>
      <c r="M40" s="87" t="n">
        <f aca="false">IF($A40="",0,SUMIF(GL_Data!$S$8:$S$5007,35008,GL_Data!$P$8:$P$5007))</f>
        <v>0</v>
      </c>
      <c r="N40" s="87" t="n">
        <f aca="false">IF($A40="",0,SUMIF(GL_Data!$S$8:$S$5007,35009,GL_Data!$P$8:$P$5007))</f>
        <v>0</v>
      </c>
      <c r="O40" s="87" t="n">
        <f aca="false">IF($A40="",0,SUMIF(GL_Data!$S$8:$S$5007,35010,GL_Data!$P$8:$P$5007))</f>
        <v>0</v>
      </c>
      <c r="P40" s="87" t="n">
        <f aca="false">IF($A40="",0,SUMIF(GL_Data!$S$8:$S$5007,35011,GL_Data!$P$8:$P$5007))</f>
        <v>0</v>
      </c>
      <c r="Q40" s="87" t="n">
        <f aca="false">IF($A40="",0,SUMIF(GL_Data!$S$8:$S$5007,35012,GL_Data!$P$8:$P$5007))</f>
        <v>0</v>
      </c>
      <c r="R40" s="88" t="n">
        <f aca="false">IF($A40="",0,SUMIF(GL_Data!$S$8:$S$5007,35101,GL_Data!$P$8:$P$5007))</f>
        <v>0</v>
      </c>
      <c r="S40" s="88" t="n">
        <f aca="false">IF($A40="",0,SUMIF(GL_Data!$S$8:$S$5007,35102,GL_Data!$P$8:$P$5007))</f>
        <v>0</v>
      </c>
      <c r="T40" s="88" t="n">
        <f aca="false">IF($A40="",0,SUMIF(GL_Data!$S$8:$S$5007,35103,GL_Data!$P$8:$P$5007))</f>
        <v>0</v>
      </c>
      <c r="U40" s="88" t="n">
        <f aca="false">IF($A40="",0,SUMIF(GL_Data!$S$8:$S$5007,35104,GL_Data!$P$8:$P$5007))</f>
        <v>0</v>
      </c>
      <c r="V40" s="88" t="n">
        <f aca="false">IF($A40="",0,SUMIF(GL_Data!$S$8:$S$5007,35105,GL_Data!$P$8:$P$5007))</f>
        <v>0</v>
      </c>
      <c r="W40" s="88" t="n">
        <f aca="false">IF($A40="",0,SUMIF(GL_Data!$S$8:$S$5007,35106,GL_Data!$P$8:$P$5007))</f>
        <v>0</v>
      </c>
      <c r="X40" s="88" t="n">
        <f aca="false">IF($A40="",0,SUMIF(GL_Data!$S$8:$S$5007,35107,GL_Data!$P$8:$P$5007))</f>
        <v>0</v>
      </c>
      <c r="Y40" s="88" t="n">
        <f aca="false">IF($A40="",0,SUMIF(GL_Data!$S$8:$S$5007,35108,GL_Data!$P$8:$P$5007))</f>
        <v>0</v>
      </c>
      <c r="Z40" s="88" t="n">
        <f aca="false">IF($A40="",0,SUMIF(GL_Data!$S$8:$S$5007,35109,GL_Data!$P$8:$P$5007))</f>
        <v>0</v>
      </c>
      <c r="AA40" s="88" t="n">
        <f aca="false">IF($A40="",0,SUMIF(GL_Data!$S$8:$S$5007,35110,GL_Data!$P$8:$P$5007))</f>
        <v>0</v>
      </c>
      <c r="AB40" s="88" t="n">
        <f aca="false">IF($A40="",0,SUMIF(GL_Data!$S$8:$S$5007,35111,GL_Data!$P$8:$P$5007))</f>
        <v>0</v>
      </c>
      <c r="AC40" s="88" t="n">
        <f aca="false">IF($A40="",0,SUMIF(GL_Data!$S$8:$S$5007,35112,GL_Data!$P$8:$P$5007))</f>
        <v>0</v>
      </c>
      <c r="AD40" s="89" t="n">
        <f aca="false">IF($A40="",0,INDEX($F40:$AC40,12+Setup!$B$8))</f>
        <v>0</v>
      </c>
      <c r="AE40" s="90" t="n">
        <f aca="false">IF($A40="",0,INDEX($F40:$AC40,Setup!$B$8))</f>
        <v>0</v>
      </c>
      <c r="AF40" s="90" t="n">
        <f aca="false">IF($A40="",0,INDEX($F40:$AC40,11+Setup!$B$8))</f>
        <v>0</v>
      </c>
      <c r="AG40" s="90" t="n">
        <f aca="false">IF($A40="",0,AVERAGE(INDEX($F40:$AC40,9+Setup!$B$8):INDEX($F40:$AC40,11+Setup!$B$8)))</f>
        <v>0</v>
      </c>
      <c r="AH40" s="89" t="n">
        <f aca="false">IF($A40="",0,SUMPRODUCT(($R$3:$AC$3&lt;=Setup!$B$8)*$R40:$AC40))</f>
        <v>0</v>
      </c>
      <c r="AI40" s="90" t="n">
        <f aca="false">IF($A40="",0,SUMPRODUCT(($F$3:$Q$3&lt;=Setup!$B$8)*$F40:$Q40))</f>
        <v>0</v>
      </c>
      <c r="AJ40" s="90" t="n">
        <f aca="false">IF($A40="",0,SUM($F40:$Q40))</f>
        <v>0</v>
      </c>
      <c r="AK40" s="90" t="n">
        <f aca="false">IF($A40="",0,SUM($R40:$AC40))</f>
        <v>0</v>
      </c>
      <c r="AL40" s="91" t="n">
        <f aca="false">IF($A40="",0,IF(SUMPRODUCT(ABS($F40:$AC40))&gt;0,1,0))</f>
        <v>0</v>
      </c>
    </row>
    <row r="41" customFormat="false" ht="15" hidden="false" customHeight="false" outlineLevel="0" collapsed="false">
      <c r="A41" s="68" t="str">
        <f aca="false">IF(COA_Mapping!$A42="","",COA_Mapping!$A42)</f>
        <v>Credit Card Paid - ADMIN</v>
      </c>
      <c r="B41" s="68" t="str">
        <f aca="false">IF($A41="","",COA_Mapping!$C42)</f>
        <v>Cost of Sales</v>
      </c>
      <c r="C41" s="68" t="str">
        <f aca="false">IF($A41="","",COA_Mapping!$E42)</f>
        <v>P&amp;L</v>
      </c>
      <c r="D41" s="68" t="str">
        <f aca="false">IF($A41="","",COA_Mapping!$D42)</f>
        <v>Admin</v>
      </c>
      <c r="E41" s="86" t="n">
        <f aca="false">IF($A41="",1,COA_Mapping!$F42)</f>
        <v>1</v>
      </c>
      <c r="F41" s="87" t="n">
        <f aca="false">IF($A41="",0,SUMIF(GL_Data!$S$8:$S$5007,36001,GL_Data!$P$8:$P$5007))</f>
        <v>0</v>
      </c>
      <c r="G41" s="87" t="n">
        <f aca="false">IF($A41="",0,SUMIF(GL_Data!$S$8:$S$5007,36002,GL_Data!$P$8:$P$5007))</f>
        <v>0</v>
      </c>
      <c r="H41" s="87" t="n">
        <f aca="false">IF($A41="",0,SUMIF(GL_Data!$S$8:$S$5007,36003,GL_Data!$P$8:$P$5007))</f>
        <v>0</v>
      </c>
      <c r="I41" s="87" t="n">
        <f aca="false">IF($A41="",0,SUMIF(GL_Data!$S$8:$S$5007,36004,GL_Data!$P$8:$P$5007))</f>
        <v>0</v>
      </c>
      <c r="J41" s="87" t="n">
        <f aca="false">IF($A41="",0,SUMIF(GL_Data!$S$8:$S$5007,36005,GL_Data!$P$8:$P$5007))</f>
        <v>0</v>
      </c>
      <c r="K41" s="87" t="n">
        <f aca="false">IF($A41="",0,SUMIF(GL_Data!$S$8:$S$5007,36006,GL_Data!$P$8:$P$5007))</f>
        <v>0</v>
      </c>
      <c r="L41" s="87" t="n">
        <f aca="false">IF($A41="",0,SUMIF(GL_Data!$S$8:$S$5007,36007,GL_Data!$P$8:$P$5007))</f>
        <v>0</v>
      </c>
      <c r="M41" s="87" t="n">
        <f aca="false">IF($A41="",0,SUMIF(GL_Data!$S$8:$S$5007,36008,GL_Data!$P$8:$P$5007))</f>
        <v>0</v>
      </c>
      <c r="N41" s="87" t="n">
        <f aca="false">IF($A41="",0,SUMIF(GL_Data!$S$8:$S$5007,36009,GL_Data!$P$8:$P$5007))</f>
        <v>0</v>
      </c>
      <c r="O41" s="87" t="n">
        <f aca="false">IF($A41="",0,SUMIF(GL_Data!$S$8:$S$5007,36010,GL_Data!$P$8:$P$5007))</f>
        <v>0</v>
      </c>
      <c r="P41" s="87" t="n">
        <f aca="false">IF($A41="",0,SUMIF(GL_Data!$S$8:$S$5007,36011,GL_Data!$P$8:$P$5007))</f>
        <v>0</v>
      </c>
      <c r="Q41" s="87" t="n">
        <f aca="false">IF($A41="",0,SUMIF(GL_Data!$S$8:$S$5007,36012,GL_Data!$P$8:$P$5007))</f>
        <v>0</v>
      </c>
      <c r="R41" s="88" t="n">
        <f aca="false">IF($A41="",0,SUMIF(GL_Data!$S$8:$S$5007,36101,GL_Data!$P$8:$P$5007))</f>
        <v>0</v>
      </c>
      <c r="S41" s="88" t="n">
        <f aca="false">IF($A41="",0,SUMIF(GL_Data!$S$8:$S$5007,36102,GL_Data!$P$8:$P$5007))</f>
        <v>0</v>
      </c>
      <c r="T41" s="88" t="n">
        <f aca="false">IF($A41="",0,SUMIF(GL_Data!$S$8:$S$5007,36103,GL_Data!$P$8:$P$5007))</f>
        <v>0</v>
      </c>
      <c r="U41" s="88" t="n">
        <f aca="false">IF($A41="",0,SUMIF(GL_Data!$S$8:$S$5007,36104,GL_Data!$P$8:$P$5007))</f>
        <v>0</v>
      </c>
      <c r="V41" s="88" t="n">
        <f aca="false">IF($A41="",0,SUMIF(GL_Data!$S$8:$S$5007,36105,GL_Data!$P$8:$P$5007))</f>
        <v>0</v>
      </c>
      <c r="W41" s="88" t="n">
        <f aca="false">IF($A41="",0,SUMIF(GL_Data!$S$8:$S$5007,36106,GL_Data!$P$8:$P$5007))</f>
        <v>0</v>
      </c>
      <c r="X41" s="88" t="n">
        <f aca="false">IF($A41="",0,SUMIF(GL_Data!$S$8:$S$5007,36107,GL_Data!$P$8:$P$5007))</f>
        <v>0</v>
      </c>
      <c r="Y41" s="88" t="n">
        <f aca="false">IF($A41="",0,SUMIF(GL_Data!$S$8:$S$5007,36108,GL_Data!$P$8:$P$5007))</f>
        <v>0</v>
      </c>
      <c r="Z41" s="88" t="n">
        <f aca="false">IF($A41="",0,SUMIF(GL_Data!$S$8:$S$5007,36109,GL_Data!$P$8:$P$5007))</f>
        <v>0</v>
      </c>
      <c r="AA41" s="88" t="n">
        <f aca="false">IF($A41="",0,SUMIF(GL_Data!$S$8:$S$5007,36110,GL_Data!$P$8:$P$5007))</f>
        <v>0</v>
      </c>
      <c r="AB41" s="88" t="n">
        <f aca="false">IF($A41="",0,SUMIF(GL_Data!$S$8:$S$5007,36111,GL_Data!$P$8:$P$5007))</f>
        <v>0</v>
      </c>
      <c r="AC41" s="88" t="n">
        <f aca="false">IF($A41="",0,SUMIF(GL_Data!$S$8:$S$5007,36112,GL_Data!$P$8:$P$5007))</f>
        <v>0</v>
      </c>
      <c r="AD41" s="89" t="n">
        <f aca="false">IF($A41="",0,INDEX($F41:$AC41,12+Setup!$B$8))</f>
        <v>0</v>
      </c>
      <c r="AE41" s="90" t="n">
        <f aca="false">IF($A41="",0,INDEX($F41:$AC41,Setup!$B$8))</f>
        <v>0</v>
      </c>
      <c r="AF41" s="90" t="n">
        <f aca="false">IF($A41="",0,INDEX($F41:$AC41,11+Setup!$B$8))</f>
        <v>0</v>
      </c>
      <c r="AG41" s="90" t="n">
        <f aca="false">IF($A41="",0,AVERAGE(INDEX($F41:$AC41,9+Setup!$B$8):INDEX($F41:$AC41,11+Setup!$B$8)))</f>
        <v>0</v>
      </c>
      <c r="AH41" s="89" t="n">
        <f aca="false">IF($A41="",0,SUMPRODUCT(($R$3:$AC$3&lt;=Setup!$B$8)*$R41:$AC41))</f>
        <v>0</v>
      </c>
      <c r="AI41" s="90" t="n">
        <f aca="false">IF($A41="",0,SUMPRODUCT(($F$3:$Q$3&lt;=Setup!$B$8)*$F41:$Q41))</f>
        <v>0</v>
      </c>
      <c r="AJ41" s="90" t="n">
        <f aca="false">IF($A41="",0,SUM($F41:$Q41))</f>
        <v>0</v>
      </c>
      <c r="AK41" s="90" t="n">
        <f aca="false">IF($A41="",0,SUM($R41:$AC41))</f>
        <v>0</v>
      </c>
      <c r="AL41" s="91" t="n">
        <f aca="false">IF($A41="",0,IF(SUMPRODUCT(ABS($F41:$AC41))&gt;0,1,0))</f>
        <v>0</v>
      </c>
    </row>
    <row r="42" customFormat="false" ht="15" hidden="false" customHeight="false" outlineLevel="0" collapsed="false">
      <c r="A42" s="68" t="str">
        <f aca="false">IF(COA_Mapping!$A43="","",COA_Mapping!$A43)</f>
        <v>Credit Card Paid - CONS</v>
      </c>
      <c r="B42" s="68" t="str">
        <f aca="false">IF($A42="","",COA_Mapping!$C43)</f>
        <v>Cost of Sales</v>
      </c>
      <c r="C42" s="68" t="str">
        <f aca="false">IF($A42="","",COA_Mapping!$E43)</f>
        <v>P&amp;L</v>
      </c>
      <c r="D42" s="68" t="str">
        <f aca="false">IF($A42="","",COA_Mapping!$D43)</f>
        <v>Consulting</v>
      </c>
      <c r="E42" s="86" t="n">
        <f aca="false">IF($A42="",1,COA_Mapping!$F43)</f>
        <v>1</v>
      </c>
      <c r="F42" s="87" t="n">
        <f aca="false">IF($A42="",0,SUMIF(GL_Data!$S$8:$S$5007,37001,GL_Data!$P$8:$P$5007))</f>
        <v>0</v>
      </c>
      <c r="G42" s="87" t="n">
        <f aca="false">IF($A42="",0,SUMIF(GL_Data!$S$8:$S$5007,37002,GL_Data!$P$8:$P$5007))</f>
        <v>0</v>
      </c>
      <c r="H42" s="87" t="n">
        <f aca="false">IF($A42="",0,SUMIF(GL_Data!$S$8:$S$5007,37003,GL_Data!$P$8:$P$5007))</f>
        <v>0</v>
      </c>
      <c r="I42" s="87" t="n">
        <f aca="false">IF($A42="",0,SUMIF(GL_Data!$S$8:$S$5007,37004,GL_Data!$P$8:$P$5007))</f>
        <v>0</v>
      </c>
      <c r="J42" s="87" t="n">
        <f aca="false">IF($A42="",0,SUMIF(GL_Data!$S$8:$S$5007,37005,GL_Data!$P$8:$P$5007))</f>
        <v>0</v>
      </c>
      <c r="K42" s="87" t="n">
        <f aca="false">IF($A42="",0,SUMIF(GL_Data!$S$8:$S$5007,37006,GL_Data!$P$8:$P$5007))</f>
        <v>0</v>
      </c>
      <c r="L42" s="87" t="n">
        <f aca="false">IF($A42="",0,SUMIF(GL_Data!$S$8:$S$5007,37007,GL_Data!$P$8:$P$5007))</f>
        <v>0</v>
      </c>
      <c r="M42" s="87" t="n">
        <f aca="false">IF($A42="",0,SUMIF(GL_Data!$S$8:$S$5007,37008,GL_Data!$P$8:$P$5007))</f>
        <v>0</v>
      </c>
      <c r="N42" s="87" t="n">
        <f aca="false">IF($A42="",0,SUMIF(GL_Data!$S$8:$S$5007,37009,GL_Data!$P$8:$P$5007))</f>
        <v>0</v>
      </c>
      <c r="O42" s="87" t="n">
        <f aca="false">IF($A42="",0,SUMIF(GL_Data!$S$8:$S$5007,37010,GL_Data!$P$8:$P$5007))</f>
        <v>0</v>
      </c>
      <c r="P42" s="87" t="n">
        <f aca="false">IF($A42="",0,SUMIF(GL_Data!$S$8:$S$5007,37011,GL_Data!$P$8:$P$5007))</f>
        <v>0</v>
      </c>
      <c r="Q42" s="87" t="n">
        <f aca="false">IF($A42="",0,SUMIF(GL_Data!$S$8:$S$5007,37012,GL_Data!$P$8:$P$5007))</f>
        <v>0</v>
      </c>
      <c r="R42" s="88" t="n">
        <f aca="false">IF($A42="",0,SUMIF(GL_Data!$S$8:$S$5007,37101,GL_Data!$P$8:$P$5007))</f>
        <v>0</v>
      </c>
      <c r="S42" s="88" t="n">
        <f aca="false">IF($A42="",0,SUMIF(GL_Data!$S$8:$S$5007,37102,GL_Data!$P$8:$P$5007))</f>
        <v>0</v>
      </c>
      <c r="T42" s="88" t="n">
        <f aca="false">IF($A42="",0,SUMIF(GL_Data!$S$8:$S$5007,37103,GL_Data!$P$8:$P$5007))</f>
        <v>0</v>
      </c>
      <c r="U42" s="88" t="n">
        <f aca="false">IF($A42="",0,SUMIF(GL_Data!$S$8:$S$5007,37104,GL_Data!$P$8:$P$5007))</f>
        <v>0</v>
      </c>
      <c r="V42" s="88" t="n">
        <f aca="false">IF($A42="",0,SUMIF(GL_Data!$S$8:$S$5007,37105,GL_Data!$P$8:$P$5007))</f>
        <v>0</v>
      </c>
      <c r="W42" s="88" t="n">
        <f aca="false">IF($A42="",0,SUMIF(GL_Data!$S$8:$S$5007,37106,GL_Data!$P$8:$P$5007))</f>
        <v>0</v>
      </c>
      <c r="X42" s="88" t="n">
        <f aca="false">IF($A42="",0,SUMIF(GL_Data!$S$8:$S$5007,37107,GL_Data!$P$8:$P$5007))</f>
        <v>0</v>
      </c>
      <c r="Y42" s="88" t="n">
        <f aca="false">IF($A42="",0,SUMIF(GL_Data!$S$8:$S$5007,37108,GL_Data!$P$8:$P$5007))</f>
        <v>0</v>
      </c>
      <c r="Z42" s="88" t="n">
        <f aca="false">IF($A42="",0,SUMIF(GL_Data!$S$8:$S$5007,37109,GL_Data!$P$8:$P$5007))</f>
        <v>0</v>
      </c>
      <c r="AA42" s="88" t="n">
        <f aca="false">IF($A42="",0,SUMIF(GL_Data!$S$8:$S$5007,37110,GL_Data!$P$8:$P$5007))</f>
        <v>0</v>
      </c>
      <c r="AB42" s="88" t="n">
        <f aca="false">IF($A42="",0,SUMIF(GL_Data!$S$8:$S$5007,37111,GL_Data!$P$8:$P$5007))</f>
        <v>0</v>
      </c>
      <c r="AC42" s="88" t="n">
        <f aca="false">IF($A42="",0,SUMIF(GL_Data!$S$8:$S$5007,37112,GL_Data!$P$8:$P$5007))</f>
        <v>0</v>
      </c>
      <c r="AD42" s="89" t="n">
        <f aca="false">IF($A42="",0,INDEX($F42:$AC42,12+Setup!$B$8))</f>
        <v>0</v>
      </c>
      <c r="AE42" s="90" t="n">
        <f aca="false">IF($A42="",0,INDEX($F42:$AC42,Setup!$B$8))</f>
        <v>0</v>
      </c>
      <c r="AF42" s="90" t="n">
        <f aca="false">IF($A42="",0,INDEX($F42:$AC42,11+Setup!$B$8))</f>
        <v>0</v>
      </c>
      <c r="AG42" s="90" t="n">
        <f aca="false">IF($A42="",0,AVERAGE(INDEX($F42:$AC42,9+Setup!$B$8):INDEX($F42:$AC42,11+Setup!$B$8)))</f>
        <v>0</v>
      </c>
      <c r="AH42" s="89" t="n">
        <f aca="false">IF($A42="",0,SUMPRODUCT(($R$3:$AC$3&lt;=Setup!$B$8)*$R42:$AC42))</f>
        <v>0</v>
      </c>
      <c r="AI42" s="90" t="n">
        <f aca="false">IF($A42="",0,SUMPRODUCT(($F$3:$Q$3&lt;=Setup!$B$8)*$F42:$Q42))</f>
        <v>0</v>
      </c>
      <c r="AJ42" s="90" t="n">
        <f aca="false">IF($A42="",0,SUM($F42:$Q42))</f>
        <v>0</v>
      </c>
      <c r="AK42" s="90" t="n">
        <f aca="false">IF($A42="",0,SUM($R42:$AC42))</f>
        <v>0</v>
      </c>
      <c r="AL42" s="91" t="n">
        <f aca="false">IF($A42="",0,IF(SUMPRODUCT(ABS($F42:$AC42))&gt;0,1,0))</f>
        <v>0</v>
      </c>
    </row>
    <row r="43" customFormat="false" ht="15" hidden="false" customHeight="false" outlineLevel="0" collapsed="false">
      <c r="A43" s="68" t="str">
        <f aca="false">IF(COA_Mapping!$A44="","",COA_Mapping!$A44)</f>
        <v>Credit Card Paid - INTEGRATION</v>
      </c>
      <c r="B43" s="68" t="str">
        <f aca="false">IF($A43="","",COA_Mapping!$C44)</f>
        <v>Cost of Sales</v>
      </c>
      <c r="C43" s="68" t="str">
        <f aca="false">IF($A43="","",COA_Mapping!$E44)</f>
        <v>P&amp;L</v>
      </c>
      <c r="D43" s="68" t="str">
        <f aca="false">IF($A43="","",COA_Mapping!$D44)</f>
        <v>Integration</v>
      </c>
      <c r="E43" s="86" t="n">
        <f aca="false">IF($A43="",1,COA_Mapping!$F44)</f>
        <v>1</v>
      </c>
      <c r="F43" s="87" t="n">
        <f aca="false">IF($A43="",0,SUMIF(GL_Data!$S$8:$S$5007,38001,GL_Data!$P$8:$P$5007))</f>
        <v>0</v>
      </c>
      <c r="G43" s="87" t="n">
        <f aca="false">IF($A43="",0,SUMIF(GL_Data!$S$8:$S$5007,38002,GL_Data!$P$8:$P$5007))</f>
        <v>0</v>
      </c>
      <c r="H43" s="87" t="n">
        <f aca="false">IF($A43="",0,SUMIF(GL_Data!$S$8:$S$5007,38003,GL_Data!$P$8:$P$5007))</f>
        <v>0</v>
      </c>
      <c r="I43" s="87" t="n">
        <f aca="false">IF($A43="",0,SUMIF(GL_Data!$S$8:$S$5007,38004,GL_Data!$P$8:$P$5007))</f>
        <v>0</v>
      </c>
      <c r="J43" s="87" t="n">
        <f aca="false">IF($A43="",0,SUMIF(GL_Data!$S$8:$S$5007,38005,GL_Data!$P$8:$P$5007))</f>
        <v>0</v>
      </c>
      <c r="K43" s="87" t="n">
        <f aca="false">IF($A43="",0,SUMIF(GL_Data!$S$8:$S$5007,38006,GL_Data!$P$8:$P$5007))</f>
        <v>0</v>
      </c>
      <c r="L43" s="87" t="n">
        <f aca="false">IF($A43="",0,SUMIF(GL_Data!$S$8:$S$5007,38007,GL_Data!$P$8:$P$5007))</f>
        <v>0</v>
      </c>
      <c r="M43" s="87" t="n">
        <f aca="false">IF($A43="",0,SUMIF(GL_Data!$S$8:$S$5007,38008,GL_Data!$P$8:$P$5007))</f>
        <v>0</v>
      </c>
      <c r="N43" s="87" t="n">
        <f aca="false">IF($A43="",0,SUMIF(GL_Data!$S$8:$S$5007,38009,GL_Data!$P$8:$P$5007))</f>
        <v>0</v>
      </c>
      <c r="O43" s="87" t="n">
        <f aca="false">IF($A43="",0,SUMIF(GL_Data!$S$8:$S$5007,38010,GL_Data!$P$8:$P$5007))</f>
        <v>0</v>
      </c>
      <c r="P43" s="87" t="n">
        <f aca="false">IF($A43="",0,SUMIF(GL_Data!$S$8:$S$5007,38011,GL_Data!$P$8:$P$5007))</f>
        <v>0</v>
      </c>
      <c r="Q43" s="87" t="n">
        <f aca="false">IF($A43="",0,SUMIF(GL_Data!$S$8:$S$5007,38012,GL_Data!$P$8:$P$5007))</f>
        <v>0</v>
      </c>
      <c r="R43" s="88" t="n">
        <f aca="false">IF($A43="",0,SUMIF(GL_Data!$S$8:$S$5007,38101,GL_Data!$P$8:$P$5007))</f>
        <v>0</v>
      </c>
      <c r="S43" s="88" t="n">
        <f aca="false">IF($A43="",0,SUMIF(GL_Data!$S$8:$S$5007,38102,GL_Data!$P$8:$P$5007))</f>
        <v>0</v>
      </c>
      <c r="T43" s="88" t="n">
        <f aca="false">IF($A43="",0,SUMIF(GL_Data!$S$8:$S$5007,38103,GL_Data!$P$8:$P$5007))</f>
        <v>0</v>
      </c>
      <c r="U43" s="88" t="n">
        <f aca="false">IF($A43="",0,SUMIF(GL_Data!$S$8:$S$5007,38104,GL_Data!$P$8:$P$5007))</f>
        <v>0</v>
      </c>
      <c r="V43" s="88" t="n">
        <f aca="false">IF($A43="",0,SUMIF(GL_Data!$S$8:$S$5007,38105,GL_Data!$P$8:$P$5007))</f>
        <v>0</v>
      </c>
      <c r="W43" s="88" t="n">
        <f aca="false">IF($A43="",0,SUMIF(GL_Data!$S$8:$S$5007,38106,GL_Data!$P$8:$P$5007))</f>
        <v>0</v>
      </c>
      <c r="X43" s="88" t="n">
        <f aca="false">IF($A43="",0,SUMIF(GL_Data!$S$8:$S$5007,38107,GL_Data!$P$8:$P$5007))</f>
        <v>0</v>
      </c>
      <c r="Y43" s="88" t="n">
        <f aca="false">IF($A43="",0,SUMIF(GL_Data!$S$8:$S$5007,38108,GL_Data!$P$8:$P$5007))</f>
        <v>0</v>
      </c>
      <c r="Z43" s="88" t="n">
        <f aca="false">IF($A43="",0,SUMIF(GL_Data!$S$8:$S$5007,38109,GL_Data!$P$8:$P$5007))</f>
        <v>0</v>
      </c>
      <c r="AA43" s="88" t="n">
        <f aca="false">IF($A43="",0,SUMIF(GL_Data!$S$8:$S$5007,38110,GL_Data!$P$8:$P$5007))</f>
        <v>0</v>
      </c>
      <c r="AB43" s="88" t="n">
        <f aca="false">IF($A43="",0,SUMIF(GL_Data!$S$8:$S$5007,38111,GL_Data!$P$8:$P$5007))</f>
        <v>0</v>
      </c>
      <c r="AC43" s="88" t="n">
        <f aca="false">IF($A43="",0,SUMIF(GL_Data!$S$8:$S$5007,38112,GL_Data!$P$8:$P$5007))</f>
        <v>0</v>
      </c>
      <c r="AD43" s="89" t="n">
        <f aca="false">IF($A43="",0,INDEX($F43:$AC43,12+Setup!$B$8))</f>
        <v>0</v>
      </c>
      <c r="AE43" s="90" t="n">
        <f aca="false">IF($A43="",0,INDEX($F43:$AC43,Setup!$B$8))</f>
        <v>0</v>
      </c>
      <c r="AF43" s="90" t="n">
        <f aca="false">IF($A43="",0,INDEX($F43:$AC43,11+Setup!$B$8))</f>
        <v>0</v>
      </c>
      <c r="AG43" s="90" t="n">
        <f aca="false">IF($A43="",0,AVERAGE(INDEX($F43:$AC43,9+Setup!$B$8):INDEX($F43:$AC43,11+Setup!$B$8)))</f>
        <v>0</v>
      </c>
      <c r="AH43" s="89" t="n">
        <f aca="false">IF($A43="",0,SUMPRODUCT(($R$3:$AC$3&lt;=Setup!$B$8)*$R43:$AC43))</f>
        <v>0</v>
      </c>
      <c r="AI43" s="90" t="n">
        <f aca="false">IF($A43="",0,SUMPRODUCT(($F$3:$Q$3&lt;=Setup!$B$8)*$F43:$Q43))</f>
        <v>0</v>
      </c>
      <c r="AJ43" s="90" t="n">
        <f aca="false">IF($A43="",0,SUM($F43:$Q43))</f>
        <v>0</v>
      </c>
      <c r="AK43" s="90" t="n">
        <f aca="false">IF($A43="",0,SUM($R43:$AC43))</f>
        <v>0</v>
      </c>
      <c r="AL43" s="91" t="n">
        <f aca="false">IF($A43="",0,IF(SUMPRODUCT(ABS($F43:$AC43))&gt;0,1,0))</f>
        <v>0</v>
      </c>
    </row>
    <row r="44" customFormat="false" ht="15" hidden="false" customHeight="false" outlineLevel="0" collapsed="false">
      <c r="A44" s="68" t="str">
        <f aca="false">IF(COA_Mapping!$A45="","",COA_Mapping!$A45)</f>
        <v>Credit Card Paid - ONS</v>
      </c>
      <c r="B44" s="68" t="str">
        <f aca="false">IF($A44="","",COA_Mapping!$C45)</f>
        <v>Cost of Sales</v>
      </c>
      <c r="C44" s="68" t="str">
        <f aca="false">IF($A44="","",COA_Mapping!$E45)</f>
        <v>P&amp;L</v>
      </c>
      <c r="D44" s="68" t="str">
        <f aca="false">IF($A44="","",COA_Mapping!$D45)</f>
        <v>Onsite</v>
      </c>
      <c r="E44" s="86" t="n">
        <f aca="false">IF($A44="",1,COA_Mapping!$F45)</f>
        <v>1</v>
      </c>
      <c r="F44" s="87" t="n">
        <f aca="false">IF($A44="",0,SUMIF(GL_Data!$S$8:$S$5007,39001,GL_Data!$P$8:$P$5007))</f>
        <v>0</v>
      </c>
      <c r="G44" s="87" t="n">
        <f aca="false">IF($A44="",0,SUMIF(GL_Data!$S$8:$S$5007,39002,GL_Data!$P$8:$P$5007))</f>
        <v>0</v>
      </c>
      <c r="H44" s="87" t="n">
        <f aca="false">IF($A44="",0,SUMIF(GL_Data!$S$8:$S$5007,39003,GL_Data!$P$8:$P$5007))</f>
        <v>0</v>
      </c>
      <c r="I44" s="87" t="n">
        <f aca="false">IF($A44="",0,SUMIF(GL_Data!$S$8:$S$5007,39004,GL_Data!$P$8:$P$5007))</f>
        <v>0</v>
      </c>
      <c r="J44" s="87" t="n">
        <f aca="false">IF($A44="",0,SUMIF(GL_Data!$S$8:$S$5007,39005,GL_Data!$P$8:$P$5007))</f>
        <v>0</v>
      </c>
      <c r="K44" s="87" t="n">
        <f aca="false">IF($A44="",0,SUMIF(GL_Data!$S$8:$S$5007,39006,GL_Data!$P$8:$P$5007))</f>
        <v>0</v>
      </c>
      <c r="L44" s="87" t="n">
        <f aca="false">IF($A44="",0,SUMIF(GL_Data!$S$8:$S$5007,39007,GL_Data!$P$8:$P$5007))</f>
        <v>0</v>
      </c>
      <c r="M44" s="87" t="n">
        <f aca="false">IF($A44="",0,SUMIF(GL_Data!$S$8:$S$5007,39008,GL_Data!$P$8:$P$5007))</f>
        <v>0</v>
      </c>
      <c r="N44" s="87" t="n">
        <f aca="false">IF($A44="",0,SUMIF(GL_Data!$S$8:$S$5007,39009,GL_Data!$P$8:$P$5007))</f>
        <v>0</v>
      </c>
      <c r="O44" s="87" t="n">
        <f aca="false">IF($A44="",0,SUMIF(GL_Data!$S$8:$S$5007,39010,GL_Data!$P$8:$P$5007))</f>
        <v>0</v>
      </c>
      <c r="P44" s="87" t="n">
        <f aca="false">IF($A44="",0,SUMIF(GL_Data!$S$8:$S$5007,39011,GL_Data!$P$8:$P$5007))</f>
        <v>0</v>
      </c>
      <c r="Q44" s="87" t="n">
        <f aca="false">IF($A44="",0,SUMIF(GL_Data!$S$8:$S$5007,39012,GL_Data!$P$8:$P$5007))</f>
        <v>0</v>
      </c>
      <c r="R44" s="88" t="n">
        <f aca="false">IF($A44="",0,SUMIF(GL_Data!$S$8:$S$5007,39101,GL_Data!$P$8:$P$5007))</f>
        <v>0</v>
      </c>
      <c r="S44" s="88" t="n">
        <f aca="false">IF($A44="",0,SUMIF(GL_Data!$S$8:$S$5007,39102,GL_Data!$P$8:$P$5007))</f>
        <v>0</v>
      </c>
      <c r="T44" s="88" t="n">
        <f aca="false">IF($A44="",0,SUMIF(GL_Data!$S$8:$S$5007,39103,GL_Data!$P$8:$P$5007))</f>
        <v>0</v>
      </c>
      <c r="U44" s="88" t="n">
        <f aca="false">IF($A44="",0,SUMIF(GL_Data!$S$8:$S$5007,39104,GL_Data!$P$8:$P$5007))</f>
        <v>0</v>
      </c>
      <c r="V44" s="88" t="n">
        <f aca="false">IF($A44="",0,SUMIF(GL_Data!$S$8:$S$5007,39105,GL_Data!$P$8:$P$5007))</f>
        <v>0</v>
      </c>
      <c r="W44" s="88" t="n">
        <f aca="false">IF($A44="",0,SUMIF(GL_Data!$S$8:$S$5007,39106,GL_Data!$P$8:$P$5007))</f>
        <v>0</v>
      </c>
      <c r="X44" s="88" t="n">
        <f aca="false">IF($A44="",0,SUMIF(GL_Data!$S$8:$S$5007,39107,GL_Data!$P$8:$P$5007))</f>
        <v>0</v>
      </c>
      <c r="Y44" s="88" t="n">
        <f aca="false">IF($A44="",0,SUMIF(GL_Data!$S$8:$S$5007,39108,GL_Data!$P$8:$P$5007))</f>
        <v>0</v>
      </c>
      <c r="Z44" s="88" t="n">
        <f aca="false">IF($A44="",0,SUMIF(GL_Data!$S$8:$S$5007,39109,GL_Data!$P$8:$P$5007))</f>
        <v>0</v>
      </c>
      <c r="AA44" s="88" t="n">
        <f aca="false">IF($A44="",0,SUMIF(GL_Data!$S$8:$S$5007,39110,GL_Data!$P$8:$P$5007))</f>
        <v>0</v>
      </c>
      <c r="AB44" s="88" t="n">
        <f aca="false">IF($A44="",0,SUMIF(GL_Data!$S$8:$S$5007,39111,GL_Data!$P$8:$P$5007))</f>
        <v>0</v>
      </c>
      <c r="AC44" s="88" t="n">
        <f aca="false">IF($A44="",0,SUMIF(GL_Data!$S$8:$S$5007,39112,GL_Data!$P$8:$P$5007))</f>
        <v>0</v>
      </c>
      <c r="AD44" s="89" t="n">
        <f aca="false">IF($A44="",0,INDEX($F44:$AC44,12+Setup!$B$8))</f>
        <v>0</v>
      </c>
      <c r="AE44" s="90" t="n">
        <f aca="false">IF($A44="",0,INDEX($F44:$AC44,Setup!$B$8))</f>
        <v>0</v>
      </c>
      <c r="AF44" s="90" t="n">
        <f aca="false">IF($A44="",0,INDEX($F44:$AC44,11+Setup!$B$8))</f>
        <v>0</v>
      </c>
      <c r="AG44" s="90" t="n">
        <f aca="false">IF($A44="",0,AVERAGE(INDEX($F44:$AC44,9+Setup!$B$8):INDEX($F44:$AC44,11+Setup!$B$8)))</f>
        <v>0</v>
      </c>
      <c r="AH44" s="89" t="n">
        <f aca="false">IF($A44="",0,SUMPRODUCT(($R$3:$AC$3&lt;=Setup!$B$8)*$R44:$AC44))</f>
        <v>0</v>
      </c>
      <c r="AI44" s="90" t="n">
        <f aca="false">IF($A44="",0,SUMPRODUCT(($F$3:$Q$3&lt;=Setup!$B$8)*$F44:$Q44))</f>
        <v>0</v>
      </c>
      <c r="AJ44" s="90" t="n">
        <f aca="false">IF($A44="",0,SUM($F44:$Q44))</f>
        <v>0</v>
      </c>
      <c r="AK44" s="90" t="n">
        <f aca="false">IF($A44="",0,SUM($R44:$AC44))</f>
        <v>0</v>
      </c>
      <c r="AL44" s="91" t="n">
        <f aca="false">IF($A44="",0,IF(SUMPRODUCT(ABS($F44:$AC44))&gt;0,1,0))</f>
        <v>0</v>
      </c>
    </row>
    <row r="45" customFormat="false" ht="15" hidden="false" customHeight="false" outlineLevel="0" collapsed="false">
      <c r="A45" s="68" t="str">
        <f aca="false">IF(COA_Mapping!$A46="","",COA_Mapping!$A46)</f>
        <v>Credit Card Paid - PRD</v>
      </c>
      <c r="B45" s="68" t="str">
        <f aca="false">IF($A45="","",COA_Mapping!$C46)</f>
        <v>Cost of Sales</v>
      </c>
      <c r="C45" s="68" t="str">
        <f aca="false">IF($A45="","",COA_Mapping!$E46)</f>
        <v>P&amp;L</v>
      </c>
      <c r="D45" s="68" t="str">
        <f aca="false">IF($A45="","",COA_Mapping!$D46)</f>
        <v>Production</v>
      </c>
      <c r="E45" s="86" t="n">
        <f aca="false">IF($A45="",1,COA_Mapping!$F46)</f>
        <v>1</v>
      </c>
      <c r="F45" s="87" t="n">
        <f aca="false">IF($A45="",0,SUMIF(GL_Data!$S$8:$S$5007,40001,GL_Data!$P$8:$P$5007))</f>
        <v>0</v>
      </c>
      <c r="G45" s="87" t="n">
        <f aca="false">IF($A45="",0,SUMIF(GL_Data!$S$8:$S$5007,40002,GL_Data!$P$8:$P$5007))</f>
        <v>0</v>
      </c>
      <c r="H45" s="87" t="n">
        <f aca="false">IF($A45="",0,SUMIF(GL_Data!$S$8:$S$5007,40003,GL_Data!$P$8:$P$5007))</f>
        <v>0</v>
      </c>
      <c r="I45" s="87" t="n">
        <f aca="false">IF($A45="",0,SUMIF(GL_Data!$S$8:$S$5007,40004,GL_Data!$P$8:$P$5007))</f>
        <v>0</v>
      </c>
      <c r="J45" s="87" t="n">
        <f aca="false">IF($A45="",0,SUMIF(GL_Data!$S$8:$S$5007,40005,GL_Data!$P$8:$P$5007))</f>
        <v>0</v>
      </c>
      <c r="K45" s="87" t="n">
        <f aca="false">IF($A45="",0,SUMIF(GL_Data!$S$8:$S$5007,40006,GL_Data!$P$8:$P$5007))</f>
        <v>0</v>
      </c>
      <c r="L45" s="87" t="n">
        <f aca="false">IF($A45="",0,SUMIF(GL_Data!$S$8:$S$5007,40007,GL_Data!$P$8:$P$5007))</f>
        <v>0</v>
      </c>
      <c r="M45" s="87" t="n">
        <f aca="false">IF($A45="",0,SUMIF(GL_Data!$S$8:$S$5007,40008,GL_Data!$P$8:$P$5007))</f>
        <v>0</v>
      </c>
      <c r="N45" s="87" t="n">
        <f aca="false">IF($A45="",0,SUMIF(GL_Data!$S$8:$S$5007,40009,GL_Data!$P$8:$P$5007))</f>
        <v>0</v>
      </c>
      <c r="O45" s="87" t="n">
        <f aca="false">IF($A45="",0,SUMIF(GL_Data!$S$8:$S$5007,40010,GL_Data!$P$8:$P$5007))</f>
        <v>0</v>
      </c>
      <c r="P45" s="87" t="n">
        <f aca="false">IF($A45="",0,SUMIF(GL_Data!$S$8:$S$5007,40011,GL_Data!$P$8:$P$5007))</f>
        <v>0</v>
      </c>
      <c r="Q45" s="87" t="n">
        <f aca="false">IF($A45="",0,SUMIF(GL_Data!$S$8:$S$5007,40012,GL_Data!$P$8:$P$5007))</f>
        <v>0</v>
      </c>
      <c r="R45" s="88" t="n">
        <f aca="false">IF($A45="",0,SUMIF(GL_Data!$S$8:$S$5007,40101,GL_Data!$P$8:$P$5007))</f>
        <v>0</v>
      </c>
      <c r="S45" s="88" t="n">
        <f aca="false">IF($A45="",0,SUMIF(GL_Data!$S$8:$S$5007,40102,GL_Data!$P$8:$P$5007))</f>
        <v>0</v>
      </c>
      <c r="T45" s="88" t="n">
        <f aca="false">IF($A45="",0,SUMIF(GL_Data!$S$8:$S$5007,40103,GL_Data!$P$8:$P$5007))</f>
        <v>0</v>
      </c>
      <c r="U45" s="88" t="n">
        <f aca="false">IF($A45="",0,SUMIF(GL_Data!$S$8:$S$5007,40104,GL_Data!$P$8:$P$5007))</f>
        <v>0</v>
      </c>
      <c r="V45" s="88" t="n">
        <f aca="false">IF($A45="",0,SUMIF(GL_Data!$S$8:$S$5007,40105,GL_Data!$P$8:$P$5007))</f>
        <v>0</v>
      </c>
      <c r="W45" s="88" t="n">
        <f aca="false">IF($A45="",0,SUMIF(GL_Data!$S$8:$S$5007,40106,GL_Data!$P$8:$P$5007))</f>
        <v>0</v>
      </c>
      <c r="X45" s="88" t="n">
        <f aca="false">IF($A45="",0,SUMIF(GL_Data!$S$8:$S$5007,40107,GL_Data!$P$8:$P$5007))</f>
        <v>0</v>
      </c>
      <c r="Y45" s="88" t="n">
        <f aca="false">IF($A45="",0,SUMIF(GL_Data!$S$8:$S$5007,40108,GL_Data!$P$8:$P$5007))</f>
        <v>0</v>
      </c>
      <c r="Z45" s="88" t="n">
        <f aca="false">IF($A45="",0,SUMIF(GL_Data!$S$8:$S$5007,40109,GL_Data!$P$8:$P$5007))</f>
        <v>0</v>
      </c>
      <c r="AA45" s="88" t="n">
        <f aca="false">IF($A45="",0,SUMIF(GL_Data!$S$8:$S$5007,40110,GL_Data!$P$8:$P$5007))</f>
        <v>0</v>
      </c>
      <c r="AB45" s="88" t="n">
        <f aca="false">IF($A45="",0,SUMIF(GL_Data!$S$8:$S$5007,40111,GL_Data!$P$8:$P$5007))</f>
        <v>0</v>
      </c>
      <c r="AC45" s="88" t="n">
        <f aca="false">IF($A45="",0,SUMIF(GL_Data!$S$8:$S$5007,40112,GL_Data!$P$8:$P$5007))</f>
        <v>0</v>
      </c>
      <c r="AD45" s="89" t="n">
        <f aca="false">IF($A45="",0,INDEX($F45:$AC45,12+Setup!$B$8))</f>
        <v>0</v>
      </c>
      <c r="AE45" s="90" t="n">
        <f aca="false">IF($A45="",0,INDEX($F45:$AC45,Setup!$B$8))</f>
        <v>0</v>
      </c>
      <c r="AF45" s="90" t="n">
        <f aca="false">IF($A45="",0,INDEX($F45:$AC45,11+Setup!$B$8))</f>
        <v>0</v>
      </c>
      <c r="AG45" s="90" t="n">
        <f aca="false">IF($A45="",0,AVERAGE(INDEX($F45:$AC45,9+Setup!$B$8):INDEX($F45:$AC45,11+Setup!$B$8)))</f>
        <v>0</v>
      </c>
      <c r="AH45" s="89" t="n">
        <f aca="false">IF($A45="",0,SUMPRODUCT(($R$3:$AC$3&lt;=Setup!$B$8)*$R45:$AC45))</f>
        <v>0</v>
      </c>
      <c r="AI45" s="90" t="n">
        <f aca="false">IF($A45="",0,SUMPRODUCT(($F$3:$Q$3&lt;=Setup!$B$8)*$F45:$Q45))</f>
        <v>0</v>
      </c>
      <c r="AJ45" s="90" t="n">
        <f aca="false">IF($A45="",0,SUM($F45:$Q45))</f>
        <v>0</v>
      </c>
      <c r="AK45" s="90" t="n">
        <f aca="false">IF($A45="",0,SUM($R45:$AC45))</f>
        <v>0</v>
      </c>
      <c r="AL45" s="91" t="n">
        <f aca="false">IF($A45="",0,IF(SUMPRODUCT(ABS($F45:$AC45))&gt;0,1,0))</f>
        <v>0</v>
      </c>
    </row>
    <row r="46" customFormat="false" ht="15" hidden="false" customHeight="false" outlineLevel="0" collapsed="false">
      <c r="A46" s="68" t="str">
        <f aca="false">IF(COA_Mapping!$A47="","",COA_Mapping!$A47)</f>
        <v>Credit Card Paid - VID</v>
      </c>
      <c r="B46" s="68" t="str">
        <f aca="false">IF($A46="","",COA_Mapping!$C47)</f>
        <v>Cost of Sales</v>
      </c>
      <c r="C46" s="68" t="str">
        <f aca="false">IF($A46="","",COA_Mapping!$E47)</f>
        <v>P&amp;L</v>
      </c>
      <c r="D46" s="68" t="str">
        <f aca="false">IF($A46="","",COA_Mapping!$D47)</f>
        <v>Video</v>
      </c>
      <c r="E46" s="86" t="n">
        <f aca="false">IF($A46="",1,COA_Mapping!$F47)</f>
        <v>1</v>
      </c>
      <c r="F46" s="87" t="n">
        <f aca="false">IF($A46="",0,SUMIF(GL_Data!$S$8:$S$5007,41001,GL_Data!$P$8:$P$5007))</f>
        <v>0</v>
      </c>
      <c r="G46" s="87" t="n">
        <f aca="false">IF($A46="",0,SUMIF(GL_Data!$S$8:$S$5007,41002,GL_Data!$P$8:$P$5007))</f>
        <v>0</v>
      </c>
      <c r="H46" s="87" t="n">
        <f aca="false">IF($A46="",0,SUMIF(GL_Data!$S$8:$S$5007,41003,GL_Data!$P$8:$P$5007))</f>
        <v>0</v>
      </c>
      <c r="I46" s="87" t="n">
        <f aca="false">IF($A46="",0,SUMIF(GL_Data!$S$8:$S$5007,41004,GL_Data!$P$8:$P$5007))</f>
        <v>0</v>
      </c>
      <c r="J46" s="87" t="n">
        <f aca="false">IF($A46="",0,SUMIF(GL_Data!$S$8:$S$5007,41005,GL_Data!$P$8:$P$5007))</f>
        <v>0</v>
      </c>
      <c r="K46" s="87" t="n">
        <f aca="false">IF($A46="",0,SUMIF(GL_Data!$S$8:$S$5007,41006,GL_Data!$P$8:$P$5007))</f>
        <v>0</v>
      </c>
      <c r="L46" s="87" t="n">
        <f aca="false">IF($A46="",0,SUMIF(GL_Data!$S$8:$S$5007,41007,GL_Data!$P$8:$P$5007))</f>
        <v>0</v>
      </c>
      <c r="M46" s="87" t="n">
        <f aca="false">IF($A46="",0,SUMIF(GL_Data!$S$8:$S$5007,41008,GL_Data!$P$8:$P$5007))</f>
        <v>0</v>
      </c>
      <c r="N46" s="87" t="n">
        <f aca="false">IF($A46="",0,SUMIF(GL_Data!$S$8:$S$5007,41009,GL_Data!$P$8:$P$5007))</f>
        <v>0</v>
      </c>
      <c r="O46" s="87" t="n">
        <f aca="false">IF($A46="",0,SUMIF(GL_Data!$S$8:$S$5007,41010,GL_Data!$P$8:$P$5007))</f>
        <v>0</v>
      </c>
      <c r="P46" s="87" t="n">
        <f aca="false">IF($A46="",0,SUMIF(GL_Data!$S$8:$S$5007,41011,GL_Data!$P$8:$P$5007))</f>
        <v>0</v>
      </c>
      <c r="Q46" s="87" t="n">
        <f aca="false">IF($A46="",0,SUMIF(GL_Data!$S$8:$S$5007,41012,GL_Data!$P$8:$P$5007))</f>
        <v>0</v>
      </c>
      <c r="R46" s="88" t="n">
        <f aca="false">IF($A46="",0,SUMIF(GL_Data!$S$8:$S$5007,41101,GL_Data!$P$8:$P$5007))</f>
        <v>0</v>
      </c>
      <c r="S46" s="88" t="n">
        <f aca="false">IF($A46="",0,SUMIF(GL_Data!$S$8:$S$5007,41102,GL_Data!$P$8:$P$5007))</f>
        <v>0</v>
      </c>
      <c r="T46" s="88" t="n">
        <f aca="false">IF($A46="",0,SUMIF(GL_Data!$S$8:$S$5007,41103,GL_Data!$P$8:$P$5007))</f>
        <v>0</v>
      </c>
      <c r="U46" s="88" t="n">
        <f aca="false">IF($A46="",0,SUMIF(GL_Data!$S$8:$S$5007,41104,GL_Data!$P$8:$P$5007))</f>
        <v>0</v>
      </c>
      <c r="V46" s="88" t="n">
        <f aca="false">IF($A46="",0,SUMIF(GL_Data!$S$8:$S$5007,41105,GL_Data!$P$8:$P$5007))</f>
        <v>0</v>
      </c>
      <c r="W46" s="88" t="n">
        <f aca="false">IF($A46="",0,SUMIF(GL_Data!$S$8:$S$5007,41106,GL_Data!$P$8:$P$5007))</f>
        <v>0</v>
      </c>
      <c r="X46" s="88" t="n">
        <f aca="false">IF($A46="",0,SUMIF(GL_Data!$S$8:$S$5007,41107,GL_Data!$P$8:$P$5007))</f>
        <v>0</v>
      </c>
      <c r="Y46" s="88" t="n">
        <f aca="false">IF($A46="",0,SUMIF(GL_Data!$S$8:$S$5007,41108,GL_Data!$P$8:$P$5007))</f>
        <v>0</v>
      </c>
      <c r="Z46" s="88" t="n">
        <f aca="false">IF($A46="",0,SUMIF(GL_Data!$S$8:$S$5007,41109,GL_Data!$P$8:$P$5007))</f>
        <v>0</v>
      </c>
      <c r="AA46" s="88" t="n">
        <f aca="false">IF($A46="",0,SUMIF(GL_Data!$S$8:$S$5007,41110,GL_Data!$P$8:$P$5007))</f>
        <v>0</v>
      </c>
      <c r="AB46" s="88" t="n">
        <f aca="false">IF($A46="",0,SUMIF(GL_Data!$S$8:$S$5007,41111,GL_Data!$P$8:$P$5007))</f>
        <v>0</v>
      </c>
      <c r="AC46" s="88" t="n">
        <f aca="false">IF($A46="",0,SUMIF(GL_Data!$S$8:$S$5007,41112,GL_Data!$P$8:$P$5007))</f>
        <v>0</v>
      </c>
      <c r="AD46" s="89" t="n">
        <f aca="false">IF($A46="",0,INDEX($F46:$AC46,12+Setup!$B$8))</f>
        <v>0</v>
      </c>
      <c r="AE46" s="90" t="n">
        <f aca="false">IF($A46="",0,INDEX($F46:$AC46,Setup!$B$8))</f>
        <v>0</v>
      </c>
      <c r="AF46" s="90" t="n">
        <f aca="false">IF($A46="",0,INDEX($F46:$AC46,11+Setup!$B$8))</f>
        <v>0</v>
      </c>
      <c r="AG46" s="90" t="n">
        <f aca="false">IF($A46="",0,AVERAGE(INDEX($F46:$AC46,9+Setup!$B$8):INDEX($F46:$AC46,11+Setup!$B$8)))</f>
        <v>0</v>
      </c>
      <c r="AH46" s="89" t="n">
        <f aca="false">IF($A46="",0,SUMPRODUCT(($R$3:$AC$3&lt;=Setup!$B$8)*$R46:$AC46))</f>
        <v>0</v>
      </c>
      <c r="AI46" s="90" t="n">
        <f aca="false">IF($A46="",0,SUMPRODUCT(($F$3:$Q$3&lt;=Setup!$B$8)*$F46:$Q46))</f>
        <v>0</v>
      </c>
      <c r="AJ46" s="90" t="n">
        <f aca="false">IF($A46="",0,SUM($F46:$Q46))</f>
        <v>0</v>
      </c>
      <c r="AK46" s="90" t="n">
        <f aca="false">IF($A46="",0,SUM($R46:$AC46))</f>
        <v>0</v>
      </c>
      <c r="AL46" s="91" t="n">
        <f aca="false">IF($A46="",0,IF(SUMPRODUCT(ABS($F46:$AC46))&gt;0,1,0))</f>
        <v>0</v>
      </c>
    </row>
    <row r="47" customFormat="false" ht="15" hidden="false" customHeight="false" outlineLevel="0" collapsed="false">
      <c r="A47" s="68" t="str">
        <f aca="false">IF(COA_Mapping!$A48="","",COA_Mapping!$A48)</f>
        <v>Damage Waiver</v>
      </c>
      <c r="B47" s="68" t="str">
        <f aca="false">IF($A47="","",COA_Mapping!$C48)</f>
        <v>Cost of Sales</v>
      </c>
      <c r="C47" s="68" t="str">
        <f aca="false">IF($A47="","",COA_Mapping!$E48)</f>
        <v>P&amp;L</v>
      </c>
      <c r="D47" s="68" t="str">
        <f aca="false">IF($A47="","",COA_Mapping!$D48)</f>
        <v>Unallocated</v>
      </c>
      <c r="E47" s="86" t="n">
        <f aca="false">IF($A47="",1,COA_Mapping!$F48)</f>
        <v>1</v>
      </c>
      <c r="F47" s="87" t="n">
        <f aca="false">IF($A47="",0,SUMIF(GL_Data!$S$8:$S$5007,42001,GL_Data!$P$8:$P$5007))</f>
        <v>0</v>
      </c>
      <c r="G47" s="87" t="n">
        <f aca="false">IF($A47="",0,SUMIF(GL_Data!$S$8:$S$5007,42002,GL_Data!$P$8:$P$5007))</f>
        <v>0</v>
      </c>
      <c r="H47" s="87" t="n">
        <f aca="false">IF($A47="",0,SUMIF(GL_Data!$S$8:$S$5007,42003,GL_Data!$P$8:$P$5007))</f>
        <v>0</v>
      </c>
      <c r="I47" s="87" t="n">
        <f aca="false">IF($A47="",0,SUMIF(GL_Data!$S$8:$S$5007,42004,GL_Data!$P$8:$P$5007))</f>
        <v>0</v>
      </c>
      <c r="J47" s="87" t="n">
        <f aca="false">IF($A47="",0,SUMIF(GL_Data!$S$8:$S$5007,42005,GL_Data!$P$8:$P$5007))</f>
        <v>0</v>
      </c>
      <c r="K47" s="87" t="n">
        <f aca="false">IF($A47="",0,SUMIF(GL_Data!$S$8:$S$5007,42006,GL_Data!$P$8:$P$5007))</f>
        <v>0</v>
      </c>
      <c r="L47" s="87" t="n">
        <f aca="false">IF($A47="",0,SUMIF(GL_Data!$S$8:$S$5007,42007,GL_Data!$P$8:$P$5007))</f>
        <v>0</v>
      </c>
      <c r="M47" s="87" t="n">
        <f aca="false">IF($A47="",0,SUMIF(GL_Data!$S$8:$S$5007,42008,GL_Data!$P$8:$P$5007))</f>
        <v>0</v>
      </c>
      <c r="N47" s="87" t="n">
        <f aca="false">IF($A47="",0,SUMIF(GL_Data!$S$8:$S$5007,42009,GL_Data!$P$8:$P$5007))</f>
        <v>0</v>
      </c>
      <c r="O47" s="87" t="n">
        <f aca="false">IF($A47="",0,SUMIF(GL_Data!$S$8:$S$5007,42010,GL_Data!$P$8:$P$5007))</f>
        <v>0</v>
      </c>
      <c r="P47" s="87" t="n">
        <f aca="false">IF($A47="",0,SUMIF(GL_Data!$S$8:$S$5007,42011,GL_Data!$P$8:$P$5007))</f>
        <v>0</v>
      </c>
      <c r="Q47" s="87" t="n">
        <f aca="false">IF($A47="",0,SUMIF(GL_Data!$S$8:$S$5007,42012,GL_Data!$P$8:$P$5007))</f>
        <v>0</v>
      </c>
      <c r="R47" s="88" t="n">
        <f aca="false">IF($A47="",0,SUMIF(GL_Data!$S$8:$S$5007,42101,GL_Data!$P$8:$P$5007))</f>
        <v>0</v>
      </c>
      <c r="S47" s="88" t="n">
        <f aca="false">IF($A47="",0,SUMIF(GL_Data!$S$8:$S$5007,42102,GL_Data!$P$8:$P$5007))</f>
        <v>0</v>
      </c>
      <c r="T47" s="88" t="n">
        <f aca="false">IF($A47="",0,SUMIF(GL_Data!$S$8:$S$5007,42103,GL_Data!$P$8:$P$5007))</f>
        <v>0</v>
      </c>
      <c r="U47" s="88" t="n">
        <f aca="false">IF($A47="",0,SUMIF(GL_Data!$S$8:$S$5007,42104,GL_Data!$P$8:$P$5007))</f>
        <v>0</v>
      </c>
      <c r="V47" s="88" t="n">
        <f aca="false">IF($A47="",0,SUMIF(GL_Data!$S$8:$S$5007,42105,GL_Data!$P$8:$P$5007))</f>
        <v>0</v>
      </c>
      <c r="W47" s="88" t="n">
        <f aca="false">IF($A47="",0,SUMIF(GL_Data!$S$8:$S$5007,42106,GL_Data!$P$8:$P$5007))</f>
        <v>0</v>
      </c>
      <c r="X47" s="88" t="n">
        <f aca="false">IF($A47="",0,SUMIF(GL_Data!$S$8:$S$5007,42107,GL_Data!$P$8:$P$5007))</f>
        <v>0</v>
      </c>
      <c r="Y47" s="88" t="n">
        <f aca="false">IF($A47="",0,SUMIF(GL_Data!$S$8:$S$5007,42108,GL_Data!$P$8:$P$5007))</f>
        <v>0</v>
      </c>
      <c r="Z47" s="88" t="n">
        <f aca="false">IF($A47="",0,SUMIF(GL_Data!$S$8:$S$5007,42109,GL_Data!$P$8:$P$5007))</f>
        <v>0</v>
      </c>
      <c r="AA47" s="88" t="n">
        <f aca="false">IF($A47="",0,SUMIF(GL_Data!$S$8:$S$5007,42110,GL_Data!$P$8:$P$5007))</f>
        <v>0</v>
      </c>
      <c r="AB47" s="88" t="n">
        <f aca="false">IF($A47="",0,SUMIF(GL_Data!$S$8:$S$5007,42111,GL_Data!$P$8:$P$5007))</f>
        <v>0</v>
      </c>
      <c r="AC47" s="88" t="n">
        <f aca="false">IF($A47="",0,SUMIF(GL_Data!$S$8:$S$5007,42112,GL_Data!$P$8:$P$5007))</f>
        <v>0</v>
      </c>
      <c r="AD47" s="89" t="n">
        <f aca="false">IF($A47="",0,INDEX($F47:$AC47,12+Setup!$B$8))</f>
        <v>0</v>
      </c>
      <c r="AE47" s="90" t="n">
        <f aca="false">IF($A47="",0,INDEX($F47:$AC47,Setup!$B$8))</f>
        <v>0</v>
      </c>
      <c r="AF47" s="90" t="n">
        <f aca="false">IF($A47="",0,INDEX($F47:$AC47,11+Setup!$B$8))</f>
        <v>0</v>
      </c>
      <c r="AG47" s="90" t="n">
        <f aca="false">IF($A47="",0,AVERAGE(INDEX($F47:$AC47,9+Setup!$B$8):INDEX($F47:$AC47,11+Setup!$B$8)))</f>
        <v>0</v>
      </c>
      <c r="AH47" s="89" t="n">
        <f aca="false">IF($A47="",0,SUMPRODUCT(($R$3:$AC$3&lt;=Setup!$B$8)*$R47:$AC47))</f>
        <v>0</v>
      </c>
      <c r="AI47" s="90" t="n">
        <f aca="false">IF($A47="",0,SUMPRODUCT(($F$3:$Q$3&lt;=Setup!$B$8)*$F47:$Q47))</f>
        <v>0</v>
      </c>
      <c r="AJ47" s="90" t="n">
        <f aca="false">IF($A47="",0,SUM($F47:$Q47))</f>
        <v>0</v>
      </c>
      <c r="AK47" s="90" t="n">
        <f aca="false">IF($A47="",0,SUM($R47:$AC47))</f>
        <v>0</v>
      </c>
      <c r="AL47" s="91" t="n">
        <f aca="false">IF($A47="",0,IF(SUMPRODUCT(ABS($F47:$AC47))&gt;0,1,0))</f>
        <v>0</v>
      </c>
    </row>
    <row r="48" customFormat="false" ht="15" hidden="false" customHeight="false" outlineLevel="0" collapsed="false">
      <c r="A48" s="68" t="str">
        <f aca="false">IF(COA_Mapping!$A49="","",COA_Mapping!$A49)</f>
        <v>Direct Freight - ADMIN</v>
      </c>
      <c r="B48" s="68" t="str">
        <f aca="false">IF($A48="","",COA_Mapping!$C49)</f>
        <v>Cost of Sales</v>
      </c>
      <c r="C48" s="68" t="str">
        <f aca="false">IF($A48="","",COA_Mapping!$E49)</f>
        <v>P&amp;L</v>
      </c>
      <c r="D48" s="68" t="str">
        <f aca="false">IF($A48="","",COA_Mapping!$D49)</f>
        <v>Admin</v>
      </c>
      <c r="E48" s="86" t="n">
        <f aca="false">IF($A48="",1,COA_Mapping!$F49)</f>
        <v>1</v>
      </c>
      <c r="F48" s="87" t="n">
        <f aca="false">IF($A48="",0,SUMIF(GL_Data!$S$8:$S$5007,43001,GL_Data!$P$8:$P$5007))</f>
        <v>0</v>
      </c>
      <c r="G48" s="87" t="n">
        <f aca="false">IF($A48="",0,SUMIF(GL_Data!$S$8:$S$5007,43002,GL_Data!$P$8:$P$5007))</f>
        <v>0</v>
      </c>
      <c r="H48" s="87" t="n">
        <f aca="false">IF($A48="",0,SUMIF(GL_Data!$S$8:$S$5007,43003,GL_Data!$P$8:$P$5007))</f>
        <v>0</v>
      </c>
      <c r="I48" s="87" t="n">
        <f aca="false">IF($A48="",0,SUMIF(GL_Data!$S$8:$S$5007,43004,GL_Data!$P$8:$P$5007))</f>
        <v>0</v>
      </c>
      <c r="J48" s="87" t="n">
        <f aca="false">IF($A48="",0,SUMIF(GL_Data!$S$8:$S$5007,43005,GL_Data!$P$8:$P$5007))</f>
        <v>0</v>
      </c>
      <c r="K48" s="87" t="n">
        <f aca="false">IF($A48="",0,SUMIF(GL_Data!$S$8:$S$5007,43006,GL_Data!$P$8:$P$5007))</f>
        <v>0</v>
      </c>
      <c r="L48" s="87" t="n">
        <f aca="false">IF($A48="",0,SUMIF(GL_Data!$S$8:$S$5007,43007,GL_Data!$P$8:$P$5007))</f>
        <v>0</v>
      </c>
      <c r="M48" s="87" t="n">
        <f aca="false">IF($A48="",0,SUMIF(GL_Data!$S$8:$S$5007,43008,GL_Data!$P$8:$P$5007))</f>
        <v>0</v>
      </c>
      <c r="N48" s="87" t="n">
        <f aca="false">IF($A48="",0,SUMIF(GL_Data!$S$8:$S$5007,43009,GL_Data!$P$8:$P$5007))</f>
        <v>0</v>
      </c>
      <c r="O48" s="87" t="n">
        <f aca="false">IF($A48="",0,SUMIF(GL_Data!$S$8:$S$5007,43010,GL_Data!$P$8:$P$5007))</f>
        <v>0</v>
      </c>
      <c r="P48" s="87" t="n">
        <f aca="false">IF($A48="",0,SUMIF(GL_Data!$S$8:$S$5007,43011,GL_Data!$P$8:$P$5007))</f>
        <v>0</v>
      </c>
      <c r="Q48" s="87" t="n">
        <f aca="false">IF($A48="",0,SUMIF(GL_Data!$S$8:$S$5007,43012,GL_Data!$P$8:$P$5007))</f>
        <v>0</v>
      </c>
      <c r="R48" s="88" t="n">
        <f aca="false">IF($A48="",0,SUMIF(GL_Data!$S$8:$S$5007,43101,GL_Data!$P$8:$P$5007))</f>
        <v>0</v>
      </c>
      <c r="S48" s="88" t="n">
        <f aca="false">IF($A48="",0,SUMIF(GL_Data!$S$8:$S$5007,43102,GL_Data!$P$8:$P$5007))</f>
        <v>0</v>
      </c>
      <c r="T48" s="88" t="n">
        <f aca="false">IF($A48="",0,SUMIF(GL_Data!$S$8:$S$5007,43103,GL_Data!$P$8:$P$5007))</f>
        <v>0</v>
      </c>
      <c r="U48" s="88" t="n">
        <f aca="false">IF($A48="",0,SUMIF(GL_Data!$S$8:$S$5007,43104,GL_Data!$P$8:$P$5007))</f>
        <v>0</v>
      </c>
      <c r="V48" s="88" t="n">
        <f aca="false">IF($A48="",0,SUMIF(GL_Data!$S$8:$S$5007,43105,GL_Data!$P$8:$P$5007))</f>
        <v>0</v>
      </c>
      <c r="W48" s="88" t="n">
        <f aca="false">IF($A48="",0,SUMIF(GL_Data!$S$8:$S$5007,43106,GL_Data!$P$8:$P$5007))</f>
        <v>0</v>
      </c>
      <c r="X48" s="88" t="n">
        <f aca="false">IF($A48="",0,SUMIF(GL_Data!$S$8:$S$5007,43107,GL_Data!$P$8:$P$5007))</f>
        <v>0</v>
      </c>
      <c r="Y48" s="88" t="n">
        <f aca="false">IF($A48="",0,SUMIF(GL_Data!$S$8:$S$5007,43108,GL_Data!$P$8:$P$5007))</f>
        <v>0</v>
      </c>
      <c r="Z48" s="88" t="n">
        <f aca="false">IF($A48="",0,SUMIF(GL_Data!$S$8:$S$5007,43109,GL_Data!$P$8:$P$5007))</f>
        <v>0</v>
      </c>
      <c r="AA48" s="88" t="n">
        <f aca="false">IF($A48="",0,SUMIF(GL_Data!$S$8:$S$5007,43110,GL_Data!$P$8:$P$5007))</f>
        <v>0</v>
      </c>
      <c r="AB48" s="88" t="n">
        <f aca="false">IF($A48="",0,SUMIF(GL_Data!$S$8:$S$5007,43111,GL_Data!$P$8:$P$5007))</f>
        <v>0</v>
      </c>
      <c r="AC48" s="88" t="n">
        <f aca="false">IF($A48="",0,SUMIF(GL_Data!$S$8:$S$5007,43112,GL_Data!$P$8:$P$5007))</f>
        <v>0</v>
      </c>
      <c r="AD48" s="89" t="n">
        <f aca="false">IF($A48="",0,INDEX($F48:$AC48,12+Setup!$B$8))</f>
        <v>0</v>
      </c>
      <c r="AE48" s="90" t="n">
        <f aca="false">IF($A48="",0,INDEX($F48:$AC48,Setup!$B$8))</f>
        <v>0</v>
      </c>
      <c r="AF48" s="90" t="n">
        <f aca="false">IF($A48="",0,INDEX($F48:$AC48,11+Setup!$B$8))</f>
        <v>0</v>
      </c>
      <c r="AG48" s="90" t="n">
        <f aca="false">IF($A48="",0,AVERAGE(INDEX($F48:$AC48,9+Setup!$B$8):INDEX($F48:$AC48,11+Setup!$B$8)))</f>
        <v>0</v>
      </c>
      <c r="AH48" s="89" t="n">
        <f aca="false">IF($A48="",0,SUMPRODUCT(($R$3:$AC$3&lt;=Setup!$B$8)*$R48:$AC48))</f>
        <v>0</v>
      </c>
      <c r="AI48" s="90" t="n">
        <f aca="false">IF($A48="",0,SUMPRODUCT(($F$3:$Q$3&lt;=Setup!$B$8)*$F48:$Q48))</f>
        <v>0</v>
      </c>
      <c r="AJ48" s="90" t="n">
        <f aca="false">IF($A48="",0,SUM($F48:$Q48))</f>
        <v>0</v>
      </c>
      <c r="AK48" s="90" t="n">
        <f aca="false">IF($A48="",0,SUM($R48:$AC48))</f>
        <v>0</v>
      </c>
      <c r="AL48" s="91" t="n">
        <f aca="false">IF($A48="",0,IF(SUMPRODUCT(ABS($F48:$AC48))&gt;0,1,0))</f>
        <v>0</v>
      </c>
    </row>
    <row r="49" customFormat="false" ht="15" hidden="false" customHeight="false" outlineLevel="0" collapsed="false">
      <c r="A49" s="68" t="str">
        <f aca="false">IF(COA_Mapping!$A50="","",COA_Mapping!$A50)</f>
        <v>Direct Freight - CONS</v>
      </c>
      <c r="B49" s="68" t="str">
        <f aca="false">IF($A49="","",COA_Mapping!$C50)</f>
        <v>Cost of Sales</v>
      </c>
      <c r="C49" s="68" t="str">
        <f aca="false">IF($A49="","",COA_Mapping!$E50)</f>
        <v>P&amp;L</v>
      </c>
      <c r="D49" s="68" t="str">
        <f aca="false">IF($A49="","",COA_Mapping!$D50)</f>
        <v>Consulting</v>
      </c>
      <c r="E49" s="86" t="n">
        <f aca="false">IF($A49="",1,COA_Mapping!$F50)</f>
        <v>1</v>
      </c>
      <c r="F49" s="87" t="n">
        <f aca="false">IF($A49="",0,SUMIF(GL_Data!$S$8:$S$5007,44001,GL_Data!$P$8:$P$5007))</f>
        <v>0</v>
      </c>
      <c r="G49" s="87" t="n">
        <f aca="false">IF($A49="",0,SUMIF(GL_Data!$S$8:$S$5007,44002,GL_Data!$P$8:$P$5007))</f>
        <v>0</v>
      </c>
      <c r="H49" s="87" t="n">
        <f aca="false">IF($A49="",0,SUMIF(GL_Data!$S$8:$S$5007,44003,GL_Data!$P$8:$P$5007))</f>
        <v>0</v>
      </c>
      <c r="I49" s="87" t="n">
        <f aca="false">IF($A49="",0,SUMIF(GL_Data!$S$8:$S$5007,44004,GL_Data!$P$8:$P$5007))</f>
        <v>0</v>
      </c>
      <c r="J49" s="87" t="n">
        <f aca="false">IF($A49="",0,SUMIF(GL_Data!$S$8:$S$5007,44005,GL_Data!$P$8:$P$5007))</f>
        <v>0</v>
      </c>
      <c r="K49" s="87" t="n">
        <f aca="false">IF($A49="",0,SUMIF(GL_Data!$S$8:$S$5007,44006,GL_Data!$P$8:$P$5007))</f>
        <v>0</v>
      </c>
      <c r="L49" s="87" t="n">
        <f aca="false">IF($A49="",0,SUMIF(GL_Data!$S$8:$S$5007,44007,GL_Data!$P$8:$P$5007))</f>
        <v>0</v>
      </c>
      <c r="M49" s="87" t="n">
        <f aca="false">IF($A49="",0,SUMIF(GL_Data!$S$8:$S$5007,44008,GL_Data!$P$8:$P$5007))</f>
        <v>0</v>
      </c>
      <c r="N49" s="87" t="n">
        <f aca="false">IF($A49="",0,SUMIF(GL_Data!$S$8:$S$5007,44009,GL_Data!$P$8:$P$5007))</f>
        <v>0</v>
      </c>
      <c r="O49" s="87" t="n">
        <f aca="false">IF($A49="",0,SUMIF(GL_Data!$S$8:$S$5007,44010,GL_Data!$P$8:$P$5007))</f>
        <v>0</v>
      </c>
      <c r="P49" s="87" t="n">
        <f aca="false">IF($A49="",0,SUMIF(GL_Data!$S$8:$S$5007,44011,GL_Data!$P$8:$P$5007))</f>
        <v>0</v>
      </c>
      <c r="Q49" s="87" t="n">
        <f aca="false">IF($A49="",0,SUMIF(GL_Data!$S$8:$S$5007,44012,GL_Data!$P$8:$P$5007))</f>
        <v>0</v>
      </c>
      <c r="R49" s="88" t="n">
        <f aca="false">IF($A49="",0,SUMIF(GL_Data!$S$8:$S$5007,44101,GL_Data!$P$8:$P$5007))</f>
        <v>0</v>
      </c>
      <c r="S49" s="88" t="n">
        <f aca="false">IF($A49="",0,SUMIF(GL_Data!$S$8:$S$5007,44102,GL_Data!$P$8:$P$5007))</f>
        <v>0</v>
      </c>
      <c r="T49" s="88" t="n">
        <f aca="false">IF($A49="",0,SUMIF(GL_Data!$S$8:$S$5007,44103,GL_Data!$P$8:$P$5007))</f>
        <v>0</v>
      </c>
      <c r="U49" s="88" t="n">
        <f aca="false">IF($A49="",0,SUMIF(GL_Data!$S$8:$S$5007,44104,GL_Data!$P$8:$P$5007))</f>
        <v>0</v>
      </c>
      <c r="V49" s="88" t="n">
        <f aca="false">IF($A49="",0,SUMIF(GL_Data!$S$8:$S$5007,44105,GL_Data!$P$8:$P$5007))</f>
        <v>0</v>
      </c>
      <c r="W49" s="88" t="n">
        <f aca="false">IF($A49="",0,SUMIF(GL_Data!$S$8:$S$5007,44106,GL_Data!$P$8:$P$5007))</f>
        <v>0</v>
      </c>
      <c r="X49" s="88" t="n">
        <f aca="false">IF($A49="",0,SUMIF(GL_Data!$S$8:$S$5007,44107,GL_Data!$P$8:$P$5007))</f>
        <v>0</v>
      </c>
      <c r="Y49" s="88" t="n">
        <f aca="false">IF($A49="",0,SUMIF(GL_Data!$S$8:$S$5007,44108,GL_Data!$P$8:$P$5007))</f>
        <v>0</v>
      </c>
      <c r="Z49" s="88" t="n">
        <f aca="false">IF($A49="",0,SUMIF(GL_Data!$S$8:$S$5007,44109,GL_Data!$P$8:$P$5007))</f>
        <v>0</v>
      </c>
      <c r="AA49" s="88" t="n">
        <f aca="false">IF($A49="",0,SUMIF(GL_Data!$S$8:$S$5007,44110,GL_Data!$P$8:$P$5007))</f>
        <v>0</v>
      </c>
      <c r="AB49" s="88" t="n">
        <f aca="false">IF($A49="",0,SUMIF(GL_Data!$S$8:$S$5007,44111,GL_Data!$P$8:$P$5007))</f>
        <v>0</v>
      </c>
      <c r="AC49" s="88" t="n">
        <f aca="false">IF($A49="",0,SUMIF(GL_Data!$S$8:$S$5007,44112,GL_Data!$P$8:$P$5007))</f>
        <v>0</v>
      </c>
      <c r="AD49" s="89" t="n">
        <f aca="false">IF($A49="",0,INDEX($F49:$AC49,12+Setup!$B$8))</f>
        <v>0</v>
      </c>
      <c r="AE49" s="90" t="n">
        <f aca="false">IF($A49="",0,INDEX($F49:$AC49,Setup!$B$8))</f>
        <v>0</v>
      </c>
      <c r="AF49" s="90" t="n">
        <f aca="false">IF($A49="",0,INDEX($F49:$AC49,11+Setup!$B$8))</f>
        <v>0</v>
      </c>
      <c r="AG49" s="90" t="n">
        <f aca="false">IF($A49="",0,AVERAGE(INDEX($F49:$AC49,9+Setup!$B$8):INDEX($F49:$AC49,11+Setup!$B$8)))</f>
        <v>0</v>
      </c>
      <c r="AH49" s="89" t="n">
        <f aca="false">IF($A49="",0,SUMPRODUCT(($R$3:$AC$3&lt;=Setup!$B$8)*$R49:$AC49))</f>
        <v>0</v>
      </c>
      <c r="AI49" s="90" t="n">
        <f aca="false">IF($A49="",0,SUMPRODUCT(($F$3:$Q$3&lt;=Setup!$B$8)*$F49:$Q49))</f>
        <v>0</v>
      </c>
      <c r="AJ49" s="90" t="n">
        <f aca="false">IF($A49="",0,SUM($F49:$Q49))</f>
        <v>0</v>
      </c>
      <c r="AK49" s="90" t="n">
        <f aca="false">IF($A49="",0,SUM($R49:$AC49))</f>
        <v>0</v>
      </c>
      <c r="AL49" s="91" t="n">
        <f aca="false">IF($A49="",0,IF(SUMPRODUCT(ABS($F49:$AC49))&gt;0,1,0))</f>
        <v>0</v>
      </c>
    </row>
    <row r="50" customFormat="false" ht="15" hidden="false" customHeight="false" outlineLevel="0" collapsed="false">
      <c r="A50" s="68" t="str">
        <f aca="false">IF(COA_Mapping!$A51="","",COA_Mapping!$A51)</f>
        <v>Direct Freight - INTEGRATION</v>
      </c>
      <c r="B50" s="68" t="str">
        <f aca="false">IF($A50="","",COA_Mapping!$C51)</f>
        <v>Cost of Sales</v>
      </c>
      <c r="C50" s="68" t="str">
        <f aca="false">IF($A50="","",COA_Mapping!$E51)</f>
        <v>P&amp;L</v>
      </c>
      <c r="D50" s="68" t="str">
        <f aca="false">IF($A50="","",COA_Mapping!$D51)</f>
        <v>Integration</v>
      </c>
      <c r="E50" s="86" t="n">
        <f aca="false">IF($A50="",1,COA_Mapping!$F51)</f>
        <v>1</v>
      </c>
      <c r="F50" s="87" t="n">
        <f aca="false">IF($A50="",0,SUMIF(GL_Data!$S$8:$S$5007,45001,GL_Data!$P$8:$P$5007))</f>
        <v>0</v>
      </c>
      <c r="G50" s="87" t="n">
        <f aca="false">IF($A50="",0,SUMIF(GL_Data!$S$8:$S$5007,45002,GL_Data!$P$8:$P$5007))</f>
        <v>0</v>
      </c>
      <c r="H50" s="87" t="n">
        <f aca="false">IF($A50="",0,SUMIF(GL_Data!$S$8:$S$5007,45003,GL_Data!$P$8:$P$5007))</f>
        <v>0</v>
      </c>
      <c r="I50" s="87" t="n">
        <f aca="false">IF($A50="",0,SUMIF(GL_Data!$S$8:$S$5007,45004,GL_Data!$P$8:$P$5007))</f>
        <v>0</v>
      </c>
      <c r="J50" s="87" t="n">
        <f aca="false">IF($A50="",0,SUMIF(GL_Data!$S$8:$S$5007,45005,GL_Data!$P$8:$P$5007))</f>
        <v>0</v>
      </c>
      <c r="K50" s="87" t="n">
        <f aca="false">IF($A50="",0,SUMIF(GL_Data!$S$8:$S$5007,45006,GL_Data!$P$8:$P$5007))</f>
        <v>0</v>
      </c>
      <c r="L50" s="87" t="n">
        <f aca="false">IF($A50="",0,SUMIF(GL_Data!$S$8:$S$5007,45007,GL_Data!$P$8:$P$5007))</f>
        <v>0</v>
      </c>
      <c r="M50" s="87" t="n">
        <f aca="false">IF($A50="",0,SUMIF(GL_Data!$S$8:$S$5007,45008,GL_Data!$P$8:$P$5007))</f>
        <v>0</v>
      </c>
      <c r="N50" s="87" t="n">
        <f aca="false">IF($A50="",0,SUMIF(GL_Data!$S$8:$S$5007,45009,GL_Data!$P$8:$P$5007))</f>
        <v>0</v>
      </c>
      <c r="O50" s="87" t="n">
        <f aca="false">IF($A50="",0,SUMIF(GL_Data!$S$8:$S$5007,45010,GL_Data!$P$8:$P$5007))</f>
        <v>0</v>
      </c>
      <c r="P50" s="87" t="n">
        <f aca="false">IF($A50="",0,SUMIF(GL_Data!$S$8:$S$5007,45011,GL_Data!$P$8:$P$5007))</f>
        <v>0</v>
      </c>
      <c r="Q50" s="87" t="n">
        <f aca="false">IF($A50="",0,SUMIF(GL_Data!$S$8:$S$5007,45012,GL_Data!$P$8:$P$5007))</f>
        <v>0</v>
      </c>
      <c r="R50" s="88" t="n">
        <f aca="false">IF($A50="",0,SUMIF(GL_Data!$S$8:$S$5007,45101,GL_Data!$P$8:$P$5007))</f>
        <v>0</v>
      </c>
      <c r="S50" s="88" t="n">
        <f aca="false">IF($A50="",0,SUMIF(GL_Data!$S$8:$S$5007,45102,GL_Data!$P$8:$P$5007))</f>
        <v>0</v>
      </c>
      <c r="T50" s="88" t="n">
        <f aca="false">IF($A50="",0,SUMIF(GL_Data!$S$8:$S$5007,45103,GL_Data!$P$8:$P$5007))</f>
        <v>0</v>
      </c>
      <c r="U50" s="88" t="n">
        <f aca="false">IF($A50="",0,SUMIF(GL_Data!$S$8:$S$5007,45104,GL_Data!$P$8:$P$5007))</f>
        <v>0</v>
      </c>
      <c r="V50" s="88" t="n">
        <f aca="false">IF($A50="",0,SUMIF(GL_Data!$S$8:$S$5007,45105,GL_Data!$P$8:$P$5007))</f>
        <v>0</v>
      </c>
      <c r="W50" s="88" t="n">
        <f aca="false">IF($A50="",0,SUMIF(GL_Data!$S$8:$S$5007,45106,GL_Data!$P$8:$P$5007))</f>
        <v>0</v>
      </c>
      <c r="X50" s="88" t="n">
        <f aca="false">IF($A50="",0,SUMIF(GL_Data!$S$8:$S$5007,45107,GL_Data!$P$8:$P$5007))</f>
        <v>0</v>
      </c>
      <c r="Y50" s="88" t="n">
        <f aca="false">IF($A50="",0,SUMIF(GL_Data!$S$8:$S$5007,45108,GL_Data!$P$8:$P$5007))</f>
        <v>0</v>
      </c>
      <c r="Z50" s="88" t="n">
        <f aca="false">IF($A50="",0,SUMIF(GL_Data!$S$8:$S$5007,45109,GL_Data!$P$8:$P$5007))</f>
        <v>0</v>
      </c>
      <c r="AA50" s="88" t="n">
        <f aca="false">IF($A50="",0,SUMIF(GL_Data!$S$8:$S$5007,45110,GL_Data!$P$8:$P$5007))</f>
        <v>0</v>
      </c>
      <c r="AB50" s="88" t="n">
        <f aca="false">IF($A50="",0,SUMIF(GL_Data!$S$8:$S$5007,45111,GL_Data!$P$8:$P$5007))</f>
        <v>0</v>
      </c>
      <c r="AC50" s="88" t="n">
        <f aca="false">IF($A50="",0,SUMIF(GL_Data!$S$8:$S$5007,45112,GL_Data!$P$8:$P$5007))</f>
        <v>0</v>
      </c>
      <c r="AD50" s="89" t="n">
        <f aca="false">IF($A50="",0,INDEX($F50:$AC50,12+Setup!$B$8))</f>
        <v>0</v>
      </c>
      <c r="AE50" s="90" t="n">
        <f aca="false">IF($A50="",0,INDEX($F50:$AC50,Setup!$B$8))</f>
        <v>0</v>
      </c>
      <c r="AF50" s="90" t="n">
        <f aca="false">IF($A50="",0,INDEX($F50:$AC50,11+Setup!$B$8))</f>
        <v>0</v>
      </c>
      <c r="AG50" s="90" t="n">
        <f aca="false">IF($A50="",0,AVERAGE(INDEX($F50:$AC50,9+Setup!$B$8):INDEX($F50:$AC50,11+Setup!$B$8)))</f>
        <v>0</v>
      </c>
      <c r="AH50" s="89" t="n">
        <f aca="false">IF($A50="",0,SUMPRODUCT(($R$3:$AC$3&lt;=Setup!$B$8)*$R50:$AC50))</f>
        <v>0</v>
      </c>
      <c r="AI50" s="90" t="n">
        <f aca="false">IF($A50="",0,SUMPRODUCT(($F$3:$Q$3&lt;=Setup!$B$8)*$F50:$Q50))</f>
        <v>0</v>
      </c>
      <c r="AJ50" s="90" t="n">
        <f aca="false">IF($A50="",0,SUM($F50:$Q50))</f>
        <v>0</v>
      </c>
      <c r="AK50" s="90" t="n">
        <f aca="false">IF($A50="",0,SUM($R50:$AC50))</f>
        <v>0</v>
      </c>
      <c r="AL50" s="91" t="n">
        <f aca="false">IF($A50="",0,IF(SUMPRODUCT(ABS($F50:$AC50))&gt;0,1,0))</f>
        <v>0</v>
      </c>
    </row>
    <row r="51" customFormat="false" ht="15" hidden="false" customHeight="false" outlineLevel="0" collapsed="false">
      <c r="A51" s="68" t="str">
        <f aca="false">IF(COA_Mapping!$A52="","",COA_Mapping!$A52)</f>
        <v>Direct Freight - ONS</v>
      </c>
      <c r="B51" s="68" t="str">
        <f aca="false">IF($A51="","",COA_Mapping!$C52)</f>
        <v>Cost of Sales</v>
      </c>
      <c r="C51" s="68" t="str">
        <f aca="false">IF($A51="","",COA_Mapping!$E52)</f>
        <v>P&amp;L</v>
      </c>
      <c r="D51" s="68" t="str">
        <f aca="false">IF($A51="","",COA_Mapping!$D52)</f>
        <v>Onsite</v>
      </c>
      <c r="E51" s="86" t="n">
        <f aca="false">IF($A51="",1,COA_Mapping!$F52)</f>
        <v>1</v>
      </c>
      <c r="F51" s="87" t="n">
        <f aca="false">IF($A51="",0,SUMIF(GL_Data!$S$8:$S$5007,46001,GL_Data!$P$8:$P$5007))</f>
        <v>0</v>
      </c>
      <c r="G51" s="87" t="n">
        <f aca="false">IF($A51="",0,SUMIF(GL_Data!$S$8:$S$5007,46002,GL_Data!$P$8:$P$5007))</f>
        <v>0</v>
      </c>
      <c r="H51" s="87" t="n">
        <f aca="false">IF($A51="",0,SUMIF(GL_Data!$S$8:$S$5007,46003,GL_Data!$P$8:$P$5007))</f>
        <v>0</v>
      </c>
      <c r="I51" s="87" t="n">
        <f aca="false">IF($A51="",0,SUMIF(GL_Data!$S$8:$S$5007,46004,GL_Data!$P$8:$P$5007))</f>
        <v>0</v>
      </c>
      <c r="J51" s="87" t="n">
        <f aca="false">IF($A51="",0,SUMIF(GL_Data!$S$8:$S$5007,46005,GL_Data!$P$8:$P$5007))</f>
        <v>0</v>
      </c>
      <c r="K51" s="87" t="n">
        <f aca="false">IF($A51="",0,SUMIF(GL_Data!$S$8:$S$5007,46006,GL_Data!$P$8:$P$5007))</f>
        <v>0</v>
      </c>
      <c r="L51" s="87" t="n">
        <f aca="false">IF($A51="",0,SUMIF(GL_Data!$S$8:$S$5007,46007,GL_Data!$P$8:$P$5007))</f>
        <v>0</v>
      </c>
      <c r="M51" s="87" t="n">
        <f aca="false">IF($A51="",0,SUMIF(GL_Data!$S$8:$S$5007,46008,GL_Data!$P$8:$P$5007))</f>
        <v>0</v>
      </c>
      <c r="N51" s="87" t="n">
        <f aca="false">IF($A51="",0,SUMIF(GL_Data!$S$8:$S$5007,46009,GL_Data!$P$8:$P$5007))</f>
        <v>0</v>
      </c>
      <c r="O51" s="87" t="n">
        <f aca="false">IF($A51="",0,SUMIF(GL_Data!$S$8:$S$5007,46010,GL_Data!$P$8:$P$5007))</f>
        <v>0</v>
      </c>
      <c r="P51" s="87" t="n">
        <f aca="false">IF($A51="",0,SUMIF(GL_Data!$S$8:$S$5007,46011,GL_Data!$P$8:$P$5007))</f>
        <v>0</v>
      </c>
      <c r="Q51" s="87" t="n">
        <f aca="false">IF($A51="",0,SUMIF(GL_Data!$S$8:$S$5007,46012,GL_Data!$P$8:$P$5007))</f>
        <v>0</v>
      </c>
      <c r="R51" s="88" t="n">
        <f aca="false">IF($A51="",0,SUMIF(GL_Data!$S$8:$S$5007,46101,GL_Data!$P$8:$P$5007))</f>
        <v>0</v>
      </c>
      <c r="S51" s="88" t="n">
        <f aca="false">IF($A51="",0,SUMIF(GL_Data!$S$8:$S$5007,46102,GL_Data!$P$8:$P$5007))</f>
        <v>0</v>
      </c>
      <c r="T51" s="88" t="n">
        <f aca="false">IF($A51="",0,SUMIF(GL_Data!$S$8:$S$5007,46103,GL_Data!$P$8:$P$5007))</f>
        <v>0</v>
      </c>
      <c r="U51" s="88" t="n">
        <f aca="false">IF($A51="",0,SUMIF(GL_Data!$S$8:$S$5007,46104,GL_Data!$P$8:$P$5007))</f>
        <v>0</v>
      </c>
      <c r="V51" s="88" t="n">
        <f aca="false">IF($A51="",0,SUMIF(GL_Data!$S$8:$S$5007,46105,GL_Data!$P$8:$P$5007))</f>
        <v>0</v>
      </c>
      <c r="W51" s="88" t="n">
        <f aca="false">IF($A51="",0,SUMIF(GL_Data!$S$8:$S$5007,46106,GL_Data!$P$8:$P$5007))</f>
        <v>0</v>
      </c>
      <c r="X51" s="88" t="n">
        <f aca="false">IF($A51="",0,SUMIF(GL_Data!$S$8:$S$5007,46107,GL_Data!$P$8:$P$5007))</f>
        <v>0</v>
      </c>
      <c r="Y51" s="88" t="n">
        <f aca="false">IF($A51="",0,SUMIF(GL_Data!$S$8:$S$5007,46108,GL_Data!$P$8:$P$5007))</f>
        <v>0</v>
      </c>
      <c r="Z51" s="88" t="n">
        <f aca="false">IF($A51="",0,SUMIF(GL_Data!$S$8:$S$5007,46109,GL_Data!$P$8:$P$5007))</f>
        <v>0</v>
      </c>
      <c r="AA51" s="88" t="n">
        <f aca="false">IF($A51="",0,SUMIF(GL_Data!$S$8:$S$5007,46110,GL_Data!$P$8:$P$5007))</f>
        <v>0</v>
      </c>
      <c r="AB51" s="88" t="n">
        <f aca="false">IF($A51="",0,SUMIF(GL_Data!$S$8:$S$5007,46111,GL_Data!$P$8:$P$5007))</f>
        <v>0</v>
      </c>
      <c r="AC51" s="88" t="n">
        <f aca="false">IF($A51="",0,SUMIF(GL_Data!$S$8:$S$5007,46112,GL_Data!$P$8:$P$5007))</f>
        <v>0</v>
      </c>
      <c r="AD51" s="89" t="n">
        <f aca="false">IF($A51="",0,INDEX($F51:$AC51,12+Setup!$B$8))</f>
        <v>0</v>
      </c>
      <c r="AE51" s="90" t="n">
        <f aca="false">IF($A51="",0,INDEX($F51:$AC51,Setup!$B$8))</f>
        <v>0</v>
      </c>
      <c r="AF51" s="90" t="n">
        <f aca="false">IF($A51="",0,INDEX($F51:$AC51,11+Setup!$B$8))</f>
        <v>0</v>
      </c>
      <c r="AG51" s="90" t="n">
        <f aca="false">IF($A51="",0,AVERAGE(INDEX($F51:$AC51,9+Setup!$B$8):INDEX($F51:$AC51,11+Setup!$B$8)))</f>
        <v>0</v>
      </c>
      <c r="AH51" s="89" t="n">
        <f aca="false">IF($A51="",0,SUMPRODUCT(($R$3:$AC$3&lt;=Setup!$B$8)*$R51:$AC51))</f>
        <v>0</v>
      </c>
      <c r="AI51" s="90" t="n">
        <f aca="false">IF($A51="",0,SUMPRODUCT(($F$3:$Q$3&lt;=Setup!$B$8)*$F51:$Q51))</f>
        <v>0</v>
      </c>
      <c r="AJ51" s="90" t="n">
        <f aca="false">IF($A51="",0,SUM($F51:$Q51))</f>
        <v>0</v>
      </c>
      <c r="AK51" s="90" t="n">
        <f aca="false">IF($A51="",0,SUM($R51:$AC51))</f>
        <v>0</v>
      </c>
      <c r="AL51" s="91" t="n">
        <f aca="false">IF($A51="",0,IF(SUMPRODUCT(ABS($F51:$AC51))&gt;0,1,0))</f>
        <v>0</v>
      </c>
    </row>
    <row r="52" customFormat="false" ht="15" hidden="false" customHeight="false" outlineLevel="0" collapsed="false">
      <c r="A52" s="68" t="str">
        <f aca="false">IF(COA_Mapping!$A53="","",COA_Mapping!$A53)</f>
        <v>Direct Freight - PRD</v>
      </c>
      <c r="B52" s="68" t="str">
        <f aca="false">IF($A52="","",COA_Mapping!$C53)</f>
        <v>Cost of Sales</v>
      </c>
      <c r="C52" s="68" t="str">
        <f aca="false">IF($A52="","",COA_Mapping!$E53)</f>
        <v>P&amp;L</v>
      </c>
      <c r="D52" s="68" t="str">
        <f aca="false">IF($A52="","",COA_Mapping!$D53)</f>
        <v>Production</v>
      </c>
      <c r="E52" s="86" t="n">
        <f aca="false">IF($A52="",1,COA_Mapping!$F53)</f>
        <v>1</v>
      </c>
      <c r="F52" s="87" t="n">
        <f aca="false">IF($A52="",0,SUMIF(GL_Data!$S$8:$S$5007,47001,GL_Data!$P$8:$P$5007))</f>
        <v>0</v>
      </c>
      <c r="G52" s="87" t="n">
        <f aca="false">IF($A52="",0,SUMIF(GL_Data!$S$8:$S$5007,47002,GL_Data!$P$8:$P$5007))</f>
        <v>0</v>
      </c>
      <c r="H52" s="87" t="n">
        <f aca="false">IF($A52="",0,SUMIF(GL_Data!$S$8:$S$5007,47003,GL_Data!$P$8:$P$5007))</f>
        <v>0</v>
      </c>
      <c r="I52" s="87" t="n">
        <f aca="false">IF($A52="",0,SUMIF(GL_Data!$S$8:$S$5007,47004,GL_Data!$P$8:$P$5007))</f>
        <v>0</v>
      </c>
      <c r="J52" s="87" t="n">
        <f aca="false">IF($A52="",0,SUMIF(GL_Data!$S$8:$S$5007,47005,GL_Data!$P$8:$P$5007))</f>
        <v>0</v>
      </c>
      <c r="K52" s="87" t="n">
        <f aca="false">IF($A52="",0,SUMIF(GL_Data!$S$8:$S$5007,47006,GL_Data!$P$8:$P$5007))</f>
        <v>0</v>
      </c>
      <c r="L52" s="87" t="n">
        <f aca="false">IF($A52="",0,SUMIF(GL_Data!$S$8:$S$5007,47007,GL_Data!$P$8:$P$5007))</f>
        <v>0</v>
      </c>
      <c r="M52" s="87" t="n">
        <f aca="false">IF($A52="",0,SUMIF(GL_Data!$S$8:$S$5007,47008,GL_Data!$P$8:$P$5007))</f>
        <v>0</v>
      </c>
      <c r="N52" s="87" t="n">
        <f aca="false">IF($A52="",0,SUMIF(GL_Data!$S$8:$S$5007,47009,GL_Data!$P$8:$P$5007))</f>
        <v>0</v>
      </c>
      <c r="O52" s="87" t="n">
        <f aca="false">IF($A52="",0,SUMIF(GL_Data!$S$8:$S$5007,47010,GL_Data!$P$8:$P$5007))</f>
        <v>0</v>
      </c>
      <c r="P52" s="87" t="n">
        <f aca="false">IF($A52="",0,SUMIF(GL_Data!$S$8:$S$5007,47011,GL_Data!$P$8:$P$5007))</f>
        <v>0</v>
      </c>
      <c r="Q52" s="87" t="n">
        <f aca="false">IF($A52="",0,SUMIF(GL_Data!$S$8:$S$5007,47012,GL_Data!$P$8:$P$5007))</f>
        <v>0</v>
      </c>
      <c r="R52" s="88" t="n">
        <f aca="false">IF($A52="",0,SUMIF(GL_Data!$S$8:$S$5007,47101,GL_Data!$P$8:$P$5007))</f>
        <v>0</v>
      </c>
      <c r="S52" s="88" t="n">
        <f aca="false">IF($A52="",0,SUMIF(GL_Data!$S$8:$S$5007,47102,GL_Data!$P$8:$P$5007))</f>
        <v>0</v>
      </c>
      <c r="T52" s="88" t="n">
        <f aca="false">IF($A52="",0,SUMIF(GL_Data!$S$8:$S$5007,47103,GL_Data!$P$8:$P$5007))</f>
        <v>0</v>
      </c>
      <c r="U52" s="88" t="n">
        <f aca="false">IF($A52="",0,SUMIF(GL_Data!$S$8:$S$5007,47104,GL_Data!$P$8:$P$5007))</f>
        <v>0</v>
      </c>
      <c r="V52" s="88" t="n">
        <f aca="false">IF($A52="",0,SUMIF(GL_Data!$S$8:$S$5007,47105,GL_Data!$P$8:$P$5007))</f>
        <v>0</v>
      </c>
      <c r="W52" s="88" t="n">
        <f aca="false">IF($A52="",0,SUMIF(GL_Data!$S$8:$S$5007,47106,GL_Data!$P$8:$P$5007))</f>
        <v>0</v>
      </c>
      <c r="X52" s="88" t="n">
        <f aca="false">IF($A52="",0,SUMIF(GL_Data!$S$8:$S$5007,47107,GL_Data!$P$8:$P$5007))</f>
        <v>0</v>
      </c>
      <c r="Y52" s="88" t="n">
        <f aca="false">IF($A52="",0,SUMIF(GL_Data!$S$8:$S$5007,47108,GL_Data!$P$8:$P$5007))</f>
        <v>0</v>
      </c>
      <c r="Z52" s="88" t="n">
        <f aca="false">IF($A52="",0,SUMIF(GL_Data!$S$8:$S$5007,47109,GL_Data!$P$8:$P$5007))</f>
        <v>0</v>
      </c>
      <c r="AA52" s="88" t="n">
        <f aca="false">IF($A52="",0,SUMIF(GL_Data!$S$8:$S$5007,47110,GL_Data!$P$8:$P$5007))</f>
        <v>0</v>
      </c>
      <c r="AB52" s="88" t="n">
        <f aca="false">IF($A52="",0,SUMIF(GL_Data!$S$8:$S$5007,47111,GL_Data!$P$8:$P$5007))</f>
        <v>0</v>
      </c>
      <c r="AC52" s="88" t="n">
        <f aca="false">IF($A52="",0,SUMIF(GL_Data!$S$8:$S$5007,47112,GL_Data!$P$8:$P$5007))</f>
        <v>0</v>
      </c>
      <c r="AD52" s="89" t="n">
        <f aca="false">IF($A52="",0,INDEX($F52:$AC52,12+Setup!$B$8))</f>
        <v>0</v>
      </c>
      <c r="AE52" s="90" t="n">
        <f aca="false">IF($A52="",0,INDEX($F52:$AC52,Setup!$B$8))</f>
        <v>0</v>
      </c>
      <c r="AF52" s="90" t="n">
        <f aca="false">IF($A52="",0,INDEX($F52:$AC52,11+Setup!$B$8))</f>
        <v>0</v>
      </c>
      <c r="AG52" s="90" t="n">
        <f aca="false">IF($A52="",0,AVERAGE(INDEX($F52:$AC52,9+Setup!$B$8):INDEX($F52:$AC52,11+Setup!$B$8)))</f>
        <v>0</v>
      </c>
      <c r="AH52" s="89" t="n">
        <f aca="false">IF($A52="",0,SUMPRODUCT(($R$3:$AC$3&lt;=Setup!$B$8)*$R52:$AC52))</f>
        <v>0</v>
      </c>
      <c r="AI52" s="90" t="n">
        <f aca="false">IF($A52="",0,SUMPRODUCT(($F$3:$Q$3&lt;=Setup!$B$8)*$F52:$Q52))</f>
        <v>0</v>
      </c>
      <c r="AJ52" s="90" t="n">
        <f aca="false">IF($A52="",0,SUM($F52:$Q52))</f>
        <v>0</v>
      </c>
      <c r="AK52" s="90" t="n">
        <f aca="false">IF($A52="",0,SUM($R52:$AC52))</f>
        <v>0</v>
      </c>
      <c r="AL52" s="91" t="n">
        <f aca="false">IF($A52="",0,IF(SUMPRODUCT(ABS($F52:$AC52))&gt;0,1,0))</f>
        <v>0</v>
      </c>
    </row>
    <row r="53" customFormat="false" ht="15" hidden="false" customHeight="false" outlineLevel="0" collapsed="false">
      <c r="A53" s="68" t="str">
        <f aca="false">IF(COA_Mapping!$A54="","",COA_Mapping!$A54)</f>
        <v>Direct Freight - VID</v>
      </c>
      <c r="B53" s="68" t="str">
        <f aca="false">IF($A53="","",COA_Mapping!$C54)</f>
        <v>Cost of Sales</v>
      </c>
      <c r="C53" s="68" t="str">
        <f aca="false">IF($A53="","",COA_Mapping!$E54)</f>
        <v>P&amp;L</v>
      </c>
      <c r="D53" s="68" t="str">
        <f aca="false">IF($A53="","",COA_Mapping!$D54)</f>
        <v>Video</v>
      </c>
      <c r="E53" s="86" t="n">
        <f aca="false">IF($A53="",1,COA_Mapping!$F54)</f>
        <v>1</v>
      </c>
      <c r="F53" s="87" t="n">
        <f aca="false">IF($A53="",0,SUMIF(GL_Data!$S$8:$S$5007,48001,GL_Data!$P$8:$P$5007))</f>
        <v>0</v>
      </c>
      <c r="G53" s="87" t="n">
        <f aca="false">IF($A53="",0,SUMIF(GL_Data!$S$8:$S$5007,48002,GL_Data!$P$8:$P$5007))</f>
        <v>0</v>
      </c>
      <c r="H53" s="87" t="n">
        <f aca="false">IF($A53="",0,SUMIF(GL_Data!$S$8:$S$5007,48003,GL_Data!$P$8:$P$5007))</f>
        <v>0</v>
      </c>
      <c r="I53" s="87" t="n">
        <f aca="false">IF($A53="",0,SUMIF(GL_Data!$S$8:$S$5007,48004,GL_Data!$P$8:$P$5007))</f>
        <v>0</v>
      </c>
      <c r="J53" s="87" t="n">
        <f aca="false">IF($A53="",0,SUMIF(GL_Data!$S$8:$S$5007,48005,GL_Data!$P$8:$P$5007))</f>
        <v>0</v>
      </c>
      <c r="K53" s="87" t="n">
        <f aca="false">IF($A53="",0,SUMIF(GL_Data!$S$8:$S$5007,48006,GL_Data!$P$8:$P$5007))</f>
        <v>0</v>
      </c>
      <c r="L53" s="87" t="n">
        <f aca="false">IF($A53="",0,SUMIF(GL_Data!$S$8:$S$5007,48007,GL_Data!$P$8:$P$5007))</f>
        <v>0</v>
      </c>
      <c r="M53" s="87" t="n">
        <f aca="false">IF($A53="",0,SUMIF(GL_Data!$S$8:$S$5007,48008,GL_Data!$P$8:$P$5007))</f>
        <v>0</v>
      </c>
      <c r="N53" s="87" t="n">
        <f aca="false">IF($A53="",0,SUMIF(GL_Data!$S$8:$S$5007,48009,GL_Data!$P$8:$P$5007))</f>
        <v>0</v>
      </c>
      <c r="O53" s="87" t="n">
        <f aca="false">IF($A53="",0,SUMIF(GL_Data!$S$8:$S$5007,48010,GL_Data!$P$8:$P$5007))</f>
        <v>0</v>
      </c>
      <c r="P53" s="87" t="n">
        <f aca="false">IF($A53="",0,SUMIF(GL_Data!$S$8:$S$5007,48011,GL_Data!$P$8:$P$5007))</f>
        <v>0</v>
      </c>
      <c r="Q53" s="87" t="n">
        <f aca="false">IF($A53="",0,SUMIF(GL_Data!$S$8:$S$5007,48012,GL_Data!$P$8:$P$5007))</f>
        <v>0</v>
      </c>
      <c r="R53" s="88" t="n">
        <f aca="false">IF($A53="",0,SUMIF(GL_Data!$S$8:$S$5007,48101,GL_Data!$P$8:$P$5007))</f>
        <v>0</v>
      </c>
      <c r="S53" s="88" t="n">
        <f aca="false">IF($A53="",0,SUMIF(GL_Data!$S$8:$S$5007,48102,GL_Data!$P$8:$P$5007))</f>
        <v>0</v>
      </c>
      <c r="T53" s="88" t="n">
        <f aca="false">IF($A53="",0,SUMIF(GL_Data!$S$8:$S$5007,48103,GL_Data!$P$8:$P$5007))</f>
        <v>0</v>
      </c>
      <c r="U53" s="88" t="n">
        <f aca="false">IF($A53="",0,SUMIF(GL_Data!$S$8:$S$5007,48104,GL_Data!$P$8:$P$5007))</f>
        <v>0</v>
      </c>
      <c r="V53" s="88" t="n">
        <f aca="false">IF($A53="",0,SUMIF(GL_Data!$S$8:$S$5007,48105,GL_Data!$P$8:$P$5007))</f>
        <v>0</v>
      </c>
      <c r="W53" s="88" t="n">
        <f aca="false">IF($A53="",0,SUMIF(GL_Data!$S$8:$S$5007,48106,GL_Data!$P$8:$P$5007))</f>
        <v>0</v>
      </c>
      <c r="X53" s="88" t="n">
        <f aca="false">IF($A53="",0,SUMIF(GL_Data!$S$8:$S$5007,48107,GL_Data!$P$8:$P$5007))</f>
        <v>0</v>
      </c>
      <c r="Y53" s="88" t="n">
        <f aca="false">IF($A53="",0,SUMIF(GL_Data!$S$8:$S$5007,48108,GL_Data!$P$8:$P$5007))</f>
        <v>0</v>
      </c>
      <c r="Z53" s="88" t="n">
        <f aca="false">IF($A53="",0,SUMIF(GL_Data!$S$8:$S$5007,48109,GL_Data!$P$8:$P$5007))</f>
        <v>0</v>
      </c>
      <c r="AA53" s="88" t="n">
        <f aca="false">IF($A53="",0,SUMIF(GL_Data!$S$8:$S$5007,48110,GL_Data!$P$8:$P$5007))</f>
        <v>0</v>
      </c>
      <c r="AB53" s="88" t="n">
        <f aca="false">IF($A53="",0,SUMIF(GL_Data!$S$8:$S$5007,48111,GL_Data!$P$8:$P$5007))</f>
        <v>0</v>
      </c>
      <c r="AC53" s="88" t="n">
        <f aca="false">IF($A53="",0,SUMIF(GL_Data!$S$8:$S$5007,48112,GL_Data!$P$8:$P$5007))</f>
        <v>0</v>
      </c>
      <c r="AD53" s="89" t="n">
        <f aca="false">IF($A53="",0,INDEX($F53:$AC53,12+Setup!$B$8))</f>
        <v>0</v>
      </c>
      <c r="AE53" s="90" t="n">
        <f aca="false">IF($A53="",0,INDEX($F53:$AC53,Setup!$B$8))</f>
        <v>0</v>
      </c>
      <c r="AF53" s="90" t="n">
        <f aca="false">IF($A53="",0,INDEX($F53:$AC53,11+Setup!$B$8))</f>
        <v>0</v>
      </c>
      <c r="AG53" s="90" t="n">
        <f aca="false">IF($A53="",0,AVERAGE(INDEX($F53:$AC53,9+Setup!$B$8):INDEX($F53:$AC53,11+Setup!$B$8)))</f>
        <v>0</v>
      </c>
      <c r="AH53" s="89" t="n">
        <f aca="false">IF($A53="",0,SUMPRODUCT(($R$3:$AC$3&lt;=Setup!$B$8)*$R53:$AC53))</f>
        <v>0</v>
      </c>
      <c r="AI53" s="90" t="n">
        <f aca="false">IF($A53="",0,SUMPRODUCT(($F$3:$Q$3&lt;=Setup!$B$8)*$F53:$Q53))</f>
        <v>0</v>
      </c>
      <c r="AJ53" s="90" t="n">
        <f aca="false">IF($A53="",0,SUM($F53:$Q53))</f>
        <v>0</v>
      </c>
      <c r="AK53" s="90" t="n">
        <f aca="false">IF($A53="",0,SUM($R53:$AC53))</f>
        <v>0</v>
      </c>
      <c r="AL53" s="91" t="n">
        <f aca="false">IF($A53="",0,IF(SUMPRODUCT(ABS($F53:$AC53))&gt;0,1,0))</f>
        <v>0</v>
      </c>
    </row>
    <row r="54" customFormat="false" ht="15" hidden="false" customHeight="false" outlineLevel="0" collapsed="false">
      <c r="A54" s="68" t="str">
        <f aca="false">IF(COA_Mapping!$A55="","",COA_Mapping!$A55)</f>
        <v>Direct Mobile - CONS</v>
      </c>
      <c r="B54" s="68" t="str">
        <f aca="false">IF($A54="","",COA_Mapping!$C55)</f>
        <v>Cost of Sales</v>
      </c>
      <c r="C54" s="68" t="str">
        <f aca="false">IF($A54="","",COA_Mapping!$E55)</f>
        <v>P&amp;L</v>
      </c>
      <c r="D54" s="68" t="str">
        <f aca="false">IF($A54="","",COA_Mapping!$D55)</f>
        <v>Consulting</v>
      </c>
      <c r="E54" s="86" t="n">
        <f aca="false">IF($A54="",1,COA_Mapping!$F55)</f>
        <v>1</v>
      </c>
      <c r="F54" s="87" t="n">
        <f aca="false">IF($A54="",0,SUMIF(GL_Data!$S$8:$S$5007,49001,GL_Data!$P$8:$P$5007))</f>
        <v>0</v>
      </c>
      <c r="G54" s="87" t="n">
        <f aca="false">IF($A54="",0,SUMIF(GL_Data!$S$8:$S$5007,49002,GL_Data!$P$8:$P$5007))</f>
        <v>0</v>
      </c>
      <c r="H54" s="87" t="n">
        <f aca="false">IF($A54="",0,SUMIF(GL_Data!$S$8:$S$5007,49003,GL_Data!$P$8:$P$5007))</f>
        <v>0</v>
      </c>
      <c r="I54" s="87" t="n">
        <f aca="false">IF($A54="",0,SUMIF(GL_Data!$S$8:$S$5007,49004,GL_Data!$P$8:$P$5007))</f>
        <v>0</v>
      </c>
      <c r="J54" s="87" t="n">
        <f aca="false">IF($A54="",0,SUMIF(GL_Data!$S$8:$S$5007,49005,GL_Data!$P$8:$P$5007))</f>
        <v>0</v>
      </c>
      <c r="K54" s="87" t="n">
        <f aca="false">IF($A54="",0,SUMIF(GL_Data!$S$8:$S$5007,49006,GL_Data!$P$8:$P$5007))</f>
        <v>0</v>
      </c>
      <c r="L54" s="87" t="n">
        <f aca="false">IF($A54="",0,SUMIF(GL_Data!$S$8:$S$5007,49007,GL_Data!$P$8:$P$5007))</f>
        <v>0</v>
      </c>
      <c r="M54" s="87" t="n">
        <f aca="false">IF($A54="",0,SUMIF(GL_Data!$S$8:$S$5007,49008,GL_Data!$P$8:$P$5007))</f>
        <v>0</v>
      </c>
      <c r="N54" s="87" t="n">
        <f aca="false">IF($A54="",0,SUMIF(GL_Data!$S$8:$S$5007,49009,GL_Data!$P$8:$P$5007))</f>
        <v>0</v>
      </c>
      <c r="O54" s="87" t="n">
        <f aca="false">IF($A54="",0,SUMIF(GL_Data!$S$8:$S$5007,49010,GL_Data!$P$8:$P$5007))</f>
        <v>0</v>
      </c>
      <c r="P54" s="87" t="n">
        <f aca="false">IF($A54="",0,SUMIF(GL_Data!$S$8:$S$5007,49011,GL_Data!$P$8:$P$5007))</f>
        <v>0</v>
      </c>
      <c r="Q54" s="87" t="n">
        <f aca="false">IF($A54="",0,SUMIF(GL_Data!$S$8:$S$5007,49012,GL_Data!$P$8:$P$5007))</f>
        <v>0</v>
      </c>
      <c r="R54" s="88" t="n">
        <f aca="false">IF($A54="",0,SUMIF(GL_Data!$S$8:$S$5007,49101,GL_Data!$P$8:$P$5007))</f>
        <v>0</v>
      </c>
      <c r="S54" s="88" t="n">
        <f aca="false">IF($A54="",0,SUMIF(GL_Data!$S$8:$S$5007,49102,GL_Data!$P$8:$P$5007))</f>
        <v>0</v>
      </c>
      <c r="T54" s="88" t="n">
        <f aca="false">IF($A54="",0,SUMIF(GL_Data!$S$8:$S$5007,49103,GL_Data!$P$8:$P$5007))</f>
        <v>0</v>
      </c>
      <c r="U54" s="88" t="n">
        <f aca="false">IF($A54="",0,SUMIF(GL_Data!$S$8:$S$5007,49104,GL_Data!$P$8:$P$5007))</f>
        <v>0</v>
      </c>
      <c r="V54" s="88" t="n">
        <f aca="false">IF($A54="",0,SUMIF(GL_Data!$S$8:$S$5007,49105,GL_Data!$P$8:$P$5007))</f>
        <v>0</v>
      </c>
      <c r="W54" s="88" t="n">
        <f aca="false">IF($A54="",0,SUMIF(GL_Data!$S$8:$S$5007,49106,GL_Data!$P$8:$P$5007))</f>
        <v>0</v>
      </c>
      <c r="X54" s="88" t="n">
        <f aca="false">IF($A54="",0,SUMIF(GL_Data!$S$8:$S$5007,49107,GL_Data!$P$8:$P$5007))</f>
        <v>0</v>
      </c>
      <c r="Y54" s="88" t="n">
        <f aca="false">IF($A54="",0,SUMIF(GL_Data!$S$8:$S$5007,49108,GL_Data!$P$8:$P$5007))</f>
        <v>0</v>
      </c>
      <c r="Z54" s="88" t="n">
        <f aca="false">IF($A54="",0,SUMIF(GL_Data!$S$8:$S$5007,49109,GL_Data!$P$8:$P$5007))</f>
        <v>0</v>
      </c>
      <c r="AA54" s="88" t="n">
        <f aca="false">IF($A54="",0,SUMIF(GL_Data!$S$8:$S$5007,49110,GL_Data!$P$8:$P$5007))</f>
        <v>0</v>
      </c>
      <c r="AB54" s="88" t="n">
        <f aca="false">IF($A54="",0,SUMIF(GL_Data!$S$8:$S$5007,49111,GL_Data!$P$8:$P$5007))</f>
        <v>0</v>
      </c>
      <c r="AC54" s="88" t="n">
        <f aca="false">IF($A54="",0,SUMIF(GL_Data!$S$8:$S$5007,49112,GL_Data!$P$8:$P$5007))</f>
        <v>0</v>
      </c>
      <c r="AD54" s="89" t="n">
        <f aca="false">IF($A54="",0,INDEX($F54:$AC54,12+Setup!$B$8))</f>
        <v>0</v>
      </c>
      <c r="AE54" s="90" t="n">
        <f aca="false">IF($A54="",0,INDEX($F54:$AC54,Setup!$B$8))</f>
        <v>0</v>
      </c>
      <c r="AF54" s="90" t="n">
        <f aca="false">IF($A54="",0,INDEX($F54:$AC54,11+Setup!$B$8))</f>
        <v>0</v>
      </c>
      <c r="AG54" s="90" t="n">
        <f aca="false">IF($A54="",0,AVERAGE(INDEX($F54:$AC54,9+Setup!$B$8):INDEX($F54:$AC54,11+Setup!$B$8)))</f>
        <v>0</v>
      </c>
      <c r="AH54" s="89" t="n">
        <f aca="false">IF($A54="",0,SUMPRODUCT(($R$3:$AC$3&lt;=Setup!$B$8)*$R54:$AC54))</f>
        <v>0</v>
      </c>
      <c r="AI54" s="90" t="n">
        <f aca="false">IF($A54="",0,SUMPRODUCT(($F$3:$Q$3&lt;=Setup!$B$8)*$F54:$Q54))</f>
        <v>0</v>
      </c>
      <c r="AJ54" s="90" t="n">
        <f aca="false">IF($A54="",0,SUM($F54:$Q54))</f>
        <v>0</v>
      </c>
      <c r="AK54" s="90" t="n">
        <f aca="false">IF($A54="",0,SUM($R54:$AC54))</f>
        <v>0</v>
      </c>
      <c r="AL54" s="91" t="n">
        <f aca="false">IF($A54="",0,IF(SUMPRODUCT(ABS($F54:$AC54))&gt;0,1,0))</f>
        <v>0</v>
      </c>
    </row>
    <row r="55" customFormat="false" ht="15" hidden="false" customHeight="false" outlineLevel="0" collapsed="false">
      <c r="A55" s="68" t="str">
        <f aca="false">IF(COA_Mapping!$A56="","",COA_Mapping!$A56)</f>
        <v>Direct Mobile - INTEGRATION</v>
      </c>
      <c r="B55" s="68" t="str">
        <f aca="false">IF($A55="","",COA_Mapping!$C56)</f>
        <v>Cost of Sales</v>
      </c>
      <c r="C55" s="68" t="str">
        <f aca="false">IF($A55="","",COA_Mapping!$E56)</f>
        <v>P&amp;L</v>
      </c>
      <c r="D55" s="68" t="str">
        <f aca="false">IF($A55="","",COA_Mapping!$D56)</f>
        <v>Integration</v>
      </c>
      <c r="E55" s="86" t="n">
        <f aca="false">IF($A55="",1,COA_Mapping!$F56)</f>
        <v>1</v>
      </c>
      <c r="F55" s="87" t="n">
        <f aca="false">IF($A55="",0,SUMIF(GL_Data!$S$8:$S$5007,50001,GL_Data!$P$8:$P$5007))</f>
        <v>0</v>
      </c>
      <c r="G55" s="87" t="n">
        <f aca="false">IF($A55="",0,SUMIF(GL_Data!$S$8:$S$5007,50002,GL_Data!$P$8:$P$5007))</f>
        <v>0</v>
      </c>
      <c r="H55" s="87" t="n">
        <f aca="false">IF($A55="",0,SUMIF(GL_Data!$S$8:$S$5007,50003,GL_Data!$P$8:$P$5007))</f>
        <v>0</v>
      </c>
      <c r="I55" s="87" t="n">
        <f aca="false">IF($A55="",0,SUMIF(GL_Data!$S$8:$S$5007,50004,GL_Data!$P$8:$P$5007))</f>
        <v>0</v>
      </c>
      <c r="J55" s="87" t="n">
        <f aca="false">IF($A55="",0,SUMIF(GL_Data!$S$8:$S$5007,50005,GL_Data!$P$8:$P$5007))</f>
        <v>0</v>
      </c>
      <c r="K55" s="87" t="n">
        <f aca="false">IF($A55="",0,SUMIF(GL_Data!$S$8:$S$5007,50006,GL_Data!$P$8:$P$5007))</f>
        <v>0</v>
      </c>
      <c r="L55" s="87" t="n">
        <f aca="false">IF($A55="",0,SUMIF(GL_Data!$S$8:$S$5007,50007,GL_Data!$P$8:$P$5007))</f>
        <v>0</v>
      </c>
      <c r="M55" s="87" t="n">
        <f aca="false">IF($A55="",0,SUMIF(GL_Data!$S$8:$S$5007,50008,GL_Data!$P$8:$P$5007))</f>
        <v>0</v>
      </c>
      <c r="N55" s="87" t="n">
        <f aca="false">IF($A55="",0,SUMIF(GL_Data!$S$8:$S$5007,50009,GL_Data!$P$8:$P$5007))</f>
        <v>0</v>
      </c>
      <c r="O55" s="87" t="n">
        <f aca="false">IF($A55="",0,SUMIF(GL_Data!$S$8:$S$5007,50010,GL_Data!$P$8:$P$5007))</f>
        <v>0</v>
      </c>
      <c r="P55" s="87" t="n">
        <f aca="false">IF($A55="",0,SUMIF(GL_Data!$S$8:$S$5007,50011,GL_Data!$P$8:$P$5007))</f>
        <v>0</v>
      </c>
      <c r="Q55" s="87" t="n">
        <f aca="false">IF($A55="",0,SUMIF(GL_Data!$S$8:$S$5007,50012,GL_Data!$P$8:$P$5007))</f>
        <v>0</v>
      </c>
      <c r="R55" s="88" t="n">
        <f aca="false">IF($A55="",0,SUMIF(GL_Data!$S$8:$S$5007,50101,GL_Data!$P$8:$P$5007))</f>
        <v>0</v>
      </c>
      <c r="S55" s="88" t="n">
        <f aca="false">IF($A55="",0,SUMIF(GL_Data!$S$8:$S$5007,50102,GL_Data!$P$8:$P$5007))</f>
        <v>0</v>
      </c>
      <c r="T55" s="88" t="n">
        <f aca="false">IF($A55="",0,SUMIF(GL_Data!$S$8:$S$5007,50103,GL_Data!$P$8:$P$5007))</f>
        <v>0</v>
      </c>
      <c r="U55" s="88" t="n">
        <f aca="false">IF($A55="",0,SUMIF(GL_Data!$S$8:$S$5007,50104,GL_Data!$P$8:$P$5007))</f>
        <v>0</v>
      </c>
      <c r="V55" s="88" t="n">
        <f aca="false">IF($A55="",0,SUMIF(GL_Data!$S$8:$S$5007,50105,GL_Data!$P$8:$P$5007))</f>
        <v>0</v>
      </c>
      <c r="W55" s="88" t="n">
        <f aca="false">IF($A55="",0,SUMIF(GL_Data!$S$8:$S$5007,50106,GL_Data!$P$8:$P$5007))</f>
        <v>0</v>
      </c>
      <c r="X55" s="88" t="n">
        <f aca="false">IF($A55="",0,SUMIF(GL_Data!$S$8:$S$5007,50107,GL_Data!$P$8:$P$5007))</f>
        <v>0</v>
      </c>
      <c r="Y55" s="88" t="n">
        <f aca="false">IF($A55="",0,SUMIF(GL_Data!$S$8:$S$5007,50108,GL_Data!$P$8:$P$5007))</f>
        <v>0</v>
      </c>
      <c r="Z55" s="88" t="n">
        <f aca="false">IF($A55="",0,SUMIF(GL_Data!$S$8:$S$5007,50109,GL_Data!$P$8:$P$5007))</f>
        <v>0</v>
      </c>
      <c r="AA55" s="88" t="n">
        <f aca="false">IF($A55="",0,SUMIF(GL_Data!$S$8:$S$5007,50110,GL_Data!$P$8:$P$5007))</f>
        <v>0</v>
      </c>
      <c r="AB55" s="88" t="n">
        <f aca="false">IF($A55="",0,SUMIF(GL_Data!$S$8:$S$5007,50111,GL_Data!$P$8:$P$5007))</f>
        <v>0</v>
      </c>
      <c r="AC55" s="88" t="n">
        <f aca="false">IF($A55="",0,SUMIF(GL_Data!$S$8:$S$5007,50112,GL_Data!$P$8:$P$5007))</f>
        <v>0</v>
      </c>
      <c r="AD55" s="89" t="n">
        <f aca="false">IF($A55="",0,INDEX($F55:$AC55,12+Setup!$B$8))</f>
        <v>0</v>
      </c>
      <c r="AE55" s="90" t="n">
        <f aca="false">IF($A55="",0,INDEX($F55:$AC55,Setup!$B$8))</f>
        <v>0</v>
      </c>
      <c r="AF55" s="90" t="n">
        <f aca="false">IF($A55="",0,INDEX($F55:$AC55,11+Setup!$B$8))</f>
        <v>0</v>
      </c>
      <c r="AG55" s="90" t="n">
        <f aca="false">IF($A55="",0,AVERAGE(INDEX($F55:$AC55,9+Setup!$B$8):INDEX($F55:$AC55,11+Setup!$B$8)))</f>
        <v>0</v>
      </c>
      <c r="AH55" s="89" t="n">
        <f aca="false">IF($A55="",0,SUMPRODUCT(($R$3:$AC$3&lt;=Setup!$B$8)*$R55:$AC55))</f>
        <v>0</v>
      </c>
      <c r="AI55" s="90" t="n">
        <f aca="false">IF($A55="",0,SUMPRODUCT(($F$3:$Q$3&lt;=Setup!$B$8)*$F55:$Q55))</f>
        <v>0</v>
      </c>
      <c r="AJ55" s="90" t="n">
        <f aca="false">IF($A55="",0,SUM($F55:$Q55))</f>
        <v>0</v>
      </c>
      <c r="AK55" s="90" t="n">
        <f aca="false">IF($A55="",0,SUM($R55:$AC55))</f>
        <v>0</v>
      </c>
      <c r="AL55" s="91" t="n">
        <f aca="false">IF($A55="",0,IF(SUMPRODUCT(ABS($F55:$AC55))&gt;0,1,0))</f>
        <v>0</v>
      </c>
    </row>
    <row r="56" customFormat="false" ht="15" hidden="false" customHeight="false" outlineLevel="0" collapsed="false">
      <c r="A56" s="68" t="str">
        <f aca="false">IF(COA_Mapping!$A57="","",COA_Mapping!$A57)</f>
        <v>Direct Mobile - ONS</v>
      </c>
      <c r="B56" s="68" t="str">
        <f aca="false">IF($A56="","",COA_Mapping!$C57)</f>
        <v>Cost of Sales</v>
      </c>
      <c r="C56" s="68" t="str">
        <f aca="false">IF($A56="","",COA_Mapping!$E57)</f>
        <v>P&amp;L</v>
      </c>
      <c r="D56" s="68" t="str">
        <f aca="false">IF($A56="","",COA_Mapping!$D57)</f>
        <v>Onsite</v>
      </c>
      <c r="E56" s="86" t="n">
        <f aca="false">IF($A56="",1,COA_Mapping!$F57)</f>
        <v>1</v>
      </c>
      <c r="F56" s="87" t="n">
        <f aca="false">IF($A56="",0,SUMIF(GL_Data!$S$8:$S$5007,51001,GL_Data!$P$8:$P$5007))</f>
        <v>0</v>
      </c>
      <c r="G56" s="87" t="n">
        <f aca="false">IF($A56="",0,SUMIF(GL_Data!$S$8:$S$5007,51002,GL_Data!$P$8:$P$5007))</f>
        <v>0</v>
      </c>
      <c r="H56" s="87" t="n">
        <f aca="false">IF($A56="",0,SUMIF(GL_Data!$S$8:$S$5007,51003,GL_Data!$P$8:$P$5007))</f>
        <v>0</v>
      </c>
      <c r="I56" s="87" t="n">
        <f aca="false">IF($A56="",0,SUMIF(GL_Data!$S$8:$S$5007,51004,GL_Data!$P$8:$P$5007))</f>
        <v>0</v>
      </c>
      <c r="J56" s="87" t="n">
        <f aca="false">IF($A56="",0,SUMIF(GL_Data!$S$8:$S$5007,51005,GL_Data!$P$8:$P$5007))</f>
        <v>0</v>
      </c>
      <c r="K56" s="87" t="n">
        <f aca="false">IF($A56="",0,SUMIF(GL_Data!$S$8:$S$5007,51006,GL_Data!$P$8:$P$5007))</f>
        <v>0</v>
      </c>
      <c r="L56" s="87" t="n">
        <f aca="false">IF($A56="",0,SUMIF(GL_Data!$S$8:$S$5007,51007,GL_Data!$P$8:$P$5007))</f>
        <v>0</v>
      </c>
      <c r="M56" s="87" t="n">
        <f aca="false">IF($A56="",0,SUMIF(GL_Data!$S$8:$S$5007,51008,GL_Data!$P$8:$P$5007))</f>
        <v>0</v>
      </c>
      <c r="N56" s="87" t="n">
        <f aca="false">IF($A56="",0,SUMIF(GL_Data!$S$8:$S$5007,51009,GL_Data!$P$8:$P$5007))</f>
        <v>0</v>
      </c>
      <c r="O56" s="87" t="n">
        <f aca="false">IF($A56="",0,SUMIF(GL_Data!$S$8:$S$5007,51010,GL_Data!$P$8:$P$5007))</f>
        <v>0</v>
      </c>
      <c r="P56" s="87" t="n">
        <f aca="false">IF($A56="",0,SUMIF(GL_Data!$S$8:$S$5007,51011,GL_Data!$P$8:$P$5007))</f>
        <v>0</v>
      </c>
      <c r="Q56" s="87" t="n">
        <f aca="false">IF($A56="",0,SUMIF(GL_Data!$S$8:$S$5007,51012,GL_Data!$P$8:$P$5007))</f>
        <v>0</v>
      </c>
      <c r="R56" s="88" t="n">
        <f aca="false">IF($A56="",0,SUMIF(GL_Data!$S$8:$S$5007,51101,GL_Data!$P$8:$P$5007))</f>
        <v>0</v>
      </c>
      <c r="S56" s="88" t="n">
        <f aca="false">IF($A56="",0,SUMIF(GL_Data!$S$8:$S$5007,51102,GL_Data!$P$8:$P$5007))</f>
        <v>0</v>
      </c>
      <c r="T56" s="88" t="n">
        <f aca="false">IF($A56="",0,SUMIF(GL_Data!$S$8:$S$5007,51103,GL_Data!$P$8:$P$5007))</f>
        <v>0</v>
      </c>
      <c r="U56" s="88" t="n">
        <f aca="false">IF($A56="",0,SUMIF(GL_Data!$S$8:$S$5007,51104,GL_Data!$P$8:$P$5007))</f>
        <v>0</v>
      </c>
      <c r="V56" s="88" t="n">
        <f aca="false">IF($A56="",0,SUMIF(GL_Data!$S$8:$S$5007,51105,GL_Data!$P$8:$P$5007))</f>
        <v>0</v>
      </c>
      <c r="W56" s="88" t="n">
        <f aca="false">IF($A56="",0,SUMIF(GL_Data!$S$8:$S$5007,51106,GL_Data!$P$8:$P$5007))</f>
        <v>0</v>
      </c>
      <c r="X56" s="88" t="n">
        <f aca="false">IF($A56="",0,SUMIF(GL_Data!$S$8:$S$5007,51107,GL_Data!$P$8:$P$5007))</f>
        <v>0</v>
      </c>
      <c r="Y56" s="88" t="n">
        <f aca="false">IF($A56="",0,SUMIF(GL_Data!$S$8:$S$5007,51108,GL_Data!$P$8:$P$5007))</f>
        <v>0</v>
      </c>
      <c r="Z56" s="88" t="n">
        <f aca="false">IF($A56="",0,SUMIF(GL_Data!$S$8:$S$5007,51109,GL_Data!$P$8:$P$5007))</f>
        <v>0</v>
      </c>
      <c r="AA56" s="88" t="n">
        <f aca="false">IF($A56="",0,SUMIF(GL_Data!$S$8:$S$5007,51110,GL_Data!$P$8:$P$5007))</f>
        <v>0</v>
      </c>
      <c r="AB56" s="88" t="n">
        <f aca="false">IF($A56="",0,SUMIF(GL_Data!$S$8:$S$5007,51111,GL_Data!$P$8:$P$5007))</f>
        <v>0</v>
      </c>
      <c r="AC56" s="88" t="n">
        <f aca="false">IF($A56="",0,SUMIF(GL_Data!$S$8:$S$5007,51112,GL_Data!$P$8:$P$5007))</f>
        <v>0</v>
      </c>
      <c r="AD56" s="89" t="n">
        <f aca="false">IF($A56="",0,INDEX($F56:$AC56,12+Setup!$B$8))</f>
        <v>0</v>
      </c>
      <c r="AE56" s="90" t="n">
        <f aca="false">IF($A56="",0,INDEX($F56:$AC56,Setup!$B$8))</f>
        <v>0</v>
      </c>
      <c r="AF56" s="90" t="n">
        <f aca="false">IF($A56="",0,INDEX($F56:$AC56,11+Setup!$B$8))</f>
        <v>0</v>
      </c>
      <c r="AG56" s="90" t="n">
        <f aca="false">IF($A56="",0,AVERAGE(INDEX($F56:$AC56,9+Setup!$B$8):INDEX($F56:$AC56,11+Setup!$B$8)))</f>
        <v>0</v>
      </c>
      <c r="AH56" s="89" t="n">
        <f aca="false">IF($A56="",0,SUMPRODUCT(($R$3:$AC$3&lt;=Setup!$B$8)*$R56:$AC56))</f>
        <v>0</v>
      </c>
      <c r="AI56" s="90" t="n">
        <f aca="false">IF($A56="",0,SUMPRODUCT(($F$3:$Q$3&lt;=Setup!$B$8)*$F56:$Q56))</f>
        <v>0</v>
      </c>
      <c r="AJ56" s="90" t="n">
        <f aca="false">IF($A56="",0,SUM($F56:$Q56))</f>
        <v>0</v>
      </c>
      <c r="AK56" s="90" t="n">
        <f aca="false">IF($A56="",0,SUM($R56:$AC56))</f>
        <v>0</v>
      </c>
      <c r="AL56" s="91" t="n">
        <f aca="false">IF($A56="",0,IF(SUMPRODUCT(ABS($F56:$AC56))&gt;0,1,0))</f>
        <v>0</v>
      </c>
    </row>
    <row r="57" customFormat="false" ht="15" hidden="false" customHeight="false" outlineLevel="0" collapsed="false">
      <c r="A57" s="68" t="str">
        <f aca="false">IF(COA_Mapping!$A58="","",COA_Mapping!$A58)</f>
        <v>Direct Mobile - PRD</v>
      </c>
      <c r="B57" s="68" t="str">
        <f aca="false">IF($A57="","",COA_Mapping!$C58)</f>
        <v>Cost of Sales</v>
      </c>
      <c r="C57" s="68" t="str">
        <f aca="false">IF($A57="","",COA_Mapping!$E58)</f>
        <v>P&amp;L</v>
      </c>
      <c r="D57" s="68" t="str">
        <f aca="false">IF($A57="","",COA_Mapping!$D58)</f>
        <v>Production</v>
      </c>
      <c r="E57" s="86" t="n">
        <f aca="false">IF($A57="",1,COA_Mapping!$F58)</f>
        <v>1</v>
      </c>
      <c r="F57" s="87" t="n">
        <f aca="false">IF($A57="",0,SUMIF(GL_Data!$S$8:$S$5007,52001,GL_Data!$P$8:$P$5007))</f>
        <v>0</v>
      </c>
      <c r="G57" s="87" t="n">
        <f aca="false">IF($A57="",0,SUMIF(GL_Data!$S$8:$S$5007,52002,GL_Data!$P$8:$P$5007))</f>
        <v>0</v>
      </c>
      <c r="H57" s="87" t="n">
        <f aca="false">IF($A57="",0,SUMIF(GL_Data!$S$8:$S$5007,52003,GL_Data!$P$8:$P$5007))</f>
        <v>0</v>
      </c>
      <c r="I57" s="87" t="n">
        <f aca="false">IF($A57="",0,SUMIF(GL_Data!$S$8:$S$5007,52004,GL_Data!$P$8:$P$5007))</f>
        <v>0</v>
      </c>
      <c r="J57" s="87" t="n">
        <f aca="false">IF($A57="",0,SUMIF(GL_Data!$S$8:$S$5007,52005,GL_Data!$P$8:$P$5007))</f>
        <v>0</v>
      </c>
      <c r="K57" s="87" t="n">
        <f aca="false">IF($A57="",0,SUMIF(GL_Data!$S$8:$S$5007,52006,GL_Data!$P$8:$P$5007))</f>
        <v>0</v>
      </c>
      <c r="L57" s="87" t="n">
        <f aca="false">IF($A57="",0,SUMIF(GL_Data!$S$8:$S$5007,52007,GL_Data!$P$8:$P$5007))</f>
        <v>0</v>
      </c>
      <c r="M57" s="87" t="n">
        <f aca="false">IF($A57="",0,SUMIF(GL_Data!$S$8:$S$5007,52008,GL_Data!$P$8:$P$5007))</f>
        <v>0</v>
      </c>
      <c r="N57" s="87" t="n">
        <f aca="false">IF($A57="",0,SUMIF(GL_Data!$S$8:$S$5007,52009,GL_Data!$P$8:$P$5007))</f>
        <v>0</v>
      </c>
      <c r="O57" s="87" t="n">
        <f aca="false">IF($A57="",0,SUMIF(GL_Data!$S$8:$S$5007,52010,GL_Data!$P$8:$P$5007))</f>
        <v>0</v>
      </c>
      <c r="P57" s="87" t="n">
        <f aca="false">IF($A57="",0,SUMIF(GL_Data!$S$8:$S$5007,52011,GL_Data!$P$8:$P$5007))</f>
        <v>0</v>
      </c>
      <c r="Q57" s="87" t="n">
        <f aca="false">IF($A57="",0,SUMIF(GL_Data!$S$8:$S$5007,52012,GL_Data!$P$8:$P$5007))</f>
        <v>0</v>
      </c>
      <c r="R57" s="88" t="n">
        <f aca="false">IF($A57="",0,SUMIF(GL_Data!$S$8:$S$5007,52101,GL_Data!$P$8:$P$5007))</f>
        <v>0</v>
      </c>
      <c r="S57" s="88" t="n">
        <f aca="false">IF($A57="",0,SUMIF(GL_Data!$S$8:$S$5007,52102,GL_Data!$P$8:$P$5007))</f>
        <v>0</v>
      </c>
      <c r="T57" s="88" t="n">
        <f aca="false">IF($A57="",0,SUMIF(GL_Data!$S$8:$S$5007,52103,GL_Data!$P$8:$P$5007))</f>
        <v>0</v>
      </c>
      <c r="U57" s="88" t="n">
        <f aca="false">IF($A57="",0,SUMIF(GL_Data!$S$8:$S$5007,52104,GL_Data!$P$8:$P$5007))</f>
        <v>0</v>
      </c>
      <c r="V57" s="88" t="n">
        <f aca="false">IF($A57="",0,SUMIF(GL_Data!$S$8:$S$5007,52105,GL_Data!$P$8:$P$5007))</f>
        <v>0</v>
      </c>
      <c r="W57" s="88" t="n">
        <f aca="false">IF($A57="",0,SUMIF(GL_Data!$S$8:$S$5007,52106,GL_Data!$P$8:$P$5007))</f>
        <v>0</v>
      </c>
      <c r="X57" s="88" t="n">
        <f aca="false">IF($A57="",0,SUMIF(GL_Data!$S$8:$S$5007,52107,GL_Data!$P$8:$P$5007))</f>
        <v>0</v>
      </c>
      <c r="Y57" s="88" t="n">
        <f aca="false">IF($A57="",0,SUMIF(GL_Data!$S$8:$S$5007,52108,GL_Data!$P$8:$P$5007))</f>
        <v>0</v>
      </c>
      <c r="Z57" s="88" t="n">
        <f aca="false">IF($A57="",0,SUMIF(GL_Data!$S$8:$S$5007,52109,GL_Data!$P$8:$P$5007))</f>
        <v>0</v>
      </c>
      <c r="AA57" s="88" t="n">
        <f aca="false">IF($A57="",0,SUMIF(GL_Data!$S$8:$S$5007,52110,GL_Data!$P$8:$P$5007))</f>
        <v>0</v>
      </c>
      <c r="AB57" s="88" t="n">
        <f aca="false">IF($A57="",0,SUMIF(GL_Data!$S$8:$S$5007,52111,GL_Data!$P$8:$P$5007))</f>
        <v>0</v>
      </c>
      <c r="AC57" s="88" t="n">
        <f aca="false">IF($A57="",0,SUMIF(GL_Data!$S$8:$S$5007,52112,GL_Data!$P$8:$P$5007))</f>
        <v>0</v>
      </c>
      <c r="AD57" s="89" t="n">
        <f aca="false">IF($A57="",0,INDEX($F57:$AC57,12+Setup!$B$8))</f>
        <v>0</v>
      </c>
      <c r="AE57" s="90" t="n">
        <f aca="false">IF($A57="",0,INDEX($F57:$AC57,Setup!$B$8))</f>
        <v>0</v>
      </c>
      <c r="AF57" s="90" t="n">
        <f aca="false">IF($A57="",0,INDEX($F57:$AC57,11+Setup!$B$8))</f>
        <v>0</v>
      </c>
      <c r="AG57" s="90" t="n">
        <f aca="false">IF($A57="",0,AVERAGE(INDEX($F57:$AC57,9+Setup!$B$8):INDEX($F57:$AC57,11+Setup!$B$8)))</f>
        <v>0</v>
      </c>
      <c r="AH57" s="89" t="n">
        <f aca="false">IF($A57="",0,SUMPRODUCT(($R$3:$AC$3&lt;=Setup!$B$8)*$R57:$AC57))</f>
        <v>0</v>
      </c>
      <c r="AI57" s="90" t="n">
        <f aca="false">IF($A57="",0,SUMPRODUCT(($F$3:$Q$3&lt;=Setup!$B$8)*$F57:$Q57))</f>
        <v>0</v>
      </c>
      <c r="AJ57" s="90" t="n">
        <f aca="false">IF($A57="",0,SUM($F57:$Q57))</f>
        <v>0</v>
      </c>
      <c r="AK57" s="90" t="n">
        <f aca="false">IF($A57="",0,SUM($R57:$AC57))</f>
        <v>0</v>
      </c>
      <c r="AL57" s="91" t="n">
        <f aca="false">IF($A57="",0,IF(SUMPRODUCT(ABS($F57:$AC57))&gt;0,1,0))</f>
        <v>0</v>
      </c>
    </row>
    <row r="58" customFormat="false" ht="15" hidden="false" customHeight="false" outlineLevel="0" collapsed="false">
      <c r="A58" s="68" t="str">
        <f aca="false">IF(COA_Mapping!$A59="","",COA_Mapping!$A59)</f>
        <v>Direct Mobile - VID</v>
      </c>
      <c r="B58" s="68" t="str">
        <f aca="false">IF($A58="","",COA_Mapping!$C59)</f>
        <v>Cost of Sales</v>
      </c>
      <c r="C58" s="68" t="str">
        <f aca="false">IF($A58="","",COA_Mapping!$E59)</f>
        <v>P&amp;L</v>
      </c>
      <c r="D58" s="68" t="str">
        <f aca="false">IF($A58="","",COA_Mapping!$D59)</f>
        <v>Video</v>
      </c>
      <c r="E58" s="86" t="n">
        <f aca="false">IF($A58="",1,COA_Mapping!$F59)</f>
        <v>1</v>
      </c>
      <c r="F58" s="87" t="n">
        <f aca="false">IF($A58="",0,SUMIF(GL_Data!$S$8:$S$5007,53001,GL_Data!$P$8:$P$5007))</f>
        <v>0</v>
      </c>
      <c r="G58" s="87" t="n">
        <f aca="false">IF($A58="",0,SUMIF(GL_Data!$S$8:$S$5007,53002,GL_Data!$P$8:$P$5007))</f>
        <v>0</v>
      </c>
      <c r="H58" s="87" t="n">
        <f aca="false">IF($A58="",0,SUMIF(GL_Data!$S$8:$S$5007,53003,GL_Data!$P$8:$P$5007))</f>
        <v>0</v>
      </c>
      <c r="I58" s="87" t="n">
        <f aca="false">IF($A58="",0,SUMIF(GL_Data!$S$8:$S$5007,53004,GL_Data!$P$8:$P$5007))</f>
        <v>0</v>
      </c>
      <c r="J58" s="87" t="n">
        <f aca="false">IF($A58="",0,SUMIF(GL_Data!$S$8:$S$5007,53005,GL_Data!$P$8:$P$5007))</f>
        <v>0</v>
      </c>
      <c r="K58" s="87" t="n">
        <f aca="false">IF($A58="",0,SUMIF(GL_Data!$S$8:$S$5007,53006,GL_Data!$P$8:$P$5007))</f>
        <v>0</v>
      </c>
      <c r="L58" s="87" t="n">
        <f aca="false">IF($A58="",0,SUMIF(GL_Data!$S$8:$S$5007,53007,GL_Data!$P$8:$P$5007))</f>
        <v>0</v>
      </c>
      <c r="M58" s="87" t="n">
        <f aca="false">IF($A58="",0,SUMIF(GL_Data!$S$8:$S$5007,53008,GL_Data!$P$8:$P$5007))</f>
        <v>0</v>
      </c>
      <c r="N58" s="87" t="n">
        <f aca="false">IF($A58="",0,SUMIF(GL_Data!$S$8:$S$5007,53009,GL_Data!$P$8:$P$5007))</f>
        <v>0</v>
      </c>
      <c r="O58" s="87" t="n">
        <f aca="false">IF($A58="",0,SUMIF(GL_Data!$S$8:$S$5007,53010,GL_Data!$P$8:$P$5007))</f>
        <v>0</v>
      </c>
      <c r="P58" s="87" t="n">
        <f aca="false">IF($A58="",0,SUMIF(GL_Data!$S$8:$S$5007,53011,GL_Data!$P$8:$P$5007))</f>
        <v>0</v>
      </c>
      <c r="Q58" s="87" t="n">
        <f aca="false">IF($A58="",0,SUMIF(GL_Data!$S$8:$S$5007,53012,GL_Data!$P$8:$P$5007))</f>
        <v>0</v>
      </c>
      <c r="R58" s="88" t="n">
        <f aca="false">IF($A58="",0,SUMIF(GL_Data!$S$8:$S$5007,53101,GL_Data!$P$8:$P$5007))</f>
        <v>0</v>
      </c>
      <c r="S58" s="88" t="n">
        <f aca="false">IF($A58="",0,SUMIF(GL_Data!$S$8:$S$5007,53102,GL_Data!$P$8:$P$5007))</f>
        <v>0</v>
      </c>
      <c r="T58" s="88" t="n">
        <f aca="false">IF($A58="",0,SUMIF(GL_Data!$S$8:$S$5007,53103,GL_Data!$P$8:$P$5007))</f>
        <v>0</v>
      </c>
      <c r="U58" s="88" t="n">
        <f aca="false">IF($A58="",0,SUMIF(GL_Data!$S$8:$S$5007,53104,GL_Data!$P$8:$P$5007))</f>
        <v>0</v>
      </c>
      <c r="V58" s="88" t="n">
        <f aca="false">IF($A58="",0,SUMIF(GL_Data!$S$8:$S$5007,53105,GL_Data!$P$8:$P$5007))</f>
        <v>0</v>
      </c>
      <c r="W58" s="88" t="n">
        <f aca="false">IF($A58="",0,SUMIF(GL_Data!$S$8:$S$5007,53106,GL_Data!$P$8:$P$5007))</f>
        <v>0</v>
      </c>
      <c r="X58" s="88" t="n">
        <f aca="false">IF($A58="",0,SUMIF(GL_Data!$S$8:$S$5007,53107,GL_Data!$P$8:$P$5007))</f>
        <v>0</v>
      </c>
      <c r="Y58" s="88" t="n">
        <f aca="false">IF($A58="",0,SUMIF(GL_Data!$S$8:$S$5007,53108,GL_Data!$P$8:$P$5007))</f>
        <v>0</v>
      </c>
      <c r="Z58" s="88" t="n">
        <f aca="false">IF($A58="",0,SUMIF(GL_Data!$S$8:$S$5007,53109,GL_Data!$P$8:$P$5007))</f>
        <v>0</v>
      </c>
      <c r="AA58" s="88" t="n">
        <f aca="false">IF($A58="",0,SUMIF(GL_Data!$S$8:$S$5007,53110,GL_Data!$P$8:$P$5007))</f>
        <v>0</v>
      </c>
      <c r="AB58" s="88" t="n">
        <f aca="false">IF($A58="",0,SUMIF(GL_Data!$S$8:$S$5007,53111,GL_Data!$P$8:$P$5007))</f>
        <v>0</v>
      </c>
      <c r="AC58" s="88" t="n">
        <f aca="false">IF($A58="",0,SUMIF(GL_Data!$S$8:$S$5007,53112,GL_Data!$P$8:$P$5007))</f>
        <v>0</v>
      </c>
      <c r="AD58" s="89" t="n">
        <f aca="false">IF($A58="",0,INDEX($F58:$AC58,12+Setup!$B$8))</f>
        <v>0</v>
      </c>
      <c r="AE58" s="90" t="n">
        <f aca="false">IF($A58="",0,INDEX($F58:$AC58,Setup!$B$8))</f>
        <v>0</v>
      </c>
      <c r="AF58" s="90" t="n">
        <f aca="false">IF($A58="",0,INDEX($F58:$AC58,11+Setup!$B$8))</f>
        <v>0</v>
      </c>
      <c r="AG58" s="90" t="n">
        <f aca="false">IF($A58="",0,AVERAGE(INDEX($F58:$AC58,9+Setup!$B$8):INDEX($F58:$AC58,11+Setup!$B$8)))</f>
        <v>0</v>
      </c>
      <c r="AH58" s="89" t="n">
        <f aca="false">IF($A58="",0,SUMPRODUCT(($R$3:$AC$3&lt;=Setup!$B$8)*$R58:$AC58))</f>
        <v>0</v>
      </c>
      <c r="AI58" s="90" t="n">
        <f aca="false">IF($A58="",0,SUMPRODUCT(($F$3:$Q$3&lt;=Setup!$B$8)*$F58:$Q58))</f>
        <v>0</v>
      </c>
      <c r="AJ58" s="90" t="n">
        <f aca="false">IF($A58="",0,SUM($F58:$Q58))</f>
        <v>0</v>
      </c>
      <c r="AK58" s="90" t="n">
        <f aca="false">IF($A58="",0,SUM($R58:$AC58))</f>
        <v>0</v>
      </c>
      <c r="AL58" s="91" t="n">
        <f aca="false">IF($A58="",0,IF(SUMPRODUCT(ABS($F58:$AC58))&gt;0,1,0))</f>
        <v>0</v>
      </c>
    </row>
    <row r="59" customFormat="false" ht="15" hidden="false" customHeight="false" outlineLevel="0" collapsed="false">
      <c r="A59" s="68" t="str">
        <f aca="false">IF(COA_Mapping!$A60="","",COA_Mapping!$A60)</f>
        <v>Direct Salaries - ADMIN</v>
      </c>
      <c r="B59" s="68" t="str">
        <f aca="false">IF($A59="","",COA_Mapping!$C60)</f>
        <v>Cost of Sales</v>
      </c>
      <c r="C59" s="68" t="str">
        <f aca="false">IF($A59="","",COA_Mapping!$E60)</f>
        <v>P&amp;L</v>
      </c>
      <c r="D59" s="68" t="str">
        <f aca="false">IF($A59="","",COA_Mapping!$D60)</f>
        <v>Admin</v>
      </c>
      <c r="E59" s="86" t="n">
        <f aca="false">IF($A59="",1,COA_Mapping!$F60)</f>
        <v>1</v>
      </c>
      <c r="F59" s="87" t="n">
        <f aca="false">IF($A59="",0,SUMIF(GL_Data!$S$8:$S$5007,54001,GL_Data!$P$8:$P$5007))</f>
        <v>0</v>
      </c>
      <c r="G59" s="87" t="n">
        <f aca="false">IF($A59="",0,SUMIF(GL_Data!$S$8:$S$5007,54002,GL_Data!$P$8:$P$5007))</f>
        <v>0</v>
      </c>
      <c r="H59" s="87" t="n">
        <f aca="false">IF($A59="",0,SUMIF(GL_Data!$S$8:$S$5007,54003,GL_Data!$P$8:$P$5007))</f>
        <v>0</v>
      </c>
      <c r="I59" s="87" t="n">
        <f aca="false">IF($A59="",0,SUMIF(GL_Data!$S$8:$S$5007,54004,GL_Data!$P$8:$P$5007))</f>
        <v>0</v>
      </c>
      <c r="J59" s="87" t="n">
        <f aca="false">IF($A59="",0,SUMIF(GL_Data!$S$8:$S$5007,54005,GL_Data!$P$8:$P$5007))</f>
        <v>0</v>
      </c>
      <c r="K59" s="87" t="n">
        <f aca="false">IF($A59="",0,SUMIF(GL_Data!$S$8:$S$5007,54006,GL_Data!$P$8:$P$5007))</f>
        <v>0</v>
      </c>
      <c r="L59" s="87" t="n">
        <f aca="false">IF($A59="",0,SUMIF(GL_Data!$S$8:$S$5007,54007,GL_Data!$P$8:$P$5007))</f>
        <v>0</v>
      </c>
      <c r="M59" s="87" t="n">
        <f aca="false">IF($A59="",0,SUMIF(GL_Data!$S$8:$S$5007,54008,GL_Data!$P$8:$P$5007))</f>
        <v>0</v>
      </c>
      <c r="N59" s="87" t="n">
        <f aca="false">IF($A59="",0,SUMIF(GL_Data!$S$8:$S$5007,54009,GL_Data!$P$8:$P$5007))</f>
        <v>0</v>
      </c>
      <c r="O59" s="87" t="n">
        <f aca="false">IF($A59="",0,SUMIF(GL_Data!$S$8:$S$5007,54010,GL_Data!$P$8:$P$5007))</f>
        <v>0</v>
      </c>
      <c r="P59" s="87" t="n">
        <f aca="false">IF($A59="",0,SUMIF(GL_Data!$S$8:$S$5007,54011,GL_Data!$P$8:$P$5007))</f>
        <v>0</v>
      </c>
      <c r="Q59" s="87" t="n">
        <f aca="false">IF($A59="",0,SUMIF(GL_Data!$S$8:$S$5007,54012,GL_Data!$P$8:$P$5007))</f>
        <v>0</v>
      </c>
      <c r="R59" s="88" t="n">
        <f aca="false">IF($A59="",0,SUMIF(GL_Data!$S$8:$S$5007,54101,GL_Data!$P$8:$P$5007))</f>
        <v>0</v>
      </c>
      <c r="S59" s="88" t="n">
        <f aca="false">IF($A59="",0,SUMIF(GL_Data!$S$8:$S$5007,54102,GL_Data!$P$8:$P$5007))</f>
        <v>0</v>
      </c>
      <c r="T59" s="88" t="n">
        <f aca="false">IF($A59="",0,SUMIF(GL_Data!$S$8:$S$5007,54103,GL_Data!$P$8:$P$5007))</f>
        <v>0</v>
      </c>
      <c r="U59" s="88" t="n">
        <f aca="false">IF($A59="",0,SUMIF(GL_Data!$S$8:$S$5007,54104,GL_Data!$P$8:$P$5007))</f>
        <v>0</v>
      </c>
      <c r="V59" s="88" t="n">
        <f aca="false">IF($A59="",0,SUMIF(GL_Data!$S$8:$S$5007,54105,GL_Data!$P$8:$P$5007))</f>
        <v>0</v>
      </c>
      <c r="W59" s="88" t="n">
        <f aca="false">IF($A59="",0,SUMIF(GL_Data!$S$8:$S$5007,54106,GL_Data!$P$8:$P$5007))</f>
        <v>0</v>
      </c>
      <c r="X59" s="88" t="n">
        <f aca="false">IF($A59="",0,SUMIF(GL_Data!$S$8:$S$5007,54107,GL_Data!$P$8:$P$5007))</f>
        <v>0</v>
      </c>
      <c r="Y59" s="88" t="n">
        <f aca="false">IF($A59="",0,SUMIF(GL_Data!$S$8:$S$5007,54108,GL_Data!$P$8:$P$5007))</f>
        <v>0</v>
      </c>
      <c r="Z59" s="88" t="n">
        <f aca="false">IF($A59="",0,SUMIF(GL_Data!$S$8:$S$5007,54109,GL_Data!$P$8:$P$5007))</f>
        <v>0</v>
      </c>
      <c r="AA59" s="88" t="n">
        <f aca="false">IF($A59="",0,SUMIF(GL_Data!$S$8:$S$5007,54110,GL_Data!$P$8:$P$5007))</f>
        <v>0</v>
      </c>
      <c r="AB59" s="88" t="n">
        <f aca="false">IF($A59="",0,SUMIF(GL_Data!$S$8:$S$5007,54111,GL_Data!$P$8:$P$5007))</f>
        <v>0</v>
      </c>
      <c r="AC59" s="88" t="n">
        <f aca="false">IF($A59="",0,SUMIF(GL_Data!$S$8:$S$5007,54112,GL_Data!$P$8:$P$5007))</f>
        <v>0</v>
      </c>
      <c r="AD59" s="89" t="n">
        <f aca="false">IF($A59="",0,INDEX($F59:$AC59,12+Setup!$B$8))</f>
        <v>0</v>
      </c>
      <c r="AE59" s="90" t="n">
        <f aca="false">IF($A59="",0,INDEX($F59:$AC59,Setup!$B$8))</f>
        <v>0</v>
      </c>
      <c r="AF59" s="90" t="n">
        <f aca="false">IF($A59="",0,INDEX($F59:$AC59,11+Setup!$B$8))</f>
        <v>0</v>
      </c>
      <c r="AG59" s="90" t="n">
        <f aca="false">IF($A59="",0,AVERAGE(INDEX($F59:$AC59,9+Setup!$B$8):INDEX($F59:$AC59,11+Setup!$B$8)))</f>
        <v>0</v>
      </c>
      <c r="AH59" s="89" t="n">
        <f aca="false">IF($A59="",0,SUMPRODUCT(($R$3:$AC$3&lt;=Setup!$B$8)*$R59:$AC59))</f>
        <v>0</v>
      </c>
      <c r="AI59" s="90" t="n">
        <f aca="false">IF($A59="",0,SUMPRODUCT(($F$3:$Q$3&lt;=Setup!$B$8)*$F59:$Q59))</f>
        <v>0</v>
      </c>
      <c r="AJ59" s="90" t="n">
        <f aca="false">IF($A59="",0,SUM($F59:$Q59))</f>
        <v>0</v>
      </c>
      <c r="AK59" s="90" t="n">
        <f aca="false">IF($A59="",0,SUM($R59:$AC59))</f>
        <v>0</v>
      </c>
      <c r="AL59" s="91" t="n">
        <f aca="false">IF($A59="",0,IF(SUMPRODUCT(ABS($F59:$AC59))&gt;0,1,0))</f>
        <v>0</v>
      </c>
    </row>
    <row r="60" customFormat="false" ht="15" hidden="false" customHeight="false" outlineLevel="0" collapsed="false">
      <c r="A60" s="68" t="str">
        <f aca="false">IF(COA_Mapping!$A61="","",COA_Mapping!$A61)</f>
        <v>Direct Salaries - CONS</v>
      </c>
      <c r="B60" s="68" t="str">
        <f aca="false">IF($A60="","",COA_Mapping!$C61)</f>
        <v>Cost of Sales</v>
      </c>
      <c r="C60" s="68" t="str">
        <f aca="false">IF($A60="","",COA_Mapping!$E61)</f>
        <v>P&amp;L</v>
      </c>
      <c r="D60" s="68" t="str">
        <f aca="false">IF($A60="","",COA_Mapping!$D61)</f>
        <v>Consulting</v>
      </c>
      <c r="E60" s="86" t="n">
        <f aca="false">IF($A60="",1,COA_Mapping!$F61)</f>
        <v>1</v>
      </c>
      <c r="F60" s="87" t="n">
        <f aca="false">IF($A60="",0,SUMIF(GL_Data!$S$8:$S$5007,55001,GL_Data!$P$8:$P$5007))</f>
        <v>0</v>
      </c>
      <c r="G60" s="87" t="n">
        <f aca="false">IF($A60="",0,SUMIF(GL_Data!$S$8:$S$5007,55002,GL_Data!$P$8:$P$5007))</f>
        <v>0</v>
      </c>
      <c r="H60" s="87" t="n">
        <f aca="false">IF($A60="",0,SUMIF(GL_Data!$S$8:$S$5007,55003,GL_Data!$P$8:$P$5007))</f>
        <v>0</v>
      </c>
      <c r="I60" s="87" t="n">
        <f aca="false">IF($A60="",0,SUMIF(GL_Data!$S$8:$S$5007,55004,GL_Data!$P$8:$P$5007))</f>
        <v>0</v>
      </c>
      <c r="J60" s="87" t="n">
        <f aca="false">IF($A60="",0,SUMIF(GL_Data!$S$8:$S$5007,55005,GL_Data!$P$8:$P$5007))</f>
        <v>0</v>
      </c>
      <c r="K60" s="87" t="n">
        <f aca="false">IF($A60="",0,SUMIF(GL_Data!$S$8:$S$5007,55006,GL_Data!$P$8:$P$5007))</f>
        <v>0</v>
      </c>
      <c r="L60" s="87" t="n">
        <f aca="false">IF($A60="",0,SUMIF(GL_Data!$S$8:$S$5007,55007,GL_Data!$P$8:$P$5007))</f>
        <v>0</v>
      </c>
      <c r="M60" s="87" t="n">
        <f aca="false">IF($A60="",0,SUMIF(GL_Data!$S$8:$S$5007,55008,GL_Data!$P$8:$P$5007))</f>
        <v>0</v>
      </c>
      <c r="N60" s="87" t="n">
        <f aca="false">IF($A60="",0,SUMIF(GL_Data!$S$8:$S$5007,55009,GL_Data!$P$8:$P$5007))</f>
        <v>0</v>
      </c>
      <c r="O60" s="87" t="n">
        <f aca="false">IF($A60="",0,SUMIF(GL_Data!$S$8:$S$5007,55010,GL_Data!$P$8:$P$5007))</f>
        <v>0</v>
      </c>
      <c r="P60" s="87" t="n">
        <f aca="false">IF($A60="",0,SUMIF(GL_Data!$S$8:$S$5007,55011,GL_Data!$P$8:$P$5007))</f>
        <v>0</v>
      </c>
      <c r="Q60" s="87" t="n">
        <f aca="false">IF($A60="",0,SUMIF(GL_Data!$S$8:$S$5007,55012,GL_Data!$P$8:$P$5007))</f>
        <v>0</v>
      </c>
      <c r="R60" s="88" t="n">
        <f aca="false">IF($A60="",0,SUMIF(GL_Data!$S$8:$S$5007,55101,GL_Data!$P$8:$P$5007))</f>
        <v>0</v>
      </c>
      <c r="S60" s="88" t="n">
        <f aca="false">IF($A60="",0,SUMIF(GL_Data!$S$8:$S$5007,55102,GL_Data!$P$8:$P$5007))</f>
        <v>0</v>
      </c>
      <c r="T60" s="88" t="n">
        <f aca="false">IF($A60="",0,SUMIF(GL_Data!$S$8:$S$5007,55103,GL_Data!$P$8:$P$5007))</f>
        <v>0</v>
      </c>
      <c r="U60" s="88" t="n">
        <f aca="false">IF($A60="",0,SUMIF(GL_Data!$S$8:$S$5007,55104,GL_Data!$P$8:$P$5007))</f>
        <v>0</v>
      </c>
      <c r="V60" s="88" t="n">
        <f aca="false">IF($A60="",0,SUMIF(GL_Data!$S$8:$S$5007,55105,GL_Data!$P$8:$P$5007))</f>
        <v>0</v>
      </c>
      <c r="W60" s="88" t="n">
        <f aca="false">IF($A60="",0,SUMIF(GL_Data!$S$8:$S$5007,55106,GL_Data!$P$8:$P$5007))</f>
        <v>0</v>
      </c>
      <c r="X60" s="88" t="n">
        <f aca="false">IF($A60="",0,SUMIF(GL_Data!$S$8:$S$5007,55107,GL_Data!$P$8:$P$5007))</f>
        <v>0</v>
      </c>
      <c r="Y60" s="88" t="n">
        <f aca="false">IF($A60="",0,SUMIF(GL_Data!$S$8:$S$5007,55108,GL_Data!$P$8:$P$5007))</f>
        <v>0</v>
      </c>
      <c r="Z60" s="88" t="n">
        <f aca="false">IF($A60="",0,SUMIF(GL_Data!$S$8:$S$5007,55109,GL_Data!$P$8:$P$5007))</f>
        <v>0</v>
      </c>
      <c r="AA60" s="88" t="n">
        <f aca="false">IF($A60="",0,SUMIF(GL_Data!$S$8:$S$5007,55110,GL_Data!$P$8:$P$5007))</f>
        <v>0</v>
      </c>
      <c r="AB60" s="88" t="n">
        <f aca="false">IF($A60="",0,SUMIF(GL_Data!$S$8:$S$5007,55111,GL_Data!$P$8:$P$5007))</f>
        <v>0</v>
      </c>
      <c r="AC60" s="88" t="n">
        <f aca="false">IF($A60="",0,SUMIF(GL_Data!$S$8:$S$5007,55112,GL_Data!$P$8:$P$5007))</f>
        <v>0</v>
      </c>
      <c r="AD60" s="89" t="n">
        <f aca="false">IF($A60="",0,INDEX($F60:$AC60,12+Setup!$B$8))</f>
        <v>0</v>
      </c>
      <c r="AE60" s="90" t="n">
        <f aca="false">IF($A60="",0,INDEX($F60:$AC60,Setup!$B$8))</f>
        <v>0</v>
      </c>
      <c r="AF60" s="90" t="n">
        <f aca="false">IF($A60="",0,INDEX($F60:$AC60,11+Setup!$B$8))</f>
        <v>0</v>
      </c>
      <c r="AG60" s="90" t="n">
        <f aca="false">IF($A60="",0,AVERAGE(INDEX($F60:$AC60,9+Setup!$B$8):INDEX($F60:$AC60,11+Setup!$B$8)))</f>
        <v>0</v>
      </c>
      <c r="AH60" s="89" t="n">
        <f aca="false">IF($A60="",0,SUMPRODUCT(($R$3:$AC$3&lt;=Setup!$B$8)*$R60:$AC60))</f>
        <v>0</v>
      </c>
      <c r="AI60" s="90" t="n">
        <f aca="false">IF($A60="",0,SUMPRODUCT(($F$3:$Q$3&lt;=Setup!$B$8)*$F60:$Q60))</f>
        <v>0</v>
      </c>
      <c r="AJ60" s="90" t="n">
        <f aca="false">IF($A60="",0,SUM($F60:$Q60))</f>
        <v>0</v>
      </c>
      <c r="AK60" s="90" t="n">
        <f aca="false">IF($A60="",0,SUM($R60:$AC60))</f>
        <v>0</v>
      </c>
      <c r="AL60" s="91" t="n">
        <f aca="false">IF($A60="",0,IF(SUMPRODUCT(ABS($F60:$AC60))&gt;0,1,0))</f>
        <v>0</v>
      </c>
    </row>
    <row r="61" customFormat="false" ht="15" hidden="false" customHeight="false" outlineLevel="0" collapsed="false">
      <c r="A61" s="68" t="str">
        <f aca="false">IF(COA_Mapping!$A62="","",COA_Mapping!$A62)</f>
        <v>Direct Salaries - INTEGRATION</v>
      </c>
      <c r="B61" s="68" t="str">
        <f aca="false">IF($A61="","",COA_Mapping!$C62)</f>
        <v>Cost of Sales</v>
      </c>
      <c r="C61" s="68" t="str">
        <f aca="false">IF($A61="","",COA_Mapping!$E62)</f>
        <v>P&amp;L</v>
      </c>
      <c r="D61" s="68" t="str">
        <f aca="false">IF($A61="","",COA_Mapping!$D62)</f>
        <v>Integration</v>
      </c>
      <c r="E61" s="86" t="n">
        <f aca="false">IF($A61="",1,COA_Mapping!$F62)</f>
        <v>1</v>
      </c>
      <c r="F61" s="87" t="n">
        <f aca="false">IF($A61="",0,SUMIF(GL_Data!$S$8:$S$5007,56001,GL_Data!$P$8:$P$5007))</f>
        <v>0</v>
      </c>
      <c r="G61" s="87" t="n">
        <f aca="false">IF($A61="",0,SUMIF(GL_Data!$S$8:$S$5007,56002,GL_Data!$P$8:$P$5007))</f>
        <v>0</v>
      </c>
      <c r="H61" s="87" t="n">
        <f aca="false">IF($A61="",0,SUMIF(GL_Data!$S$8:$S$5007,56003,GL_Data!$P$8:$P$5007))</f>
        <v>0</v>
      </c>
      <c r="I61" s="87" t="n">
        <f aca="false">IF($A61="",0,SUMIF(GL_Data!$S$8:$S$5007,56004,GL_Data!$P$8:$P$5007))</f>
        <v>0</v>
      </c>
      <c r="J61" s="87" t="n">
        <f aca="false">IF($A61="",0,SUMIF(GL_Data!$S$8:$S$5007,56005,GL_Data!$P$8:$P$5007))</f>
        <v>0</v>
      </c>
      <c r="K61" s="87" t="n">
        <f aca="false">IF($A61="",0,SUMIF(GL_Data!$S$8:$S$5007,56006,GL_Data!$P$8:$P$5007))</f>
        <v>0</v>
      </c>
      <c r="L61" s="87" t="n">
        <f aca="false">IF($A61="",0,SUMIF(GL_Data!$S$8:$S$5007,56007,GL_Data!$P$8:$P$5007))</f>
        <v>0</v>
      </c>
      <c r="M61" s="87" t="n">
        <f aca="false">IF($A61="",0,SUMIF(GL_Data!$S$8:$S$5007,56008,GL_Data!$P$8:$P$5007))</f>
        <v>0</v>
      </c>
      <c r="N61" s="87" t="n">
        <f aca="false">IF($A61="",0,SUMIF(GL_Data!$S$8:$S$5007,56009,GL_Data!$P$8:$P$5007))</f>
        <v>0</v>
      </c>
      <c r="O61" s="87" t="n">
        <f aca="false">IF($A61="",0,SUMIF(GL_Data!$S$8:$S$5007,56010,GL_Data!$P$8:$P$5007))</f>
        <v>0</v>
      </c>
      <c r="P61" s="87" t="n">
        <f aca="false">IF($A61="",0,SUMIF(GL_Data!$S$8:$S$5007,56011,GL_Data!$P$8:$P$5007))</f>
        <v>0</v>
      </c>
      <c r="Q61" s="87" t="n">
        <f aca="false">IF($A61="",0,SUMIF(GL_Data!$S$8:$S$5007,56012,GL_Data!$P$8:$P$5007))</f>
        <v>0</v>
      </c>
      <c r="R61" s="88" t="n">
        <f aca="false">IF($A61="",0,SUMIF(GL_Data!$S$8:$S$5007,56101,GL_Data!$P$8:$P$5007))</f>
        <v>0</v>
      </c>
      <c r="S61" s="88" t="n">
        <f aca="false">IF($A61="",0,SUMIF(GL_Data!$S$8:$S$5007,56102,GL_Data!$P$8:$P$5007))</f>
        <v>0</v>
      </c>
      <c r="T61" s="88" t="n">
        <f aca="false">IF($A61="",0,SUMIF(GL_Data!$S$8:$S$5007,56103,GL_Data!$P$8:$P$5007))</f>
        <v>0</v>
      </c>
      <c r="U61" s="88" t="n">
        <f aca="false">IF($A61="",0,SUMIF(GL_Data!$S$8:$S$5007,56104,GL_Data!$P$8:$P$5007))</f>
        <v>0</v>
      </c>
      <c r="V61" s="88" t="n">
        <f aca="false">IF($A61="",0,SUMIF(GL_Data!$S$8:$S$5007,56105,GL_Data!$P$8:$P$5007))</f>
        <v>0</v>
      </c>
      <c r="W61" s="88" t="n">
        <f aca="false">IF($A61="",0,SUMIF(GL_Data!$S$8:$S$5007,56106,GL_Data!$P$8:$P$5007))</f>
        <v>0</v>
      </c>
      <c r="X61" s="88" t="n">
        <f aca="false">IF($A61="",0,SUMIF(GL_Data!$S$8:$S$5007,56107,GL_Data!$P$8:$P$5007))</f>
        <v>0</v>
      </c>
      <c r="Y61" s="88" t="n">
        <f aca="false">IF($A61="",0,SUMIF(GL_Data!$S$8:$S$5007,56108,GL_Data!$P$8:$P$5007))</f>
        <v>0</v>
      </c>
      <c r="Z61" s="88" t="n">
        <f aca="false">IF($A61="",0,SUMIF(GL_Data!$S$8:$S$5007,56109,GL_Data!$P$8:$P$5007))</f>
        <v>0</v>
      </c>
      <c r="AA61" s="88" t="n">
        <f aca="false">IF($A61="",0,SUMIF(GL_Data!$S$8:$S$5007,56110,GL_Data!$P$8:$P$5007))</f>
        <v>0</v>
      </c>
      <c r="AB61" s="88" t="n">
        <f aca="false">IF($A61="",0,SUMIF(GL_Data!$S$8:$S$5007,56111,GL_Data!$P$8:$P$5007))</f>
        <v>0</v>
      </c>
      <c r="AC61" s="88" t="n">
        <f aca="false">IF($A61="",0,SUMIF(GL_Data!$S$8:$S$5007,56112,GL_Data!$P$8:$P$5007))</f>
        <v>0</v>
      </c>
      <c r="AD61" s="89" t="n">
        <f aca="false">IF($A61="",0,INDEX($F61:$AC61,12+Setup!$B$8))</f>
        <v>0</v>
      </c>
      <c r="AE61" s="90" t="n">
        <f aca="false">IF($A61="",0,INDEX($F61:$AC61,Setup!$B$8))</f>
        <v>0</v>
      </c>
      <c r="AF61" s="90" t="n">
        <f aca="false">IF($A61="",0,INDEX($F61:$AC61,11+Setup!$B$8))</f>
        <v>0</v>
      </c>
      <c r="AG61" s="90" t="n">
        <f aca="false">IF($A61="",0,AVERAGE(INDEX($F61:$AC61,9+Setup!$B$8):INDEX($F61:$AC61,11+Setup!$B$8)))</f>
        <v>0</v>
      </c>
      <c r="AH61" s="89" t="n">
        <f aca="false">IF($A61="",0,SUMPRODUCT(($R$3:$AC$3&lt;=Setup!$B$8)*$R61:$AC61))</f>
        <v>0</v>
      </c>
      <c r="AI61" s="90" t="n">
        <f aca="false">IF($A61="",0,SUMPRODUCT(($F$3:$Q$3&lt;=Setup!$B$8)*$F61:$Q61))</f>
        <v>0</v>
      </c>
      <c r="AJ61" s="90" t="n">
        <f aca="false">IF($A61="",0,SUM($F61:$Q61))</f>
        <v>0</v>
      </c>
      <c r="AK61" s="90" t="n">
        <f aca="false">IF($A61="",0,SUM($R61:$AC61))</f>
        <v>0</v>
      </c>
      <c r="AL61" s="91" t="n">
        <f aca="false">IF($A61="",0,IF(SUMPRODUCT(ABS($F61:$AC61))&gt;0,1,0))</f>
        <v>0</v>
      </c>
    </row>
    <row r="62" customFormat="false" ht="15" hidden="false" customHeight="false" outlineLevel="0" collapsed="false">
      <c r="A62" s="68" t="str">
        <f aca="false">IF(COA_Mapping!$A63="","",COA_Mapping!$A63)</f>
        <v>Direct Salaries - ONS</v>
      </c>
      <c r="B62" s="68" t="str">
        <f aca="false">IF($A62="","",COA_Mapping!$C63)</f>
        <v>Cost of Sales</v>
      </c>
      <c r="C62" s="68" t="str">
        <f aca="false">IF($A62="","",COA_Mapping!$E63)</f>
        <v>P&amp;L</v>
      </c>
      <c r="D62" s="68" t="str">
        <f aca="false">IF($A62="","",COA_Mapping!$D63)</f>
        <v>Onsite</v>
      </c>
      <c r="E62" s="86" t="n">
        <f aca="false">IF($A62="",1,COA_Mapping!$F63)</f>
        <v>1</v>
      </c>
      <c r="F62" s="87" t="n">
        <f aca="false">IF($A62="",0,SUMIF(GL_Data!$S$8:$S$5007,57001,GL_Data!$P$8:$P$5007))</f>
        <v>0</v>
      </c>
      <c r="G62" s="87" t="n">
        <f aca="false">IF($A62="",0,SUMIF(GL_Data!$S$8:$S$5007,57002,GL_Data!$P$8:$P$5007))</f>
        <v>0</v>
      </c>
      <c r="H62" s="87" t="n">
        <f aca="false">IF($A62="",0,SUMIF(GL_Data!$S$8:$S$5007,57003,GL_Data!$P$8:$P$5007))</f>
        <v>0</v>
      </c>
      <c r="I62" s="87" t="n">
        <f aca="false">IF($A62="",0,SUMIF(GL_Data!$S$8:$S$5007,57004,GL_Data!$P$8:$P$5007))</f>
        <v>0</v>
      </c>
      <c r="J62" s="87" t="n">
        <f aca="false">IF($A62="",0,SUMIF(GL_Data!$S$8:$S$5007,57005,GL_Data!$P$8:$P$5007))</f>
        <v>0</v>
      </c>
      <c r="K62" s="87" t="n">
        <f aca="false">IF($A62="",0,SUMIF(GL_Data!$S$8:$S$5007,57006,GL_Data!$P$8:$P$5007))</f>
        <v>0</v>
      </c>
      <c r="L62" s="87" t="n">
        <f aca="false">IF($A62="",0,SUMIF(GL_Data!$S$8:$S$5007,57007,GL_Data!$P$8:$P$5007))</f>
        <v>0</v>
      </c>
      <c r="M62" s="87" t="n">
        <f aca="false">IF($A62="",0,SUMIF(GL_Data!$S$8:$S$5007,57008,GL_Data!$P$8:$P$5007))</f>
        <v>0</v>
      </c>
      <c r="N62" s="87" t="n">
        <f aca="false">IF($A62="",0,SUMIF(GL_Data!$S$8:$S$5007,57009,GL_Data!$P$8:$P$5007))</f>
        <v>0</v>
      </c>
      <c r="O62" s="87" t="n">
        <f aca="false">IF($A62="",0,SUMIF(GL_Data!$S$8:$S$5007,57010,GL_Data!$P$8:$P$5007))</f>
        <v>0</v>
      </c>
      <c r="P62" s="87" t="n">
        <f aca="false">IF($A62="",0,SUMIF(GL_Data!$S$8:$S$5007,57011,GL_Data!$P$8:$P$5007))</f>
        <v>0</v>
      </c>
      <c r="Q62" s="87" t="n">
        <f aca="false">IF($A62="",0,SUMIF(GL_Data!$S$8:$S$5007,57012,GL_Data!$P$8:$P$5007))</f>
        <v>0</v>
      </c>
      <c r="R62" s="88" t="n">
        <f aca="false">IF($A62="",0,SUMIF(GL_Data!$S$8:$S$5007,57101,GL_Data!$P$8:$P$5007))</f>
        <v>0</v>
      </c>
      <c r="S62" s="88" t="n">
        <f aca="false">IF($A62="",0,SUMIF(GL_Data!$S$8:$S$5007,57102,GL_Data!$P$8:$P$5007))</f>
        <v>0</v>
      </c>
      <c r="T62" s="88" t="n">
        <f aca="false">IF($A62="",0,SUMIF(GL_Data!$S$8:$S$5007,57103,GL_Data!$P$8:$P$5007))</f>
        <v>0</v>
      </c>
      <c r="U62" s="88" t="n">
        <f aca="false">IF($A62="",0,SUMIF(GL_Data!$S$8:$S$5007,57104,GL_Data!$P$8:$P$5007))</f>
        <v>0</v>
      </c>
      <c r="V62" s="88" t="n">
        <f aca="false">IF($A62="",0,SUMIF(GL_Data!$S$8:$S$5007,57105,GL_Data!$P$8:$P$5007))</f>
        <v>0</v>
      </c>
      <c r="W62" s="88" t="n">
        <f aca="false">IF($A62="",0,SUMIF(GL_Data!$S$8:$S$5007,57106,GL_Data!$P$8:$P$5007))</f>
        <v>0</v>
      </c>
      <c r="X62" s="88" t="n">
        <f aca="false">IF($A62="",0,SUMIF(GL_Data!$S$8:$S$5007,57107,GL_Data!$P$8:$P$5007))</f>
        <v>0</v>
      </c>
      <c r="Y62" s="88" t="n">
        <f aca="false">IF($A62="",0,SUMIF(GL_Data!$S$8:$S$5007,57108,GL_Data!$P$8:$P$5007))</f>
        <v>0</v>
      </c>
      <c r="Z62" s="88" t="n">
        <f aca="false">IF($A62="",0,SUMIF(GL_Data!$S$8:$S$5007,57109,GL_Data!$P$8:$P$5007))</f>
        <v>0</v>
      </c>
      <c r="AA62" s="88" t="n">
        <f aca="false">IF($A62="",0,SUMIF(GL_Data!$S$8:$S$5007,57110,GL_Data!$P$8:$P$5007))</f>
        <v>0</v>
      </c>
      <c r="AB62" s="88" t="n">
        <f aca="false">IF($A62="",0,SUMIF(GL_Data!$S$8:$S$5007,57111,GL_Data!$P$8:$P$5007))</f>
        <v>0</v>
      </c>
      <c r="AC62" s="88" t="n">
        <f aca="false">IF($A62="",0,SUMIF(GL_Data!$S$8:$S$5007,57112,GL_Data!$P$8:$P$5007))</f>
        <v>0</v>
      </c>
      <c r="AD62" s="89" t="n">
        <f aca="false">IF($A62="",0,INDEX($F62:$AC62,12+Setup!$B$8))</f>
        <v>0</v>
      </c>
      <c r="AE62" s="90" t="n">
        <f aca="false">IF($A62="",0,INDEX($F62:$AC62,Setup!$B$8))</f>
        <v>0</v>
      </c>
      <c r="AF62" s="90" t="n">
        <f aca="false">IF($A62="",0,INDEX($F62:$AC62,11+Setup!$B$8))</f>
        <v>0</v>
      </c>
      <c r="AG62" s="90" t="n">
        <f aca="false">IF($A62="",0,AVERAGE(INDEX($F62:$AC62,9+Setup!$B$8):INDEX($F62:$AC62,11+Setup!$B$8)))</f>
        <v>0</v>
      </c>
      <c r="AH62" s="89" t="n">
        <f aca="false">IF($A62="",0,SUMPRODUCT(($R$3:$AC$3&lt;=Setup!$B$8)*$R62:$AC62))</f>
        <v>0</v>
      </c>
      <c r="AI62" s="90" t="n">
        <f aca="false">IF($A62="",0,SUMPRODUCT(($F$3:$Q$3&lt;=Setup!$B$8)*$F62:$Q62))</f>
        <v>0</v>
      </c>
      <c r="AJ62" s="90" t="n">
        <f aca="false">IF($A62="",0,SUM($F62:$Q62))</f>
        <v>0</v>
      </c>
      <c r="AK62" s="90" t="n">
        <f aca="false">IF($A62="",0,SUM($R62:$AC62))</f>
        <v>0</v>
      </c>
      <c r="AL62" s="91" t="n">
        <f aca="false">IF($A62="",0,IF(SUMPRODUCT(ABS($F62:$AC62))&gt;0,1,0))</f>
        <v>0</v>
      </c>
    </row>
    <row r="63" customFormat="false" ht="15" hidden="false" customHeight="false" outlineLevel="0" collapsed="false">
      <c r="A63" s="68" t="str">
        <f aca="false">IF(COA_Mapping!$A64="","",COA_Mapping!$A64)</f>
        <v>Direct Salaries - PRD</v>
      </c>
      <c r="B63" s="68" t="str">
        <f aca="false">IF($A63="","",COA_Mapping!$C64)</f>
        <v>Cost of Sales</v>
      </c>
      <c r="C63" s="68" t="str">
        <f aca="false">IF($A63="","",COA_Mapping!$E64)</f>
        <v>P&amp;L</v>
      </c>
      <c r="D63" s="68" t="str">
        <f aca="false">IF($A63="","",COA_Mapping!$D64)</f>
        <v>Production</v>
      </c>
      <c r="E63" s="86" t="n">
        <f aca="false">IF($A63="",1,COA_Mapping!$F64)</f>
        <v>1</v>
      </c>
      <c r="F63" s="87" t="n">
        <f aca="false">IF($A63="",0,SUMIF(GL_Data!$S$8:$S$5007,58001,GL_Data!$P$8:$P$5007))</f>
        <v>0</v>
      </c>
      <c r="G63" s="87" t="n">
        <f aca="false">IF($A63="",0,SUMIF(GL_Data!$S$8:$S$5007,58002,GL_Data!$P$8:$P$5007))</f>
        <v>0</v>
      </c>
      <c r="H63" s="87" t="n">
        <f aca="false">IF($A63="",0,SUMIF(GL_Data!$S$8:$S$5007,58003,GL_Data!$P$8:$P$5007))</f>
        <v>0</v>
      </c>
      <c r="I63" s="87" t="n">
        <f aca="false">IF($A63="",0,SUMIF(GL_Data!$S$8:$S$5007,58004,GL_Data!$P$8:$P$5007))</f>
        <v>0</v>
      </c>
      <c r="J63" s="87" t="n">
        <f aca="false">IF($A63="",0,SUMIF(GL_Data!$S$8:$S$5007,58005,GL_Data!$P$8:$P$5007))</f>
        <v>0</v>
      </c>
      <c r="K63" s="87" t="n">
        <f aca="false">IF($A63="",0,SUMIF(GL_Data!$S$8:$S$5007,58006,GL_Data!$P$8:$P$5007))</f>
        <v>0</v>
      </c>
      <c r="L63" s="87" t="n">
        <f aca="false">IF($A63="",0,SUMIF(GL_Data!$S$8:$S$5007,58007,GL_Data!$P$8:$P$5007))</f>
        <v>0</v>
      </c>
      <c r="M63" s="87" t="n">
        <f aca="false">IF($A63="",0,SUMIF(GL_Data!$S$8:$S$5007,58008,GL_Data!$P$8:$P$5007))</f>
        <v>0</v>
      </c>
      <c r="N63" s="87" t="n">
        <f aca="false">IF($A63="",0,SUMIF(GL_Data!$S$8:$S$5007,58009,GL_Data!$P$8:$P$5007))</f>
        <v>0</v>
      </c>
      <c r="O63" s="87" t="n">
        <f aca="false">IF($A63="",0,SUMIF(GL_Data!$S$8:$S$5007,58010,GL_Data!$P$8:$P$5007))</f>
        <v>0</v>
      </c>
      <c r="P63" s="87" t="n">
        <f aca="false">IF($A63="",0,SUMIF(GL_Data!$S$8:$S$5007,58011,GL_Data!$P$8:$P$5007))</f>
        <v>0</v>
      </c>
      <c r="Q63" s="87" t="n">
        <f aca="false">IF($A63="",0,SUMIF(GL_Data!$S$8:$S$5007,58012,GL_Data!$P$8:$P$5007))</f>
        <v>0</v>
      </c>
      <c r="R63" s="88" t="n">
        <f aca="false">IF($A63="",0,SUMIF(GL_Data!$S$8:$S$5007,58101,GL_Data!$P$8:$P$5007))</f>
        <v>0</v>
      </c>
      <c r="S63" s="88" t="n">
        <f aca="false">IF($A63="",0,SUMIF(GL_Data!$S$8:$S$5007,58102,GL_Data!$P$8:$P$5007))</f>
        <v>0</v>
      </c>
      <c r="T63" s="88" t="n">
        <f aca="false">IF($A63="",0,SUMIF(GL_Data!$S$8:$S$5007,58103,GL_Data!$P$8:$P$5007))</f>
        <v>0</v>
      </c>
      <c r="U63" s="88" t="n">
        <f aca="false">IF($A63="",0,SUMIF(GL_Data!$S$8:$S$5007,58104,GL_Data!$P$8:$P$5007))</f>
        <v>0</v>
      </c>
      <c r="V63" s="88" t="n">
        <f aca="false">IF($A63="",0,SUMIF(GL_Data!$S$8:$S$5007,58105,GL_Data!$P$8:$P$5007))</f>
        <v>0</v>
      </c>
      <c r="W63" s="88" t="n">
        <f aca="false">IF($A63="",0,SUMIF(GL_Data!$S$8:$S$5007,58106,GL_Data!$P$8:$P$5007))</f>
        <v>0</v>
      </c>
      <c r="X63" s="88" t="n">
        <f aca="false">IF($A63="",0,SUMIF(GL_Data!$S$8:$S$5007,58107,GL_Data!$P$8:$P$5007))</f>
        <v>0</v>
      </c>
      <c r="Y63" s="88" t="n">
        <f aca="false">IF($A63="",0,SUMIF(GL_Data!$S$8:$S$5007,58108,GL_Data!$P$8:$P$5007))</f>
        <v>0</v>
      </c>
      <c r="Z63" s="88" t="n">
        <f aca="false">IF($A63="",0,SUMIF(GL_Data!$S$8:$S$5007,58109,GL_Data!$P$8:$P$5007))</f>
        <v>0</v>
      </c>
      <c r="AA63" s="88" t="n">
        <f aca="false">IF($A63="",0,SUMIF(GL_Data!$S$8:$S$5007,58110,GL_Data!$P$8:$P$5007))</f>
        <v>0</v>
      </c>
      <c r="AB63" s="88" t="n">
        <f aca="false">IF($A63="",0,SUMIF(GL_Data!$S$8:$S$5007,58111,GL_Data!$P$8:$P$5007))</f>
        <v>0</v>
      </c>
      <c r="AC63" s="88" t="n">
        <f aca="false">IF($A63="",0,SUMIF(GL_Data!$S$8:$S$5007,58112,GL_Data!$P$8:$P$5007))</f>
        <v>0</v>
      </c>
      <c r="AD63" s="89" t="n">
        <f aca="false">IF($A63="",0,INDEX($F63:$AC63,12+Setup!$B$8))</f>
        <v>0</v>
      </c>
      <c r="AE63" s="90" t="n">
        <f aca="false">IF($A63="",0,INDEX($F63:$AC63,Setup!$B$8))</f>
        <v>0</v>
      </c>
      <c r="AF63" s="90" t="n">
        <f aca="false">IF($A63="",0,INDEX($F63:$AC63,11+Setup!$B$8))</f>
        <v>0</v>
      </c>
      <c r="AG63" s="90" t="n">
        <f aca="false">IF($A63="",0,AVERAGE(INDEX($F63:$AC63,9+Setup!$B$8):INDEX($F63:$AC63,11+Setup!$B$8)))</f>
        <v>0</v>
      </c>
      <c r="AH63" s="89" t="n">
        <f aca="false">IF($A63="",0,SUMPRODUCT(($R$3:$AC$3&lt;=Setup!$B$8)*$R63:$AC63))</f>
        <v>0</v>
      </c>
      <c r="AI63" s="90" t="n">
        <f aca="false">IF($A63="",0,SUMPRODUCT(($F$3:$Q$3&lt;=Setup!$B$8)*$F63:$Q63))</f>
        <v>0</v>
      </c>
      <c r="AJ63" s="90" t="n">
        <f aca="false">IF($A63="",0,SUM($F63:$Q63))</f>
        <v>0</v>
      </c>
      <c r="AK63" s="90" t="n">
        <f aca="false">IF($A63="",0,SUM($R63:$AC63))</f>
        <v>0</v>
      </c>
      <c r="AL63" s="91" t="n">
        <f aca="false">IF($A63="",0,IF(SUMPRODUCT(ABS($F63:$AC63))&gt;0,1,0))</f>
        <v>0</v>
      </c>
    </row>
    <row r="64" customFormat="false" ht="15" hidden="false" customHeight="false" outlineLevel="0" collapsed="false">
      <c r="A64" s="68" t="str">
        <f aca="false">IF(COA_Mapping!$A65="","",COA_Mapping!$A65)</f>
        <v>Direct Salaries - VID</v>
      </c>
      <c r="B64" s="68" t="str">
        <f aca="false">IF($A64="","",COA_Mapping!$C65)</f>
        <v>Cost of Sales</v>
      </c>
      <c r="C64" s="68" t="str">
        <f aca="false">IF($A64="","",COA_Mapping!$E65)</f>
        <v>P&amp;L</v>
      </c>
      <c r="D64" s="68" t="str">
        <f aca="false">IF($A64="","",COA_Mapping!$D65)</f>
        <v>Video</v>
      </c>
      <c r="E64" s="86" t="n">
        <f aca="false">IF($A64="",1,COA_Mapping!$F65)</f>
        <v>1</v>
      </c>
      <c r="F64" s="87" t="n">
        <f aca="false">IF($A64="",0,SUMIF(GL_Data!$S$8:$S$5007,59001,GL_Data!$P$8:$P$5007))</f>
        <v>0</v>
      </c>
      <c r="G64" s="87" t="n">
        <f aca="false">IF($A64="",0,SUMIF(GL_Data!$S$8:$S$5007,59002,GL_Data!$P$8:$P$5007))</f>
        <v>0</v>
      </c>
      <c r="H64" s="87" t="n">
        <f aca="false">IF($A64="",0,SUMIF(GL_Data!$S$8:$S$5007,59003,GL_Data!$P$8:$P$5007))</f>
        <v>0</v>
      </c>
      <c r="I64" s="87" t="n">
        <f aca="false">IF($A64="",0,SUMIF(GL_Data!$S$8:$S$5007,59004,GL_Data!$P$8:$P$5007))</f>
        <v>0</v>
      </c>
      <c r="J64" s="87" t="n">
        <f aca="false">IF($A64="",0,SUMIF(GL_Data!$S$8:$S$5007,59005,GL_Data!$P$8:$P$5007))</f>
        <v>0</v>
      </c>
      <c r="K64" s="87" t="n">
        <f aca="false">IF($A64="",0,SUMIF(GL_Data!$S$8:$S$5007,59006,GL_Data!$P$8:$P$5007))</f>
        <v>0</v>
      </c>
      <c r="L64" s="87" t="n">
        <f aca="false">IF($A64="",0,SUMIF(GL_Data!$S$8:$S$5007,59007,GL_Data!$P$8:$P$5007))</f>
        <v>0</v>
      </c>
      <c r="M64" s="87" t="n">
        <f aca="false">IF($A64="",0,SUMIF(GL_Data!$S$8:$S$5007,59008,GL_Data!$P$8:$P$5007))</f>
        <v>0</v>
      </c>
      <c r="N64" s="87" t="n">
        <f aca="false">IF($A64="",0,SUMIF(GL_Data!$S$8:$S$5007,59009,GL_Data!$P$8:$P$5007))</f>
        <v>0</v>
      </c>
      <c r="O64" s="87" t="n">
        <f aca="false">IF($A64="",0,SUMIF(GL_Data!$S$8:$S$5007,59010,GL_Data!$P$8:$P$5007))</f>
        <v>0</v>
      </c>
      <c r="P64" s="87" t="n">
        <f aca="false">IF($A64="",0,SUMIF(GL_Data!$S$8:$S$5007,59011,GL_Data!$P$8:$P$5007))</f>
        <v>0</v>
      </c>
      <c r="Q64" s="87" t="n">
        <f aca="false">IF($A64="",0,SUMIF(GL_Data!$S$8:$S$5007,59012,GL_Data!$P$8:$P$5007))</f>
        <v>0</v>
      </c>
      <c r="R64" s="88" t="n">
        <f aca="false">IF($A64="",0,SUMIF(GL_Data!$S$8:$S$5007,59101,GL_Data!$P$8:$P$5007))</f>
        <v>0</v>
      </c>
      <c r="S64" s="88" t="n">
        <f aca="false">IF($A64="",0,SUMIF(GL_Data!$S$8:$S$5007,59102,GL_Data!$P$8:$P$5007))</f>
        <v>0</v>
      </c>
      <c r="T64" s="88" t="n">
        <f aca="false">IF($A64="",0,SUMIF(GL_Data!$S$8:$S$5007,59103,GL_Data!$P$8:$P$5007))</f>
        <v>0</v>
      </c>
      <c r="U64" s="88" t="n">
        <f aca="false">IF($A64="",0,SUMIF(GL_Data!$S$8:$S$5007,59104,GL_Data!$P$8:$P$5007))</f>
        <v>0</v>
      </c>
      <c r="V64" s="88" t="n">
        <f aca="false">IF($A64="",0,SUMIF(GL_Data!$S$8:$S$5007,59105,GL_Data!$P$8:$P$5007))</f>
        <v>0</v>
      </c>
      <c r="W64" s="88" t="n">
        <f aca="false">IF($A64="",0,SUMIF(GL_Data!$S$8:$S$5007,59106,GL_Data!$P$8:$P$5007))</f>
        <v>0</v>
      </c>
      <c r="X64" s="88" t="n">
        <f aca="false">IF($A64="",0,SUMIF(GL_Data!$S$8:$S$5007,59107,GL_Data!$P$8:$P$5007))</f>
        <v>0</v>
      </c>
      <c r="Y64" s="88" t="n">
        <f aca="false">IF($A64="",0,SUMIF(GL_Data!$S$8:$S$5007,59108,GL_Data!$P$8:$P$5007))</f>
        <v>0</v>
      </c>
      <c r="Z64" s="88" t="n">
        <f aca="false">IF($A64="",0,SUMIF(GL_Data!$S$8:$S$5007,59109,GL_Data!$P$8:$P$5007))</f>
        <v>0</v>
      </c>
      <c r="AA64" s="88" t="n">
        <f aca="false">IF($A64="",0,SUMIF(GL_Data!$S$8:$S$5007,59110,GL_Data!$P$8:$P$5007))</f>
        <v>0</v>
      </c>
      <c r="AB64" s="88" t="n">
        <f aca="false">IF($A64="",0,SUMIF(GL_Data!$S$8:$S$5007,59111,GL_Data!$P$8:$P$5007))</f>
        <v>0</v>
      </c>
      <c r="AC64" s="88" t="n">
        <f aca="false">IF($A64="",0,SUMIF(GL_Data!$S$8:$S$5007,59112,GL_Data!$P$8:$P$5007))</f>
        <v>0</v>
      </c>
      <c r="AD64" s="89" t="n">
        <f aca="false">IF($A64="",0,INDEX($F64:$AC64,12+Setup!$B$8))</f>
        <v>0</v>
      </c>
      <c r="AE64" s="90" t="n">
        <f aca="false">IF($A64="",0,INDEX($F64:$AC64,Setup!$B$8))</f>
        <v>0</v>
      </c>
      <c r="AF64" s="90" t="n">
        <f aca="false">IF($A64="",0,INDEX($F64:$AC64,11+Setup!$B$8))</f>
        <v>0</v>
      </c>
      <c r="AG64" s="90" t="n">
        <f aca="false">IF($A64="",0,AVERAGE(INDEX($F64:$AC64,9+Setup!$B$8):INDEX($F64:$AC64,11+Setup!$B$8)))</f>
        <v>0</v>
      </c>
      <c r="AH64" s="89" t="n">
        <f aca="false">IF($A64="",0,SUMPRODUCT(($R$3:$AC$3&lt;=Setup!$B$8)*$R64:$AC64))</f>
        <v>0</v>
      </c>
      <c r="AI64" s="90" t="n">
        <f aca="false">IF($A64="",0,SUMPRODUCT(($F$3:$Q$3&lt;=Setup!$B$8)*$F64:$Q64))</f>
        <v>0</v>
      </c>
      <c r="AJ64" s="90" t="n">
        <f aca="false">IF($A64="",0,SUM($F64:$Q64))</f>
        <v>0</v>
      </c>
      <c r="AK64" s="90" t="n">
        <f aca="false">IF($A64="",0,SUM($R64:$AC64))</f>
        <v>0</v>
      </c>
      <c r="AL64" s="91" t="n">
        <f aca="false">IF($A64="",0,IF(SUMPRODUCT(ABS($F64:$AC64))&gt;0,1,0))</f>
        <v>0</v>
      </c>
    </row>
    <row r="65" customFormat="false" ht="15" hidden="false" customHeight="false" outlineLevel="0" collapsed="false">
      <c r="A65" s="68" t="str">
        <f aca="false">IF(COA_Mapping!$A66="","",COA_Mapping!$A66)</f>
        <v>Direct Superannuation - ADMIN</v>
      </c>
      <c r="B65" s="68" t="str">
        <f aca="false">IF($A65="","",COA_Mapping!$C66)</f>
        <v>Cost of Sales</v>
      </c>
      <c r="C65" s="68" t="str">
        <f aca="false">IF($A65="","",COA_Mapping!$E66)</f>
        <v>P&amp;L</v>
      </c>
      <c r="D65" s="68" t="str">
        <f aca="false">IF($A65="","",COA_Mapping!$D66)</f>
        <v>Admin</v>
      </c>
      <c r="E65" s="86" t="n">
        <f aca="false">IF($A65="",1,COA_Mapping!$F66)</f>
        <v>1</v>
      </c>
      <c r="F65" s="87" t="n">
        <f aca="false">IF($A65="",0,SUMIF(GL_Data!$S$8:$S$5007,60001,GL_Data!$P$8:$P$5007))</f>
        <v>0</v>
      </c>
      <c r="G65" s="87" t="n">
        <f aca="false">IF($A65="",0,SUMIF(GL_Data!$S$8:$S$5007,60002,GL_Data!$P$8:$P$5007))</f>
        <v>0</v>
      </c>
      <c r="H65" s="87" t="n">
        <f aca="false">IF($A65="",0,SUMIF(GL_Data!$S$8:$S$5007,60003,GL_Data!$P$8:$P$5007))</f>
        <v>0</v>
      </c>
      <c r="I65" s="87" t="n">
        <f aca="false">IF($A65="",0,SUMIF(GL_Data!$S$8:$S$5007,60004,GL_Data!$P$8:$P$5007))</f>
        <v>0</v>
      </c>
      <c r="J65" s="87" t="n">
        <f aca="false">IF($A65="",0,SUMIF(GL_Data!$S$8:$S$5007,60005,GL_Data!$P$8:$P$5007))</f>
        <v>0</v>
      </c>
      <c r="K65" s="87" t="n">
        <f aca="false">IF($A65="",0,SUMIF(GL_Data!$S$8:$S$5007,60006,GL_Data!$P$8:$P$5007))</f>
        <v>0</v>
      </c>
      <c r="L65" s="87" t="n">
        <f aca="false">IF($A65="",0,SUMIF(GL_Data!$S$8:$S$5007,60007,GL_Data!$P$8:$P$5007))</f>
        <v>0</v>
      </c>
      <c r="M65" s="87" t="n">
        <f aca="false">IF($A65="",0,SUMIF(GL_Data!$S$8:$S$5007,60008,GL_Data!$P$8:$P$5007))</f>
        <v>0</v>
      </c>
      <c r="N65" s="87" t="n">
        <f aca="false">IF($A65="",0,SUMIF(GL_Data!$S$8:$S$5007,60009,GL_Data!$P$8:$P$5007))</f>
        <v>0</v>
      </c>
      <c r="O65" s="87" t="n">
        <f aca="false">IF($A65="",0,SUMIF(GL_Data!$S$8:$S$5007,60010,GL_Data!$P$8:$P$5007))</f>
        <v>0</v>
      </c>
      <c r="P65" s="87" t="n">
        <f aca="false">IF($A65="",0,SUMIF(GL_Data!$S$8:$S$5007,60011,GL_Data!$P$8:$P$5007))</f>
        <v>0</v>
      </c>
      <c r="Q65" s="87" t="n">
        <f aca="false">IF($A65="",0,SUMIF(GL_Data!$S$8:$S$5007,60012,GL_Data!$P$8:$P$5007))</f>
        <v>0</v>
      </c>
      <c r="R65" s="88" t="n">
        <f aca="false">IF($A65="",0,SUMIF(GL_Data!$S$8:$S$5007,60101,GL_Data!$P$8:$P$5007))</f>
        <v>0</v>
      </c>
      <c r="S65" s="88" t="n">
        <f aca="false">IF($A65="",0,SUMIF(GL_Data!$S$8:$S$5007,60102,GL_Data!$P$8:$P$5007))</f>
        <v>0</v>
      </c>
      <c r="T65" s="88" t="n">
        <f aca="false">IF($A65="",0,SUMIF(GL_Data!$S$8:$S$5007,60103,GL_Data!$P$8:$P$5007))</f>
        <v>0</v>
      </c>
      <c r="U65" s="88" t="n">
        <f aca="false">IF($A65="",0,SUMIF(GL_Data!$S$8:$S$5007,60104,GL_Data!$P$8:$P$5007))</f>
        <v>0</v>
      </c>
      <c r="V65" s="88" t="n">
        <f aca="false">IF($A65="",0,SUMIF(GL_Data!$S$8:$S$5007,60105,GL_Data!$P$8:$P$5007))</f>
        <v>0</v>
      </c>
      <c r="W65" s="88" t="n">
        <f aca="false">IF($A65="",0,SUMIF(GL_Data!$S$8:$S$5007,60106,GL_Data!$P$8:$P$5007))</f>
        <v>0</v>
      </c>
      <c r="X65" s="88" t="n">
        <f aca="false">IF($A65="",0,SUMIF(GL_Data!$S$8:$S$5007,60107,GL_Data!$P$8:$P$5007))</f>
        <v>0</v>
      </c>
      <c r="Y65" s="88" t="n">
        <f aca="false">IF($A65="",0,SUMIF(GL_Data!$S$8:$S$5007,60108,GL_Data!$P$8:$P$5007))</f>
        <v>0</v>
      </c>
      <c r="Z65" s="88" t="n">
        <f aca="false">IF($A65="",0,SUMIF(GL_Data!$S$8:$S$5007,60109,GL_Data!$P$8:$P$5007))</f>
        <v>0</v>
      </c>
      <c r="AA65" s="88" t="n">
        <f aca="false">IF($A65="",0,SUMIF(GL_Data!$S$8:$S$5007,60110,GL_Data!$P$8:$P$5007))</f>
        <v>0</v>
      </c>
      <c r="AB65" s="88" t="n">
        <f aca="false">IF($A65="",0,SUMIF(GL_Data!$S$8:$S$5007,60111,GL_Data!$P$8:$P$5007))</f>
        <v>0</v>
      </c>
      <c r="AC65" s="88" t="n">
        <f aca="false">IF($A65="",0,SUMIF(GL_Data!$S$8:$S$5007,60112,GL_Data!$P$8:$P$5007))</f>
        <v>0</v>
      </c>
      <c r="AD65" s="89" t="n">
        <f aca="false">IF($A65="",0,INDEX($F65:$AC65,12+Setup!$B$8))</f>
        <v>0</v>
      </c>
      <c r="AE65" s="90" t="n">
        <f aca="false">IF($A65="",0,INDEX($F65:$AC65,Setup!$B$8))</f>
        <v>0</v>
      </c>
      <c r="AF65" s="90" t="n">
        <f aca="false">IF($A65="",0,INDEX($F65:$AC65,11+Setup!$B$8))</f>
        <v>0</v>
      </c>
      <c r="AG65" s="90" t="n">
        <f aca="false">IF($A65="",0,AVERAGE(INDEX($F65:$AC65,9+Setup!$B$8):INDEX($F65:$AC65,11+Setup!$B$8)))</f>
        <v>0</v>
      </c>
      <c r="AH65" s="89" t="n">
        <f aca="false">IF($A65="",0,SUMPRODUCT(($R$3:$AC$3&lt;=Setup!$B$8)*$R65:$AC65))</f>
        <v>0</v>
      </c>
      <c r="AI65" s="90" t="n">
        <f aca="false">IF($A65="",0,SUMPRODUCT(($F$3:$Q$3&lt;=Setup!$B$8)*$F65:$Q65))</f>
        <v>0</v>
      </c>
      <c r="AJ65" s="90" t="n">
        <f aca="false">IF($A65="",0,SUM($F65:$Q65))</f>
        <v>0</v>
      </c>
      <c r="AK65" s="90" t="n">
        <f aca="false">IF($A65="",0,SUM($R65:$AC65))</f>
        <v>0</v>
      </c>
      <c r="AL65" s="91" t="n">
        <f aca="false">IF($A65="",0,IF(SUMPRODUCT(ABS($F65:$AC65))&gt;0,1,0))</f>
        <v>0</v>
      </c>
    </row>
    <row r="66" customFormat="false" ht="15" hidden="false" customHeight="false" outlineLevel="0" collapsed="false">
      <c r="A66" s="68" t="str">
        <f aca="false">IF(COA_Mapping!$A67="","",COA_Mapping!$A67)</f>
        <v>Direct Superannuation - CONS</v>
      </c>
      <c r="B66" s="68" t="str">
        <f aca="false">IF($A66="","",COA_Mapping!$C67)</f>
        <v>Cost of Sales</v>
      </c>
      <c r="C66" s="68" t="str">
        <f aca="false">IF($A66="","",COA_Mapping!$E67)</f>
        <v>P&amp;L</v>
      </c>
      <c r="D66" s="68" t="str">
        <f aca="false">IF($A66="","",COA_Mapping!$D67)</f>
        <v>Consulting</v>
      </c>
      <c r="E66" s="86" t="n">
        <f aca="false">IF($A66="",1,COA_Mapping!$F67)</f>
        <v>1</v>
      </c>
      <c r="F66" s="87" t="n">
        <f aca="false">IF($A66="",0,SUMIF(GL_Data!$S$8:$S$5007,61001,GL_Data!$P$8:$P$5007))</f>
        <v>0</v>
      </c>
      <c r="G66" s="87" t="n">
        <f aca="false">IF($A66="",0,SUMIF(GL_Data!$S$8:$S$5007,61002,GL_Data!$P$8:$P$5007))</f>
        <v>0</v>
      </c>
      <c r="H66" s="87" t="n">
        <f aca="false">IF($A66="",0,SUMIF(GL_Data!$S$8:$S$5007,61003,GL_Data!$P$8:$P$5007))</f>
        <v>0</v>
      </c>
      <c r="I66" s="87" t="n">
        <f aca="false">IF($A66="",0,SUMIF(GL_Data!$S$8:$S$5007,61004,GL_Data!$P$8:$P$5007))</f>
        <v>0</v>
      </c>
      <c r="J66" s="87" t="n">
        <f aca="false">IF($A66="",0,SUMIF(GL_Data!$S$8:$S$5007,61005,GL_Data!$P$8:$P$5007))</f>
        <v>0</v>
      </c>
      <c r="K66" s="87" t="n">
        <f aca="false">IF($A66="",0,SUMIF(GL_Data!$S$8:$S$5007,61006,GL_Data!$P$8:$P$5007))</f>
        <v>0</v>
      </c>
      <c r="L66" s="87" t="n">
        <f aca="false">IF($A66="",0,SUMIF(GL_Data!$S$8:$S$5007,61007,GL_Data!$P$8:$P$5007))</f>
        <v>0</v>
      </c>
      <c r="M66" s="87" t="n">
        <f aca="false">IF($A66="",0,SUMIF(GL_Data!$S$8:$S$5007,61008,GL_Data!$P$8:$P$5007))</f>
        <v>0</v>
      </c>
      <c r="N66" s="87" t="n">
        <f aca="false">IF($A66="",0,SUMIF(GL_Data!$S$8:$S$5007,61009,GL_Data!$P$8:$P$5007))</f>
        <v>0</v>
      </c>
      <c r="O66" s="87" t="n">
        <f aca="false">IF($A66="",0,SUMIF(GL_Data!$S$8:$S$5007,61010,GL_Data!$P$8:$P$5007))</f>
        <v>0</v>
      </c>
      <c r="P66" s="87" t="n">
        <f aca="false">IF($A66="",0,SUMIF(GL_Data!$S$8:$S$5007,61011,GL_Data!$P$8:$P$5007))</f>
        <v>0</v>
      </c>
      <c r="Q66" s="87" t="n">
        <f aca="false">IF($A66="",0,SUMIF(GL_Data!$S$8:$S$5007,61012,GL_Data!$P$8:$P$5007))</f>
        <v>0</v>
      </c>
      <c r="R66" s="88" t="n">
        <f aca="false">IF($A66="",0,SUMIF(GL_Data!$S$8:$S$5007,61101,GL_Data!$P$8:$P$5007))</f>
        <v>0</v>
      </c>
      <c r="S66" s="88" t="n">
        <f aca="false">IF($A66="",0,SUMIF(GL_Data!$S$8:$S$5007,61102,GL_Data!$P$8:$P$5007))</f>
        <v>0</v>
      </c>
      <c r="T66" s="88" t="n">
        <f aca="false">IF($A66="",0,SUMIF(GL_Data!$S$8:$S$5007,61103,GL_Data!$P$8:$P$5007))</f>
        <v>0</v>
      </c>
      <c r="U66" s="88" t="n">
        <f aca="false">IF($A66="",0,SUMIF(GL_Data!$S$8:$S$5007,61104,GL_Data!$P$8:$P$5007))</f>
        <v>0</v>
      </c>
      <c r="V66" s="88" t="n">
        <f aca="false">IF($A66="",0,SUMIF(GL_Data!$S$8:$S$5007,61105,GL_Data!$P$8:$P$5007))</f>
        <v>0</v>
      </c>
      <c r="W66" s="88" t="n">
        <f aca="false">IF($A66="",0,SUMIF(GL_Data!$S$8:$S$5007,61106,GL_Data!$P$8:$P$5007))</f>
        <v>0</v>
      </c>
      <c r="X66" s="88" t="n">
        <f aca="false">IF($A66="",0,SUMIF(GL_Data!$S$8:$S$5007,61107,GL_Data!$P$8:$P$5007))</f>
        <v>0</v>
      </c>
      <c r="Y66" s="88" t="n">
        <f aca="false">IF($A66="",0,SUMIF(GL_Data!$S$8:$S$5007,61108,GL_Data!$P$8:$P$5007))</f>
        <v>0</v>
      </c>
      <c r="Z66" s="88" t="n">
        <f aca="false">IF($A66="",0,SUMIF(GL_Data!$S$8:$S$5007,61109,GL_Data!$P$8:$P$5007))</f>
        <v>0</v>
      </c>
      <c r="AA66" s="88" t="n">
        <f aca="false">IF($A66="",0,SUMIF(GL_Data!$S$8:$S$5007,61110,GL_Data!$P$8:$P$5007))</f>
        <v>0</v>
      </c>
      <c r="AB66" s="88" t="n">
        <f aca="false">IF($A66="",0,SUMIF(GL_Data!$S$8:$S$5007,61111,GL_Data!$P$8:$P$5007))</f>
        <v>0</v>
      </c>
      <c r="AC66" s="88" t="n">
        <f aca="false">IF($A66="",0,SUMIF(GL_Data!$S$8:$S$5007,61112,GL_Data!$P$8:$P$5007))</f>
        <v>0</v>
      </c>
      <c r="AD66" s="89" t="n">
        <f aca="false">IF($A66="",0,INDEX($F66:$AC66,12+Setup!$B$8))</f>
        <v>0</v>
      </c>
      <c r="AE66" s="90" t="n">
        <f aca="false">IF($A66="",0,INDEX($F66:$AC66,Setup!$B$8))</f>
        <v>0</v>
      </c>
      <c r="AF66" s="90" t="n">
        <f aca="false">IF($A66="",0,INDEX($F66:$AC66,11+Setup!$B$8))</f>
        <v>0</v>
      </c>
      <c r="AG66" s="90" t="n">
        <f aca="false">IF($A66="",0,AVERAGE(INDEX($F66:$AC66,9+Setup!$B$8):INDEX($F66:$AC66,11+Setup!$B$8)))</f>
        <v>0</v>
      </c>
      <c r="AH66" s="89" t="n">
        <f aca="false">IF($A66="",0,SUMPRODUCT(($R$3:$AC$3&lt;=Setup!$B$8)*$R66:$AC66))</f>
        <v>0</v>
      </c>
      <c r="AI66" s="90" t="n">
        <f aca="false">IF($A66="",0,SUMPRODUCT(($F$3:$Q$3&lt;=Setup!$B$8)*$F66:$Q66))</f>
        <v>0</v>
      </c>
      <c r="AJ66" s="90" t="n">
        <f aca="false">IF($A66="",0,SUM($F66:$Q66))</f>
        <v>0</v>
      </c>
      <c r="AK66" s="90" t="n">
        <f aca="false">IF($A66="",0,SUM($R66:$AC66))</f>
        <v>0</v>
      </c>
      <c r="AL66" s="91" t="n">
        <f aca="false">IF($A66="",0,IF(SUMPRODUCT(ABS($F66:$AC66))&gt;0,1,0))</f>
        <v>0</v>
      </c>
    </row>
    <row r="67" customFormat="false" ht="15" hidden="false" customHeight="false" outlineLevel="0" collapsed="false">
      <c r="A67" s="68" t="str">
        <f aca="false">IF(COA_Mapping!$A68="","",COA_Mapping!$A68)</f>
        <v>Direct Superannuation - ONS</v>
      </c>
      <c r="B67" s="68" t="str">
        <f aca="false">IF($A67="","",COA_Mapping!$C68)</f>
        <v>Cost of Sales</v>
      </c>
      <c r="C67" s="68" t="str">
        <f aca="false">IF($A67="","",COA_Mapping!$E68)</f>
        <v>P&amp;L</v>
      </c>
      <c r="D67" s="68" t="str">
        <f aca="false">IF($A67="","",COA_Mapping!$D68)</f>
        <v>Onsite</v>
      </c>
      <c r="E67" s="86" t="n">
        <f aca="false">IF($A67="",1,COA_Mapping!$F68)</f>
        <v>1</v>
      </c>
      <c r="F67" s="87" t="n">
        <f aca="false">IF($A67="",0,SUMIF(GL_Data!$S$8:$S$5007,62001,GL_Data!$P$8:$P$5007))</f>
        <v>0</v>
      </c>
      <c r="G67" s="87" t="n">
        <f aca="false">IF($A67="",0,SUMIF(GL_Data!$S$8:$S$5007,62002,GL_Data!$P$8:$P$5007))</f>
        <v>0</v>
      </c>
      <c r="H67" s="87" t="n">
        <f aca="false">IF($A67="",0,SUMIF(GL_Data!$S$8:$S$5007,62003,GL_Data!$P$8:$P$5007))</f>
        <v>0</v>
      </c>
      <c r="I67" s="87" t="n">
        <f aca="false">IF($A67="",0,SUMIF(GL_Data!$S$8:$S$5007,62004,GL_Data!$P$8:$P$5007))</f>
        <v>0</v>
      </c>
      <c r="J67" s="87" t="n">
        <f aca="false">IF($A67="",0,SUMIF(GL_Data!$S$8:$S$5007,62005,GL_Data!$P$8:$P$5007))</f>
        <v>0</v>
      </c>
      <c r="K67" s="87" t="n">
        <f aca="false">IF($A67="",0,SUMIF(GL_Data!$S$8:$S$5007,62006,GL_Data!$P$8:$P$5007))</f>
        <v>0</v>
      </c>
      <c r="L67" s="87" t="n">
        <f aca="false">IF($A67="",0,SUMIF(GL_Data!$S$8:$S$5007,62007,GL_Data!$P$8:$P$5007))</f>
        <v>0</v>
      </c>
      <c r="M67" s="87" t="n">
        <f aca="false">IF($A67="",0,SUMIF(GL_Data!$S$8:$S$5007,62008,GL_Data!$P$8:$P$5007))</f>
        <v>0</v>
      </c>
      <c r="N67" s="87" t="n">
        <f aca="false">IF($A67="",0,SUMIF(GL_Data!$S$8:$S$5007,62009,GL_Data!$P$8:$P$5007))</f>
        <v>0</v>
      </c>
      <c r="O67" s="87" t="n">
        <f aca="false">IF($A67="",0,SUMIF(GL_Data!$S$8:$S$5007,62010,GL_Data!$P$8:$P$5007))</f>
        <v>0</v>
      </c>
      <c r="P67" s="87" t="n">
        <f aca="false">IF($A67="",0,SUMIF(GL_Data!$S$8:$S$5007,62011,GL_Data!$P$8:$P$5007))</f>
        <v>0</v>
      </c>
      <c r="Q67" s="87" t="n">
        <f aca="false">IF($A67="",0,SUMIF(GL_Data!$S$8:$S$5007,62012,GL_Data!$P$8:$P$5007))</f>
        <v>0</v>
      </c>
      <c r="R67" s="88" t="n">
        <f aca="false">IF($A67="",0,SUMIF(GL_Data!$S$8:$S$5007,62101,GL_Data!$P$8:$P$5007))</f>
        <v>0</v>
      </c>
      <c r="S67" s="88" t="n">
        <f aca="false">IF($A67="",0,SUMIF(GL_Data!$S$8:$S$5007,62102,GL_Data!$P$8:$P$5007))</f>
        <v>0</v>
      </c>
      <c r="T67" s="88" t="n">
        <f aca="false">IF($A67="",0,SUMIF(GL_Data!$S$8:$S$5007,62103,GL_Data!$P$8:$P$5007))</f>
        <v>0</v>
      </c>
      <c r="U67" s="88" t="n">
        <f aca="false">IF($A67="",0,SUMIF(GL_Data!$S$8:$S$5007,62104,GL_Data!$P$8:$P$5007))</f>
        <v>0</v>
      </c>
      <c r="V67" s="88" t="n">
        <f aca="false">IF($A67="",0,SUMIF(GL_Data!$S$8:$S$5007,62105,GL_Data!$P$8:$P$5007))</f>
        <v>0</v>
      </c>
      <c r="W67" s="88" t="n">
        <f aca="false">IF($A67="",0,SUMIF(GL_Data!$S$8:$S$5007,62106,GL_Data!$P$8:$P$5007))</f>
        <v>0</v>
      </c>
      <c r="X67" s="88" t="n">
        <f aca="false">IF($A67="",0,SUMIF(GL_Data!$S$8:$S$5007,62107,GL_Data!$P$8:$P$5007))</f>
        <v>0</v>
      </c>
      <c r="Y67" s="88" t="n">
        <f aca="false">IF($A67="",0,SUMIF(GL_Data!$S$8:$S$5007,62108,GL_Data!$P$8:$P$5007))</f>
        <v>0</v>
      </c>
      <c r="Z67" s="88" t="n">
        <f aca="false">IF($A67="",0,SUMIF(GL_Data!$S$8:$S$5007,62109,GL_Data!$P$8:$P$5007))</f>
        <v>0</v>
      </c>
      <c r="AA67" s="88" t="n">
        <f aca="false">IF($A67="",0,SUMIF(GL_Data!$S$8:$S$5007,62110,GL_Data!$P$8:$P$5007))</f>
        <v>0</v>
      </c>
      <c r="AB67" s="88" t="n">
        <f aca="false">IF($A67="",0,SUMIF(GL_Data!$S$8:$S$5007,62111,GL_Data!$P$8:$P$5007))</f>
        <v>0</v>
      </c>
      <c r="AC67" s="88" t="n">
        <f aca="false">IF($A67="",0,SUMIF(GL_Data!$S$8:$S$5007,62112,GL_Data!$P$8:$P$5007))</f>
        <v>0</v>
      </c>
      <c r="AD67" s="89" t="n">
        <f aca="false">IF($A67="",0,INDEX($F67:$AC67,12+Setup!$B$8))</f>
        <v>0</v>
      </c>
      <c r="AE67" s="90" t="n">
        <f aca="false">IF($A67="",0,INDEX($F67:$AC67,Setup!$B$8))</f>
        <v>0</v>
      </c>
      <c r="AF67" s="90" t="n">
        <f aca="false">IF($A67="",0,INDEX($F67:$AC67,11+Setup!$B$8))</f>
        <v>0</v>
      </c>
      <c r="AG67" s="90" t="n">
        <f aca="false">IF($A67="",0,AVERAGE(INDEX($F67:$AC67,9+Setup!$B$8):INDEX($F67:$AC67,11+Setup!$B$8)))</f>
        <v>0</v>
      </c>
      <c r="AH67" s="89" t="n">
        <f aca="false">IF($A67="",0,SUMPRODUCT(($R$3:$AC$3&lt;=Setup!$B$8)*$R67:$AC67))</f>
        <v>0</v>
      </c>
      <c r="AI67" s="90" t="n">
        <f aca="false">IF($A67="",0,SUMPRODUCT(($F$3:$Q$3&lt;=Setup!$B$8)*$F67:$Q67))</f>
        <v>0</v>
      </c>
      <c r="AJ67" s="90" t="n">
        <f aca="false">IF($A67="",0,SUM($F67:$Q67))</f>
        <v>0</v>
      </c>
      <c r="AK67" s="90" t="n">
        <f aca="false">IF($A67="",0,SUM($R67:$AC67))</f>
        <v>0</v>
      </c>
      <c r="AL67" s="91" t="n">
        <f aca="false">IF($A67="",0,IF(SUMPRODUCT(ABS($F67:$AC67))&gt;0,1,0))</f>
        <v>0</v>
      </c>
    </row>
    <row r="68" customFormat="false" ht="15" hidden="false" customHeight="false" outlineLevel="0" collapsed="false">
      <c r="A68" s="68" t="str">
        <f aca="false">IF(COA_Mapping!$A69="","",COA_Mapping!$A69)</f>
        <v>Direct Superannuation - PRD</v>
      </c>
      <c r="B68" s="68" t="str">
        <f aca="false">IF($A68="","",COA_Mapping!$C69)</f>
        <v>Cost of Sales</v>
      </c>
      <c r="C68" s="68" t="str">
        <f aca="false">IF($A68="","",COA_Mapping!$E69)</f>
        <v>P&amp;L</v>
      </c>
      <c r="D68" s="68" t="str">
        <f aca="false">IF($A68="","",COA_Mapping!$D69)</f>
        <v>Production</v>
      </c>
      <c r="E68" s="86" t="n">
        <f aca="false">IF($A68="",1,COA_Mapping!$F69)</f>
        <v>1</v>
      </c>
      <c r="F68" s="87" t="n">
        <f aca="false">IF($A68="",0,SUMIF(GL_Data!$S$8:$S$5007,63001,GL_Data!$P$8:$P$5007))</f>
        <v>0</v>
      </c>
      <c r="G68" s="87" t="n">
        <f aca="false">IF($A68="",0,SUMIF(GL_Data!$S$8:$S$5007,63002,GL_Data!$P$8:$P$5007))</f>
        <v>0</v>
      </c>
      <c r="H68" s="87" t="n">
        <f aca="false">IF($A68="",0,SUMIF(GL_Data!$S$8:$S$5007,63003,GL_Data!$P$8:$P$5007))</f>
        <v>0</v>
      </c>
      <c r="I68" s="87" t="n">
        <f aca="false">IF($A68="",0,SUMIF(GL_Data!$S$8:$S$5007,63004,GL_Data!$P$8:$P$5007))</f>
        <v>0</v>
      </c>
      <c r="J68" s="87" t="n">
        <f aca="false">IF($A68="",0,SUMIF(GL_Data!$S$8:$S$5007,63005,GL_Data!$P$8:$P$5007))</f>
        <v>0</v>
      </c>
      <c r="K68" s="87" t="n">
        <f aca="false">IF($A68="",0,SUMIF(GL_Data!$S$8:$S$5007,63006,GL_Data!$P$8:$P$5007))</f>
        <v>0</v>
      </c>
      <c r="L68" s="87" t="n">
        <f aca="false">IF($A68="",0,SUMIF(GL_Data!$S$8:$S$5007,63007,GL_Data!$P$8:$P$5007))</f>
        <v>0</v>
      </c>
      <c r="M68" s="87" t="n">
        <f aca="false">IF($A68="",0,SUMIF(GL_Data!$S$8:$S$5007,63008,GL_Data!$P$8:$P$5007))</f>
        <v>0</v>
      </c>
      <c r="N68" s="87" t="n">
        <f aca="false">IF($A68="",0,SUMIF(GL_Data!$S$8:$S$5007,63009,GL_Data!$P$8:$P$5007))</f>
        <v>0</v>
      </c>
      <c r="O68" s="87" t="n">
        <f aca="false">IF($A68="",0,SUMIF(GL_Data!$S$8:$S$5007,63010,GL_Data!$P$8:$P$5007))</f>
        <v>0</v>
      </c>
      <c r="P68" s="87" t="n">
        <f aca="false">IF($A68="",0,SUMIF(GL_Data!$S$8:$S$5007,63011,GL_Data!$P$8:$P$5007))</f>
        <v>0</v>
      </c>
      <c r="Q68" s="87" t="n">
        <f aca="false">IF($A68="",0,SUMIF(GL_Data!$S$8:$S$5007,63012,GL_Data!$P$8:$P$5007))</f>
        <v>0</v>
      </c>
      <c r="R68" s="88" t="n">
        <f aca="false">IF($A68="",0,SUMIF(GL_Data!$S$8:$S$5007,63101,GL_Data!$P$8:$P$5007))</f>
        <v>0</v>
      </c>
      <c r="S68" s="88" t="n">
        <f aca="false">IF($A68="",0,SUMIF(GL_Data!$S$8:$S$5007,63102,GL_Data!$P$8:$P$5007))</f>
        <v>0</v>
      </c>
      <c r="T68" s="88" t="n">
        <f aca="false">IF($A68="",0,SUMIF(GL_Data!$S$8:$S$5007,63103,GL_Data!$P$8:$P$5007))</f>
        <v>0</v>
      </c>
      <c r="U68" s="88" t="n">
        <f aca="false">IF($A68="",0,SUMIF(GL_Data!$S$8:$S$5007,63104,GL_Data!$P$8:$P$5007))</f>
        <v>0</v>
      </c>
      <c r="V68" s="88" t="n">
        <f aca="false">IF($A68="",0,SUMIF(GL_Data!$S$8:$S$5007,63105,GL_Data!$P$8:$P$5007))</f>
        <v>0</v>
      </c>
      <c r="W68" s="88" t="n">
        <f aca="false">IF($A68="",0,SUMIF(GL_Data!$S$8:$S$5007,63106,GL_Data!$P$8:$P$5007))</f>
        <v>0</v>
      </c>
      <c r="X68" s="88" t="n">
        <f aca="false">IF($A68="",0,SUMIF(GL_Data!$S$8:$S$5007,63107,GL_Data!$P$8:$P$5007))</f>
        <v>0</v>
      </c>
      <c r="Y68" s="88" t="n">
        <f aca="false">IF($A68="",0,SUMIF(GL_Data!$S$8:$S$5007,63108,GL_Data!$P$8:$P$5007))</f>
        <v>0</v>
      </c>
      <c r="Z68" s="88" t="n">
        <f aca="false">IF($A68="",0,SUMIF(GL_Data!$S$8:$S$5007,63109,GL_Data!$P$8:$P$5007))</f>
        <v>0</v>
      </c>
      <c r="AA68" s="88" t="n">
        <f aca="false">IF($A68="",0,SUMIF(GL_Data!$S$8:$S$5007,63110,GL_Data!$P$8:$P$5007))</f>
        <v>0</v>
      </c>
      <c r="AB68" s="88" t="n">
        <f aca="false">IF($A68="",0,SUMIF(GL_Data!$S$8:$S$5007,63111,GL_Data!$P$8:$P$5007))</f>
        <v>0</v>
      </c>
      <c r="AC68" s="88" t="n">
        <f aca="false">IF($A68="",0,SUMIF(GL_Data!$S$8:$S$5007,63112,GL_Data!$P$8:$P$5007))</f>
        <v>0</v>
      </c>
      <c r="AD68" s="89" t="n">
        <f aca="false">IF($A68="",0,INDEX($F68:$AC68,12+Setup!$B$8))</f>
        <v>0</v>
      </c>
      <c r="AE68" s="90" t="n">
        <f aca="false">IF($A68="",0,INDEX($F68:$AC68,Setup!$B$8))</f>
        <v>0</v>
      </c>
      <c r="AF68" s="90" t="n">
        <f aca="false">IF($A68="",0,INDEX($F68:$AC68,11+Setup!$B$8))</f>
        <v>0</v>
      </c>
      <c r="AG68" s="90" t="n">
        <f aca="false">IF($A68="",0,AVERAGE(INDEX($F68:$AC68,9+Setup!$B$8):INDEX($F68:$AC68,11+Setup!$B$8)))</f>
        <v>0</v>
      </c>
      <c r="AH68" s="89" t="n">
        <f aca="false">IF($A68="",0,SUMPRODUCT(($R$3:$AC$3&lt;=Setup!$B$8)*$R68:$AC68))</f>
        <v>0</v>
      </c>
      <c r="AI68" s="90" t="n">
        <f aca="false">IF($A68="",0,SUMPRODUCT(($F$3:$Q$3&lt;=Setup!$B$8)*$F68:$Q68))</f>
        <v>0</v>
      </c>
      <c r="AJ68" s="90" t="n">
        <f aca="false">IF($A68="",0,SUM($F68:$Q68))</f>
        <v>0</v>
      </c>
      <c r="AK68" s="90" t="n">
        <f aca="false">IF($A68="",0,SUM($R68:$AC68))</f>
        <v>0</v>
      </c>
      <c r="AL68" s="91" t="n">
        <f aca="false">IF($A68="",0,IF(SUMPRODUCT(ABS($F68:$AC68))&gt;0,1,0))</f>
        <v>0</v>
      </c>
    </row>
    <row r="69" customFormat="false" ht="15" hidden="false" customHeight="false" outlineLevel="0" collapsed="false">
      <c r="A69" s="68" t="str">
        <f aca="false">IF(COA_Mapping!$A70="","",COA_Mapping!$A70)</f>
        <v>Direct Superannuation - VID</v>
      </c>
      <c r="B69" s="68" t="str">
        <f aca="false">IF($A69="","",COA_Mapping!$C70)</f>
        <v>Cost of Sales</v>
      </c>
      <c r="C69" s="68" t="str">
        <f aca="false">IF($A69="","",COA_Mapping!$E70)</f>
        <v>P&amp;L</v>
      </c>
      <c r="D69" s="68" t="str">
        <f aca="false">IF($A69="","",COA_Mapping!$D70)</f>
        <v>Video</v>
      </c>
      <c r="E69" s="86" t="n">
        <f aca="false">IF($A69="",1,COA_Mapping!$F70)</f>
        <v>1</v>
      </c>
      <c r="F69" s="87" t="n">
        <f aca="false">IF($A69="",0,SUMIF(GL_Data!$S$8:$S$5007,64001,GL_Data!$P$8:$P$5007))</f>
        <v>0</v>
      </c>
      <c r="G69" s="87" t="n">
        <f aca="false">IF($A69="",0,SUMIF(GL_Data!$S$8:$S$5007,64002,GL_Data!$P$8:$P$5007))</f>
        <v>0</v>
      </c>
      <c r="H69" s="87" t="n">
        <f aca="false">IF($A69="",0,SUMIF(GL_Data!$S$8:$S$5007,64003,GL_Data!$P$8:$P$5007))</f>
        <v>0</v>
      </c>
      <c r="I69" s="87" t="n">
        <f aca="false">IF($A69="",0,SUMIF(GL_Data!$S$8:$S$5007,64004,GL_Data!$P$8:$P$5007))</f>
        <v>0</v>
      </c>
      <c r="J69" s="87" t="n">
        <f aca="false">IF($A69="",0,SUMIF(GL_Data!$S$8:$S$5007,64005,GL_Data!$P$8:$P$5007))</f>
        <v>0</v>
      </c>
      <c r="K69" s="87" t="n">
        <f aca="false">IF($A69="",0,SUMIF(GL_Data!$S$8:$S$5007,64006,GL_Data!$P$8:$P$5007))</f>
        <v>0</v>
      </c>
      <c r="L69" s="87" t="n">
        <f aca="false">IF($A69="",0,SUMIF(GL_Data!$S$8:$S$5007,64007,GL_Data!$P$8:$P$5007))</f>
        <v>0</v>
      </c>
      <c r="M69" s="87" t="n">
        <f aca="false">IF($A69="",0,SUMIF(GL_Data!$S$8:$S$5007,64008,GL_Data!$P$8:$P$5007))</f>
        <v>0</v>
      </c>
      <c r="N69" s="87" t="n">
        <f aca="false">IF($A69="",0,SUMIF(GL_Data!$S$8:$S$5007,64009,GL_Data!$P$8:$P$5007))</f>
        <v>0</v>
      </c>
      <c r="O69" s="87" t="n">
        <f aca="false">IF($A69="",0,SUMIF(GL_Data!$S$8:$S$5007,64010,GL_Data!$P$8:$P$5007))</f>
        <v>0</v>
      </c>
      <c r="P69" s="87" t="n">
        <f aca="false">IF($A69="",0,SUMIF(GL_Data!$S$8:$S$5007,64011,GL_Data!$P$8:$P$5007))</f>
        <v>0</v>
      </c>
      <c r="Q69" s="87" t="n">
        <f aca="false">IF($A69="",0,SUMIF(GL_Data!$S$8:$S$5007,64012,GL_Data!$P$8:$P$5007))</f>
        <v>0</v>
      </c>
      <c r="R69" s="88" t="n">
        <f aca="false">IF($A69="",0,SUMIF(GL_Data!$S$8:$S$5007,64101,GL_Data!$P$8:$P$5007))</f>
        <v>0</v>
      </c>
      <c r="S69" s="88" t="n">
        <f aca="false">IF($A69="",0,SUMIF(GL_Data!$S$8:$S$5007,64102,GL_Data!$P$8:$P$5007))</f>
        <v>0</v>
      </c>
      <c r="T69" s="88" t="n">
        <f aca="false">IF($A69="",0,SUMIF(GL_Data!$S$8:$S$5007,64103,GL_Data!$P$8:$P$5007))</f>
        <v>0</v>
      </c>
      <c r="U69" s="88" t="n">
        <f aca="false">IF($A69="",0,SUMIF(GL_Data!$S$8:$S$5007,64104,GL_Data!$P$8:$P$5007))</f>
        <v>0</v>
      </c>
      <c r="V69" s="88" t="n">
        <f aca="false">IF($A69="",0,SUMIF(GL_Data!$S$8:$S$5007,64105,GL_Data!$P$8:$P$5007))</f>
        <v>0</v>
      </c>
      <c r="W69" s="88" t="n">
        <f aca="false">IF($A69="",0,SUMIF(GL_Data!$S$8:$S$5007,64106,GL_Data!$P$8:$P$5007))</f>
        <v>0</v>
      </c>
      <c r="X69" s="88" t="n">
        <f aca="false">IF($A69="",0,SUMIF(GL_Data!$S$8:$S$5007,64107,GL_Data!$P$8:$P$5007))</f>
        <v>0</v>
      </c>
      <c r="Y69" s="88" t="n">
        <f aca="false">IF($A69="",0,SUMIF(GL_Data!$S$8:$S$5007,64108,GL_Data!$P$8:$P$5007))</f>
        <v>0</v>
      </c>
      <c r="Z69" s="88" t="n">
        <f aca="false">IF($A69="",0,SUMIF(GL_Data!$S$8:$S$5007,64109,GL_Data!$P$8:$P$5007))</f>
        <v>0</v>
      </c>
      <c r="AA69" s="88" t="n">
        <f aca="false">IF($A69="",0,SUMIF(GL_Data!$S$8:$S$5007,64110,GL_Data!$P$8:$P$5007))</f>
        <v>0</v>
      </c>
      <c r="AB69" s="88" t="n">
        <f aca="false">IF($A69="",0,SUMIF(GL_Data!$S$8:$S$5007,64111,GL_Data!$P$8:$P$5007))</f>
        <v>0</v>
      </c>
      <c r="AC69" s="88" t="n">
        <f aca="false">IF($A69="",0,SUMIF(GL_Data!$S$8:$S$5007,64112,GL_Data!$P$8:$P$5007))</f>
        <v>0</v>
      </c>
      <c r="AD69" s="89" t="n">
        <f aca="false">IF($A69="",0,INDEX($F69:$AC69,12+Setup!$B$8))</f>
        <v>0</v>
      </c>
      <c r="AE69" s="90" t="n">
        <f aca="false">IF($A69="",0,INDEX($F69:$AC69,Setup!$B$8))</f>
        <v>0</v>
      </c>
      <c r="AF69" s="90" t="n">
        <f aca="false">IF($A69="",0,INDEX($F69:$AC69,11+Setup!$B$8))</f>
        <v>0</v>
      </c>
      <c r="AG69" s="90" t="n">
        <f aca="false">IF($A69="",0,AVERAGE(INDEX($F69:$AC69,9+Setup!$B$8):INDEX($F69:$AC69,11+Setup!$B$8)))</f>
        <v>0</v>
      </c>
      <c r="AH69" s="89" t="n">
        <f aca="false">IF($A69="",0,SUMPRODUCT(($R$3:$AC$3&lt;=Setup!$B$8)*$R69:$AC69))</f>
        <v>0</v>
      </c>
      <c r="AI69" s="90" t="n">
        <f aca="false">IF($A69="",0,SUMPRODUCT(($F$3:$Q$3&lt;=Setup!$B$8)*$F69:$Q69))</f>
        <v>0</v>
      </c>
      <c r="AJ69" s="90" t="n">
        <f aca="false">IF($A69="",0,SUM($F69:$Q69))</f>
        <v>0</v>
      </c>
      <c r="AK69" s="90" t="n">
        <f aca="false">IF($A69="",0,SUM($R69:$AC69))</f>
        <v>0</v>
      </c>
      <c r="AL69" s="91" t="n">
        <f aca="false">IF($A69="",0,IF(SUMPRODUCT(ABS($F69:$AC69))&gt;0,1,0))</f>
        <v>0</v>
      </c>
    </row>
    <row r="70" customFormat="false" ht="15" hidden="false" customHeight="false" outlineLevel="0" collapsed="false">
      <c r="A70" s="68" t="str">
        <f aca="false">IF(COA_Mapping!$A71="","",COA_Mapping!$A71)</f>
        <v>Direct Superannuation-INTEGRATION</v>
      </c>
      <c r="B70" s="68" t="str">
        <f aca="false">IF($A70="","",COA_Mapping!$C71)</f>
        <v>Cost of Sales</v>
      </c>
      <c r="C70" s="68" t="str">
        <f aca="false">IF($A70="","",COA_Mapping!$E71)</f>
        <v>P&amp;L</v>
      </c>
      <c r="D70" s="68" t="str">
        <f aca="false">IF($A70="","",COA_Mapping!$D71)</f>
        <v>Integration</v>
      </c>
      <c r="E70" s="86" t="n">
        <f aca="false">IF($A70="",1,COA_Mapping!$F71)</f>
        <v>1</v>
      </c>
      <c r="F70" s="87" t="n">
        <f aca="false">IF($A70="",0,SUMIF(GL_Data!$S$8:$S$5007,65001,GL_Data!$P$8:$P$5007))</f>
        <v>0</v>
      </c>
      <c r="G70" s="87" t="n">
        <f aca="false">IF($A70="",0,SUMIF(GL_Data!$S$8:$S$5007,65002,GL_Data!$P$8:$P$5007))</f>
        <v>0</v>
      </c>
      <c r="H70" s="87" t="n">
        <f aca="false">IF($A70="",0,SUMIF(GL_Data!$S$8:$S$5007,65003,GL_Data!$P$8:$P$5007))</f>
        <v>0</v>
      </c>
      <c r="I70" s="87" t="n">
        <f aca="false">IF($A70="",0,SUMIF(GL_Data!$S$8:$S$5007,65004,GL_Data!$P$8:$P$5007))</f>
        <v>0</v>
      </c>
      <c r="J70" s="87" t="n">
        <f aca="false">IF($A70="",0,SUMIF(GL_Data!$S$8:$S$5007,65005,GL_Data!$P$8:$P$5007))</f>
        <v>0</v>
      </c>
      <c r="K70" s="87" t="n">
        <f aca="false">IF($A70="",0,SUMIF(GL_Data!$S$8:$S$5007,65006,GL_Data!$P$8:$P$5007))</f>
        <v>0</v>
      </c>
      <c r="L70" s="87" t="n">
        <f aca="false">IF($A70="",0,SUMIF(GL_Data!$S$8:$S$5007,65007,GL_Data!$P$8:$P$5007))</f>
        <v>0</v>
      </c>
      <c r="M70" s="87" t="n">
        <f aca="false">IF($A70="",0,SUMIF(GL_Data!$S$8:$S$5007,65008,GL_Data!$P$8:$P$5007))</f>
        <v>0</v>
      </c>
      <c r="N70" s="87" t="n">
        <f aca="false">IF($A70="",0,SUMIF(GL_Data!$S$8:$S$5007,65009,GL_Data!$P$8:$P$5007))</f>
        <v>0</v>
      </c>
      <c r="O70" s="87" t="n">
        <f aca="false">IF($A70="",0,SUMIF(GL_Data!$S$8:$S$5007,65010,GL_Data!$P$8:$P$5007))</f>
        <v>0</v>
      </c>
      <c r="P70" s="87" t="n">
        <f aca="false">IF($A70="",0,SUMIF(GL_Data!$S$8:$S$5007,65011,GL_Data!$P$8:$P$5007))</f>
        <v>0</v>
      </c>
      <c r="Q70" s="87" t="n">
        <f aca="false">IF($A70="",0,SUMIF(GL_Data!$S$8:$S$5007,65012,GL_Data!$P$8:$P$5007))</f>
        <v>0</v>
      </c>
      <c r="R70" s="88" t="n">
        <f aca="false">IF($A70="",0,SUMIF(GL_Data!$S$8:$S$5007,65101,GL_Data!$P$8:$P$5007))</f>
        <v>0</v>
      </c>
      <c r="S70" s="88" t="n">
        <f aca="false">IF($A70="",0,SUMIF(GL_Data!$S$8:$S$5007,65102,GL_Data!$P$8:$P$5007))</f>
        <v>0</v>
      </c>
      <c r="T70" s="88" t="n">
        <f aca="false">IF($A70="",0,SUMIF(GL_Data!$S$8:$S$5007,65103,GL_Data!$P$8:$P$5007))</f>
        <v>0</v>
      </c>
      <c r="U70" s="88" t="n">
        <f aca="false">IF($A70="",0,SUMIF(GL_Data!$S$8:$S$5007,65104,GL_Data!$P$8:$P$5007))</f>
        <v>0</v>
      </c>
      <c r="V70" s="88" t="n">
        <f aca="false">IF($A70="",0,SUMIF(GL_Data!$S$8:$S$5007,65105,GL_Data!$P$8:$P$5007))</f>
        <v>0</v>
      </c>
      <c r="W70" s="88" t="n">
        <f aca="false">IF($A70="",0,SUMIF(GL_Data!$S$8:$S$5007,65106,GL_Data!$P$8:$P$5007))</f>
        <v>0</v>
      </c>
      <c r="X70" s="88" t="n">
        <f aca="false">IF($A70="",0,SUMIF(GL_Data!$S$8:$S$5007,65107,GL_Data!$P$8:$P$5007))</f>
        <v>0</v>
      </c>
      <c r="Y70" s="88" t="n">
        <f aca="false">IF($A70="",0,SUMIF(GL_Data!$S$8:$S$5007,65108,GL_Data!$P$8:$P$5007))</f>
        <v>0</v>
      </c>
      <c r="Z70" s="88" t="n">
        <f aca="false">IF($A70="",0,SUMIF(GL_Data!$S$8:$S$5007,65109,GL_Data!$P$8:$P$5007))</f>
        <v>0</v>
      </c>
      <c r="AA70" s="88" t="n">
        <f aca="false">IF($A70="",0,SUMIF(GL_Data!$S$8:$S$5007,65110,GL_Data!$P$8:$P$5007))</f>
        <v>0</v>
      </c>
      <c r="AB70" s="88" t="n">
        <f aca="false">IF($A70="",0,SUMIF(GL_Data!$S$8:$S$5007,65111,GL_Data!$P$8:$P$5007))</f>
        <v>0</v>
      </c>
      <c r="AC70" s="88" t="n">
        <f aca="false">IF($A70="",0,SUMIF(GL_Data!$S$8:$S$5007,65112,GL_Data!$P$8:$P$5007))</f>
        <v>0</v>
      </c>
      <c r="AD70" s="89" t="n">
        <f aca="false">IF($A70="",0,INDEX($F70:$AC70,12+Setup!$B$8))</f>
        <v>0</v>
      </c>
      <c r="AE70" s="90" t="n">
        <f aca="false">IF($A70="",0,INDEX($F70:$AC70,Setup!$B$8))</f>
        <v>0</v>
      </c>
      <c r="AF70" s="90" t="n">
        <f aca="false">IF($A70="",0,INDEX($F70:$AC70,11+Setup!$B$8))</f>
        <v>0</v>
      </c>
      <c r="AG70" s="90" t="n">
        <f aca="false">IF($A70="",0,AVERAGE(INDEX($F70:$AC70,9+Setup!$B$8):INDEX($F70:$AC70,11+Setup!$B$8)))</f>
        <v>0</v>
      </c>
      <c r="AH70" s="89" t="n">
        <f aca="false">IF($A70="",0,SUMPRODUCT(($R$3:$AC$3&lt;=Setup!$B$8)*$R70:$AC70))</f>
        <v>0</v>
      </c>
      <c r="AI70" s="90" t="n">
        <f aca="false">IF($A70="",0,SUMPRODUCT(($F$3:$Q$3&lt;=Setup!$B$8)*$F70:$Q70))</f>
        <v>0</v>
      </c>
      <c r="AJ70" s="90" t="n">
        <f aca="false">IF($A70="",0,SUM($F70:$Q70))</f>
        <v>0</v>
      </c>
      <c r="AK70" s="90" t="n">
        <f aca="false">IF($A70="",0,SUM($R70:$AC70))</f>
        <v>0</v>
      </c>
      <c r="AL70" s="91" t="n">
        <f aca="false">IF($A70="",0,IF(SUMPRODUCT(ABS($F70:$AC70))&gt;0,1,0))</f>
        <v>0</v>
      </c>
    </row>
    <row r="71" customFormat="false" ht="15" hidden="false" customHeight="false" outlineLevel="0" collapsed="false">
      <c r="A71" s="68" t="str">
        <f aca="false">IF(COA_Mapping!$A72="","",COA_Mapping!$A72)</f>
        <v>Direct Travel - ADMIN</v>
      </c>
      <c r="B71" s="68" t="str">
        <f aca="false">IF($A71="","",COA_Mapping!$C72)</f>
        <v>Cost of Sales</v>
      </c>
      <c r="C71" s="68" t="str">
        <f aca="false">IF($A71="","",COA_Mapping!$E72)</f>
        <v>P&amp;L</v>
      </c>
      <c r="D71" s="68" t="str">
        <f aca="false">IF($A71="","",COA_Mapping!$D72)</f>
        <v>Admin</v>
      </c>
      <c r="E71" s="86" t="n">
        <f aca="false">IF($A71="",1,COA_Mapping!$F72)</f>
        <v>1</v>
      </c>
      <c r="F71" s="87" t="n">
        <f aca="false">IF($A71="",0,SUMIF(GL_Data!$S$8:$S$5007,66001,GL_Data!$P$8:$P$5007))</f>
        <v>0</v>
      </c>
      <c r="G71" s="87" t="n">
        <f aca="false">IF($A71="",0,SUMIF(GL_Data!$S$8:$S$5007,66002,GL_Data!$P$8:$P$5007))</f>
        <v>0</v>
      </c>
      <c r="H71" s="87" t="n">
        <f aca="false">IF($A71="",0,SUMIF(GL_Data!$S$8:$S$5007,66003,GL_Data!$P$8:$P$5007))</f>
        <v>0</v>
      </c>
      <c r="I71" s="87" t="n">
        <f aca="false">IF($A71="",0,SUMIF(GL_Data!$S$8:$S$5007,66004,GL_Data!$P$8:$P$5007))</f>
        <v>0</v>
      </c>
      <c r="J71" s="87" t="n">
        <f aca="false">IF($A71="",0,SUMIF(GL_Data!$S$8:$S$5007,66005,GL_Data!$P$8:$P$5007))</f>
        <v>0</v>
      </c>
      <c r="K71" s="87" t="n">
        <f aca="false">IF($A71="",0,SUMIF(GL_Data!$S$8:$S$5007,66006,GL_Data!$P$8:$P$5007))</f>
        <v>0</v>
      </c>
      <c r="L71" s="87" t="n">
        <f aca="false">IF($A71="",0,SUMIF(GL_Data!$S$8:$S$5007,66007,GL_Data!$P$8:$P$5007))</f>
        <v>0</v>
      </c>
      <c r="M71" s="87" t="n">
        <f aca="false">IF($A71="",0,SUMIF(GL_Data!$S$8:$S$5007,66008,GL_Data!$P$8:$P$5007))</f>
        <v>0</v>
      </c>
      <c r="N71" s="87" t="n">
        <f aca="false">IF($A71="",0,SUMIF(GL_Data!$S$8:$S$5007,66009,GL_Data!$P$8:$P$5007))</f>
        <v>0</v>
      </c>
      <c r="O71" s="87" t="n">
        <f aca="false">IF($A71="",0,SUMIF(GL_Data!$S$8:$S$5007,66010,GL_Data!$P$8:$P$5007))</f>
        <v>0</v>
      </c>
      <c r="P71" s="87" t="n">
        <f aca="false">IF($A71="",0,SUMIF(GL_Data!$S$8:$S$5007,66011,GL_Data!$P$8:$P$5007))</f>
        <v>0</v>
      </c>
      <c r="Q71" s="87" t="n">
        <f aca="false">IF($A71="",0,SUMIF(GL_Data!$S$8:$S$5007,66012,GL_Data!$P$8:$P$5007))</f>
        <v>0</v>
      </c>
      <c r="R71" s="88" t="n">
        <f aca="false">IF($A71="",0,SUMIF(GL_Data!$S$8:$S$5007,66101,GL_Data!$P$8:$P$5007))</f>
        <v>0</v>
      </c>
      <c r="S71" s="88" t="n">
        <f aca="false">IF($A71="",0,SUMIF(GL_Data!$S$8:$S$5007,66102,GL_Data!$P$8:$P$5007))</f>
        <v>0</v>
      </c>
      <c r="T71" s="88" t="n">
        <f aca="false">IF($A71="",0,SUMIF(GL_Data!$S$8:$S$5007,66103,GL_Data!$P$8:$P$5007))</f>
        <v>0</v>
      </c>
      <c r="U71" s="88" t="n">
        <f aca="false">IF($A71="",0,SUMIF(GL_Data!$S$8:$S$5007,66104,GL_Data!$P$8:$P$5007))</f>
        <v>0</v>
      </c>
      <c r="V71" s="88" t="n">
        <f aca="false">IF($A71="",0,SUMIF(GL_Data!$S$8:$S$5007,66105,GL_Data!$P$8:$P$5007))</f>
        <v>0</v>
      </c>
      <c r="W71" s="88" t="n">
        <f aca="false">IF($A71="",0,SUMIF(GL_Data!$S$8:$S$5007,66106,GL_Data!$P$8:$P$5007))</f>
        <v>0</v>
      </c>
      <c r="X71" s="88" t="n">
        <f aca="false">IF($A71="",0,SUMIF(GL_Data!$S$8:$S$5007,66107,GL_Data!$P$8:$P$5007))</f>
        <v>0</v>
      </c>
      <c r="Y71" s="88" t="n">
        <f aca="false">IF($A71="",0,SUMIF(GL_Data!$S$8:$S$5007,66108,GL_Data!$P$8:$P$5007))</f>
        <v>0</v>
      </c>
      <c r="Z71" s="88" t="n">
        <f aca="false">IF($A71="",0,SUMIF(GL_Data!$S$8:$S$5007,66109,GL_Data!$P$8:$P$5007))</f>
        <v>0</v>
      </c>
      <c r="AA71" s="88" t="n">
        <f aca="false">IF($A71="",0,SUMIF(GL_Data!$S$8:$S$5007,66110,GL_Data!$P$8:$P$5007))</f>
        <v>0</v>
      </c>
      <c r="AB71" s="88" t="n">
        <f aca="false">IF($A71="",0,SUMIF(GL_Data!$S$8:$S$5007,66111,GL_Data!$P$8:$P$5007))</f>
        <v>0</v>
      </c>
      <c r="AC71" s="88" t="n">
        <f aca="false">IF($A71="",0,SUMIF(GL_Data!$S$8:$S$5007,66112,GL_Data!$P$8:$P$5007))</f>
        <v>0</v>
      </c>
      <c r="AD71" s="89" t="n">
        <f aca="false">IF($A71="",0,INDEX($F71:$AC71,12+Setup!$B$8))</f>
        <v>0</v>
      </c>
      <c r="AE71" s="90" t="n">
        <f aca="false">IF($A71="",0,INDEX($F71:$AC71,Setup!$B$8))</f>
        <v>0</v>
      </c>
      <c r="AF71" s="90" t="n">
        <f aca="false">IF($A71="",0,INDEX($F71:$AC71,11+Setup!$B$8))</f>
        <v>0</v>
      </c>
      <c r="AG71" s="90" t="n">
        <f aca="false">IF($A71="",0,AVERAGE(INDEX($F71:$AC71,9+Setup!$B$8):INDEX($F71:$AC71,11+Setup!$B$8)))</f>
        <v>0</v>
      </c>
      <c r="AH71" s="89" t="n">
        <f aca="false">IF($A71="",0,SUMPRODUCT(($R$3:$AC$3&lt;=Setup!$B$8)*$R71:$AC71))</f>
        <v>0</v>
      </c>
      <c r="AI71" s="90" t="n">
        <f aca="false">IF($A71="",0,SUMPRODUCT(($F$3:$Q$3&lt;=Setup!$B$8)*$F71:$Q71))</f>
        <v>0</v>
      </c>
      <c r="AJ71" s="90" t="n">
        <f aca="false">IF($A71="",0,SUM($F71:$Q71))</f>
        <v>0</v>
      </c>
      <c r="AK71" s="90" t="n">
        <f aca="false">IF($A71="",0,SUM($R71:$AC71))</f>
        <v>0</v>
      </c>
      <c r="AL71" s="91" t="n">
        <f aca="false">IF($A71="",0,IF(SUMPRODUCT(ABS($F71:$AC71))&gt;0,1,0))</f>
        <v>0</v>
      </c>
    </row>
    <row r="72" customFormat="false" ht="15" hidden="false" customHeight="false" outlineLevel="0" collapsed="false">
      <c r="A72" s="68" t="str">
        <f aca="false">IF(COA_Mapping!$A73="","",COA_Mapping!$A73)</f>
        <v>Direct Travel - CONS</v>
      </c>
      <c r="B72" s="68" t="str">
        <f aca="false">IF($A72="","",COA_Mapping!$C73)</f>
        <v>Cost of Sales</v>
      </c>
      <c r="C72" s="68" t="str">
        <f aca="false">IF($A72="","",COA_Mapping!$E73)</f>
        <v>P&amp;L</v>
      </c>
      <c r="D72" s="68" t="str">
        <f aca="false">IF($A72="","",COA_Mapping!$D73)</f>
        <v>Consulting</v>
      </c>
      <c r="E72" s="86" t="n">
        <f aca="false">IF($A72="",1,COA_Mapping!$F73)</f>
        <v>1</v>
      </c>
      <c r="F72" s="87" t="n">
        <f aca="false">IF($A72="",0,SUMIF(GL_Data!$S$8:$S$5007,67001,GL_Data!$P$8:$P$5007))</f>
        <v>0</v>
      </c>
      <c r="G72" s="87" t="n">
        <f aca="false">IF($A72="",0,SUMIF(GL_Data!$S$8:$S$5007,67002,GL_Data!$P$8:$P$5007))</f>
        <v>0</v>
      </c>
      <c r="H72" s="87" t="n">
        <f aca="false">IF($A72="",0,SUMIF(GL_Data!$S$8:$S$5007,67003,GL_Data!$P$8:$P$5007))</f>
        <v>0</v>
      </c>
      <c r="I72" s="87" t="n">
        <f aca="false">IF($A72="",0,SUMIF(GL_Data!$S$8:$S$5007,67004,GL_Data!$P$8:$P$5007))</f>
        <v>0</v>
      </c>
      <c r="J72" s="87" t="n">
        <f aca="false">IF($A72="",0,SUMIF(GL_Data!$S$8:$S$5007,67005,GL_Data!$P$8:$P$5007))</f>
        <v>0</v>
      </c>
      <c r="K72" s="87" t="n">
        <f aca="false">IF($A72="",0,SUMIF(GL_Data!$S$8:$S$5007,67006,GL_Data!$P$8:$P$5007))</f>
        <v>0</v>
      </c>
      <c r="L72" s="87" t="n">
        <f aca="false">IF($A72="",0,SUMIF(GL_Data!$S$8:$S$5007,67007,GL_Data!$P$8:$P$5007))</f>
        <v>0</v>
      </c>
      <c r="M72" s="87" t="n">
        <f aca="false">IF($A72="",0,SUMIF(GL_Data!$S$8:$S$5007,67008,GL_Data!$P$8:$P$5007))</f>
        <v>0</v>
      </c>
      <c r="N72" s="87" t="n">
        <f aca="false">IF($A72="",0,SUMIF(GL_Data!$S$8:$S$5007,67009,GL_Data!$P$8:$P$5007))</f>
        <v>0</v>
      </c>
      <c r="O72" s="87" t="n">
        <f aca="false">IF($A72="",0,SUMIF(GL_Data!$S$8:$S$5007,67010,GL_Data!$P$8:$P$5007))</f>
        <v>0</v>
      </c>
      <c r="P72" s="87" t="n">
        <f aca="false">IF($A72="",0,SUMIF(GL_Data!$S$8:$S$5007,67011,GL_Data!$P$8:$P$5007))</f>
        <v>0</v>
      </c>
      <c r="Q72" s="87" t="n">
        <f aca="false">IF($A72="",0,SUMIF(GL_Data!$S$8:$S$5007,67012,GL_Data!$P$8:$P$5007))</f>
        <v>0</v>
      </c>
      <c r="R72" s="88" t="n">
        <f aca="false">IF($A72="",0,SUMIF(GL_Data!$S$8:$S$5007,67101,GL_Data!$P$8:$P$5007))</f>
        <v>0</v>
      </c>
      <c r="S72" s="88" t="n">
        <f aca="false">IF($A72="",0,SUMIF(GL_Data!$S$8:$S$5007,67102,GL_Data!$P$8:$P$5007))</f>
        <v>0</v>
      </c>
      <c r="T72" s="88" t="n">
        <f aca="false">IF($A72="",0,SUMIF(GL_Data!$S$8:$S$5007,67103,GL_Data!$P$8:$P$5007))</f>
        <v>0</v>
      </c>
      <c r="U72" s="88" t="n">
        <f aca="false">IF($A72="",0,SUMIF(GL_Data!$S$8:$S$5007,67104,GL_Data!$P$8:$P$5007))</f>
        <v>0</v>
      </c>
      <c r="V72" s="88" t="n">
        <f aca="false">IF($A72="",0,SUMIF(GL_Data!$S$8:$S$5007,67105,GL_Data!$P$8:$P$5007))</f>
        <v>0</v>
      </c>
      <c r="W72" s="88" t="n">
        <f aca="false">IF($A72="",0,SUMIF(GL_Data!$S$8:$S$5007,67106,GL_Data!$P$8:$P$5007))</f>
        <v>0</v>
      </c>
      <c r="X72" s="88" t="n">
        <f aca="false">IF($A72="",0,SUMIF(GL_Data!$S$8:$S$5007,67107,GL_Data!$P$8:$P$5007))</f>
        <v>0</v>
      </c>
      <c r="Y72" s="88" t="n">
        <f aca="false">IF($A72="",0,SUMIF(GL_Data!$S$8:$S$5007,67108,GL_Data!$P$8:$P$5007))</f>
        <v>0</v>
      </c>
      <c r="Z72" s="88" t="n">
        <f aca="false">IF($A72="",0,SUMIF(GL_Data!$S$8:$S$5007,67109,GL_Data!$P$8:$P$5007))</f>
        <v>0</v>
      </c>
      <c r="AA72" s="88" t="n">
        <f aca="false">IF($A72="",0,SUMIF(GL_Data!$S$8:$S$5007,67110,GL_Data!$P$8:$P$5007))</f>
        <v>0</v>
      </c>
      <c r="AB72" s="88" t="n">
        <f aca="false">IF($A72="",0,SUMIF(GL_Data!$S$8:$S$5007,67111,GL_Data!$P$8:$P$5007))</f>
        <v>0</v>
      </c>
      <c r="AC72" s="88" t="n">
        <f aca="false">IF($A72="",0,SUMIF(GL_Data!$S$8:$S$5007,67112,GL_Data!$P$8:$P$5007))</f>
        <v>0</v>
      </c>
      <c r="AD72" s="89" t="n">
        <f aca="false">IF($A72="",0,INDEX($F72:$AC72,12+Setup!$B$8))</f>
        <v>0</v>
      </c>
      <c r="AE72" s="90" t="n">
        <f aca="false">IF($A72="",0,INDEX($F72:$AC72,Setup!$B$8))</f>
        <v>0</v>
      </c>
      <c r="AF72" s="90" t="n">
        <f aca="false">IF($A72="",0,INDEX($F72:$AC72,11+Setup!$B$8))</f>
        <v>0</v>
      </c>
      <c r="AG72" s="90" t="n">
        <f aca="false">IF($A72="",0,AVERAGE(INDEX($F72:$AC72,9+Setup!$B$8):INDEX($F72:$AC72,11+Setup!$B$8)))</f>
        <v>0</v>
      </c>
      <c r="AH72" s="89" t="n">
        <f aca="false">IF($A72="",0,SUMPRODUCT(($R$3:$AC$3&lt;=Setup!$B$8)*$R72:$AC72))</f>
        <v>0</v>
      </c>
      <c r="AI72" s="90" t="n">
        <f aca="false">IF($A72="",0,SUMPRODUCT(($F$3:$Q$3&lt;=Setup!$B$8)*$F72:$Q72))</f>
        <v>0</v>
      </c>
      <c r="AJ72" s="90" t="n">
        <f aca="false">IF($A72="",0,SUM($F72:$Q72))</f>
        <v>0</v>
      </c>
      <c r="AK72" s="90" t="n">
        <f aca="false">IF($A72="",0,SUM($R72:$AC72))</f>
        <v>0</v>
      </c>
      <c r="AL72" s="91" t="n">
        <f aca="false">IF($A72="",0,IF(SUMPRODUCT(ABS($F72:$AC72))&gt;0,1,0))</f>
        <v>0</v>
      </c>
    </row>
    <row r="73" customFormat="false" ht="15" hidden="false" customHeight="false" outlineLevel="0" collapsed="false">
      <c r="A73" s="68" t="str">
        <f aca="false">IF(COA_Mapping!$A74="","",COA_Mapping!$A74)</f>
        <v>Direct Travel - INTEGRATION</v>
      </c>
      <c r="B73" s="68" t="str">
        <f aca="false">IF($A73="","",COA_Mapping!$C74)</f>
        <v>Cost of Sales</v>
      </c>
      <c r="C73" s="68" t="str">
        <f aca="false">IF($A73="","",COA_Mapping!$E74)</f>
        <v>P&amp;L</v>
      </c>
      <c r="D73" s="68" t="str">
        <f aca="false">IF($A73="","",COA_Mapping!$D74)</f>
        <v>Integration</v>
      </c>
      <c r="E73" s="86" t="n">
        <f aca="false">IF($A73="",1,COA_Mapping!$F74)</f>
        <v>1</v>
      </c>
      <c r="F73" s="87" t="n">
        <f aca="false">IF($A73="",0,SUMIF(GL_Data!$S$8:$S$5007,68001,GL_Data!$P$8:$P$5007))</f>
        <v>0</v>
      </c>
      <c r="G73" s="87" t="n">
        <f aca="false">IF($A73="",0,SUMIF(GL_Data!$S$8:$S$5007,68002,GL_Data!$P$8:$P$5007))</f>
        <v>0</v>
      </c>
      <c r="H73" s="87" t="n">
        <f aca="false">IF($A73="",0,SUMIF(GL_Data!$S$8:$S$5007,68003,GL_Data!$P$8:$P$5007))</f>
        <v>0</v>
      </c>
      <c r="I73" s="87" t="n">
        <f aca="false">IF($A73="",0,SUMIF(GL_Data!$S$8:$S$5007,68004,GL_Data!$P$8:$P$5007))</f>
        <v>0</v>
      </c>
      <c r="J73" s="87" t="n">
        <f aca="false">IF($A73="",0,SUMIF(GL_Data!$S$8:$S$5007,68005,GL_Data!$P$8:$P$5007))</f>
        <v>0</v>
      </c>
      <c r="K73" s="87" t="n">
        <f aca="false">IF($A73="",0,SUMIF(GL_Data!$S$8:$S$5007,68006,GL_Data!$P$8:$P$5007))</f>
        <v>0</v>
      </c>
      <c r="L73" s="87" t="n">
        <f aca="false">IF($A73="",0,SUMIF(GL_Data!$S$8:$S$5007,68007,GL_Data!$P$8:$P$5007))</f>
        <v>0</v>
      </c>
      <c r="M73" s="87" t="n">
        <f aca="false">IF($A73="",0,SUMIF(GL_Data!$S$8:$S$5007,68008,GL_Data!$P$8:$P$5007))</f>
        <v>0</v>
      </c>
      <c r="N73" s="87" t="n">
        <f aca="false">IF($A73="",0,SUMIF(GL_Data!$S$8:$S$5007,68009,GL_Data!$P$8:$P$5007))</f>
        <v>0</v>
      </c>
      <c r="O73" s="87" t="n">
        <f aca="false">IF($A73="",0,SUMIF(GL_Data!$S$8:$S$5007,68010,GL_Data!$P$8:$P$5007))</f>
        <v>0</v>
      </c>
      <c r="P73" s="87" t="n">
        <f aca="false">IF($A73="",0,SUMIF(GL_Data!$S$8:$S$5007,68011,GL_Data!$P$8:$P$5007))</f>
        <v>0</v>
      </c>
      <c r="Q73" s="87" t="n">
        <f aca="false">IF($A73="",0,SUMIF(GL_Data!$S$8:$S$5007,68012,GL_Data!$P$8:$P$5007))</f>
        <v>0</v>
      </c>
      <c r="R73" s="88" t="n">
        <f aca="false">IF($A73="",0,SUMIF(GL_Data!$S$8:$S$5007,68101,GL_Data!$P$8:$P$5007))</f>
        <v>0</v>
      </c>
      <c r="S73" s="88" t="n">
        <f aca="false">IF($A73="",0,SUMIF(GL_Data!$S$8:$S$5007,68102,GL_Data!$P$8:$P$5007))</f>
        <v>0</v>
      </c>
      <c r="T73" s="88" t="n">
        <f aca="false">IF($A73="",0,SUMIF(GL_Data!$S$8:$S$5007,68103,GL_Data!$P$8:$P$5007))</f>
        <v>0</v>
      </c>
      <c r="U73" s="88" t="n">
        <f aca="false">IF($A73="",0,SUMIF(GL_Data!$S$8:$S$5007,68104,GL_Data!$P$8:$P$5007))</f>
        <v>0</v>
      </c>
      <c r="V73" s="88" t="n">
        <f aca="false">IF($A73="",0,SUMIF(GL_Data!$S$8:$S$5007,68105,GL_Data!$P$8:$P$5007))</f>
        <v>0</v>
      </c>
      <c r="W73" s="88" t="n">
        <f aca="false">IF($A73="",0,SUMIF(GL_Data!$S$8:$S$5007,68106,GL_Data!$P$8:$P$5007))</f>
        <v>0</v>
      </c>
      <c r="X73" s="88" t="n">
        <f aca="false">IF($A73="",0,SUMIF(GL_Data!$S$8:$S$5007,68107,GL_Data!$P$8:$P$5007))</f>
        <v>0</v>
      </c>
      <c r="Y73" s="88" t="n">
        <f aca="false">IF($A73="",0,SUMIF(GL_Data!$S$8:$S$5007,68108,GL_Data!$P$8:$P$5007))</f>
        <v>0</v>
      </c>
      <c r="Z73" s="88" t="n">
        <f aca="false">IF($A73="",0,SUMIF(GL_Data!$S$8:$S$5007,68109,GL_Data!$P$8:$P$5007))</f>
        <v>0</v>
      </c>
      <c r="AA73" s="88" t="n">
        <f aca="false">IF($A73="",0,SUMIF(GL_Data!$S$8:$S$5007,68110,GL_Data!$P$8:$P$5007))</f>
        <v>0</v>
      </c>
      <c r="AB73" s="88" t="n">
        <f aca="false">IF($A73="",0,SUMIF(GL_Data!$S$8:$S$5007,68111,GL_Data!$P$8:$P$5007))</f>
        <v>0</v>
      </c>
      <c r="AC73" s="88" t="n">
        <f aca="false">IF($A73="",0,SUMIF(GL_Data!$S$8:$S$5007,68112,GL_Data!$P$8:$P$5007))</f>
        <v>0</v>
      </c>
      <c r="AD73" s="89" t="n">
        <f aca="false">IF($A73="",0,INDEX($F73:$AC73,12+Setup!$B$8))</f>
        <v>0</v>
      </c>
      <c r="AE73" s="90" t="n">
        <f aca="false">IF($A73="",0,INDEX($F73:$AC73,Setup!$B$8))</f>
        <v>0</v>
      </c>
      <c r="AF73" s="90" t="n">
        <f aca="false">IF($A73="",0,INDEX($F73:$AC73,11+Setup!$B$8))</f>
        <v>0</v>
      </c>
      <c r="AG73" s="90" t="n">
        <f aca="false">IF($A73="",0,AVERAGE(INDEX($F73:$AC73,9+Setup!$B$8):INDEX($F73:$AC73,11+Setup!$B$8)))</f>
        <v>0</v>
      </c>
      <c r="AH73" s="89" t="n">
        <f aca="false">IF($A73="",0,SUMPRODUCT(($R$3:$AC$3&lt;=Setup!$B$8)*$R73:$AC73))</f>
        <v>0</v>
      </c>
      <c r="AI73" s="90" t="n">
        <f aca="false">IF($A73="",0,SUMPRODUCT(($F$3:$Q$3&lt;=Setup!$B$8)*$F73:$Q73))</f>
        <v>0</v>
      </c>
      <c r="AJ73" s="90" t="n">
        <f aca="false">IF($A73="",0,SUM($F73:$Q73))</f>
        <v>0</v>
      </c>
      <c r="AK73" s="90" t="n">
        <f aca="false">IF($A73="",0,SUM($R73:$AC73))</f>
        <v>0</v>
      </c>
      <c r="AL73" s="91" t="n">
        <f aca="false">IF($A73="",0,IF(SUMPRODUCT(ABS($F73:$AC73))&gt;0,1,0))</f>
        <v>0</v>
      </c>
    </row>
    <row r="74" customFormat="false" ht="15" hidden="false" customHeight="false" outlineLevel="0" collapsed="false">
      <c r="A74" s="68" t="str">
        <f aca="false">IF(COA_Mapping!$A75="","",COA_Mapping!$A75)</f>
        <v>Direct Travel - ONS</v>
      </c>
      <c r="B74" s="68" t="str">
        <f aca="false">IF($A74="","",COA_Mapping!$C75)</f>
        <v>Cost of Sales</v>
      </c>
      <c r="C74" s="68" t="str">
        <f aca="false">IF($A74="","",COA_Mapping!$E75)</f>
        <v>P&amp;L</v>
      </c>
      <c r="D74" s="68" t="str">
        <f aca="false">IF($A74="","",COA_Mapping!$D75)</f>
        <v>Onsite</v>
      </c>
      <c r="E74" s="86" t="n">
        <f aca="false">IF($A74="",1,COA_Mapping!$F75)</f>
        <v>1</v>
      </c>
      <c r="F74" s="87" t="n">
        <f aca="false">IF($A74="",0,SUMIF(GL_Data!$S$8:$S$5007,69001,GL_Data!$P$8:$P$5007))</f>
        <v>0</v>
      </c>
      <c r="G74" s="87" t="n">
        <f aca="false">IF($A74="",0,SUMIF(GL_Data!$S$8:$S$5007,69002,GL_Data!$P$8:$P$5007))</f>
        <v>0</v>
      </c>
      <c r="H74" s="87" t="n">
        <f aca="false">IF($A74="",0,SUMIF(GL_Data!$S$8:$S$5007,69003,GL_Data!$P$8:$P$5007))</f>
        <v>0</v>
      </c>
      <c r="I74" s="87" t="n">
        <f aca="false">IF($A74="",0,SUMIF(GL_Data!$S$8:$S$5007,69004,GL_Data!$P$8:$P$5007))</f>
        <v>0</v>
      </c>
      <c r="J74" s="87" t="n">
        <f aca="false">IF($A74="",0,SUMIF(GL_Data!$S$8:$S$5007,69005,GL_Data!$P$8:$P$5007))</f>
        <v>0</v>
      </c>
      <c r="K74" s="87" t="n">
        <f aca="false">IF($A74="",0,SUMIF(GL_Data!$S$8:$S$5007,69006,GL_Data!$P$8:$P$5007))</f>
        <v>0</v>
      </c>
      <c r="L74" s="87" t="n">
        <f aca="false">IF($A74="",0,SUMIF(GL_Data!$S$8:$S$5007,69007,GL_Data!$P$8:$P$5007))</f>
        <v>0</v>
      </c>
      <c r="M74" s="87" t="n">
        <f aca="false">IF($A74="",0,SUMIF(GL_Data!$S$8:$S$5007,69008,GL_Data!$P$8:$P$5007))</f>
        <v>0</v>
      </c>
      <c r="N74" s="87" t="n">
        <f aca="false">IF($A74="",0,SUMIF(GL_Data!$S$8:$S$5007,69009,GL_Data!$P$8:$P$5007))</f>
        <v>0</v>
      </c>
      <c r="O74" s="87" t="n">
        <f aca="false">IF($A74="",0,SUMIF(GL_Data!$S$8:$S$5007,69010,GL_Data!$P$8:$P$5007))</f>
        <v>0</v>
      </c>
      <c r="P74" s="87" t="n">
        <f aca="false">IF($A74="",0,SUMIF(GL_Data!$S$8:$S$5007,69011,GL_Data!$P$8:$P$5007))</f>
        <v>0</v>
      </c>
      <c r="Q74" s="87" t="n">
        <f aca="false">IF($A74="",0,SUMIF(GL_Data!$S$8:$S$5007,69012,GL_Data!$P$8:$P$5007))</f>
        <v>0</v>
      </c>
      <c r="R74" s="88" t="n">
        <f aca="false">IF($A74="",0,SUMIF(GL_Data!$S$8:$S$5007,69101,GL_Data!$P$8:$P$5007))</f>
        <v>0</v>
      </c>
      <c r="S74" s="88" t="n">
        <f aca="false">IF($A74="",0,SUMIF(GL_Data!$S$8:$S$5007,69102,GL_Data!$P$8:$P$5007))</f>
        <v>0</v>
      </c>
      <c r="T74" s="88" t="n">
        <f aca="false">IF($A74="",0,SUMIF(GL_Data!$S$8:$S$5007,69103,GL_Data!$P$8:$P$5007))</f>
        <v>0</v>
      </c>
      <c r="U74" s="88" t="n">
        <f aca="false">IF($A74="",0,SUMIF(GL_Data!$S$8:$S$5007,69104,GL_Data!$P$8:$P$5007))</f>
        <v>0</v>
      </c>
      <c r="V74" s="88" t="n">
        <f aca="false">IF($A74="",0,SUMIF(GL_Data!$S$8:$S$5007,69105,GL_Data!$P$8:$P$5007))</f>
        <v>0</v>
      </c>
      <c r="W74" s="88" t="n">
        <f aca="false">IF($A74="",0,SUMIF(GL_Data!$S$8:$S$5007,69106,GL_Data!$P$8:$P$5007))</f>
        <v>0</v>
      </c>
      <c r="X74" s="88" t="n">
        <f aca="false">IF($A74="",0,SUMIF(GL_Data!$S$8:$S$5007,69107,GL_Data!$P$8:$P$5007))</f>
        <v>0</v>
      </c>
      <c r="Y74" s="88" t="n">
        <f aca="false">IF($A74="",0,SUMIF(GL_Data!$S$8:$S$5007,69108,GL_Data!$P$8:$P$5007))</f>
        <v>0</v>
      </c>
      <c r="Z74" s="88" t="n">
        <f aca="false">IF($A74="",0,SUMIF(GL_Data!$S$8:$S$5007,69109,GL_Data!$P$8:$P$5007))</f>
        <v>0</v>
      </c>
      <c r="AA74" s="88" t="n">
        <f aca="false">IF($A74="",0,SUMIF(GL_Data!$S$8:$S$5007,69110,GL_Data!$P$8:$P$5007))</f>
        <v>0</v>
      </c>
      <c r="AB74" s="88" t="n">
        <f aca="false">IF($A74="",0,SUMIF(GL_Data!$S$8:$S$5007,69111,GL_Data!$P$8:$P$5007))</f>
        <v>0</v>
      </c>
      <c r="AC74" s="88" t="n">
        <f aca="false">IF($A74="",0,SUMIF(GL_Data!$S$8:$S$5007,69112,GL_Data!$P$8:$P$5007))</f>
        <v>0</v>
      </c>
      <c r="AD74" s="89" t="n">
        <f aca="false">IF($A74="",0,INDEX($F74:$AC74,12+Setup!$B$8))</f>
        <v>0</v>
      </c>
      <c r="AE74" s="90" t="n">
        <f aca="false">IF($A74="",0,INDEX($F74:$AC74,Setup!$B$8))</f>
        <v>0</v>
      </c>
      <c r="AF74" s="90" t="n">
        <f aca="false">IF($A74="",0,INDEX($F74:$AC74,11+Setup!$B$8))</f>
        <v>0</v>
      </c>
      <c r="AG74" s="90" t="n">
        <f aca="false">IF($A74="",0,AVERAGE(INDEX($F74:$AC74,9+Setup!$B$8):INDEX($F74:$AC74,11+Setup!$B$8)))</f>
        <v>0</v>
      </c>
      <c r="AH74" s="89" t="n">
        <f aca="false">IF($A74="",0,SUMPRODUCT(($R$3:$AC$3&lt;=Setup!$B$8)*$R74:$AC74))</f>
        <v>0</v>
      </c>
      <c r="AI74" s="90" t="n">
        <f aca="false">IF($A74="",0,SUMPRODUCT(($F$3:$Q$3&lt;=Setup!$B$8)*$F74:$Q74))</f>
        <v>0</v>
      </c>
      <c r="AJ74" s="90" t="n">
        <f aca="false">IF($A74="",0,SUM($F74:$Q74))</f>
        <v>0</v>
      </c>
      <c r="AK74" s="90" t="n">
        <f aca="false">IF($A74="",0,SUM($R74:$AC74))</f>
        <v>0</v>
      </c>
      <c r="AL74" s="91" t="n">
        <f aca="false">IF($A74="",0,IF(SUMPRODUCT(ABS($F74:$AC74))&gt;0,1,0))</f>
        <v>0</v>
      </c>
    </row>
    <row r="75" customFormat="false" ht="15" hidden="false" customHeight="false" outlineLevel="0" collapsed="false">
      <c r="A75" s="68" t="str">
        <f aca="false">IF(COA_Mapping!$A76="","",COA_Mapping!$A76)</f>
        <v>Direct Travel - PRD</v>
      </c>
      <c r="B75" s="68" t="str">
        <f aca="false">IF($A75="","",COA_Mapping!$C76)</f>
        <v>Cost of Sales</v>
      </c>
      <c r="C75" s="68" t="str">
        <f aca="false">IF($A75="","",COA_Mapping!$E76)</f>
        <v>P&amp;L</v>
      </c>
      <c r="D75" s="68" t="str">
        <f aca="false">IF($A75="","",COA_Mapping!$D76)</f>
        <v>Production</v>
      </c>
      <c r="E75" s="86" t="n">
        <f aca="false">IF($A75="",1,COA_Mapping!$F76)</f>
        <v>1</v>
      </c>
      <c r="F75" s="87" t="n">
        <f aca="false">IF($A75="",0,SUMIF(GL_Data!$S$8:$S$5007,70001,GL_Data!$P$8:$P$5007))</f>
        <v>0</v>
      </c>
      <c r="G75" s="87" t="n">
        <f aca="false">IF($A75="",0,SUMIF(GL_Data!$S$8:$S$5007,70002,GL_Data!$P$8:$P$5007))</f>
        <v>0</v>
      </c>
      <c r="H75" s="87" t="n">
        <f aca="false">IF($A75="",0,SUMIF(GL_Data!$S$8:$S$5007,70003,GL_Data!$P$8:$P$5007))</f>
        <v>0</v>
      </c>
      <c r="I75" s="87" t="n">
        <f aca="false">IF($A75="",0,SUMIF(GL_Data!$S$8:$S$5007,70004,GL_Data!$P$8:$P$5007))</f>
        <v>0</v>
      </c>
      <c r="J75" s="87" t="n">
        <f aca="false">IF($A75="",0,SUMIF(GL_Data!$S$8:$S$5007,70005,GL_Data!$P$8:$P$5007))</f>
        <v>0</v>
      </c>
      <c r="K75" s="87" t="n">
        <f aca="false">IF($A75="",0,SUMIF(GL_Data!$S$8:$S$5007,70006,GL_Data!$P$8:$P$5007))</f>
        <v>0</v>
      </c>
      <c r="L75" s="87" t="n">
        <f aca="false">IF($A75="",0,SUMIF(GL_Data!$S$8:$S$5007,70007,GL_Data!$P$8:$P$5007))</f>
        <v>0</v>
      </c>
      <c r="M75" s="87" t="n">
        <f aca="false">IF($A75="",0,SUMIF(GL_Data!$S$8:$S$5007,70008,GL_Data!$P$8:$P$5007))</f>
        <v>0</v>
      </c>
      <c r="N75" s="87" t="n">
        <f aca="false">IF($A75="",0,SUMIF(GL_Data!$S$8:$S$5007,70009,GL_Data!$P$8:$P$5007))</f>
        <v>0</v>
      </c>
      <c r="O75" s="87" t="n">
        <f aca="false">IF($A75="",0,SUMIF(GL_Data!$S$8:$S$5007,70010,GL_Data!$P$8:$P$5007))</f>
        <v>0</v>
      </c>
      <c r="P75" s="87" t="n">
        <f aca="false">IF($A75="",0,SUMIF(GL_Data!$S$8:$S$5007,70011,GL_Data!$P$8:$P$5007))</f>
        <v>0</v>
      </c>
      <c r="Q75" s="87" t="n">
        <f aca="false">IF($A75="",0,SUMIF(GL_Data!$S$8:$S$5007,70012,GL_Data!$P$8:$P$5007))</f>
        <v>0</v>
      </c>
      <c r="R75" s="88" t="n">
        <f aca="false">IF($A75="",0,SUMIF(GL_Data!$S$8:$S$5007,70101,GL_Data!$P$8:$P$5007))</f>
        <v>0</v>
      </c>
      <c r="S75" s="88" t="n">
        <f aca="false">IF($A75="",0,SUMIF(GL_Data!$S$8:$S$5007,70102,GL_Data!$P$8:$P$5007))</f>
        <v>0</v>
      </c>
      <c r="T75" s="88" t="n">
        <f aca="false">IF($A75="",0,SUMIF(GL_Data!$S$8:$S$5007,70103,GL_Data!$P$8:$P$5007))</f>
        <v>0</v>
      </c>
      <c r="U75" s="88" t="n">
        <f aca="false">IF($A75="",0,SUMIF(GL_Data!$S$8:$S$5007,70104,GL_Data!$P$8:$P$5007))</f>
        <v>0</v>
      </c>
      <c r="V75" s="88" t="n">
        <f aca="false">IF($A75="",0,SUMIF(GL_Data!$S$8:$S$5007,70105,GL_Data!$P$8:$P$5007))</f>
        <v>0</v>
      </c>
      <c r="W75" s="88" t="n">
        <f aca="false">IF($A75="",0,SUMIF(GL_Data!$S$8:$S$5007,70106,GL_Data!$P$8:$P$5007))</f>
        <v>0</v>
      </c>
      <c r="X75" s="88" t="n">
        <f aca="false">IF($A75="",0,SUMIF(GL_Data!$S$8:$S$5007,70107,GL_Data!$P$8:$P$5007))</f>
        <v>0</v>
      </c>
      <c r="Y75" s="88" t="n">
        <f aca="false">IF($A75="",0,SUMIF(GL_Data!$S$8:$S$5007,70108,GL_Data!$P$8:$P$5007))</f>
        <v>0</v>
      </c>
      <c r="Z75" s="88" t="n">
        <f aca="false">IF($A75="",0,SUMIF(GL_Data!$S$8:$S$5007,70109,GL_Data!$P$8:$P$5007))</f>
        <v>0</v>
      </c>
      <c r="AA75" s="88" t="n">
        <f aca="false">IF($A75="",0,SUMIF(GL_Data!$S$8:$S$5007,70110,GL_Data!$P$8:$P$5007))</f>
        <v>0</v>
      </c>
      <c r="AB75" s="88" t="n">
        <f aca="false">IF($A75="",0,SUMIF(GL_Data!$S$8:$S$5007,70111,GL_Data!$P$8:$P$5007))</f>
        <v>0</v>
      </c>
      <c r="AC75" s="88" t="n">
        <f aca="false">IF($A75="",0,SUMIF(GL_Data!$S$8:$S$5007,70112,GL_Data!$P$8:$P$5007))</f>
        <v>0</v>
      </c>
      <c r="AD75" s="89" t="n">
        <f aca="false">IF($A75="",0,INDEX($F75:$AC75,12+Setup!$B$8))</f>
        <v>0</v>
      </c>
      <c r="AE75" s="90" t="n">
        <f aca="false">IF($A75="",0,INDEX($F75:$AC75,Setup!$B$8))</f>
        <v>0</v>
      </c>
      <c r="AF75" s="90" t="n">
        <f aca="false">IF($A75="",0,INDEX($F75:$AC75,11+Setup!$B$8))</f>
        <v>0</v>
      </c>
      <c r="AG75" s="90" t="n">
        <f aca="false">IF($A75="",0,AVERAGE(INDEX($F75:$AC75,9+Setup!$B$8):INDEX($F75:$AC75,11+Setup!$B$8)))</f>
        <v>0</v>
      </c>
      <c r="AH75" s="89" t="n">
        <f aca="false">IF($A75="",0,SUMPRODUCT(($R$3:$AC$3&lt;=Setup!$B$8)*$R75:$AC75))</f>
        <v>0</v>
      </c>
      <c r="AI75" s="90" t="n">
        <f aca="false">IF($A75="",0,SUMPRODUCT(($F$3:$Q$3&lt;=Setup!$B$8)*$F75:$Q75))</f>
        <v>0</v>
      </c>
      <c r="AJ75" s="90" t="n">
        <f aca="false">IF($A75="",0,SUM($F75:$Q75))</f>
        <v>0</v>
      </c>
      <c r="AK75" s="90" t="n">
        <f aca="false">IF($A75="",0,SUM($R75:$AC75))</f>
        <v>0</v>
      </c>
      <c r="AL75" s="91" t="n">
        <f aca="false">IF($A75="",0,IF(SUMPRODUCT(ABS($F75:$AC75))&gt;0,1,0))</f>
        <v>0</v>
      </c>
    </row>
    <row r="76" customFormat="false" ht="15" hidden="false" customHeight="false" outlineLevel="0" collapsed="false">
      <c r="A76" s="68" t="str">
        <f aca="false">IF(COA_Mapping!$A77="","",COA_Mapping!$A77)</f>
        <v>Direct Travel - VID</v>
      </c>
      <c r="B76" s="68" t="str">
        <f aca="false">IF($A76="","",COA_Mapping!$C77)</f>
        <v>Cost of Sales</v>
      </c>
      <c r="C76" s="68" t="str">
        <f aca="false">IF($A76="","",COA_Mapping!$E77)</f>
        <v>P&amp;L</v>
      </c>
      <c r="D76" s="68" t="str">
        <f aca="false">IF($A76="","",COA_Mapping!$D77)</f>
        <v>Video</v>
      </c>
      <c r="E76" s="86" t="n">
        <f aca="false">IF($A76="",1,COA_Mapping!$F77)</f>
        <v>1</v>
      </c>
      <c r="F76" s="87" t="n">
        <f aca="false">IF($A76="",0,SUMIF(GL_Data!$S$8:$S$5007,71001,GL_Data!$P$8:$P$5007))</f>
        <v>0</v>
      </c>
      <c r="G76" s="87" t="n">
        <f aca="false">IF($A76="",0,SUMIF(GL_Data!$S$8:$S$5007,71002,GL_Data!$P$8:$P$5007))</f>
        <v>0</v>
      </c>
      <c r="H76" s="87" t="n">
        <f aca="false">IF($A76="",0,SUMIF(GL_Data!$S$8:$S$5007,71003,GL_Data!$P$8:$P$5007))</f>
        <v>0</v>
      </c>
      <c r="I76" s="87" t="n">
        <f aca="false">IF($A76="",0,SUMIF(GL_Data!$S$8:$S$5007,71004,GL_Data!$P$8:$P$5007))</f>
        <v>0</v>
      </c>
      <c r="J76" s="87" t="n">
        <f aca="false">IF($A76="",0,SUMIF(GL_Data!$S$8:$S$5007,71005,GL_Data!$P$8:$P$5007))</f>
        <v>0</v>
      </c>
      <c r="K76" s="87" t="n">
        <f aca="false">IF($A76="",0,SUMIF(GL_Data!$S$8:$S$5007,71006,GL_Data!$P$8:$P$5007))</f>
        <v>0</v>
      </c>
      <c r="L76" s="87" t="n">
        <f aca="false">IF($A76="",0,SUMIF(GL_Data!$S$8:$S$5007,71007,GL_Data!$P$8:$P$5007))</f>
        <v>0</v>
      </c>
      <c r="M76" s="87" t="n">
        <f aca="false">IF($A76="",0,SUMIF(GL_Data!$S$8:$S$5007,71008,GL_Data!$P$8:$P$5007))</f>
        <v>0</v>
      </c>
      <c r="N76" s="87" t="n">
        <f aca="false">IF($A76="",0,SUMIF(GL_Data!$S$8:$S$5007,71009,GL_Data!$P$8:$P$5007))</f>
        <v>0</v>
      </c>
      <c r="O76" s="87" t="n">
        <f aca="false">IF($A76="",0,SUMIF(GL_Data!$S$8:$S$5007,71010,GL_Data!$P$8:$P$5007))</f>
        <v>0</v>
      </c>
      <c r="P76" s="87" t="n">
        <f aca="false">IF($A76="",0,SUMIF(GL_Data!$S$8:$S$5007,71011,GL_Data!$P$8:$P$5007))</f>
        <v>0</v>
      </c>
      <c r="Q76" s="87" t="n">
        <f aca="false">IF($A76="",0,SUMIF(GL_Data!$S$8:$S$5007,71012,GL_Data!$P$8:$P$5007))</f>
        <v>0</v>
      </c>
      <c r="R76" s="88" t="n">
        <f aca="false">IF($A76="",0,SUMIF(GL_Data!$S$8:$S$5007,71101,GL_Data!$P$8:$P$5007))</f>
        <v>0</v>
      </c>
      <c r="S76" s="88" t="n">
        <f aca="false">IF($A76="",0,SUMIF(GL_Data!$S$8:$S$5007,71102,GL_Data!$P$8:$P$5007))</f>
        <v>0</v>
      </c>
      <c r="T76" s="88" t="n">
        <f aca="false">IF($A76="",0,SUMIF(GL_Data!$S$8:$S$5007,71103,GL_Data!$P$8:$P$5007))</f>
        <v>0</v>
      </c>
      <c r="U76" s="88" t="n">
        <f aca="false">IF($A76="",0,SUMIF(GL_Data!$S$8:$S$5007,71104,GL_Data!$P$8:$P$5007))</f>
        <v>0</v>
      </c>
      <c r="V76" s="88" t="n">
        <f aca="false">IF($A76="",0,SUMIF(GL_Data!$S$8:$S$5007,71105,GL_Data!$P$8:$P$5007))</f>
        <v>0</v>
      </c>
      <c r="W76" s="88" t="n">
        <f aca="false">IF($A76="",0,SUMIF(GL_Data!$S$8:$S$5007,71106,GL_Data!$P$8:$P$5007))</f>
        <v>0</v>
      </c>
      <c r="X76" s="88" t="n">
        <f aca="false">IF($A76="",0,SUMIF(GL_Data!$S$8:$S$5007,71107,GL_Data!$P$8:$P$5007))</f>
        <v>0</v>
      </c>
      <c r="Y76" s="88" t="n">
        <f aca="false">IF($A76="",0,SUMIF(GL_Data!$S$8:$S$5007,71108,GL_Data!$P$8:$P$5007))</f>
        <v>0</v>
      </c>
      <c r="Z76" s="88" t="n">
        <f aca="false">IF($A76="",0,SUMIF(GL_Data!$S$8:$S$5007,71109,GL_Data!$P$8:$P$5007))</f>
        <v>0</v>
      </c>
      <c r="AA76" s="88" t="n">
        <f aca="false">IF($A76="",0,SUMIF(GL_Data!$S$8:$S$5007,71110,GL_Data!$P$8:$P$5007))</f>
        <v>0</v>
      </c>
      <c r="AB76" s="88" t="n">
        <f aca="false">IF($A76="",0,SUMIF(GL_Data!$S$8:$S$5007,71111,GL_Data!$P$8:$P$5007))</f>
        <v>0</v>
      </c>
      <c r="AC76" s="88" t="n">
        <f aca="false">IF($A76="",0,SUMIF(GL_Data!$S$8:$S$5007,71112,GL_Data!$P$8:$P$5007))</f>
        <v>0</v>
      </c>
      <c r="AD76" s="89" t="n">
        <f aca="false">IF($A76="",0,INDEX($F76:$AC76,12+Setup!$B$8))</f>
        <v>0</v>
      </c>
      <c r="AE76" s="90" t="n">
        <f aca="false">IF($A76="",0,INDEX($F76:$AC76,Setup!$B$8))</f>
        <v>0</v>
      </c>
      <c r="AF76" s="90" t="n">
        <f aca="false">IF($A76="",0,INDEX($F76:$AC76,11+Setup!$B$8))</f>
        <v>0</v>
      </c>
      <c r="AG76" s="90" t="n">
        <f aca="false">IF($A76="",0,AVERAGE(INDEX($F76:$AC76,9+Setup!$B$8):INDEX($F76:$AC76,11+Setup!$B$8)))</f>
        <v>0</v>
      </c>
      <c r="AH76" s="89" t="n">
        <f aca="false">IF($A76="",0,SUMPRODUCT(($R$3:$AC$3&lt;=Setup!$B$8)*$R76:$AC76))</f>
        <v>0</v>
      </c>
      <c r="AI76" s="90" t="n">
        <f aca="false">IF($A76="",0,SUMPRODUCT(($F$3:$Q$3&lt;=Setup!$B$8)*$F76:$Q76))</f>
        <v>0</v>
      </c>
      <c r="AJ76" s="90" t="n">
        <f aca="false">IF($A76="",0,SUM($F76:$Q76))</f>
        <v>0</v>
      </c>
      <c r="AK76" s="90" t="n">
        <f aca="false">IF($A76="",0,SUM($R76:$AC76))</f>
        <v>0</v>
      </c>
      <c r="AL76" s="91" t="n">
        <f aca="false">IF($A76="",0,IF(SUMPRODUCT(ABS($F76:$AC76))&gt;0,1,0))</f>
        <v>0</v>
      </c>
    </row>
    <row r="77" customFormat="false" ht="15" hidden="false" customHeight="false" outlineLevel="0" collapsed="false">
      <c r="A77" s="68" t="str">
        <f aca="false">IF(COA_Mapping!$A78="","",COA_Mapping!$A78)</f>
        <v>Direct Wages - CONS</v>
      </c>
      <c r="B77" s="68" t="str">
        <f aca="false">IF($A77="","",COA_Mapping!$C78)</f>
        <v>Cost of Sales</v>
      </c>
      <c r="C77" s="68" t="str">
        <f aca="false">IF($A77="","",COA_Mapping!$E78)</f>
        <v>P&amp;L</v>
      </c>
      <c r="D77" s="68" t="str">
        <f aca="false">IF($A77="","",COA_Mapping!$D78)</f>
        <v>Consulting</v>
      </c>
      <c r="E77" s="86" t="n">
        <f aca="false">IF($A77="",1,COA_Mapping!$F78)</f>
        <v>1</v>
      </c>
      <c r="F77" s="87" t="n">
        <f aca="false">IF($A77="",0,SUMIF(GL_Data!$S$8:$S$5007,72001,GL_Data!$P$8:$P$5007))</f>
        <v>0</v>
      </c>
      <c r="G77" s="87" t="n">
        <f aca="false">IF($A77="",0,SUMIF(GL_Data!$S$8:$S$5007,72002,GL_Data!$P$8:$P$5007))</f>
        <v>0</v>
      </c>
      <c r="H77" s="87" t="n">
        <f aca="false">IF($A77="",0,SUMIF(GL_Data!$S$8:$S$5007,72003,GL_Data!$P$8:$P$5007))</f>
        <v>0</v>
      </c>
      <c r="I77" s="87" t="n">
        <f aca="false">IF($A77="",0,SUMIF(GL_Data!$S$8:$S$5007,72004,GL_Data!$P$8:$P$5007))</f>
        <v>0</v>
      </c>
      <c r="J77" s="87" t="n">
        <f aca="false">IF($A77="",0,SUMIF(GL_Data!$S$8:$S$5007,72005,GL_Data!$P$8:$P$5007))</f>
        <v>0</v>
      </c>
      <c r="K77" s="87" t="n">
        <f aca="false">IF($A77="",0,SUMIF(GL_Data!$S$8:$S$5007,72006,GL_Data!$P$8:$P$5007))</f>
        <v>0</v>
      </c>
      <c r="L77" s="87" t="n">
        <f aca="false">IF($A77="",0,SUMIF(GL_Data!$S$8:$S$5007,72007,GL_Data!$P$8:$P$5007))</f>
        <v>0</v>
      </c>
      <c r="M77" s="87" t="n">
        <f aca="false">IF($A77="",0,SUMIF(GL_Data!$S$8:$S$5007,72008,GL_Data!$P$8:$P$5007))</f>
        <v>0</v>
      </c>
      <c r="N77" s="87" t="n">
        <f aca="false">IF($A77="",0,SUMIF(GL_Data!$S$8:$S$5007,72009,GL_Data!$P$8:$P$5007))</f>
        <v>0</v>
      </c>
      <c r="O77" s="87" t="n">
        <f aca="false">IF($A77="",0,SUMIF(GL_Data!$S$8:$S$5007,72010,GL_Data!$P$8:$P$5007))</f>
        <v>0</v>
      </c>
      <c r="P77" s="87" t="n">
        <f aca="false">IF($A77="",0,SUMIF(GL_Data!$S$8:$S$5007,72011,GL_Data!$P$8:$P$5007))</f>
        <v>0</v>
      </c>
      <c r="Q77" s="87" t="n">
        <f aca="false">IF($A77="",0,SUMIF(GL_Data!$S$8:$S$5007,72012,GL_Data!$P$8:$P$5007))</f>
        <v>0</v>
      </c>
      <c r="R77" s="88" t="n">
        <f aca="false">IF($A77="",0,SUMIF(GL_Data!$S$8:$S$5007,72101,GL_Data!$P$8:$P$5007))</f>
        <v>0</v>
      </c>
      <c r="S77" s="88" t="n">
        <f aca="false">IF($A77="",0,SUMIF(GL_Data!$S$8:$S$5007,72102,GL_Data!$P$8:$P$5007))</f>
        <v>0</v>
      </c>
      <c r="T77" s="88" t="n">
        <f aca="false">IF($A77="",0,SUMIF(GL_Data!$S$8:$S$5007,72103,GL_Data!$P$8:$P$5007))</f>
        <v>0</v>
      </c>
      <c r="U77" s="88" t="n">
        <f aca="false">IF($A77="",0,SUMIF(GL_Data!$S$8:$S$5007,72104,GL_Data!$P$8:$P$5007))</f>
        <v>0</v>
      </c>
      <c r="V77" s="88" t="n">
        <f aca="false">IF($A77="",0,SUMIF(GL_Data!$S$8:$S$5007,72105,GL_Data!$P$8:$P$5007))</f>
        <v>0</v>
      </c>
      <c r="W77" s="88" t="n">
        <f aca="false">IF($A77="",0,SUMIF(GL_Data!$S$8:$S$5007,72106,GL_Data!$P$8:$P$5007))</f>
        <v>0</v>
      </c>
      <c r="X77" s="88" t="n">
        <f aca="false">IF($A77="",0,SUMIF(GL_Data!$S$8:$S$5007,72107,GL_Data!$P$8:$P$5007))</f>
        <v>0</v>
      </c>
      <c r="Y77" s="88" t="n">
        <f aca="false">IF($A77="",0,SUMIF(GL_Data!$S$8:$S$5007,72108,GL_Data!$P$8:$P$5007))</f>
        <v>0</v>
      </c>
      <c r="Z77" s="88" t="n">
        <f aca="false">IF($A77="",0,SUMIF(GL_Data!$S$8:$S$5007,72109,GL_Data!$P$8:$P$5007))</f>
        <v>0</v>
      </c>
      <c r="AA77" s="88" t="n">
        <f aca="false">IF($A77="",0,SUMIF(GL_Data!$S$8:$S$5007,72110,GL_Data!$P$8:$P$5007))</f>
        <v>0</v>
      </c>
      <c r="AB77" s="88" t="n">
        <f aca="false">IF($A77="",0,SUMIF(GL_Data!$S$8:$S$5007,72111,GL_Data!$P$8:$P$5007))</f>
        <v>0</v>
      </c>
      <c r="AC77" s="88" t="n">
        <f aca="false">IF($A77="",0,SUMIF(GL_Data!$S$8:$S$5007,72112,GL_Data!$P$8:$P$5007))</f>
        <v>0</v>
      </c>
      <c r="AD77" s="89" t="n">
        <f aca="false">IF($A77="",0,INDEX($F77:$AC77,12+Setup!$B$8))</f>
        <v>0</v>
      </c>
      <c r="AE77" s="90" t="n">
        <f aca="false">IF($A77="",0,INDEX($F77:$AC77,Setup!$B$8))</f>
        <v>0</v>
      </c>
      <c r="AF77" s="90" t="n">
        <f aca="false">IF($A77="",0,INDEX($F77:$AC77,11+Setup!$B$8))</f>
        <v>0</v>
      </c>
      <c r="AG77" s="90" t="n">
        <f aca="false">IF($A77="",0,AVERAGE(INDEX($F77:$AC77,9+Setup!$B$8):INDEX($F77:$AC77,11+Setup!$B$8)))</f>
        <v>0</v>
      </c>
      <c r="AH77" s="89" t="n">
        <f aca="false">IF($A77="",0,SUMPRODUCT(($R$3:$AC$3&lt;=Setup!$B$8)*$R77:$AC77))</f>
        <v>0</v>
      </c>
      <c r="AI77" s="90" t="n">
        <f aca="false">IF($A77="",0,SUMPRODUCT(($F$3:$Q$3&lt;=Setup!$B$8)*$F77:$Q77))</f>
        <v>0</v>
      </c>
      <c r="AJ77" s="90" t="n">
        <f aca="false">IF($A77="",0,SUM($F77:$Q77))</f>
        <v>0</v>
      </c>
      <c r="AK77" s="90" t="n">
        <f aca="false">IF($A77="",0,SUM($R77:$AC77))</f>
        <v>0</v>
      </c>
      <c r="AL77" s="91" t="n">
        <f aca="false">IF($A77="",0,IF(SUMPRODUCT(ABS($F77:$AC77))&gt;0,1,0))</f>
        <v>0</v>
      </c>
    </row>
    <row r="78" customFormat="false" ht="15" hidden="false" customHeight="false" outlineLevel="0" collapsed="false">
      <c r="A78" s="68" t="str">
        <f aca="false">IF(COA_Mapping!$A79="","",COA_Mapping!$A79)</f>
        <v>Direct Wages - INTEGRATION</v>
      </c>
      <c r="B78" s="68" t="str">
        <f aca="false">IF($A78="","",COA_Mapping!$C79)</f>
        <v>Cost of Sales</v>
      </c>
      <c r="C78" s="68" t="str">
        <f aca="false">IF($A78="","",COA_Mapping!$E79)</f>
        <v>P&amp;L</v>
      </c>
      <c r="D78" s="68" t="str">
        <f aca="false">IF($A78="","",COA_Mapping!$D79)</f>
        <v>Integration</v>
      </c>
      <c r="E78" s="86" t="n">
        <f aca="false">IF($A78="",1,COA_Mapping!$F79)</f>
        <v>1</v>
      </c>
      <c r="F78" s="87" t="n">
        <f aca="false">IF($A78="",0,SUMIF(GL_Data!$S$8:$S$5007,73001,GL_Data!$P$8:$P$5007))</f>
        <v>0</v>
      </c>
      <c r="G78" s="87" t="n">
        <f aca="false">IF($A78="",0,SUMIF(GL_Data!$S$8:$S$5007,73002,GL_Data!$P$8:$P$5007))</f>
        <v>0</v>
      </c>
      <c r="H78" s="87" t="n">
        <f aca="false">IF($A78="",0,SUMIF(GL_Data!$S$8:$S$5007,73003,GL_Data!$P$8:$P$5007))</f>
        <v>0</v>
      </c>
      <c r="I78" s="87" t="n">
        <f aca="false">IF($A78="",0,SUMIF(GL_Data!$S$8:$S$5007,73004,GL_Data!$P$8:$P$5007))</f>
        <v>0</v>
      </c>
      <c r="J78" s="87" t="n">
        <f aca="false">IF($A78="",0,SUMIF(GL_Data!$S$8:$S$5007,73005,GL_Data!$P$8:$P$5007))</f>
        <v>0</v>
      </c>
      <c r="K78" s="87" t="n">
        <f aca="false">IF($A78="",0,SUMIF(GL_Data!$S$8:$S$5007,73006,GL_Data!$P$8:$P$5007))</f>
        <v>0</v>
      </c>
      <c r="L78" s="87" t="n">
        <f aca="false">IF($A78="",0,SUMIF(GL_Data!$S$8:$S$5007,73007,GL_Data!$P$8:$P$5007))</f>
        <v>0</v>
      </c>
      <c r="M78" s="87" t="n">
        <f aca="false">IF($A78="",0,SUMIF(GL_Data!$S$8:$S$5007,73008,GL_Data!$P$8:$P$5007))</f>
        <v>0</v>
      </c>
      <c r="N78" s="87" t="n">
        <f aca="false">IF($A78="",0,SUMIF(GL_Data!$S$8:$S$5007,73009,GL_Data!$P$8:$P$5007))</f>
        <v>0</v>
      </c>
      <c r="O78" s="87" t="n">
        <f aca="false">IF($A78="",0,SUMIF(GL_Data!$S$8:$S$5007,73010,GL_Data!$P$8:$P$5007))</f>
        <v>0</v>
      </c>
      <c r="P78" s="87" t="n">
        <f aca="false">IF($A78="",0,SUMIF(GL_Data!$S$8:$S$5007,73011,GL_Data!$P$8:$P$5007))</f>
        <v>0</v>
      </c>
      <c r="Q78" s="87" t="n">
        <f aca="false">IF($A78="",0,SUMIF(GL_Data!$S$8:$S$5007,73012,GL_Data!$P$8:$P$5007))</f>
        <v>0</v>
      </c>
      <c r="R78" s="88" t="n">
        <f aca="false">IF($A78="",0,SUMIF(GL_Data!$S$8:$S$5007,73101,GL_Data!$P$8:$P$5007))</f>
        <v>0</v>
      </c>
      <c r="S78" s="88" t="n">
        <f aca="false">IF($A78="",0,SUMIF(GL_Data!$S$8:$S$5007,73102,GL_Data!$P$8:$P$5007))</f>
        <v>0</v>
      </c>
      <c r="T78" s="88" t="n">
        <f aca="false">IF($A78="",0,SUMIF(GL_Data!$S$8:$S$5007,73103,GL_Data!$P$8:$P$5007))</f>
        <v>0</v>
      </c>
      <c r="U78" s="88" t="n">
        <f aca="false">IF($A78="",0,SUMIF(GL_Data!$S$8:$S$5007,73104,GL_Data!$P$8:$P$5007))</f>
        <v>0</v>
      </c>
      <c r="V78" s="88" t="n">
        <f aca="false">IF($A78="",0,SUMIF(GL_Data!$S$8:$S$5007,73105,GL_Data!$P$8:$P$5007))</f>
        <v>0</v>
      </c>
      <c r="W78" s="88" t="n">
        <f aca="false">IF($A78="",0,SUMIF(GL_Data!$S$8:$S$5007,73106,GL_Data!$P$8:$P$5007))</f>
        <v>0</v>
      </c>
      <c r="X78" s="88" t="n">
        <f aca="false">IF($A78="",0,SUMIF(GL_Data!$S$8:$S$5007,73107,GL_Data!$P$8:$P$5007))</f>
        <v>0</v>
      </c>
      <c r="Y78" s="88" t="n">
        <f aca="false">IF($A78="",0,SUMIF(GL_Data!$S$8:$S$5007,73108,GL_Data!$P$8:$P$5007))</f>
        <v>0</v>
      </c>
      <c r="Z78" s="88" t="n">
        <f aca="false">IF($A78="",0,SUMIF(GL_Data!$S$8:$S$5007,73109,GL_Data!$P$8:$P$5007))</f>
        <v>0</v>
      </c>
      <c r="AA78" s="88" t="n">
        <f aca="false">IF($A78="",0,SUMIF(GL_Data!$S$8:$S$5007,73110,GL_Data!$P$8:$P$5007))</f>
        <v>0</v>
      </c>
      <c r="AB78" s="88" t="n">
        <f aca="false">IF($A78="",0,SUMIF(GL_Data!$S$8:$S$5007,73111,GL_Data!$P$8:$P$5007))</f>
        <v>0</v>
      </c>
      <c r="AC78" s="88" t="n">
        <f aca="false">IF($A78="",0,SUMIF(GL_Data!$S$8:$S$5007,73112,GL_Data!$P$8:$P$5007))</f>
        <v>0</v>
      </c>
      <c r="AD78" s="89" t="n">
        <f aca="false">IF($A78="",0,INDEX($F78:$AC78,12+Setup!$B$8))</f>
        <v>0</v>
      </c>
      <c r="AE78" s="90" t="n">
        <f aca="false">IF($A78="",0,INDEX($F78:$AC78,Setup!$B$8))</f>
        <v>0</v>
      </c>
      <c r="AF78" s="90" t="n">
        <f aca="false">IF($A78="",0,INDEX($F78:$AC78,11+Setup!$B$8))</f>
        <v>0</v>
      </c>
      <c r="AG78" s="90" t="n">
        <f aca="false">IF($A78="",0,AVERAGE(INDEX($F78:$AC78,9+Setup!$B$8):INDEX($F78:$AC78,11+Setup!$B$8)))</f>
        <v>0</v>
      </c>
      <c r="AH78" s="89" t="n">
        <f aca="false">IF($A78="",0,SUMPRODUCT(($R$3:$AC$3&lt;=Setup!$B$8)*$R78:$AC78))</f>
        <v>0</v>
      </c>
      <c r="AI78" s="90" t="n">
        <f aca="false">IF($A78="",0,SUMPRODUCT(($F$3:$Q$3&lt;=Setup!$B$8)*$F78:$Q78))</f>
        <v>0</v>
      </c>
      <c r="AJ78" s="90" t="n">
        <f aca="false">IF($A78="",0,SUM($F78:$Q78))</f>
        <v>0</v>
      </c>
      <c r="AK78" s="90" t="n">
        <f aca="false">IF($A78="",0,SUM($R78:$AC78))</f>
        <v>0</v>
      </c>
      <c r="AL78" s="91" t="n">
        <f aca="false">IF($A78="",0,IF(SUMPRODUCT(ABS($F78:$AC78))&gt;0,1,0))</f>
        <v>0</v>
      </c>
    </row>
    <row r="79" customFormat="false" ht="15" hidden="false" customHeight="false" outlineLevel="0" collapsed="false">
      <c r="A79" s="68" t="str">
        <f aca="false">IF(COA_Mapping!$A80="","",COA_Mapping!$A80)</f>
        <v>Direct Wages - ONS</v>
      </c>
      <c r="B79" s="68" t="str">
        <f aca="false">IF($A79="","",COA_Mapping!$C80)</f>
        <v>Cost of Sales</v>
      </c>
      <c r="C79" s="68" t="str">
        <f aca="false">IF($A79="","",COA_Mapping!$E80)</f>
        <v>P&amp;L</v>
      </c>
      <c r="D79" s="68" t="str">
        <f aca="false">IF($A79="","",COA_Mapping!$D80)</f>
        <v>Onsite</v>
      </c>
      <c r="E79" s="86" t="n">
        <f aca="false">IF($A79="",1,COA_Mapping!$F80)</f>
        <v>1</v>
      </c>
      <c r="F79" s="87" t="n">
        <f aca="false">IF($A79="",0,SUMIF(GL_Data!$S$8:$S$5007,74001,GL_Data!$P$8:$P$5007))</f>
        <v>0</v>
      </c>
      <c r="G79" s="87" t="n">
        <f aca="false">IF($A79="",0,SUMIF(GL_Data!$S$8:$S$5007,74002,GL_Data!$P$8:$P$5007))</f>
        <v>0</v>
      </c>
      <c r="H79" s="87" t="n">
        <f aca="false">IF($A79="",0,SUMIF(GL_Data!$S$8:$S$5007,74003,GL_Data!$P$8:$P$5007))</f>
        <v>0</v>
      </c>
      <c r="I79" s="87" t="n">
        <f aca="false">IF($A79="",0,SUMIF(GL_Data!$S$8:$S$5007,74004,GL_Data!$P$8:$P$5007))</f>
        <v>0</v>
      </c>
      <c r="J79" s="87" t="n">
        <f aca="false">IF($A79="",0,SUMIF(GL_Data!$S$8:$S$5007,74005,GL_Data!$P$8:$P$5007))</f>
        <v>0</v>
      </c>
      <c r="K79" s="87" t="n">
        <f aca="false">IF($A79="",0,SUMIF(GL_Data!$S$8:$S$5007,74006,GL_Data!$P$8:$P$5007))</f>
        <v>0</v>
      </c>
      <c r="L79" s="87" t="n">
        <f aca="false">IF($A79="",0,SUMIF(GL_Data!$S$8:$S$5007,74007,GL_Data!$P$8:$P$5007))</f>
        <v>0</v>
      </c>
      <c r="M79" s="87" t="n">
        <f aca="false">IF($A79="",0,SUMIF(GL_Data!$S$8:$S$5007,74008,GL_Data!$P$8:$P$5007))</f>
        <v>0</v>
      </c>
      <c r="N79" s="87" t="n">
        <f aca="false">IF($A79="",0,SUMIF(GL_Data!$S$8:$S$5007,74009,GL_Data!$P$8:$P$5007))</f>
        <v>0</v>
      </c>
      <c r="O79" s="87" t="n">
        <f aca="false">IF($A79="",0,SUMIF(GL_Data!$S$8:$S$5007,74010,GL_Data!$P$8:$P$5007))</f>
        <v>0</v>
      </c>
      <c r="P79" s="87" t="n">
        <f aca="false">IF($A79="",0,SUMIF(GL_Data!$S$8:$S$5007,74011,GL_Data!$P$8:$P$5007))</f>
        <v>0</v>
      </c>
      <c r="Q79" s="87" t="n">
        <f aca="false">IF($A79="",0,SUMIF(GL_Data!$S$8:$S$5007,74012,GL_Data!$P$8:$P$5007))</f>
        <v>0</v>
      </c>
      <c r="R79" s="88" t="n">
        <f aca="false">IF($A79="",0,SUMIF(GL_Data!$S$8:$S$5007,74101,GL_Data!$P$8:$P$5007))</f>
        <v>0</v>
      </c>
      <c r="S79" s="88" t="n">
        <f aca="false">IF($A79="",0,SUMIF(GL_Data!$S$8:$S$5007,74102,GL_Data!$P$8:$P$5007))</f>
        <v>0</v>
      </c>
      <c r="T79" s="88" t="n">
        <f aca="false">IF($A79="",0,SUMIF(GL_Data!$S$8:$S$5007,74103,GL_Data!$P$8:$P$5007))</f>
        <v>0</v>
      </c>
      <c r="U79" s="88" t="n">
        <f aca="false">IF($A79="",0,SUMIF(GL_Data!$S$8:$S$5007,74104,GL_Data!$P$8:$P$5007))</f>
        <v>0</v>
      </c>
      <c r="V79" s="88" t="n">
        <f aca="false">IF($A79="",0,SUMIF(GL_Data!$S$8:$S$5007,74105,GL_Data!$P$8:$P$5007))</f>
        <v>0</v>
      </c>
      <c r="W79" s="88" t="n">
        <f aca="false">IF($A79="",0,SUMIF(GL_Data!$S$8:$S$5007,74106,GL_Data!$P$8:$P$5007))</f>
        <v>0</v>
      </c>
      <c r="X79" s="88" t="n">
        <f aca="false">IF($A79="",0,SUMIF(GL_Data!$S$8:$S$5007,74107,GL_Data!$P$8:$P$5007))</f>
        <v>0</v>
      </c>
      <c r="Y79" s="88" t="n">
        <f aca="false">IF($A79="",0,SUMIF(GL_Data!$S$8:$S$5007,74108,GL_Data!$P$8:$P$5007))</f>
        <v>0</v>
      </c>
      <c r="Z79" s="88" t="n">
        <f aca="false">IF($A79="",0,SUMIF(GL_Data!$S$8:$S$5007,74109,GL_Data!$P$8:$P$5007))</f>
        <v>0</v>
      </c>
      <c r="AA79" s="88" t="n">
        <f aca="false">IF($A79="",0,SUMIF(GL_Data!$S$8:$S$5007,74110,GL_Data!$P$8:$P$5007))</f>
        <v>0</v>
      </c>
      <c r="AB79" s="88" t="n">
        <f aca="false">IF($A79="",0,SUMIF(GL_Data!$S$8:$S$5007,74111,GL_Data!$P$8:$P$5007))</f>
        <v>0</v>
      </c>
      <c r="AC79" s="88" t="n">
        <f aca="false">IF($A79="",0,SUMIF(GL_Data!$S$8:$S$5007,74112,GL_Data!$P$8:$P$5007))</f>
        <v>0</v>
      </c>
      <c r="AD79" s="89" t="n">
        <f aca="false">IF($A79="",0,INDEX($F79:$AC79,12+Setup!$B$8))</f>
        <v>0</v>
      </c>
      <c r="AE79" s="90" t="n">
        <f aca="false">IF($A79="",0,INDEX($F79:$AC79,Setup!$B$8))</f>
        <v>0</v>
      </c>
      <c r="AF79" s="90" t="n">
        <f aca="false">IF($A79="",0,INDEX($F79:$AC79,11+Setup!$B$8))</f>
        <v>0</v>
      </c>
      <c r="AG79" s="90" t="n">
        <f aca="false">IF($A79="",0,AVERAGE(INDEX($F79:$AC79,9+Setup!$B$8):INDEX($F79:$AC79,11+Setup!$B$8)))</f>
        <v>0</v>
      </c>
      <c r="AH79" s="89" t="n">
        <f aca="false">IF($A79="",0,SUMPRODUCT(($R$3:$AC$3&lt;=Setup!$B$8)*$R79:$AC79))</f>
        <v>0</v>
      </c>
      <c r="AI79" s="90" t="n">
        <f aca="false">IF($A79="",0,SUMPRODUCT(($F$3:$Q$3&lt;=Setup!$B$8)*$F79:$Q79))</f>
        <v>0</v>
      </c>
      <c r="AJ79" s="90" t="n">
        <f aca="false">IF($A79="",0,SUM($F79:$Q79))</f>
        <v>0</v>
      </c>
      <c r="AK79" s="90" t="n">
        <f aca="false">IF($A79="",0,SUM($R79:$AC79))</f>
        <v>0</v>
      </c>
      <c r="AL79" s="91" t="n">
        <f aca="false">IF($A79="",0,IF(SUMPRODUCT(ABS($F79:$AC79))&gt;0,1,0))</f>
        <v>0</v>
      </c>
    </row>
    <row r="80" customFormat="false" ht="15" hidden="false" customHeight="false" outlineLevel="0" collapsed="false">
      <c r="A80" s="68" t="str">
        <f aca="false">IF(COA_Mapping!$A81="","",COA_Mapping!$A81)</f>
        <v>Direct Wages - PRD</v>
      </c>
      <c r="B80" s="68" t="str">
        <f aca="false">IF($A80="","",COA_Mapping!$C81)</f>
        <v>Cost of Sales</v>
      </c>
      <c r="C80" s="68" t="str">
        <f aca="false">IF($A80="","",COA_Mapping!$E81)</f>
        <v>P&amp;L</v>
      </c>
      <c r="D80" s="68" t="str">
        <f aca="false">IF($A80="","",COA_Mapping!$D81)</f>
        <v>Production</v>
      </c>
      <c r="E80" s="86" t="n">
        <f aca="false">IF($A80="",1,COA_Mapping!$F81)</f>
        <v>1</v>
      </c>
      <c r="F80" s="87" t="n">
        <f aca="false">IF($A80="",0,SUMIF(GL_Data!$S$8:$S$5007,75001,GL_Data!$P$8:$P$5007))</f>
        <v>0</v>
      </c>
      <c r="G80" s="87" t="n">
        <f aca="false">IF($A80="",0,SUMIF(GL_Data!$S$8:$S$5007,75002,GL_Data!$P$8:$P$5007))</f>
        <v>0</v>
      </c>
      <c r="H80" s="87" t="n">
        <f aca="false">IF($A80="",0,SUMIF(GL_Data!$S$8:$S$5007,75003,GL_Data!$P$8:$P$5007))</f>
        <v>0</v>
      </c>
      <c r="I80" s="87" t="n">
        <f aca="false">IF($A80="",0,SUMIF(GL_Data!$S$8:$S$5007,75004,GL_Data!$P$8:$P$5007))</f>
        <v>0</v>
      </c>
      <c r="J80" s="87" t="n">
        <f aca="false">IF($A80="",0,SUMIF(GL_Data!$S$8:$S$5007,75005,GL_Data!$P$8:$P$5007))</f>
        <v>0</v>
      </c>
      <c r="K80" s="87" t="n">
        <f aca="false">IF($A80="",0,SUMIF(GL_Data!$S$8:$S$5007,75006,GL_Data!$P$8:$P$5007))</f>
        <v>0</v>
      </c>
      <c r="L80" s="87" t="n">
        <f aca="false">IF($A80="",0,SUMIF(GL_Data!$S$8:$S$5007,75007,GL_Data!$P$8:$P$5007))</f>
        <v>0</v>
      </c>
      <c r="M80" s="87" t="n">
        <f aca="false">IF($A80="",0,SUMIF(GL_Data!$S$8:$S$5007,75008,GL_Data!$P$8:$P$5007))</f>
        <v>0</v>
      </c>
      <c r="N80" s="87" t="n">
        <f aca="false">IF($A80="",0,SUMIF(GL_Data!$S$8:$S$5007,75009,GL_Data!$P$8:$P$5007))</f>
        <v>0</v>
      </c>
      <c r="O80" s="87" t="n">
        <f aca="false">IF($A80="",0,SUMIF(GL_Data!$S$8:$S$5007,75010,GL_Data!$P$8:$P$5007))</f>
        <v>0</v>
      </c>
      <c r="P80" s="87" t="n">
        <f aca="false">IF($A80="",0,SUMIF(GL_Data!$S$8:$S$5007,75011,GL_Data!$P$8:$P$5007))</f>
        <v>0</v>
      </c>
      <c r="Q80" s="87" t="n">
        <f aca="false">IF($A80="",0,SUMIF(GL_Data!$S$8:$S$5007,75012,GL_Data!$P$8:$P$5007))</f>
        <v>0</v>
      </c>
      <c r="R80" s="88" t="n">
        <f aca="false">IF($A80="",0,SUMIF(GL_Data!$S$8:$S$5007,75101,GL_Data!$P$8:$P$5007))</f>
        <v>0</v>
      </c>
      <c r="S80" s="88" t="n">
        <f aca="false">IF($A80="",0,SUMIF(GL_Data!$S$8:$S$5007,75102,GL_Data!$P$8:$P$5007))</f>
        <v>0</v>
      </c>
      <c r="T80" s="88" t="n">
        <f aca="false">IF($A80="",0,SUMIF(GL_Data!$S$8:$S$5007,75103,GL_Data!$P$8:$P$5007))</f>
        <v>0</v>
      </c>
      <c r="U80" s="88" t="n">
        <f aca="false">IF($A80="",0,SUMIF(GL_Data!$S$8:$S$5007,75104,GL_Data!$P$8:$P$5007))</f>
        <v>0</v>
      </c>
      <c r="V80" s="88" t="n">
        <f aca="false">IF($A80="",0,SUMIF(GL_Data!$S$8:$S$5007,75105,GL_Data!$P$8:$P$5007))</f>
        <v>0</v>
      </c>
      <c r="W80" s="88" t="n">
        <f aca="false">IF($A80="",0,SUMIF(GL_Data!$S$8:$S$5007,75106,GL_Data!$P$8:$P$5007))</f>
        <v>0</v>
      </c>
      <c r="X80" s="88" t="n">
        <f aca="false">IF($A80="",0,SUMIF(GL_Data!$S$8:$S$5007,75107,GL_Data!$P$8:$P$5007))</f>
        <v>0</v>
      </c>
      <c r="Y80" s="88" t="n">
        <f aca="false">IF($A80="",0,SUMIF(GL_Data!$S$8:$S$5007,75108,GL_Data!$P$8:$P$5007))</f>
        <v>0</v>
      </c>
      <c r="Z80" s="88" t="n">
        <f aca="false">IF($A80="",0,SUMIF(GL_Data!$S$8:$S$5007,75109,GL_Data!$P$8:$P$5007))</f>
        <v>0</v>
      </c>
      <c r="AA80" s="88" t="n">
        <f aca="false">IF($A80="",0,SUMIF(GL_Data!$S$8:$S$5007,75110,GL_Data!$P$8:$P$5007))</f>
        <v>0</v>
      </c>
      <c r="AB80" s="88" t="n">
        <f aca="false">IF($A80="",0,SUMIF(GL_Data!$S$8:$S$5007,75111,GL_Data!$P$8:$P$5007))</f>
        <v>0</v>
      </c>
      <c r="AC80" s="88" t="n">
        <f aca="false">IF($A80="",0,SUMIF(GL_Data!$S$8:$S$5007,75112,GL_Data!$P$8:$P$5007))</f>
        <v>0</v>
      </c>
      <c r="AD80" s="89" t="n">
        <f aca="false">IF($A80="",0,INDEX($F80:$AC80,12+Setup!$B$8))</f>
        <v>0</v>
      </c>
      <c r="AE80" s="90" t="n">
        <f aca="false">IF($A80="",0,INDEX($F80:$AC80,Setup!$B$8))</f>
        <v>0</v>
      </c>
      <c r="AF80" s="90" t="n">
        <f aca="false">IF($A80="",0,INDEX($F80:$AC80,11+Setup!$B$8))</f>
        <v>0</v>
      </c>
      <c r="AG80" s="90" t="n">
        <f aca="false">IF($A80="",0,AVERAGE(INDEX($F80:$AC80,9+Setup!$B$8):INDEX($F80:$AC80,11+Setup!$B$8)))</f>
        <v>0</v>
      </c>
      <c r="AH80" s="89" t="n">
        <f aca="false">IF($A80="",0,SUMPRODUCT(($R$3:$AC$3&lt;=Setup!$B$8)*$R80:$AC80))</f>
        <v>0</v>
      </c>
      <c r="AI80" s="90" t="n">
        <f aca="false">IF($A80="",0,SUMPRODUCT(($F$3:$Q$3&lt;=Setup!$B$8)*$F80:$Q80))</f>
        <v>0</v>
      </c>
      <c r="AJ80" s="90" t="n">
        <f aca="false">IF($A80="",0,SUM($F80:$Q80))</f>
        <v>0</v>
      </c>
      <c r="AK80" s="90" t="n">
        <f aca="false">IF($A80="",0,SUM($R80:$AC80))</f>
        <v>0</v>
      </c>
      <c r="AL80" s="91" t="n">
        <f aca="false">IF($A80="",0,IF(SUMPRODUCT(ABS($F80:$AC80))&gt;0,1,0))</f>
        <v>0</v>
      </c>
    </row>
    <row r="81" customFormat="false" ht="15" hidden="false" customHeight="false" outlineLevel="0" collapsed="false">
      <c r="A81" s="68" t="str">
        <f aca="false">IF(COA_Mapping!$A82="","",COA_Mapping!$A82)</f>
        <v>Direct Wages - VID</v>
      </c>
      <c r="B81" s="68" t="str">
        <f aca="false">IF($A81="","",COA_Mapping!$C82)</f>
        <v>Cost of Sales</v>
      </c>
      <c r="C81" s="68" t="str">
        <f aca="false">IF($A81="","",COA_Mapping!$E82)</f>
        <v>P&amp;L</v>
      </c>
      <c r="D81" s="68" t="str">
        <f aca="false">IF($A81="","",COA_Mapping!$D82)</f>
        <v>Video</v>
      </c>
      <c r="E81" s="86" t="n">
        <f aca="false">IF($A81="",1,COA_Mapping!$F82)</f>
        <v>1</v>
      </c>
      <c r="F81" s="87" t="n">
        <f aca="false">IF($A81="",0,SUMIF(GL_Data!$S$8:$S$5007,76001,GL_Data!$P$8:$P$5007))</f>
        <v>0</v>
      </c>
      <c r="G81" s="87" t="n">
        <f aca="false">IF($A81="",0,SUMIF(GL_Data!$S$8:$S$5007,76002,GL_Data!$P$8:$P$5007))</f>
        <v>0</v>
      </c>
      <c r="H81" s="87" t="n">
        <f aca="false">IF($A81="",0,SUMIF(GL_Data!$S$8:$S$5007,76003,GL_Data!$P$8:$P$5007))</f>
        <v>0</v>
      </c>
      <c r="I81" s="87" t="n">
        <f aca="false">IF($A81="",0,SUMIF(GL_Data!$S$8:$S$5007,76004,GL_Data!$P$8:$P$5007))</f>
        <v>0</v>
      </c>
      <c r="J81" s="87" t="n">
        <f aca="false">IF($A81="",0,SUMIF(GL_Data!$S$8:$S$5007,76005,GL_Data!$P$8:$P$5007))</f>
        <v>0</v>
      </c>
      <c r="K81" s="87" t="n">
        <f aca="false">IF($A81="",0,SUMIF(GL_Data!$S$8:$S$5007,76006,GL_Data!$P$8:$P$5007))</f>
        <v>0</v>
      </c>
      <c r="L81" s="87" t="n">
        <f aca="false">IF($A81="",0,SUMIF(GL_Data!$S$8:$S$5007,76007,GL_Data!$P$8:$P$5007))</f>
        <v>0</v>
      </c>
      <c r="M81" s="87" t="n">
        <f aca="false">IF($A81="",0,SUMIF(GL_Data!$S$8:$S$5007,76008,GL_Data!$P$8:$P$5007))</f>
        <v>0</v>
      </c>
      <c r="N81" s="87" t="n">
        <f aca="false">IF($A81="",0,SUMIF(GL_Data!$S$8:$S$5007,76009,GL_Data!$P$8:$P$5007))</f>
        <v>0</v>
      </c>
      <c r="O81" s="87" t="n">
        <f aca="false">IF($A81="",0,SUMIF(GL_Data!$S$8:$S$5007,76010,GL_Data!$P$8:$P$5007))</f>
        <v>0</v>
      </c>
      <c r="P81" s="87" t="n">
        <f aca="false">IF($A81="",0,SUMIF(GL_Data!$S$8:$S$5007,76011,GL_Data!$P$8:$P$5007))</f>
        <v>0</v>
      </c>
      <c r="Q81" s="87" t="n">
        <f aca="false">IF($A81="",0,SUMIF(GL_Data!$S$8:$S$5007,76012,GL_Data!$P$8:$P$5007))</f>
        <v>0</v>
      </c>
      <c r="R81" s="88" t="n">
        <f aca="false">IF($A81="",0,SUMIF(GL_Data!$S$8:$S$5007,76101,GL_Data!$P$8:$P$5007))</f>
        <v>0</v>
      </c>
      <c r="S81" s="88" t="n">
        <f aca="false">IF($A81="",0,SUMIF(GL_Data!$S$8:$S$5007,76102,GL_Data!$P$8:$P$5007))</f>
        <v>0</v>
      </c>
      <c r="T81" s="88" t="n">
        <f aca="false">IF($A81="",0,SUMIF(GL_Data!$S$8:$S$5007,76103,GL_Data!$P$8:$P$5007))</f>
        <v>0</v>
      </c>
      <c r="U81" s="88" t="n">
        <f aca="false">IF($A81="",0,SUMIF(GL_Data!$S$8:$S$5007,76104,GL_Data!$P$8:$P$5007))</f>
        <v>0</v>
      </c>
      <c r="V81" s="88" t="n">
        <f aca="false">IF($A81="",0,SUMIF(GL_Data!$S$8:$S$5007,76105,GL_Data!$P$8:$P$5007))</f>
        <v>0</v>
      </c>
      <c r="W81" s="88" t="n">
        <f aca="false">IF($A81="",0,SUMIF(GL_Data!$S$8:$S$5007,76106,GL_Data!$P$8:$P$5007))</f>
        <v>0</v>
      </c>
      <c r="X81" s="88" t="n">
        <f aca="false">IF($A81="",0,SUMIF(GL_Data!$S$8:$S$5007,76107,GL_Data!$P$8:$P$5007))</f>
        <v>0</v>
      </c>
      <c r="Y81" s="88" t="n">
        <f aca="false">IF($A81="",0,SUMIF(GL_Data!$S$8:$S$5007,76108,GL_Data!$P$8:$P$5007))</f>
        <v>0</v>
      </c>
      <c r="Z81" s="88" t="n">
        <f aca="false">IF($A81="",0,SUMIF(GL_Data!$S$8:$S$5007,76109,GL_Data!$P$8:$P$5007))</f>
        <v>0</v>
      </c>
      <c r="AA81" s="88" t="n">
        <f aca="false">IF($A81="",0,SUMIF(GL_Data!$S$8:$S$5007,76110,GL_Data!$P$8:$P$5007))</f>
        <v>0</v>
      </c>
      <c r="AB81" s="88" t="n">
        <f aca="false">IF($A81="",0,SUMIF(GL_Data!$S$8:$S$5007,76111,GL_Data!$P$8:$P$5007))</f>
        <v>0</v>
      </c>
      <c r="AC81" s="88" t="n">
        <f aca="false">IF($A81="",0,SUMIF(GL_Data!$S$8:$S$5007,76112,GL_Data!$P$8:$P$5007))</f>
        <v>0</v>
      </c>
      <c r="AD81" s="89" t="n">
        <f aca="false">IF($A81="",0,INDEX($F81:$AC81,12+Setup!$B$8))</f>
        <v>0</v>
      </c>
      <c r="AE81" s="90" t="n">
        <f aca="false">IF($A81="",0,INDEX($F81:$AC81,Setup!$B$8))</f>
        <v>0</v>
      </c>
      <c r="AF81" s="90" t="n">
        <f aca="false">IF($A81="",0,INDEX($F81:$AC81,11+Setup!$B$8))</f>
        <v>0</v>
      </c>
      <c r="AG81" s="90" t="n">
        <f aca="false">IF($A81="",0,AVERAGE(INDEX($F81:$AC81,9+Setup!$B$8):INDEX($F81:$AC81,11+Setup!$B$8)))</f>
        <v>0</v>
      </c>
      <c r="AH81" s="89" t="n">
        <f aca="false">IF($A81="",0,SUMPRODUCT(($R$3:$AC$3&lt;=Setup!$B$8)*$R81:$AC81))</f>
        <v>0</v>
      </c>
      <c r="AI81" s="90" t="n">
        <f aca="false">IF($A81="",0,SUMPRODUCT(($F$3:$Q$3&lt;=Setup!$B$8)*$F81:$Q81))</f>
        <v>0</v>
      </c>
      <c r="AJ81" s="90" t="n">
        <f aca="false">IF($A81="",0,SUM($F81:$Q81))</f>
        <v>0</v>
      </c>
      <c r="AK81" s="90" t="n">
        <f aca="false">IF($A81="",0,SUM($R81:$AC81))</f>
        <v>0</v>
      </c>
      <c r="AL81" s="91" t="n">
        <f aca="false">IF($A81="",0,IF(SUMPRODUCT(ABS($F81:$AC81))&gt;0,1,0))</f>
        <v>0</v>
      </c>
    </row>
    <row r="82" customFormat="false" ht="15" hidden="false" customHeight="false" outlineLevel="0" collapsed="false">
      <c r="A82" s="68" t="str">
        <f aca="false">IF(COA_Mapping!$A83="","",COA_Mapping!$A83)</f>
        <v>Direct Workers Comp - ADMIN</v>
      </c>
      <c r="B82" s="68" t="str">
        <f aca="false">IF($A82="","",COA_Mapping!$C83)</f>
        <v>Cost of Sales</v>
      </c>
      <c r="C82" s="68" t="str">
        <f aca="false">IF($A82="","",COA_Mapping!$E83)</f>
        <v>P&amp;L</v>
      </c>
      <c r="D82" s="68" t="str">
        <f aca="false">IF($A82="","",COA_Mapping!$D83)</f>
        <v>Admin</v>
      </c>
      <c r="E82" s="86" t="n">
        <f aca="false">IF($A82="",1,COA_Mapping!$F83)</f>
        <v>1</v>
      </c>
      <c r="F82" s="87" t="n">
        <f aca="false">IF($A82="",0,SUMIF(GL_Data!$S$8:$S$5007,77001,GL_Data!$P$8:$P$5007))</f>
        <v>0</v>
      </c>
      <c r="G82" s="87" t="n">
        <f aca="false">IF($A82="",0,SUMIF(GL_Data!$S$8:$S$5007,77002,GL_Data!$P$8:$P$5007))</f>
        <v>0</v>
      </c>
      <c r="H82" s="87" t="n">
        <f aca="false">IF($A82="",0,SUMIF(GL_Data!$S$8:$S$5007,77003,GL_Data!$P$8:$P$5007))</f>
        <v>0</v>
      </c>
      <c r="I82" s="87" t="n">
        <f aca="false">IF($A82="",0,SUMIF(GL_Data!$S$8:$S$5007,77004,GL_Data!$P$8:$P$5007))</f>
        <v>0</v>
      </c>
      <c r="J82" s="87" t="n">
        <f aca="false">IF($A82="",0,SUMIF(GL_Data!$S$8:$S$5007,77005,GL_Data!$P$8:$P$5007))</f>
        <v>0</v>
      </c>
      <c r="K82" s="87" t="n">
        <f aca="false">IF($A82="",0,SUMIF(GL_Data!$S$8:$S$5007,77006,GL_Data!$P$8:$P$5007))</f>
        <v>0</v>
      </c>
      <c r="L82" s="87" t="n">
        <f aca="false">IF($A82="",0,SUMIF(GL_Data!$S$8:$S$5007,77007,GL_Data!$P$8:$P$5007))</f>
        <v>0</v>
      </c>
      <c r="M82" s="87" t="n">
        <f aca="false">IF($A82="",0,SUMIF(GL_Data!$S$8:$S$5007,77008,GL_Data!$P$8:$P$5007))</f>
        <v>0</v>
      </c>
      <c r="N82" s="87" t="n">
        <f aca="false">IF($A82="",0,SUMIF(GL_Data!$S$8:$S$5007,77009,GL_Data!$P$8:$P$5007))</f>
        <v>0</v>
      </c>
      <c r="O82" s="87" t="n">
        <f aca="false">IF($A82="",0,SUMIF(GL_Data!$S$8:$S$5007,77010,GL_Data!$P$8:$P$5007))</f>
        <v>0</v>
      </c>
      <c r="P82" s="87" t="n">
        <f aca="false">IF($A82="",0,SUMIF(GL_Data!$S$8:$S$5007,77011,GL_Data!$P$8:$P$5007))</f>
        <v>0</v>
      </c>
      <c r="Q82" s="87" t="n">
        <f aca="false">IF($A82="",0,SUMIF(GL_Data!$S$8:$S$5007,77012,GL_Data!$P$8:$P$5007))</f>
        <v>0</v>
      </c>
      <c r="R82" s="88" t="n">
        <f aca="false">IF($A82="",0,SUMIF(GL_Data!$S$8:$S$5007,77101,GL_Data!$P$8:$P$5007))</f>
        <v>0</v>
      </c>
      <c r="S82" s="88" t="n">
        <f aca="false">IF($A82="",0,SUMIF(GL_Data!$S$8:$S$5007,77102,GL_Data!$P$8:$P$5007))</f>
        <v>0</v>
      </c>
      <c r="T82" s="88" t="n">
        <f aca="false">IF($A82="",0,SUMIF(GL_Data!$S$8:$S$5007,77103,GL_Data!$P$8:$P$5007))</f>
        <v>0</v>
      </c>
      <c r="U82" s="88" t="n">
        <f aca="false">IF($A82="",0,SUMIF(GL_Data!$S$8:$S$5007,77104,GL_Data!$P$8:$P$5007))</f>
        <v>0</v>
      </c>
      <c r="V82" s="88" t="n">
        <f aca="false">IF($A82="",0,SUMIF(GL_Data!$S$8:$S$5007,77105,GL_Data!$P$8:$P$5007))</f>
        <v>0</v>
      </c>
      <c r="W82" s="88" t="n">
        <f aca="false">IF($A82="",0,SUMIF(GL_Data!$S$8:$S$5007,77106,GL_Data!$P$8:$P$5007))</f>
        <v>0</v>
      </c>
      <c r="X82" s="88" t="n">
        <f aca="false">IF($A82="",0,SUMIF(GL_Data!$S$8:$S$5007,77107,GL_Data!$P$8:$P$5007))</f>
        <v>0</v>
      </c>
      <c r="Y82" s="88" t="n">
        <f aca="false">IF($A82="",0,SUMIF(GL_Data!$S$8:$S$5007,77108,GL_Data!$P$8:$P$5007))</f>
        <v>0</v>
      </c>
      <c r="Z82" s="88" t="n">
        <f aca="false">IF($A82="",0,SUMIF(GL_Data!$S$8:$S$5007,77109,GL_Data!$P$8:$P$5007))</f>
        <v>0</v>
      </c>
      <c r="AA82" s="88" t="n">
        <f aca="false">IF($A82="",0,SUMIF(GL_Data!$S$8:$S$5007,77110,GL_Data!$P$8:$P$5007))</f>
        <v>0</v>
      </c>
      <c r="AB82" s="88" t="n">
        <f aca="false">IF($A82="",0,SUMIF(GL_Data!$S$8:$S$5007,77111,GL_Data!$P$8:$P$5007))</f>
        <v>0</v>
      </c>
      <c r="AC82" s="88" t="n">
        <f aca="false">IF($A82="",0,SUMIF(GL_Data!$S$8:$S$5007,77112,GL_Data!$P$8:$P$5007))</f>
        <v>0</v>
      </c>
      <c r="AD82" s="89" t="n">
        <f aca="false">IF($A82="",0,INDEX($F82:$AC82,12+Setup!$B$8))</f>
        <v>0</v>
      </c>
      <c r="AE82" s="90" t="n">
        <f aca="false">IF($A82="",0,INDEX($F82:$AC82,Setup!$B$8))</f>
        <v>0</v>
      </c>
      <c r="AF82" s="90" t="n">
        <f aca="false">IF($A82="",0,INDEX($F82:$AC82,11+Setup!$B$8))</f>
        <v>0</v>
      </c>
      <c r="AG82" s="90" t="n">
        <f aca="false">IF($A82="",0,AVERAGE(INDEX($F82:$AC82,9+Setup!$B$8):INDEX($F82:$AC82,11+Setup!$B$8)))</f>
        <v>0</v>
      </c>
      <c r="AH82" s="89" t="n">
        <f aca="false">IF($A82="",0,SUMPRODUCT(($R$3:$AC$3&lt;=Setup!$B$8)*$R82:$AC82))</f>
        <v>0</v>
      </c>
      <c r="AI82" s="90" t="n">
        <f aca="false">IF($A82="",0,SUMPRODUCT(($F$3:$Q$3&lt;=Setup!$B$8)*$F82:$Q82))</f>
        <v>0</v>
      </c>
      <c r="AJ82" s="90" t="n">
        <f aca="false">IF($A82="",0,SUM($F82:$Q82))</f>
        <v>0</v>
      </c>
      <c r="AK82" s="90" t="n">
        <f aca="false">IF($A82="",0,SUM($R82:$AC82))</f>
        <v>0</v>
      </c>
      <c r="AL82" s="91" t="n">
        <f aca="false">IF($A82="",0,IF(SUMPRODUCT(ABS($F82:$AC82))&gt;0,1,0))</f>
        <v>0</v>
      </c>
    </row>
    <row r="83" customFormat="false" ht="15" hidden="false" customHeight="false" outlineLevel="0" collapsed="false">
      <c r="A83" s="68" t="str">
        <f aca="false">IF(COA_Mapping!$A84="","",COA_Mapping!$A84)</f>
        <v>Direct Workers Comp - CONS</v>
      </c>
      <c r="B83" s="68" t="str">
        <f aca="false">IF($A83="","",COA_Mapping!$C84)</f>
        <v>Cost of Sales</v>
      </c>
      <c r="C83" s="68" t="str">
        <f aca="false">IF($A83="","",COA_Mapping!$E84)</f>
        <v>P&amp;L</v>
      </c>
      <c r="D83" s="68" t="str">
        <f aca="false">IF($A83="","",COA_Mapping!$D84)</f>
        <v>Consulting</v>
      </c>
      <c r="E83" s="86" t="n">
        <f aca="false">IF($A83="",1,COA_Mapping!$F84)</f>
        <v>1</v>
      </c>
      <c r="F83" s="87" t="n">
        <f aca="false">IF($A83="",0,SUMIF(GL_Data!$S$8:$S$5007,78001,GL_Data!$P$8:$P$5007))</f>
        <v>0</v>
      </c>
      <c r="G83" s="87" t="n">
        <f aca="false">IF($A83="",0,SUMIF(GL_Data!$S$8:$S$5007,78002,GL_Data!$P$8:$P$5007))</f>
        <v>0</v>
      </c>
      <c r="H83" s="87" t="n">
        <f aca="false">IF($A83="",0,SUMIF(GL_Data!$S$8:$S$5007,78003,GL_Data!$P$8:$P$5007))</f>
        <v>0</v>
      </c>
      <c r="I83" s="87" t="n">
        <f aca="false">IF($A83="",0,SUMIF(GL_Data!$S$8:$S$5007,78004,GL_Data!$P$8:$P$5007))</f>
        <v>0</v>
      </c>
      <c r="J83" s="87" t="n">
        <f aca="false">IF($A83="",0,SUMIF(GL_Data!$S$8:$S$5007,78005,GL_Data!$P$8:$P$5007))</f>
        <v>0</v>
      </c>
      <c r="K83" s="87" t="n">
        <f aca="false">IF($A83="",0,SUMIF(GL_Data!$S$8:$S$5007,78006,GL_Data!$P$8:$P$5007))</f>
        <v>0</v>
      </c>
      <c r="L83" s="87" t="n">
        <f aca="false">IF($A83="",0,SUMIF(GL_Data!$S$8:$S$5007,78007,GL_Data!$P$8:$P$5007))</f>
        <v>0</v>
      </c>
      <c r="M83" s="87" t="n">
        <f aca="false">IF($A83="",0,SUMIF(GL_Data!$S$8:$S$5007,78008,GL_Data!$P$8:$P$5007))</f>
        <v>0</v>
      </c>
      <c r="N83" s="87" t="n">
        <f aca="false">IF($A83="",0,SUMIF(GL_Data!$S$8:$S$5007,78009,GL_Data!$P$8:$P$5007))</f>
        <v>0</v>
      </c>
      <c r="O83" s="87" t="n">
        <f aca="false">IF($A83="",0,SUMIF(GL_Data!$S$8:$S$5007,78010,GL_Data!$P$8:$P$5007))</f>
        <v>0</v>
      </c>
      <c r="P83" s="87" t="n">
        <f aca="false">IF($A83="",0,SUMIF(GL_Data!$S$8:$S$5007,78011,GL_Data!$P$8:$P$5007))</f>
        <v>0</v>
      </c>
      <c r="Q83" s="87" t="n">
        <f aca="false">IF($A83="",0,SUMIF(GL_Data!$S$8:$S$5007,78012,GL_Data!$P$8:$P$5007))</f>
        <v>0</v>
      </c>
      <c r="R83" s="88" t="n">
        <f aca="false">IF($A83="",0,SUMIF(GL_Data!$S$8:$S$5007,78101,GL_Data!$P$8:$P$5007))</f>
        <v>0</v>
      </c>
      <c r="S83" s="88" t="n">
        <f aca="false">IF($A83="",0,SUMIF(GL_Data!$S$8:$S$5007,78102,GL_Data!$P$8:$P$5007))</f>
        <v>0</v>
      </c>
      <c r="T83" s="88" t="n">
        <f aca="false">IF($A83="",0,SUMIF(GL_Data!$S$8:$S$5007,78103,GL_Data!$P$8:$P$5007))</f>
        <v>0</v>
      </c>
      <c r="U83" s="88" t="n">
        <f aca="false">IF($A83="",0,SUMIF(GL_Data!$S$8:$S$5007,78104,GL_Data!$P$8:$P$5007))</f>
        <v>0</v>
      </c>
      <c r="V83" s="88" t="n">
        <f aca="false">IF($A83="",0,SUMIF(GL_Data!$S$8:$S$5007,78105,GL_Data!$P$8:$P$5007))</f>
        <v>0</v>
      </c>
      <c r="W83" s="88" t="n">
        <f aca="false">IF($A83="",0,SUMIF(GL_Data!$S$8:$S$5007,78106,GL_Data!$P$8:$P$5007))</f>
        <v>0</v>
      </c>
      <c r="X83" s="88" t="n">
        <f aca="false">IF($A83="",0,SUMIF(GL_Data!$S$8:$S$5007,78107,GL_Data!$P$8:$P$5007))</f>
        <v>0</v>
      </c>
      <c r="Y83" s="88" t="n">
        <f aca="false">IF($A83="",0,SUMIF(GL_Data!$S$8:$S$5007,78108,GL_Data!$P$8:$P$5007))</f>
        <v>0</v>
      </c>
      <c r="Z83" s="88" t="n">
        <f aca="false">IF($A83="",0,SUMIF(GL_Data!$S$8:$S$5007,78109,GL_Data!$P$8:$P$5007))</f>
        <v>0</v>
      </c>
      <c r="AA83" s="88" t="n">
        <f aca="false">IF($A83="",0,SUMIF(GL_Data!$S$8:$S$5007,78110,GL_Data!$P$8:$P$5007))</f>
        <v>0</v>
      </c>
      <c r="AB83" s="88" t="n">
        <f aca="false">IF($A83="",0,SUMIF(GL_Data!$S$8:$S$5007,78111,GL_Data!$P$8:$P$5007))</f>
        <v>0</v>
      </c>
      <c r="AC83" s="88" t="n">
        <f aca="false">IF($A83="",0,SUMIF(GL_Data!$S$8:$S$5007,78112,GL_Data!$P$8:$P$5007))</f>
        <v>0</v>
      </c>
      <c r="AD83" s="89" t="n">
        <f aca="false">IF($A83="",0,INDEX($F83:$AC83,12+Setup!$B$8))</f>
        <v>0</v>
      </c>
      <c r="AE83" s="90" t="n">
        <f aca="false">IF($A83="",0,INDEX($F83:$AC83,Setup!$B$8))</f>
        <v>0</v>
      </c>
      <c r="AF83" s="90" t="n">
        <f aca="false">IF($A83="",0,INDEX($F83:$AC83,11+Setup!$B$8))</f>
        <v>0</v>
      </c>
      <c r="AG83" s="90" t="n">
        <f aca="false">IF($A83="",0,AVERAGE(INDEX($F83:$AC83,9+Setup!$B$8):INDEX($F83:$AC83,11+Setup!$B$8)))</f>
        <v>0</v>
      </c>
      <c r="AH83" s="89" t="n">
        <f aca="false">IF($A83="",0,SUMPRODUCT(($R$3:$AC$3&lt;=Setup!$B$8)*$R83:$AC83))</f>
        <v>0</v>
      </c>
      <c r="AI83" s="90" t="n">
        <f aca="false">IF($A83="",0,SUMPRODUCT(($F$3:$Q$3&lt;=Setup!$B$8)*$F83:$Q83))</f>
        <v>0</v>
      </c>
      <c r="AJ83" s="90" t="n">
        <f aca="false">IF($A83="",0,SUM($F83:$Q83))</f>
        <v>0</v>
      </c>
      <c r="AK83" s="90" t="n">
        <f aca="false">IF($A83="",0,SUM($R83:$AC83))</f>
        <v>0</v>
      </c>
      <c r="AL83" s="91" t="n">
        <f aca="false">IF($A83="",0,IF(SUMPRODUCT(ABS($F83:$AC83))&gt;0,1,0))</f>
        <v>0</v>
      </c>
    </row>
    <row r="84" customFormat="false" ht="15" hidden="false" customHeight="false" outlineLevel="0" collapsed="false">
      <c r="A84" s="68" t="str">
        <f aca="false">IF(COA_Mapping!$A85="","",COA_Mapping!$A85)</f>
        <v>Direct Workers Comp - INTEGRATION</v>
      </c>
      <c r="B84" s="68" t="str">
        <f aca="false">IF($A84="","",COA_Mapping!$C85)</f>
        <v>Cost of Sales</v>
      </c>
      <c r="C84" s="68" t="str">
        <f aca="false">IF($A84="","",COA_Mapping!$E85)</f>
        <v>P&amp;L</v>
      </c>
      <c r="D84" s="68" t="str">
        <f aca="false">IF($A84="","",COA_Mapping!$D85)</f>
        <v>Integration</v>
      </c>
      <c r="E84" s="86" t="n">
        <f aca="false">IF($A84="",1,COA_Mapping!$F85)</f>
        <v>1</v>
      </c>
      <c r="F84" s="87" t="n">
        <f aca="false">IF($A84="",0,SUMIF(GL_Data!$S$8:$S$5007,79001,GL_Data!$P$8:$P$5007))</f>
        <v>0</v>
      </c>
      <c r="G84" s="87" t="n">
        <f aca="false">IF($A84="",0,SUMIF(GL_Data!$S$8:$S$5007,79002,GL_Data!$P$8:$P$5007))</f>
        <v>0</v>
      </c>
      <c r="H84" s="87" t="n">
        <f aca="false">IF($A84="",0,SUMIF(GL_Data!$S$8:$S$5007,79003,GL_Data!$P$8:$P$5007))</f>
        <v>0</v>
      </c>
      <c r="I84" s="87" t="n">
        <f aca="false">IF($A84="",0,SUMIF(GL_Data!$S$8:$S$5007,79004,GL_Data!$P$8:$P$5007))</f>
        <v>0</v>
      </c>
      <c r="J84" s="87" t="n">
        <f aca="false">IF($A84="",0,SUMIF(GL_Data!$S$8:$S$5007,79005,GL_Data!$P$8:$P$5007))</f>
        <v>0</v>
      </c>
      <c r="K84" s="87" t="n">
        <f aca="false">IF($A84="",0,SUMIF(GL_Data!$S$8:$S$5007,79006,GL_Data!$P$8:$P$5007))</f>
        <v>0</v>
      </c>
      <c r="L84" s="87" t="n">
        <f aca="false">IF($A84="",0,SUMIF(GL_Data!$S$8:$S$5007,79007,GL_Data!$P$8:$P$5007))</f>
        <v>0</v>
      </c>
      <c r="M84" s="87" t="n">
        <f aca="false">IF($A84="",0,SUMIF(GL_Data!$S$8:$S$5007,79008,GL_Data!$P$8:$P$5007))</f>
        <v>0</v>
      </c>
      <c r="N84" s="87" t="n">
        <f aca="false">IF($A84="",0,SUMIF(GL_Data!$S$8:$S$5007,79009,GL_Data!$P$8:$P$5007))</f>
        <v>0</v>
      </c>
      <c r="O84" s="87" t="n">
        <f aca="false">IF($A84="",0,SUMIF(GL_Data!$S$8:$S$5007,79010,GL_Data!$P$8:$P$5007))</f>
        <v>0</v>
      </c>
      <c r="P84" s="87" t="n">
        <f aca="false">IF($A84="",0,SUMIF(GL_Data!$S$8:$S$5007,79011,GL_Data!$P$8:$P$5007))</f>
        <v>0</v>
      </c>
      <c r="Q84" s="87" t="n">
        <f aca="false">IF($A84="",0,SUMIF(GL_Data!$S$8:$S$5007,79012,GL_Data!$P$8:$P$5007))</f>
        <v>0</v>
      </c>
      <c r="R84" s="88" t="n">
        <f aca="false">IF($A84="",0,SUMIF(GL_Data!$S$8:$S$5007,79101,GL_Data!$P$8:$P$5007))</f>
        <v>0</v>
      </c>
      <c r="S84" s="88" t="n">
        <f aca="false">IF($A84="",0,SUMIF(GL_Data!$S$8:$S$5007,79102,GL_Data!$P$8:$P$5007))</f>
        <v>0</v>
      </c>
      <c r="T84" s="88" t="n">
        <f aca="false">IF($A84="",0,SUMIF(GL_Data!$S$8:$S$5007,79103,GL_Data!$P$8:$P$5007))</f>
        <v>0</v>
      </c>
      <c r="U84" s="88" t="n">
        <f aca="false">IF($A84="",0,SUMIF(GL_Data!$S$8:$S$5007,79104,GL_Data!$P$8:$P$5007))</f>
        <v>0</v>
      </c>
      <c r="V84" s="88" t="n">
        <f aca="false">IF($A84="",0,SUMIF(GL_Data!$S$8:$S$5007,79105,GL_Data!$P$8:$P$5007))</f>
        <v>0</v>
      </c>
      <c r="W84" s="88" t="n">
        <f aca="false">IF($A84="",0,SUMIF(GL_Data!$S$8:$S$5007,79106,GL_Data!$P$8:$P$5007))</f>
        <v>0</v>
      </c>
      <c r="X84" s="88" t="n">
        <f aca="false">IF($A84="",0,SUMIF(GL_Data!$S$8:$S$5007,79107,GL_Data!$P$8:$P$5007))</f>
        <v>0</v>
      </c>
      <c r="Y84" s="88" t="n">
        <f aca="false">IF($A84="",0,SUMIF(GL_Data!$S$8:$S$5007,79108,GL_Data!$P$8:$P$5007))</f>
        <v>0</v>
      </c>
      <c r="Z84" s="88" t="n">
        <f aca="false">IF($A84="",0,SUMIF(GL_Data!$S$8:$S$5007,79109,GL_Data!$P$8:$P$5007))</f>
        <v>0</v>
      </c>
      <c r="AA84" s="88" t="n">
        <f aca="false">IF($A84="",0,SUMIF(GL_Data!$S$8:$S$5007,79110,GL_Data!$P$8:$P$5007))</f>
        <v>0</v>
      </c>
      <c r="AB84" s="88" t="n">
        <f aca="false">IF($A84="",0,SUMIF(GL_Data!$S$8:$S$5007,79111,GL_Data!$P$8:$P$5007))</f>
        <v>0</v>
      </c>
      <c r="AC84" s="88" t="n">
        <f aca="false">IF($A84="",0,SUMIF(GL_Data!$S$8:$S$5007,79112,GL_Data!$P$8:$P$5007))</f>
        <v>0</v>
      </c>
      <c r="AD84" s="89" t="n">
        <f aca="false">IF($A84="",0,INDEX($F84:$AC84,12+Setup!$B$8))</f>
        <v>0</v>
      </c>
      <c r="AE84" s="90" t="n">
        <f aca="false">IF($A84="",0,INDEX($F84:$AC84,Setup!$B$8))</f>
        <v>0</v>
      </c>
      <c r="AF84" s="90" t="n">
        <f aca="false">IF($A84="",0,INDEX($F84:$AC84,11+Setup!$B$8))</f>
        <v>0</v>
      </c>
      <c r="AG84" s="90" t="n">
        <f aca="false">IF($A84="",0,AVERAGE(INDEX($F84:$AC84,9+Setup!$B$8):INDEX($F84:$AC84,11+Setup!$B$8)))</f>
        <v>0</v>
      </c>
      <c r="AH84" s="89" t="n">
        <f aca="false">IF($A84="",0,SUMPRODUCT(($R$3:$AC$3&lt;=Setup!$B$8)*$R84:$AC84))</f>
        <v>0</v>
      </c>
      <c r="AI84" s="90" t="n">
        <f aca="false">IF($A84="",0,SUMPRODUCT(($F$3:$Q$3&lt;=Setup!$B$8)*$F84:$Q84))</f>
        <v>0</v>
      </c>
      <c r="AJ84" s="90" t="n">
        <f aca="false">IF($A84="",0,SUM($F84:$Q84))</f>
        <v>0</v>
      </c>
      <c r="AK84" s="90" t="n">
        <f aca="false">IF($A84="",0,SUM($R84:$AC84))</f>
        <v>0</v>
      </c>
      <c r="AL84" s="91" t="n">
        <f aca="false">IF($A84="",0,IF(SUMPRODUCT(ABS($F84:$AC84))&gt;0,1,0))</f>
        <v>0</v>
      </c>
    </row>
    <row r="85" customFormat="false" ht="15" hidden="false" customHeight="false" outlineLevel="0" collapsed="false">
      <c r="A85" s="68" t="str">
        <f aca="false">IF(COA_Mapping!$A86="","",COA_Mapping!$A86)</f>
        <v>Direct Workers Comp - ONS</v>
      </c>
      <c r="B85" s="68" t="str">
        <f aca="false">IF($A85="","",COA_Mapping!$C86)</f>
        <v>Cost of Sales</v>
      </c>
      <c r="C85" s="68" t="str">
        <f aca="false">IF($A85="","",COA_Mapping!$E86)</f>
        <v>P&amp;L</v>
      </c>
      <c r="D85" s="68" t="str">
        <f aca="false">IF($A85="","",COA_Mapping!$D86)</f>
        <v>Onsite</v>
      </c>
      <c r="E85" s="86" t="n">
        <f aca="false">IF($A85="",1,COA_Mapping!$F86)</f>
        <v>1</v>
      </c>
      <c r="F85" s="87" t="n">
        <f aca="false">IF($A85="",0,SUMIF(GL_Data!$S$8:$S$5007,80001,GL_Data!$P$8:$P$5007))</f>
        <v>0</v>
      </c>
      <c r="G85" s="87" t="n">
        <f aca="false">IF($A85="",0,SUMIF(GL_Data!$S$8:$S$5007,80002,GL_Data!$P$8:$P$5007))</f>
        <v>0</v>
      </c>
      <c r="H85" s="87" t="n">
        <f aca="false">IF($A85="",0,SUMIF(GL_Data!$S$8:$S$5007,80003,GL_Data!$P$8:$P$5007))</f>
        <v>0</v>
      </c>
      <c r="I85" s="87" t="n">
        <f aca="false">IF($A85="",0,SUMIF(GL_Data!$S$8:$S$5007,80004,GL_Data!$P$8:$P$5007))</f>
        <v>0</v>
      </c>
      <c r="J85" s="87" t="n">
        <f aca="false">IF($A85="",0,SUMIF(GL_Data!$S$8:$S$5007,80005,GL_Data!$P$8:$P$5007))</f>
        <v>0</v>
      </c>
      <c r="K85" s="87" t="n">
        <f aca="false">IF($A85="",0,SUMIF(GL_Data!$S$8:$S$5007,80006,GL_Data!$P$8:$P$5007))</f>
        <v>0</v>
      </c>
      <c r="L85" s="87" t="n">
        <f aca="false">IF($A85="",0,SUMIF(GL_Data!$S$8:$S$5007,80007,GL_Data!$P$8:$P$5007))</f>
        <v>0</v>
      </c>
      <c r="M85" s="87" t="n">
        <f aca="false">IF($A85="",0,SUMIF(GL_Data!$S$8:$S$5007,80008,GL_Data!$P$8:$P$5007))</f>
        <v>0</v>
      </c>
      <c r="N85" s="87" t="n">
        <f aca="false">IF($A85="",0,SUMIF(GL_Data!$S$8:$S$5007,80009,GL_Data!$P$8:$P$5007))</f>
        <v>0</v>
      </c>
      <c r="O85" s="87" t="n">
        <f aca="false">IF($A85="",0,SUMIF(GL_Data!$S$8:$S$5007,80010,GL_Data!$P$8:$P$5007))</f>
        <v>0</v>
      </c>
      <c r="P85" s="87" t="n">
        <f aca="false">IF($A85="",0,SUMIF(GL_Data!$S$8:$S$5007,80011,GL_Data!$P$8:$P$5007))</f>
        <v>0</v>
      </c>
      <c r="Q85" s="87" t="n">
        <f aca="false">IF($A85="",0,SUMIF(GL_Data!$S$8:$S$5007,80012,GL_Data!$P$8:$P$5007))</f>
        <v>0</v>
      </c>
      <c r="R85" s="88" t="n">
        <f aca="false">IF($A85="",0,SUMIF(GL_Data!$S$8:$S$5007,80101,GL_Data!$P$8:$P$5007))</f>
        <v>0</v>
      </c>
      <c r="S85" s="88" t="n">
        <f aca="false">IF($A85="",0,SUMIF(GL_Data!$S$8:$S$5007,80102,GL_Data!$P$8:$P$5007))</f>
        <v>0</v>
      </c>
      <c r="T85" s="88" t="n">
        <f aca="false">IF($A85="",0,SUMIF(GL_Data!$S$8:$S$5007,80103,GL_Data!$P$8:$P$5007))</f>
        <v>0</v>
      </c>
      <c r="U85" s="88" t="n">
        <f aca="false">IF($A85="",0,SUMIF(GL_Data!$S$8:$S$5007,80104,GL_Data!$P$8:$P$5007))</f>
        <v>0</v>
      </c>
      <c r="V85" s="88" t="n">
        <f aca="false">IF($A85="",0,SUMIF(GL_Data!$S$8:$S$5007,80105,GL_Data!$P$8:$P$5007))</f>
        <v>0</v>
      </c>
      <c r="W85" s="88" t="n">
        <f aca="false">IF($A85="",0,SUMIF(GL_Data!$S$8:$S$5007,80106,GL_Data!$P$8:$P$5007))</f>
        <v>0</v>
      </c>
      <c r="X85" s="88" t="n">
        <f aca="false">IF($A85="",0,SUMIF(GL_Data!$S$8:$S$5007,80107,GL_Data!$P$8:$P$5007))</f>
        <v>0</v>
      </c>
      <c r="Y85" s="88" t="n">
        <f aca="false">IF($A85="",0,SUMIF(GL_Data!$S$8:$S$5007,80108,GL_Data!$P$8:$P$5007))</f>
        <v>0</v>
      </c>
      <c r="Z85" s="88" t="n">
        <f aca="false">IF($A85="",0,SUMIF(GL_Data!$S$8:$S$5007,80109,GL_Data!$P$8:$P$5007))</f>
        <v>0</v>
      </c>
      <c r="AA85" s="88" t="n">
        <f aca="false">IF($A85="",0,SUMIF(GL_Data!$S$8:$S$5007,80110,GL_Data!$P$8:$P$5007))</f>
        <v>0</v>
      </c>
      <c r="AB85" s="88" t="n">
        <f aca="false">IF($A85="",0,SUMIF(GL_Data!$S$8:$S$5007,80111,GL_Data!$P$8:$P$5007))</f>
        <v>0</v>
      </c>
      <c r="AC85" s="88" t="n">
        <f aca="false">IF($A85="",0,SUMIF(GL_Data!$S$8:$S$5007,80112,GL_Data!$P$8:$P$5007))</f>
        <v>0</v>
      </c>
      <c r="AD85" s="89" t="n">
        <f aca="false">IF($A85="",0,INDEX($F85:$AC85,12+Setup!$B$8))</f>
        <v>0</v>
      </c>
      <c r="AE85" s="90" t="n">
        <f aca="false">IF($A85="",0,INDEX($F85:$AC85,Setup!$B$8))</f>
        <v>0</v>
      </c>
      <c r="AF85" s="90" t="n">
        <f aca="false">IF($A85="",0,INDEX($F85:$AC85,11+Setup!$B$8))</f>
        <v>0</v>
      </c>
      <c r="AG85" s="90" t="n">
        <f aca="false">IF($A85="",0,AVERAGE(INDEX($F85:$AC85,9+Setup!$B$8):INDEX($F85:$AC85,11+Setup!$B$8)))</f>
        <v>0</v>
      </c>
      <c r="AH85" s="89" t="n">
        <f aca="false">IF($A85="",0,SUMPRODUCT(($R$3:$AC$3&lt;=Setup!$B$8)*$R85:$AC85))</f>
        <v>0</v>
      </c>
      <c r="AI85" s="90" t="n">
        <f aca="false">IF($A85="",0,SUMPRODUCT(($F$3:$Q$3&lt;=Setup!$B$8)*$F85:$Q85))</f>
        <v>0</v>
      </c>
      <c r="AJ85" s="90" t="n">
        <f aca="false">IF($A85="",0,SUM($F85:$Q85))</f>
        <v>0</v>
      </c>
      <c r="AK85" s="90" t="n">
        <f aca="false">IF($A85="",0,SUM($R85:$AC85))</f>
        <v>0</v>
      </c>
      <c r="AL85" s="91" t="n">
        <f aca="false">IF($A85="",0,IF(SUMPRODUCT(ABS($F85:$AC85))&gt;0,1,0))</f>
        <v>0</v>
      </c>
    </row>
    <row r="86" customFormat="false" ht="15" hidden="false" customHeight="false" outlineLevel="0" collapsed="false">
      <c r="A86" s="68" t="str">
        <f aca="false">IF(COA_Mapping!$A87="","",COA_Mapping!$A87)</f>
        <v>Direct Workers Comp - PRD</v>
      </c>
      <c r="B86" s="68" t="str">
        <f aca="false">IF($A86="","",COA_Mapping!$C87)</f>
        <v>Cost of Sales</v>
      </c>
      <c r="C86" s="68" t="str">
        <f aca="false">IF($A86="","",COA_Mapping!$E87)</f>
        <v>P&amp;L</v>
      </c>
      <c r="D86" s="68" t="str">
        <f aca="false">IF($A86="","",COA_Mapping!$D87)</f>
        <v>Production</v>
      </c>
      <c r="E86" s="86" t="n">
        <f aca="false">IF($A86="",1,COA_Mapping!$F87)</f>
        <v>1</v>
      </c>
      <c r="F86" s="87" t="n">
        <f aca="false">IF($A86="",0,SUMIF(GL_Data!$S$8:$S$5007,81001,GL_Data!$P$8:$P$5007))</f>
        <v>0</v>
      </c>
      <c r="G86" s="87" t="n">
        <f aca="false">IF($A86="",0,SUMIF(GL_Data!$S$8:$S$5007,81002,GL_Data!$P$8:$P$5007))</f>
        <v>0</v>
      </c>
      <c r="H86" s="87" t="n">
        <f aca="false">IF($A86="",0,SUMIF(GL_Data!$S$8:$S$5007,81003,GL_Data!$P$8:$P$5007))</f>
        <v>0</v>
      </c>
      <c r="I86" s="87" t="n">
        <f aca="false">IF($A86="",0,SUMIF(GL_Data!$S$8:$S$5007,81004,GL_Data!$P$8:$P$5007))</f>
        <v>0</v>
      </c>
      <c r="J86" s="87" t="n">
        <f aca="false">IF($A86="",0,SUMIF(GL_Data!$S$8:$S$5007,81005,GL_Data!$P$8:$P$5007))</f>
        <v>0</v>
      </c>
      <c r="K86" s="87" t="n">
        <f aca="false">IF($A86="",0,SUMIF(GL_Data!$S$8:$S$5007,81006,GL_Data!$P$8:$P$5007))</f>
        <v>0</v>
      </c>
      <c r="L86" s="87" t="n">
        <f aca="false">IF($A86="",0,SUMIF(GL_Data!$S$8:$S$5007,81007,GL_Data!$P$8:$P$5007))</f>
        <v>0</v>
      </c>
      <c r="M86" s="87" t="n">
        <f aca="false">IF($A86="",0,SUMIF(GL_Data!$S$8:$S$5007,81008,GL_Data!$P$8:$P$5007))</f>
        <v>0</v>
      </c>
      <c r="N86" s="87" t="n">
        <f aca="false">IF($A86="",0,SUMIF(GL_Data!$S$8:$S$5007,81009,GL_Data!$P$8:$P$5007))</f>
        <v>0</v>
      </c>
      <c r="O86" s="87" t="n">
        <f aca="false">IF($A86="",0,SUMIF(GL_Data!$S$8:$S$5007,81010,GL_Data!$P$8:$P$5007))</f>
        <v>0</v>
      </c>
      <c r="P86" s="87" t="n">
        <f aca="false">IF($A86="",0,SUMIF(GL_Data!$S$8:$S$5007,81011,GL_Data!$P$8:$P$5007))</f>
        <v>0</v>
      </c>
      <c r="Q86" s="87" t="n">
        <f aca="false">IF($A86="",0,SUMIF(GL_Data!$S$8:$S$5007,81012,GL_Data!$P$8:$P$5007))</f>
        <v>0</v>
      </c>
      <c r="R86" s="88" t="n">
        <f aca="false">IF($A86="",0,SUMIF(GL_Data!$S$8:$S$5007,81101,GL_Data!$P$8:$P$5007))</f>
        <v>0</v>
      </c>
      <c r="S86" s="88" t="n">
        <f aca="false">IF($A86="",0,SUMIF(GL_Data!$S$8:$S$5007,81102,GL_Data!$P$8:$P$5007))</f>
        <v>0</v>
      </c>
      <c r="T86" s="88" t="n">
        <f aca="false">IF($A86="",0,SUMIF(GL_Data!$S$8:$S$5007,81103,GL_Data!$P$8:$P$5007))</f>
        <v>0</v>
      </c>
      <c r="U86" s="88" t="n">
        <f aca="false">IF($A86="",0,SUMIF(GL_Data!$S$8:$S$5007,81104,GL_Data!$P$8:$P$5007))</f>
        <v>0</v>
      </c>
      <c r="V86" s="88" t="n">
        <f aca="false">IF($A86="",0,SUMIF(GL_Data!$S$8:$S$5007,81105,GL_Data!$P$8:$P$5007))</f>
        <v>0</v>
      </c>
      <c r="W86" s="88" t="n">
        <f aca="false">IF($A86="",0,SUMIF(GL_Data!$S$8:$S$5007,81106,GL_Data!$P$8:$P$5007))</f>
        <v>0</v>
      </c>
      <c r="X86" s="88" t="n">
        <f aca="false">IF($A86="",0,SUMIF(GL_Data!$S$8:$S$5007,81107,GL_Data!$P$8:$P$5007))</f>
        <v>0</v>
      </c>
      <c r="Y86" s="88" t="n">
        <f aca="false">IF($A86="",0,SUMIF(GL_Data!$S$8:$S$5007,81108,GL_Data!$P$8:$P$5007))</f>
        <v>0</v>
      </c>
      <c r="Z86" s="88" t="n">
        <f aca="false">IF($A86="",0,SUMIF(GL_Data!$S$8:$S$5007,81109,GL_Data!$P$8:$P$5007))</f>
        <v>0</v>
      </c>
      <c r="AA86" s="88" t="n">
        <f aca="false">IF($A86="",0,SUMIF(GL_Data!$S$8:$S$5007,81110,GL_Data!$P$8:$P$5007))</f>
        <v>0</v>
      </c>
      <c r="AB86" s="88" t="n">
        <f aca="false">IF($A86="",0,SUMIF(GL_Data!$S$8:$S$5007,81111,GL_Data!$P$8:$P$5007))</f>
        <v>0</v>
      </c>
      <c r="AC86" s="88" t="n">
        <f aca="false">IF($A86="",0,SUMIF(GL_Data!$S$8:$S$5007,81112,GL_Data!$P$8:$P$5007))</f>
        <v>0</v>
      </c>
      <c r="AD86" s="89" t="n">
        <f aca="false">IF($A86="",0,INDEX($F86:$AC86,12+Setup!$B$8))</f>
        <v>0</v>
      </c>
      <c r="AE86" s="90" t="n">
        <f aca="false">IF($A86="",0,INDEX($F86:$AC86,Setup!$B$8))</f>
        <v>0</v>
      </c>
      <c r="AF86" s="90" t="n">
        <f aca="false">IF($A86="",0,INDEX($F86:$AC86,11+Setup!$B$8))</f>
        <v>0</v>
      </c>
      <c r="AG86" s="90" t="n">
        <f aca="false">IF($A86="",0,AVERAGE(INDEX($F86:$AC86,9+Setup!$B$8):INDEX($F86:$AC86,11+Setup!$B$8)))</f>
        <v>0</v>
      </c>
      <c r="AH86" s="89" t="n">
        <f aca="false">IF($A86="",0,SUMPRODUCT(($R$3:$AC$3&lt;=Setup!$B$8)*$R86:$AC86))</f>
        <v>0</v>
      </c>
      <c r="AI86" s="90" t="n">
        <f aca="false">IF($A86="",0,SUMPRODUCT(($F$3:$Q$3&lt;=Setup!$B$8)*$F86:$Q86))</f>
        <v>0</v>
      </c>
      <c r="AJ86" s="90" t="n">
        <f aca="false">IF($A86="",0,SUM($F86:$Q86))</f>
        <v>0</v>
      </c>
      <c r="AK86" s="90" t="n">
        <f aca="false">IF($A86="",0,SUM($R86:$AC86))</f>
        <v>0</v>
      </c>
      <c r="AL86" s="91" t="n">
        <f aca="false">IF($A86="",0,IF(SUMPRODUCT(ABS($F86:$AC86))&gt;0,1,0))</f>
        <v>0</v>
      </c>
    </row>
    <row r="87" customFormat="false" ht="15" hidden="false" customHeight="false" outlineLevel="0" collapsed="false">
      <c r="A87" s="68" t="str">
        <f aca="false">IF(COA_Mapping!$A88="","",COA_Mapping!$A88)</f>
        <v>Direct Workers Comp - VID</v>
      </c>
      <c r="B87" s="68" t="str">
        <f aca="false">IF($A87="","",COA_Mapping!$C88)</f>
        <v>Cost of Sales</v>
      </c>
      <c r="C87" s="68" t="str">
        <f aca="false">IF($A87="","",COA_Mapping!$E88)</f>
        <v>P&amp;L</v>
      </c>
      <c r="D87" s="68" t="str">
        <f aca="false">IF($A87="","",COA_Mapping!$D88)</f>
        <v>Video</v>
      </c>
      <c r="E87" s="86" t="n">
        <f aca="false">IF($A87="",1,COA_Mapping!$F88)</f>
        <v>1</v>
      </c>
      <c r="F87" s="87" t="n">
        <f aca="false">IF($A87="",0,SUMIF(GL_Data!$S$8:$S$5007,82001,GL_Data!$P$8:$P$5007))</f>
        <v>0</v>
      </c>
      <c r="G87" s="87" t="n">
        <f aca="false">IF($A87="",0,SUMIF(GL_Data!$S$8:$S$5007,82002,GL_Data!$P$8:$P$5007))</f>
        <v>0</v>
      </c>
      <c r="H87" s="87" t="n">
        <f aca="false">IF($A87="",0,SUMIF(GL_Data!$S$8:$S$5007,82003,GL_Data!$P$8:$P$5007))</f>
        <v>0</v>
      </c>
      <c r="I87" s="87" t="n">
        <f aca="false">IF($A87="",0,SUMIF(GL_Data!$S$8:$S$5007,82004,GL_Data!$P$8:$P$5007))</f>
        <v>0</v>
      </c>
      <c r="J87" s="87" t="n">
        <f aca="false">IF($A87="",0,SUMIF(GL_Data!$S$8:$S$5007,82005,GL_Data!$P$8:$P$5007))</f>
        <v>0</v>
      </c>
      <c r="K87" s="87" t="n">
        <f aca="false">IF($A87="",0,SUMIF(GL_Data!$S$8:$S$5007,82006,GL_Data!$P$8:$P$5007))</f>
        <v>0</v>
      </c>
      <c r="L87" s="87" t="n">
        <f aca="false">IF($A87="",0,SUMIF(GL_Data!$S$8:$S$5007,82007,GL_Data!$P$8:$P$5007))</f>
        <v>0</v>
      </c>
      <c r="M87" s="87" t="n">
        <f aca="false">IF($A87="",0,SUMIF(GL_Data!$S$8:$S$5007,82008,GL_Data!$P$8:$P$5007))</f>
        <v>0</v>
      </c>
      <c r="N87" s="87" t="n">
        <f aca="false">IF($A87="",0,SUMIF(GL_Data!$S$8:$S$5007,82009,GL_Data!$P$8:$P$5007))</f>
        <v>0</v>
      </c>
      <c r="O87" s="87" t="n">
        <f aca="false">IF($A87="",0,SUMIF(GL_Data!$S$8:$S$5007,82010,GL_Data!$P$8:$P$5007))</f>
        <v>0</v>
      </c>
      <c r="P87" s="87" t="n">
        <f aca="false">IF($A87="",0,SUMIF(GL_Data!$S$8:$S$5007,82011,GL_Data!$P$8:$P$5007))</f>
        <v>0</v>
      </c>
      <c r="Q87" s="87" t="n">
        <f aca="false">IF($A87="",0,SUMIF(GL_Data!$S$8:$S$5007,82012,GL_Data!$P$8:$P$5007))</f>
        <v>0</v>
      </c>
      <c r="R87" s="88" t="n">
        <f aca="false">IF($A87="",0,SUMIF(GL_Data!$S$8:$S$5007,82101,GL_Data!$P$8:$P$5007))</f>
        <v>0</v>
      </c>
      <c r="S87" s="88" t="n">
        <f aca="false">IF($A87="",0,SUMIF(GL_Data!$S$8:$S$5007,82102,GL_Data!$P$8:$P$5007))</f>
        <v>0</v>
      </c>
      <c r="T87" s="88" t="n">
        <f aca="false">IF($A87="",0,SUMIF(GL_Data!$S$8:$S$5007,82103,GL_Data!$P$8:$P$5007))</f>
        <v>0</v>
      </c>
      <c r="U87" s="88" t="n">
        <f aca="false">IF($A87="",0,SUMIF(GL_Data!$S$8:$S$5007,82104,GL_Data!$P$8:$P$5007))</f>
        <v>0</v>
      </c>
      <c r="V87" s="88" t="n">
        <f aca="false">IF($A87="",0,SUMIF(GL_Data!$S$8:$S$5007,82105,GL_Data!$P$8:$P$5007))</f>
        <v>0</v>
      </c>
      <c r="W87" s="88" t="n">
        <f aca="false">IF($A87="",0,SUMIF(GL_Data!$S$8:$S$5007,82106,GL_Data!$P$8:$P$5007))</f>
        <v>0</v>
      </c>
      <c r="X87" s="88" t="n">
        <f aca="false">IF($A87="",0,SUMIF(GL_Data!$S$8:$S$5007,82107,GL_Data!$P$8:$P$5007))</f>
        <v>0</v>
      </c>
      <c r="Y87" s="88" t="n">
        <f aca="false">IF($A87="",0,SUMIF(GL_Data!$S$8:$S$5007,82108,GL_Data!$P$8:$P$5007))</f>
        <v>0</v>
      </c>
      <c r="Z87" s="88" t="n">
        <f aca="false">IF($A87="",0,SUMIF(GL_Data!$S$8:$S$5007,82109,GL_Data!$P$8:$P$5007))</f>
        <v>0</v>
      </c>
      <c r="AA87" s="88" t="n">
        <f aca="false">IF($A87="",0,SUMIF(GL_Data!$S$8:$S$5007,82110,GL_Data!$P$8:$P$5007))</f>
        <v>0</v>
      </c>
      <c r="AB87" s="88" t="n">
        <f aca="false">IF($A87="",0,SUMIF(GL_Data!$S$8:$S$5007,82111,GL_Data!$P$8:$P$5007))</f>
        <v>0</v>
      </c>
      <c r="AC87" s="88" t="n">
        <f aca="false">IF($A87="",0,SUMIF(GL_Data!$S$8:$S$5007,82112,GL_Data!$P$8:$P$5007))</f>
        <v>0</v>
      </c>
      <c r="AD87" s="89" t="n">
        <f aca="false">IF($A87="",0,INDEX($F87:$AC87,12+Setup!$B$8))</f>
        <v>0</v>
      </c>
      <c r="AE87" s="90" t="n">
        <f aca="false">IF($A87="",0,INDEX($F87:$AC87,Setup!$B$8))</f>
        <v>0</v>
      </c>
      <c r="AF87" s="90" t="n">
        <f aca="false">IF($A87="",0,INDEX($F87:$AC87,11+Setup!$B$8))</f>
        <v>0</v>
      </c>
      <c r="AG87" s="90" t="n">
        <f aca="false">IF($A87="",0,AVERAGE(INDEX($F87:$AC87,9+Setup!$B$8):INDEX($F87:$AC87,11+Setup!$B$8)))</f>
        <v>0</v>
      </c>
      <c r="AH87" s="89" t="n">
        <f aca="false">IF($A87="",0,SUMPRODUCT(($R$3:$AC$3&lt;=Setup!$B$8)*$R87:$AC87))</f>
        <v>0</v>
      </c>
      <c r="AI87" s="90" t="n">
        <f aca="false">IF($A87="",0,SUMPRODUCT(($F$3:$Q$3&lt;=Setup!$B$8)*$F87:$Q87))</f>
        <v>0</v>
      </c>
      <c r="AJ87" s="90" t="n">
        <f aca="false">IF($A87="",0,SUM($F87:$Q87))</f>
        <v>0</v>
      </c>
      <c r="AK87" s="90" t="n">
        <f aca="false">IF($A87="",0,SUM($R87:$AC87))</f>
        <v>0</v>
      </c>
      <c r="AL87" s="91" t="n">
        <f aca="false">IF($A87="",0,IF(SUMPRODUCT(ABS($F87:$AC87))&gt;0,1,0))</f>
        <v>0</v>
      </c>
    </row>
    <row r="88" customFormat="false" ht="15" hidden="false" customHeight="false" outlineLevel="0" collapsed="false">
      <c r="A88" s="68" t="str">
        <f aca="false">IF(COA_Mapping!$A89="","",COA_Mapping!$A89)</f>
        <v>Discounts Given</v>
      </c>
      <c r="B88" s="68" t="str">
        <f aca="false">IF($A88="","",COA_Mapping!$C89)</f>
        <v>Cost of Sales</v>
      </c>
      <c r="C88" s="68" t="str">
        <f aca="false">IF($A88="","",COA_Mapping!$E89)</f>
        <v>P&amp;L</v>
      </c>
      <c r="D88" s="68" t="str">
        <f aca="false">IF($A88="","",COA_Mapping!$D89)</f>
        <v>Unallocated</v>
      </c>
      <c r="E88" s="86" t="n">
        <f aca="false">IF($A88="",1,COA_Mapping!$F89)</f>
        <v>1</v>
      </c>
      <c r="F88" s="87" t="n">
        <f aca="false">IF($A88="",0,SUMIF(GL_Data!$S$8:$S$5007,83001,GL_Data!$P$8:$P$5007))</f>
        <v>0</v>
      </c>
      <c r="G88" s="87" t="n">
        <f aca="false">IF($A88="",0,SUMIF(GL_Data!$S$8:$S$5007,83002,GL_Data!$P$8:$P$5007))</f>
        <v>0</v>
      </c>
      <c r="H88" s="87" t="n">
        <f aca="false">IF($A88="",0,SUMIF(GL_Data!$S$8:$S$5007,83003,GL_Data!$P$8:$P$5007))</f>
        <v>0</v>
      </c>
      <c r="I88" s="87" t="n">
        <f aca="false">IF($A88="",0,SUMIF(GL_Data!$S$8:$S$5007,83004,GL_Data!$P$8:$P$5007))</f>
        <v>0</v>
      </c>
      <c r="J88" s="87" t="n">
        <f aca="false">IF($A88="",0,SUMIF(GL_Data!$S$8:$S$5007,83005,GL_Data!$P$8:$P$5007))</f>
        <v>0</v>
      </c>
      <c r="K88" s="87" t="n">
        <f aca="false">IF($A88="",0,SUMIF(GL_Data!$S$8:$S$5007,83006,GL_Data!$P$8:$P$5007))</f>
        <v>0</v>
      </c>
      <c r="L88" s="87" t="n">
        <f aca="false">IF($A88="",0,SUMIF(GL_Data!$S$8:$S$5007,83007,GL_Data!$P$8:$P$5007))</f>
        <v>0</v>
      </c>
      <c r="M88" s="87" t="n">
        <f aca="false">IF($A88="",0,SUMIF(GL_Data!$S$8:$S$5007,83008,GL_Data!$P$8:$P$5007))</f>
        <v>0</v>
      </c>
      <c r="N88" s="87" t="n">
        <f aca="false">IF($A88="",0,SUMIF(GL_Data!$S$8:$S$5007,83009,GL_Data!$P$8:$P$5007))</f>
        <v>0</v>
      </c>
      <c r="O88" s="87" t="n">
        <f aca="false">IF($A88="",0,SUMIF(GL_Data!$S$8:$S$5007,83010,GL_Data!$P$8:$P$5007))</f>
        <v>0</v>
      </c>
      <c r="P88" s="87" t="n">
        <f aca="false">IF($A88="",0,SUMIF(GL_Data!$S$8:$S$5007,83011,GL_Data!$P$8:$P$5007))</f>
        <v>0</v>
      </c>
      <c r="Q88" s="87" t="n">
        <f aca="false">IF($A88="",0,SUMIF(GL_Data!$S$8:$S$5007,83012,GL_Data!$P$8:$P$5007))</f>
        <v>0</v>
      </c>
      <c r="R88" s="88" t="n">
        <f aca="false">IF($A88="",0,SUMIF(GL_Data!$S$8:$S$5007,83101,GL_Data!$P$8:$P$5007))</f>
        <v>0</v>
      </c>
      <c r="S88" s="88" t="n">
        <f aca="false">IF($A88="",0,SUMIF(GL_Data!$S$8:$S$5007,83102,GL_Data!$P$8:$P$5007))</f>
        <v>0</v>
      </c>
      <c r="T88" s="88" t="n">
        <f aca="false">IF($A88="",0,SUMIF(GL_Data!$S$8:$S$5007,83103,GL_Data!$P$8:$P$5007))</f>
        <v>0</v>
      </c>
      <c r="U88" s="88" t="n">
        <f aca="false">IF($A88="",0,SUMIF(GL_Data!$S$8:$S$5007,83104,GL_Data!$P$8:$P$5007))</f>
        <v>0</v>
      </c>
      <c r="V88" s="88" t="n">
        <f aca="false">IF($A88="",0,SUMIF(GL_Data!$S$8:$S$5007,83105,GL_Data!$P$8:$P$5007))</f>
        <v>0</v>
      </c>
      <c r="W88" s="88" t="n">
        <f aca="false">IF($A88="",0,SUMIF(GL_Data!$S$8:$S$5007,83106,GL_Data!$P$8:$P$5007))</f>
        <v>0</v>
      </c>
      <c r="X88" s="88" t="n">
        <f aca="false">IF($A88="",0,SUMIF(GL_Data!$S$8:$S$5007,83107,GL_Data!$P$8:$P$5007))</f>
        <v>0</v>
      </c>
      <c r="Y88" s="88" t="n">
        <f aca="false">IF($A88="",0,SUMIF(GL_Data!$S$8:$S$5007,83108,GL_Data!$P$8:$P$5007))</f>
        <v>0</v>
      </c>
      <c r="Z88" s="88" t="n">
        <f aca="false">IF($A88="",0,SUMIF(GL_Data!$S$8:$S$5007,83109,GL_Data!$P$8:$P$5007))</f>
        <v>0</v>
      </c>
      <c r="AA88" s="88" t="n">
        <f aca="false">IF($A88="",0,SUMIF(GL_Data!$S$8:$S$5007,83110,GL_Data!$P$8:$P$5007))</f>
        <v>0</v>
      </c>
      <c r="AB88" s="88" t="n">
        <f aca="false">IF($A88="",0,SUMIF(GL_Data!$S$8:$S$5007,83111,GL_Data!$P$8:$P$5007))</f>
        <v>0</v>
      </c>
      <c r="AC88" s="88" t="n">
        <f aca="false">IF($A88="",0,SUMIF(GL_Data!$S$8:$S$5007,83112,GL_Data!$P$8:$P$5007))</f>
        <v>0</v>
      </c>
      <c r="AD88" s="89" t="n">
        <f aca="false">IF($A88="",0,INDEX($F88:$AC88,12+Setup!$B$8))</f>
        <v>0</v>
      </c>
      <c r="AE88" s="90" t="n">
        <f aca="false">IF($A88="",0,INDEX($F88:$AC88,Setup!$B$8))</f>
        <v>0</v>
      </c>
      <c r="AF88" s="90" t="n">
        <f aca="false">IF($A88="",0,INDEX($F88:$AC88,11+Setup!$B$8))</f>
        <v>0</v>
      </c>
      <c r="AG88" s="90" t="n">
        <f aca="false">IF($A88="",0,AVERAGE(INDEX($F88:$AC88,9+Setup!$B$8):INDEX($F88:$AC88,11+Setup!$B$8)))</f>
        <v>0</v>
      </c>
      <c r="AH88" s="89" t="n">
        <f aca="false">IF($A88="",0,SUMPRODUCT(($R$3:$AC$3&lt;=Setup!$B$8)*$R88:$AC88))</f>
        <v>0</v>
      </c>
      <c r="AI88" s="90" t="n">
        <f aca="false">IF($A88="",0,SUMPRODUCT(($F$3:$Q$3&lt;=Setup!$B$8)*$F88:$Q88))</f>
        <v>0</v>
      </c>
      <c r="AJ88" s="90" t="n">
        <f aca="false">IF($A88="",0,SUM($F88:$Q88))</f>
        <v>0</v>
      </c>
      <c r="AK88" s="90" t="n">
        <f aca="false">IF($A88="",0,SUM($R88:$AC88))</f>
        <v>0</v>
      </c>
      <c r="AL88" s="91" t="n">
        <f aca="false">IF($A88="",0,IF(SUMPRODUCT(ABS($F88:$AC88))&gt;0,1,0))</f>
        <v>0</v>
      </c>
    </row>
    <row r="89" customFormat="false" ht="15" hidden="false" customHeight="false" outlineLevel="0" collapsed="false">
      <c r="A89" s="68" t="str">
        <f aca="false">IF(COA_Mapping!$A90="","",COA_Mapping!$A90)</f>
        <v>Equipment - Hires</v>
      </c>
      <c r="B89" s="68" t="str">
        <f aca="false">IF($A89="","",COA_Mapping!$C90)</f>
        <v>Cost of Sales</v>
      </c>
      <c r="C89" s="68" t="str">
        <f aca="false">IF($A89="","",COA_Mapping!$E90)</f>
        <v>P&amp;L</v>
      </c>
      <c r="D89" s="68" t="str">
        <f aca="false">IF($A89="","",COA_Mapping!$D90)</f>
        <v>Unallocated</v>
      </c>
      <c r="E89" s="86" t="n">
        <f aca="false">IF($A89="",1,COA_Mapping!$F90)</f>
        <v>1</v>
      </c>
      <c r="F89" s="87" t="n">
        <f aca="false">IF($A89="",0,SUMIF(GL_Data!$S$8:$S$5007,84001,GL_Data!$P$8:$P$5007))</f>
        <v>0</v>
      </c>
      <c r="G89" s="87" t="n">
        <f aca="false">IF($A89="",0,SUMIF(GL_Data!$S$8:$S$5007,84002,GL_Data!$P$8:$P$5007))</f>
        <v>0</v>
      </c>
      <c r="H89" s="87" t="n">
        <f aca="false">IF($A89="",0,SUMIF(GL_Data!$S$8:$S$5007,84003,GL_Data!$P$8:$P$5007))</f>
        <v>0</v>
      </c>
      <c r="I89" s="87" t="n">
        <f aca="false">IF($A89="",0,SUMIF(GL_Data!$S$8:$S$5007,84004,GL_Data!$P$8:$P$5007))</f>
        <v>0</v>
      </c>
      <c r="J89" s="87" t="n">
        <f aca="false">IF($A89="",0,SUMIF(GL_Data!$S$8:$S$5007,84005,GL_Data!$P$8:$P$5007))</f>
        <v>0</v>
      </c>
      <c r="K89" s="87" t="n">
        <f aca="false">IF($A89="",0,SUMIF(GL_Data!$S$8:$S$5007,84006,GL_Data!$P$8:$P$5007))</f>
        <v>0</v>
      </c>
      <c r="L89" s="87" t="n">
        <f aca="false">IF($A89="",0,SUMIF(GL_Data!$S$8:$S$5007,84007,GL_Data!$P$8:$P$5007))</f>
        <v>0</v>
      </c>
      <c r="M89" s="87" t="n">
        <f aca="false">IF($A89="",0,SUMIF(GL_Data!$S$8:$S$5007,84008,GL_Data!$P$8:$P$5007))</f>
        <v>0</v>
      </c>
      <c r="N89" s="87" t="n">
        <f aca="false">IF($A89="",0,SUMIF(GL_Data!$S$8:$S$5007,84009,GL_Data!$P$8:$P$5007))</f>
        <v>0</v>
      </c>
      <c r="O89" s="87" t="n">
        <f aca="false">IF($A89="",0,SUMIF(GL_Data!$S$8:$S$5007,84010,GL_Data!$P$8:$P$5007))</f>
        <v>0</v>
      </c>
      <c r="P89" s="87" t="n">
        <f aca="false">IF($A89="",0,SUMIF(GL_Data!$S$8:$S$5007,84011,GL_Data!$P$8:$P$5007))</f>
        <v>0</v>
      </c>
      <c r="Q89" s="87" t="n">
        <f aca="false">IF($A89="",0,SUMIF(GL_Data!$S$8:$S$5007,84012,GL_Data!$P$8:$P$5007))</f>
        <v>0</v>
      </c>
      <c r="R89" s="88" t="n">
        <f aca="false">IF($A89="",0,SUMIF(GL_Data!$S$8:$S$5007,84101,GL_Data!$P$8:$P$5007))</f>
        <v>0</v>
      </c>
      <c r="S89" s="88" t="n">
        <f aca="false">IF($A89="",0,SUMIF(GL_Data!$S$8:$S$5007,84102,GL_Data!$P$8:$P$5007))</f>
        <v>0</v>
      </c>
      <c r="T89" s="88" t="n">
        <f aca="false">IF($A89="",0,SUMIF(GL_Data!$S$8:$S$5007,84103,GL_Data!$P$8:$P$5007))</f>
        <v>0</v>
      </c>
      <c r="U89" s="88" t="n">
        <f aca="false">IF($A89="",0,SUMIF(GL_Data!$S$8:$S$5007,84104,GL_Data!$P$8:$P$5007))</f>
        <v>0</v>
      </c>
      <c r="V89" s="88" t="n">
        <f aca="false">IF($A89="",0,SUMIF(GL_Data!$S$8:$S$5007,84105,GL_Data!$P$8:$P$5007))</f>
        <v>0</v>
      </c>
      <c r="W89" s="88" t="n">
        <f aca="false">IF($A89="",0,SUMIF(GL_Data!$S$8:$S$5007,84106,GL_Data!$P$8:$P$5007))</f>
        <v>0</v>
      </c>
      <c r="X89" s="88" t="n">
        <f aca="false">IF($A89="",0,SUMIF(GL_Data!$S$8:$S$5007,84107,GL_Data!$P$8:$P$5007))</f>
        <v>0</v>
      </c>
      <c r="Y89" s="88" t="n">
        <f aca="false">IF($A89="",0,SUMIF(GL_Data!$S$8:$S$5007,84108,GL_Data!$P$8:$P$5007))</f>
        <v>0</v>
      </c>
      <c r="Z89" s="88" t="n">
        <f aca="false">IF($A89="",0,SUMIF(GL_Data!$S$8:$S$5007,84109,GL_Data!$P$8:$P$5007))</f>
        <v>0</v>
      </c>
      <c r="AA89" s="88" t="n">
        <f aca="false">IF($A89="",0,SUMIF(GL_Data!$S$8:$S$5007,84110,GL_Data!$P$8:$P$5007))</f>
        <v>0</v>
      </c>
      <c r="AB89" s="88" t="n">
        <f aca="false">IF($A89="",0,SUMIF(GL_Data!$S$8:$S$5007,84111,GL_Data!$P$8:$P$5007))</f>
        <v>0</v>
      </c>
      <c r="AC89" s="88" t="n">
        <f aca="false">IF($A89="",0,SUMIF(GL_Data!$S$8:$S$5007,84112,GL_Data!$P$8:$P$5007))</f>
        <v>0</v>
      </c>
      <c r="AD89" s="89" t="n">
        <f aca="false">IF($A89="",0,INDEX($F89:$AC89,12+Setup!$B$8))</f>
        <v>0</v>
      </c>
      <c r="AE89" s="90" t="n">
        <f aca="false">IF($A89="",0,INDEX($F89:$AC89,Setup!$B$8))</f>
        <v>0</v>
      </c>
      <c r="AF89" s="90" t="n">
        <f aca="false">IF($A89="",0,INDEX($F89:$AC89,11+Setup!$B$8))</f>
        <v>0</v>
      </c>
      <c r="AG89" s="90" t="n">
        <f aca="false">IF($A89="",0,AVERAGE(INDEX($F89:$AC89,9+Setup!$B$8):INDEX($F89:$AC89,11+Setup!$B$8)))</f>
        <v>0</v>
      </c>
      <c r="AH89" s="89" t="n">
        <f aca="false">IF($A89="",0,SUMPRODUCT(($R$3:$AC$3&lt;=Setup!$B$8)*$R89:$AC89))</f>
        <v>0</v>
      </c>
      <c r="AI89" s="90" t="n">
        <f aca="false">IF($A89="",0,SUMPRODUCT(($F$3:$Q$3&lt;=Setup!$B$8)*$F89:$Q89))</f>
        <v>0</v>
      </c>
      <c r="AJ89" s="90" t="n">
        <f aca="false">IF($A89="",0,SUM($F89:$Q89))</f>
        <v>0</v>
      </c>
      <c r="AK89" s="90" t="n">
        <f aca="false">IF($A89="",0,SUM($R89:$AC89))</f>
        <v>0</v>
      </c>
      <c r="AL89" s="91" t="n">
        <f aca="false">IF($A89="",0,IF(SUMPRODUCT(ABS($F89:$AC89))&gt;0,1,0))</f>
        <v>0</v>
      </c>
    </row>
    <row r="90" customFormat="false" ht="15" hidden="false" customHeight="false" outlineLevel="0" collapsed="false">
      <c r="A90" s="68" t="str">
        <f aca="false">IF(COA_Mapping!$A91="","",COA_Mapping!$A91)</f>
        <v>Equipment - Purchase</v>
      </c>
      <c r="B90" s="68" t="str">
        <f aca="false">IF($A90="","",COA_Mapping!$C91)</f>
        <v>Cost of Sales</v>
      </c>
      <c r="C90" s="68" t="str">
        <f aca="false">IF($A90="","",COA_Mapping!$E91)</f>
        <v>P&amp;L</v>
      </c>
      <c r="D90" s="68" t="str">
        <f aca="false">IF($A90="","",COA_Mapping!$D91)</f>
        <v>Unallocated</v>
      </c>
      <c r="E90" s="86" t="n">
        <f aca="false">IF($A90="",1,COA_Mapping!$F91)</f>
        <v>1</v>
      </c>
      <c r="F90" s="87" t="n">
        <f aca="false">IF($A90="",0,SUMIF(GL_Data!$S$8:$S$5007,85001,GL_Data!$P$8:$P$5007))</f>
        <v>0</v>
      </c>
      <c r="G90" s="87" t="n">
        <f aca="false">IF($A90="",0,SUMIF(GL_Data!$S$8:$S$5007,85002,GL_Data!$P$8:$P$5007))</f>
        <v>0</v>
      </c>
      <c r="H90" s="87" t="n">
        <f aca="false">IF($A90="",0,SUMIF(GL_Data!$S$8:$S$5007,85003,GL_Data!$P$8:$P$5007))</f>
        <v>0</v>
      </c>
      <c r="I90" s="87" t="n">
        <f aca="false">IF($A90="",0,SUMIF(GL_Data!$S$8:$S$5007,85004,GL_Data!$P$8:$P$5007))</f>
        <v>0</v>
      </c>
      <c r="J90" s="87" t="n">
        <f aca="false">IF($A90="",0,SUMIF(GL_Data!$S$8:$S$5007,85005,GL_Data!$P$8:$P$5007))</f>
        <v>0</v>
      </c>
      <c r="K90" s="87" t="n">
        <f aca="false">IF($A90="",0,SUMIF(GL_Data!$S$8:$S$5007,85006,GL_Data!$P$8:$P$5007))</f>
        <v>0</v>
      </c>
      <c r="L90" s="87" t="n">
        <f aca="false">IF($A90="",0,SUMIF(GL_Data!$S$8:$S$5007,85007,GL_Data!$P$8:$P$5007))</f>
        <v>0</v>
      </c>
      <c r="M90" s="87" t="n">
        <f aca="false">IF($A90="",0,SUMIF(GL_Data!$S$8:$S$5007,85008,GL_Data!$P$8:$P$5007))</f>
        <v>0</v>
      </c>
      <c r="N90" s="87" t="n">
        <f aca="false">IF($A90="",0,SUMIF(GL_Data!$S$8:$S$5007,85009,GL_Data!$P$8:$P$5007))</f>
        <v>0</v>
      </c>
      <c r="O90" s="87" t="n">
        <f aca="false">IF($A90="",0,SUMIF(GL_Data!$S$8:$S$5007,85010,GL_Data!$P$8:$P$5007))</f>
        <v>0</v>
      </c>
      <c r="P90" s="87" t="n">
        <f aca="false">IF($A90="",0,SUMIF(GL_Data!$S$8:$S$5007,85011,GL_Data!$P$8:$P$5007))</f>
        <v>0</v>
      </c>
      <c r="Q90" s="87" t="n">
        <f aca="false">IF($A90="",0,SUMIF(GL_Data!$S$8:$S$5007,85012,GL_Data!$P$8:$P$5007))</f>
        <v>0</v>
      </c>
      <c r="R90" s="88" t="n">
        <f aca="false">IF($A90="",0,SUMIF(GL_Data!$S$8:$S$5007,85101,GL_Data!$P$8:$P$5007))</f>
        <v>0</v>
      </c>
      <c r="S90" s="88" t="n">
        <f aca="false">IF($A90="",0,SUMIF(GL_Data!$S$8:$S$5007,85102,GL_Data!$P$8:$P$5007))</f>
        <v>0</v>
      </c>
      <c r="T90" s="88" t="n">
        <f aca="false">IF($A90="",0,SUMIF(GL_Data!$S$8:$S$5007,85103,GL_Data!$P$8:$P$5007))</f>
        <v>0</v>
      </c>
      <c r="U90" s="88" t="n">
        <f aca="false">IF($A90="",0,SUMIF(GL_Data!$S$8:$S$5007,85104,GL_Data!$P$8:$P$5007))</f>
        <v>0</v>
      </c>
      <c r="V90" s="88" t="n">
        <f aca="false">IF($A90="",0,SUMIF(GL_Data!$S$8:$S$5007,85105,GL_Data!$P$8:$P$5007))</f>
        <v>0</v>
      </c>
      <c r="W90" s="88" t="n">
        <f aca="false">IF($A90="",0,SUMIF(GL_Data!$S$8:$S$5007,85106,GL_Data!$P$8:$P$5007))</f>
        <v>0</v>
      </c>
      <c r="X90" s="88" t="n">
        <f aca="false">IF($A90="",0,SUMIF(GL_Data!$S$8:$S$5007,85107,GL_Data!$P$8:$P$5007))</f>
        <v>0</v>
      </c>
      <c r="Y90" s="88" t="n">
        <f aca="false">IF($A90="",0,SUMIF(GL_Data!$S$8:$S$5007,85108,GL_Data!$P$8:$P$5007))</f>
        <v>0</v>
      </c>
      <c r="Z90" s="88" t="n">
        <f aca="false">IF($A90="",0,SUMIF(GL_Data!$S$8:$S$5007,85109,GL_Data!$P$8:$P$5007))</f>
        <v>0</v>
      </c>
      <c r="AA90" s="88" t="n">
        <f aca="false">IF($A90="",0,SUMIF(GL_Data!$S$8:$S$5007,85110,GL_Data!$P$8:$P$5007))</f>
        <v>0</v>
      </c>
      <c r="AB90" s="88" t="n">
        <f aca="false">IF($A90="",0,SUMIF(GL_Data!$S$8:$S$5007,85111,GL_Data!$P$8:$P$5007))</f>
        <v>0</v>
      </c>
      <c r="AC90" s="88" t="n">
        <f aca="false">IF($A90="",0,SUMIF(GL_Data!$S$8:$S$5007,85112,GL_Data!$P$8:$P$5007))</f>
        <v>0</v>
      </c>
      <c r="AD90" s="89" t="n">
        <f aca="false">IF($A90="",0,INDEX($F90:$AC90,12+Setup!$B$8))</f>
        <v>0</v>
      </c>
      <c r="AE90" s="90" t="n">
        <f aca="false">IF($A90="",0,INDEX($F90:$AC90,Setup!$B$8))</f>
        <v>0</v>
      </c>
      <c r="AF90" s="90" t="n">
        <f aca="false">IF($A90="",0,INDEX($F90:$AC90,11+Setup!$B$8))</f>
        <v>0</v>
      </c>
      <c r="AG90" s="90" t="n">
        <f aca="false">IF($A90="",0,AVERAGE(INDEX($F90:$AC90,9+Setup!$B$8):INDEX($F90:$AC90,11+Setup!$B$8)))</f>
        <v>0</v>
      </c>
      <c r="AH90" s="89" t="n">
        <f aca="false">IF($A90="",0,SUMPRODUCT(($R$3:$AC$3&lt;=Setup!$B$8)*$R90:$AC90))</f>
        <v>0</v>
      </c>
      <c r="AI90" s="90" t="n">
        <f aca="false">IF($A90="",0,SUMPRODUCT(($F$3:$Q$3&lt;=Setup!$B$8)*$F90:$Q90))</f>
        <v>0</v>
      </c>
      <c r="AJ90" s="90" t="n">
        <f aca="false">IF($A90="",0,SUM($F90:$Q90))</f>
        <v>0</v>
      </c>
      <c r="AK90" s="90" t="n">
        <f aca="false">IF($A90="",0,SUM($R90:$AC90))</f>
        <v>0</v>
      </c>
      <c r="AL90" s="91" t="n">
        <f aca="false">IF($A90="",0,IF(SUMPRODUCT(ABS($F90:$AC90))&gt;0,1,0))</f>
        <v>0</v>
      </c>
    </row>
    <row r="91" customFormat="false" ht="15" hidden="false" customHeight="false" outlineLevel="0" collapsed="false">
      <c r="A91" s="68" t="str">
        <f aca="false">IF(COA_Mapping!$A92="","",COA_Mapping!$A92)</f>
        <v>Equipment -Maintenance Support</v>
      </c>
      <c r="B91" s="68" t="str">
        <f aca="false">IF($A91="","",COA_Mapping!$C92)</f>
        <v>Cost of Sales</v>
      </c>
      <c r="C91" s="68" t="str">
        <f aca="false">IF($A91="","",COA_Mapping!$E92)</f>
        <v>P&amp;L</v>
      </c>
      <c r="D91" s="68" t="str">
        <f aca="false">IF($A91="","",COA_Mapping!$D92)</f>
        <v>Unallocated</v>
      </c>
      <c r="E91" s="86" t="n">
        <f aca="false">IF($A91="",1,COA_Mapping!$F92)</f>
        <v>1</v>
      </c>
      <c r="F91" s="87" t="n">
        <f aca="false">IF($A91="",0,SUMIF(GL_Data!$S$8:$S$5007,86001,GL_Data!$P$8:$P$5007))</f>
        <v>0</v>
      </c>
      <c r="G91" s="87" t="n">
        <f aca="false">IF($A91="",0,SUMIF(GL_Data!$S$8:$S$5007,86002,GL_Data!$P$8:$P$5007))</f>
        <v>0</v>
      </c>
      <c r="H91" s="87" t="n">
        <f aca="false">IF($A91="",0,SUMIF(GL_Data!$S$8:$S$5007,86003,GL_Data!$P$8:$P$5007))</f>
        <v>0</v>
      </c>
      <c r="I91" s="87" t="n">
        <f aca="false">IF($A91="",0,SUMIF(GL_Data!$S$8:$S$5007,86004,GL_Data!$P$8:$P$5007))</f>
        <v>0</v>
      </c>
      <c r="J91" s="87" t="n">
        <f aca="false">IF($A91="",0,SUMIF(GL_Data!$S$8:$S$5007,86005,GL_Data!$P$8:$P$5007))</f>
        <v>0</v>
      </c>
      <c r="K91" s="87" t="n">
        <f aca="false">IF($A91="",0,SUMIF(GL_Data!$S$8:$S$5007,86006,GL_Data!$P$8:$P$5007))</f>
        <v>0</v>
      </c>
      <c r="L91" s="87" t="n">
        <f aca="false">IF($A91="",0,SUMIF(GL_Data!$S$8:$S$5007,86007,GL_Data!$P$8:$P$5007))</f>
        <v>0</v>
      </c>
      <c r="M91" s="87" t="n">
        <f aca="false">IF($A91="",0,SUMIF(GL_Data!$S$8:$S$5007,86008,GL_Data!$P$8:$P$5007))</f>
        <v>0</v>
      </c>
      <c r="N91" s="87" t="n">
        <f aca="false">IF($A91="",0,SUMIF(GL_Data!$S$8:$S$5007,86009,GL_Data!$P$8:$P$5007))</f>
        <v>0</v>
      </c>
      <c r="O91" s="87" t="n">
        <f aca="false">IF($A91="",0,SUMIF(GL_Data!$S$8:$S$5007,86010,GL_Data!$P$8:$P$5007))</f>
        <v>0</v>
      </c>
      <c r="P91" s="87" t="n">
        <f aca="false">IF($A91="",0,SUMIF(GL_Data!$S$8:$S$5007,86011,GL_Data!$P$8:$P$5007))</f>
        <v>0</v>
      </c>
      <c r="Q91" s="87" t="n">
        <f aca="false">IF($A91="",0,SUMIF(GL_Data!$S$8:$S$5007,86012,GL_Data!$P$8:$P$5007))</f>
        <v>0</v>
      </c>
      <c r="R91" s="88" t="n">
        <f aca="false">IF($A91="",0,SUMIF(GL_Data!$S$8:$S$5007,86101,GL_Data!$P$8:$P$5007))</f>
        <v>0</v>
      </c>
      <c r="S91" s="88" t="n">
        <f aca="false">IF($A91="",0,SUMIF(GL_Data!$S$8:$S$5007,86102,GL_Data!$P$8:$P$5007))</f>
        <v>0</v>
      </c>
      <c r="T91" s="88" t="n">
        <f aca="false">IF($A91="",0,SUMIF(GL_Data!$S$8:$S$5007,86103,GL_Data!$P$8:$P$5007))</f>
        <v>0</v>
      </c>
      <c r="U91" s="88" t="n">
        <f aca="false">IF($A91="",0,SUMIF(GL_Data!$S$8:$S$5007,86104,GL_Data!$P$8:$P$5007))</f>
        <v>0</v>
      </c>
      <c r="V91" s="88" t="n">
        <f aca="false">IF($A91="",0,SUMIF(GL_Data!$S$8:$S$5007,86105,GL_Data!$P$8:$P$5007))</f>
        <v>0</v>
      </c>
      <c r="W91" s="88" t="n">
        <f aca="false">IF($A91="",0,SUMIF(GL_Data!$S$8:$S$5007,86106,GL_Data!$P$8:$P$5007))</f>
        <v>0</v>
      </c>
      <c r="X91" s="88" t="n">
        <f aca="false">IF($A91="",0,SUMIF(GL_Data!$S$8:$S$5007,86107,GL_Data!$P$8:$P$5007))</f>
        <v>0</v>
      </c>
      <c r="Y91" s="88" t="n">
        <f aca="false">IF($A91="",0,SUMIF(GL_Data!$S$8:$S$5007,86108,GL_Data!$P$8:$P$5007))</f>
        <v>0</v>
      </c>
      <c r="Z91" s="88" t="n">
        <f aca="false">IF($A91="",0,SUMIF(GL_Data!$S$8:$S$5007,86109,GL_Data!$P$8:$P$5007))</f>
        <v>0</v>
      </c>
      <c r="AA91" s="88" t="n">
        <f aca="false">IF($A91="",0,SUMIF(GL_Data!$S$8:$S$5007,86110,GL_Data!$P$8:$P$5007))</f>
        <v>0</v>
      </c>
      <c r="AB91" s="88" t="n">
        <f aca="false">IF($A91="",0,SUMIF(GL_Data!$S$8:$S$5007,86111,GL_Data!$P$8:$P$5007))</f>
        <v>0</v>
      </c>
      <c r="AC91" s="88" t="n">
        <f aca="false">IF($A91="",0,SUMIF(GL_Data!$S$8:$S$5007,86112,GL_Data!$P$8:$P$5007))</f>
        <v>0</v>
      </c>
      <c r="AD91" s="89" t="n">
        <f aca="false">IF($A91="",0,INDEX($F91:$AC91,12+Setup!$B$8))</f>
        <v>0</v>
      </c>
      <c r="AE91" s="90" t="n">
        <f aca="false">IF($A91="",0,INDEX($F91:$AC91,Setup!$B$8))</f>
        <v>0</v>
      </c>
      <c r="AF91" s="90" t="n">
        <f aca="false">IF($A91="",0,INDEX($F91:$AC91,11+Setup!$B$8))</f>
        <v>0</v>
      </c>
      <c r="AG91" s="90" t="n">
        <f aca="false">IF($A91="",0,AVERAGE(INDEX($F91:$AC91,9+Setup!$B$8):INDEX($F91:$AC91,11+Setup!$B$8)))</f>
        <v>0</v>
      </c>
      <c r="AH91" s="89" t="n">
        <f aca="false">IF($A91="",0,SUMPRODUCT(($R$3:$AC$3&lt;=Setup!$B$8)*$R91:$AC91))</f>
        <v>0</v>
      </c>
      <c r="AI91" s="90" t="n">
        <f aca="false">IF($A91="",0,SUMPRODUCT(($F$3:$Q$3&lt;=Setup!$B$8)*$F91:$Q91))</f>
        <v>0</v>
      </c>
      <c r="AJ91" s="90" t="n">
        <f aca="false">IF($A91="",0,SUM($F91:$Q91))</f>
        <v>0</v>
      </c>
      <c r="AK91" s="90" t="n">
        <f aca="false">IF($A91="",0,SUM($R91:$AC91))</f>
        <v>0</v>
      </c>
      <c r="AL91" s="91" t="n">
        <f aca="false">IF($A91="",0,IF(SUMPRODUCT(ABS($F91:$AC91))&gt;0,1,0))</f>
        <v>0</v>
      </c>
    </row>
    <row r="92" customFormat="false" ht="15" hidden="false" customHeight="false" outlineLevel="0" collapsed="false">
      <c r="A92" s="68" t="str">
        <f aca="false">IF(COA_Mapping!$A93="","",COA_Mapping!$A93)</f>
        <v>Service - hires</v>
      </c>
      <c r="B92" s="68" t="str">
        <f aca="false">IF($A92="","",COA_Mapping!$C93)</f>
        <v>Cost of Sales</v>
      </c>
      <c r="C92" s="68" t="str">
        <f aca="false">IF($A92="","",COA_Mapping!$E93)</f>
        <v>P&amp;L</v>
      </c>
      <c r="D92" s="68" t="str">
        <f aca="false">IF($A92="","",COA_Mapping!$D93)</f>
        <v>Unallocated</v>
      </c>
      <c r="E92" s="86" t="n">
        <f aca="false">IF($A92="",1,COA_Mapping!$F93)</f>
        <v>1</v>
      </c>
      <c r="F92" s="87" t="n">
        <f aca="false">IF($A92="",0,SUMIF(GL_Data!$S$8:$S$5007,87001,GL_Data!$P$8:$P$5007))</f>
        <v>0</v>
      </c>
      <c r="G92" s="87" t="n">
        <f aca="false">IF($A92="",0,SUMIF(GL_Data!$S$8:$S$5007,87002,GL_Data!$P$8:$P$5007))</f>
        <v>0</v>
      </c>
      <c r="H92" s="87" t="n">
        <f aca="false">IF($A92="",0,SUMIF(GL_Data!$S$8:$S$5007,87003,GL_Data!$P$8:$P$5007))</f>
        <v>0</v>
      </c>
      <c r="I92" s="87" t="n">
        <f aca="false">IF($A92="",0,SUMIF(GL_Data!$S$8:$S$5007,87004,GL_Data!$P$8:$P$5007))</f>
        <v>0</v>
      </c>
      <c r="J92" s="87" t="n">
        <f aca="false">IF($A92="",0,SUMIF(GL_Data!$S$8:$S$5007,87005,GL_Data!$P$8:$P$5007))</f>
        <v>0</v>
      </c>
      <c r="K92" s="87" t="n">
        <f aca="false">IF($A92="",0,SUMIF(GL_Data!$S$8:$S$5007,87006,GL_Data!$P$8:$P$5007))</f>
        <v>0</v>
      </c>
      <c r="L92" s="87" t="n">
        <f aca="false">IF($A92="",0,SUMIF(GL_Data!$S$8:$S$5007,87007,GL_Data!$P$8:$P$5007))</f>
        <v>0</v>
      </c>
      <c r="M92" s="87" t="n">
        <f aca="false">IF($A92="",0,SUMIF(GL_Data!$S$8:$S$5007,87008,GL_Data!$P$8:$P$5007))</f>
        <v>0</v>
      </c>
      <c r="N92" s="87" t="n">
        <f aca="false">IF($A92="",0,SUMIF(GL_Data!$S$8:$S$5007,87009,GL_Data!$P$8:$P$5007))</f>
        <v>0</v>
      </c>
      <c r="O92" s="87" t="n">
        <f aca="false">IF($A92="",0,SUMIF(GL_Data!$S$8:$S$5007,87010,GL_Data!$P$8:$P$5007))</f>
        <v>0</v>
      </c>
      <c r="P92" s="87" t="n">
        <f aca="false">IF($A92="",0,SUMIF(GL_Data!$S$8:$S$5007,87011,GL_Data!$P$8:$P$5007))</f>
        <v>0</v>
      </c>
      <c r="Q92" s="87" t="n">
        <f aca="false">IF($A92="",0,SUMIF(GL_Data!$S$8:$S$5007,87012,GL_Data!$P$8:$P$5007))</f>
        <v>0</v>
      </c>
      <c r="R92" s="88" t="n">
        <f aca="false">IF($A92="",0,SUMIF(GL_Data!$S$8:$S$5007,87101,GL_Data!$P$8:$P$5007))</f>
        <v>0</v>
      </c>
      <c r="S92" s="88" t="n">
        <f aca="false">IF($A92="",0,SUMIF(GL_Data!$S$8:$S$5007,87102,GL_Data!$P$8:$P$5007))</f>
        <v>0</v>
      </c>
      <c r="T92" s="88" t="n">
        <f aca="false">IF($A92="",0,SUMIF(GL_Data!$S$8:$S$5007,87103,GL_Data!$P$8:$P$5007))</f>
        <v>0</v>
      </c>
      <c r="U92" s="88" t="n">
        <f aca="false">IF($A92="",0,SUMIF(GL_Data!$S$8:$S$5007,87104,GL_Data!$P$8:$P$5007))</f>
        <v>0</v>
      </c>
      <c r="V92" s="88" t="n">
        <f aca="false">IF($A92="",0,SUMIF(GL_Data!$S$8:$S$5007,87105,GL_Data!$P$8:$P$5007))</f>
        <v>0</v>
      </c>
      <c r="W92" s="88" t="n">
        <f aca="false">IF($A92="",0,SUMIF(GL_Data!$S$8:$S$5007,87106,GL_Data!$P$8:$P$5007))</f>
        <v>0</v>
      </c>
      <c r="X92" s="88" t="n">
        <f aca="false">IF($A92="",0,SUMIF(GL_Data!$S$8:$S$5007,87107,GL_Data!$P$8:$P$5007))</f>
        <v>0</v>
      </c>
      <c r="Y92" s="88" t="n">
        <f aca="false">IF($A92="",0,SUMIF(GL_Data!$S$8:$S$5007,87108,GL_Data!$P$8:$P$5007))</f>
        <v>0</v>
      </c>
      <c r="Z92" s="88" t="n">
        <f aca="false">IF($A92="",0,SUMIF(GL_Data!$S$8:$S$5007,87109,GL_Data!$P$8:$P$5007))</f>
        <v>0</v>
      </c>
      <c r="AA92" s="88" t="n">
        <f aca="false">IF($A92="",0,SUMIF(GL_Data!$S$8:$S$5007,87110,GL_Data!$P$8:$P$5007))</f>
        <v>0</v>
      </c>
      <c r="AB92" s="88" t="n">
        <f aca="false">IF($A92="",0,SUMIF(GL_Data!$S$8:$S$5007,87111,GL_Data!$P$8:$P$5007))</f>
        <v>0</v>
      </c>
      <c r="AC92" s="88" t="n">
        <f aca="false">IF($A92="",0,SUMIF(GL_Data!$S$8:$S$5007,87112,GL_Data!$P$8:$P$5007))</f>
        <v>0</v>
      </c>
      <c r="AD92" s="89" t="n">
        <f aca="false">IF($A92="",0,INDEX($F92:$AC92,12+Setup!$B$8))</f>
        <v>0</v>
      </c>
      <c r="AE92" s="90" t="n">
        <f aca="false">IF($A92="",0,INDEX($F92:$AC92,Setup!$B$8))</f>
        <v>0</v>
      </c>
      <c r="AF92" s="90" t="n">
        <f aca="false">IF($A92="",0,INDEX($F92:$AC92,11+Setup!$B$8))</f>
        <v>0</v>
      </c>
      <c r="AG92" s="90" t="n">
        <f aca="false">IF($A92="",0,AVERAGE(INDEX($F92:$AC92,9+Setup!$B$8):INDEX($F92:$AC92,11+Setup!$B$8)))</f>
        <v>0</v>
      </c>
      <c r="AH92" s="89" t="n">
        <f aca="false">IF($A92="",0,SUMPRODUCT(($R$3:$AC$3&lt;=Setup!$B$8)*$R92:$AC92))</f>
        <v>0</v>
      </c>
      <c r="AI92" s="90" t="n">
        <f aca="false">IF($A92="",0,SUMPRODUCT(($F$3:$Q$3&lt;=Setup!$B$8)*$F92:$Q92))</f>
        <v>0</v>
      </c>
      <c r="AJ92" s="90" t="n">
        <f aca="false">IF($A92="",0,SUM($F92:$Q92))</f>
        <v>0</v>
      </c>
      <c r="AK92" s="90" t="n">
        <f aca="false">IF($A92="",0,SUM($R92:$AC92))</f>
        <v>0</v>
      </c>
      <c r="AL92" s="91" t="n">
        <f aca="false">IF($A92="",0,IF(SUMPRODUCT(ABS($F92:$AC92))&gt;0,1,0))</f>
        <v>0</v>
      </c>
    </row>
    <row r="93" customFormat="false" ht="15" hidden="false" customHeight="false" outlineLevel="0" collapsed="false">
      <c r="A93" s="68" t="str">
        <f aca="false">IF(COA_Mapping!$A94="","",COA_Mapping!$A94)</f>
        <v>Stamp Duty</v>
      </c>
      <c r="B93" s="68" t="str">
        <f aca="false">IF($A93="","",COA_Mapping!$C94)</f>
        <v>Cost of Sales</v>
      </c>
      <c r="C93" s="68" t="str">
        <f aca="false">IF($A93="","",COA_Mapping!$E94)</f>
        <v>P&amp;L</v>
      </c>
      <c r="D93" s="68" t="str">
        <f aca="false">IF($A93="","",COA_Mapping!$D94)</f>
        <v>Unallocated</v>
      </c>
      <c r="E93" s="86" t="n">
        <f aca="false">IF($A93="",1,COA_Mapping!$F94)</f>
        <v>1</v>
      </c>
      <c r="F93" s="87" t="n">
        <f aca="false">IF($A93="",0,SUMIF(GL_Data!$S$8:$S$5007,88001,GL_Data!$P$8:$P$5007))</f>
        <v>0</v>
      </c>
      <c r="G93" s="87" t="n">
        <f aca="false">IF($A93="",0,SUMIF(GL_Data!$S$8:$S$5007,88002,GL_Data!$P$8:$P$5007))</f>
        <v>0</v>
      </c>
      <c r="H93" s="87" t="n">
        <f aca="false">IF($A93="",0,SUMIF(GL_Data!$S$8:$S$5007,88003,GL_Data!$P$8:$P$5007))</f>
        <v>0</v>
      </c>
      <c r="I93" s="87" t="n">
        <f aca="false">IF($A93="",0,SUMIF(GL_Data!$S$8:$S$5007,88004,GL_Data!$P$8:$P$5007))</f>
        <v>0</v>
      </c>
      <c r="J93" s="87" t="n">
        <f aca="false">IF($A93="",0,SUMIF(GL_Data!$S$8:$S$5007,88005,GL_Data!$P$8:$P$5007))</f>
        <v>0</v>
      </c>
      <c r="K93" s="87" t="n">
        <f aca="false">IF($A93="",0,SUMIF(GL_Data!$S$8:$S$5007,88006,GL_Data!$P$8:$P$5007))</f>
        <v>0</v>
      </c>
      <c r="L93" s="87" t="n">
        <f aca="false">IF($A93="",0,SUMIF(GL_Data!$S$8:$S$5007,88007,GL_Data!$P$8:$P$5007))</f>
        <v>0</v>
      </c>
      <c r="M93" s="87" t="n">
        <f aca="false">IF($A93="",0,SUMIF(GL_Data!$S$8:$S$5007,88008,GL_Data!$P$8:$P$5007))</f>
        <v>0</v>
      </c>
      <c r="N93" s="87" t="n">
        <f aca="false">IF($A93="",0,SUMIF(GL_Data!$S$8:$S$5007,88009,GL_Data!$P$8:$P$5007))</f>
        <v>0</v>
      </c>
      <c r="O93" s="87" t="n">
        <f aca="false">IF($A93="",0,SUMIF(GL_Data!$S$8:$S$5007,88010,GL_Data!$P$8:$P$5007))</f>
        <v>0</v>
      </c>
      <c r="P93" s="87" t="n">
        <f aca="false">IF($A93="",0,SUMIF(GL_Data!$S$8:$S$5007,88011,GL_Data!$P$8:$P$5007))</f>
        <v>0</v>
      </c>
      <c r="Q93" s="87" t="n">
        <f aca="false">IF($A93="",0,SUMIF(GL_Data!$S$8:$S$5007,88012,GL_Data!$P$8:$P$5007))</f>
        <v>0</v>
      </c>
      <c r="R93" s="88" t="n">
        <f aca="false">IF($A93="",0,SUMIF(GL_Data!$S$8:$S$5007,88101,GL_Data!$P$8:$P$5007))</f>
        <v>0</v>
      </c>
      <c r="S93" s="88" t="n">
        <f aca="false">IF($A93="",0,SUMIF(GL_Data!$S$8:$S$5007,88102,GL_Data!$P$8:$P$5007))</f>
        <v>0</v>
      </c>
      <c r="T93" s="88" t="n">
        <f aca="false">IF($A93="",0,SUMIF(GL_Data!$S$8:$S$5007,88103,GL_Data!$P$8:$P$5007))</f>
        <v>0</v>
      </c>
      <c r="U93" s="88" t="n">
        <f aca="false">IF($A93="",0,SUMIF(GL_Data!$S$8:$S$5007,88104,GL_Data!$P$8:$P$5007))</f>
        <v>0</v>
      </c>
      <c r="V93" s="88" t="n">
        <f aca="false">IF($A93="",0,SUMIF(GL_Data!$S$8:$S$5007,88105,GL_Data!$P$8:$P$5007))</f>
        <v>0</v>
      </c>
      <c r="W93" s="88" t="n">
        <f aca="false">IF($A93="",0,SUMIF(GL_Data!$S$8:$S$5007,88106,GL_Data!$P$8:$P$5007))</f>
        <v>0</v>
      </c>
      <c r="X93" s="88" t="n">
        <f aca="false">IF($A93="",0,SUMIF(GL_Data!$S$8:$S$5007,88107,GL_Data!$P$8:$P$5007))</f>
        <v>0</v>
      </c>
      <c r="Y93" s="88" t="n">
        <f aca="false">IF($A93="",0,SUMIF(GL_Data!$S$8:$S$5007,88108,GL_Data!$P$8:$P$5007))</f>
        <v>0</v>
      </c>
      <c r="Z93" s="88" t="n">
        <f aca="false">IF($A93="",0,SUMIF(GL_Data!$S$8:$S$5007,88109,GL_Data!$P$8:$P$5007))</f>
        <v>0</v>
      </c>
      <c r="AA93" s="88" t="n">
        <f aca="false">IF($A93="",0,SUMIF(GL_Data!$S$8:$S$5007,88110,GL_Data!$P$8:$P$5007))</f>
        <v>0</v>
      </c>
      <c r="AB93" s="88" t="n">
        <f aca="false">IF($A93="",0,SUMIF(GL_Data!$S$8:$S$5007,88111,GL_Data!$P$8:$P$5007))</f>
        <v>0</v>
      </c>
      <c r="AC93" s="88" t="n">
        <f aca="false">IF($A93="",0,SUMIF(GL_Data!$S$8:$S$5007,88112,GL_Data!$P$8:$P$5007))</f>
        <v>0</v>
      </c>
      <c r="AD93" s="89" t="n">
        <f aca="false">IF($A93="",0,INDEX($F93:$AC93,12+Setup!$B$8))</f>
        <v>0</v>
      </c>
      <c r="AE93" s="90" t="n">
        <f aca="false">IF($A93="",0,INDEX($F93:$AC93,Setup!$B$8))</f>
        <v>0</v>
      </c>
      <c r="AF93" s="90" t="n">
        <f aca="false">IF($A93="",0,INDEX($F93:$AC93,11+Setup!$B$8))</f>
        <v>0</v>
      </c>
      <c r="AG93" s="90" t="n">
        <f aca="false">IF($A93="",0,AVERAGE(INDEX($F93:$AC93,9+Setup!$B$8):INDEX($F93:$AC93,11+Setup!$B$8)))</f>
        <v>0</v>
      </c>
      <c r="AH93" s="89" t="n">
        <f aca="false">IF($A93="",0,SUMPRODUCT(($R$3:$AC$3&lt;=Setup!$B$8)*$R93:$AC93))</f>
        <v>0</v>
      </c>
      <c r="AI93" s="90" t="n">
        <f aca="false">IF($A93="",0,SUMPRODUCT(($F$3:$Q$3&lt;=Setup!$B$8)*$F93:$Q93))</f>
        <v>0</v>
      </c>
      <c r="AJ93" s="90" t="n">
        <f aca="false">IF($A93="",0,SUM($F93:$Q93))</f>
        <v>0</v>
      </c>
      <c r="AK93" s="90" t="n">
        <f aca="false">IF($A93="",0,SUM($R93:$AC93))</f>
        <v>0</v>
      </c>
      <c r="AL93" s="91" t="n">
        <f aca="false">IF($A93="",0,IF(SUMPRODUCT(ABS($F93:$AC93))&gt;0,1,0))</f>
        <v>0</v>
      </c>
    </row>
    <row r="94" customFormat="false" ht="15" hidden="false" customHeight="false" outlineLevel="0" collapsed="false">
      <c r="A94" s="68" t="str">
        <f aca="false">IF(COA_Mapping!$A95="","",COA_Mapping!$A95)</f>
        <v>Sub-Contract Labour - ADMIN</v>
      </c>
      <c r="B94" s="68" t="str">
        <f aca="false">IF($A94="","",COA_Mapping!$C95)</f>
        <v>Cost of Sales</v>
      </c>
      <c r="C94" s="68" t="str">
        <f aca="false">IF($A94="","",COA_Mapping!$E95)</f>
        <v>P&amp;L</v>
      </c>
      <c r="D94" s="68" t="str">
        <f aca="false">IF($A94="","",COA_Mapping!$D95)</f>
        <v>Admin</v>
      </c>
      <c r="E94" s="86" t="n">
        <f aca="false">IF($A94="",1,COA_Mapping!$F95)</f>
        <v>1</v>
      </c>
      <c r="F94" s="87" t="n">
        <f aca="false">IF($A94="",0,SUMIF(GL_Data!$S$8:$S$5007,89001,GL_Data!$P$8:$P$5007))</f>
        <v>0</v>
      </c>
      <c r="G94" s="87" t="n">
        <f aca="false">IF($A94="",0,SUMIF(GL_Data!$S$8:$S$5007,89002,GL_Data!$P$8:$P$5007))</f>
        <v>0</v>
      </c>
      <c r="H94" s="87" t="n">
        <f aca="false">IF($A94="",0,SUMIF(GL_Data!$S$8:$S$5007,89003,GL_Data!$P$8:$P$5007))</f>
        <v>0</v>
      </c>
      <c r="I94" s="87" t="n">
        <f aca="false">IF($A94="",0,SUMIF(GL_Data!$S$8:$S$5007,89004,GL_Data!$P$8:$P$5007))</f>
        <v>0</v>
      </c>
      <c r="J94" s="87" t="n">
        <f aca="false">IF($A94="",0,SUMIF(GL_Data!$S$8:$S$5007,89005,GL_Data!$P$8:$P$5007))</f>
        <v>0</v>
      </c>
      <c r="K94" s="87" t="n">
        <f aca="false">IF($A94="",0,SUMIF(GL_Data!$S$8:$S$5007,89006,GL_Data!$P$8:$P$5007))</f>
        <v>0</v>
      </c>
      <c r="L94" s="87" t="n">
        <f aca="false">IF($A94="",0,SUMIF(GL_Data!$S$8:$S$5007,89007,GL_Data!$P$8:$P$5007))</f>
        <v>0</v>
      </c>
      <c r="M94" s="87" t="n">
        <f aca="false">IF($A94="",0,SUMIF(GL_Data!$S$8:$S$5007,89008,GL_Data!$P$8:$P$5007))</f>
        <v>0</v>
      </c>
      <c r="N94" s="87" t="n">
        <f aca="false">IF($A94="",0,SUMIF(GL_Data!$S$8:$S$5007,89009,GL_Data!$P$8:$P$5007))</f>
        <v>0</v>
      </c>
      <c r="O94" s="87" t="n">
        <f aca="false">IF($A94="",0,SUMIF(GL_Data!$S$8:$S$5007,89010,GL_Data!$P$8:$P$5007))</f>
        <v>0</v>
      </c>
      <c r="P94" s="87" t="n">
        <f aca="false">IF($A94="",0,SUMIF(GL_Data!$S$8:$S$5007,89011,GL_Data!$P$8:$P$5007))</f>
        <v>0</v>
      </c>
      <c r="Q94" s="87" t="n">
        <f aca="false">IF($A94="",0,SUMIF(GL_Data!$S$8:$S$5007,89012,GL_Data!$P$8:$P$5007))</f>
        <v>0</v>
      </c>
      <c r="R94" s="88" t="n">
        <f aca="false">IF($A94="",0,SUMIF(GL_Data!$S$8:$S$5007,89101,GL_Data!$P$8:$P$5007))</f>
        <v>0</v>
      </c>
      <c r="S94" s="88" t="n">
        <f aca="false">IF($A94="",0,SUMIF(GL_Data!$S$8:$S$5007,89102,GL_Data!$P$8:$P$5007))</f>
        <v>0</v>
      </c>
      <c r="T94" s="88" t="n">
        <f aca="false">IF($A94="",0,SUMIF(GL_Data!$S$8:$S$5007,89103,GL_Data!$P$8:$P$5007))</f>
        <v>0</v>
      </c>
      <c r="U94" s="88" t="n">
        <f aca="false">IF($A94="",0,SUMIF(GL_Data!$S$8:$S$5007,89104,GL_Data!$P$8:$P$5007))</f>
        <v>0</v>
      </c>
      <c r="V94" s="88" t="n">
        <f aca="false">IF($A94="",0,SUMIF(GL_Data!$S$8:$S$5007,89105,GL_Data!$P$8:$P$5007))</f>
        <v>0</v>
      </c>
      <c r="W94" s="88" t="n">
        <f aca="false">IF($A94="",0,SUMIF(GL_Data!$S$8:$S$5007,89106,GL_Data!$P$8:$P$5007))</f>
        <v>0</v>
      </c>
      <c r="X94" s="88" t="n">
        <f aca="false">IF($A94="",0,SUMIF(GL_Data!$S$8:$S$5007,89107,GL_Data!$P$8:$P$5007))</f>
        <v>0</v>
      </c>
      <c r="Y94" s="88" t="n">
        <f aca="false">IF($A94="",0,SUMIF(GL_Data!$S$8:$S$5007,89108,GL_Data!$P$8:$P$5007))</f>
        <v>0</v>
      </c>
      <c r="Z94" s="88" t="n">
        <f aca="false">IF($A94="",0,SUMIF(GL_Data!$S$8:$S$5007,89109,GL_Data!$P$8:$P$5007))</f>
        <v>0</v>
      </c>
      <c r="AA94" s="88" t="n">
        <f aca="false">IF($A94="",0,SUMIF(GL_Data!$S$8:$S$5007,89110,GL_Data!$P$8:$P$5007))</f>
        <v>0</v>
      </c>
      <c r="AB94" s="88" t="n">
        <f aca="false">IF($A94="",0,SUMIF(GL_Data!$S$8:$S$5007,89111,GL_Data!$P$8:$P$5007))</f>
        <v>0</v>
      </c>
      <c r="AC94" s="88" t="n">
        <f aca="false">IF($A94="",0,SUMIF(GL_Data!$S$8:$S$5007,89112,GL_Data!$P$8:$P$5007))</f>
        <v>0</v>
      </c>
      <c r="AD94" s="89" t="n">
        <f aca="false">IF($A94="",0,INDEX($F94:$AC94,12+Setup!$B$8))</f>
        <v>0</v>
      </c>
      <c r="AE94" s="90" t="n">
        <f aca="false">IF($A94="",0,INDEX($F94:$AC94,Setup!$B$8))</f>
        <v>0</v>
      </c>
      <c r="AF94" s="90" t="n">
        <f aca="false">IF($A94="",0,INDEX($F94:$AC94,11+Setup!$B$8))</f>
        <v>0</v>
      </c>
      <c r="AG94" s="90" t="n">
        <f aca="false">IF($A94="",0,AVERAGE(INDEX($F94:$AC94,9+Setup!$B$8):INDEX($F94:$AC94,11+Setup!$B$8)))</f>
        <v>0</v>
      </c>
      <c r="AH94" s="89" t="n">
        <f aca="false">IF($A94="",0,SUMPRODUCT(($R$3:$AC$3&lt;=Setup!$B$8)*$R94:$AC94))</f>
        <v>0</v>
      </c>
      <c r="AI94" s="90" t="n">
        <f aca="false">IF($A94="",0,SUMPRODUCT(($F$3:$Q$3&lt;=Setup!$B$8)*$F94:$Q94))</f>
        <v>0</v>
      </c>
      <c r="AJ94" s="90" t="n">
        <f aca="false">IF($A94="",0,SUM($F94:$Q94))</f>
        <v>0</v>
      </c>
      <c r="AK94" s="90" t="n">
        <f aca="false">IF($A94="",0,SUM($R94:$AC94))</f>
        <v>0</v>
      </c>
      <c r="AL94" s="91" t="n">
        <f aca="false">IF($A94="",0,IF(SUMPRODUCT(ABS($F94:$AC94))&gt;0,1,0))</f>
        <v>0</v>
      </c>
    </row>
    <row r="95" customFormat="false" ht="15" hidden="false" customHeight="false" outlineLevel="0" collapsed="false">
      <c r="A95" s="68" t="str">
        <f aca="false">IF(COA_Mapping!$A96="","",COA_Mapping!$A96)</f>
        <v>Sub-Contract Labour - CONS</v>
      </c>
      <c r="B95" s="68" t="str">
        <f aca="false">IF($A95="","",COA_Mapping!$C96)</f>
        <v>Cost of Sales</v>
      </c>
      <c r="C95" s="68" t="str">
        <f aca="false">IF($A95="","",COA_Mapping!$E96)</f>
        <v>P&amp;L</v>
      </c>
      <c r="D95" s="68" t="str">
        <f aca="false">IF($A95="","",COA_Mapping!$D96)</f>
        <v>Consulting</v>
      </c>
      <c r="E95" s="86" t="n">
        <f aca="false">IF($A95="",1,COA_Mapping!$F96)</f>
        <v>1</v>
      </c>
      <c r="F95" s="87" t="n">
        <f aca="false">IF($A95="",0,SUMIF(GL_Data!$S$8:$S$5007,90001,GL_Data!$P$8:$P$5007))</f>
        <v>0</v>
      </c>
      <c r="G95" s="87" t="n">
        <f aca="false">IF($A95="",0,SUMIF(GL_Data!$S$8:$S$5007,90002,GL_Data!$P$8:$P$5007))</f>
        <v>0</v>
      </c>
      <c r="H95" s="87" t="n">
        <f aca="false">IF($A95="",0,SUMIF(GL_Data!$S$8:$S$5007,90003,GL_Data!$P$8:$P$5007))</f>
        <v>0</v>
      </c>
      <c r="I95" s="87" t="n">
        <f aca="false">IF($A95="",0,SUMIF(GL_Data!$S$8:$S$5007,90004,GL_Data!$P$8:$P$5007))</f>
        <v>0</v>
      </c>
      <c r="J95" s="87" t="n">
        <f aca="false">IF($A95="",0,SUMIF(GL_Data!$S$8:$S$5007,90005,GL_Data!$P$8:$P$5007))</f>
        <v>0</v>
      </c>
      <c r="K95" s="87" t="n">
        <f aca="false">IF($A95="",0,SUMIF(GL_Data!$S$8:$S$5007,90006,GL_Data!$P$8:$P$5007))</f>
        <v>0</v>
      </c>
      <c r="L95" s="87" t="n">
        <f aca="false">IF($A95="",0,SUMIF(GL_Data!$S$8:$S$5007,90007,GL_Data!$P$8:$P$5007))</f>
        <v>0</v>
      </c>
      <c r="M95" s="87" t="n">
        <f aca="false">IF($A95="",0,SUMIF(GL_Data!$S$8:$S$5007,90008,GL_Data!$P$8:$P$5007))</f>
        <v>0</v>
      </c>
      <c r="N95" s="87" t="n">
        <f aca="false">IF($A95="",0,SUMIF(GL_Data!$S$8:$S$5007,90009,GL_Data!$P$8:$P$5007))</f>
        <v>0</v>
      </c>
      <c r="O95" s="87" t="n">
        <f aca="false">IF($A95="",0,SUMIF(GL_Data!$S$8:$S$5007,90010,GL_Data!$P$8:$P$5007))</f>
        <v>0</v>
      </c>
      <c r="P95" s="87" t="n">
        <f aca="false">IF($A95="",0,SUMIF(GL_Data!$S$8:$S$5007,90011,GL_Data!$P$8:$P$5007))</f>
        <v>0</v>
      </c>
      <c r="Q95" s="87" t="n">
        <f aca="false">IF($A95="",0,SUMIF(GL_Data!$S$8:$S$5007,90012,GL_Data!$P$8:$P$5007))</f>
        <v>0</v>
      </c>
      <c r="R95" s="88" t="n">
        <f aca="false">IF($A95="",0,SUMIF(GL_Data!$S$8:$S$5007,90101,GL_Data!$P$8:$P$5007))</f>
        <v>0</v>
      </c>
      <c r="S95" s="88" t="n">
        <f aca="false">IF($A95="",0,SUMIF(GL_Data!$S$8:$S$5007,90102,GL_Data!$P$8:$P$5007))</f>
        <v>0</v>
      </c>
      <c r="T95" s="88" t="n">
        <f aca="false">IF($A95="",0,SUMIF(GL_Data!$S$8:$S$5007,90103,GL_Data!$P$8:$P$5007))</f>
        <v>0</v>
      </c>
      <c r="U95" s="88" t="n">
        <f aca="false">IF($A95="",0,SUMIF(GL_Data!$S$8:$S$5007,90104,GL_Data!$P$8:$P$5007))</f>
        <v>0</v>
      </c>
      <c r="V95" s="88" t="n">
        <f aca="false">IF($A95="",0,SUMIF(GL_Data!$S$8:$S$5007,90105,GL_Data!$P$8:$P$5007))</f>
        <v>0</v>
      </c>
      <c r="W95" s="88" t="n">
        <f aca="false">IF($A95="",0,SUMIF(GL_Data!$S$8:$S$5007,90106,GL_Data!$P$8:$P$5007))</f>
        <v>0</v>
      </c>
      <c r="X95" s="88" t="n">
        <f aca="false">IF($A95="",0,SUMIF(GL_Data!$S$8:$S$5007,90107,GL_Data!$P$8:$P$5007))</f>
        <v>0</v>
      </c>
      <c r="Y95" s="88" t="n">
        <f aca="false">IF($A95="",0,SUMIF(GL_Data!$S$8:$S$5007,90108,GL_Data!$P$8:$P$5007))</f>
        <v>0</v>
      </c>
      <c r="Z95" s="88" t="n">
        <f aca="false">IF($A95="",0,SUMIF(GL_Data!$S$8:$S$5007,90109,GL_Data!$P$8:$P$5007))</f>
        <v>0</v>
      </c>
      <c r="AA95" s="88" t="n">
        <f aca="false">IF($A95="",0,SUMIF(GL_Data!$S$8:$S$5007,90110,GL_Data!$P$8:$P$5007))</f>
        <v>0</v>
      </c>
      <c r="AB95" s="88" t="n">
        <f aca="false">IF($A95="",0,SUMIF(GL_Data!$S$8:$S$5007,90111,GL_Data!$P$8:$P$5007))</f>
        <v>0</v>
      </c>
      <c r="AC95" s="88" t="n">
        <f aca="false">IF($A95="",0,SUMIF(GL_Data!$S$8:$S$5007,90112,GL_Data!$P$8:$P$5007))</f>
        <v>0</v>
      </c>
      <c r="AD95" s="89" t="n">
        <f aca="false">IF($A95="",0,INDEX($F95:$AC95,12+Setup!$B$8))</f>
        <v>0</v>
      </c>
      <c r="AE95" s="90" t="n">
        <f aca="false">IF($A95="",0,INDEX($F95:$AC95,Setup!$B$8))</f>
        <v>0</v>
      </c>
      <c r="AF95" s="90" t="n">
        <f aca="false">IF($A95="",0,INDEX($F95:$AC95,11+Setup!$B$8))</f>
        <v>0</v>
      </c>
      <c r="AG95" s="90" t="n">
        <f aca="false">IF($A95="",0,AVERAGE(INDEX($F95:$AC95,9+Setup!$B$8):INDEX($F95:$AC95,11+Setup!$B$8)))</f>
        <v>0</v>
      </c>
      <c r="AH95" s="89" t="n">
        <f aca="false">IF($A95="",0,SUMPRODUCT(($R$3:$AC$3&lt;=Setup!$B$8)*$R95:$AC95))</f>
        <v>0</v>
      </c>
      <c r="AI95" s="90" t="n">
        <f aca="false">IF($A95="",0,SUMPRODUCT(($F$3:$Q$3&lt;=Setup!$B$8)*$F95:$Q95))</f>
        <v>0</v>
      </c>
      <c r="AJ95" s="90" t="n">
        <f aca="false">IF($A95="",0,SUM($F95:$Q95))</f>
        <v>0</v>
      </c>
      <c r="AK95" s="90" t="n">
        <f aca="false">IF($A95="",0,SUM($R95:$AC95))</f>
        <v>0</v>
      </c>
      <c r="AL95" s="91" t="n">
        <f aca="false">IF($A95="",0,IF(SUMPRODUCT(ABS($F95:$AC95))&gt;0,1,0))</f>
        <v>0</v>
      </c>
    </row>
    <row r="96" customFormat="false" ht="15" hidden="false" customHeight="false" outlineLevel="0" collapsed="false">
      <c r="A96" s="68" t="str">
        <f aca="false">IF(COA_Mapping!$A97="","",COA_Mapping!$A97)</f>
        <v>Sub-Contract Labour - INTEGRATION</v>
      </c>
      <c r="B96" s="68" t="str">
        <f aca="false">IF($A96="","",COA_Mapping!$C97)</f>
        <v>Cost of Sales</v>
      </c>
      <c r="C96" s="68" t="str">
        <f aca="false">IF($A96="","",COA_Mapping!$E97)</f>
        <v>P&amp;L</v>
      </c>
      <c r="D96" s="68" t="str">
        <f aca="false">IF($A96="","",COA_Mapping!$D97)</f>
        <v>Integration</v>
      </c>
      <c r="E96" s="86" t="n">
        <f aca="false">IF($A96="",1,COA_Mapping!$F97)</f>
        <v>1</v>
      </c>
      <c r="F96" s="87" t="n">
        <f aca="false">IF($A96="",0,SUMIF(GL_Data!$S$8:$S$5007,91001,GL_Data!$P$8:$P$5007))</f>
        <v>0</v>
      </c>
      <c r="G96" s="87" t="n">
        <f aca="false">IF($A96="",0,SUMIF(GL_Data!$S$8:$S$5007,91002,GL_Data!$P$8:$P$5007))</f>
        <v>0</v>
      </c>
      <c r="H96" s="87" t="n">
        <f aca="false">IF($A96="",0,SUMIF(GL_Data!$S$8:$S$5007,91003,GL_Data!$P$8:$P$5007))</f>
        <v>0</v>
      </c>
      <c r="I96" s="87" t="n">
        <f aca="false">IF($A96="",0,SUMIF(GL_Data!$S$8:$S$5007,91004,GL_Data!$P$8:$P$5007))</f>
        <v>0</v>
      </c>
      <c r="J96" s="87" t="n">
        <f aca="false">IF($A96="",0,SUMIF(GL_Data!$S$8:$S$5007,91005,GL_Data!$P$8:$P$5007))</f>
        <v>0</v>
      </c>
      <c r="K96" s="87" t="n">
        <f aca="false">IF($A96="",0,SUMIF(GL_Data!$S$8:$S$5007,91006,GL_Data!$P$8:$P$5007))</f>
        <v>0</v>
      </c>
      <c r="L96" s="87" t="n">
        <f aca="false">IF($A96="",0,SUMIF(GL_Data!$S$8:$S$5007,91007,GL_Data!$P$8:$P$5007))</f>
        <v>0</v>
      </c>
      <c r="M96" s="87" t="n">
        <f aca="false">IF($A96="",0,SUMIF(GL_Data!$S$8:$S$5007,91008,GL_Data!$P$8:$P$5007))</f>
        <v>0</v>
      </c>
      <c r="N96" s="87" t="n">
        <f aca="false">IF($A96="",0,SUMIF(GL_Data!$S$8:$S$5007,91009,GL_Data!$P$8:$P$5007))</f>
        <v>0</v>
      </c>
      <c r="O96" s="87" t="n">
        <f aca="false">IF($A96="",0,SUMIF(GL_Data!$S$8:$S$5007,91010,GL_Data!$P$8:$P$5007))</f>
        <v>0</v>
      </c>
      <c r="P96" s="87" t="n">
        <f aca="false">IF($A96="",0,SUMIF(GL_Data!$S$8:$S$5007,91011,GL_Data!$P$8:$P$5007))</f>
        <v>0</v>
      </c>
      <c r="Q96" s="87" t="n">
        <f aca="false">IF($A96="",0,SUMIF(GL_Data!$S$8:$S$5007,91012,GL_Data!$P$8:$P$5007))</f>
        <v>0</v>
      </c>
      <c r="R96" s="88" t="n">
        <f aca="false">IF($A96="",0,SUMIF(GL_Data!$S$8:$S$5007,91101,GL_Data!$P$8:$P$5007))</f>
        <v>0</v>
      </c>
      <c r="S96" s="88" t="n">
        <f aca="false">IF($A96="",0,SUMIF(GL_Data!$S$8:$S$5007,91102,GL_Data!$P$8:$P$5007))</f>
        <v>0</v>
      </c>
      <c r="T96" s="88" t="n">
        <f aca="false">IF($A96="",0,SUMIF(GL_Data!$S$8:$S$5007,91103,GL_Data!$P$8:$P$5007))</f>
        <v>0</v>
      </c>
      <c r="U96" s="88" t="n">
        <f aca="false">IF($A96="",0,SUMIF(GL_Data!$S$8:$S$5007,91104,GL_Data!$P$8:$P$5007))</f>
        <v>0</v>
      </c>
      <c r="V96" s="88" t="n">
        <f aca="false">IF($A96="",0,SUMIF(GL_Data!$S$8:$S$5007,91105,GL_Data!$P$8:$P$5007))</f>
        <v>0</v>
      </c>
      <c r="W96" s="88" t="n">
        <f aca="false">IF($A96="",0,SUMIF(GL_Data!$S$8:$S$5007,91106,GL_Data!$P$8:$P$5007))</f>
        <v>0</v>
      </c>
      <c r="X96" s="88" t="n">
        <f aca="false">IF($A96="",0,SUMIF(GL_Data!$S$8:$S$5007,91107,GL_Data!$P$8:$P$5007))</f>
        <v>0</v>
      </c>
      <c r="Y96" s="88" t="n">
        <f aca="false">IF($A96="",0,SUMIF(GL_Data!$S$8:$S$5007,91108,GL_Data!$P$8:$P$5007))</f>
        <v>0</v>
      </c>
      <c r="Z96" s="88" t="n">
        <f aca="false">IF($A96="",0,SUMIF(GL_Data!$S$8:$S$5007,91109,GL_Data!$P$8:$P$5007))</f>
        <v>0</v>
      </c>
      <c r="AA96" s="88" t="n">
        <f aca="false">IF($A96="",0,SUMIF(GL_Data!$S$8:$S$5007,91110,GL_Data!$P$8:$P$5007))</f>
        <v>0</v>
      </c>
      <c r="AB96" s="88" t="n">
        <f aca="false">IF($A96="",0,SUMIF(GL_Data!$S$8:$S$5007,91111,GL_Data!$P$8:$P$5007))</f>
        <v>0</v>
      </c>
      <c r="AC96" s="88" t="n">
        <f aca="false">IF($A96="",0,SUMIF(GL_Data!$S$8:$S$5007,91112,GL_Data!$P$8:$P$5007))</f>
        <v>0</v>
      </c>
      <c r="AD96" s="89" t="n">
        <f aca="false">IF($A96="",0,INDEX($F96:$AC96,12+Setup!$B$8))</f>
        <v>0</v>
      </c>
      <c r="AE96" s="90" t="n">
        <f aca="false">IF($A96="",0,INDEX($F96:$AC96,Setup!$B$8))</f>
        <v>0</v>
      </c>
      <c r="AF96" s="90" t="n">
        <f aca="false">IF($A96="",0,INDEX($F96:$AC96,11+Setup!$B$8))</f>
        <v>0</v>
      </c>
      <c r="AG96" s="90" t="n">
        <f aca="false">IF($A96="",0,AVERAGE(INDEX($F96:$AC96,9+Setup!$B$8):INDEX($F96:$AC96,11+Setup!$B$8)))</f>
        <v>0</v>
      </c>
      <c r="AH96" s="89" t="n">
        <f aca="false">IF($A96="",0,SUMPRODUCT(($R$3:$AC$3&lt;=Setup!$B$8)*$R96:$AC96))</f>
        <v>0</v>
      </c>
      <c r="AI96" s="90" t="n">
        <f aca="false">IF($A96="",0,SUMPRODUCT(($F$3:$Q$3&lt;=Setup!$B$8)*$F96:$Q96))</f>
        <v>0</v>
      </c>
      <c r="AJ96" s="90" t="n">
        <f aca="false">IF($A96="",0,SUM($F96:$Q96))</f>
        <v>0</v>
      </c>
      <c r="AK96" s="90" t="n">
        <f aca="false">IF($A96="",0,SUM($R96:$AC96))</f>
        <v>0</v>
      </c>
      <c r="AL96" s="91" t="n">
        <f aca="false">IF($A96="",0,IF(SUMPRODUCT(ABS($F96:$AC96))&gt;0,1,0))</f>
        <v>0</v>
      </c>
    </row>
    <row r="97" customFormat="false" ht="15" hidden="false" customHeight="false" outlineLevel="0" collapsed="false">
      <c r="A97" s="68" t="str">
        <f aca="false">IF(COA_Mapping!$A98="","",COA_Mapping!$A98)</f>
        <v>Sub-Contract Labour - ONS</v>
      </c>
      <c r="B97" s="68" t="str">
        <f aca="false">IF($A97="","",COA_Mapping!$C98)</f>
        <v>Cost of Sales</v>
      </c>
      <c r="C97" s="68" t="str">
        <f aca="false">IF($A97="","",COA_Mapping!$E98)</f>
        <v>P&amp;L</v>
      </c>
      <c r="D97" s="68" t="str">
        <f aca="false">IF($A97="","",COA_Mapping!$D98)</f>
        <v>Onsite</v>
      </c>
      <c r="E97" s="86" t="n">
        <f aca="false">IF($A97="",1,COA_Mapping!$F98)</f>
        <v>1</v>
      </c>
      <c r="F97" s="87" t="n">
        <f aca="false">IF($A97="",0,SUMIF(GL_Data!$S$8:$S$5007,92001,GL_Data!$P$8:$P$5007))</f>
        <v>0</v>
      </c>
      <c r="G97" s="87" t="n">
        <f aca="false">IF($A97="",0,SUMIF(GL_Data!$S$8:$S$5007,92002,GL_Data!$P$8:$P$5007))</f>
        <v>0</v>
      </c>
      <c r="H97" s="87" t="n">
        <f aca="false">IF($A97="",0,SUMIF(GL_Data!$S$8:$S$5007,92003,GL_Data!$P$8:$P$5007))</f>
        <v>0</v>
      </c>
      <c r="I97" s="87" t="n">
        <f aca="false">IF($A97="",0,SUMIF(GL_Data!$S$8:$S$5007,92004,GL_Data!$P$8:$P$5007))</f>
        <v>0</v>
      </c>
      <c r="J97" s="87" t="n">
        <f aca="false">IF($A97="",0,SUMIF(GL_Data!$S$8:$S$5007,92005,GL_Data!$P$8:$P$5007))</f>
        <v>0</v>
      </c>
      <c r="K97" s="87" t="n">
        <f aca="false">IF($A97="",0,SUMIF(GL_Data!$S$8:$S$5007,92006,GL_Data!$P$8:$P$5007))</f>
        <v>0</v>
      </c>
      <c r="L97" s="87" t="n">
        <f aca="false">IF($A97="",0,SUMIF(GL_Data!$S$8:$S$5007,92007,GL_Data!$P$8:$P$5007))</f>
        <v>0</v>
      </c>
      <c r="M97" s="87" t="n">
        <f aca="false">IF($A97="",0,SUMIF(GL_Data!$S$8:$S$5007,92008,GL_Data!$P$8:$P$5007))</f>
        <v>0</v>
      </c>
      <c r="N97" s="87" t="n">
        <f aca="false">IF($A97="",0,SUMIF(GL_Data!$S$8:$S$5007,92009,GL_Data!$P$8:$P$5007))</f>
        <v>0</v>
      </c>
      <c r="O97" s="87" t="n">
        <f aca="false">IF($A97="",0,SUMIF(GL_Data!$S$8:$S$5007,92010,GL_Data!$P$8:$P$5007))</f>
        <v>0</v>
      </c>
      <c r="P97" s="87" t="n">
        <f aca="false">IF($A97="",0,SUMIF(GL_Data!$S$8:$S$5007,92011,GL_Data!$P$8:$P$5007))</f>
        <v>0</v>
      </c>
      <c r="Q97" s="87" t="n">
        <f aca="false">IF($A97="",0,SUMIF(GL_Data!$S$8:$S$5007,92012,GL_Data!$P$8:$P$5007))</f>
        <v>0</v>
      </c>
      <c r="R97" s="88" t="n">
        <f aca="false">IF($A97="",0,SUMIF(GL_Data!$S$8:$S$5007,92101,GL_Data!$P$8:$P$5007))</f>
        <v>0</v>
      </c>
      <c r="S97" s="88" t="n">
        <f aca="false">IF($A97="",0,SUMIF(GL_Data!$S$8:$S$5007,92102,GL_Data!$P$8:$P$5007))</f>
        <v>0</v>
      </c>
      <c r="T97" s="88" t="n">
        <f aca="false">IF($A97="",0,SUMIF(GL_Data!$S$8:$S$5007,92103,GL_Data!$P$8:$P$5007))</f>
        <v>0</v>
      </c>
      <c r="U97" s="88" t="n">
        <f aca="false">IF($A97="",0,SUMIF(GL_Data!$S$8:$S$5007,92104,GL_Data!$P$8:$P$5007))</f>
        <v>0</v>
      </c>
      <c r="V97" s="88" t="n">
        <f aca="false">IF($A97="",0,SUMIF(GL_Data!$S$8:$S$5007,92105,GL_Data!$P$8:$P$5007))</f>
        <v>0</v>
      </c>
      <c r="W97" s="88" t="n">
        <f aca="false">IF($A97="",0,SUMIF(GL_Data!$S$8:$S$5007,92106,GL_Data!$P$8:$P$5007))</f>
        <v>0</v>
      </c>
      <c r="X97" s="88" t="n">
        <f aca="false">IF($A97="",0,SUMIF(GL_Data!$S$8:$S$5007,92107,GL_Data!$P$8:$P$5007))</f>
        <v>0</v>
      </c>
      <c r="Y97" s="88" t="n">
        <f aca="false">IF($A97="",0,SUMIF(GL_Data!$S$8:$S$5007,92108,GL_Data!$P$8:$P$5007))</f>
        <v>0</v>
      </c>
      <c r="Z97" s="88" t="n">
        <f aca="false">IF($A97="",0,SUMIF(GL_Data!$S$8:$S$5007,92109,GL_Data!$P$8:$P$5007))</f>
        <v>0</v>
      </c>
      <c r="AA97" s="88" t="n">
        <f aca="false">IF($A97="",0,SUMIF(GL_Data!$S$8:$S$5007,92110,GL_Data!$P$8:$P$5007))</f>
        <v>0</v>
      </c>
      <c r="AB97" s="88" t="n">
        <f aca="false">IF($A97="",0,SUMIF(GL_Data!$S$8:$S$5007,92111,GL_Data!$P$8:$P$5007))</f>
        <v>0</v>
      </c>
      <c r="AC97" s="88" t="n">
        <f aca="false">IF($A97="",0,SUMIF(GL_Data!$S$8:$S$5007,92112,GL_Data!$P$8:$P$5007))</f>
        <v>0</v>
      </c>
      <c r="AD97" s="89" t="n">
        <f aca="false">IF($A97="",0,INDEX($F97:$AC97,12+Setup!$B$8))</f>
        <v>0</v>
      </c>
      <c r="AE97" s="90" t="n">
        <f aca="false">IF($A97="",0,INDEX($F97:$AC97,Setup!$B$8))</f>
        <v>0</v>
      </c>
      <c r="AF97" s="90" t="n">
        <f aca="false">IF($A97="",0,INDEX($F97:$AC97,11+Setup!$B$8))</f>
        <v>0</v>
      </c>
      <c r="AG97" s="90" t="n">
        <f aca="false">IF($A97="",0,AVERAGE(INDEX($F97:$AC97,9+Setup!$B$8):INDEX($F97:$AC97,11+Setup!$B$8)))</f>
        <v>0</v>
      </c>
      <c r="AH97" s="89" t="n">
        <f aca="false">IF($A97="",0,SUMPRODUCT(($R$3:$AC$3&lt;=Setup!$B$8)*$R97:$AC97))</f>
        <v>0</v>
      </c>
      <c r="AI97" s="90" t="n">
        <f aca="false">IF($A97="",0,SUMPRODUCT(($F$3:$Q$3&lt;=Setup!$B$8)*$F97:$Q97))</f>
        <v>0</v>
      </c>
      <c r="AJ97" s="90" t="n">
        <f aca="false">IF($A97="",0,SUM($F97:$Q97))</f>
        <v>0</v>
      </c>
      <c r="AK97" s="90" t="n">
        <f aca="false">IF($A97="",0,SUM($R97:$AC97))</f>
        <v>0</v>
      </c>
      <c r="AL97" s="91" t="n">
        <f aca="false">IF($A97="",0,IF(SUMPRODUCT(ABS($F97:$AC97))&gt;0,1,0))</f>
        <v>0</v>
      </c>
    </row>
    <row r="98" customFormat="false" ht="15" hidden="false" customHeight="false" outlineLevel="0" collapsed="false">
      <c r="A98" s="68" t="str">
        <f aca="false">IF(COA_Mapping!$A99="","",COA_Mapping!$A99)</f>
        <v>Sub-Contract Labour - PRD</v>
      </c>
      <c r="B98" s="68" t="str">
        <f aca="false">IF($A98="","",COA_Mapping!$C99)</f>
        <v>Cost of Sales</v>
      </c>
      <c r="C98" s="68" t="str">
        <f aca="false">IF($A98="","",COA_Mapping!$E99)</f>
        <v>P&amp;L</v>
      </c>
      <c r="D98" s="68" t="str">
        <f aca="false">IF($A98="","",COA_Mapping!$D99)</f>
        <v>Production</v>
      </c>
      <c r="E98" s="86" t="n">
        <f aca="false">IF($A98="",1,COA_Mapping!$F99)</f>
        <v>1</v>
      </c>
      <c r="F98" s="87" t="n">
        <f aca="false">IF($A98="",0,SUMIF(GL_Data!$S$8:$S$5007,93001,GL_Data!$P$8:$P$5007))</f>
        <v>0</v>
      </c>
      <c r="G98" s="87" t="n">
        <f aca="false">IF($A98="",0,SUMIF(GL_Data!$S$8:$S$5007,93002,GL_Data!$P$8:$P$5007))</f>
        <v>0</v>
      </c>
      <c r="H98" s="87" t="n">
        <f aca="false">IF($A98="",0,SUMIF(GL_Data!$S$8:$S$5007,93003,GL_Data!$P$8:$P$5007))</f>
        <v>0</v>
      </c>
      <c r="I98" s="87" t="n">
        <f aca="false">IF($A98="",0,SUMIF(GL_Data!$S$8:$S$5007,93004,GL_Data!$P$8:$P$5007))</f>
        <v>0</v>
      </c>
      <c r="J98" s="87" t="n">
        <f aca="false">IF($A98="",0,SUMIF(GL_Data!$S$8:$S$5007,93005,GL_Data!$P$8:$P$5007))</f>
        <v>0</v>
      </c>
      <c r="K98" s="87" t="n">
        <f aca="false">IF($A98="",0,SUMIF(GL_Data!$S$8:$S$5007,93006,GL_Data!$P$8:$P$5007))</f>
        <v>0</v>
      </c>
      <c r="L98" s="87" t="n">
        <f aca="false">IF($A98="",0,SUMIF(GL_Data!$S$8:$S$5007,93007,GL_Data!$P$8:$P$5007))</f>
        <v>0</v>
      </c>
      <c r="M98" s="87" t="n">
        <f aca="false">IF($A98="",0,SUMIF(GL_Data!$S$8:$S$5007,93008,GL_Data!$P$8:$P$5007))</f>
        <v>0</v>
      </c>
      <c r="N98" s="87" t="n">
        <f aca="false">IF($A98="",0,SUMIF(GL_Data!$S$8:$S$5007,93009,GL_Data!$P$8:$P$5007))</f>
        <v>0</v>
      </c>
      <c r="O98" s="87" t="n">
        <f aca="false">IF($A98="",0,SUMIF(GL_Data!$S$8:$S$5007,93010,GL_Data!$P$8:$P$5007))</f>
        <v>0</v>
      </c>
      <c r="P98" s="87" t="n">
        <f aca="false">IF($A98="",0,SUMIF(GL_Data!$S$8:$S$5007,93011,GL_Data!$P$8:$P$5007))</f>
        <v>0</v>
      </c>
      <c r="Q98" s="87" t="n">
        <f aca="false">IF($A98="",0,SUMIF(GL_Data!$S$8:$S$5007,93012,GL_Data!$P$8:$P$5007))</f>
        <v>0</v>
      </c>
      <c r="R98" s="88" t="n">
        <f aca="false">IF($A98="",0,SUMIF(GL_Data!$S$8:$S$5007,93101,GL_Data!$P$8:$P$5007))</f>
        <v>0</v>
      </c>
      <c r="S98" s="88" t="n">
        <f aca="false">IF($A98="",0,SUMIF(GL_Data!$S$8:$S$5007,93102,GL_Data!$P$8:$P$5007))</f>
        <v>0</v>
      </c>
      <c r="T98" s="88" t="n">
        <f aca="false">IF($A98="",0,SUMIF(GL_Data!$S$8:$S$5007,93103,GL_Data!$P$8:$P$5007))</f>
        <v>0</v>
      </c>
      <c r="U98" s="88" t="n">
        <f aca="false">IF($A98="",0,SUMIF(GL_Data!$S$8:$S$5007,93104,GL_Data!$P$8:$P$5007))</f>
        <v>0</v>
      </c>
      <c r="V98" s="88" t="n">
        <f aca="false">IF($A98="",0,SUMIF(GL_Data!$S$8:$S$5007,93105,GL_Data!$P$8:$P$5007))</f>
        <v>0</v>
      </c>
      <c r="W98" s="88" t="n">
        <f aca="false">IF($A98="",0,SUMIF(GL_Data!$S$8:$S$5007,93106,GL_Data!$P$8:$P$5007))</f>
        <v>0</v>
      </c>
      <c r="X98" s="88" t="n">
        <f aca="false">IF($A98="",0,SUMIF(GL_Data!$S$8:$S$5007,93107,GL_Data!$P$8:$P$5007))</f>
        <v>0</v>
      </c>
      <c r="Y98" s="88" t="n">
        <f aca="false">IF($A98="",0,SUMIF(GL_Data!$S$8:$S$5007,93108,GL_Data!$P$8:$P$5007))</f>
        <v>0</v>
      </c>
      <c r="Z98" s="88" t="n">
        <f aca="false">IF($A98="",0,SUMIF(GL_Data!$S$8:$S$5007,93109,GL_Data!$P$8:$P$5007))</f>
        <v>0</v>
      </c>
      <c r="AA98" s="88" t="n">
        <f aca="false">IF($A98="",0,SUMIF(GL_Data!$S$8:$S$5007,93110,GL_Data!$P$8:$P$5007))</f>
        <v>0</v>
      </c>
      <c r="AB98" s="88" t="n">
        <f aca="false">IF($A98="",0,SUMIF(GL_Data!$S$8:$S$5007,93111,GL_Data!$P$8:$P$5007))</f>
        <v>0</v>
      </c>
      <c r="AC98" s="88" t="n">
        <f aca="false">IF($A98="",0,SUMIF(GL_Data!$S$8:$S$5007,93112,GL_Data!$P$8:$P$5007))</f>
        <v>0</v>
      </c>
      <c r="AD98" s="89" t="n">
        <f aca="false">IF($A98="",0,INDEX($F98:$AC98,12+Setup!$B$8))</f>
        <v>0</v>
      </c>
      <c r="AE98" s="90" t="n">
        <f aca="false">IF($A98="",0,INDEX($F98:$AC98,Setup!$B$8))</f>
        <v>0</v>
      </c>
      <c r="AF98" s="90" t="n">
        <f aca="false">IF($A98="",0,INDEX($F98:$AC98,11+Setup!$B$8))</f>
        <v>0</v>
      </c>
      <c r="AG98" s="90" t="n">
        <f aca="false">IF($A98="",0,AVERAGE(INDEX($F98:$AC98,9+Setup!$B$8):INDEX($F98:$AC98,11+Setup!$B$8)))</f>
        <v>0</v>
      </c>
      <c r="AH98" s="89" t="n">
        <f aca="false">IF($A98="",0,SUMPRODUCT(($R$3:$AC$3&lt;=Setup!$B$8)*$R98:$AC98))</f>
        <v>0</v>
      </c>
      <c r="AI98" s="90" t="n">
        <f aca="false">IF($A98="",0,SUMPRODUCT(($F$3:$Q$3&lt;=Setup!$B$8)*$F98:$Q98))</f>
        <v>0</v>
      </c>
      <c r="AJ98" s="90" t="n">
        <f aca="false">IF($A98="",0,SUM($F98:$Q98))</f>
        <v>0</v>
      </c>
      <c r="AK98" s="90" t="n">
        <f aca="false">IF($A98="",0,SUM($R98:$AC98))</f>
        <v>0</v>
      </c>
      <c r="AL98" s="91" t="n">
        <f aca="false">IF($A98="",0,IF(SUMPRODUCT(ABS($F98:$AC98))&gt;0,1,0))</f>
        <v>0</v>
      </c>
    </row>
    <row r="99" customFormat="false" ht="15" hidden="false" customHeight="false" outlineLevel="0" collapsed="false">
      <c r="A99" s="68" t="str">
        <f aca="false">IF(COA_Mapping!$A100="","",COA_Mapping!$A100)</f>
        <v>Sub-Contract Labour - VID</v>
      </c>
      <c r="B99" s="68" t="str">
        <f aca="false">IF($A99="","",COA_Mapping!$C100)</f>
        <v>Cost of Sales</v>
      </c>
      <c r="C99" s="68" t="str">
        <f aca="false">IF($A99="","",COA_Mapping!$E100)</f>
        <v>P&amp;L</v>
      </c>
      <c r="D99" s="68" t="str">
        <f aca="false">IF($A99="","",COA_Mapping!$D100)</f>
        <v>Video</v>
      </c>
      <c r="E99" s="86" t="n">
        <f aca="false">IF($A99="",1,COA_Mapping!$F100)</f>
        <v>1</v>
      </c>
      <c r="F99" s="87" t="n">
        <f aca="false">IF($A99="",0,SUMIF(GL_Data!$S$8:$S$5007,94001,GL_Data!$P$8:$P$5007))</f>
        <v>0</v>
      </c>
      <c r="G99" s="87" t="n">
        <f aca="false">IF($A99="",0,SUMIF(GL_Data!$S$8:$S$5007,94002,GL_Data!$P$8:$P$5007))</f>
        <v>0</v>
      </c>
      <c r="H99" s="87" t="n">
        <f aca="false">IF($A99="",0,SUMIF(GL_Data!$S$8:$S$5007,94003,GL_Data!$P$8:$P$5007))</f>
        <v>0</v>
      </c>
      <c r="I99" s="87" t="n">
        <f aca="false">IF($A99="",0,SUMIF(GL_Data!$S$8:$S$5007,94004,GL_Data!$P$8:$P$5007))</f>
        <v>0</v>
      </c>
      <c r="J99" s="87" t="n">
        <f aca="false">IF($A99="",0,SUMIF(GL_Data!$S$8:$S$5007,94005,GL_Data!$P$8:$P$5007))</f>
        <v>0</v>
      </c>
      <c r="K99" s="87" t="n">
        <f aca="false">IF($A99="",0,SUMIF(GL_Data!$S$8:$S$5007,94006,GL_Data!$P$8:$P$5007))</f>
        <v>0</v>
      </c>
      <c r="L99" s="87" t="n">
        <f aca="false">IF($A99="",0,SUMIF(GL_Data!$S$8:$S$5007,94007,GL_Data!$P$8:$P$5007))</f>
        <v>0</v>
      </c>
      <c r="M99" s="87" t="n">
        <f aca="false">IF($A99="",0,SUMIF(GL_Data!$S$8:$S$5007,94008,GL_Data!$P$8:$P$5007))</f>
        <v>0</v>
      </c>
      <c r="N99" s="87" t="n">
        <f aca="false">IF($A99="",0,SUMIF(GL_Data!$S$8:$S$5007,94009,GL_Data!$P$8:$P$5007))</f>
        <v>0</v>
      </c>
      <c r="O99" s="87" t="n">
        <f aca="false">IF($A99="",0,SUMIF(GL_Data!$S$8:$S$5007,94010,GL_Data!$P$8:$P$5007))</f>
        <v>0</v>
      </c>
      <c r="P99" s="87" t="n">
        <f aca="false">IF($A99="",0,SUMIF(GL_Data!$S$8:$S$5007,94011,GL_Data!$P$8:$P$5007))</f>
        <v>0</v>
      </c>
      <c r="Q99" s="87" t="n">
        <f aca="false">IF($A99="",0,SUMIF(GL_Data!$S$8:$S$5007,94012,GL_Data!$P$8:$P$5007))</f>
        <v>0</v>
      </c>
      <c r="R99" s="88" t="n">
        <f aca="false">IF($A99="",0,SUMIF(GL_Data!$S$8:$S$5007,94101,GL_Data!$P$8:$P$5007))</f>
        <v>0</v>
      </c>
      <c r="S99" s="88" t="n">
        <f aca="false">IF($A99="",0,SUMIF(GL_Data!$S$8:$S$5007,94102,GL_Data!$P$8:$P$5007))</f>
        <v>0</v>
      </c>
      <c r="T99" s="88" t="n">
        <f aca="false">IF($A99="",0,SUMIF(GL_Data!$S$8:$S$5007,94103,GL_Data!$P$8:$P$5007))</f>
        <v>0</v>
      </c>
      <c r="U99" s="88" t="n">
        <f aca="false">IF($A99="",0,SUMIF(GL_Data!$S$8:$S$5007,94104,GL_Data!$P$8:$P$5007))</f>
        <v>0</v>
      </c>
      <c r="V99" s="88" t="n">
        <f aca="false">IF($A99="",0,SUMIF(GL_Data!$S$8:$S$5007,94105,GL_Data!$P$8:$P$5007))</f>
        <v>0</v>
      </c>
      <c r="W99" s="88" t="n">
        <f aca="false">IF($A99="",0,SUMIF(GL_Data!$S$8:$S$5007,94106,GL_Data!$P$8:$P$5007))</f>
        <v>0</v>
      </c>
      <c r="X99" s="88" t="n">
        <f aca="false">IF($A99="",0,SUMIF(GL_Data!$S$8:$S$5007,94107,GL_Data!$P$8:$P$5007))</f>
        <v>0</v>
      </c>
      <c r="Y99" s="88" t="n">
        <f aca="false">IF($A99="",0,SUMIF(GL_Data!$S$8:$S$5007,94108,GL_Data!$P$8:$P$5007))</f>
        <v>0</v>
      </c>
      <c r="Z99" s="88" t="n">
        <f aca="false">IF($A99="",0,SUMIF(GL_Data!$S$8:$S$5007,94109,GL_Data!$P$8:$P$5007))</f>
        <v>0</v>
      </c>
      <c r="AA99" s="88" t="n">
        <f aca="false">IF($A99="",0,SUMIF(GL_Data!$S$8:$S$5007,94110,GL_Data!$P$8:$P$5007))</f>
        <v>0</v>
      </c>
      <c r="AB99" s="88" t="n">
        <f aca="false">IF($A99="",0,SUMIF(GL_Data!$S$8:$S$5007,94111,GL_Data!$P$8:$P$5007))</f>
        <v>0</v>
      </c>
      <c r="AC99" s="88" t="n">
        <f aca="false">IF($A99="",0,SUMIF(GL_Data!$S$8:$S$5007,94112,GL_Data!$P$8:$P$5007))</f>
        <v>0</v>
      </c>
      <c r="AD99" s="89" t="n">
        <f aca="false">IF($A99="",0,INDEX($F99:$AC99,12+Setup!$B$8))</f>
        <v>0</v>
      </c>
      <c r="AE99" s="90" t="n">
        <f aca="false">IF($A99="",0,INDEX($F99:$AC99,Setup!$B$8))</f>
        <v>0</v>
      </c>
      <c r="AF99" s="90" t="n">
        <f aca="false">IF($A99="",0,INDEX($F99:$AC99,11+Setup!$B$8))</f>
        <v>0</v>
      </c>
      <c r="AG99" s="90" t="n">
        <f aca="false">IF($A99="",0,AVERAGE(INDEX($F99:$AC99,9+Setup!$B$8):INDEX($F99:$AC99,11+Setup!$B$8)))</f>
        <v>0</v>
      </c>
      <c r="AH99" s="89" t="n">
        <f aca="false">IF($A99="",0,SUMPRODUCT(($R$3:$AC$3&lt;=Setup!$B$8)*$R99:$AC99))</f>
        <v>0</v>
      </c>
      <c r="AI99" s="90" t="n">
        <f aca="false">IF($A99="",0,SUMPRODUCT(($F$3:$Q$3&lt;=Setup!$B$8)*$F99:$Q99))</f>
        <v>0</v>
      </c>
      <c r="AJ99" s="90" t="n">
        <f aca="false">IF($A99="",0,SUM($F99:$Q99))</f>
        <v>0</v>
      </c>
      <c r="AK99" s="90" t="n">
        <f aca="false">IF($A99="",0,SUM($R99:$AC99))</f>
        <v>0</v>
      </c>
      <c r="AL99" s="91" t="n">
        <f aca="false">IF($A99="",0,IF(SUMPRODUCT(ABS($F99:$AC99))&gt;0,1,0))</f>
        <v>0</v>
      </c>
    </row>
    <row r="100" customFormat="false" ht="15" hidden="false" customHeight="false" outlineLevel="0" collapsed="false">
      <c r="A100" s="68" t="str">
        <f aca="false">IF(COA_Mapping!$A101="","",COA_Mapping!$A101)</f>
        <v>Subscriptions &amp; Licences - Expense</v>
      </c>
      <c r="B100" s="68" t="str">
        <f aca="false">IF($A100="","",COA_Mapping!$C101)</f>
        <v>Cost of Sales</v>
      </c>
      <c r="C100" s="68" t="str">
        <f aca="false">IF($A100="","",COA_Mapping!$E101)</f>
        <v>P&amp;L</v>
      </c>
      <c r="D100" s="68" t="str">
        <f aca="false">IF($A100="","",COA_Mapping!$D101)</f>
        <v>Unallocated</v>
      </c>
      <c r="E100" s="86" t="n">
        <f aca="false">IF($A100="",1,COA_Mapping!$F101)</f>
        <v>1</v>
      </c>
      <c r="F100" s="87" t="n">
        <f aca="false">IF($A100="",0,SUMIF(GL_Data!$S$8:$S$5007,95001,GL_Data!$P$8:$P$5007))</f>
        <v>0</v>
      </c>
      <c r="G100" s="87" t="n">
        <f aca="false">IF($A100="",0,SUMIF(GL_Data!$S$8:$S$5007,95002,GL_Data!$P$8:$P$5007))</f>
        <v>0</v>
      </c>
      <c r="H100" s="87" t="n">
        <f aca="false">IF($A100="",0,SUMIF(GL_Data!$S$8:$S$5007,95003,GL_Data!$P$8:$P$5007))</f>
        <v>0</v>
      </c>
      <c r="I100" s="87" t="n">
        <f aca="false">IF($A100="",0,SUMIF(GL_Data!$S$8:$S$5007,95004,GL_Data!$P$8:$P$5007))</f>
        <v>0</v>
      </c>
      <c r="J100" s="87" t="n">
        <f aca="false">IF($A100="",0,SUMIF(GL_Data!$S$8:$S$5007,95005,GL_Data!$P$8:$P$5007))</f>
        <v>0</v>
      </c>
      <c r="K100" s="87" t="n">
        <f aca="false">IF($A100="",0,SUMIF(GL_Data!$S$8:$S$5007,95006,GL_Data!$P$8:$P$5007))</f>
        <v>0</v>
      </c>
      <c r="L100" s="87" t="n">
        <f aca="false">IF($A100="",0,SUMIF(GL_Data!$S$8:$S$5007,95007,GL_Data!$P$8:$P$5007))</f>
        <v>0</v>
      </c>
      <c r="M100" s="87" t="n">
        <f aca="false">IF($A100="",0,SUMIF(GL_Data!$S$8:$S$5007,95008,GL_Data!$P$8:$P$5007))</f>
        <v>0</v>
      </c>
      <c r="N100" s="87" t="n">
        <f aca="false">IF($A100="",0,SUMIF(GL_Data!$S$8:$S$5007,95009,GL_Data!$P$8:$P$5007))</f>
        <v>0</v>
      </c>
      <c r="O100" s="87" t="n">
        <f aca="false">IF($A100="",0,SUMIF(GL_Data!$S$8:$S$5007,95010,GL_Data!$P$8:$P$5007))</f>
        <v>0</v>
      </c>
      <c r="P100" s="87" t="n">
        <f aca="false">IF($A100="",0,SUMIF(GL_Data!$S$8:$S$5007,95011,GL_Data!$P$8:$P$5007))</f>
        <v>0</v>
      </c>
      <c r="Q100" s="87" t="n">
        <f aca="false">IF($A100="",0,SUMIF(GL_Data!$S$8:$S$5007,95012,GL_Data!$P$8:$P$5007))</f>
        <v>0</v>
      </c>
      <c r="R100" s="88" t="n">
        <f aca="false">IF($A100="",0,SUMIF(GL_Data!$S$8:$S$5007,95101,GL_Data!$P$8:$P$5007))</f>
        <v>0</v>
      </c>
      <c r="S100" s="88" t="n">
        <f aca="false">IF($A100="",0,SUMIF(GL_Data!$S$8:$S$5007,95102,GL_Data!$P$8:$P$5007))</f>
        <v>0</v>
      </c>
      <c r="T100" s="88" t="n">
        <f aca="false">IF($A100="",0,SUMIF(GL_Data!$S$8:$S$5007,95103,GL_Data!$P$8:$P$5007))</f>
        <v>0</v>
      </c>
      <c r="U100" s="88" t="n">
        <f aca="false">IF($A100="",0,SUMIF(GL_Data!$S$8:$S$5007,95104,GL_Data!$P$8:$P$5007))</f>
        <v>0</v>
      </c>
      <c r="V100" s="88" t="n">
        <f aca="false">IF($A100="",0,SUMIF(GL_Data!$S$8:$S$5007,95105,GL_Data!$P$8:$P$5007))</f>
        <v>0</v>
      </c>
      <c r="W100" s="88" t="n">
        <f aca="false">IF($A100="",0,SUMIF(GL_Data!$S$8:$S$5007,95106,GL_Data!$P$8:$P$5007))</f>
        <v>0</v>
      </c>
      <c r="X100" s="88" t="n">
        <f aca="false">IF($A100="",0,SUMIF(GL_Data!$S$8:$S$5007,95107,GL_Data!$P$8:$P$5007))</f>
        <v>0</v>
      </c>
      <c r="Y100" s="88" t="n">
        <f aca="false">IF($A100="",0,SUMIF(GL_Data!$S$8:$S$5007,95108,GL_Data!$P$8:$P$5007))</f>
        <v>0</v>
      </c>
      <c r="Z100" s="88" t="n">
        <f aca="false">IF($A100="",0,SUMIF(GL_Data!$S$8:$S$5007,95109,GL_Data!$P$8:$P$5007))</f>
        <v>0</v>
      </c>
      <c r="AA100" s="88" t="n">
        <f aca="false">IF($A100="",0,SUMIF(GL_Data!$S$8:$S$5007,95110,GL_Data!$P$8:$P$5007))</f>
        <v>0</v>
      </c>
      <c r="AB100" s="88" t="n">
        <f aca="false">IF($A100="",0,SUMIF(GL_Data!$S$8:$S$5007,95111,GL_Data!$P$8:$P$5007))</f>
        <v>0</v>
      </c>
      <c r="AC100" s="88" t="n">
        <f aca="false">IF($A100="",0,SUMIF(GL_Data!$S$8:$S$5007,95112,GL_Data!$P$8:$P$5007))</f>
        <v>0</v>
      </c>
      <c r="AD100" s="89" t="n">
        <f aca="false">IF($A100="",0,INDEX($F100:$AC100,12+Setup!$B$8))</f>
        <v>0</v>
      </c>
      <c r="AE100" s="90" t="n">
        <f aca="false">IF($A100="",0,INDEX($F100:$AC100,Setup!$B$8))</f>
        <v>0</v>
      </c>
      <c r="AF100" s="90" t="n">
        <f aca="false">IF($A100="",0,INDEX($F100:$AC100,11+Setup!$B$8))</f>
        <v>0</v>
      </c>
      <c r="AG100" s="90" t="n">
        <f aca="false">IF($A100="",0,AVERAGE(INDEX($F100:$AC100,9+Setup!$B$8):INDEX($F100:$AC100,11+Setup!$B$8)))</f>
        <v>0</v>
      </c>
      <c r="AH100" s="89" t="n">
        <f aca="false">IF($A100="",0,SUMPRODUCT(($R$3:$AC$3&lt;=Setup!$B$8)*$R100:$AC100))</f>
        <v>0</v>
      </c>
      <c r="AI100" s="90" t="n">
        <f aca="false">IF($A100="",0,SUMPRODUCT(($F$3:$Q$3&lt;=Setup!$B$8)*$F100:$Q100))</f>
        <v>0</v>
      </c>
      <c r="AJ100" s="90" t="n">
        <f aca="false">IF($A100="",0,SUM($F100:$Q100))</f>
        <v>0</v>
      </c>
      <c r="AK100" s="90" t="n">
        <f aca="false">IF($A100="",0,SUM($R100:$AC100))</f>
        <v>0</v>
      </c>
      <c r="AL100" s="91" t="n">
        <f aca="false">IF($A100="",0,IF(SUMPRODUCT(ABS($F100:$AC100))&gt;0,1,0))</f>
        <v>0</v>
      </c>
    </row>
    <row r="101" customFormat="false" ht="15" hidden="false" customHeight="false" outlineLevel="0" collapsed="false">
      <c r="A101" s="68" t="str">
        <f aca="false">IF(COA_Mapping!$A102="","",COA_Mapping!$A102)</f>
        <v>Supplier Per Diems - ADMIN</v>
      </c>
      <c r="B101" s="68" t="str">
        <f aca="false">IF($A101="","",COA_Mapping!$C102)</f>
        <v>Cost of Sales</v>
      </c>
      <c r="C101" s="68" t="str">
        <f aca="false">IF($A101="","",COA_Mapping!$E102)</f>
        <v>P&amp;L</v>
      </c>
      <c r="D101" s="68" t="str">
        <f aca="false">IF($A101="","",COA_Mapping!$D102)</f>
        <v>Admin</v>
      </c>
      <c r="E101" s="86" t="n">
        <f aca="false">IF($A101="",1,COA_Mapping!$F102)</f>
        <v>1</v>
      </c>
      <c r="F101" s="87" t="n">
        <f aca="false">IF($A101="",0,SUMIF(GL_Data!$S$8:$S$5007,96001,GL_Data!$P$8:$P$5007))</f>
        <v>0</v>
      </c>
      <c r="G101" s="87" t="n">
        <f aca="false">IF($A101="",0,SUMIF(GL_Data!$S$8:$S$5007,96002,GL_Data!$P$8:$P$5007))</f>
        <v>0</v>
      </c>
      <c r="H101" s="87" t="n">
        <f aca="false">IF($A101="",0,SUMIF(GL_Data!$S$8:$S$5007,96003,GL_Data!$P$8:$P$5007))</f>
        <v>0</v>
      </c>
      <c r="I101" s="87" t="n">
        <f aca="false">IF($A101="",0,SUMIF(GL_Data!$S$8:$S$5007,96004,GL_Data!$P$8:$P$5007))</f>
        <v>0</v>
      </c>
      <c r="J101" s="87" t="n">
        <f aca="false">IF($A101="",0,SUMIF(GL_Data!$S$8:$S$5007,96005,GL_Data!$P$8:$P$5007))</f>
        <v>0</v>
      </c>
      <c r="K101" s="87" t="n">
        <f aca="false">IF($A101="",0,SUMIF(GL_Data!$S$8:$S$5007,96006,GL_Data!$P$8:$P$5007))</f>
        <v>0</v>
      </c>
      <c r="L101" s="87" t="n">
        <f aca="false">IF($A101="",0,SUMIF(GL_Data!$S$8:$S$5007,96007,GL_Data!$P$8:$P$5007))</f>
        <v>0</v>
      </c>
      <c r="M101" s="87" t="n">
        <f aca="false">IF($A101="",0,SUMIF(GL_Data!$S$8:$S$5007,96008,GL_Data!$P$8:$P$5007))</f>
        <v>0</v>
      </c>
      <c r="N101" s="87" t="n">
        <f aca="false">IF($A101="",0,SUMIF(GL_Data!$S$8:$S$5007,96009,GL_Data!$P$8:$P$5007))</f>
        <v>0</v>
      </c>
      <c r="O101" s="87" t="n">
        <f aca="false">IF($A101="",0,SUMIF(GL_Data!$S$8:$S$5007,96010,GL_Data!$P$8:$P$5007))</f>
        <v>0</v>
      </c>
      <c r="P101" s="87" t="n">
        <f aca="false">IF($A101="",0,SUMIF(GL_Data!$S$8:$S$5007,96011,GL_Data!$P$8:$P$5007))</f>
        <v>0</v>
      </c>
      <c r="Q101" s="87" t="n">
        <f aca="false">IF($A101="",0,SUMIF(GL_Data!$S$8:$S$5007,96012,GL_Data!$P$8:$P$5007))</f>
        <v>0</v>
      </c>
      <c r="R101" s="88" t="n">
        <f aca="false">IF($A101="",0,SUMIF(GL_Data!$S$8:$S$5007,96101,GL_Data!$P$8:$P$5007))</f>
        <v>0</v>
      </c>
      <c r="S101" s="88" t="n">
        <f aca="false">IF($A101="",0,SUMIF(GL_Data!$S$8:$S$5007,96102,GL_Data!$P$8:$P$5007))</f>
        <v>0</v>
      </c>
      <c r="T101" s="88" t="n">
        <f aca="false">IF($A101="",0,SUMIF(GL_Data!$S$8:$S$5007,96103,GL_Data!$P$8:$P$5007))</f>
        <v>0</v>
      </c>
      <c r="U101" s="88" t="n">
        <f aca="false">IF($A101="",0,SUMIF(GL_Data!$S$8:$S$5007,96104,GL_Data!$P$8:$P$5007))</f>
        <v>0</v>
      </c>
      <c r="V101" s="88" t="n">
        <f aca="false">IF($A101="",0,SUMIF(GL_Data!$S$8:$S$5007,96105,GL_Data!$P$8:$P$5007))</f>
        <v>0</v>
      </c>
      <c r="W101" s="88" t="n">
        <f aca="false">IF($A101="",0,SUMIF(GL_Data!$S$8:$S$5007,96106,GL_Data!$P$8:$P$5007))</f>
        <v>0</v>
      </c>
      <c r="X101" s="88" t="n">
        <f aca="false">IF($A101="",0,SUMIF(GL_Data!$S$8:$S$5007,96107,GL_Data!$P$8:$P$5007))</f>
        <v>0</v>
      </c>
      <c r="Y101" s="88" t="n">
        <f aca="false">IF($A101="",0,SUMIF(GL_Data!$S$8:$S$5007,96108,GL_Data!$P$8:$P$5007))</f>
        <v>0</v>
      </c>
      <c r="Z101" s="88" t="n">
        <f aca="false">IF($A101="",0,SUMIF(GL_Data!$S$8:$S$5007,96109,GL_Data!$P$8:$P$5007))</f>
        <v>0</v>
      </c>
      <c r="AA101" s="88" t="n">
        <f aca="false">IF($A101="",0,SUMIF(GL_Data!$S$8:$S$5007,96110,GL_Data!$P$8:$P$5007))</f>
        <v>0</v>
      </c>
      <c r="AB101" s="88" t="n">
        <f aca="false">IF($A101="",0,SUMIF(GL_Data!$S$8:$S$5007,96111,GL_Data!$P$8:$P$5007))</f>
        <v>0</v>
      </c>
      <c r="AC101" s="88" t="n">
        <f aca="false">IF($A101="",0,SUMIF(GL_Data!$S$8:$S$5007,96112,GL_Data!$P$8:$P$5007))</f>
        <v>0</v>
      </c>
      <c r="AD101" s="89" t="n">
        <f aca="false">IF($A101="",0,INDEX($F101:$AC101,12+Setup!$B$8))</f>
        <v>0</v>
      </c>
      <c r="AE101" s="90" t="n">
        <f aca="false">IF($A101="",0,INDEX($F101:$AC101,Setup!$B$8))</f>
        <v>0</v>
      </c>
      <c r="AF101" s="90" t="n">
        <f aca="false">IF($A101="",0,INDEX($F101:$AC101,11+Setup!$B$8))</f>
        <v>0</v>
      </c>
      <c r="AG101" s="90" t="n">
        <f aca="false">IF($A101="",0,AVERAGE(INDEX($F101:$AC101,9+Setup!$B$8):INDEX($F101:$AC101,11+Setup!$B$8)))</f>
        <v>0</v>
      </c>
      <c r="AH101" s="89" t="n">
        <f aca="false">IF($A101="",0,SUMPRODUCT(($R$3:$AC$3&lt;=Setup!$B$8)*$R101:$AC101))</f>
        <v>0</v>
      </c>
      <c r="AI101" s="90" t="n">
        <f aca="false">IF($A101="",0,SUMPRODUCT(($F$3:$Q$3&lt;=Setup!$B$8)*$F101:$Q101))</f>
        <v>0</v>
      </c>
      <c r="AJ101" s="90" t="n">
        <f aca="false">IF($A101="",0,SUM($F101:$Q101))</f>
        <v>0</v>
      </c>
      <c r="AK101" s="90" t="n">
        <f aca="false">IF($A101="",0,SUM($R101:$AC101))</f>
        <v>0</v>
      </c>
      <c r="AL101" s="91" t="n">
        <f aca="false">IF($A101="",0,IF(SUMPRODUCT(ABS($F101:$AC101))&gt;0,1,0))</f>
        <v>0</v>
      </c>
    </row>
    <row r="102" customFormat="false" ht="15" hidden="false" customHeight="false" outlineLevel="0" collapsed="false">
      <c r="A102" s="68" t="str">
        <f aca="false">IF(COA_Mapping!$A103="","",COA_Mapping!$A103)</f>
        <v>Supplier Per Diems - CONS</v>
      </c>
      <c r="B102" s="68" t="str">
        <f aca="false">IF($A102="","",COA_Mapping!$C103)</f>
        <v>Cost of Sales</v>
      </c>
      <c r="C102" s="68" t="str">
        <f aca="false">IF($A102="","",COA_Mapping!$E103)</f>
        <v>P&amp;L</v>
      </c>
      <c r="D102" s="68" t="str">
        <f aca="false">IF($A102="","",COA_Mapping!$D103)</f>
        <v>Consulting</v>
      </c>
      <c r="E102" s="86" t="n">
        <f aca="false">IF($A102="",1,COA_Mapping!$F103)</f>
        <v>1</v>
      </c>
      <c r="F102" s="87" t="n">
        <f aca="false">IF($A102="",0,SUMIF(GL_Data!$S$8:$S$5007,97001,GL_Data!$P$8:$P$5007))</f>
        <v>0</v>
      </c>
      <c r="G102" s="87" t="n">
        <f aca="false">IF($A102="",0,SUMIF(GL_Data!$S$8:$S$5007,97002,GL_Data!$P$8:$P$5007))</f>
        <v>0</v>
      </c>
      <c r="H102" s="87" t="n">
        <f aca="false">IF($A102="",0,SUMIF(GL_Data!$S$8:$S$5007,97003,GL_Data!$P$8:$P$5007))</f>
        <v>0</v>
      </c>
      <c r="I102" s="87" t="n">
        <f aca="false">IF($A102="",0,SUMIF(GL_Data!$S$8:$S$5007,97004,GL_Data!$P$8:$P$5007))</f>
        <v>0</v>
      </c>
      <c r="J102" s="87" t="n">
        <f aca="false">IF($A102="",0,SUMIF(GL_Data!$S$8:$S$5007,97005,GL_Data!$P$8:$P$5007))</f>
        <v>0</v>
      </c>
      <c r="K102" s="87" t="n">
        <f aca="false">IF($A102="",0,SUMIF(GL_Data!$S$8:$S$5007,97006,GL_Data!$P$8:$P$5007))</f>
        <v>0</v>
      </c>
      <c r="L102" s="87" t="n">
        <f aca="false">IF($A102="",0,SUMIF(GL_Data!$S$8:$S$5007,97007,GL_Data!$P$8:$P$5007))</f>
        <v>0</v>
      </c>
      <c r="M102" s="87" t="n">
        <f aca="false">IF($A102="",0,SUMIF(GL_Data!$S$8:$S$5007,97008,GL_Data!$P$8:$P$5007))</f>
        <v>0</v>
      </c>
      <c r="N102" s="87" t="n">
        <f aca="false">IF($A102="",0,SUMIF(GL_Data!$S$8:$S$5007,97009,GL_Data!$P$8:$P$5007))</f>
        <v>0</v>
      </c>
      <c r="O102" s="87" t="n">
        <f aca="false">IF($A102="",0,SUMIF(GL_Data!$S$8:$S$5007,97010,GL_Data!$P$8:$P$5007))</f>
        <v>0</v>
      </c>
      <c r="P102" s="87" t="n">
        <f aca="false">IF($A102="",0,SUMIF(GL_Data!$S$8:$S$5007,97011,GL_Data!$P$8:$P$5007))</f>
        <v>0</v>
      </c>
      <c r="Q102" s="87" t="n">
        <f aca="false">IF($A102="",0,SUMIF(GL_Data!$S$8:$S$5007,97012,GL_Data!$P$8:$P$5007))</f>
        <v>0</v>
      </c>
      <c r="R102" s="88" t="n">
        <f aca="false">IF($A102="",0,SUMIF(GL_Data!$S$8:$S$5007,97101,GL_Data!$P$8:$P$5007))</f>
        <v>0</v>
      </c>
      <c r="S102" s="88" t="n">
        <f aca="false">IF($A102="",0,SUMIF(GL_Data!$S$8:$S$5007,97102,GL_Data!$P$8:$P$5007))</f>
        <v>0</v>
      </c>
      <c r="T102" s="88" t="n">
        <f aca="false">IF($A102="",0,SUMIF(GL_Data!$S$8:$S$5007,97103,GL_Data!$P$8:$P$5007))</f>
        <v>0</v>
      </c>
      <c r="U102" s="88" t="n">
        <f aca="false">IF($A102="",0,SUMIF(GL_Data!$S$8:$S$5007,97104,GL_Data!$P$8:$P$5007))</f>
        <v>0</v>
      </c>
      <c r="V102" s="88" t="n">
        <f aca="false">IF($A102="",0,SUMIF(GL_Data!$S$8:$S$5007,97105,GL_Data!$P$8:$P$5007))</f>
        <v>0</v>
      </c>
      <c r="W102" s="88" t="n">
        <f aca="false">IF($A102="",0,SUMIF(GL_Data!$S$8:$S$5007,97106,GL_Data!$P$8:$P$5007))</f>
        <v>0</v>
      </c>
      <c r="X102" s="88" t="n">
        <f aca="false">IF($A102="",0,SUMIF(GL_Data!$S$8:$S$5007,97107,GL_Data!$P$8:$P$5007))</f>
        <v>0</v>
      </c>
      <c r="Y102" s="88" t="n">
        <f aca="false">IF($A102="",0,SUMIF(GL_Data!$S$8:$S$5007,97108,GL_Data!$P$8:$P$5007))</f>
        <v>0</v>
      </c>
      <c r="Z102" s="88" t="n">
        <f aca="false">IF($A102="",0,SUMIF(GL_Data!$S$8:$S$5007,97109,GL_Data!$P$8:$P$5007))</f>
        <v>0</v>
      </c>
      <c r="AA102" s="88" t="n">
        <f aca="false">IF($A102="",0,SUMIF(GL_Data!$S$8:$S$5007,97110,GL_Data!$P$8:$P$5007))</f>
        <v>0</v>
      </c>
      <c r="AB102" s="88" t="n">
        <f aca="false">IF($A102="",0,SUMIF(GL_Data!$S$8:$S$5007,97111,GL_Data!$P$8:$P$5007))</f>
        <v>0</v>
      </c>
      <c r="AC102" s="88" t="n">
        <f aca="false">IF($A102="",0,SUMIF(GL_Data!$S$8:$S$5007,97112,GL_Data!$P$8:$P$5007))</f>
        <v>0</v>
      </c>
      <c r="AD102" s="89" t="n">
        <f aca="false">IF($A102="",0,INDEX($F102:$AC102,12+Setup!$B$8))</f>
        <v>0</v>
      </c>
      <c r="AE102" s="90" t="n">
        <f aca="false">IF($A102="",0,INDEX($F102:$AC102,Setup!$B$8))</f>
        <v>0</v>
      </c>
      <c r="AF102" s="90" t="n">
        <f aca="false">IF($A102="",0,INDEX($F102:$AC102,11+Setup!$B$8))</f>
        <v>0</v>
      </c>
      <c r="AG102" s="90" t="n">
        <f aca="false">IF($A102="",0,AVERAGE(INDEX($F102:$AC102,9+Setup!$B$8):INDEX($F102:$AC102,11+Setup!$B$8)))</f>
        <v>0</v>
      </c>
      <c r="AH102" s="89" t="n">
        <f aca="false">IF($A102="",0,SUMPRODUCT(($R$3:$AC$3&lt;=Setup!$B$8)*$R102:$AC102))</f>
        <v>0</v>
      </c>
      <c r="AI102" s="90" t="n">
        <f aca="false">IF($A102="",0,SUMPRODUCT(($F$3:$Q$3&lt;=Setup!$B$8)*$F102:$Q102))</f>
        <v>0</v>
      </c>
      <c r="AJ102" s="90" t="n">
        <f aca="false">IF($A102="",0,SUM($F102:$Q102))</f>
        <v>0</v>
      </c>
      <c r="AK102" s="90" t="n">
        <f aca="false">IF($A102="",0,SUM($R102:$AC102))</f>
        <v>0</v>
      </c>
      <c r="AL102" s="91" t="n">
        <f aca="false">IF($A102="",0,IF(SUMPRODUCT(ABS($F102:$AC102))&gt;0,1,0))</f>
        <v>0</v>
      </c>
    </row>
    <row r="103" customFormat="false" ht="15" hidden="false" customHeight="false" outlineLevel="0" collapsed="false">
      <c r="A103" s="68" t="str">
        <f aca="false">IF(COA_Mapping!$A104="","",COA_Mapping!$A104)</f>
        <v>Supplier Per Diems - INTEGRATION</v>
      </c>
      <c r="B103" s="68" t="str">
        <f aca="false">IF($A103="","",COA_Mapping!$C104)</f>
        <v>Cost of Sales</v>
      </c>
      <c r="C103" s="68" t="str">
        <f aca="false">IF($A103="","",COA_Mapping!$E104)</f>
        <v>P&amp;L</v>
      </c>
      <c r="D103" s="68" t="str">
        <f aca="false">IF($A103="","",COA_Mapping!$D104)</f>
        <v>Integration</v>
      </c>
      <c r="E103" s="86" t="n">
        <f aca="false">IF($A103="",1,COA_Mapping!$F104)</f>
        <v>1</v>
      </c>
      <c r="F103" s="87" t="n">
        <f aca="false">IF($A103="",0,SUMIF(GL_Data!$S$8:$S$5007,98001,GL_Data!$P$8:$P$5007))</f>
        <v>0</v>
      </c>
      <c r="G103" s="87" t="n">
        <f aca="false">IF($A103="",0,SUMIF(GL_Data!$S$8:$S$5007,98002,GL_Data!$P$8:$P$5007))</f>
        <v>0</v>
      </c>
      <c r="H103" s="87" t="n">
        <f aca="false">IF($A103="",0,SUMIF(GL_Data!$S$8:$S$5007,98003,GL_Data!$P$8:$P$5007))</f>
        <v>0</v>
      </c>
      <c r="I103" s="87" t="n">
        <f aca="false">IF($A103="",0,SUMIF(GL_Data!$S$8:$S$5007,98004,GL_Data!$P$8:$P$5007))</f>
        <v>0</v>
      </c>
      <c r="J103" s="87" t="n">
        <f aca="false">IF($A103="",0,SUMIF(GL_Data!$S$8:$S$5007,98005,GL_Data!$P$8:$P$5007))</f>
        <v>0</v>
      </c>
      <c r="K103" s="87" t="n">
        <f aca="false">IF($A103="",0,SUMIF(GL_Data!$S$8:$S$5007,98006,GL_Data!$P$8:$P$5007))</f>
        <v>0</v>
      </c>
      <c r="L103" s="87" t="n">
        <f aca="false">IF($A103="",0,SUMIF(GL_Data!$S$8:$S$5007,98007,GL_Data!$P$8:$P$5007))</f>
        <v>0</v>
      </c>
      <c r="M103" s="87" t="n">
        <f aca="false">IF($A103="",0,SUMIF(GL_Data!$S$8:$S$5007,98008,GL_Data!$P$8:$P$5007))</f>
        <v>0</v>
      </c>
      <c r="N103" s="87" t="n">
        <f aca="false">IF($A103="",0,SUMIF(GL_Data!$S$8:$S$5007,98009,GL_Data!$P$8:$P$5007))</f>
        <v>0</v>
      </c>
      <c r="O103" s="87" t="n">
        <f aca="false">IF($A103="",0,SUMIF(GL_Data!$S$8:$S$5007,98010,GL_Data!$P$8:$P$5007))</f>
        <v>0</v>
      </c>
      <c r="P103" s="87" t="n">
        <f aca="false">IF($A103="",0,SUMIF(GL_Data!$S$8:$S$5007,98011,GL_Data!$P$8:$P$5007))</f>
        <v>0</v>
      </c>
      <c r="Q103" s="87" t="n">
        <f aca="false">IF($A103="",0,SUMIF(GL_Data!$S$8:$S$5007,98012,GL_Data!$P$8:$P$5007))</f>
        <v>0</v>
      </c>
      <c r="R103" s="88" t="n">
        <f aca="false">IF($A103="",0,SUMIF(GL_Data!$S$8:$S$5007,98101,GL_Data!$P$8:$P$5007))</f>
        <v>0</v>
      </c>
      <c r="S103" s="88" t="n">
        <f aca="false">IF($A103="",0,SUMIF(GL_Data!$S$8:$S$5007,98102,GL_Data!$P$8:$P$5007))</f>
        <v>0</v>
      </c>
      <c r="T103" s="88" t="n">
        <f aca="false">IF($A103="",0,SUMIF(GL_Data!$S$8:$S$5007,98103,GL_Data!$P$8:$P$5007))</f>
        <v>0</v>
      </c>
      <c r="U103" s="88" t="n">
        <f aca="false">IF($A103="",0,SUMIF(GL_Data!$S$8:$S$5007,98104,GL_Data!$P$8:$P$5007))</f>
        <v>0</v>
      </c>
      <c r="V103" s="88" t="n">
        <f aca="false">IF($A103="",0,SUMIF(GL_Data!$S$8:$S$5007,98105,GL_Data!$P$8:$P$5007))</f>
        <v>0</v>
      </c>
      <c r="W103" s="88" t="n">
        <f aca="false">IF($A103="",0,SUMIF(GL_Data!$S$8:$S$5007,98106,GL_Data!$P$8:$P$5007))</f>
        <v>0</v>
      </c>
      <c r="X103" s="88" t="n">
        <f aca="false">IF($A103="",0,SUMIF(GL_Data!$S$8:$S$5007,98107,GL_Data!$P$8:$P$5007))</f>
        <v>0</v>
      </c>
      <c r="Y103" s="88" t="n">
        <f aca="false">IF($A103="",0,SUMIF(GL_Data!$S$8:$S$5007,98108,GL_Data!$P$8:$P$5007))</f>
        <v>0</v>
      </c>
      <c r="Z103" s="88" t="n">
        <f aca="false">IF($A103="",0,SUMIF(GL_Data!$S$8:$S$5007,98109,GL_Data!$P$8:$P$5007))</f>
        <v>0</v>
      </c>
      <c r="AA103" s="88" t="n">
        <f aca="false">IF($A103="",0,SUMIF(GL_Data!$S$8:$S$5007,98110,GL_Data!$P$8:$P$5007))</f>
        <v>0</v>
      </c>
      <c r="AB103" s="88" t="n">
        <f aca="false">IF($A103="",0,SUMIF(GL_Data!$S$8:$S$5007,98111,GL_Data!$P$8:$P$5007))</f>
        <v>0</v>
      </c>
      <c r="AC103" s="88" t="n">
        <f aca="false">IF($A103="",0,SUMIF(GL_Data!$S$8:$S$5007,98112,GL_Data!$P$8:$P$5007))</f>
        <v>0</v>
      </c>
      <c r="AD103" s="89" t="n">
        <f aca="false">IF($A103="",0,INDEX($F103:$AC103,12+Setup!$B$8))</f>
        <v>0</v>
      </c>
      <c r="AE103" s="90" t="n">
        <f aca="false">IF($A103="",0,INDEX($F103:$AC103,Setup!$B$8))</f>
        <v>0</v>
      </c>
      <c r="AF103" s="90" t="n">
        <f aca="false">IF($A103="",0,INDEX($F103:$AC103,11+Setup!$B$8))</f>
        <v>0</v>
      </c>
      <c r="AG103" s="90" t="n">
        <f aca="false">IF($A103="",0,AVERAGE(INDEX($F103:$AC103,9+Setup!$B$8):INDEX($F103:$AC103,11+Setup!$B$8)))</f>
        <v>0</v>
      </c>
      <c r="AH103" s="89" t="n">
        <f aca="false">IF($A103="",0,SUMPRODUCT(($R$3:$AC$3&lt;=Setup!$B$8)*$R103:$AC103))</f>
        <v>0</v>
      </c>
      <c r="AI103" s="90" t="n">
        <f aca="false">IF($A103="",0,SUMPRODUCT(($F$3:$Q$3&lt;=Setup!$B$8)*$F103:$Q103))</f>
        <v>0</v>
      </c>
      <c r="AJ103" s="90" t="n">
        <f aca="false">IF($A103="",0,SUM($F103:$Q103))</f>
        <v>0</v>
      </c>
      <c r="AK103" s="90" t="n">
        <f aca="false">IF($A103="",0,SUM($R103:$AC103))</f>
        <v>0</v>
      </c>
      <c r="AL103" s="91" t="n">
        <f aca="false">IF($A103="",0,IF(SUMPRODUCT(ABS($F103:$AC103))&gt;0,1,0))</f>
        <v>0</v>
      </c>
    </row>
    <row r="104" customFormat="false" ht="15" hidden="false" customHeight="false" outlineLevel="0" collapsed="false">
      <c r="A104" s="68" t="str">
        <f aca="false">IF(COA_Mapping!$A105="","",COA_Mapping!$A105)</f>
        <v>Supplier Per Diems - ONS</v>
      </c>
      <c r="B104" s="68" t="str">
        <f aca="false">IF($A104="","",COA_Mapping!$C105)</f>
        <v>Cost of Sales</v>
      </c>
      <c r="C104" s="68" t="str">
        <f aca="false">IF($A104="","",COA_Mapping!$E105)</f>
        <v>P&amp;L</v>
      </c>
      <c r="D104" s="68" t="str">
        <f aca="false">IF($A104="","",COA_Mapping!$D105)</f>
        <v>Onsite</v>
      </c>
      <c r="E104" s="86" t="n">
        <f aca="false">IF($A104="",1,COA_Mapping!$F105)</f>
        <v>1</v>
      </c>
      <c r="F104" s="87" t="n">
        <f aca="false">IF($A104="",0,SUMIF(GL_Data!$S$8:$S$5007,99001,GL_Data!$P$8:$P$5007))</f>
        <v>0</v>
      </c>
      <c r="G104" s="87" t="n">
        <f aca="false">IF($A104="",0,SUMIF(GL_Data!$S$8:$S$5007,99002,GL_Data!$P$8:$P$5007))</f>
        <v>0</v>
      </c>
      <c r="H104" s="87" t="n">
        <f aca="false">IF($A104="",0,SUMIF(GL_Data!$S$8:$S$5007,99003,GL_Data!$P$8:$P$5007))</f>
        <v>0</v>
      </c>
      <c r="I104" s="87" t="n">
        <f aca="false">IF($A104="",0,SUMIF(GL_Data!$S$8:$S$5007,99004,GL_Data!$P$8:$P$5007))</f>
        <v>0</v>
      </c>
      <c r="J104" s="87" t="n">
        <f aca="false">IF($A104="",0,SUMIF(GL_Data!$S$8:$S$5007,99005,GL_Data!$P$8:$P$5007))</f>
        <v>0</v>
      </c>
      <c r="K104" s="87" t="n">
        <f aca="false">IF($A104="",0,SUMIF(GL_Data!$S$8:$S$5007,99006,GL_Data!$P$8:$P$5007))</f>
        <v>0</v>
      </c>
      <c r="L104" s="87" t="n">
        <f aca="false">IF($A104="",0,SUMIF(GL_Data!$S$8:$S$5007,99007,GL_Data!$P$8:$P$5007))</f>
        <v>0</v>
      </c>
      <c r="M104" s="87" t="n">
        <f aca="false">IF($A104="",0,SUMIF(GL_Data!$S$8:$S$5007,99008,GL_Data!$P$8:$P$5007))</f>
        <v>0</v>
      </c>
      <c r="N104" s="87" t="n">
        <f aca="false">IF($A104="",0,SUMIF(GL_Data!$S$8:$S$5007,99009,GL_Data!$P$8:$P$5007))</f>
        <v>0</v>
      </c>
      <c r="O104" s="87" t="n">
        <f aca="false">IF($A104="",0,SUMIF(GL_Data!$S$8:$S$5007,99010,GL_Data!$P$8:$P$5007))</f>
        <v>0</v>
      </c>
      <c r="P104" s="87" t="n">
        <f aca="false">IF($A104="",0,SUMIF(GL_Data!$S$8:$S$5007,99011,GL_Data!$P$8:$P$5007))</f>
        <v>0</v>
      </c>
      <c r="Q104" s="87" t="n">
        <f aca="false">IF($A104="",0,SUMIF(GL_Data!$S$8:$S$5007,99012,GL_Data!$P$8:$P$5007))</f>
        <v>0</v>
      </c>
      <c r="R104" s="88" t="n">
        <f aca="false">IF($A104="",0,SUMIF(GL_Data!$S$8:$S$5007,99101,GL_Data!$P$8:$P$5007))</f>
        <v>0</v>
      </c>
      <c r="S104" s="88" t="n">
        <f aca="false">IF($A104="",0,SUMIF(GL_Data!$S$8:$S$5007,99102,GL_Data!$P$8:$P$5007))</f>
        <v>0</v>
      </c>
      <c r="T104" s="88" t="n">
        <f aca="false">IF($A104="",0,SUMIF(GL_Data!$S$8:$S$5007,99103,GL_Data!$P$8:$P$5007))</f>
        <v>0</v>
      </c>
      <c r="U104" s="88" t="n">
        <f aca="false">IF($A104="",0,SUMIF(GL_Data!$S$8:$S$5007,99104,GL_Data!$P$8:$P$5007))</f>
        <v>0</v>
      </c>
      <c r="V104" s="88" t="n">
        <f aca="false">IF($A104="",0,SUMIF(GL_Data!$S$8:$S$5007,99105,GL_Data!$P$8:$P$5007))</f>
        <v>0</v>
      </c>
      <c r="W104" s="88" t="n">
        <f aca="false">IF($A104="",0,SUMIF(GL_Data!$S$8:$S$5007,99106,GL_Data!$P$8:$P$5007))</f>
        <v>0</v>
      </c>
      <c r="X104" s="88" t="n">
        <f aca="false">IF($A104="",0,SUMIF(GL_Data!$S$8:$S$5007,99107,GL_Data!$P$8:$P$5007))</f>
        <v>0</v>
      </c>
      <c r="Y104" s="88" t="n">
        <f aca="false">IF($A104="",0,SUMIF(GL_Data!$S$8:$S$5007,99108,GL_Data!$P$8:$P$5007))</f>
        <v>0</v>
      </c>
      <c r="Z104" s="88" t="n">
        <f aca="false">IF($A104="",0,SUMIF(GL_Data!$S$8:$S$5007,99109,GL_Data!$P$8:$P$5007))</f>
        <v>0</v>
      </c>
      <c r="AA104" s="88" t="n">
        <f aca="false">IF($A104="",0,SUMIF(GL_Data!$S$8:$S$5007,99110,GL_Data!$P$8:$P$5007))</f>
        <v>0</v>
      </c>
      <c r="AB104" s="88" t="n">
        <f aca="false">IF($A104="",0,SUMIF(GL_Data!$S$8:$S$5007,99111,GL_Data!$P$8:$P$5007))</f>
        <v>0</v>
      </c>
      <c r="AC104" s="88" t="n">
        <f aca="false">IF($A104="",0,SUMIF(GL_Data!$S$8:$S$5007,99112,GL_Data!$P$8:$P$5007))</f>
        <v>0</v>
      </c>
      <c r="AD104" s="89" t="n">
        <f aca="false">IF($A104="",0,INDEX($F104:$AC104,12+Setup!$B$8))</f>
        <v>0</v>
      </c>
      <c r="AE104" s="90" t="n">
        <f aca="false">IF($A104="",0,INDEX($F104:$AC104,Setup!$B$8))</f>
        <v>0</v>
      </c>
      <c r="AF104" s="90" t="n">
        <f aca="false">IF($A104="",0,INDEX($F104:$AC104,11+Setup!$B$8))</f>
        <v>0</v>
      </c>
      <c r="AG104" s="90" t="n">
        <f aca="false">IF($A104="",0,AVERAGE(INDEX($F104:$AC104,9+Setup!$B$8):INDEX($F104:$AC104,11+Setup!$B$8)))</f>
        <v>0</v>
      </c>
      <c r="AH104" s="89" t="n">
        <f aca="false">IF($A104="",0,SUMPRODUCT(($R$3:$AC$3&lt;=Setup!$B$8)*$R104:$AC104))</f>
        <v>0</v>
      </c>
      <c r="AI104" s="90" t="n">
        <f aca="false">IF($A104="",0,SUMPRODUCT(($F$3:$Q$3&lt;=Setup!$B$8)*$F104:$Q104))</f>
        <v>0</v>
      </c>
      <c r="AJ104" s="90" t="n">
        <f aca="false">IF($A104="",0,SUM($F104:$Q104))</f>
        <v>0</v>
      </c>
      <c r="AK104" s="90" t="n">
        <f aca="false">IF($A104="",0,SUM($R104:$AC104))</f>
        <v>0</v>
      </c>
      <c r="AL104" s="91" t="n">
        <f aca="false">IF($A104="",0,IF(SUMPRODUCT(ABS($F104:$AC104))&gt;0,1,0))</f>
        <v>0</v>
      </c>
    </row>
    <row r="105" customFormat="false" ht="15" hidden="false" customHeight="false" outlineLevel="0" collapsed="false">
      <c r="A105" s="68" t="str">
        <f aca="false">IF(COA_Mapping!$A106="","",COA_Mapping!$A106)</f>
        <v>Supplier Per Diems - PRD</v>
      </c>
      <c r="B105" s="68" t="str">
        <f aca="false">IF($A105="","",COA_Mapping!$C106)</f>
        <v>Cost of Sales</v>
      </c>
      <c r="C105" s="68" t="str">
        <f aca="false">IF($A105="","",COA_Mapping!$E106)</f>
        <v>P&amp;L</v>
      </c>
      <c r="D105" s="68" t="str">
        <f aca="false">IF($A105="","",COA_Mapping!$D106)</f>
        <v>Production</v>
      </c>
      <c r="E105" s="86" t="n">
        <f aca="false">IF($A105="",1,COA_Mapping!$F106)</f>
        <v>1</v>
      </c>
      <c r="F105" s="87" t="n">
        <f aca="false">IF($A105="",0,SUMIF(GL_Data!$S$8:$S$5007,100001,GL_Data!$P$8:$P$5007))</f>
        <v>0</v>
      </c>
      <c r="G105" s="87" t="n">
        <f aca="false">IF($A105="",0,SUMIF(GL_Data!$S$8:$S$5007,100002,GL_Data!$P$8:$P$5007))</f>
        <v>0</v>
      </c>
      <c r="H105" s="87" t="n">
        <f aca="false">IF($A105="",0,SUMIF(GL_Data!$S$8:$S$5007,100003,GL_Data!$P$8:$P$5007))</f>
        <v>0</v>
      </c>
      <c r="I105" s="87" t="n">
        <f aca="false">IF($A105="",0,SUMIF(GL_Data!$S$8:$S$5007,100004,GL_Data!$P$8:$P$5007))</f>
        <v>0</v>
      </c>
      <c r="J105" s="87" t="n">
        <f aca="false">IF($A105="",0,SUMIF(GL_Data!$S$8:$S$5007,100005,GL_Data!$P$8:$P$5007))</f>
        <v>0</v>
      </c>
      <c r="K105" s="87" t="n">
        <f aca="false">IF($A105="",0,SUMIF(GL_Data!$S$8:$S$5007,100006,GL_Data!$P$8:$P$5007))</f>
        <v>0</v>
      </c>
      <c r="L105" s="87" t="n">
        <f aca="false">IF($A105="",0,SUMIF(GL_Data!$S$8:$S$5007,100007,GL_Data!$P$8:$P$5007))</f>
        <v>0</v>
      </c>
      <c r="M105" s="87" t="n">
        <f aca="false">IF($A105="",0,SUMIF(GL_Data!$S$8:$S$5007,100008,GL_Data!$P$8:$P$5007))</f>
        <v>0</v>
      </c>
      <c r="N105" s="87" t="n">
        <f aca="false">IF($A105="",0,SUMIF(GL_Data!$S$8:$S$5007,100009,GL_Data!$P$8:$P$5007))</f>
        <v>0</v>
      </c>
      <c r="O105" s="87" t="n">
        <f aca="false">IF($A105="",0,SUMIF(GL_Data!$S$8:$S$5007,100010,GL_Data!$P$8:$P$5007))</f>
        <v>0</v>
      </c>
      <c r="P105" s="87" t="n">
        <f aca="false">IF($A105="",0,SUMIF(GL_Data!$S$8:$S$5007,100011,GL_Data!$P$8:$P$5007))</f>
        <v>0</v>
      </c>
      <c r="Q105" s="87" t="n">
        <f aca="false">IF($A105="",0,SUMIF(GL_Data!$S$8:$S$5007,100012,GL_Data!$P$8:$P$5007))</f>
        <v>0</v>
      </c>
      <c r="R105" s="88" t="n">
        <f aca="false">IF($A105="",0,SUMIF(GL_Data!$S$8:$S$5007,100101,GL_Data!$P$8:$P$5007))</f>
        <v>0</v>
      </c>
      <c r="S105" s="88" t="n">
        <f aca="false">IF($A105="",0,SUMIF(GL_Data!$S$8:$S$5007,100102,GL_Data!$P$8:$P$5007))</f>
        <v>0</v>
      </c>
      <c r="T105" s="88" t="n">
        <f aca="false">IF($A105="",0,SUMIF(GL_Data!$S$8:$S$5007,100103,GL_Data!$P$8:$P$5007))</f>
        <v>0</v>
      </c>
      <c r="U105" s="88" t="n">
        <f aca="false">IF($A105="",0,SUMIF(GL_Data!$S$8:$S$5007,100104,GL_Data!$P$8:$P$5007))</f>
        <v>0</v>
      </c>
      <c r="V105" s="88" t="n">
        <f aca="false">IF($A105="",0,SUMIF(GL_Data!$S$8:$S$5007,100105,GL_Data!$P$8:$P$5007))</f>
        <v>0</v>
      </c>
      <c r="W105" s="88" t="n">
        <f aca="false">IF($A105="",0,SUMIF(GL_Data!$S$8:$S$5007,100106,GL_Data!$P$8:$P$5007))</f>
        <v>0</v>
      </c>
      <c r="X105" s="88" t="n">
        <f aca="false">IF($A105="",0,SUMIF(GL_Data!$S$8:$S$5007,100107,GL_Data!$P$8:$P$5007))</f>
        <v>0</v>
      </c>
      <c r="Y105" s="88" t="n">
        <f aca="false">IF($A105="",0,SUMIF(GL_Data!$S$8:$S$5007,100108,GL_Data!$P$8:$P$5007))</f>
        <v>0</v>
      </c>
      <c r="Z105" s="88" t="n">
        <f aca="false">IF($A105="",0,SUMIF(GL_Data!$S$8:$S$5007,100109,GL_Data!$P$8:$P$5007))</f>
        <v>0</v>
      </c>
      <c r="AA105" s="88" t="n">
        <f aca="false">IF($A105="",0,SUMIF(GL_Data!$S$8:$S$5007,100110,GL_Data!$P$8:$P$5007))</f>
        <v>0</v>
      </c>
      <c r="AB105" s="88" t="n">
        <f aca="false">IF($A105="",0,SUMIF(GL_Data!$S$8:$S$5007,100111,GL_Data!$P$8:$P$5007))</f>
        <v>0</v>
      </c>
      <c r="AC105" s="88" t="n">
        <f aca="false">IF($A105="",0,SUMIF(GL_Data!$S$8:$S$5007,100112,GL_Data!$P$8:$P$5007))</f>
        <v>0</v>
      </c>
      <c r="AD105" s="89" t="n">
        <f aca="false">IF($A105="",0,INDEX($F105:$AC105,12+Setup!$B$8))</f>
        <v>0</v>
      </c>
      <c r="AE105" s="90" t="n">
        <f aca="false">IF($A105="",0,INDEX($F105:$AC105,Setup!$B$8))</f>
        <v>0</v>
      </c>
      <c r="AF105" s="90" t="n">
        <f aca="false">IF($A105="",0,INDEX($F105:$AC105,11+Setup!$B$8))</f>
        <v>0</v>
      </c>
      <c r="AG105" s="90" t="n">
        <f aca="false">IF($A105="",0,AVERAGE(INDEX($F105:$AC105,9+Setup!$B$8):INDEX($F105:$AC105,11+Setup!$B$8)))</f>
        <v>0</v>
      </c>
      <c r="AH105" s="89" t="n">
        <f aca="false">IF($A105="",0,SUMPRODUCT(($R$3:$AC$3&lt;=Setup!$B$8)*$R105:$AC105))</f>
        <v>0</v>
      </c>
      <c r="AI105" s="90" t="n">
        <f aca="false">IF($A105="",0,SUMPRODUCT(($F$3:$Q$3&lt;=Setup!$B$8)*$F105:$Q105))</f>
        <v>0</v>
      </c>
      <c r="AJ105" s="90" t="n">
        <f aca="false">IF($A105="",0,SUM($F105:$Q105))</f>
        <v>0</v>
      </c>
      <c r="AK105" s="90" t="n">
        <f aca="false">IF($A105="",0,SUM($R105:$AC105))</f>
        <v>0</v>
      </c>
      <c r="AL105" s="91" t="n">
        <f aca="false">IF($A105="",0,IF(SUMPRODUCT(ABS($F105:$AC105))&gt;0,1,0))</f>
        <v>0</v>
      </c>
    </row>
    <row r="106" customFormat="false" ht="15" hidden="false" customHeight="false" outlineLevel="0" collapsed="false">
      <c r="A106" s="68" t="str">
        <f aca="false">IF(COA_Mapping!$A107="","",COA_Mapping!$A107)</f>
        <v>Supplier Per Diems - VID</v>
      </c>
      <c r="B106" s="68" t="str">
        <f aca="false">IF($A106="","",COA_Mapping!$C107)</f>
        <v>Cost of Sales</v>
      </c>
      <c r="C106" s="68" t="str">
        <f aca="false">IF($A106="","",COA_Mapping!$E107)</f>
        <v>P&amp;L</v>
      </c>
      <c r="D106" s="68" t="str">
        <f aca="false">IF($A106="","",COA_Mapping!$D107)</f>
        <v>Video</v>
      </c>
      <c r="E106" s="86" t="n">
        <f aca="false">IF($A106="",1,COA_Mapping!$F107)</f>
        <v>1</v>
      </c>
      <c r="F106" s="87" t="n">
        <f aca="false">IF($A106="",0,SUMIF(GL_Data!$S$8:$S$5007,101001,GL_Data!$P$8:$P$5007))</f>
        <v>0</v>
      </c>
      <c r="G106" s="87" t="n">
        <f aca="false">IF($A106="",0,SUMIF(GL_Data!$S$8:$S$5007,101002,GL_Data!$P$8:$P$5007))</f>
        <v>0</v>
      </c>
      <c r="H106" s="87" t="n">
        <f aca="false">IF($A106="",0,SUMIF(GL_Data!$S$8:$S$5007,101003,GL_Data!$P$8:$P$5007))</f>
        <v>0</v>
      </c>
      <c r="I106" s="87" t="n">
        <f aca="false">IF($A106="",0,SUMIF(GL_Data!$S$8:$S$5007,101004,GL_Data!$P$8:$P$5007))</f>
        <v>0</v>
      </c>
      <c r="J106" s="87" t="n">
        <f aca="false">IF($A106="",0,SUMIF(GL_Data!$S$8:$S$5007,101005,GL_Data!$P$8:$P$5007))</f>
        <v>0</v>
      </c>
      <c r="K106" s="87" t="n">
        <f aca="false">IF($A106="",0,SUMIF(GL_Data!$S$8:$S$5007,101006,GL_Data!$P$8:$P$5007))</f>
        <v>0</v>
      </c>
      <c r="L106" s="87" t="n">
        <f aca="false">IF($A106="",0,SUMIF(GL_Data!$S$8:$S$5007,101007,GL_Data!$P$8:$P$5007))</f>
        <v>0</v>
      </c>
      <c r="M106" s="87" t="n">
        <f aca="false">IF($A106="",0,SUMIF(GL_Data!$S$8:$S$5007,101008,GL_Data!$P$8:$P$5007))</f>
        <v>0</v>
      </c>
      <c r="N106" s="87" t="n">
        <f aca="false">IF($A106="",0,SUMIF(GL_Data!$S$8:$S$5007,101009,GL_Data!$P$8:$P$5007))</f>
        <v>0</v>
      </c>
      <c r="O106" s="87" t="n">
        <f aca="false">IF($A106="",0,SUMIF(GL_Data!$S$8:$S$5007,101010,GL_Data!$P$8:$P$5007))</f>
        <v>0</v>
      </c>
      <c r="P106" s="87" t="n">
        <f aca="false">IF($A106="",0,SUMIF(GL_Data!$S$8:$S$5007,101011,GL_Data!$P$8:$P$5007))</f>
        <v>0</v>
      </c>
      <c r="Q106" s="87" t="n">
        <f aca="false">IF($A106="",0,SUMIF(GL_Data!$S$8:$S$5007,101012,GL_Data!$P$8:$P$5007))</f>
        <v>0</v>
      </c>
      <c r="R106" s="88" t="n">
        <f aca="false">IF($A106="",0,SUMIF(GL_Data!$S$8:$S$5007,101101,GL_Data!$P$8:$P$5007))</f>
        <v>0</v>
      </c>
      <c r="S106" s="88" t="n">
        <f aca="false">IF($A106="",0,SUMIF(GL_Data!$S$8:$S$5007,101102,GL_Data!$P$8:$P$5007))</f>
        <v>0</v>
      </c>
      <c r="T106" s="88" t="n">
        <f aca="false">IF($A106="",0,SUMIF(GL_Data!$S$8:$S$5007,101103,GL_Data!$P$8:$P$5007))</f>
        <v>0</v>
      </c>
      <c r="U106" s="88" t="n">
        <f aca="false">IF($A106="",0,SUMIF(GL_Data!$S$8:$S$5007,101104,GL_Data!$P$8:$P$5007))</f>
        <v>0</v>
      </c>
      <c r="V106" s="88" t="n">
        <f aca="false">IF($A106="",0,SUMIF(GL_Data!$S$8:$S$5007,101105,GL_Data!$P$8:$P$5007))</f>
        <v>0</v>
      </c>
      <c r="W106" s="88" t="n">
        <f aca="false">IF($A106="",0,SUMIF(GL_Data!$S$8:$S$5007,101106,GL_Data!$P$8:$P$5007))</f>
        <v>0</v>
      </c>
      <c r="X106" s="88" t="n">
        <f aca="false">IF($A106="",0,SUMIF(GL_Data!$S$8:$S$5007,101107,GL_Data!$P$8:$P$5007))</f>
        <v>0</v>
      </c>
      <c r="Y106" s="88" t="n">
        <f aca="false">IF($A106="",0,SUMIF(GL_Data!$S$8:$S$5007,101108,GL_Data!$P$8:$P$5007))</f>
        <v>0</v>
      </c>
      <c r="Z106" s="88" t="n">
        <f aca="false">IF($A106="",0,SUMIF(GL_Data!$S$8:$S$5007,101109,GL_Data!$P$8:$P$5007))</f>
        <v>0</v>
      </c>
      <c r="AA106" s="88" t="n">
        <f aca="false">IF($A106="",0,SUMIF(GL_Data!$S$8:$S$5007,101110,GL_Data!$P$8:$P$5007))</f>
        <v>0</v>
      </c>
      <c r="AB106" s="88" t="n">
        <f aca="false">IF($A106="",0,SUMIF(GL_Data!$S$8:$S$5007,101111,GL_Data!$P$8:$P$5007))</f>
        <v>0</v>
      </c>
      <c r="AC106" s="88" t="n">
        <f aca="false">IF($A106="",0,SUMIF(GL_Data!$S$8:$S$5007,101112,GL_Data!$P$8:$P$5007))</f>
        <v>0</v>
      </c>
      <c r="AD106" s="89" t="n">
        <f aca="false">IF($A106="",0,INDEX($F106:$AC106,12+Setup!$B$8))</f>
        <v>0</v>
      </c>
      <c r="AE106" s="90" t="n">
        <f aca="false">IF($A106="",0,INDEX($F106:$AC106,Setup!$B$8))</f>
        <v>0</v>
      </c>
      <c r="AF106" s="90" t="n">
        <f aca="false">IF($A106="",0,INDEX($F106:$AC106,11+Setup!$B$8))</f>
        <v>0</v>
      </c>
      <c r="AG106" s="90" t="n">
        <f aca="false">IF($A106="",0,AVERAGE(INDEX($F106:$AC106,9+Setup!$B$8):INDEX($F106:$AC106,11+Setup!$B$8)))</f>
        <v>0</v>
      </c>
      <c r="AH106" s="89" t="n">
        <f aca="false">IF($A106="",0,SUMPRODUCT(($R$3:$AC$3&lt;=Setup!$B$8)*$R106:$AC106))</f>
        <v>0</v>
      </c>
      <c r="AI106" s="90" t="n">
        <f aca="false">IF($A106="",0,SUMPRODUCT(($F$3:$Q$3&lt;=Setup!$B$8)*$F106:$Q106))</f>
        <v>0</v>
      </c>
      <c r="AJ106" s="90" t="n">
        <f aca="false">IF($A106="",0,SUM($F106:$Q106))</f>
        <v>0</v>
      </c>
      <c r="AK106" s="90" t="n">
        <f aca="false">IF($A106="",0,SUM($R106:$AC106))</f>
        <v>0</v>
      </c>
      <c r="AL106" s="91" t="n">
        <f aca="false">IF($A106="",0,IF(SUMPRODUCT(ABS($F106:$AC106))&gt;0,1,0))</f>
        <v>0</v>
      </c>
    </row>
    <row r="107" customFormat="false" ht="15" hidden="false" customHeight="false" outlineLevel="0" collapsed="false">
      <c r="A107" s="68" t="str">
        <f aca="false">IF(COA_Mapping!$A108="","",COA_Mapping!$A108)</f>
        <v>Cash Flow Boost</v>
      </c>
      <c r="B107" s="68" t="str">
        <f aca="false">IF($A107="","",COA_Mapping!$C108)</f>
        <v>Other Income</v>
      </c>
      <c r="C107" s="68" t="str">
        <f aca="false">IF($A107="","",COA_Mapping!$E108)</f>
        <v>P&amp;L</v>
      </c>
      <c r="D107" s="68" t="str">
        <f aca="false">IF($A107="","",COA_Mapping!$D108)</f>
        <v>Unallocated</v>
      </c>
      <c r="E107" s="86" t="n">
        <f aca="false">IF($A107="",1,COA_Mapping!$F108)</f>
        <v>-1</v>
      </c>
      <c r="F107" s="87" t="n">
        <f aca="false">IF($A107="",0,SUMIF(GL_Data!$S$8:$S$5007,102001,GL_Data!$P$8:$P$5007))</f>
        <v>0</v>
      </c>
      <c r="G107" s="87" t="n">
        <f aca="false">IF($A107="",0,SUMIF(GL_Data!$S$8:$S$5007,102002,GL_Data!$P$8:$P$5007))</f>
        <v>0</v>
      </c>
      <c r="H107" s="87" t="n">
        <f aca="false">IF($A107="",0,SUMIF(GL_Data!$S$8:$S$5007,102003,GL_Data!$P$8:$P$5007))</f>
        <v>0</v>
      </c>
      <c r="I107" s="87" t="n">
        <f aca="false">IF($A107="",0,SUMIF(GL_Data!$S$8:$S$5007,102004,GL_Data!$P$8:$P$5007))</f>
        <v>0</v>
      </c>
      <c r="J107" s="87" t="n">
        <f aca="false">IF($A107="",0,SUMIF(GL_Data!$S$8:$S$5007,102005,GL_Data!$P$8:$P$5007))</f>
        <v>0</v>
      </c>
      <c r="K107" s="87" t="n">
        <f aca="false">IF($A107="",0,SUMIF(GL_Data!$S$8:$S$5007,102006,GL_Data!$P$8:$P$5007))</f>
        <v>0</v>
      </c>
      <c r="L107" s="87" t="n">
        <f aca="false">IF($A107="",0,SUMIF(GL_Data!$S$8:$S$5007,102007,GL_Data!$P$8:$P$5007))</f>
        <v>0</v>
      </c>
      <c r="M107" s="87" t="n">
        <f aca="false">IF($A107="",0,SUMIF(GL_Data!$S$8:$S$5007,102008,GL_Data!$P$8:$P$5007))</f>
        <v>0</v>
      </c>
      <c r="N107" s="87" t="n">
        <f aca="false">IF($A107="",0,SUMIF(GL_Data!$S$8:$S$5007,102009,GL_Data!$P$8:$P$5007))</f>
        <v>0</v>
      </c>
      <c r="O107" s="87" t="n">
        <f aca="false">IF($A107="",0,SUMIF(GL_Data!$S$8:$S$5007,102010,GL_Data!$P$8:$P$5007))</f>
        <v>0</v>
      </c>
      <c r="P107" s="87" t="n">
        <f aca="false">IF($A107="",0,SUMIF(GL_Data!$S$8:$S$5007,102011,GL_Data!$P$8:$P$5007))</f>
        <v>0</v>
      </c>
      <c r="Q107" s="87" t="n">
        <f aca="false">IF($A107="",0,SUMIF(GL_Data!$S$8:$S$5007,102012,GL_Data!$P$8:$P$5007))</f>
        <v>0</v>
      </c>
      <c r="R107" s="88" t="n">
        <f aca="false">IF($A107="",0,SUMIF(GL_Data!$S$8:$S$5007,102101,GL_Data!$P$8:$P$5007))</f>
        <v>0</v>
      </c>
      <c r="S107" s="88" t="n">
        <f aca="false">IF($A107="",0,SUMIF(GL_Data!$S$8:$S$5007,102102,GL_Data!$P$8:$P$5007))</f>
        <v>0</v>
      </c>
      <c r="T107" s="88" t="n">
        <f aca="false">IF($A107="",0,SUMIF(GL_Data!$S$8:$S$5007,102103,GL_Data!$P$8:$P$5007))</f>
        <v>0</v>
      </c>
      <c r="U107" s="88" t="n">
        <f aca="false">IF($A107="",0,SUMIF(GL_Data!$S$8:$S$5007,102104,GL_Data!$P$8:$P$5007))</f>
        <v>0</v>
      </c>
      <c r="V107" s="88" t="n">
        <f aca="false">IF($A107="",0,SUMIF(GL_Data!$S$8:$S$5007,102105,GL_Data!$P$8:$P$5007))</f>
        <v>0</v>
      </c>
      <c r="W107" s="88" t="n">
        <f aca="false">IF($A107="",0,SUMIF(GL_Data!$S$8:$S$5007,102106,GL_Data!$P$8:$P$5007))</f>
        <v>0</v>
      </c>
      <c r="X107" s="88" t="n">
        <f aca="false">IF($A107="",0,SUMIF(GL_Data!$S$8:$S$5007,102107,GL_Data!$P$8:$P$5007))</f>
        <v>0</v>
      </c>
      <c r="Y107" s="88" t="n">
        <f aca="false">IF($A107="",0,SUMIF(GL_Data!$S$8:$S$5007,102108,GL_Data!$P$8:$P$5007))</f>
        <v>0</v>
      </c>
      <c r="Z107" s="88" t="n">
        <f aca="false">IF($A107="",0,SUMIF(GL_Data!$S$8:$S$5007,102109,GL_Data!$P$8:$P$5007))</f>
        <v>0</v>
      </c>
      <c r="AA107" s="88" t="n">
        <f aca="false">IF($A107="",0,SUMIF(GL_Data!$S$8:$S$5007,102110,GL_Data!$P$8:$P$5007))</f>
        <v>0</v>
      </c>
      <c r="AB107" s="88" t="n">
        <f aca="false">IF($A107="",0,SUMIF(GL_Data!$S$8:$S$5007,102111,GL_Data!$P$8:$P$5007))</f>
        <v>0</v>
      </c>
      <c r="AC107" s="88" t="n">
        <f aca="false">IF($A107="",0,SUMIF(GL_Data!$S$8:$S$5007,102112,GL_Data!$P$8:$P$5007))</f>
        <v>0</v>
      </c>
      <c r="AD107" s="89" t="n">
        <f aca="false">IF($A107="",0,INDEX($F107:$AC107,12+Setup!$B$8))</f>
        <v>0</v>
      </c>
      <c r="AE107" s="90" t="n">
        <f aca="false">IF($A107="",0,INDEX($F107:$AC107,Setup!$B$8))</f>
        <v>0</v>
      </c>
      <c r="AF107" s="90" t="n">
        <f aca="false">IF($A107="",0,INDEX($F107:$AC107,11+Setup!$B$8))</f>
        <v>0</v>
      </c>
      <c r="AG107" s="90" t="n">
        <f aca="false">IF($A107="",0,AVERAGE(INDEX($F107:$AC107,9+Setup!$B$8):INDEX($F107:$AC107,11+Setup!$B$8)))</f>
        <v>0</v>
      </c>
      <c r="AH107" s="89" t="n">
        <f aca="false">IF($A107="",0,SUMPRODUCT(($R$3:$AC$3&lt;=Setup!$B$8)*$R107:$AC107))</f>
        <v>0</v>
      </c>
      <c r="AI107" s="90" t="n">
        <f aca="false">IF($A107="",0,SUMPRODUCT(($F$3:$Q$3&lt;=Setup!$B$8)*$F107:$Q107))</f>
        <v>0</v>
      </c>
      <c r="AJ107" s="90" t="n">
        <f aca="false">IF($A107="",0,SUM($F107:$Q107))</f>
        <v>0</v>
      </c>
      <c r="AK107" s="90" t="n">
        <f aca="false">IF($A107="",0,SUM($R107:$AC107))</f>
        <v>0</v>
      </c>
      <c r="AL107" s="91" t="n">
        <f aca="false">IF($A107="",0,IF(SUMPRODUCT(ABS($F107:$AC107))&gt;0,1,0))</f>
        <v>0</v>
      </c>
    </row>
    <row r="108" customFormat="false" ht="15" hidden="false" customHeight="false" outlineLevel="0" collapsed="false">
      <c r="A108" s="68" t="str">
        <f aca="false">IF(COA_Mapping!$A109="","",COA_Mapping!$A109)</f>
        <v>Employee FBT Contribtution</v>
      </c>
      <c r="B108" s="68" t="str">
        <f aca="false">IF($A108="","",COA_Mapping!$C109)</f>
        <v>Other Income</v>
      </c>
      <c r="C108" s="68" t="str">
        <f aca="false">IF($A108="","",COA_Mapping!$E109)</f>
        <v>P&amp;L</v>
      </c>
      <c r="D108" s="68" t="str">
        <f aca="false">IF($A108="","",COA_Mapping!$D109)</f>
        <v>Unallocated</v>
      </c>
      <c r="E108" s="86" t="n">
        <f aca="false">IF($A108="",1,COA_Mapping!$F109)</f>
        <v>-1</v>
      </c>
      <c r="F108" s="87" t="n">
        <f aca="false">IF($A108="",0,SUMIF(GL_Data!$S$8:$S$5007,103001,GL_Data!$P$8:$P$5007))</f>
        <v>0</v>
      </c>
      <c r="G108" s="87" t="n">
        <f aca="false">IF($A108="",0,SUMIF(GL_Data!$S$8:$S$5007,103002,GL_Data!$P$8:$P$5007))</f>
        <v>0</v>
      </c>
      <c r="H108" s="87" t="n">
        <f aca="false">IF($A108="",0,SUMIF(GL_Data!$S$8:$S$5007,103003,GL_Data!$P$8:$P$5007))</f>
        <v>0</v>
      </c>
      <c r="I108" s="87" t="n">
        <f aca="false">IF($A108="",0,SUMIF(GL_Data!$S$8:$S$5007,103004,GL_Data!$P$8:$P$5007))</f>
        <v>0</v>
      </c>
      <c r="J108" s="87" t="n">
        <f aca="false">IF($A108="",0,SUMIF(GL_Data!$S$8:$S$5007,103005,GL_Data!$P$8:$P$5007))</f>
        <v>0</v>
      </c>
      <c r="K108" s="87" t="n">
        <f aca="false">IF($A108="",0,SUMIF(GL_Data!$S$8:$S$5007,103006,GL_Data!$P$8:$P$5007))</f>
        <v>0</v>
      </c>
      <c r="L108" s="87" t="n">
        <f aca="false">IF($A108="",0,SUMIF(GL_Data!$S$8:$S$5007,103007,GL_Data!$P$8:$P$5007))</f>
        <v>0</v>
      </c>
      <c r="M108" s="87" t="n">
        <f aca="false">IF($A108="",0,SUMIF(GL_Data!$S$8:$S$5007,103008,GL_Data!$P$8:$P$5007))</f>
        <v>0</v>
      </c>
      <c r="N108" s="87" t="n">
        <f aca="false">IF($A108="",0,SUMIF(GL_Data!$S$8:$S$5007,103009,GL_Data!$P$8:$P$5007))</f>
        <v>0</v>
      </c>
      <c r="O108" s="87" t="n">
        <f aca="false">IF($A108="",0,SUMIF(GL_Data!$S$8:$S$5007,103010,GL_Data!$P$8:$P$5007))</f>
        <v>0</v>
      </c>
      <c r="P108" s="87" t="n">
        <f aca="false">IF($A108="",0,SUMIF(GL_Data!$S$8:$S$5007,103011,GL_Data!$P$8:$P$5007))</f>
        <v>0</v>
      </c>
      <c r="Q108" s="87" t="n">
        <f aca="false">IF($A108="",0,SUMIF(GL_Data!$S$8:$S$5007,103012,GL_Data!$P$8:$P$5007))</f>
        <v>0</v>
      </c>
      <c r="R108" s="88" t="n">
        <f aca="false">IF($A108="",0,SUMIF(GL_Data!$S$8:$S$5007,103101,GL_Data!$P$8:$P$5007))</f>
        <v>0</v>
      </c>
      <c r="S108" s="88" t="n">
        <f aca="false">IF($A108="",0,SUMIF(GL_Data!$S$8:$S$5007,103102,GL_Data!$P$8:$P$5007))</f>
        <v>0</v>
      </c>
      <c r="T108" s="88" t="n">
        <f aca="false">IF($A108="",0,SUMIF(GL_Data!$S$8:$S$5007,103103,GL_Data!$P$8:$P$5007))</f>
        <v>0</v>
      </c>
      <c r="U108" s="88" t="n">
        <f aca="false">IF($A108="",0,SUMIF(GL_Data!$S$8:$S$5007,103104,GL_Data!$P$8:$P$5007))</f>
        <v>0</v>
      </c>
      <c r="V108" s="88" t="n">
        <f aca="false">IF($A108="",0,SUMIF(GL_Data!$S$8:$S$5007,103105,GL_Data!$P$8:$P$5007))</f>
        <v>0</v>
      </c>
      <c r="W108" s="88" t="n">
        <f aca="false">IF($A108="",0,SUMIF(GL_Data!$S$8:$S$5007,103106,GL_Data!$P$8:$P$5007))</f>
        <v>0</v>
      </c>
      <c r="X108" s="88" t="n">
        <f aca="false">IF($A108="",0,SUMIF(GL_Data!$S$8:$S$5007,103107,GL_Data!$P$8:$P$5007))</f>
        <v>0</v>
      </c>
      <c r="Y108" s="88" t="n">
        <f aca="false">IF($A108="",0,SUMIF(GL_Data!$S$8:$S$5007,103108,GL_Data!$P$8:$P$5007))</f>
        <v>0</v>
      </c>
      <c r="Z108" s="88" t="n">
        <f aca="false">IF($A108="",0,SUMIF(GL_Data!$S$8:$S$5007,103109,GL_Data!$P$8:$P$5007))</f>
        <v>0</v>
      </c>
      <c r="AA108" s="88" t="n">
        <f aca="false">IF($A108="",0,SUMIF(GL_Data!$S$8:$S$5007,103110,GL_Data!$P$8:$P$5007))</f>
        <v>0</v>
      </c>
      <c r="AB108" s="88" t="n">
        <f aca="false">IF($A108="",0,SUMIF(GL_Data!$S$8:$S$5007,103111,GL_Data!$P$8:$P$5007))</f>
        <v>0</v>
      </c>
      <c r="AC108" s="88" t="n">
        <f aca="false">IF($A108="",0,SUMIF(GL_Data!$S$8:$S$5007,103112,GL_Data!$P$8:$P$5007))</f>
        <v>0</v>
      </c>
      <c r="AD108" s="89" t="n">
        <f aca="false">IF($A108="",0,INDEX($F108:$AC108,12+Setup!$B$8))</f>
        <v>0</v>
      </c>
      <c r="AE108" s="90" t="n">
        <f aca="false">IF($A108="",0,INDEX($F108:$AC108,Setup!$B$8))</f>
        <v>0</v>
      </c>
      <c r="AF108" s="90" t="n">
        <f aca="false">IF($A108="",0,INDEX($F108:$AC108,11+Setup!$B$8))</f>
        <v>0</v>
      </c>
      <c r="AG108" s="90" t="n">
        <f aca="false">IF($A108="",0,AVERAGE(INDEX($F108:$AC108,9+Setup!$B$8):INDEX($F108:$AC108,11+Setup!$B$8)))</f>
        <v>0</v>
      </c>
      <c r="AH108" s="89" t="n">
        <f aca="false">IF($A108="",0,SUMPRODUCT(($R$3:$AC$3&lt;=Setup!$B$8)*$R108:$AC108))</f>
        <v>0</v>
      </c>
      <c r="AI108" s="90" t="n">
        <f aca="false">IF($A108="",0,SUMPRODUCT(($F$3:$Q$3&lt;=Setup!$B$8)*$F108:$Q108))</f>
        <v>0</v>
      </c>
      <c r="AJ108" s="90" t="n">
        <f aca="false">IF($A108="",0,SUM($F108:$Q108))</f>
        <v>0</v>
      </c>
      <c r="AK108" s="90" t="n">
        <f aca="false">IF($A108="",0,SUM($R108:$AC108))</f>
        <v>0</v>
      </c>
      <c r="AL108" s="91" t="n">
        <f aca="false">IF($A108="",0,IF(SUMPRODUCT(ABS($F108:$AC108))&gt;0,1,0))</f>
        <v>0</v>
      </c>
    </row>
    <row r="109" customFormat="false" ht="15" hidden="false" customHeight="false" outlineLevel="0" collapsed="false">
      <c r="A109" s="68" t="str">
        <f aca="false">IF(COA_Mapping!$A110="","",COA_Mapping!$A110)</f>
        <v>Gain on lease termination</v>
      </c>
      <c r="B109" s="68" t="str">
        <f aca="false">IF($A109="","",COA_Mapping!$C110)</f>
        <v>Other Income</v>
      </c>
      <c r="C109" s="68" t="str">
        <f aca="false">IF($A109="","",COA_Mapping!$E110)</f>
        <v>P&amp;L</v>
      </c>
      <c r="D109" s="68" t="str">
        <f aca="false">IF($A109="","",COA_Mapping!$D110)</f>
        <v>Unallocated</v>
      </c>
      <c r="E109" s="86" t="n">
        <f aca="false">IF($A109="",1,COA_Mapping!$F110)</f>
        <v>-1</v>
      </c>
      <c r="F109" s="87" t="n">
        <f aca="false">IF($A109="",0,SUMIF(GL_Data!$S$8:$S$5007,104001,GL_Data!$P$8:$P$5007))</f>
        <v>0</v>
      </c>
      <c r="G109" s="87" t="n">
        <f aca="false">IF($A109="",0,SUMIF(GL_Data!$S$8:$S$5007,104002,GL_Data!$P$8:$P$5007))</f>
        <v>0</v>
      </c>
      <c r="H109" s="87" t="n">
        <f aca="false">IF($A109="",0,SUMIF(GL_Data!$S$8:$S$5007,104003,GL_Data!$P$8:$P$5007))</f>
        <v>0</v>
      </c>
      <c r="I109" s="87" t="n">
        <f aca="false">IF($A109="",0,SUMIF(GL_Data!$S$8:$S$5007,104004,GL_Data!$P$8:$P$5007))</f>
        <v>0</v>
      </c>
      <c r="J109" s="87" t="n">
        <f aca="false">IF($A109="",0,SUMIF(GL_Data!$S$8:$S$5007,104005,GL_Data!$P$8:$P$5007))</f>
        <v>0</v>
      </c>
      <c r="K109" s="87" t="n">
        <f aca="false">IF($A109="",0,SUMIF(GL_Data!$S$8:$S$5007,104006,GL_Data!$P$8:$P$5007))</f>
        <v>0</v>
      </c>
      <c r="L109" s="87" t="n">
        <f aca="false">IF($A109="",0,SUMIF(GL_Data!$S$8:$S$5007,104007,GL_Data!$P$8:$P$5007))</f>
        <v>0</v>
      </c>
      <c r="M109" s="87" t="n">
        <f aca="false">IF($A109="",0,SUMIF(GL_Data!$S$8:$S$5007,104008,GL_Data!$P$8:$P$5007))</f>
        <v>0</v>
      </c>
      <c r="N109" s="87" t="n">
        <f aca="false">IF($A109="",0,SUMIF(GL_Data!$S$8:$S$5007,104009,GL_Data!$P$8:$P$5007))</f>
        <v>0</v>
      </c>
      <c r="O109" s="87" t="n">
        <f aca="false">IF($A109="",0,SUMIF(GL_Data!$S$8:$S$5007,104010,GL_Data!$P$8:$P$5007))</f>
        <v>0</v>
      </c>
      <c r="P109" s="87" t="n">
        <f aca="false">IF($A109="",0,SUMIF(GL_Data!$S$8:$S$5007,104011,GL_Data!$P$8:$P$5007))</f>
        <v>0</v>
      </c>
      <c r="Q109" s="87" t="n">
        <f aca="false">IF($A109="",0,SUMIF(GL_Data!$S$8:$S$5007,104012,GL_Data!$P$8:$P$5007))</f>
        <v>0</v>
      </c>
      <c r="R109" s="88" t="n">
        <f aca="false">IF($A109="",0,SUMIF(GL_Data!$S$8:$S$5007,104101,GL_Data!$P$8:$P$5007))</f>
        <v>0</v>
      </c>
      <c r="S109" s="88" t="n">
        <f aca="false">IF($A109="",0,SUMIF(GL_Data!$S$8:$S$5007,104102,GL_Data!$P$8:$P$5007))</f>
        <v>0</v>
      </c>
      <c r="T109" s="88" t="n">
        <f aca="false">IF($A109="",0,SUMIF(GL_Data!$S$8:$S$5007,104103,GL_Data!$P$8:$P$5007))</f>
        <v>0</v>
      </c>
      <c r="U109" s="88" t="n">
        <f aca="false">IF($A109="",0,SUMIF(GL_Data!$S$8:$S$5007,104104,GL_Data!$P$8:$P$5007))</f>
        <v>0</v>
      </c>
      <c r="V109" s="88" t="n">
        <f aca="false">IF($A109="",0,SUMIF(GL_Data!$S$8:$S$5007,104105,GL_Data!$P$8:$P$5007))</f>
        <v>0</v>
      </c>
      <c r="W109" s="88" t="n">
        <f aca="false">IF($A109="",0,SUMIF(GL_Data!$S$8:$S$5007,104106,GL_Data!$P$8:$P$5007))</f>
        <v>0</v>
      </c>
      <c r="X109" s="88" t="n">
        <f aca="false">IF($A109="",0,SUMIF(GL_Data!$S$8:$S$5007,104107,GL_Data!$P$8:$P$5007))</f>
        <v>0</v>
      </c>
      <c r="Y109" s="88" t="n">
        <f aca="false">IF($A109="",0,SUMIF(GL_Data!$S$8:$S$5007,104108,GL_Data!$P$8:$P$5007))</f>
        <v>0</v>
      </c>
      <c r="Z109" s="88" t="n">
        <f aca="false">IF($A109="",0,SUMIF(GL_Data!$S$8:$S$5007,104109,GL_Data!$P$8:$P$5007))</f>
        <v>0</v>
      </c>
      <c r="AA109" s="88" t="n">
        <f aca="false">IF($A109="",0,SUMIF(GL_Data!$S$8:$S$5007,104110,GL_Data!$P$8:$P$5007))</f>
        <v>0</v>
      </c>
      <c r="AB109" s="88" t="n">
        <f aca="false">IF($A109="",0,SUMIF(GL_Data!$S$8:$S$5007,104111,GL_Data!$P$8:$P$5007))</f>
        <v>0</v>
      </c>
      <c r="AC109" s="88" t="n">
        <f aca="false">IF($A109="",0,SUMIF(GL_Data!$S$8:$S$5007,104112,GL_Data!$P$8:$P$5007))</f>
        <v>0</v>
      </c>
      <c r="AD109" s="89" t="n">
        <f aca="false">IF($A109="",0,INDEX($F109:$AC109,12+Setup!$B$8))</f>
        <v>0</v>
      </c>
      <c r="AE109" s="90" t="n">
        <f aca="false">IF($A109="",0,INDEX($F109:$AC109,Setup!$B$8))</f>
        <v>0</v>
      </c>
      <c r="AF109" s="90" t="n">
        <f aca="false">IF($A109="",0,INDEX($F109:$AC109,11+Setup!$B$8))</f>
        <v>0</v>
      </c>
      <c r="AG109" s="90" t="n">
        <f aca="false">IF($A109="",0,AVERAGE(INDEX($F109:$AC109,9+Setup!$B$8):INDEX($F109:$AC109,11+Setup!$B$8)))</f>
        <v>0</v>
      </c>
      <c r="AH109" s="89" t="n">
        <f aca="false">IF($A109="",0,SUMPRODUCT(($R$3:$AC$3&lt;=Setup!$B$8)*$R109:$AC109))</f>
        <v>0</v>
      </c>
      <c r="AI109" s="90" t="n">
        <f aca="false">IF($A109="",0,SUMPRODUCT(($F$3:$Q$3&lt;=Setup!$B$8)*$F109:$Q109))</f>
        <v>0</v>
      </c>
      <c r="AJ109" s="90" t="n">
        <f aca="false">IF($A109="",0,SUM($F109:$Q109))</f>
        <v>0</v>
      </c>
      <c r="AK109" s="90" t="n">
        <f aca="false">IF($A109="",0,SUM($R109:$AC109))</f>
        <v>0</v>
      </c>
      <c r="AL109" s="91" t="n">
        <f aca="false">IF($A109="",0,IF(SUMPRODUCT(ABS($F109:$AC109))&gt;0,1,0))</f>
        <v>0</v>
      </c>
    </row>
    <row r="110" customFormat="false" ht="15" hidden="false" customHeight="false" outlineLevel="0" collapsed="false">
      <c r="A110" s="68" t="str">
        <f aca="false">IF(COA_Mapping!$A111="","",COA_Mapping!$A111)</f>
        <v>Income Other</v>
      </c>
      <c r="B110" s="68" t="str">
        <f aca="false">IF($A110="","",COA_Mapping!$C111)</f>
        <v>Other Income</v>
      </c>
      <c r="C110" s="68" t="str">
        <f aca="false">IF($A110="","",COA_Mapping!$E111)</f>
        <v>P&amp;L</v>
      </c>
      <c r="D110" s="68" t="str">
        <f aca="false">IF($A110="","",COA_Mapping!$D111)</f>
        <v>Unallocated</v>
      </c>
      <c r="E110" s="86" t="n">
        <f aca="false">IF($A110="",1,COA_Mapping!$F111)</f>
        <v>-1</v>
      </c>
      <c r="F110" s="87" t="n">
        <f aca="false">IF($A110="",0,SUMIF(GL_Data!$S$8:$S$5007,105001,GL_Data!$P$8:$P$5007))</f>
        <v>0</v>
      </c>
      <c r="G110" s="87" t="n">
        <f aca="false">IF($A110="",0,SUMIF(GL_Data!$S$8:$S$5007,105002,GL_Data!$P$8:$P$5007))</f>
        <v>0</v>
      </c>
      <c r="H110" s="87" t="n">
        <f aca="false">IF($A110="",0,SUMIF(GL_Data!$S$8:$S$5007,105003,GL_Data!$P$8:$P$5007))</f>
        <v>0</v>
      </c>
      <c r="I110" s="87" t="n">
        <f aca="false">IF($A110="",0,SUMIF(GL_Data!$S$8:$S$5007,105004,GL_Data!$P$8:$P$5007))</f>
        <v>0</v>
      </c>
      <c r="J110" s="87" t="n">
        <f aca="false">IF($A110="",0,SUMIF(GL_Data!$S$8:$S$5007,105005,GL_Data!$P$8:$P$5007))</f>
        <v>0</v>
      </c>
      <c r="K110" s="87" t="n">
        <f aca="false">IF($A110="",0,SUMIF(GL_Data!$S$8:$S$5007,105006,GL_Data!$P$8:$P$5007))</f>
        <v>0</v>
      </c>
      <c r="L110" s="87" t="n">
        <f aca="false">IF($A110="",0,SUMIF(GL_Data!$S$8:$S$5007,105007,GL_Data!$P$8:$P$5007))</f>
        <v>0</v>
      </c>
      <c r="M110" s="87" t="n">
        <f aca="false">IF($A110="",0,SUMIF(GL_Data!$S$8:$S$5007,105008,GL_Data!$P$8:$P$5007))</f>
        <v>0</v>
      </c>
      <c r="N110" s="87" t="n">
        <f aca="false">IF($A110="",0,SUMIF(GL_Data!$S$8:$S$5007,105009,GL_Data!$P$8:$P$5007))</f>
        <v>0</v>
      </c>
      <c r="O110" s="87" t="n">
        <f aca="false">IF($A110="",0,SUMIF(GL_Data!$S$8:$S$5007,105010,GL_Data!$P$8:$P$5007))</f>
        <v>0</v>
      </c>
      <c r="P110" s="87" t="n">
        <f aca="false">IF($A110="",0,SUMIF(GL_Data!$S$8:$S$5007,105011,GL_Data!$P$8:$P$5007))</f>
        <v>0</v>
      </c>
      <c r="Q110" s="87" t="n">
        <f aca="false">IF($A110="",0,SUMIF(GL_Data!$S$8:$S$5007,105012,GL_Data!$P$8:$P$5007))</f>
        <v>0</v>
      </c>
      <c r="R110" s="88" t="n">
        <f aca="false">IF($A110="",0,SUMIF(GL_Data!$S$8:$S$5007,105101,GL_Data!$P$8:$P$5007))</f>
        <v>0</v>
      </c>
      <c r="S110" s="88" t="n">
        <f aca="false">IF($A110="",0,SUMIF(GL_Data!$S$8:$S$5007,105102,GL_Data!$P$8:$P$5007))</f>
        <v>0</v>
      </c>
      <c r="T110" s="88" t="n">
        <f aca="false">IF($A110="",0,SUMIF(GL_Data!$S$8:$S$5007,105103,GL_Data!$P$8:$P$5007))</f>
        <v>0</v>
      </c>
      <c r="U110" s="88" t="n">
        <f aca="false">IF($A110="",0,SUMIF(GL_Data!$S$8:$S$5007,105104,GL_Data!$P$8:$P$5007))</f>
        <v>0</v>
      </c>
      <c r="V110" s="88" t="n">
        <f aca="false">IF($A110="",0,SUMIF(GL_Data!$S$8:$S$5007,105105,GL_Data!$P$8:$P$5007))</f>
        <v>0</v>
      </c>
      <c r="W110" s="88" t="n">
        <f aca="false">IF($A110="",0,SUMIF(GL_Data!$S$8:$S$5007,105106,GL_Data!$P$8:$P$5007))</f>
        <v>0</v>
      </c>
      <c r="X110" s="88" t="n">
        <f aca="false">IF($A110="",0,SUMIF(GL_Data!$S$8:$S$5007,105107,GL_Data!$P$8:$P$5007))</f>
        <v>0</v>
      </c>
      <c r="Y110" s="88" t="n">
        <f aca="false">IF($A110="",0,SUMIF(GL_Data!$S$8:$S$5007,105108,GL_Data!$P$8:$P$5007))</f>
        <v>0</v>
      </c>
      <c r="Z110" s="88" t="n">
        <f aca="false">IF($A110="",0,SUMIF(GL_Data!$S$8:$S$5007,105109,GL_Data!$P$8:$P$5007))</f>
        <v>0</v>
      </c>
      <c r="AA110" s="88" t="n">
        <f aca="false">IF($A110="",0,SUMIF(GL_Data!$S$8:$S$5007,105110,GL_Data!$P$8:$P$5007))</f>
        <v>0</v>
      </c>
      <c r="AB110" s="88" t="n">
        <f aca="false">IF($A110="",0,SUMIF(GL_Data!$S$8:$S$5007,105111,GL_Data!$P$8:$P$5007))</f>
        <v>0</v>
      </c>
      <c r="AC110" s="88" t="n">
        <f aca="false">IF($A110="",0,SUMIF(GL_Data!$S$8:$S$5007,105112,GL_Data!$P$8:$P$5007))</f>
        <v>0</v>
      </c>
      <c r="AD110" s="89" t="n">
        <f aca="false">IF($A110="",0,INDEX($F110:$AC110,12+Setup!$B$8))</f>
        <v>0</v>
      </c>
      <c r="AE110" s="90" t="n">
        <f aca="false">IF($A110="",0,INDEX($F110:$AC110,Setup!$B$8))</f>
        <v>0</v>
      </c>
      <c r="AF110" s="90" t="n">
        <f aca="false">IF($A110="",0,INDEX($F110:$AC110,11+Setup!$B$8))</f>
        <v>0</v>
      </c>
      <c r="AG110" s="90" t="n">
        <f aca="false">IF($A110="",0,AVERAGE(INDEX($F110:$AC110,9+Setup!$B$8):INDEX($F110:$AC110,11+Setup!$B$8)))</f>
        <v>0</v>
      </c>
      <c r="AH110" s="89" t="n">
        <f aca="false">IF($A110="",0,SUMPRODUCT(($R$3:$AC$3&lt;=Setup!$B$8)*$R110:$AC110))</f>
        <v>0</v>
      </c>
      <c r="AI110" s="90" t="n">
        <f aca="false">IF($A110="",0,SUMPRODUCT(($F$3:$Q$3&lt;=Setup!$B$8)*$F110:$Q110))</f>
        <v>0</v>
      </c>
      <c r="AJ110" s="90" t="n">
        <f aca="false">IF($A110="",0,SUM($F110:$Q110))</f>
        <v>0</v>
      </c>
      <c r="AK110" s="90" t="n">
        <f aca="false">IF($A110="",0,SUM($R110:$AC110))</f>
        <v>0</v>
      </c>
      <c r="AL110" s="91" t="n">
        <f aca="false">IF($A110="",0,IF(SUMPRODUCT(ABS($F110:$AC110))&gt;0,1,0))</f>
        <v>0</v>
      </c>
    </row>
    <row r="111" customFormat="false" ht="15" hidden="false" customHeight="false" outlineLevel="0" collapsed="false">
      <c r="A111" s="68" t="str">
        <f aca="false">IF(COA_Mapping!$A112="","",COA_Mapping!$A112)</f>
        <v>Interest Income</v>
      </c>
      <c r="B111" s="68" t="str">
        <f aca="false">IF($A111="","",COA_Mapping!$C112)</f>
        <v>Other Income</v>
      </c>
      <c r="C111" s="68" t="str">
        <f aca="false">IF($A111="","",COA_Mapping!$E112)</f>
        <v>P&amp;L</v>
      </c>
      <c r="D111" s="68" t="str">
        <f aca="false">IF($A111="","",COA_Mapping!$D112)</f>
        <v>Unallocated</v>
      </c>
      <c r="E111" s="86" t="n">
        <f aca="false">IF($A111="",1,COA_Mapping!$F112)</f>
        <v>-1</v>
      </c>
      <c r="F111" s="87" t="n">
        <f aca="false">IF($A111="",0,SUMIF(GL_Data!$S$8:$S$5007,106001,GL_Data!$P$8:$P$5007))</f>
        <v>0</v>
      </c>
      <c r="G111" s="87" t="n">
        <f aca="false">IF($A111="",0,SUMIF(GL_Data!$S$8:$S$5007,106002,GL_Data!$P$8:$P$5007))</f>
        <v>0</v>
      </c>
      <c r="H111" s="87" t="n">
        <f aca="false">IF($A111="",0,SUMIF(GL_Data!$S$8:$S$5007,106003,GL_Data!$P$8:$P$5007))</f>
        <v>0</v>
      </c>
      <c r="I111" s="87" t="n">
        <f aca="false">IF($A111="",0,SUMIF(GL_Data!$S$8:$S$5007,106004,GL_Data!$P$8:$P$5007))</f>
        <v>0</v>
      </c>
      <c r="J111" s="87" t="n">
        <f aca="false">IF($A111="",0,SUMIF(GL_Data!$S$8:$S$5007,106005,GL_Data!$P$8:$P$5007))</f>
        <v>0</v>
      </c>
      <c r="K111" s="87" t="n">
        <f aca="false">IF($A111="",0,SUMIF(GL_Data!$S$8:$S$5007,106006,GL_Data!$P$8:$P$5007))</f>
        <v>0</v>
      </c>
      <c r="L111" s="87" t="n">
        <f aca="false">IF($A111="",0,SUMIF(GL_Data!$S$8:$S$5007,106007,GL_Data!$P$8:$P$5007))</f>
        <v>0</v>
      </c>
      <c r="M111" s="87" t="n">
        <f aca="false">IF($A111="",0,SUMIF(GL_Data!$S$8:$S$5007,106008,GL_Data!$P$8:$P$5007))</f>
        <v>0</v>
      </c>
      <c r="N111" s="87" t="n">
        <f aca="false">IF($A111="",0,SUMIF(GL_Data!$S$8:$S$5007,106009,GL_Data!$P$8:$P$5007))</f>
        <v>0</v>
      </c>
      <c r="O111" s="87" t="n">
        <f aca="false">IF($A111="",0,SUMIF(GL_Data!$S$8:$S$5007,106010,GL_Data!$P$8:$P$5007))</f>
        <v>0</v>
      </c>
      <c r="P111" s="87" t="n">
        <f aca="false">IF($A111="",0,SUMIF(GL_Data!$S$8:$S$5007,106011,GL_Data!$P$8:$P$5007))</f>
        <v>0</v>
      </c>
      <c r="Q111" s="87" t="n">
        <f aca="false">IF($A111="",0,SUMIF(GL_Data!$S$8:$S$5007,106012,GL_Data!$P$8:$P$5007))</f>
        <v>0</v>
      </c>
      <c r="R111" s="88" t="n">
        <f aca="false">IF($A111="",0,SUMIF(GL_Data!$S$8:$S$5007,106101,GL_Data!$P$8:$P$5007))</f>
        <v>0</v>
      </c>
      <c r="S111" s="88" t="n">
        <f aca="false">IF($A111="",0,SUMIF(GL_Data!$S$8:$S$5007,106102,GL_Data!$P$8:$P$5007))</f>
        <v>0</v>
      </c>
      <c r="T111" s="88" t="n">
        <f aca="false">IF($A111="",0,SUMIF(GL_Data!$S$8:$S$5007,106103,GL_Data!$P$8:$P$5007))</f>
        <v>0</v>
      </c>
      <c r="U111" s="88" t="n">
        <f aca="false">IF($A111="",0,SUMIF(GL_Data!$S$8:$S$5007,106104,GL_Data!$P$8:$P$5007))</f>
        <v>0</v>
      </c>
      <c r="V111" s="88" t="n">
        <f aca="false">IF($A111="",0,SUMIF(GL_Data!$S$8:$S$5007,106105,GL_Data!$P$8:$P$5007))</f>
        <v>0</v>
      </c>
      <c r="W111" s="88" t="n">
        <f aca="false">IF($A111="",0,SUMIF(GL_Data!$S$8:$S$5007,106106,GL_Data!$P$8:$P$5007))</f>
        <v>0</v>
      </c>
      <c r="X111" s="88" t="n">
        <f aca="false">IF($A111="",0,SUMIF(GL_Data!$S$8:$S$5007,106107,GL_Data!$P$8:$P$5007))</f>
        <v>0</v>
      </c>
      <c r="Y111" s="88" t="n">
        <f aca="false">IF($A111="",0,SUMIF(GL_Data!$S$8:$S$5007,106108,GL_Data!$P$8:$P$5007))</f>
        <v>0</v>
      </c>
      <c r="Z111" s="88" t="n">
        <f aca="false">IF($A111="",0,SUMIF(GL_Data!$S$8:$S$5007,106109,GL_Data!$P$8:$P$5007))</f>
        <v>0</v>
      </c>
      <c r="AA111" s="88" t="n">
        <f aca="false">IF($A111="",0,SUMIF(GL_Data!$S$8:$S$5007,106110,GL_Data!$P$8:$P$5007))</f>
        <v>0</v>
      </c>
      <c r="AB111" s="88" t="n">
        <f aca="false">IF($A111="",0,SUMIF(GL_Data!$S$8:$S$5007,106111,GL_Data!$P$8:$P$5007))</f>
        <v>0</v>
      </c>
      <c r="AC111" s="88" t="n">
        <f aca="false">IF($A111="",0,SUMIF(GL_Data!$S$8:$S$5007,106112,GL_Data!$P$8:$P$5007))</f>
        <v>0</v>
      </c>
      <c r="AD111" s="89" t="n">
        <f aca="false">IF($A111="",0,INDEX($F111:$AC111,12+Setup!$B$8))</f>
        <v>0</v>
      </c>
      <c r="AE111" s="90" t="n">
        <f aca="false">IF($A111="",0,INDEX($F111:$AC111,Setup!$B$8))</f>
        <v>0</v>
      </c>
      <c r="AF111" s="90" t="n">
        <f aca="false">IF($A111="",0,INDEX($F111:$AC111,11+Setup!$B$8))</f>
        <v>0</v>
      </c>
      <c r="AG111" s="90" t="n">
        <f aca="false">IF($A111="",0,AVERAGE(INDEX($F111:$AC111,9+Setup!$B$8):INDEX($F111:$AC111,11+Setup!$B$8)))</f>
        <v>0</v>
      </c>
      <c r="AH111" s="89" t="n">
        <f aca="false">IF($A111="",0,SUMPRODUCT(($R$3:$AC$3&lt;=Setup!$B$8)*$R111:$AC111))</f>
        <v>0</v>
      </c>
      <c r="AI111" s="90" t="n">
        <f aca="false">IF($A111="",0,SUMPRODUCT(($F$3:$Q$3&lt;=Setup!$B$8)*$F111:$Q111))</f>
        <v>0</v>
      </c>
      <c r="AJ111" s="90" t="n">
        <f aca="false">IF($A111="",0,SUM($F111:$Q111))</f>
        <v>0</v>
      </c>
      <c r="AK111" s="90" t="n">
        <f aca="false">IF($A111="",0,SUM($R111:$AC111))</f>
        <v>0</v>
      </c>
      <c r="AL111" s="91" t="n">
        <f aca="false">IF($A111="",0,IF(SUMPRODUCT(ABS($F111:$AC111))&gt;0,1,0))</f>
        <v>0</v>
      </c>
    </row>
    <row r="112" customFormat="false" ht="15" hidden="false" customHeight="false" outlineLevel="0" collapsed="false">
      <c r="A112" s="68" t="str">
        <f aca="false">IF(COA_Mapping!$A113="","",COA_Mapping!$A113)</f>
        <v>Interest Received</v>
      </c>
      <c r="B112" s="68" t="str">
        <f aca="false">IF($A112="","",COA_Mapping!$C113)</f>
        <v>Other Income</v>
      </c>
      <c r="C112" s="68" t="str">
        <f aca="false">IF($A112="","",COA_Mapping!$E113)</f>
        <v>P&amp;L</v>
      </c>
      <c r="D112" s="68" t="str">
        <f aca="false">IF($A112="","",COA_Mapping!$D113)</f>
        <v>Unallocated</v>
      </c>
      <c r="E112" s="86" t="n">
        <f aca="false">IF($A112="",1,COA_Mapping!$F113)</f>
        <v>-1</v>
      </c>
      <c r="F112" s="87" t="n">
        <f aca="false">IF($A112="",0,SUMIF(GL_Data!$S$8:$S$5007,107001,GL_Data!$P$8:$P$5007))</f>
        <v>0</v>
      </c>
      <c r="G112" s="87" t="n">
        <f aca="false">IF($A112="",0,SUMIF(GL_Data!$S$8:$S$5007,107002,GL_Data!$P$8:$P$5007))</f>
        <v>0</v>
      </c>
      <c r="H112" s="87" t="n">
        <f aca="false">IF($A112="",0,SUMIF(GL_Data!$S$8:$S$5007,107003,GL_Data!$P$8:$P$5007))</f>
        <v>0</v>
      </c>
      <c r="I112" s="87" t="n">
        <f aca="false">IF($A112="",0,SUMIF(GL_Data!$S$8:$S$5007,107004,GL_Data!$P$8:$P$5007))</f>
        <v>0</v>
      </c>
      <c r="J112" s="87" t="n">
        <f aca="false">IF($A112="",0,SUMIF(GL_Data!$S$8:$S$5007,107005,GL_Data!$P$8:$P$5007))</f>
        <v>0</v>
      </c>
      <c r="K112" s="87" t="n">
        <f aca="false">IF($A112="",0,SUMIF(GL_Data!$S$8:$S$5007,107006,GL_Data!$P$8:$P$5007))</f>
        <v>0</v>
      </c>
      <c r="L112" s="87" t="n">
        <f aca="false">IF($A112="",0,SUMIF(GL_Data!$S$8:$S$5007,107007,GL_Data!$P$8:$P$5007))</f>
        <v>0</v>
      </c>
      <c r="M112" s="87" t="n">
        <f aca="false">IF($A112="",0,SUMIF(GL_Data!$S$8:$S$5007,107008,GL_Data!$P$8:$P$5007))</f>
        <v>0</v>
      </c>
      <c r="N112" s="87" t="n">
        <f aca="false">IF($A112="",0,SUMIF(GL_Data!$S$8:$S$5007,107009,GL_Data!$P$8:$P$5007))</f>
        <v>0</v>
      </c>
      <c r="O112" s="87" t="n">
        <f aca="false">IF($A112="",0,SUMIF(GL_Data!$S$8:$S$5007,107010,GL_Data!$P$8:$P$5007))</f>
        <v>0</v>
      </c>
      <c r="P112" s="87" t="n">
        <f aca="false">IF($A112="",0,SUMIF(GL_Data!$S$8:$S$5007,107011,GL_Data!$P$8:$P$5007))</f>
        <v>0</v>
      </c>
      <c r="Q112" s="87" t="n">
        <f aca="false">IF($A112="",0,SUMIF(GL_Data!$S$8:$S$5007,107012,GL_Data!$P$8:$P$5007))</f>
        <v>0</v>
      </c>
      <c r="R112" s="88" t="n">
        <f aca="false">IF($A112="",0,SUMIF(GL_Data!$S$8:$S$5007,107101,GL_Data!$P$8:$P$5007))</f>
        <v>0</v>
      </c>
      <c r="S112" s="88" t="n">
        <f aca="false">IF($A112="",0,SUMIF(GL_Data!$S$8:$S$5007,107102,GL_Data!$P$8:$P$5007))</f>
        <v>0</v>
      </c>
      <c r="T112" s="88" t="n">
        <f aca="false">IF($A112="",0,SUMIF(GL_Data!$S$8:$S$5007,107103,GL_Data!$P$8:$P$5007))</f>
        <v>0</v>
      </c>
      <c r="U112" s="88" t="n">
        <f aca="false">IF($A112="",0,SUMIF(GL_Data!$S$8:$S$5007,107104,GL_Data!$P$8:$P$5007))</f>
        <v>0</v>
      </c>
      <c r="V112" s="88" t="n">
        <f aca="false">IF($A112="",0,SUMIF(GL_Data!$S$8:$S$5007,107105,GL_Data!$P$8:$P$5007))</f>
        <v>0</v>
      </c>
      <c r="W112" s="88" t="n">
        <f aca="false">IF($A112="",0,SUMIF(GL_Data!$S$8:$S$5007,107106,GL_Data!$P$8:$P$5007))</f>
        <v>0</v>
      </c>
      <c r="X112" s="88" t="n">
        <f aca="false">IF($A112="",0,SUMIF(GL_Data!$S$8:$S$5007,107107,GL_Data!$P$8:$P$5007))</f>
        <v>0</v>
      </c>
      <c r="Y112" s="88" t="n">
        <f aca="false">IF($A112="",0,SUMIF(GL_Data!$S$8:$S$5007,107108,GL_Data!$P$8:$P$5007))</f>
        <v>0</v>
      </c>
      <c r="Z112" s="88" t="n">
        <f aca="false">IF($A112="",0,SUMIF(GL_Data!$S$8:$S$5007,107109,GL_Data!$P$8:$P$5007))</f>
        <v>0</v>
      </c>
      <c r="AA112" s="88" t="n">
        <f aca="false">IF($A112="",0,SUMIF(GL_Data!$S$8:$S$5007,107110,GL_Data!$P$8:$P$5007))</f>
        <v>0</v>
      </c>
      <c r="AB112" s="88" t="n">
        <f aca="false">IF($A112="",0,SUMIF(GL_Data!$S$8:$S$5007,107111,GL_Data!$P$8:$P$5007))</f>
        <v>0</v>
      </c>
      <c r="AC112" s="88" t="n">
        <f aca="false">IF($A112="",0,SUMIF(GL_Data!$S$8:$S$5007,107112,GL_Data!$P$8:$P$5007))</f>
        <v>0</v>
      </c>
      <c r="AD112" s="89" t="n">
        <f aca="false">IF($A112="",0,INDEX($F112:$AC112,12+Setup!$B$8))</f>
        <v>0</v>
      </c>
      <c r="AE112" s="90" t="n">
        <f aca="false">IF($A112="",0,INDEX($F112:$AC112,Setup!$B$8))</f>
        <v>0</v>
      </c>
      <c r="AF112" s="90" t="n">
        <f aca="false">IF($A112="",0,INDEX($F112:$AC112,11+Setup!$B$8))</f>
        <v>0</v>
      </c>
      <c r="AG112" s="90" t="n">
        <f aca="false">IF($A112="",0,AVERAGE(INDEX($F112:$AC112,9+Setup!$B$8):INDEX($F112:$AC112,11+Setup!$B$8)))</f>
        <v>0</v>
      </c>
      <c r="AH112" s="89" t="n">
        <f aca="false">IF($A112="",0,SUMPRODUCT(($R$3:$AC$3&lt;=Setup!$B$8)*$R112:$AC112))</f>
        <v>0</v>
      </c>
      <c r="AI112" s="90" t="n">
        <f aca="false">IF($A112="",0,SUMPRODUCT(($F$3:$Q$3&lt;=Setup!$B$8)*$F112:$Q112))</f>
        <v>0</v>
      </c>
      <c r="AJ112" s="90" t="n">
        <f aca="false">IF($A112="",0,SUM($F112:$Q112))</f>
        <v>0</v>
      </c>
      <c r="AK112" s="90" t="n">
        <f aca="false">IF($A112="",0,SUM($R112:$AC112))</f>
        <v>0</v>
      </c>
      <c r="AL112" s="91" t="n">
        <f aca="false">IF($A112="",0,IF(SUMPRODUCT(ABS($F112:$AC112))&gt;0,1,0))</f>
        <v>0</v>
      </c>
    </row>
    <row r="113" customFormat="false" ht="15" hidden="false" customHeight="false" outlineLevel="0" collapsed="false">
      <c r="A113" s="68" t="str">
        <f aca="false">IF(COA_Mapping!$A114="","",COA_Mapping!$A114)</f>
        <v>JobKeeper Subsidy</v>
      </c>
      <c r="B113" s="68" t="str">
        <f aca="false">IF($A113="","",COA_Mapping!$C114)</f>
        <v>Other Income</v>
      </c>
      <c r="C113" s="68" t="str">
        <f aca="false">IF($A113="","",COA_Mapping!$E114)</f>
        <v>P&amp;L</v>
      </c>
      <c r="D113" s="68" t="str">
        <f aca="false">IF($A113="","",COA_Mapping!$D114)</f>
        <v>Unallocated</v>
      </c>
      <c r="E113" s="86" t="n">
        <f aca="false">IF($A113="",1,COA_Mapping!$F114)</f>
        <v>-1</v>
      </c>
      <c r="F113" s="87" t="n">
        <f aca="false">IF($A113="",0,SUMIF(GL_Data!$S$8:$S$5007,108001,GL_Data!$P$8:$P$5007))</f>
        <v>0</v>
      </c>
      <c r="G113" s="87" t="n">
        <f aca="false">IF($A113="",0,SUMIF(GL_Data!$S$8:$S$5007,108002,GL_Data!$P$8:$P$5007))</f>
        <v>0</v>
      </c>
      <c r="H113" s="87" t="n">
        <f aca="false">IF($A113="",0,SUMIF(GL_Data!$S$8:$S$5007,108003,GL_Data!$P$8:$P$5007))</f>
        <v>0</v>
      </c>
      <c r="I113" s="87" t="n">
        <f aca="false">IF($A113="",0,SUMIF(GL_Data!$S$8:$S$5007,108004,GL_Data!$P$8:$P$5007))</f>
        <v>0</v>
      </c>
      <c r="J113" s="87" t="n">
        <f aca="false">IF($A113="",0,SUMIF(GL_Data!$S$8:$S$5007,108005,GL_Data!$P$8:$P$5007))</f>
        <v>0</v>
      </c>
      <c r="K113" s="87" t="n">
        <f aca="false">IF($A113="",0,SUMIF(GL_Data!$S$8:$S$5007,108006,GL_Data!$P$8:$P$5007))</f>
        <v>0</v>
      </c>
      <c r="L113" s="87" t="n">
        <f aca="false">IF($A113="",0,SUMIF(GL_Data!$S$8:$S$5007,108007,GL_Data!$P$8:$P$5007))</f>
        <v>0</v>
      </c>
      <c r="M113" s="87" t="n">
        <f aca="false">IF($A113="",0,SUMIF(GL_Data!$S$8:$S$5007,108008,GL_Data!$P$8:$P$5007))</f>
        <v>0</v>
      </c>
      <c r="N113" s="87" t="n">
        <f aca="false">IF($A113="",0,SUMIF(GL_Data!$S$8:$S$5007,108009,GL_Data!$P$8:$P$5007))</f>
        <v>0</v>
      </c>
      <c r="O113" s="87" t="n">
        <f aca="false">IF($A113="",0,SUMIF(GL_Data!$S$8:$S$5007,108010,GL_Data!$P$8:$P$5007))</f>
        <v>0</v>
      </c>
      <c r="P113" s="87" t="n">
        <f aca="false">IF($A113="",0,SUMIF(GL_Data!$S$8:$S$5007,108011,GL_Data!$P$8:$P$5007))</f>
        <v>0</v>
      </c>
      <c r="Q113" s="87" t="n">
        <f aca="false">IF($A113="",0,SUMIF(GL_Data!$S$8:$S$5007,108012,GL_Data!$P$8:$P$5007))</f>
        <v>0</v>
      </c>
      <c r="R113" s="88" t="n">
        <f aca="false">IF($A113="",0,SUMIF(GL_Data!$S$8:$S$5007,108101,GL_Data!$P$8:$P$5007))</f>
        <v>0</v>
      </c>
      <c r="S113" s="88" t="n">
        <f aca="false">IF($A113="",0,SUMIF(GL_Data!$S$8:$S$5007,108102,GL_Data!$P$8:$P$5007))</f>
        <v>0</v>
      </c>
      <c r="T113" s="88" t="n">
        <f aca="false">IF($A113="",0,SUMIF(GL_Data!$S$8:$S$5007,108103,GL_Data!$P$8:$P$5007))</f>
        <v>0</v>
      </c>
      <c r="U113" s="88" t="n">
        <f aca="false">IF($A113="",0,SUMIF(GL_Data!$S$8:$S$5007,108104,GL_Data!$P$8:$P$5007))</f>
        <v>0</v>
      </c>
      <c r="V113" s="88" t="n">
        <f aca="false">IF($A113="",0,SUMIF(GL_Data!$S$8:$S$5007,108105,GL_Data!$P$8:$P$5007))</f>
        <v>0</v>
      </c>
      <c r="W113" s="88" t="n">
        <f aca="false">IF($A113="",0,SUMIF(GL_Data!$S$8:$S$5007,108106,GL_Data!$P$8:$P$5007))</f>
        <v>0</v>
      </c>
      <c r="X113" s="88" t="n">
        <f aca="false">IF($A113="",0,SUMIF(GL_Data!$S$8:$S$5007,108107,GL_Data!$P$8:$P$5007))</f>
        <v>0</v>
      </c>
      <c r="Y113" s="88" t="n">
        <f aca="false">IF($A113="",0,SUMIF(GL_Data!$S$8:$S$5007,108108,GL_Data!$P$8:$P$5007))</f>
        <v>0</v>
      </c>
      <c r="Z113" s="88" t="n">
        <f aca="false">IF($A113="",0,SUMIF(GL_Data!$S$8:$S$5007,108109,GL_Data!$P$8:$P$5007))</f>
        <v>0</v>
      </c>
      <c r="AA113" s="88" t="n">
        <f aca="false">IF($A113="",0,SUMIF(GL_Data!$S$8:$S$5007,108110,GL_Data!$P$8:$P$5007))</f>
        <v>0</v>
      </c>
      <c r="AB113" s="88" t="n">
        <f aca="false">IF($A113="",0,SUMIF(GL_Data!$S$8:$S$5007,108111,GL_Data!$P$8:$P$5007))</f>
        <v>0</v>
      </c>
      <c r="AC113" s="88" t="n">
        <f aca="false">IF($A113="",0,SUMIF(GL_Data!$S$8:$S$5007,108112,GL_Data!$P$8:$P$5007))</f>
        <v>0</v>
      </c>
      <c r="AD113" s="89" t="n">
        <f aca="false">IF($A113="",0,INDEX($F113:$AC113,12+Setup!$B$8))</f>
        <v>0</v>
      </c>
      <c r="AE113" s="90" t="n">
        <f aca="false">IF($A113="",0,INDEX($F113:$AC113,Setup!$B$8))</f>
        <v>0</v>
      </c>
      <c r="AF113" s="90" t="n">
        <f aca="false">IF($A113="",0,INDEX($F113:$AC113,11+Setup!$B$8))</f>
        <v>0</v>
      </c>
      <c r="AG113" s="90" t="n">
        <f aca="false">IF($A113="",0,AVERAGE(INDEX($F113:$AC113,9+Setup!$B$8):INDEX($F113:$AC113,11+Setup!$B$8)))</f>
        <v>0</v>
      </c>
      <c r="AH113" s="89" t="n">
        <f aca="false">IF($A113="",0,SUMPRODUCT(($R$3:$AC$3&lt;=Setup!$B$8)*$R113:$AC113))</f>
        <v>0</v>
      </c>
      <c r="AI113" s="90" t="n">
        <f aca="false">IF($A113="",0,SUMPRODUCT(($F$3:$Q$3&lt;=Setup!$B$8)*$F113:$Q113))</f>
        <v>0</v>
      </c>
      <c r="AJ113" s="90" t="n">
        <f aca="false">IF($A113="",0,SUM($F113:$Q113))</f>
        <v>0</v>
      </c>
      <c r="AK113" s="90" t="n">
        <f aca="false">IF($A113="",0,SUM($R113:$AC113))</f>
        <v>0</v>
      </c>
      <c r="AL113" s="91" t="n">
        <f aca="false">IF($A113="",0,IF(SUMPRODUCT(ABS($F113:$AC113))&gt;0,1,0))</f>
        <v>0</v>
      </c>
    </row>
    <row r="114" customFormat="false" ht="15" hidden="false" customHeight="false" outlineLevel="0" collapsed="false">
      <c r="A114" s="68" t="str">
        <f aca="false">IF(COA_Mapping!$A115="","",COA_Mapping!$A115)</f>
        <v>JobSaver Subsidy</v>
      </c>
      <c r="B114" s="68" t="str">
        <f aca="false">IF($A114="","",COA_Mapping!$C115)</f>
        <v>Other Income</v>
      </c>
      <c r="C114" s="68" t="str">
        <f aca="false">IF($A114="","",COA_Mapping!$E115)</f>
        <v>P&amp;L</v>
      </c>
      <c r="D114" s="68" t="str">
        <f aca="false">IF($A114="","",COA_Mapping!$D115)</f>
        <v>Unallocated</v>
      </c>
      <c r="E114" s="86" t="n">
        <f aca="false">IF($A114="",1,COA_Mapping!$F115)</f>
        <v>-1</v>
      </c>
      <c r="F114" s="87" t="n">
        <f aca="false">IF($A114="",0,SUMIF(GL_Data!$S$8:$S$5007,109001,GL_Data!$P$8:$P$5007))</f>
        <v>0</v>
      </c>
      <c r="G114" s="87" t="n">
        <f aca="false">IF($A114="",0,SUMIF(GL_Data!$S$8:$S$5007,109002,GL_Data!$P$8:$P$5007))</f>
        <v>0</v>
      </c>
      <c r="H114" s="87" t="n">
        <f aca="false">IF($A114="",0,SUMIF(GL_Data!$S$8:$S$5007,109003,GL_Data!$P$8:$P$5007))</f>
        <v>0</v>
      </c>
      <c r="I114" s="87" t="n">
        <f aca="false">IF($A114="",0,SUMIF(GL_Data!$S$8:$S$5007,109004,GL_Data!$P$8:$P$5007))</f>
        <v>0</v>
      </c>
      <c r="J114" s="87" t="n">
        <f aca="false">IF($A114="",0,SUMIF(GL_Data!$S$8:$S$5007,109005,GL_Data!$P$8:$P$5007))</f>
        <v>0</v>
      </c>
      <c r="K114" s="87" t="n">
        <f aca="false">IF($A114="",0,SUMIF(GL_Data!$S$8:$S$5007,109006,GL_Data!$P$8:$P$5007))</f>
        <v>0</v>
      </c>
      <c r="L114" s="87" t="n">
        <f aca="false">IF($A114="",0,SUMIF(GL_Data!$S$8:$S$5007,109007,GL_Data!$P$8:$P$5007))</f>
        <v>0</v>
      </c>
      <c r="M114" s="87" t="n">
        <f aca="false">IF($A114="",0,SUMIF(GL_Data!$S$8:$S$5007,109008,GL_Data!$P$8:$P$5007))</f>
        <v>0</v>
      </c>
      <c r="N114" s="87" t="n">
        <f aca="false">IF($A114="",0,SUMIF(GL_Data!$S$8:$S$5007,109009,GL_Data!$P$8:$P$5007))</f>
        <v>0</v>
      </c>
      <c r="O114" s="87" t="n">
        <f aca="false">IF($A114="",0,SUMIF(GL_Data!$S$8:$S$5007,109010,GL_Data!$P$8:$P$5007))</f>
        <v>0</v>
      </c>
      <c r="P114" s="87" t="n">
        <f aca="false">IF($A114="",0,SUMIF(GL_Data!$S$8:$S$5007,109011,GL_Data!$P$8:$P$5007))</f>
        <v>0</v>
      </c>
      <c r="Q114" s="87" t="n">
        <f aca="false">IF($A114="",0,SUMIF(GL_Data!$S$8:$S$5007,109012,GL_Data!$P$8:$P$5007))</f>
        <v>0</v>
      </c>
      <c r="R114" s="88" t="n">
        <f aca="false">IF($A114="",0,SUMIF(GL_Data!$S$8:$S$5007,109101,GL_Data!$P$8:$P$5007))</f>
        <v>0</v>
      </c>
      <c r="S114" s="88" t="n">
        <f aca="false">IF($A114="",0,SUMIF(GL_Data!$S$8:$S$5007,109102,GL_Data!$P$8:$P$5007))</f>
        <v>0</v>
      </c>
      <c r="T114" s="88" t="n">
        <f aca="false">IF($A114="",0,SUMIF(GL_Data!$S$8:$S$5007,109103,GL_Data!$P$8:$P$5007))</f>
        <v>0</v>
      </c>
      <c r="U114" s="88" t="n">
        <f aca="false">IF($A114="",0,SUMIF(GL_Data!$S$8:$S$5007,109104,GL_Data!$P$8:$P$5007))</f>
        <v>0</v>
      </c>
      <c r="V114" s="88" t="n">
        <f aca="false">IF($A114="",0,SUMIF(GL_Data!$S$8:$S$5007,109105,GL_Data!$P$8:$P$5007))</f>
        <v>0</v>
      </c>
      <c r="W114" s="88" t="n">
        <f aca="false">IF($A114="",0,SUMIF(GL_Data!$S$8:$S$5007,109106,GL_Data!$P$8:$P$5007))</f>
        <v>0</v>
      </c>
      <c r="X114" s="88" t="n">
        <f aca="false">IF($A114="",0,SUMIF(GL_Data!$S$8:$S$5007,109107,GL_Data!$P$8:$P$5007))</f>
        <v>0</v>
      </c>
      <c r="Y114" s="88" t="n">
        <f aca="false">IF($A114="",0,SUMIF(GL_Data!$S$8:$S$5007,109108,GL_Data!$P$8:$P$5007))</f>
        <v>0</v>
      </c>
      <c r="Z114" s="88" t="n">
        <f aca="false">IF($A114="",0,SUMIF(GL_Data!$S$8:$S$5007,109109,GL_Data!$P$8:$P$5007))</f>
        <v>0</v>
      </c>
      <c r="AA114" s="88" t="n">
        <f aca="false">IF($A114="",0,SUMIF(GL_Data!$S$8:$S$5007,109110,GL_Data!$P$8:$P$5007))</f>
        <v>0</v>
      </c>
      <c r="AB114" s="88" t="n">
        <f aca="false">IF($A114="",0,SUMIF(GL_Data!$S$8:$S$5007,109111,GL_Data!$P$8:$P$5007))</f>
        <v>0</v>
      </c>
      <c r="AC114" s="88" t="n">
        <f aca="false">IF($A114="",0,SUMIF(GL_Data!$S$8:$S$5007,109112,GL_Data!$P$8:$P$5007))</f>
        <v>0</v>
      </c>
      <c r="AD114" s="89" t="n">
        <f aca="false">IF($A114="",0,INDEX($F114:$AC114,12+Setup!$B$8))</f>
        <v>0</v>
      </c>
      <c r="AE114" s="90" t="n">
        <f aca="false">IF($A114="",0,INDEX($F114:$AC114,Setup!$B$8))</f>
        <v>0</v>
      </c>
      <c r="AF114" s="90" t="n">
        <f aca="false">IF($A114="",0,INDEX($F114:$AC114,11+Setup!$B$8))</f>
        <v>0</v>
      </c>
      <c r="AG114" s="90" t="n">
        <f aca="false">IF($A114="",0,AVERAGE(INDEX($F114:$AC114,9+Setup!$B$8):INDEX($F114:$AC114,11+Setup!$B$8)))</f>
        <v>0</v>
      </c>
      <c r="AH114" s="89" t="n">
        <f aca="false">IF($A114="",0,SUMPRODUCT(($R$3:$AC$3&lt;=Setup!$B$8)*$R114:$AC114))</f>
        <v>0</v>
      </c>
      <c r="AI114" s="90" t="n">
        <f aca="false">IF($A114="",0,SUMPRODUCT(($F$3:$Q$3&lt;=Setup!$B$8)*$F114:$Q114))</f>
        <v>0</v>
      </c>
      <c r="AJ114" s="90" t="n">
        <f aca="false">IF($A114="",0,SUM($F114:$Q114))</f>
        <v>0</v>
      </c>
      <c r="AK114" s="90" t="n">
        <f aca="false">IF($A114="",0,SUM($R114:$AC114))</f>
        <v>0</v>
      </c>
      <c r="AL114" s="91" t="n">
        <f aca="false">IF($A114="",0,IF(SUMPRODUCT(ABS($F114:$AC114))&gt;0,1,0))</f>
        <v>0</v>
      </c>
    </row>
    <row r="115" customFormat="false" ht="15" hidden="false" customHeight="false" outlineLevel="0" collapsed="false">
      <c r="A115" s="68" t="str">
        <f aca="false">IF(COA_Mapping!$A116="","",COA_Mapping!$A116)</f>
        <v>Rental Income</v>
      </c>
      <c r="B115" s="68" t="str">
        <f aca="false">IF($A115="","",COA_Mapping!$C116)</f>
        <v>Other Income</v>
      </c>
      <c r="C115" s="68" t="str">
        <f aca="false">IF($A115="","",COA_Mapping!$E116)</f>
        <v>P&amp;L</v>
      </c>
      <c r="D115" s="68" t="str">
        <f aca="false">IF($A115="","",COA_Mapping!$D116)</f>
        <v>Unallocated</v>
      </c>
      <c r="E115" s="86" t="n">
        <f aca="false">IF($A115="",1,COA_Mapping!$F116)</f>
        <v>-1</v>
      </c>
      <c r="F115" s="87" t="n">
        <f aca="false">IF($A115="",0,SUMIF(GL_Data!$S$8:$S$5007,110001,GL_Data!$P$8:$P$5007))</f>
        <v>0</v>
      </c>
      <c r="G115" s="87" t="n">
        <f aca="false">IF($A115="",0,SUMIF(GL_Data!$S$8:$S$5007,110002,GL_Data!$P$8:$P$5007))</f>
        <v>0</v>
      </c>
      <c r="H115" s="87" t="n">
        <f aca="false">IF($A115="",0,SUMIF(GL_Data!$S$8:$S$5007,110003,GL_Data!$P$8:$P$5007))</f>
        <v>0</v>
      </c>
      <c r="I115" s="87" t="n">
        <f aca="false">IF($A115="",0,SUMIF(GL_Data!$S$8:$S$5007,110004,GL_Data!$P$8:$P$5007))</f>
        <v>0</v>
      </c>
      <c r="J115" s="87" t="n">
        <f aca="false">IF($A115="",0,SUMIF(GL_Data!$S$8:$S$5007,110005,GL_Data!$P$8:$P$5007))</f>
        <v>0</v>
      </c>
      <c r="K115" s="87" t="n">
        <f aca="false">IF($A115="",0,SUMIF(GL_Data!$S$8:$S$5007,110006,GL_Data!$P$8:$P$5007))</f>
        <v>0</v>
      </c>
      <c r="L115" s="87" t="n">
        <f aca="false">IF($A115="",0,SUMIF(GL_Data!$S$8:$S$5007,110007,GL_Data!$P$8:$P$5007))</f>
        <v>0</v>
      </c>
      <c r="M115" s="87" t="n">
        <f aca="false">IF($A115="",0,SUMIF(GL_Data!$S$8:$S$5007,110008,GL_Data!$P$8:$P$5007))</f>
        <v>0</v>
      </c>
      <c r="N115" s="87" t="n">
        <f aca="false">IF($A115="",0,SUMIF(GL_Data!$S$8:$S$5007,110009,GL_Data!$P$8:$P$5007))</f>
        <v>0</v>
      </c>
      <c r="O115" s="87" t="n">
        <f aca="false">IF($A115="",0,SUMIF(GL_Data!$S$8:$S$5007,110010,GL_Data!$P$8:$P$5007))</f>
        <v>0</v>
      </c>
      <c r="P115" s="87" t="n">
        <f aca="false">IF($A115="",0,SUMIF(GL_Data!$S$8:$S$5007,110011,GL_Data!$P$8:$P$5007))</f>
        <v>0</v>
      </c>
      <c r="Q115" s="87" t="n">
        <f aca="false">IF($A115="",0,SUMIF(GL_Data!$S$8:$S$5007,110012,GL_Data!$P$8:$P$5007))</f>
        <v>0</v>
      </c>
      <c r="R115" s="88" t="n">
        <f aca="false">IF($A115="",0,SUMIF(GL_Data!$S$8:$S$5007,110101,GL_Data!$P$8:$P$5007))</f>
        <v>0</v>
      </c>
      <c r="S115" s="88" t="n">
        <f aca="false">IF($A115="",0,SUMIF(GL_Data!$S$8:$S$5007,110102,GL_Data!$P$8:$P$5007))</f>
        <v>0</v>
      </c>
      <c r="T115" s="88" t="n">
        <f aca="false">IF($A115="",0,SUMIF(GL_Data!$S$8:$S$5007,110103,GL_Data!$P$8:$P$5007))</f>
        <v>0</v>
      </c>
      <c r="U115" s="88" t="n">
        <f aca="false">IF($A115="",0,SUMIF(GL_Data!$S$8:$S$5007,110104,GL_Data!$P$8:$P$5007))</f>
        <v>0</v>
      </c>
      <c r="V115" s="88" t="n">
        <f aca="false">IF($A115="",0,SUMIF(GL_Data!$S$8:$S$5007,110105,GL_Data!$P$8:$P$5007))</f>
        <v>0</v>
      </c>
      <c r="W115" s="88" t="n">
        <f aca="false">IF($A115="",0,SUMIF(GL_Data!$S$8:$S$5007,110106,GL_Data!$P$8:$P$5007))</f>
        <v>0</v>
      </c>
      <c r="X115" s="88" t="n">
        <f aca="false">IF($A115="",0,SUMIF(GL_Data!$S$8:$S$5007,110107,GL_Data!$P$8:$P$5007))</f>
        <v>0</v>
      </c>
      <c r="Y115" s="88" t="n">
        <f aca="false">IF($A115="",0,SUMIF(GL_Data!$S$8:$S$5007,110108,GL_Data!$P$8:$P$5007))</f>
        <v>0</v>
      </c>
      <c r="Z115" s="88" t="n">
        <f aca="false">IF($A115="",0,SUMIF(GL_Data!$S$8:$S$5007,110109,GL_Data!$P$8:$P$5007))</f>
        <v>0</v>
      </c>
      <c r="AA115" s="88" t="n">
        <f aca="false">IF($A115="",0,SUMIF(GL_Data!$S$8:$S$5007,110110,GL_Data!$P$8:$P$5007))</f>
        <v>0</v>
      </c>
      <c r="AB115" s="88" t="n">
        <f aca="false">IF($A115="",0,SUMIF(GL_Data!$S$8:$S$5007,110111,GL_Data!$P$8:$P$5007))</f>
        <v>0</v>
      </c>
      <c r="AC115" s="88" t="n">
        <f aca="false">IF($A115="",0,SUMIF(GL_Data!$S$8:$S$5007,110112,GL_Data!$P$8:$P$5007))</f>
        <v>0</v>
      </c>
      <c r="AD115" s="89" t="n">
        <f aca="false">IF($A115="",0,INDEX($F115:$AC115,12+Setup!$B$8))</f>
        <v>0</v>
      </c>
      <c r="AE115" s="90" t="n">
        <f aca="false">IF($A115="",0,INDEX($F115:$AC115,Setup!$B$8))</f>
        <v>0</v>
      </c>
      <c r="AF115" s="90" t="n">
        <f aca="false">IF($A115="",0,INDEX($F115:$AC115,11+Setup!$B$8))</f>
        <v>0</v>
      </c>
      <c r="AG115" s="90" t="n">
        <f aca="false">IF($A115="",0,AVERAGE(INDEX($F115:$AC115,9+Setup!$B$8):INDEX($F115:$AC115,11+Setup!$B$8)))</f>
        <v>0</v>
      </c>
      <c r="AH115" s="89" t="n">
        <f aca="false">IF($A115="",0,SUMPRODUCT(($R$3:$AC$3&lt;=Setup!$B$8)*$R115:$AC115))</f>
        <v>0</v>
      </c>
      <c r="AI115" s="90" t="n">
        <f aca="false">IF($A115="",0,SUMPRODUCT(($F$3:$Q$3&lt;=Setup!$B$8)*$F115:$Q115))</f>
        <v>0</v>
      </c>
      <c r="AJ115" s="90" t="n">
        <f aca="false">IF($A115="",0,SUM($F115:$Q115))</f>
        <v>0</v>
      </c>
      <c r="AK115" s="90" t="n">
        <f aca="false">IF($A115="",0,SUM($R115:$AC115))</f>
        <v>0</v>
      </c>
      <c r="AL115" s="91" t="n">
        <f aca="false">IF($A115="",0,IF(SUMPRODUCT(ABS($F115:$AC115))&gt;0,1,0))</f>
        <v>0</v>
      </c>
    </row>
    <row r="116" customFormat="false" ht="15" hidden="false" customHeight="false" outlineLevel="0" collapsed="false">
      <c r="A116" s="68" t="str">
        <f aca="false">IF(COA_Mapping!$A117="","",COA_Mapping!$A117)</f>
        <v>1300 Number</v>
      </c>
      <c r="B116" s="68" t="str">
        <f aca="false">IF($A116="","",COA_Mapping!$C117)</f>
        <v>Expenses</v>
      </c>
      <c r="C116" s="68" t="str">
        <f aca="false">IF($A116="","",COA_Mapping!$E117)</f>
        <v>P&amp;L</v>
      </c>
      <c r="D116" s="68" t="str">
        <f aca="false">IF($A116="","",COA_Mapping!$D117)</f>
        <v>Unallocated</v>
      </c>
      <c r="E116" s="86" t="n">
        <f aca="false">IF($A116="",1,COA_Mapping!$F117)</f>
        <v>1</v>
      </c>
      <c r="F116" s="87" t="n">
        <f aca="false">IF($A116="",0,SUMIF(GL_Data!$S$8:$S$5007,111001,GL_Data!$P$8:$P$5007))</f>
        <v>0</v>
      </c>
      <c r="G116" s="87" t="n">
        <f aca="false">IF($A116="",0,SUMIF(GL_Data!$S$8:$S$5007,111002,GL_Data!$P$8:$P$5007))</f>
        <v>0</v>
      </c>
      <c r="H116" s="87" t="n">
        <f aca="false">IF($A116="",0,SUMIF(GL_Data!$S$8:$S$5007,111003,GL_Data!$P$8:$P$5007))</f>
        <v>0</v>
      </c>
      <c r="I116" s="87" t="n">
        <f aca="false">IF($A116="",0,SUMIF(GL_Data!$S$8:$S$5007,111004,GL_Data!$P$8:$P$5007))</f>
        <v>0</v>
      </c>
      <c r="J116" s="87" t="n">
        <f aca="false">IF($A116="",0,SUMIF(GL_Data!$S$8:$S$5007,111005,GL_Data!$P$8:$P$5007))</f>
        <v>0</v>
      </c>
      <c r="K116" s="87" t="n">
        <f aca="false">IF($A116="",0,SUMIF(GL_Data!$S$8:$S$5007,111006,GL_Data!$P$8:$P$5007))</f>
        <v>0</v>
      </c>
      <c r="L116" s="87" t="n">
        <f aca="false">IF($A116="",0,SUMIF(GL_Data!$S$8:$S$5007,111007,GL_Data!$P$8:$P$5007))</f>
        <v>0</v>
      </c>
      <c r="M116" s="87" t="n">
        <f aca="false">IF($A116="",0,SUMIF(GL_Data!$S$8:$S$5007,111008,GL_Data!$P$8:$P$5007))</f>
        <v>0</v>
      </c>
      <c r="N116" s="87" t="n">
        <f aca="false">IF($A116="",0,SUMIF(GL_Data!$S$8:$S$5007,111009,GL_Data!$P$8:$P$5007))</f>
        <v>0</v>
      </c>
      <c r="O116" s="87" t="n">
        <f aca="false">IF($A116="",0,SUMIF(GL_Data!$S$8:$S$5007,111010,GL_Data!$P$8:$P$5007))</f>
        <v>0</v>
      </c>
      <c r="P116" s="87" t="n">
        <f aca="false">IF($A116="",0,SUMIF(GL_Data!$S$8:$S$5007,111011,GL_Data!$P$8:$P$5007))</f>
        <v>0</v>
      </c>
      <c r="Q116" s="87" t="n">
        <f aca="false">IF($A116="",0,SUMIF(GL_Data!$S$8:$S$5007,111012,GL_Data!$P$8:$P$5007))</f>
        <v>0</v>
      </c>
      <c r="R116" s="88" t="n">
        <f aca="false">IF($A116="",0,SUMIF(GL_Data!$S$8:$S$5007,111101,GL_Data!$P$8:$P$5007))</f>
        <v>0</v>
      </c>
      <c r="S116" s="88" t="n">
        <f aca="false">IF($A116="",0,SUMIF(GL_Data!$S$8:$S$5007,111102,GL_Data!$P$8:$P$5007))</f>
        <v>0</v>
      </c>
      <c r="T116" s="88" t="n">
        <f aca="false">IF($A116="",0,SUMIF(GL_Data!$S$8:$S$5007,111103,GL_Data!$P$8:$P$5007))</f>
        <v>0</v>
      </c>
      <c r="U116" s="88" t="n">
        <f aca="false">IF($A116="",0,SUMIF(GL_Data!$S$8:$S$5007,111104,GL_Data!$P$8:$P$5007))</f>
        <v>0</v>
      </c>
      <c r="V116" s="88" t="n">
        <f aca="false">IF($A116="",0,SUMIF(GL_Data!$S$8:$S$5007,111105,GL_Data!$P$8:$P$5007))</f>
        <v>0</v>
      </c>
      <c r="W116" s="88" t="n">
        <f aca="false">IF($A116="",0,SUMIF(GL_Data!$S$8:$S$5007,111106,GL_Data!$P$8:$P$5007))</f>
        <v>0</v>
      </c>
      <c r="X116" s="88" t="n">
        <f aca="false">IF($A116="",0,SUMIF(GL_Data!$S$8:$S$5007,111107,GL_Data!$P$8:$P$5007))</f>
        <v>0</v>
      </c>
      <c r="Y116" s="88" t="n">
        <f aca="false">IF($A116="",0,SUMIF(GL_Data!$S$8:$S$5007,111108,GL_Data!$P$8:$P$5007))</f>
        <v>0</v>
      </c>
      <c r="Z116" s="88" t="n">
        <f aca="false">IF($A116="",0,SUMIF(GL_Data!$S$8:$S$5007,111109,GL_Data!$P$8:$P$5007))</f>
        <v>0</v>
      </c>
      <c r="AA116" s="88" t="n">
        <f aca="false">IF($A116="",0,SUMIF(GL_Data!$S$8:$S$5007,111110,GL_Data!$P$8:$P$5007))</f>
        <v>0</v>
      </c>
      <c r="AB116" s="88" t="n">
        <f aca="false">IF($A116="",0,SUMIF(GL_Data!$S$8:$S$5007,111111,GL_Data!$P$8:$P$5007))</f>
        <v>0</v>
      </c>
      <c r="AC116" s="88" t="n">
        <f aca="false">IF($A116="",0,SUMIF(GL_Data!$S$8:$S$5007,111112,GL_Data!$P$8:$P$5007))</f>
        <v>0</v>
      </c>
      <c r="AD116" s="89" t="n">
        <f aca="false">IF($A116="",0,INDEX($F116:$AC116,12+Setup!$B$8))</f>
        <v>0</v>
      </c>
      <c r="AE116" s="90" t="n">
        <f aca="false">IF($A116="",0,INDEX($F116:$AC116,Setup!$B$8))</f>
        <v>0</v>
      </c>
      <c r="AF116" s="90" t="n">
        <f aca="false">IF($A116="",0,INDEX($F116:$AC116,11+Setup!$B$8))</f>
        <v>0</v>
      </c>
      <c r="AG116" s="90" t="n">
        <f aca="false">IF($A116="",0,AVERAGE(INDEX($F116:$AC116,9+Setup!$B$8):INDEX($F116:$AC116,11+Setup!$B$8)))</f>
        <v>0</v>
      </c>
      <c r="AH116" s="89" t="n">
        <f aca="false">IF($A116="",0,SUMPRODUCT(($R$3:$AC$3&lt;=Setup!$B$8)*$R116:$AC116))</f>
        <v>0</v>
      </c>
      <c r="AI116" s="90" t="n">
        <f aca="false">IF($A116="",0,SUMPRODUCT(($F$3:$Q$3&lt;=Setup!$B$8)*$F116:$Q116))</f>
        <v>0</v>
      </c>
      <c r="AJ116" s="90" t="n">
        <f aca="false">IF($A116="",0,SUM($F116:$Q116))</f>
        <v>0</v>
      </c>
      <c r="AK116" s="90" t="n">
        <f aca="false">IF($A116="",0,SUM($R116:$AC116))</f>
        <v>0</v>
      </c>
      <c r="AL116" s="91" t="n">
        <f aca="false">IF($A116="",0,IF(SUMPRODUCT(ABS($F116:$AC116))&gt;0,1,0))</f>
        <v>0</v>
      </c>
    </row>
    <row r="117" customFormat="false" ht="15" hidden="false" customHeight="false" outlineLevel="0" collapsed="false">
      <c r="A117" s="68" t="str">
        <f aca="false">IF(COA_Mapping!$A118="","",COA_Mapping!$A118)</f>
        <v>Accounting Fees</v>
      </c>
      <c r="B117" s="68" t="str">
        <f aca="false">IF($A117="","",COA_Mapping!$C118)</f>
        <v>Expenses</v>
      </c>
      <c r="C117" s="68" t="str">
        <f aca="false">IF($A117="","",COA_Mapping!$E118)</f>
        <v>P&amp;L</v>
      </c>
      <c r="D117" s="68" t="str">
        <f aca="false">IF($A117="","",COA_Mapping!$D118)</f>
        <v>Unallocated</v>
      </c>
      <c r="E117" s="86" t="n">
        <f aca="false">IF($A117="",1,COA_Mapping!$F118)</f>
        <v>1</v>
      </c>
      <c r="F117" s="87" t="n">
        <f aca="false">IF($A117="",0,SUMIF(GL_Data!$S$8:$S$5007,112001,GL_Data!$P$8:$P$5007))</f>
        <v>0</v>
      </c>
      <c r="G117" s="87" t="n">
        <f aca="false">IF($A117="",0,SUMIF(GL_Data!$S$8:$S$5007,112002,GL_Data!$P$8:$P$5007))</f>
        <v>0</v>
      </c>
      <c r="H117" s="87" t="n">
        <f aca="false">IF($A117="",0,SUMIF(GL_Data!$S$8:$S$5007,112003,GL_Data!$P$8:$P$5007))</f>
        <v>0</v>
      </c>
      <c r="I117" s="87" t="n">
        <f aca="false">IF($A117="",0,SUMIF(GL_Data!$S$8:$S$5007,112004,GL_Data!$P$8:$P$5007))</f>
        <v>0</v>
      </c>
      <c r="J117" s="87" t="n">
        <f aca="false">IF($A117="",0,SUMIF(GL_Data!$S$8:$S$5007,112005,GL_Data!$P$8:$P$5007))</f>
        <v>0</v>
      </c>
      <c r="K117" s="87" t="n">
        <f aca="false">IF($A117="",0,SUMIF(GL_Data!$S$8:$S$5007,112006,GL_Data!$P$8:$P$5007))</f>
        <v>0</v>
      </c>
      <c r="L117" s="87" t="n">
        <f aca="false">IF($A117="",0,SUMIF(GL_Data!$S$8:$S$5007,112007,GL_Data!$P$8:$P$5007))</f>
        <v>0</v>
      </c>
      <c r="M117" s="87" t="n">
        <f aca="false">IF($A117="",0,SUMIF(GL_Data!$S$8:$S$5007,112008,GL_Data!$P$8:$P$5007))</f>
        <v>0</v>
      </c>
      <c r="N117" s="87" t="n">
        <f aca="false">IF($A117="",0,SUMIF(GL_Data!$S$8:$S$5007,112009,GL_Data!$P$8:$P$5007))</f>
        <v>0</v>
      </c>
      <c r="O117" s="87" t="n">
        <f aca="false">IF($A117="",0,SUMIF(GL_Data!$S$8:$S$5007,112010,GL_Data!$P$8:$P$5007))</f>
        <v>0</v>
      </c>
      <c r="P117" s="87" t="n">
        <f aca="false">IF($A117="",0,SUMIF(GL_Data!$S$8:$S$5007,112011,GL_Data!$P$8:$P$5007))</f>
        <v>0</v>
      </c>
      <c r="Q117" s="87" t="n">
        <f aca="false">IF($A117="",0,SUMIF(GL_Data!$S$8:$S$5007,112012,GL_Data!$P$8:$P$5007))</f>
        <v>0</v>
      </c>
      <c r="R117" s="88" t="n">
        <f aca="false">IF($A117="",0,SUMIF(GL_Data!$S$8:$S$5007,112101,GL_Data!$P$8:$P$5007))</f>
        <v>0</v>
      </c>
      <c r="S117" s="88" t="n">
        <f aca="false">IF($A117="",0,SUMIF(GL_Data!$S$8:$S$5007,112102,GL_Data!$P$8:$P$5007))</f>
        <v>0</v>
      </c>
      <c r="T117" s="88" t="n">
        <f aca="false">IF($A117="",0,SUMIF(GL_Data!$S$8:$S$5007,112103,GL_Data!$P$8:$P$5007))</f>
        <v>0</v>
      </c>
      <c r="U117" s="88" t="n">
        <f aca="false">IF($A117="",0,SUMIF(GL_Data!$S$8:$S$5007,112104,GL_Data!$P$8:$P$5007))</f>
        <v>0</v>
      </c>
      <c r="V117" s="88" t="n">
        <f aca="false">IF($A117="",0,SUMIF(GL_Data!$S$8:$S$5007,112105,GL_Data!$P$8:$P$5007))</f>
        <v>0</v>
      </c>
      <c r="W117" s="88" t="n">
        <f aca="false">IF($A117="",0,SUMIF(GL_Data!$S$8:$S$5007,112106,GL_Data!$P$8:$P$5007))</f>
        <v>0</v>
      </c>
      <c r="X117" s="88" t="n">
        <f aca="false">IF($A117="",0,SUMIF(GL_Data!$S$8:$S$5007,112107,GL_Data!$P$8:$P$5007))</f>
        <v>0</v>
      </c>
      <c r="Y117" s="88" t="n">
        <f aca="false">IF($A117="",0,SUMIF(GL_Data!$S$8:$S$5007,112108,GL_Data!$P$8:$P$5007))</f>
        <v>0</v>
      </c>
      <c r="Z117" s="88" t="n">
        <f aca="false">IF($A117="",0,SUMIF(GL_Data!$S$8:$S$5007,112109,GL_Data!$P$8:$P$5007))</f>
        <v>0</v>
      </c>
      <c r="AA117" s="88" t="n">
        <f aca="false">IF($A117="",0,SUMIF(GL_Data!$S$8:$S$5007,112110,GL_Data!$P$8:$P$5007))</f>
        <v>0</v>
      </c>
      <c r="AB117" s="88" t="n">
        <f aca="false">IF($A117="",0,SUMIF(GL_Data!$S$8:$S$5007,112111,GL_Data!$P$8:$P$5007))</f>
        <v>0</v>
      </c>
      <c r="AC117" s="88" t="n">
        <f aca="false">IF($A117="",0,SUMIF(GL_Data!$S$8:$S$5007,112112,GL_Data!$P$8:$P$5007))</f>
        <v>0</v>
      </c>
      <c r="AD117" s="89" t="n">
        <f aca="false">IF($A117="",0,INDEX($F117:$AC117,12+Setup!$B$8))</f>
        <v>0</v>
      </c>
      <c r="AE117" s="90" t="n">
        <f aca="false">IF($A117="",0,INDEX($F117:$AC117,Setup!$B$8))</f>
        <v>0</v>
      </c>
      <c r="AF117" s="90" t="n">
        <f aca="false">IF($A117="",0,INDEX($F117:$AC117,11+Setup!$B$8))</f>
        <v>0</v>
      </c>
      <c r="AG117" s="90" t="n">
        <f aca="false">IF($A117="",0,AVERAGE(INDEX($F117:$AC117,9+Setup!$B$8):INDEX($F117:$AC117,11+Setup!$B$8)))</f>
        <v>0</v>
      </c>
      <c r="AH117" s="89" t="n">
        <f aca="false">IF($A117="",0,SUMPRODUCT(($R$3:$AC$3&lt;=Setup!$B$8)*$R117:$AC117))</f>
        <v>0</v>
      </c>
      <c r="AI117" s="90" t="n">
        <f aca="false">IF($A117="",0,SUMPRODUCT(($F$3:$Q$3&lt;=Setup!$B$8)*$F117:$Q117))</f>
        <v>0</v>
      </c>
      <c r="AJ117" s="90" t="n">
        <f aca="false">IF($A117="",0,SUM($F117:$Q117))</f>
        <v>0</v>
      </c>
      <c r="AK117" s="90" t="n">
        <f aca="false">IF($A117="",0,SUM($R117:$AC117))</f>
        <v>0</v>
      </c>
      <c r="AL117" s="91" t="n">
        <f aca="false">IF($A117="",0,IF(SUMPRODUCT(ABS($F117:$AC117))&gt;0,1,0))</f>
        <v>0</v>
      </c>
    </row>
    <row r="118" customFormat="false" ht="15" hidden="false" customHeight="false" outlineLevel="0" collapsed="false">
      <c r="A118" s="68" t="str">
        <f aca="false">IF(COA_Mapping!$A119="","",COA_Mapping!$A119)</f>
        <v>Advertising</v>
      </c>
      <c r="B118" s="68" t="str">
        <f aca="false">IF($A118="","",COA_Mapping!$C119)</f>
        <v>Expenses</v>
      </c>
      <c r="C118" s="68" t="str">
        <f aca="false">IF($A118="","",COA_Mapping!$E119)</f>
        <v>P&amp;L</v>
      </c>
      <c r="D118" s="68" t="str">
        <f aca="false">IF($A118="","",COA_Mapping!$D119)</f>
        <v>Unallocated</v>
      </c>
      <c r="E118" s="86" t="n">
        <f aca="false">IF($A118="",1,COA_Mapping!$F119)</f>
        <v>1</v>
      </c>
      <c r="F118" s="87" t="n">
        <f aca="false">IF($A118="",0,SUMIF(GL_Data!$S$8:$S$5007,113001,GL_Data!$P$8:$P$5007))</f>
        <v>0</v>
      </c>
      <c r="G118" s="87" t="n">
        <f aca="false">IF($A118="",0,SUMIF(GL_Data!$S$8:$S$5007,113002,GL_Data!$P$8:$P$5007))</f>
        <v>0</v>
      </c>
      <c r="H118" s="87" t="n">
        <f aca="false">IF($A118="",0,SUMIF(GL_Data!$S$8:$S$5007,113003,GL_Data!$P$8:$P$5007))</f>
        <v>0</v>
      </c>
      <c r="I118" s="87" t="n">
        <f aca="false">IF($A118="",0,SUMIF(GL_Data!$S$8:$S$5007,113004,GL_Data!$P$8:$P$5007))</f>
        <v>0</v>
      </c>
      <c r="J118" s="87" t="n">
        <f aca="false">IF($A118="",0,SUMIF(GL_Data!$S$8:$S$5007,113005,GL_Data!$P$8:$P$5007))</f>
        <v>0</v>
      </c>
      <c r="K118" s="87" t="n">
        <f aca="false">IF($A118="",0,SUMIF(GL_Data!$S$8:$S$5007,113006,GL_Data!$P$8:$P$5007))</f>
        <v>0</v>
      </c>
      <c r="L118" s="87" t="n">
        <f aca="false">IF($A118="",0,SUMIF(GL_Data!$S$8:$S$5007,113007,GL_Data!$P$8:$P$5007))</f>
        <v>0</v>
      </c>
      <c r="M118" s="87" t="n">
        <f aca="false">IF($A118="",0,SUMIF(GL_Data!$S$8:$S$5007,113008,GL_Data!$P$8:$P$5007))</f>
        <v>0</v>
      </c>
      <c r="N118" s="87" t="n">
        <f aca="false">IF($A118="",0,SUMIF(GL_Data!$S$8:$S$5007,113009,GL_Data!$P$8:$P$5007))</f>
        <v>0</v>
      </c>
      <c r="O118" s="87" t="n">
        <f aca="false">IF($A118="",0,SUMIF(GL_Data!$S$8:$S$5007,113010,GL_Data!$P$8:$P$5007))</f>
        <v>0</v>
      </c>
      <c r="P118" s="87" t="n">
        <f aca="false">IF($A118="",0,SUMIF(GL_Data!$S$8:$S$5007,113011,GL_Data!$P$8:$P$5007))</f>
        <v>0</v>
      </c>
      <c r="Q118" s="87" t="n">
        <f aca="false">IF($A118="",0,SUMIF(GL_Data!$S$8:$S$5007,113012,GL_Data!$P$8:$P$5007))</f>
        <v>0</v>
      </c>
      <c r="R118" s="88" t="n">
        <f aca="false">IF($A118="",0,SUMIF(GL_Data!$S$8:$S$5007,113101,GL_Data!$P$8:$P$5007))</f>
        <v>0</v>
      </c>
      <c r="S118" s="88" t="n">
        <f aca="false">IF($A118="",0,SUMIF(GL_Data!$S$8:$S$5007,113102,GL_Data!$P$8:$P$5007))</f>
        <v>0</v>
      </c>
      <c r="T118" s="88" t="n">
        <f aca="false">IF($A118="",0,SUMIF(GL_Data!$S$8:$S$5007,113103,GL_Data!$P$8:$P$5007))</f>
        <v>0</v>
      </c>
      <c r="U118" s="88" t="n">
        <f aca="false">IF($A118="",0,SUMIF(GL_Data!$S$8:$S$5007,113104,GL_Data!$P$8:$P$5007))</f>
        <v>0</v>
      </c>
      <c r="V118" s="88" t="n">
        <f aca="false">IF($A118="",0,SUMIF(GL_Data!$S$8:$S$5007,113105,GL_Data!$P$8:$P$5007))</f>
        <v>0</v>
      </c>
      <c r="W118" s="88" t="n">
        <f aca="false">IF($A118="",0,SUMIF(GL_Data!$S$8:$S$5007,113106,GL_Data!$P$8:$P$5007))</f>
        <v>0</v>
      </c>
      <c r="X118" s="88" t="n">
        <f aca="false">IF($A118="",0,SUMIF(GL_Data!$S$8:$S$5007,113107,GL_Data!$P$8:$P$5007))</f>
        <v>0</v>
      </c>
      <c r="Y118" s="88" t="n">
        <f aca="false">IF($A118="",0,SUMIF(GL_Data!$S$8:$S$5007,113108,GL_Data!$P$8:$P$5007))</f>
        <v>0</v>
      </c>
      <c r="Z118" s="88" t="n">
        <f aca="false">IF($A118="",0,SUMIF(GL_Data!$S$8:$S$5007,113109,GL_Data!$P$8:$P$5007))</f>
        <v>0</v>
      </c>
      <c r="AA118" s="88" t="n">
        <f aca="false">IF($A118="",0,SUMIF(GL_Data!$S$8:$S$5007,113110,GL_Data!$P$8:$P$5007))</f>
        <v>0</v>
      </c>
      <c r="AB118" s="88" t="n">
        <f aca="false">IF($A118="",0,SUMIF(GL_Data!$S$8:$S$5007,113111,GL_Data!$P$8:$P$5007))</f>
        <v>0</v>
      </c>
      <c r="AC118" s="88" t="n">
        <f aca="false">IF($A118="",0,SUMIF(GL_Data!$S$8:$S$5007,113112,GL_Data!$P$8:$P$5007))</f>
        <v>0</v>
      </c>
      <c r="AD118" s="89" t="n">
        <f aca="false">IF($A118="",0,INDEX($F118:$AC118,12+Setup!$B$8))</f>
        <v>0</v>
      </c>
      <c r="AE118" s="90" t="n">
        <f aca="false">IF($A118="",0,INDEX($F118:$AC118,Setup!$B$8))</f>
        <v>0</v>
      </c>
      <c r="AF118" s="90" t="n">
        <f aca="false">IF($A118="",0,INDEX($F118:$AC118,11+Setup!$B$8))</f>
        <v>0</v>
      </c>
      <c r="AG118" s="90" t="n">
        <f aca="false">IF($A118="",0,AVERAGE(INDEX($F118:$AC118,9+Setup!$B$8):INDEX($F118:$AC118,11+Setup!$B$8)))</f>
        <v>0</v>
      </c>
      <c r="AH118" s="89" t="n">
        <f aca="false">IF($A118="",0,SUMPRODUCT(($R$3:$AC$3&lt;=Setup!$B$8)*$R118:$AC118))</f>
        <v>0</v>
      </c>
      <c r="AI118" s="90" t="n">
        <f aca="false">IF($A118="",0,SUMPRODUCT(($F$3:$Q$3&lt;=Setup!$B$8)*$F118:$Q118))</f>
        <v>0</v>
      </c>
      <c r="AJ118" s="90" t="n">
        <f aca="false">IF($A118="",0,SUM($F118:$Q118))</f>
        <v>0</v>
      </c>
      <c r="AK118" s="90" t="n">
        <f aca="false">IF($A118="",0,SUM($R118:$AC118))</f>
        <v>0</v>
      </c>
      <c r="AL118" s="91" t="n">
        <f aca="false">IF($A118="",0,IF(SUMPRODUCT(ABS($F118:$AC118))&gt;0,1,0))</f>
        <v>0</v>
      </c>
    </row>
    <row r="119" customFormat="false" ht="15" hidden="false" customHeight="false" outlineLevel="0" collapsed="false">
      <c r="A119" s="68" t="str">
        <f aca="false">IF(COA_Mapping!$A120="","",COA_Mapping!$A120)</f>
        <v>Bad Debts</v>
      </c>
      <c r="B119" s="68" t="str">
        <f aca="false">IF($A119="","",COA_Mapping!$C120)</f>
        <v>Expenses</v>
      </c>
      <c r="C119" s="68" t="str">
        <f aca="false">IF($A119="","",COA_Mapping!$E120)</f>
        <v>P&amp;L</v>
      </c>
      <c r="D119" s="68" t="str">
        <f aca="false">IF($A119="","",COA_Mapping!$D120)</f>
        <v>Unallocated</v>
      </c>
      <c r="E119" s="86" t="n">
        <f aca="false">IF($A119="",1,COA_Mapping!$F120)</f>
        <v>1</v>
      </c>
      <c r="F119" s="87" t="n">
        <f aca="false">IF($A119="",0,SUMIF(GL_Data!$S$8:$S$5007,114001,GL_Data!$P$8:$P$5007))</f>
        <v>0</v>
      </c>
      <c r="G119" s="87" t="n">
        <f aca="false">IF($A119="",0,SUMIF(GL_Data!$S$8:$S$5007,114002,GL_Data!$P$8:$P$5007))</f>
        <v>0</v>
      </c>
      <c r="H119" s="87" t="n">
        <f aca="false">IF($A119="",0,SUMIF(GL_Data!$S$8:$S$5007,114003,GL_Data!$P$8:$P$5007))</f>
        <v>0</v>
      </c>
      <c r="I119" s="87" t="n">
        <f aca="false">IF($A119="",0,SUMIF(GL_Data!$S$8:$S$5007,114004,GL_Data!$P$8:$P$5007))</f>
        <v>0</v>
      </c>
      <c r="J119" s="87" t="n">
        <f aca="false">IF($A119="",0,SUMIF(GL_Data!$S$8:$S$5007,114005,GL_Data!$P$8:$P$5007))</f>
        <v>0</v>
      </c>
      <c r="K119" s="87" t="n">
        <f aca="false">IF($A119="",0,SUMIF(GL_Data!$S$8:$S$5007,114006,GL_Data!$P$8:$P$5007))</f>
        <v>0</v>
      </c>
      <c r="L119" s="87" t="n">
        <f aca="false">IF($A119="",0,SUMIF(GL_Data!$S$8:$S$5007,114007,GL_Data!$P$8:$P$5007))</f>
        <v>0</v>
      </c>
      <c r="M119" s="87" t="n">
        <f aca="false">IF($A119="",0,SUMIF(GL_Data!$S$8:$S$5007,114008,GL_Data!$P$8:$P$5007))</f>
        <v>0</v>
      </c>
      <c r="N119" s="87" t="n">
        <f aca="false">IF($A119="",0,SUMIF(GL_Data!$S$8:$S$5007,114009,GL_Data!$P$8:$P$5007))</f>
        <v>0</v>
      </c>
      <c r="O119" s="87" t="n">
        <f aca="false">IF($A119="",0,SUMIF(GL_Data!$S$8:$S$5007,114010,GL_Data!$P$8:$P$5007))</f>
        <v>0</v>
      </c>
      <c r="P119" s="87" t="n">
        <f aca="false">IF($A119="",0,SUMIF(GL_Data!$S$8:$S$5007,114011,GL_Data!$P$8:$P$5007))</f>
        <v>0</v>
      </c>
      <c r="Q119" s="87" t="n">
        <f aca="false">IF($A119="",0,SUMIF(GL_Data!$S$8:$S$5007,114012,GL_Data!$P$8:$P$5007))</f>
        <v>0</v>
      </c>
      <c r="R119" s="88" t="n">
        <f aca="false">IF($A119="",0,SUMIF(GL_Data!$S$8:$S$5007,114101,GL_Data!$P$8:$P$5007))</f>
        <v>0</v>
      </c>
      <c r="S119" s="88" t="n">
        <f aca="false">IF($A119="",0,SUMIF(GL_Data!$S$8:$S$5007,114102,GL_Data!$P$8:$P$5007))</f>
        <v>0</v>
      </c>
      <c r="T119" s="88" t="n">
        <f aca="false">IF($A119="",0,SUMIF(GL_Data!$S$8:$S$5007,114103,GL_Data!$P$8:$P$5007))</f>
        <v>0</v>
      </c>
      <c r="U119" s="88" t="n">
        <f aca="false">IF($A119="",0,SUMIF(GL_Data!$S$8:$S$5007,114104,GL_Data!$P$8:$P$5007))</f>
        <v>0</v>
      </c>
      <c r="V119" s="88" t="n">
        <f aca="false">IF($A119="",0,SUMIF(GL_Data!$S$8:$S$5007,114105,GL_Data!$P$8:$P$5007))</f>
        <v>0</v>
      </c>
      <c r="W119" s="88" t="n">
        <f aca="false">IF($A119="",0,SUMIF(GL_Data!$S$8:$S$5007,114106,GL_Data!$P$8:$P$5007))</f>
        <v>0</v>
      </c>
      <c r="X119" s="88" t="n">
        <f aca="false">IF($A119="",0,SUMIF(GL_Data!$S$8:$S$5007,114107,GL_Data!$P$8:$P$5007))</f>
        <v>0</v>
      </c>
      <c r="Y119" s="88" t="n">
        <f aca="false">IF($A119="",0,SUMIF(GL_Data!$S$8:$S$5007,114108,GL_Data!$P$8:$P$5007))</f>
        <v>0</v>
      </c>
      <c r="Z119" s="88" t="n">
        <f aca="false">IF($A119="",0,SUMIF(GL_Data!$S$8:$S$5007,114109,GL_Data!$P$8:$P$5007))</f>
        <v>0</v>
      </c>
      <c r="AA119" s="88" t="n">
        <f aca="false">IF($A119="",0,SUMIF(GL_Data!$S$8:$S$5007,114110,GL_Data!$P$8:$P$5007))</f>
        <v>0</v>
      </c>
      <c r="AB119" s="88" t="n">
        <f aca="false">IF($A119="",0,SUMIF(GL_Data!$S$8:$S$5007,114111,GL_Data!$P$8:$P$5007))</f>
        <v>0</v>
      </c>
      <c r="AC119" s="88" t="n">
        <f aca="false">IF($A119="",0,SUMIF(GL_Data!$S$8:$S$5007,114112,GL_Data!$P$8:$P$5007))</f>
        <v>0</v>
      </c>
      <c r="AD119" s="89" t="n">
        <f aca="false">IF($A119="",0,INDEX($F119:$AC119,12+Setup!$B$8))</f>
        <v>0</v>
      </c>
      <c r="AE119" s="90" t="n">
        <f aca="false">IF($A119="",0,INDEX($F119:$AC119,Setup!$B$8))</f>
        <v>0</v>
      </c>
      <c r="AF119" s="90" t="n">
        <f aca="false">IF($A119="",0,INDEX($F119:$AC119,11+Setup!$B$8))</f>
        <v>0</v>
      </c>
      <c r="AG119" s="90" t="n">
        <f aca="false">IF($A119="",0,AVERAGE(INDEX($F119:$AC119,9+Setup!$B$8):INDEX($F119:$AC119,11+Setup!$B$8)))</f>
        <v>0</v>
      </c>
      <c r="AH119" s="89" t="n">
        <f aca="false">IF($A119="",0,SUMPRODUCT(($R$3:$AC$3&lt;=Setup!$B$8)*$R119:$AC119))</f>
        <v>0</v>
      </c>
      <c r="AI119" s="90" t="n">
        <f aca="false">IF($A119="",0,SUMPRODUCT(($F$3:$Q$3&lt;=Setup!$B$8)*$F119:$Q119))</f>
        <v>0</v>
      </c>
      <c r="AJ119" s="90" t="n">
        <f aca="false">IF($A119="",0,SUM($F119:$Q119))</f>
        <v>0</v>
      </c>
      <c r="AK119" s="90" t="n">
        <f aca="false">IF($A119="",0,SUM($R119:$AC119))</f>
        <v>0</v>
      </c>
      <c r="AL119" s="91" t="n">
        <f aca="false">IF($A119="",0,IF(SUMPRODUCT(ABS($F119:$AC119))&gt;0,1,0))</f>
        <v>0</v>
      </c>
    </row>
    <row r="120" customFormat="false" ht="15" hidden="false" customHeight="false" outlineLevel="0" collapsed="false">
      <c r="A120" s="68" t="str">
        <f aca="false">IF(COA_Mapping!$A121="","",COA_Mapping!$A121)</f>
        <v>Bank Charges</v>
      </c>
      <c r="B120" s="68" t="str">
        <f aca="false">IF($A120="","",COA_Mapping!$C121)</f>
        <v>Expenses</v>
      </c>
      <c r="C120" s="68" t="str">
        <f aca="false">IF($A120="","",COA_Mapping!$E121)</f>
        <v>P&amp;L</v>
      </c>
      <c r="D120" s="68" t="str">
        <f aca="false">IF($A120="","",COA_Mapping!$D121)</f>
        <v>Unallocated</v>
      </c>
      <c r="E120" s="86" t="n">
        <f aca="false">IF($A120="",1,COA_Mapping!$F121)</f>
        <v>1</v>
      </c>
      <c r="F120" s="87" t="n">
        <f aca="false">IF($A120="",0,SUMIF(GL_Data!$S$8:$S$5007,115001,GL_Data!$P$8:$P$5007))</f>
        <v>0</v>
      </c>
      <c r="G120" s="87" t="n">
        <f aca="false">IF($A120="",0,SUMIF(GL_Data!$S$8:$S$5007,115002,GL_Data!$P$8:$P$5007))</f>
        <v>0</v>
      </c>
      <c r="H120" s="87" t="n">
        <f aca="false">IF($A120="",0,SUMIF(GL_Data!$S$8:$S$5007,115003,GL_Data!$P$8:$P$5007))</f>
        <v>0</v>
      </c>
      <c r="I120" s="87" t="n">
        <f aca="false">IF($A120="",0,SUMIF(GL_Data!$S$8:$S$5007,115004,GL_Data!$P$8:$P$5007))</f>
        <v>0</v>
      </c>
      <c r="J120" s="87" t="n">
        <f aca="false">IF($A120="",0,SUMIF(GL_Data!$S$8:$S$5007,115005,GL_Data!$P$8:$P$5007))</f>
        <v>0</v>
      </c>
      <c r="K120" s="87" t="n">
        <f aca="false">IF($A120="",0,SUMIF(GL_Data!$S$8:$S$5007,115006,GL_Data!$P$8:$P$5007))</f>
        <v>0</v>
      </c>
      <c r="L120" s="87" t="n">
        <f aca="false">IF($A120="",0,SUMIF(GL_Data!$S$8:$S$5007,115007,GL_Data!$P$8:$P$5007))</f>
        <v>0</v>
      </c>
      <c r="M120" s="87" t="n">
        <f aca="false">IF($A120="",0,SUMIF(GL_Data!$S$8:$S$5007,115008,GL_Data!$P$8:$P$5007))</f>
        <v>0</v>
      </c>
      <c r="N120" s="87" t="n">
        <f aca="false">IF($A120="",0,SUMIF(GL_Data!$S$8:$S$5007,115009,GL_Data!$P$8:$P$5007))</f>
        <v>0</v>
      </c>
      <c r="O120" s="87" t="n">
        <f aca="false">IF($A120="",0,SUMIF(GL_Data!$S$8:$S$5007,115010,GL_Data!$P$8:$P$5007))</f>
        <v>0</v>
      </c>
      <c r="P120" s="87" t="n">
        <f aca="false">IF($A120="",0,SUMIF(GL_Data!$S$8:$S$5007,115011,GL_Data!$P$8:$P$5007))</f>
        <v>0</v>
      </c>
      <c r="Q120" s="87" t="n">
        <f aca="false">IF($A120="",0,SUMIF(GL_Data!$S$8:$S$5007,115012,GL_Data!$P$8:$P$5007))</f>
        <v>0</v>
      </c>
      <c r="R120" s="88" t="n">
        <f aca="false">IF($A120="",0,SUMIF(GL_Data!$S$8:$S$5007,115101,GL_Data!$P$8:$P$5007))</f>
        <v>0</v>
      </c>
      <c r="S120" s="88" t="n">
        <f aca="false">IF($A120="",0,SUMIF(GL_Data!$S$8:$S$5007,115102,GL_Data!$P$8:$P$5007))</f>
        <v>0</v>
      </c>
      <c r="T120" s="88" t="n">
        <f aca="false">IF($A120="",0,SUMIF(GL_Data!$S$8:$S$5007,115103,GL_Data!$P$8:$P$5007))</f>
        <v>0</v>
      </c>
      <c r="U120" s="88" t="n">
        <f aca="false">IF($A120="",0,SUMIF(GL_Data!$S$8:$S$5007,115104,GL_Data!$P$8:$P$5007))</f>
        <v>0</v>
      </c>
      <c r="V120" s="88" t="n">
        <f aca="false">IF($A120="",0,SUMIF(GL_Data!$S$8:$S$5007,115105,GL_Data!$P$8:$P$5007))</f>
        <v>0</v>
      </c>
      <c r="W120" s="88" t="n">
        <f aca="false">IF($A120="",0,SUMIF(GL_Data!$S$8:$S$5007,115106,GL_Data!$P$8:$P$5007))</f>
        <v>0</v>
      </c>
      <c r="X120" s="88" t="n">
        <f aca="false">IF($A120="",0,SUMIF(GL_Data!$S$8:$S$5007,115107,GL_Data!$P$8:$P$5007))</f>
        <v>0</v>
      </c>
      <c r="Y120" s="88" t="n">
        <f aca="false">IF($A120="",0,SUMIF(GL_Data!$S$8:$S$5007,115108,GL_Data!$P$8:$P$5007))</f>
        <v>0</v>
      </c>
      <c r="Z120" s="88" t="n">
        <f aca="false">IF($A120="",0,SUMIF(GL_Data!$S$8:$S$5007,115109,GL_Data!$P$8:$P$5007))</f>
        <v>0</v>
      </c>
      <c r="AA120" s="88" t="n">
        <f aca="false">IF($A120="",0,SUMIF(GL_Data!$S$8:$S$5007,115110,GL_Data!$P$8:$P$5007))</f>
        <v>0</v>
      </c>
      <c r="AB120" s="88" t="n">
        <f aca="false">IF($A120="",0,SUMIF(GL_Data!$S$8:$S$5007,115111,GL_Data!$P$8:$P$5007))</f>
        <v>0</v>
      </c>
      <c r="AC120" s="88" t="n">
        <f aca="false">IF($A120="",0,SUMIF(GL_Data!$S$8:$S$5007,115112,GL_Data!$P$8:$P$5007))</f>
        <v>0</v>
      </c>
      <c r="AD120" s="89" t="n">
        <f aca="false">IF($A120="",0,INDEX($F120:$AC120,12+Setup!$B$8))</f>
        <v>0</v>
      </c>
      <c r="AE120" s="90" t="n">
        <f aca="false">IF($A120="",0,INDEX($F120:$AC120,Setup!$B$8))</f>
        <v>0</v>
      </c>
      <c r="AF120" s="90" t="n">
        <f aca="false">IF($A120="",0,INDEX($F120:$AC120,11+Setup!$B$8))</f>
        <v>0</v>
      </c>
      <c r="AG120" s="90" t="n">
        <f aca="false">IF($A120="",0,AVERAGE(INDEX($F120:$AC120,9+Setup!$B$8):INDEX($F120:$AC120,11+Setup!$B$8)))</f>
        <v>0</v>
      </c>
      <c r="AH120" s="89" t="n">
        <f aca="false">IF($A120="",0,SUMPRODUCT(($R$3:$AC$3&lt;=Setup!$B$8)*$R120:$AC120))</f>
        <v>0</v>
      </c>
      <c r="AI120" s="90" t="n">
        <f aca="false">IF($A120="",0,SUMPRODUCT(($F$3:$Q$3&lt;=Setup!$B$8)*$F120:$Q120))</f>
        <v>0</v>
      </c>
      <c r="AJ120" s="90" t="n">
        <f aca="false">IF($A120="",0,SUM($F120:$Q120))</f>
        <v>0</v>
      </c>
      <c r="AK120" s="90" t="n">
        <f aca="false">IF($A120="",0,SUM($R120:$AC120))</f>
        <v>0</v>
      </c>
      <c r="AL120" s="91" t="n">
        <f aca="false">IF($A120="",0,IF(SUMPRODUCT(ABS($F120:$AC120))&gt;0,1,0))</f>
        <v>0</v>
      </c>
    </row>
    <row r="121" customFormat="false" ht="15" hidden="false" customHeight="false" outlineLevel="0" collapsed="false">
      <c r="A121" s="68" t="str">
        <f aca="false">IF(COA_Mapping!$A122="","",COA_Mapping!$A122)</f>
        <v>Bank Revaluations</v>
      </c>
      <c r="B121" s="68" t="str">
        <f aca="false">IF($A121="","",COA_Mapping!$C122)</f>
        <v>Expenses</v>
      </c>
      <c r="C121" s="68" t="str">
        <f aca="false">IF($A121="","",COA_Mapping!$E122)</f>
        <v>P&amp;L</v>
      </c>
      <c r="D121" s="68" t="str">
        <f aca="false">IF($A121="","",COA_Mapping!$D122)</f>
        <v>Unallocated</v>
      </c>
      <c r="E121" s="86" t="n">
        <f aca="false">IF($A121="",1,COA_Mapping!$F122)</f>
        <v>1</v>
      </c>
      <c r="F121" s="87" t="n">
        <f aca="false">IF($A121="",0,SUMIF(GL_Data!$S$8:$S$5007,116001,GL_Data!$P$8:$P$5007))</f>
        <v>0</v>
      </c>
      <c r="G121" s="87" t="n">
        <f aca="false">IF($A121="",0,SUMIF(GL_Data!$S$8:$S$5007,116002,GL_Data!$P$8:$P$5007))</f>
        <v>0</v>
      </c>
      <c r="H121" s="87" t="n">
        <f aca="false">IF($A121="",0,SUMIF(GL_Data!$S$8:$S$5007,116003,GL_Data!$P$8:$P$5007))</f>
        <v>0</v>
      </c>
      <c r="I121" s="87" t="n">
        <f aca="false">IF($A121="",0,SUMIF(GL_Data!$S$8:$S$5007,116004,GL_Data!$P$8:$P$5007))</f>
        <v>0</v>
      </c>
      <c r="J121" s="87" t="n">
        <f aca="false">IF($A121="",0,SUMIF(GL_Data!$S$8:$S$5007,116005,GL_Data!$P$8:$P$5007))</f>
        <v>0</v>
      </c>
      <c r="K121" s="87" t="n">
        <f aca="false">IF($A121="",0,SUMIF(GL_Data!$S$8:$S$5007,116006,GL_Data!$P$8:$P$5007))</f>
        <v>0</v>
      </c>
      <c r="L121" s="87" t="n">
        <f aca="false">IF($A121="",0,SUMIF(GL_Data!$S$8:$S$5007,116007,GL_Data!$P$8:$P$5007))</f>
        <v>0</v>
      </c>
      <c r="M121" s="87" t="n">
        <f aca="false">IF($A121="",0,SUMIF(GL_Data!$S$8:$S$5007,116008,GL_Data!$P$8:$P$5007))</f>
        <v>0</v>
      </c>
      <c r="N121" s="87" t="n">
        <f aca="false">IF($A121="",0,SUMIF(GL_Data!$S$8:$S$5007,116009,GL_Data!$P$8:$P$5007))</f>
        <v>0</v>
      </c>
      <c r="O121" s="87" t="n">
        <f aca="false">IF($A121="",0,SUMIF(GL_Data!$S$8:$S$5007,116010,GL_Data!$P$8:$P$5007))</f>
        <v>0</v>
      </c>
      <c r="P121" s="87" t="n">
        <f aca="false">IF($A121="",0,SUMIF(GL_Data!$S$8:$S$5007,116011,GL_Data!$P$8:$P$5007))</f>
        <v>0</v>
      </c>
      <c r="Q121" s="87" t="n">
        <f aca="false">IF($A121="",0,SUMIF(GL_Data!$S$8:$S$5007,116012,GL_Data!$P$8:$P$5007))</f>
        <v>0</v>
      </c>
      <c r="R121" s="88" t="n">
        <f aca="false">IF($A121="",0,SUMIF(GL_Data!$S$8:$S$5007,116101,GL_Data!$P$8:$P$5007))</f>
        <v>0</v>
      </c>
      <c r="S121" s="88" t="n">
        <f aca="false">IF($A121="",0,SUMIF(GL_Data!$S$8:$S$5007,116102,GL_Data!$P$8:$P$5007))</f>
        <v>0</v>
      </c>
      <c r="T121" s="88" t="n">
        <f aca="false">IF($A121="",0,SUMIF(GL_Data!$S$8:$S$5007,116103,GL_Data!$P$8:$P$5007))</f>
        <v>0</v>
      </c>
      <c r="U121" s="88" t="n">
        <f aca="false">IF($A121="",0,SUMIF(GL_Data!$S$8:$S$5007,116104,GL_Data!$P$8:$P$5007))</f>
        <v>0</v>
      </c>
      <c r="V121" s="88" t="n">
        <f aca="false">IF($A121="",0,SUMIF(GL_Data!$S$8:$S$5007,116105,GL_Data!$P$8:$P$5007))</f>
        <v>0</v>
      </c>
      <c r="W121" s="88" t="n">
        <f aca="false">IF($A121="",0,SUMIF(GL_Data!$S$8:$S$5007,116106,GL_Data!$P$8:$P$5007))</f>
        <v>0</v>
      </c>
      <c r="X121" s="88" t="n">
        <f aca="false">IF($A121="",0,SUMIF(GL_Data!$S$8:$S$5007,116107,GL_Data!$P$8:$P$5007))</f>
        <v>0</v>
      </c>
      <c r="Y121" s="88" t="n">
        <f aca="false">IF($A121="",0,SUMIF(GL_Data!$S$8:$S$5007,116108,GL_Data!$P$8:$P$5007))</f>
        <v>0</v>
      </c>
      <c r="Z121" s="88" t="n">
        <f aca="false">IF($A121="",0,SUMIF(GL_Data!$S$8:$S$5007,116109,GL_Data!$P$8:$P$5007))</f>
        <v>0</v>
      </c>
      <c r="AA121" s="88" t="n">
        <f aca="false">IF($A121="",0,SUMIF(GL_Data!$S$8:$S$5007,116110,GL_Data!$P$8:$P$5007))</f>
        <v>0</v>
      </c>
      <c r="AB121" s="88" t="n">
        <f aca="false">IF($A121="",0,SUMIF(GL_Data!$S$8:$S$5007,116111,GL_Data!$P$8:$P$5007))</f>
        <v>0</v>
      </c>
      <c r="AC121" s="88" t="n">
        <f aca="false">IF($A121="",0,SUMIF(GL_Data!$S$8:$S$5007,116112,GL_Data!$P$8:$P$5007))</f>
        <v>0</v>
      </c>
      <c r="AD121" s="89" t="n">
        <f aca="false">IF($A121="",0,INDEX($F121:$AC121,12+Setup!$B$8))</f>
        <v>0</v>
      </c>
      <c r="AE121" s="90" t="n">
        <f aca="false">IF($A121="",0,INDEX($F121:$AC121,Setup!$B$8))</f>
        <v>0</v>
      </c>
      <c r="AF121" s="90" t="n">
        <f aca="false">IF($A121="",0,INDEX($F121:$AC121,11+Setup!$B$8))</f>
        <v>0</v>
      </c>
      <c r="AG121" s="90" t="n">
        <f aca="false">IF($A121="",0,AVERAGE(INDEX($F121:$AC121,9+Setup!$B$8):INDEX($F121:$AC121,11+Setup!$B$8)))</f>
        <v>0</v>
      </c>
      <c r="AH121" s="89" t="n">
        <f aca="false">IF($A121="",0,SUMPRODUCT(($R$3:$AC$3&lt;=Setup!$B$8)*$R121:$AC121))</f>
        <v>0</v>
      </c>
      <c r="AI121" s="90" t="n">
        <f aca="false">IF($A121="",0,SUMPRODUCT(($F$3:$Q$3&lt;=Setup!$B$8)*$F121:$Q121))</f>
        <v>0</v>
      </c>
      <c r="AJ121" s="90" t="n">
        <f aca="false">IF($A121="",0,SUM($F121:$Q121))</f>
        <v>0</v>
      </c>
      <c r="AK121" s="90" t="n">
        <f aca="false">IF($A121="",0,SUM($R121:$AC121))</f>
        <v>0</v>
      </c>
      <c r="AL121" s="91" t="n">
        <f aca="false">IF($A121="",0,IF(SUMPRODUCT(ABS($F121:$AC121))&gt;0,1,0))</f>
        <v>0</v>
      </c>
    </row>
    <row r="122" customFormat="false" ht="15" hidden="false" customHeight="false" outlineLevel="0" collapsed="false">
      <c r="A122" s="68" t="str">
        <f aca="false">IF(COA_Mapping!$A123="","",COA_Mapping!$A123)</f>
        <v>Business Advisory</v>
      </c>
      <c r="B122" s="68" t="str">
        <f aca="false">IF($A122="","",COA_Mapping!$C123)</f>
        <v>Expenses</v>
      </c>
      <c r="C122" s="68" t="str">
        <f aca="false">IF($A122="","",COA_Mapping!$E123)</f>
        <v>P&amp;L</v>
      </c>
      <c r="D122" s="68" t="str">
        <f aca="false">IF($A122="","",COA_Mapping!$D123)</f>
        <v>Unallocated</v>
      </c>
      <c r="E122" s="86" t="n">
        <f aca="false">IF($A122="",1,COA_Mapping!$F123)</f>
        <v>1</v>
      </c>
      <c r="F122" s="87" t="n">
        <f aca="false">IF($A122="",0,SUMIF(GL_Data!$S$8:$S$5007,117001,GL_Data!$P$8:$P$5007))</f>
        <v>0</v>
      </c>
      <c r="G122" s="87" t="n">
        <f aca="false">IF($A122="",0,SUMIF(GL_Data!$S$8:$S$5007,117002,GL_Data!$P$8:$P$5007))</f>
        <v>0</v>
      </c>
      <c r="H122" s="87" t="n">
        <f aca="false">IF($A122="",0,SUMIF(GL_Data!$S$8:$S$5007,117003,GL_Data!$P$8:$P$5007))</f>
        <v>0</v>
      </c>
      <c r="I122" s="87" t="n">
        <f aca="false">IF($A122="",0,SUMIF(GL_Data!$S$8:$S$5007,117004,GL_Data!$P$8:$P$5007))</f>
        <v>0</v>
      </c>
      <c r="J122" s="87" t="n">
        <f aca="false">IF($A122="",0,SUMIF(GL_Data!$S$8:$S$5007,117005,GL_Data!$P$8:$P$5007))</f>
        <v>0</v>
      </c>
      <c r="K122" s="87" t="n">
        <f aca="false">IF($A122="",0,SUMIF(GL_Data!$S$8:$S$5007,117006,GL_Data!$P$8:$P$5007))</f>
        <v>0</v>
      </c>
      <c r="L122" s="87" t="n">
        <f aca="false">IF($A122="",0,SUMIF(GL_Data!$S$8:$S$5007,117007,GL_Data!$P$8:$P$5007))</f>
        <v>0</v>
      </c>
      <c r="M122" s="87" t="n">
        <f aca="false">IF($A122="",0,SUMIF(GL_Data!$S$8:$S$5007,117008,GL_Data!$P$8:$P$5007))</f>
        <v>0</v>
      </c>
      <c r="N122" s="87" t="n">
        <f aca="false">IF($A122="",0,SUMIF(GL_Data!$S$8:$S$5007,117009,GL_Data!$P$8:$P$5007))</f>
        <v>0</v>
      </c>
      <c r="O122" s="87" t="n">
        <f aca="false">IF($A122="",0,SUMIF(GL_Data!$S$8:$S$5007,117010,GL_Data!$P$8:$P$5007))</f>
        <v>0</v>
      </c>
      <c r="P122" s="87" t="n">
        <f aca="false">IF($A122="",0,SUMIF(GL_Data!$S$8:$S$5007,117011,GL_Data!$P$8:$P$5007))</f>
        <v>0</v>
      </c>
      <c r="Q122" s="87" t="n">
        <f aca="false">IF($A122="",0,SUMIF(GL_Data!$S$8:$S$5007,117012,GL_Data!$P$8:$P$5007))</f>
        <v>0</v>
      </c>
      <c r="R122" s="88" t="n">
        <f aca="false">IF($A122="",0,SUMIF(GL_Data!$S$8:$S$5007,117101,GL_Data!$P$8:$P$5007))</f>
        <v>0</v>
      </c>
      <c r="S122" s="88" t="n">
        <f aca="false">IF($A122="",0,SUMIF(GL_Data!$S$8:$S$5007,117102,GL_Data!$P$8:$P$5007))</f>
        <v>0</v>
      </c>
      <c r="T122" s="88" t="n">
        <f aca="false">IF($A122="",0,SUMIF(GL_Data!$S$8:$S$5007,117103,GL_Data!$P$8:$P$5007))</f>
        <v>0</v>
      </c>
      <c r="U122" s="88" t="n">
        <f aca="false">IF($A122="",0,SUMIF(GL_Data!$S$8:$S$5007,117104,GL_Data!$P$8:$P$5007))</f>
        <v>0</v>
      </c>
      <c r="V122" s="88" t="n">
        <f aca="false">IF($A122="",0,SUMIF(GL_Data!$S$8:$S$5007,117105,GL_Data!$P$8:$P$5007))</f>
        <v>0</v>
      </c>
      <c r="W122" s="88" t="n">
        <f aca="false">IF($A122="",0,SUMIF(GL_Data!$S$8:$S$5007,117106,GL_Data!$P$8:$P$5007))</f>
        <v>0</v>
      </c>
      <c r="X122" s="88" t="n">
        <f aca="false">IF($A122="",0,SUMIF(GL_Data!$S$8:$S$5007,117107,GL_Data!$P$8:$P$5007))</f>
        <v>0</v>
      </c>
      <c r="Y122" s="88" t="n">
        <f aca="false">IF($A122="",0,SUMIF(GL_Data!$S$8:$S$5007,117108,GL_Data!$P$8:$P$5007))</f>
        <v>0</v>
      </c>
      <c r="Z122" s="88" t="n">
        <f aca="false">IF($A122="",0,SUMIF(GL_Data!$S$8:$S$5007,117109,GL_Data!$P$8:$P$5007))</f>
        <v>0</v>
      </c>
      <c r="AA122" s="88" t="n">
        <f aca="false">IF($A122="",0,SUMIF(GL_Data!$S$8:$S$5007,117110,GL_Data!$P$8:$P$5007))</f>
        <v>0</v>
      </c>
      <c r="AB122" s="88" t="n">
        <f aca="false">IF($A122="",0,SUMIF(GL_Data!$S$8:$S$5007,117111,GL_Data!$P$8:$P$5007))</f>
        <v>0</v>
      </c>
      <c r="AC122" s="88" t="n">
        <f aca="false">IF($A122="",0,SUMIF(GL_Data!$S$8:$S$5007,117112,GL_Data!$P$8:$P$5007))</f>
        <v>0</v>
      </c>
      <c r="AD122" s="89" t="n">
        <f aca="false">IF($A122="",0,INDEX($F122:$AC122,12+Setup!$B$8))</f>
        <v>0</v>
      </c>
      <c r="AE122" s="90" t="n">
        <f aca="false">IF($A122="",0,INDEX($F122:$AC122,Setup!$B$8))</f>
        <v>0</v>
      </c>
      <c r="AF122" s="90" t="n">
        <f aca="false">IF($A122="",0,INDEX($F122:$AC122,11+Setup!$B$8))</f>
        <v>0</v>
      </c>
      <c r="AG122" s="90" t="n">
        <f aca="false">IF($A122="",0,AVERAGE(INDEX($F122:$AC122,9+Setup!$B$8):INDEX($F122:$AC122,11+Setup!$B$8)))</f>
        <v>0</v>
      </c>
      <c r="AH122" s="89" t="n">
        <f aca="false">IF($A122="",0,SUMPRODUCT(($R$3:$AC$3&lt;=Setup!$B$8)*$R122:$AC122))</f>
        <v>0</v>
      </c>
      <c r="AI122" s="90" t="n">
        <f aca="false">IF($A122="",0,SUMPRODUCT(($F$3:$Q$3&lt;=Setup!$B$8)*$F122:$Q122))</f>
        <v>0</v>
      </c>
      <c r="AJ122" s="90" t="n">
        <f aca="false">IF($A122="",0,SUM($F122:$Q122))</f>
        <v>0</v>
      </c>
      <c r="AK122" s="90" t="n">
        <f aca="false">IF($A122="",0,SUM($R122:$AC122))</f>
        <v>0</v>
      </c>
      <c r="AL122" s="91" t="n">
        <f aca="false">IF($A122="",0,IF(SUMPRODUCT(ABS($F122:$AC122))&gt;0,1,0))</f>
        <v>0</v>
      </c>
    </row>
    <row r="123" customFormat="false" ht="15" hidden="false" customHeight="false" outlineLevel="0" collapsed="false">
      <c r="A123" s="68" t="str">
        <f aca="false">IF(COA_Mapping!$A124="","",COA_Mapping!$A124)</f>
        <v>Business Combined</v>
      </c>
      <c r="B123" s="68" t="str">
        <f aca="false">IF($A123="","",COA_Mapping!$C124)</f>
        <v>Expenses</v>
      </c>
      <c r="C123" s="68" t="str">
        <f aca="false">IF($A123="","",COA_Mapping!$E124)</f>
        <v>P&amp;L</v>
      </c>
      <c r="D123" s="68" t="str">
        <f aca="false">IF($A123="","",COA_Mapping!$D124)</f>
        <v>Unallocated</v>
      </c>
      <c r="E123" s="86" t="n">
        <f aca="false">IF($A123="",1,COA_Mapping!$F124)</f>
        <v>1</v>
      </c>
      <c r="F123" s="87" t="n">
        <f aca="false">IF($A123="",0,SUMIF(GL_Data!$S$8:$S$5007,118001,GL_Data!$P$8:$P$5007))</f>
        <v>0</v>
      </c>
      <c r="G123" s="87" t="n">
        <f aca="false">IF($A123="",0,SUMIF(GL_Data!$S$8:$S$5007,118002,GL_Data!$P$8:$P$5007))</f>
        <v>0</v>
      </c>
      <c r="H123" s="87" t="n">
        <f aca="false">IF($A123="",0,SUMIF(GL_Data!$S$8:$S$5007,118003,GL_Data!$P$8:$P$5007))</f>
        <v>0</v>
      </c>
      <c r="I123" s="87" t="n">
        <f aca="false">IF($A123="",0,SUMIF(GL_Data!$S$8:$S$5007,118004,GL_Data!$P$8:$P$5007))</f>
        <v>0</v>
      </c>
      <c r="J123" s="87" t="n">
        <f aca="false">IF($A123="",0,SUMIF(GL_Data!$S$8:$S$5007,118005,GL_Data!$P$8:$P$5007))</f>
        <v>0</v>
      </c>
      <c r="K123" s="87" t="n">
        <f aca="false">IF($A123="",0,SUMIF(GL_Data!$S$8:$S$5007,118006,GL_Data!$P$8:$P$5007))</f>
        <v>0</v>
      </c>
      <c r="L123" s="87" t="n">
        <f aca="false">IF($A123="",0,SUMIF(GL_Data!$S$8:$S$5007,118007,GL_Data!$P$8:$P$5007))</f>
        <v>0</v>
      </c>
      <c r="M123" s="87" t="n">
        <f aca="false">IF($A123="",0,SUMIF(GL_Data!$S$8:$S$5007,118008,GL_Data!$P$8:$P$5007))</f>
        <v>0</v>
      </c>
      <c r="N123" s="87" t="n">
        <f aca="false">IF($A123="",0,SUMIF(GL_Data!$S$8:$S$5007,118009,GL_Data!$P$8:$P$5007))</f>
        <v>0</v>
      </c>
      <c r="O123" s="87" t="n">
        <f aca="false">IF($A123="",0,SUMIF(GL_Data!$S$8:$S$5007,118010,GL_Data!$P$8:$P$5007))</f>
        <v>0</v>
      </c>
      <c r="P123" s="87" t="n">
        <f aca="false">IF($A123="",0,SUMIF(GL_Data!$S$8:$S$5007,118011,GL_Data!$P$8:$P$5007))</f>
        <v>0</v>
      </c>
      <c r="Q123" s="87" t="n">
        <f aca="false">IF($A123="",0,SUMIF(GL_Data!$S$8:$S$5007,118012,GL_Data!$P$8:$P$5007))</f>
        <v>0</v>
      </c>
      <c r="R123" s="88" t="n">
        <f aca="false">IF($A123="",0,SUMIF(GL_Data!$S$8:$S$5007,118101,GL_Data!$P$8:$P$5007))</f>
        <v>0</v>
      </c>
      <c r="S123" s="88" t="n">
        <f aca="false">IF($A123="",0,SUMIF(GL_Data!$S$8:$S$5007,118102,GL_Data!$P$8:$P$5007))</f>
        <v>0</v>
      </c>
      <c r="T123" s="88" t="n">
        <f aca="false">IF($A123="",0,SUMIF(GL_Data!$S$8:$S$5007,118103,GL_Data!$P$8:$P$5007))</f>
        <v>0</v>
      </c>
      <c r="U123" s="88" t="n">
        <f aca="false">IF($A123="",0,SUMIF(GL_Data!$S$8:$S$5007,118104,GL_Data!$P$8:$P$5007))</f>
        <v>0</v>
      </c>
      <c r="V123" s="88" t="n">
        <f aca="false">IF($A123="",0,SUMIF(GL_Data!$S$8:$S$5007,118105,GL_Data!$P$8:$P$5007))</f>
        <v>0</v>
      </c>
      <c r="W123" s="88" t="n">
        <f aca="false">IF($A123="",0,SUMIF(GL_Data!$S$8:$S$5007,118106,GL_Data!$P$8:$P$5007))</f>
        <v>0</v>
      </c>
      <c r="X123" s="88" t="n">
        <f aca="false">IF($A123="",0,SUMIF(GL_Data!$S$8:$S$5007,118107,GL_Data!$P$8:$P$5007))</f>
        <v>0</v>
      </c>
      <c r="Y123" s="88" t="n">
        <f aca="false">IF($A123="",0,SUMIF(GL_Data!$S$8:$S$5007,118108,GL_Data!$P$8:$P$5007))</f>
        <v>0</v>
      </c>
      <c r="Z123" s="88" t="n">
        <f aca="false">IF($A123="",0,SUMIF(GL_Data!$S$8:$S$5007,118109,GL_Data!$P$8:$P$5007))</f>
        <v>0</v>
      </c>
      <c r="AA123" s="88" t="n">
        <f aca="false">IF($A123="",0,SUMIF(GL_Data!$S$8:$S$5007,118110,GL_Data!$P$8:$P$5007))</f>
        <v>0</v>
      </c>
      <c r="AB123" s="88" t="n">
        <f aca="false">IF($A123="",0,SUMIF(GL_Data!$S$8:$S$5007,118111,GL_Data!$P$8:$P$5007))</f>
        <v>0</v>
      </c>
      <c r="AC123" s="88" t="n">
        <f aca="false">IF($A123="",0,SUMIF(GL_Data!$S$8:$S$5007,118112,GL_Data!$P$8:$P$5007))</f>
        <v>0</v>
      </c>
      <c r="AD123" s="89" t="n">
        <f aca="false">IF($A123="",0,INDEX($F123:$AC123,12+Setup!$B$8))</f>
        <v>0</v>
      </c>
      <c r="AE123" s="90" t="n">
        <f aca="false">IF($A123="",0,INDEX($F123:$AC123,Setup!$B$8))</f>
        <v>0</v>
      </c>
      <c r="AF123" s="90" t="n">
        <f aca="false">IF($A123="",0,INDEX($F123:$AC123,11+Setup!$B$8))</f>
        <v>0</v>
      </c>
      <c r="AG123" s="90" t="n">
        <f aca="false">IF($A123="",0,AVERAGE(INDEX($F123:$AC123,9+Setup!$B$8):INDEX($F123:$AC123,11+Setup!$B$8)))</f>
        <v>0</v>
      </c>
      <c r="AH123" s="89" t="n">
        <f aca="false">IF($A123="",0,SUMPRODUCT(($R$3:$AC$3&lt;=Setup!$B$8)*$R123:$AC123))</f>
        <v>0</v>
      </c>
      <c r="AI123" s="90" t="n">
        <f aca="false">IF($A123="",0,SUMPRODUCT(($F$3:$Q$3&lt;=Setup!$B$8)*$F123:$Q123))</f>
        <v>0</v>
      </c>
      <c r="AJ123" s="90" t="n">
        <f aca="false">IF($A123="",0,SUM($F123:$Q123))</f>
        <v>0</v>
      </c>
      <c r="AK123" s="90" t="n">
        <f aca="false">IF($A123="",0,SUM($R123:$AC123))</f>
        <v>0</v>
      </c>
      <c r="AL123" s="91" t="n">
        <f aca="false">IF($A123="",0,IF(SUMPRODUCT(ABS($F123:$AC123))&gt;0,1,0))</f>
        <v>0</v>
      </c>
    </row>
    <row r="124" customFormat="false" ht="15" hidden="false" customHeight="false" outlineLevel="0" collapsed="false">
      <c r="A124" s="68" t="str">
        <f aca="false">IF(COA_Mapping!$A125="","",COA_Mapping!$A125)</f>
        <v>Client Entertainment</v>
      </c>
      <c r="B124" s="68" t="str">
        <f aca="false">IF($A124="","",COA_Mapping!$C125)</f>
        <v>Expenses</v>
      </c>
      <c r="C124" s="68" t="str">
        <f aca="false">IF($A124="","",COA_Mapping!$E125)</f>
        <v>P&amp;L</v>
      </c>
      <c r="D124" s="68" t="str">
        <f aca="false">IF($A124="","",COA_Mapping!$D125)</f>
        <v>Unallocated</v>
      </c>
      <c r="E124" s="86" t="n">
        <f aca="false">IF($A124="",1,COA_Mapping!$F125)</f>
        <v>1</v>
      </c>
      <c r="F124" s="87" t="n">
        <f aca="false">IF($A124="",0,SUMIF(GL_Data!$S$8:$S$5007,119001,GL_Data!$P$8:$P$5007))</f>
        <v>0</v>
      </c>
      <c r="G124" s="87" t="n">
        <f aca="false">IF($A124="",0,SUMIF(GL_Data!$S$8:$S$5007,119002,GL_Data!$P$8:$P$5007))</f>
        <v>0</v>
      </c>
      <c r="H124" s="87" t="n">
        <f aca="false">IF($A124="",0,SUMIF(GL_Data!$S$8:$S$5007,119003,GL_Data!$P$8:$P$5007))</f>
        <v>0</v>
      </c>
      <c r="I124" s="87" t="n">
        <f aca="false">IF($A124="",0,SUMIF(GL_Data!$S$8:$S$5007,119004,GL_Data!$P$8:$P$5007))</f>
        <v>0</v>
      </c>
      <c r="J124" s="87" t="n">
        <f aca="false">IF($A124="",0,SUMIF(GL_Data!$S$8:$S$5007,119005,GL_Data!$P$8:$P$5007))</f>
        <v>0</v>
      </c>
      <c r="K124" s="87" t="n">
        <f aca="false">IF($A124="",0,SUMIF(GL_Data!$S$8:$S$5007,119006,GL_Data!$P$8:$P$5007))</f>
        <v>0</v>
      </c>
      <c r="L124" s="87" t="n">
        <f aca="false">IF($A124="",0,SUMIF(GL_Data!$S$8:$S$5007,119007,GL_Data!$P$8:$P$5007))</f>
        <v>0</v>
      </c>
      <c r="M124" s="87" t="n">
        <f aca="false">IF($A124="",0,SUMIF(GL_Data!$S$8:$S$5007,119008,GL_Data!$P$8:$P$5007))</f>
        <v>0</v>
      </c>
      <c r="N124" s="87" t="n">
        <f aca="false">IF($A124="",0,SUMIF(GL_Data!$S$8:$S$5007,119009,GL_Data!$P$8:$P$5007))</f>
        <v>0</v>
      </c>
      <c r="O124" s="87" t="n">
        <f aca="false">IF($A124="",0,SUMIF(GL_Data!$S$8:$S$5007,119010,GL_Data!$P$8:$P$5007))</f>
        <v>0</v>
      </c>
      <c r="P124" s="87" t="n">
        <f aca="false">IF($A124="",0,SUMIF(GL_Data!$S$8:$S$5007,119011,GL_Data!$P$8:$P$5007))</f>
        <v>0</v>
      </c>
      <c r="Q124" s="87" t="n">
        <f aca="false">IF($A124="",0,SUMIF(GL_Data!$S$8:$S$5007,119012,GL_Data!$P$8:$P$5007))</f>
        <v>0</v>
      </c>
      <c r="R124" s="88" t="n">
        <f aca="false">IF($A124="",0,SUMIF(GL_Data!$S$8:$S$5007,119101,GL_Data!$P$8:$P$5007))</f>
        <v>0</v>
      </c>
      <c r="S124" s="88" t="n">
        <f aca="false">IF($A124="",0,SUMIF(GL_Data!$S$8:$S$5007,119102,GL_Data!$P$8:$P$5007))</f>
        <v>0</v>
      </c>
      <c r="T124" s="88" t="n">
        <f aca="false">IF($A124="",0,SUMIF(GL_Data!$S$8:$S$5007,119103,GL_Data!$P$8:$P$5007))</f>
        <v>0</v>
      </c>
      <c r="U124" s="88" t="n">
        <f aca="false">IF($A124="",0,SUMIF(GL_Data!$S$8:$S$5007,119104,GL_Data!$P$8:$P$5007))</f>
        <v>0</v>
      </c>
      <c r="V124" s="88" t="n">
        <f aca="false">IF($A124="",0,SUMIF(GL_Data!$S$8:$S$5007,119105,GL_Data!$P$8:$P$5007))</f>
        <v>0</v>
      </c>
      <c r="W124" s="88" t="n">
        <f aca="false">IF($A124="",0,SUMIF(GL_Data!$S$8:$S$5007,119106,GL_Data!$P$8:$P$5007))</f>
        <v>0</v>
      </c>
      <c r="X124" s="88" t="n">
        <f aca="false">IF($A124="",0,SUMIF(GL_Data!$S$8:$S$5007,119107,GL_Data!$P$8:$P$5007))</f>
        <v>0</v>
      </c>
      <c r="Y124" s="88" t="n">
        <f aca="false">IF($A124="",0,SUMIF(GL_Data!$S$8:$S$5007,119108,GL_Data!$P$8:$P$5007))</f>
        <v>0</v>
      </c>
      <c r="Z124" s="88" t="n">
        <f aca="false">IF($A124="",0,SUMIF(GL_Data!$S$8:$S$5007,119109,GL_Data!$P$8:$P$5007))</f>
        <v>0</v>
      </c>
      <c r="AA124" s="88" t="n">
        <f aca="false">IF($A124="",0,SUMIF(GL_Data!$S$8:$S$5007,119110,GL_Data!$P$8:$P$5007))</f>
        <v>0</v>
      </c>
      <c r="AB124" s="88" t="n">
        <f aca="false">IF($A124="",0,SUMIF(GL_Data!$S$8:$S$5007,119111,GL_Data!$P$8:$P$5007))</f>
        <v>0</v>
      </c>
      <c r="AC124" s="88" t="n">
        <f aca="false">IF($A124="",0,SUMIF(GL_Data!$S$8:$S$5007,119112,GL_Data!$P$8:$P$5007))</f>
        <v>0</v>
      </c>
      <c r="AD124" s="89" t="n">
        <f aca="false">IF($A124="",0,INDEX($F124:$AC124,12+Setup!$B$8))</f>
        <v>0</v>
      </c>
      <c r="AE124" s="90" t="n">
        <f aca="false">IF($A124="",0,INDEX($F124:$AC124,Setup!$B$8))</f>
        <v>0</v>
      </c>
      <c r="AF124" s="90" t="n">
        <f aca="false">IF($A124="",0,INDEX($F124:$AC124,11+Setup!$B$8))</f>
        <v>0</v>
      </c>
      <c r="AG124" s="90" t="n">
        <f aca="false">IF($A124="",0,AVERAGE(INDEX($F124:$AC124,9+Setup!$B$8):INDEX($F124:$AC124,11+Setup!$B$8)))</f>
        <v>0</v>
      </c>
      <c r="AH124" s="89" t="n">
        <f aca="false">IF($A124="",0,SUMPRODUCT(($R$3:$AC$3&lt;=Setup!$B$8)*$R124:$AC124))</f>
        <v>0</v>
      </c>
      <c r="AI124" s="90" t="n">
        <f aca="false">IF($A124="",0,SUMPRODUCT(($F$3:$Q$3&lt;=Setup!$B$8)*$F124:$Q124))</f>
        <v>0</v>
      </c>
      <c r="AJ124" s="90" t="n">
        <f aca="false">IF($A124="",0,SUM($F124:$Q124))</f>
        <v>0</v>
      </c>
      <c r="AK124" s="90" t="n">
        <f aca="false">IF($A124="",0,SUM($R124:$AC124))</f>
        <v>0</v>
      </c>
      <c r="AL124" s="91" t="n">
        <f aca="false">IF($A124="",0,IF(SUMPRODUCT(ABS($F124:$AC124))&gt;0,1,0))</f>
        <v>0</v>
      </c>
    </row>
    <row r="125" customFormat="false" ht="15" hidden="false" customHeight="false" outlineLevel="0" collapsed="false">
      <c r="A125" s="68" t="str">
        <f aca="false">IF(COA_Mapping!$A126="","",COA_Mapping!$A126)</f>
        <v>Credit Card Fees Paid</v>
      </c>
      <c r="B125" s="68" t="str">
        <f aca="false">IF($A125="","",COA_Mapping!$C126)</f>
        <v>Expenses</v>
      </c>
      <c r="C125" s="68" t="str">
        <f aca="false">IF($A125="","",COA_Mapping!$E126)</f>
        <v>P&amp;L</v>
      </c>
      <c r="D125" s="68" t="str">
        <f aca="false">IF($A125="","",COA_Mapping!$D126)</f>
        <v>Unallocated</v>
      </c>
      <c r="E125" s="86" t="n">
        <f aca="false">IF($A125="",1,COA_Mapping!$F126)</f>
        <v>1</v>
      </c>
      <c r="F125" s="87" t="n">
        <f aca="false">IF($A125="",0,SUMIF(GL_Data!$S$8:$S$5007,120001,GL_Data!$P$8:$P$5007))</f>
        <v>0</v>
      </c>
      <c r="G125" s="87" t="n">
        <f aca="false">IF($A125="",0,SUMIF(GL_Data!$S$8:$S$5007,120002,GL_Data!$P$8:$P$5007))</f>
        <v>0</v>
      </c>
      <c r="H125" s="87" t="n">
        <f aca="false">IF($A125="",0,SUMIF(GL_Data!$S$8:$S$5007,120003,GL_Data!$P$8:$P$5007))</f>
        <v>0</v>
      </c>
      <c r="I125" s="87" t="n">
        <f aca="false">IF($A125="",0,SUMIF(GL_Data!$S$8:$S$5007,120004,GL_Data!$P$8:$P$5007))</f>
        <v>0</v>
      </c>
      <c r="J125" s="87" t="n">
        <f aca="false">IF($A125="",0,SUMIF(GL_Data!$S$8:$S$5007,120005,GL_Data!$P$8:$P$5007))</f>
        <v>0</v>
      </c>
      <c r="K125" s="87" t="n">
        <f aca="false">IF($A125="",0,SUMIF(GL_Data!$S$8:$S$5007,120006,GL_Data!$P$8:$P$5007))</f>
        <v>0</v>
      </c>
      <c r="L125" s="87" t="n">
        <f aca="false">IF($A125="",0,SUMIF(GL_Data!$S$8:$S$5007,120007,GL_Data!$P$8:$P$5007))</f>
        <v>0</v>
      </c>
      <c r="M125" s="87" t="n">
        <f aca="false">IF($A125="",0,SUMIF(GL_Data!$S$8:$S$5007,120008,GL_Data!$P$8:$P$5007))</f>
        <v>0</v>
      </c>
      <c r="N125" s="87" t="n">
        <f aca="false">IF($A125="",0,SUMIF(GL_Data!$S$8:$S$5007,120009,GL_Data!$P$8:$P$5007))</f>
        <v>0</v>
      </c>
      <c r="O125" s="87" t="n">
        <f aca="false">IF($A125="",0,SUMIF(GL_Data!$S$8:$S$5007,120010,GL_Data!$P$8:$P$5007))</f>
        <v>0</v>
      </c>
      <c r="P125" s="87" t="n">
        <f aca="false">IF($A125="",0,SUMIF(GL_Data!$S$8:$S$5007,120011,GL_Data!$P$8:$P$5007))</f>
        <v>0</v>
      </c>
      <c r="Q125" s="87" t="n">
        <f aca="false">IF($A125="",0,SUMIF(GL_Data!$S$8:$S$5007,120012,GL_Data!$P$8:$P$5007))</f>
        <v>0</v>
      </c>
      <c r="R125" s="88" t="n">
        <f aca="false">IF($A125="",0,SUMIF(GL_Data!$S$8:$S$5007,120101,GL_Data!$P$8:$P$5007))</f>
        <v>0</v>
      </c>
      <c r="S125" s="88" t="n">
        <f aca="false">IF($A125="",0,SUMIF(GL_Data!$S$8:$S$5007,120102,GL_Data!$P$8:$P$5007))</f>
        <v>0</v>
      </c>
      <c r="T125" s="88" t="n">
        <f aca="false">IF($A125="",0,SUMIF(GL_Data!$S$8:$S$5007,120103,GL_Data!$P$8:$P$5007))</f>
        <v>0</v>
      </c>
      <c r="U125" s="88" t="n">
        <f aca="false">IF($A125="",0,SUMIF(GL_Data!$S$8:$S$5007,120104,GL_Data!$P$8:$P$5007))</f>
        <v>0</v>
      </c>
      <c r="V125" s="88" t="n">
        <f aca="false">IF($A125="",0,SUMIF(GL_Data!$S$8:$S$5007,120105,GL_Data!$P$8:$P$5007))</f>
        <v>0</v>
      </c>
      <c r="W125" s="88" t="n">
        <f aca="false">IF($A125="",0,SUMIF(GL_Data!$S$8:$S$5007,120106,GL_Data!$P$8:$P$5007))</f>
        <v>0</v>
      </c>
      <c r="X125" s="88" t="n">
        <f aca="false">IF($A125="",0,SUMIF(GL_Data!$S$8:$S$5007,120107,GL_Data!$P$8:$P$5007))</f>
        <v>0</v>
      </c>
      <c r="Y125" s="88" t="n">
        <f aca="false">IF($A125="",0,SUMIF(GL_Data!$S$8:$S$5007,120108,GL_Data!$P$8:$P$5007))</f>
        <v>0</v>
      </c>
      <c r="Z125" s="88" t="n">
        <f aca="false">IF($A125="",0,SUMIF(GL_Data!$S$8:$S$5007,120109,GL_Data!$P$8:$P$5007))</f>
        <v>0</v>
      </c>
      <c r="AA125" s="88" t="n">
        <f aca="false">IF($A125="",0,SUMIF(GL_Data!$S$8:$S$5007,120110,GL_Data!$P$8:$P$5007))</f>
        <v>0</v>
      </c>
      <c r="AB125" s="88" t="n">
        <f aca="false">IF($A125="",0,SUMIF(GL_Data!$S$8:$S$5007,120111,GL_Data!$P$8:$P$5007))</f>
        <v>0</v>
      </c>
      <c r="AC125" s="88" t="n">
        <f aca="false">IF($A125="",0,SUMIF(GL_Data!$S$8:$S$5007,120112,GL_Data!$P$8:$P$5007))</f>
        <v>0</v>
      </c>
      <c r="AD125" s="89" t="n">
        <f aca="false">IF($A125="",0,INDEX($F125:$AC125,12+Setup!$B$8))</f>
        <v>0</v>
      </c>
      <c r="AE125" s="90" t="n">
        <f aca="false">IF($A125="",0,INDEX($F125:$AC125,Setup!$B$8))</f>
        <v>0</v>
      </c>
      <c r="AF125" s="90" t="n">
        <f aca="false">IF($A125="",0,INDEX($F125:$AC125,11+Setup!$B$8))</f>
        <v>0</v>
      </c>
      <c r="AG125" s="90" t="n">
        <f aca="false">IF($A125="",0,AVERAGE(INDEX($F125:$AC125,9+Setup!$B$8):INDEX($F125:$AC125,11+Setup!$B$8)))</f>
        <v>0</v>
      </c>
      <c r="AH125" s="89" t="n">
        <f aca="false">IF($A125="",0,SUMPRODUCT(($R$3:$AC$3&lt;=Setup!$B$8)*$R125:$AC125))</f>
        <v>0</v>
      </c>
      <c r="AI125" s="90" t="n">
        <f aca="false">IF($A125="",0,SUMPRODUCT(($F$3:$Q$3&lt;=Setup!$B$8)*$F125:$Q125))</f>
        <v>0</v>
      </c>
      <c r="AJ125" s="90" t="n">
        <f aca="false">IF($A125="",0,SUM($F125:$Q125))</f>
        <v>0</v>
      </c>
      <c r="AK125" s="90" t="n">
        <f aca="false">IF($A125="",0,SUM($R125:$AC125))</f>
        <v>0</v>
      </c>
      <c r="AL125" s="91" t="n">
        <f aca="false">IF($A125="",0,IF(SUMPRODUCT(ABS($F125:$AC125))&gt;0,1,0))</f>
        <v>0</v>
      </c>
    </row>
    <row r="126" customFormat="false" ht="15" hidden="false" customHeight="false" outlineLevel="0" collapsed="false">
      <c r="A126" s="68" t="str">
        <f aca="false">IF(COA_Mapping!$A127="","",COA_Mapping!$A127)</f>
        <v>Custodian Vaults</v>
      </c>
      <c r="B126" s="68" t="str">
        <f aca="false">IF($A126="","",COA_Mapping!$C127)</f>
        <v>Expenses</v>
      </c>
      <c r="C126" s="68" t="str">
        <f aca="false">IF($A126="","",COA_Mapping!$E127)</f>
        <v>P&amp;L</v>
      </c>
      <c r="D126" s="68" t="str">
        <f aca="false">IF($A126="","",COA_Mapping!$D127)</f>
        <v>Unallocated</v>
      </c>
      <c r="E126" s="86" t="n">
        <f aca="false">IF($A126="",1,COA_Mapping!$F127)</f>
        <v>1</v>
      </c>
      <c r="F126" s="87" t="n">
        <f aca="false">IF($A126="",0,SUMIF(GL_Data!$S$8:$S$5007,121001,GL_Data!$P$8:$P$5007))</f>
        <v>0</v>
      </c>
      <c r="G126" s="87" t="n">
        <f aca="false">IF($A126="",0,SUMIF(GL_Data!$S$8:$S$5007,121002,GL_Data!$P$8:$P$5007))</f>
        <v>0</v>
      </c>
      <c r="H126" s="87" t="n">
        <f aca="false">IF($A126="",0,SUMIF(GL_Data!$S$8:$S$5007,121003,GL_Data!$P$8:$P$5007))</f>
        <v>0</v>
      </c>
      <c r="I126" s="87" t="n">
        <f aca="false">IF($A126="",0,SUMIF(GL_Data!$S$8:$S$5007,121004,GL_Data!$P$8:$P$5007))</f>
        <v>0</v>
      </c>
      <c r="J126" s="87" t="n">
        <f aca="false">IF($A126="",0,SUMIF(GL_Data!$S$8:$S$5007,121005,GL_Data!$P$8:$P$5007))</f>
        <v>0</v>
      </c>
      <c r="K126" s="87" t="n">
        <f aca="false">IF($A126="",0,SUMIF(GL_Data!$S$8:$S$5007,121006,GL_Data!$P$8:$P$5007))</f>
        <v>0</v>
      </c>
      <c r="L126" s="87" t="n">
        <f aca="false">IF($A126="",0,SUMIF(GL_Data!$S$8:$S$5007,121007,GL_Data!$P$8:$P$5007))</f>
        <v>0</v>
      </c>
      <c r="M126" s="87" t="n">
        <f aca="false">IF($A126="",0,SUMIF(GL_Data!$S$8:$S$5007,121008,GL_Data!$P$8:$P$5007))</f>
        <v>0</v>
      </c>
      <c r="N126" s="87" t="n">
        <f aca="false">IF($A126="",0,SUMIF(GL_Data!$S$8:$S$5007,121009,GL_Data!$P$8:$P$5007))</f>
        <v>0</v>
      </c>
      <c r="O126" s="87" t="n">
        <f aca="false">IF($A126="",0,SUMIF(GL_Data!$S$8:$S$5007,121010,GL_Data!$P$8:$P$5007))</f>
        <v>0</v>
      </c>
      <c r="P126" s="87" t="n">
        <f aca="false">IF($A126="",0,SUMIF(GL_Data!$S$8:$S$5007,121011,GL_Data!$P$8:$P$5007))</f>
        <v>0</v>
      </c>
      <c r="Q126" s="87" t="n">
        <f aca="false">IF($A126="",0,SUMIF(GL_Data!$S$8:$S$5007,121012,GL_Data!$P$8:$P$5007))</f>
        <v>0</v>
      </c>
      <c r="R126" s="88" t="n">
        <f aca="false">IF($A126="",0,SUMIF(GL_Data!$S$8:$S$5007,121101,GL_Data!$P$8:$P$5007))</f>
        <v>0</v>
      </c>
      <c r="S126" s="88" t="n">
        <f aca="false">IF($A126="",0,SUMIF(GL_Data!$S$8:$S$5007,121102,GL_Data!$P$8:$P$5007))</f>
        <v>0</v>
      </c>
      <c r="T126" s="88" t="n">
        <f aca="false">IF($A126="",0,SUMIF(GL_Data!$S$8:$S$5007,121103,GL_Data!$P$8:$P$5007))</f>
        <v>0</v>
      </c>
      <c r="U126" s="88" t="n">
        <f aca="false">IF($A126="",0,SUMIF(GL_Data!$S$8:$S$5007,121104,GL_Data!$P$8:$P$5007))</f>
        <v>0</v>
      </c>
      <c r="V126" s="88" t="n">
        <f aca="false">IF($A126="",0,SUMIF(GL_Data!$S$8:$S$5007,121105,GL_Data!$P$8:$P$5007))</f>
        <v>0</v>
      </c>
      <c r="W126" s="88" t="n">
        <f aca="false">IF($A126="",0,SUMIF(GL_Data!$S$8:$S$5007,121106,GL_Data!$P$8:$P$5007))</f>
        <v>0</v>
      </c>
      <c r="X126" s="88" t="n">
        <f aca="false">IF($A126="",0,SUMIF(GL_Data!$S$8:$S$5007,121107,GL_Data!$P$8:$P$5007))</f>
        <v>0</v>
      </c>
      <c r="Y126" s="88" t="n">
        <f aca="false">IF($A126="",0,SUMIF(GL_Data!$S$8:$S$5007,121108,GL_Data!$P$8:$P$5007))</f>
        <v>0</v>
      </c>
      <c r="Z126" s="88" t="n">
        <f aca="false">IF($A126="",0,SUMIF(GL_Data!$S$8:$S$5007,121109,GL_Data!$P$8:$P$5007))</f>
        <v>0</v>
      </c>
      <c r="AA126" s="88" t="n">
        <f aca="false">IF($A126="",0,SUMIF(GL_Data!$S$8:$S$5007,121110,GL_Data!$P$8:$P$5007))</f>
        <v>0</v>
      </c>
      <c r="AB126" s="88" t="n">
        <f aca="false">IF($A126="",0,SUMIF(GL_Data!$S$8:$S$5007,121111,GL_Data!$P$8:$P$5007))</f>
        <v>0</v>
      </c>
      <c r="AC126" s="88" t="n">
        <f aca="false">IF($A126="",0,SUMIF(GL_Data!$S$8:$S$5007,121112,GL_Data!$P$8:$P$5007))</f>
        <v>0</v>
      </c>
      <c r="AD126" s="89" t="n">
        <f aca="false">IF($A126="",0,INDEX($F126:$AC126,12+Setup!$B$8))</f>
        <v>0</v>
      </c>
      <c r="AE126" s="90" t="n">
        <f aca="false">IF($A126="",0,INDEX($F126:$AC126,Setup!$B$8))</f>
        <v>0</v>
      </c>
      <c r="AF126" s="90" t="n">
        <f aca="false">IF($A126="",0,INDEX($F126:$AC126,11+Setup!$B$8))</f>
        <v>0</v>
      </c>
      <c r="AG126" s="90" t="n">
        <f aca="false">IF($A126="",0,AVERAGE(INDEX($F126:$AC126,9+Setup!$B$8):INDEX($F126:$AC126,11+Setup!$B$8)))</f>
        <v>0</v>
      </c>
      <c r="AH126" s="89" t="n">
        <f aca="false">IF($A126="",0,SUMPRODUCT(($R$3:$AC$3&lt;=Setup!$B$8)*$R126:$AC126))</f>
        <v>0</v>
      </c>
      <c r="AI126" s="90" t="n">
        <f aca="false">IF($A126="",0,SUMPRODUCT(($F$3:$Q$3&lt;=Setup!$B$8)*$F126:$Q126))</f>
        <v>0</v>
      </c>
      <c r="AJ126" s="90" t="n">
        <f aca="false">IF($A126="",0,SUM($F126:$Q126))</f>
        <v>0</v>
      </c>
      <c r="AK126" s="90" t="n">
        <f aca="false">IF($A126="",0,SUM($R126:$AC126))</f>
        <v>0</v>
      </c>
      <c r="AL126" s="91" t="n">
        <f aca="false">IF($A126="",0,IF(SUMPRODUCT(ABS($F126:$AC126))&gt;0,1,0))</f>
        <v>0</v>
      </c>
    </row>
    <row r="127" customFormat="false" ht="15" hidden="false" customHeight="false" outlineLevel="0" collapsed="false">
      <c r="A127" s="68" t="str">
        <f aca="false">IF(COA_Mapping!$A128="","",COA_Mapping!$A128)</f>
        <v>Depreciation</v>
      </c>
      <c r="B127" s="68" t="str">
        <f aca="false">IF($A127="","",COA_Mapping!$C128)</f>
        <v>Expenses</v>
      </c>
      <c r="C127" s="68" t="str">
        <f aca="false">IF($A127="","",COA_Mapping!$E128)</f>
        <v>P&amp;L</v>
      </c>
      <c r="D127" s="68" t="str">
        <f aca="false">IF($A127="","",COA_Mapping!$D128)</f>
        <v>Unallocated</v>
      </c>
      <c r="E127" s="86" t="n">
        <f aca="false">IF($A127="",1,COA_Mapping!$F128)</f>
        <v>1</v>
      </c>
      <c r="F127" s="87" t="n">
        <f aca="false">IF($A127="",0,SUMIF(GL_Data!$S$8:$S$5007,122001,GL_Data!$P$8:$P$5007))</f>
        <v>0</v>
      </c>
      <c r="G127" s="87" t="n">
        <f aca="false">IF($A127="",0,SUMIF(GL_Data!$S$8:$S$5007,122002,GL_Data!$P$8:$P$5007))</f>
        <v>0</v>
      </c>
      <c r="H127" s="87" t="n">
        <f aca="false">IF($A127="",0,SUMIF(GL_Data!$S$8:$S$5007,122003,GL_Data!$P$8:$P$5007))</f>
        <v>0</v>
      </c>
      <c r="I127" s="87" t="n">
        <f aca="false">IF($A127="",0,SUMIF(GL_Data!$S$8:$S$5007,122004,GL_Data!$P$8:$P$5007))</f>
        <v>0</v>
      </c>
      <c r="J127" s="87" t="n">
        <f aca="false">IF($A127="",0,SUMIF(GL_Data!$S$8:$S$5007,122005,GL_Data!$P$8:$P$5007))</f>
        <v>0</v>
      </c>
      <c r="K127" s="87" t="n">
        <f aca="false">IF($A127="",0,SUMIF(GL_Data!$S$8:$S$5007,122006,GL_Data!$P$8:$P$5007))</f>
        <v>0</v>
      </c>
      <c r="L127" s="87" t="n">
        <f aca="false">IF($A127="",0,SUMIF(GL_Data!$S$8:$S$5007,122007,GL_Data!$P$8:$P$5007))</f>
        <v>0</v>
      </c>
      <c r="M127" s="87" t="n">
        <f aca="false">IF($A127="",0,SUMIF(GL_Data!$S$8:$S$5007,122008,GL_Data!$P$8:$P$5007))</f>
        <v>0</v>
      </c>
      <c r="N127" s="87" t="n">
        <f aca="false">IF($A127="",0,SUMIF(GL_Data!$S$8:$S$5007,122009,GL_Data!$P$8:$P$5007))</f>
        <v>0</v>
      </c>
      <c r="O127" s="87" t="n">
        <f aca="false">IF($A127="",0,SUMIF(GL_Data!$S$8:$S$5007,122010,GL_Data!$P$8:$P$5007))</f>
        <v>0</v>
      </c>
      <c r="P127" s="87" t="n">
        <f aca="false">IF($A127="",0,SUMIF(GL_Data!$S$8:$S$5007,122011,GL_Data!$P$8:$P$5007))</f>
        <v>0</v>
      </c>
      <c r="Q127" s="87" t="n">
        <f aca="false">IF($A127="",0,SUMIF(GL_Data!$S$8:$S$5007,122012,GL_Data!$P$8:$P$5007))</f>
        <v>0</v>
      </c>
      <c r="R127" s="88" t="n">
        <f aca="false">IF($A127="",0,SUMIF(GL_Data!$S$8:$S$5007,122101,GL_Data!$P$8:$P$5007))</f>
        <v>0</v>
      </c>
      <c r="S127" s="88" t="n">
        <f aca="false">IF($A127="",0,SUMIF(GL_Data!$S$8:$S$5007,122102,GL_Data!$P$8:$P$5007))</f>
        <v>0</v>
      </c>
      <c r="T127" s="88" t="n">
        <f aca="false">IF($A127="",0,SUMIF(GL_Data!$S$8:$S$5007,122103,GL_Data!$P$8:$P$5007))</f>
        <v>0</v>
      </c>
      <c r="U127" s="88" t="n">
        <f aca="false">IF($A127="",0,SUMIF(GL_Data!$S$8:$S$5007,122104,GL_Data!$P$8:$P$5007))</f>
        <v>0</v>
      </c>
      <c r="V127" s="88" t="n">
        <f aca="false">IF($A127="",0,SUMIF(GL_Data!$S$8:$S$5007,122105,GL_Data!$P$8:$P$5007))</f>
        <v>0</v>
      </c>
      <c r="W127" s="88" t="n">
        <f aca="false">IF($A127="",0,SUMIF(GL_Data!$S$8:$S$5007,122106,GL_Data!$P$8:$P$5007))</f>
        <v>0</v>
      </c>
      <c r="X127" s="88" t="n">
        <f aca="false">IF($A127="",0,SUMIF(GL_Data!$S$8:$S$5007,122107,GL_Data!$P$8:$P$5007))</f>
        <v>0</v>
      </c>
      <c r="Y127" s="88" t="n">
        <f aca="false">IF($A127="",0,SUMIF(GL_Data!$S$8:$S$5007,122108,GL_Data!$P$8:$P$5007))</f>
        <v>0</v>
      </c>
      <c r="Z127" s="88" t="n">
        <f aca="false">IF($A127="",0,SUMIF(GL_Data!$S$8:$S$5007,122109,GL_Data!$P$8:$P$5007))</f>
        <v>0</v>
      </c>
      <c r="AA127" s="88" t="n">
        <f aca="false">IF($A127="",0,SUMIF(GL_Data!$S$8:$S$5007,122110,GL_Data!$P$8:$P$5007))</f>
        <v>0</v>
      </c>
      <c r="AB127" s="88" t="n">
        <f aca="false">IF($A127="",0,SUMIF(GL_Data!$S$8:$S$5007,122111,GL_Data!$P$8:$P$5007))</f>
        <v>0</v>
      </c>
      <c r="AC127" s="88" t="n">
        <f aca="false">IF($A127="",0,SUMIF(GL_Data!$S$8:$S$5007,122112,GL_Data!$P$8:$P$5007))</f>
        <v>0</v>
      </c>
      <c r="AD127" s="89" t="n">
        <f aca="false">IF($A127="",0,INDEX($F127:$AC127,12+Setup!$B$8))</f>
        <v>0</v>
      </c>
      <c r="AE127" s="90" t="n">
        <f aca="false">IF($A127="",0,INDEX($F127:$AC127,Setup!$B$8))</f>
        <v>0</v>
      </c>
      <c r="AF127" s="90" t="n">
        <f aca="false">IF($A127="",0,INDEX($F127:$AC127,11+Setup!$B$8))</f>
        <v>0</v>
      </c>
      <c r="AG127" s="90" t="n">
        <f aca="false">IF($A127="",0,AVERAGE(INDEX($F127:$AC127,9+Setup!$B$8):INDEX($F127:$AC127,11+Setup!$B$8)))</f>
        <v>0</v>
      </c>
      <c r="AH127" s="89" t="n">
        <f aca="false">IF($A127="",0,SUMPRODUCT(($R$3:$AC$3&lt;=Setup!$B$8)*$R127:$AC127))</f>
        <v>0</v>
      </c>
      <c r="AI127" s="90" t="n">
        <f aca="false">IF($A127="",0,SUMPRODUCT(($F$3:$Q$3&lt;=Setup!$B$8)*$F127:$Q127))</f>
        <v>0</v>
      </c>
      <c r="AJ127" s="90" t="n">
        <f aca="false">IF($A127="",0,SUM($F127:$Q127))</f>
        <v>0</v>
      </c>
      <c r="AK127" s="90" t="n">
        <f aca="false">IF($A127="",0,SUM($R127:$AC127))</f>
        <v>0</v>
      </c>
      <c r="AL127" s="91" t="n">
        <f aca="false">IF($A127="",0,IF(SUMPRODUCT(ABS($F127:$AC127))&gt;0,1,0))</f>
        <v>0</v>
      </c>
    </row>
    <row r="128" customFormat="false" ht="15" hidden="false" customHeight="false" outlineLevel="0" collapsed="false">
      <c r="A128" s="68" t="str">
        <f aca="false">IF(COA_Mapping!$A129="","",COA_Mapping!$A129)</f>
        <v>Depreciation - ROU</v>
      </c>
      <c r="B128" s="68" t="str">
        <f aca="false">IF($A128="","",COA_Mapping!$C129)</f>
        <v>Expenses</v>
      </c>
      <c r="C128" s="68" t="str">
        <f aca="false">IF($A128="","",COA_Mapping!$E129)</f>
        <v>P&amp;L</v>
      </c>
      <c r="D128" s="68" t="str">
        <f aca="false">IF($A128="","",COA_Mapping!$D129)</f>
        <v>Unallocated</v>
      </c>
      <c r="E128" s="86" t="n">
        <f aca="false">IF($A128="",1,COA_Mapping!$F129)</f>
        <v>1</v>
      </c>
      <c r="F128" s="87" t="n">
        <f aca="false">IF($A128="",0,SUMIF(GL_Data!$S$8:$S$5007,123001,GL_Data!$P$8:$P$5007))</f>
        <v>0</v>
      </c>
      <c r="G128" s="87" t="n">
        <f aca="false">IF($A128="",0,SUMIF(GL_Data!$S$8:$S$5007,123002,GL_Data!$P$8:$P$5007))</f>
        <v>0</v>
      </c>
      <c r="H128" s="87" t="n">
        <f aca="false">IF($A128="",0,SUMIF(GL_Data!$S$8:$S$5007,123003,GL_Data!$P$8:$P$5007))</f>
        <v>0</v>
      </c>
      <c r="I128" s="87" t="n">
        <f aca="false">IF($A128="",0,SUMIF(GL_Data!$S$8:$S$5007,123004,GL_Data!$P$8:$P$5007))</f>
        <v>0</v>
      </c>
      <c r="J128" s="87" t="n">
        <f aca="false">IF($A128="",0,SUMIF(GL_Data!$S$8:$S$5007,123005,GL_Data!$P$8:$P$5007))</f>
        <v>0</v>
      </c>
      <c r="K128" s="87" t="n">
        <f aca="false">IF($A128="",0,SUMIF(GL_Data!$S$8:$S$5007,123006,GL_Data!$P$8:$P$5007))</f>
        <v>0</v>
      </c>
      <c r="L128" s="87" t="n">
        <f aca="false">IF($A128="",0,SUMIF(GL_Data!$S$8:$S$5007,123007,GL_Data!$P$8:$P$5007))</f>
        <v>0</v>
      </c>
      <c r="M128" s="87" t="n">
        <f aca="false">IF($A128="",0,SUMIF(GL_Data!$S$8:$S$5007,123008,GL_Data!$P$8:$P$5007))</f>
        <v>0</v>
      </c>
      <c r="N128" s="87" t="n">
        <f aca="false">IF($A128="",0,SUMIF(GL_Data!$S$8:$S$5007,123009,GL_Data!$P$8:$P$5007))</f>
        <v>0</v>
      </c>
      <c r="O128" s="87" t="n">
        <f aca="false">IF($A128="",0,SUMIF(GL_Data!$S$8:$S$5007,123010,GL_Data!$P$8:$P$5007))</f>
        <v>0</v>
      </c>
      <c r="P128" s="87" t="n">
        <f aca="false">IF($A128="",0,SUMIF(GL_Data!$S$8:$S$5007,123011,GL_Data!$P$8:$P$5007))</f>
        <v>0</v>
      </c>
      <c r="Q128" s="87" t="n">
        <f aca="false">IF($A128="",0,SUMIF(GL_Data!$S$8:$S$5007,123012,GL_Data!$P$8:$P$5007))</f>
        <v>0</v>
      </c>
      <c r="R128" s="88" t="n">
        <f aca="false">IF($A128="",0,SUMIF(GL_Data!$S$8:$S$5007,123101,GL_Data!$P$8:$P$5007))</f>
        <v>0</v>
      </c>
      <c r="S128" s="88" t="n">
        <f aca="false">IF($A128="",0,SUMIF(GL_Data!$S$8:$S$5007,123102,GL_Data!$P$8:$P$5007))</f>
        <v>0</v>
      </c>
      <c r="T128" s="88" t="n">
        <f aca="false">IF($A128="",0,SUMIF(GL_Data!$S$8:$S$5007,123103,GL_Data!$P$8:$P$5007))</f>
        <v>0</v>
      </c>
      <c r="U128" s="88" t="n">
        <f aca="false">IF($A128="",0,SUMIF(GL_Data!$S$8:$S$5007,123104,GL_Data!$P$8:$P$5007))</f>
        <v>0</v>
      </c>
      <c r="V128" s="88" t="n">
        <f aca="false">IF($A128="",0,SUMIF(GL_Data!$S$8:$S$5007,123105,GL_Data!$P$8:$P$5007))</f>
        <v>0</v>
      </c>
      <c r="W128" s="88" t="n">
        <f aca="false">IF($A128="",0,SUMIF(GL_Data!$S$8:$S$5007,123106,GL_Data!$P$8:$P$5007))</f>
        <v>0</v>
      </c>
      <c r="X128" s="88" t="n">
        <f aca="false">IF($A128="",0,SUMIF(GL_Data!$S$8:$S$5007,123107,GL_Data!$P$8:$P$5007))</f>
        <v>0</v>
      </c>
      <c r="Y128" s="88" t="n">
        <f aca="false">IF($A128="",0,SUMIF(GL_Data!$S$8:$S$5007,123108,GL_Data!$P$8:$P$5007))</f>
        <v>0</v>
      </c>
      <c r="Z128" s="88" t="n">
        <f aca="false">IF($A128="",0,SUMIF(GL_Data!$S$8:$S$5007,123109,GL_Data!$P$8:$P$5007))</f>
        <v>0</v>
      </c>
      <c r="AA128" s="88" t="n">
        <f aca="false">IF($A128="",0,SUMIF(GL_Data!$S$8:$S$5007,123110,GL_Data!$P$8:$P$5007))</f>
        <v>0</v>
      </c>
      <c r="AB128" s="88" t="n">
        <f aca="false">IF($A128="",0,SUMIF(GL_Data!$S$8:$S$5007,123111,GL_Data!$P$8:$P$5007))</f>
        <v>0</v>
      </c>
      <c r="AC128" s="88" t="n">
        <f aca="false">IF($A128="",0,SUMIF(GL_Data!$S$8:$S$5007,123112,GL_Data!$P$8:$P$5007))</f>
        <v>0</v>
      </c>
      <c r="AD128" s="89" t="n">
        <f aca="false">IF($A128="",0,INDEX($F128:$AC128,12+Setup!$B$8))</f>
        <v>0</v>
      </c>
      <c r="AE128" s="90" t="n">
        <f aca="false">IF($A128="",0,INDEX($F128:$AC128,Setup!$B$8))</f>
        <v>0</v>
      </c>
      <c r="AF128" s="90" t="n">
        <f aca="false">IF($A128="",0,INDEX($F128:$AC128,11+Setup!$B$8))</f>
        <v>0</v>
      </c>
      <c r="AG128" s="90" t="n">
        <f aca="false">IF($A128="",0,AVERAGE(INDEX($F128:$AC128,9+Setup!$B$8):INDEX($F128:$AC128,11+Setup!$B$8)))</f>
        <v>0</v>
      </c>
      <c r="AH128" s="89" t="n">
        <f aca="false">IF($A128="",0,SUMPRODUCT(($R$3:$AC$3&lt;=Setup!$B$8)*$R128:$AC128))</f>
        <v>0</v>
      </c>
      <c r="AI128" s="90" t="n">
        <f aca="false">IF($A128="",0,SUMPRODUCT(($F$3:$Q$3&lt;=Setup!$B$8)*$F128:$Q128))</f>
        <v>0</v>
      </c>
      <c r="AJ128" s="90" t="n">
        <f aca="false">IF($A128="",0,SUM($F128:$Q128))</f>
        <v>0</v>
      </c>
      <c r="AK128" s="90" t="n">
        <f aca="false">IF($A128="",0,SUM($R128:$AC128))</f>
        <v>0</v>
      </c>
      <c r="AL128" s="91" t="n">
        <f aca="false">IF($A128="",0,IF(SUMPRODUCT(ABS($F128:$AC128))&gt;0,1,0))</f>
        <v>0</v>
      </c>
    </row>
    <row r="129" customFormat="false" ht="15" hidden="false" customHeight="false" outlineLevel="0" collapsed="false">
      <c r="A129" s="68" t="str">
        <f aca="false">IF(COA_Mapping!$A130="","",COA_Mapping!$A130)</f>
        <v>Discounts Taken</v>
      </c>
      <c r="B129" s="68" t="str">
        <f aca="false">IF($A129="","",COA_Mapping!$C130)</f>
        <v>Expenses</v>
      </c>
      <c r="C129" s="68" t="str">
        <f aca="false">IF($A129="","",COA_Mapping!$E130)</f>
        <v>P&amp;L</v>
      </c>
      <c r="D129" s="68" t="str">
        <f aca="false">IF($A129="","",COA_Mapping!$D130)</f>
        <v>Unallocated</v>
      </c>
      <c r="E129" s="86" t="n">
        <f aca="false">IF($A129="",1,COA_Mapping!$F130)</f>
        <v>1</v>
      </c>
      <c r="F129" s="87" t="n">
        <f aca="false">IF($A129="",0,SUMIF(GL_Data!$S$8:$S$5007,124001,GL_Data!$P$8:$P$5007))</f>
        <v>0</v>
      </c>
      <c r="G129" s="87" t="n">
        <f aca="false">IF($A129="",0,SUMIF(GL_Data!$S$8:$S$5007,124002,GL_Data!$P$8:$P$5007))</f>
        <v>0</v>
      </c>
      <c r="H129" s="87" t="n">
        <f aca="false">IF($A129="",0,SUMIF(GL_Data!$S$8:$S$5007,124003,GL_Data!$P$8:$P$5007))</f>
        <v>0</v>
      </c>
      <c r="I129" s="87" t="n">
        <f aca="false">IF($A129="",0,SUMIF(GL_Data!$S$8:$S$5007,124004,GL_Data!$P$8:$P$5007))</f>
        <v>0</v>
      </c>
      <c r="J129" s="87" t="n">
        <f aca="false">IF($A129="",0,SUMIF(GL_Data!$S$8:$S$5007,124005,GL_Data!$P$8:$P$5007))</f>
        <v>0</v>
      </c>
      <c r="K129" s="87" t="n">
        <f aca="false">IF($A129="",0,SUMIF(GL_Data!$S$8:$S$5007,124006,GL_Data!$P$8:$P$5007))</f>
        <v>0</v>
      </c>
      <c r="L129" s="87" t="n">
        <f aca="false">IF($A129="",0,SUMIF(GL_Data!$S$8:$S$5007,124007,GL_Data!$P$8:$P$5007))</f>
        <v>0</v>
      </c>
      <c r="M129" s="87" t="n">
        <f aca="false">IF($A129="",0,SUMIF(GL_Data!$S$8:$S$5007,124008,GL_Data!$P$8:$P$5007))</f>
        <v>0</v>
      </c>
      <c r="N129" s="87" t="n">
        <f aca="false">IF($A129="",0,SUMIF(GL_Data!$S$8:$S$5007,124009,GL_Data!$P$8:$P$5007))</f>
        <v>0</v>
      </c>
      <c r="O129" s="87" t="n">
        <f aca="false">IF($A129="",0,SUMIF(GL_Data!$S$8:$S$5007,124010,GL_Data!$P$8:$P$5007))</f>
        <v>0</v>
      </c>
      <c r="P129" s="87" t="n">
        <f aca="false">IF($A129="",0,SUMIF(GL_Data!$S$8:$S$5007,124011,GL_Data!$P$8:$P$5007))</f>
        <v>0</v>
      </c>
      <c r="Q129" s="87" t="n">
        <f aca="false">IF($A129="",0,SUMIF(GL_Data!$S$8:$S$5007,124012,GL_Data!$P$8:$P$5007))</f>
        <v>0</v>
      </c>
      <c r="R129" s="88" t="n">
        <f aca="false">IF($A129="",0,SUMIF(GL_Data!$S$8:$S$5007,124101,GL_Data!$P$8:$P$5007))</f>
        <v>0</v>
      </c>
      <c r="S129" s="88" t="n">
        <f aca="false">IF($A129="",0,SUMIF(GL_Data!$S$8:$S$5007,124102,GL_Data!$P$8:$P$5007))</f>
        <v>0</v>
      </c>
      <c r="T129" s="88" t="n">
        <f aca="false">IF($A129="",0,SUMIF(GL_Data!$S$8:$S$5007,124103,GL_Data!$P$8:$P$5007))</f>
        <v>0</v>
      </c>
      <c r="U129" s="88" t="n">
        <f aca="false">IF($A129="",0,SUMIF(GL_Data!$S$8:$S$5007,124104,GL_Data!$P$8:$P$5007))</f>
        <v>0</v>
      </c>
      <c r="V129" s="88" t="n">
        <f aca="false">IF($A129="",0,SUMIF(GL_Data!$S$8:$S$5007,124105,GL_Data!$P$8:$P$5007))</f>
        <v>0</v>
      </c>
      <c r="W129" s="88" t="n">
        <f aca="false">IF($A129="",0,SUMIF(GL_Data!$S$8:$S$5007,124106,GL_Data!$P$8:$P$5007))</f>
        <v>0</v>
      </c>
      <c r="X129" s="88" t="n">
        <f aca="false">IF($A129="",0,SUMIF(GL_Data!$S$8:$S$5007,124107,GL_Data!$P$8:$P$5007))</f>
        <v>0</v>
      </c>
      <c r="Y129" s="88" t="n">
        <f aca="false">IF($A129="",0,SUMIF(GL_Data!$S$8:$S$5007,124108,GL_Data!$P$8:$P$5007))</f>
        <v>0</v>
      </c>
      <c r="Z129" s="88" t="n">
        <f aca="false">IF($A129="",0,SUMIF(GL_Data!$S$8:$S$5007,124109,GL_Data!$P$8:$P$5007))</f>
        <v>0</v>
      </c>
      <c r="AA129" s="88" t="n">
        <f aca="false">IF($A129="",0,SUMIF(GL_Data!$S$8:$S$5007,124110,GL_Data!$P$8:$P$5007))</f>
        <v>0</v>
      </c>
      <c r="AB129" s="88" t="n">
        <f aca="false">IF($A129="",0,SUMIF(GL_Data!$S$8:$S$5007,124111,GL_Data!$P$8:$P$5007))</f>
        <v>0</v>
      </c>
      <c r="AC129" s="88" t="n">
        <f aca="false">IF($A129="",0,SUMIF(GL_Data!$S$8:$S$5007,124112,GL_Data!$P$8:$P$5007))</f>
        <v>0</v>
      </c>
      <c r="AD129" s="89" t="n">
        <f aca="false">IF($A129="",0,INDEX($F129:$AC129,12+Setup!$B$8))</f>
        <v>0</v>
      </c>
      <c r="AE129" s="90" t="n">
        <f aca="false">IF($A129="",0,INDEX($F129:$AC129,Setup!$B$8))</f>
        <v>0</v>
      </c>
      <c r="AF129" s="90" t="n">
        <f aca="false">IF($A129="",0,INDEX($F129:$AC129,11+Setup!$B$8))</f>
        <v>0</v>
      </c>
      <c r="AG129" s="90" t="n">
        <f aca="false">IF($A129="",0,AVERAGE(INDEX($F129:$AC129,9+Setup!$B$8):INDEX($F129:$AC129,11+Setup!$B$8)))</f>
        <v>0</v>
      </c>
      <c r="AH129" s="89" t="n">
        <f aca="false">IF($A129="",0,SUMPRODUCT(($R$3:$AC$3&lt;=Setup!$B$8)*$R129:$AC129))</f>
        <v>0</v>
      </c>
      <c r="AI129" s="90" t="n">
        <f aca="false">IF($A129="",0,SUMPRODUCT(($F$3:$Q$3&lt;=Setup!$B$8)*$F129:$Q129))</f>
        <v>0</v>
      </c>
      <c r="AJ129" s="90" t="n">
        <f aca="false">IF($A129="",0,SUM($F129:$Q129))</f>
        <v>0</v>
      </c>
      <c r="AK129" s="90" t="n">
        <f aca="false">IF($A129="",0,SUM($R129:$AC129))</f>
        <v>0</v>
      </c>
      <c r="AL129" s="91" t="n">
        <f aca="false">IF($A129="",0,IF(SUMPRODUCT(ABS($F129:$AC129))&gt;0,1,0))</f>
        <v>0</v>
      </c>
    </row>
    <row r="130" customFormat="false" ht="15" hidden="false" customHeight="false" outlineLevel="0" collapsed="false">
      <c r="A130" s="68" t="str">
        <f aca="false">IF(COA_Mapping!$A131="","",COA_Mapping!$A131)</f>
        <v>Disposal of fixed assets</v>
      </c>
      <c r="B130" s="68" t="str">
        <f aca="false">IF($A130="","",COA_Mapping!$C131)</f>
        <v>Expenses</v>
      </c>
      <c r="C130" s="68" t="str">
        <f aca="false">IF($A130="","",COA_Mapping!$E131)</f>
        <v>P&amp;L</v>
      </c>
      <c r="D130" s="68" t="str">
        <f aca="false">IF($A130="","",COA_Mapping!$D131)</f>
        <v>Unallocated</v>
      </c>
      <c r="E130" s="86" t="n">
        <f aca="false">IF($A130="",1,COA_Mapping!$F131)</f>
        <v>1</v>
      </c>
      <c r="F130" s="87" t="n">
        <f aca="false">IF($A130="",0,SUMIF(GL_Data!$S$8:$S$5007,125001,GL_Data!$P$8:$P$5007))</f>
        <v>0</v>
      </c>
      <c r="G130" s="87" t="n">
        <f aca="false">IF($A130="",0,SUMIF(GL_Data!$S$8:$S$5007,125002,GL_Data!$P$8:$P$5007))</f>
        <v>0</v>
      </c>
      <c r="H130" s="87" t="n">
        <f aca="false">IF($A130="",0,SUMIF(GL_Data!$S$8:$S$5007,125003,GL_Data!$P$8:$P$5007))</f>
        <v>0</v>
      </c>
      <c r="I130" s="87" t="n">
        <f aca="false">IF($A130="",0,SUMIF(GL_Data!$S$8:$S$5007,125004,GL_Data!$P$8:$P$5007))</f>
        <v>0</v>
      </c>
      <c r="J130" s="87" t="n">
        <f aca="false">IF($A130="",0,SUMIF(GL_Data!$S$8:$S$5007,125005,GL_Data!$P$8:$P$5007))</f>
        <v>0</v>
      </c>
      <c r="K130" s="87" t="n">
        <f aca="false">IF($A130="",0,SUMIF(GL_Data!$S$8:$S$5007,125006,GL_Data!$P$8:$P$5007))</f>
        <v>0</v>
      </c>
      <c r="L130" s="87" t="n">
        <f aca="false">IF($A130="",0,SUMIF(GL_Data!$S$8:$S$5007,125007,GL_Data!$P$8:$P$5007))</f>
        <v>0</v>
      </c>
      <c r="M130" s="87" t="n">
        <f aca="false">IF($A130="",0,SUMIF(GL_Data!$S$8:$S$5007,125008,GL_Data!$P$8:$P$5007))</f>
        <v>0</v>
      </c>
      <c r="N130" s="87" t="n">
        <f aca="false">IF($A130="",0,SUMIF(GL_Data!$S$8:$S$5007,125009,GL_Data!$P$8:$P$5007))</f>
        <v>0</v>
      </c>
      <c r="O130" s="87" t="n">
        <f aca="false">IF($A130="",0,SUMIF(GL_Data!$S$8:$S$5007,125010,GL_Data!$P$8:$P$5007))</f>
        <v>0</v>
      </c>
      <c r="P130" s="87" t="n">
        <f aca="false">IF($A130="",0,SUMIF(GL_Data!$S$8:$S$5007,125011,GL_Data!$P$8:$P$5007))</f>
        <v>0</v>
      </c>
      <c r="Q130" s="87" t="n">
        <f aca="false">IF($A130="",0,SUMIF(GL_Data!$S$8:$S$5007,125012,GL_Data!$P$8:$P$5007))</f>
        <v>0</v>
      </c>
      <c r="R130" s="88" t="n">
        <f aca="false">IF($A130="",0,SUMIF(GL_Data!$S$8:$S$5007,125101,GL_Data!$P$8:$P$5007))</f>
        <v>0</v>
      </c>
      <c r="S130" s="88" t="n">
        <f aca="false">IF($A130="",0,SUMIF(GL_Data!$S$8:$S$5007,125102,GL_Data!$P$8:$P$5007))</f>
        <v>0</v>
      </c>
      <c r="T130" s="88" t="n">
        <f aca="false">IF($A130="",0,SUMIF(GL_Data!$S$8:$S$5007,125103,GL_Data!$P$8:$P$5007))</f>
        <v>0</v>
      </c>
      <c r="U130" s="88" t="n">
        <f aca="false">IF($A130="",0,SUMIF(GL_Data!$S$8:$S$5007,125104,GL_Data!$P$8:$P$5007))</f>
        <v>0</v>
      </c>
      <c r="V130" s="88" t="n">
        <f aca="false">IF($A130="",0,SUMIF(GL_Data!$S$8:$S$5007,125105,GL_Data!$P$8:$P$5007))</f>
        <v>0</v>
      </c>
      <c r="W130" s="88" t="n">
        <f aca="false">IF($A130="",0,SUMIF(GL_Data!$S$8:$S$5007,125106,GL_Data!$P$8:$P$5007))</f>
        <v>0</v>
      </c>
      <c r="X130" s="88" t="n">
        <f aca="false">IF($A130="",0,SUMIF(GL_Data!$S$8:$S$5007,125107,GL_Data!$P$8:$P$5007))</f>
        <v>0</v>
      </c>
      <c r="Y130" s="88" t="n">
        <f aca="false">IF($A130="",0,SUMIF(GL_Data!$S$8:$S$5007,125108,GL_Data!$P$8:$P$5007))</f>
        <v>0</v>
      </c>
      <c r="Z130" s="88" t="n">
        <f aca="false">IF($A130="",0,SUMIF(GL_Data!$S$8:$S$5007,125109,GL_Data!$P$8:$P$5007))</f>
        <v>0</v>
      </c>
      <c r="AA130" s="88" t="n">
        <f aca="false">IF($A130="",0,SUMIF(GL_Data!$S$8:$S$5007,125110,GL_Data!$P$8:$P$5007))</f>
        <v>0</v>
      </c>
      <c r="AB130" s="88" t="n">
        <f aca="false">IF($A130="",0,SUMIF(GL_Data!$S$8:$S$5007,125111,GL_Data!$P$8:$P$5007))</f>
        <v>0</v>
      </c>
      <c r="AC130" s="88" t="n">
        <f aca="false">IF($A130="",0,SUMIF(GL_Data!$S$8:$S$5007,125112,GL_Data!$P$8:$P$5007))</f>
        <v>0</v>
      </c>
      <c r="AD130" s="89" t="n">
        <f aca="false">IF($A130="",0,INDEX($F130:$AC130,12+Setup!$B$8))</f>
        <v>0</v>
      </c>
      <c r="AE130" s="90" t="n">
        <f aca="false">IF($A130="",0,INDEX($F130:$AC130,Setup!$B$8))</f>
        <v>0</v>
      </c>
      <c r="AF130" s="90" t="n">
        <f aca="false">IF($A130="",0,INDEX($F130:$AC130,11+Setup!$B$8))</f>
        <v>0</v>
      </c>
      <c r="AG130" s="90" t="n">
        <f aca="false">IF($A130="",0,AVERAGE(INDEX($F130:$AC130,9+Setup!$B$8):INDEX($F130:$AC130,11+Setup!$B$8)))</f>
        <v>0</v>
      </c>
      <c r="AH130" s="89" t="n">
        <f aca="false">IF($A130="",0,SUMPRODUCT(($R$3:$AC$3&lt;=Setup!$B$8)*$R130:$AC130))</f>
        <v>0</v>
      </c>
      <c r="AI130" s="90" t="n">
        <f aca="false">IF($A130="",0,SUMPRODUCT(($F$3:$Q$3&lt;=Setup!$B$8)*$F130:$Q130))</f>
        <v>0</v>
      </c>
      <c r="AJ130" s="90" t="n">
        <f aca="false">IF($A130="",0,SUM($F130:$Q130))</f>
        <v>0</v>
      </c>
      <c r="AK130" s="90" t="n">
        <f aca="false">IF($A130="",0,SUM($R130:$AC130))</f>
        <v>0</v>
      </c>
      <c r="AL130" s="91" t="n">
        <f aca="false">IF($A130="",0,IF(SUMPRODUCT(ABS($F130:$AC130))&gt;0,1,0))</f>
        <v>0</v>
      </c>
    </row>
    <row r="131" customFormat="false" ht="15" hidden="false" customHeight="false" outlineLevel="0" collapsed="false">
      <c r="A131" s="68" t="str">
        <f aca="false">IF(COA_Mapping!$A132="","",COA_Mapping!$A132)</f>
        <v>Dividend paid [93000]</v>
      </c>
      <c r="B131" s="68" t="str">
        <f aca="false">IF($A131="","",COA_Mapping!$C132)</f>
        <v>Expenses</v>
      </c>
      <c r="C131" s="68" t="str">
        <f aca="false">IF($A131="","",COA_Mapping!$E132)</f>
        <v>P&amp;L</v>
      </c>
      <c r="D131" s="68" t="str">
        <f aca="false">IF($A131="","",COA_Mapping!$D132)</f>
        <v>Unallocated</v>
      </c>
      <c r="E131" s="86" t="n">
        <f aca="false">IF($A131="",1,COA_Mapping!$F132)</f>
        <v>1</v>
      </c>
      <c r="F131" s="87" t="n">
        <f aca="false">IF($A131="",0,SUMIF(GL_Data!$S$8:$S$5007,126001,GL_Data!$P$8:$P$5007))</f>
        <v>0</v>
      </c>
      <c r="G131" s="87" t="n">
        <f aca="false">IF($A131="",0,SUMIF(GL_Data!$S$8:$S$5007,126002,GL_Data!$P$8:$P$5007))</f>
        <v>0</v>
      </c>
      <c r="H131" s="87" t="n">
        <f aca="false">IF($A131="",0,SUMIF(GL_Data!$S$8:$S$5007,126003,GL_Data!$P$8:$P$5007))</f>
        <v>0</v>
      </c>
      <c r="I131" s="87" t="n">
        <f aca="false">IF($A131="",0,SUMIF(GL_Data!$S$8:$S$5007,126004,GL_Data!$P$8:$P$5007))</f>
        <v>0</v>
      </c>
      <c r="J131" s="87" t="n">
        <f aca="false">IF($A131="",0,SUMIF(GL_Data!$S$8:$S$5007,126005,GL_Data!$P$8:$P$5007))</f>
        <v>0</v>
      </c>
      <c r="K131" s="87" t="n">
        <f aca="false">IF($A131="",0,SUMIF(GL_Data!$S$8:$S$5007,126006,GL_Data!$P$8:$P$5007))</f>
        <v>0</v>
      </c>
      <c r="L131" s="87" t="n">
        <f aca="false">IF($A131="",0,SUMIF(GL_Data!$S$8:$S$5007,126007,GL_Data!$P$8:$P$5007))</f>
        <v>0</v>
      </c>
      <c r="M131" s="87" t="n">
        <f aca="false">IF($A131="",0,SUMIF(GL_Data!$S$8:$S$5007,126008,GL_Data!$P$8:$P$5007))</f>
        <v>0</v>
      </c>
      <c r="N131" s="87" t="n">
        <f aca="false">IF($A131="",0,SUMIF(GL_Data!$S$8:$S$5007,126009,GL_Data!$P$8:$P$5007))</f>
        <v>0</v>
      </c>
      <c r="O131" s="87" t="n">
        <f aca="false">IF($A131="",0,SUMIF(GL_Data!$S$8:$S$5007,126010,GL_Data!$P$8:$P$5007))</f>
        <v>0</v>
      </c>
      <c r="P131" s="87" t="n">
        <f aca="false">IF($A131="",0,SUMIF(GL_Data!$S$8:$S$5007,126011,GL_Data!$P$8:$P$5007))</f>
        <v>0</v>
      </c>
      <c r="Q131" s="87" t="n">
        <f aca="false">IF($A131="",0,SUMIF(GL_Data!$S$8:$S$5007,126012,GL_Data!$P$8:$P$5007))</f>
        <v>0</v>
      </c>
      <c r="R131" s="88" t="n">
        <f aca="false">IF($A131="",0,SUMIF(GL_Data!$S$8:$S$5007,126101,GL_Data!$P$8:$P$5007))</f>
        <v>0</v>
      </c>
      <c r="S131" s="88" t="n">
        <f aca="false">IF($A131="",0,SUMIF(GL_Data!$S$8:$S$5007,126102,GL_Data!$P$8:$P$5007))</f>
        <v>0</v>
      </c>
      <c r="T131" s="88" t="n">
        <f aca="false">IF($A131="",0,SUMIF(GL_Data!$S$8:$S$5007,126103,GL_Data!$P$8:$P$5007))</f>
        <v>0</v>
      </c>
      <c r="U131" s="88" t="n">
        <f aca="false">IF($A131="",0,SUMIF(GL_Data!$S$8:$S$5007,126104,GL_Data!$P$8:$P$5007))</f>
        <v>0</v>
      </c>
      <c r="V131" s="88" t="n">
        <f aca="false">IF($A131="",0,SUMIF(GL_Data!$S$8:$S$5007,126105,GL_Data!$P$8:$P$5007))</f>
        <v>0</v>
      </c>
      <c r="W131" s="88" t="n">
        <f aca="false">IF($A131="",0,SUMIF(GL_Data!$S$8:$S$5007,126106,GL_Data!$P$8:$P$5007))</f>
        <v>0</v>
      </c>
      <c r="X131" s="88" t="n">
        <f aca="false">IF($A131="",0,SUMIF(GL_Data!$S$8:$S$5007,126107,GL_Data!$P$8:$P$5007))</f>
        <v>0</v>
      </c>
      <c r="Y131" s="88" t="n">
        <f aca="false">IF($A131="",0,SUMIF(GL_Data!$S$8:$S$5007,126108,GL_Data!$P$8:$P$5007))</f>
        <v>0</v>
      </c>
      <c r="Z131" s="88" t="n">
        <f aca="false">IF($A131="",0,SUMIF(GL_Data!$S$8:$S$5007,126109,GL_Data!$P$8:$P$5007))</f>
        <v>0</v>
      </c>
      <c r="AA131" s="88" t="n">
        <f aca="false">IF($A131="",0,SUMIF(GL_Data!$S$8:$S$5007,126110,GL_Data!$P$8:$P$5007))</f>
        <v>0</v>
      </c>
      <c r="AB131" s="88" t="n">
        <f aca="false">IF($A131="",0,SUMIF(GL_Data!$S$8:$S$5007,126111,GL_Data!$P$8:$P$5007))</f>
        <v>0</v>
      </c>
      <c r="AC131" s="88" t="n">
        <f aca="false">IF($A131="",0,SUMIF(GL_Data!$S$8:$S$5007,126112,GL_Data!$P$8:$P$5007))</f>
        <v>0</v>
      </c>
      <c r="AD131" s="89" t="n">
        <f aca="false">IF($A131="",0,INDEX($F131:$AC131,12+Setup!$B$8))</f>
        <v>0</v>
      </c>
      <c r="AE131" s="90" t="n">
        <f aca="false">IF($A131="",0,INDEX($F131:$AC131,Setup!$B$8))</f>
        <v>0</v>
      </c>
      <c r="AF131" s="90" t="n">
        <f aca="false">IF($A131="",0,INDEX($F131:$AC131,11+Setup!$B$8))</f>
        <v>0</v>
      </c>
      <c r="AG131" s="90" t="n">
        <f aca="false">IF($A131="",0,AVERAGE(INDEX($F131:$AC131,9+Setup!$B$8):INDEX($F131:$AC131,11+Setup!$B$8)))</f>
        <v>0</v>
      </c>
      <c r="AH131" s="89" t="n">
        <f aca="false">IF($A131="",0,SUMPRODUCT(($R$3:$AC$3&lt;=Setup!$B$8)*$R131:$AC131))</f>
        <v>0</v>
      </c>
      <c r="AI131" s="90" t="n">
        <f aca="false">IF($A131="",0,SUMPRODUCT(($F$3:$Q$3&lt;=Setup!$B$8)*$F131:$Q131))</f>
        <v>0</v>
      </c>
      <c r="AJ131" s="90" t="n">
        <f aca="false">IF($A131="",0,SUM($F131:$Q131))</f>
        <v>0</v>
      </c>
      <c r="AK131" s="90" t="n">
        <f aca="false">IF($A131="",0,SUM($R131:$AC131))</f>
        <v>0</v>
      </c>
      <c r="AL131" s="91" t="n">
        <f aca="false">IF($A131="",0,IF(SUMPRODUCT(ABS($F131:$AC131))&gt;0,1,0))</f>
        <v>0</v>
      </c>
    </row>
    <row r="132" customFormat="false" ht="15" hidden="false" customHeight="false" outlineLevel="0" collapsed="false">
      <c r="A132" s="68" t="str">
        <f aca="false">IF(COA_Mapping!$A133="","",COA_Mapping!$A133)</f>
        <v>Donations / Charity</v>
      </c>
      <c r="B132" s="68" t="str">
        <f aca="false">IF($A132="","",COA_Mapping!$C133)</f>
        <v>Expenses</v>
      </c>
      <c r="C132" s="68" t="str">
        <f aca="false">IF($A132="","",COA_Mapping!$E133)</f>
        <v>P&amp;L</v>
      </c>
      <c r="D132" s="68" t="str">
        <f aca="false">IF($A132="","",COA_Mapping!$D133)</f>
        <v>Unallocated</v>
      </c>
      <c r="E132" s="86" t="n">
        <f aca="false">IF($A132="",1,COA_Mapping!$F133)</f>
        <v>1</v>
      </c>
      <c r="F132" s="87" t="n">
        <f aca="false">IF($A132="",0,SUMIF(GL_Data!$S$8:$S$5007,127001,GL_Data!$P$8:$P$5007))</f>
        <v>0</v>
      </c>
      <c r="G132" s="87" t="n">
        <f aca="false">IF($A132="",0,SUMIF(GL_Data!$S$8:$S$5007,127002,GL_Data!$P$8:$P$5007))</f>
        <v>0</v>
      </c>
      <c r="H132" s="87" t="n">
        <f aca="false">IF($A132="",0,SUMIF(GL_Data!$S$8:$S$5007,127003,GL_Data!$P$8:$P$5007))</f>
        <v>0</v>
      </c>
      <c r="I132" s="87" t="n">
        <f aca="false">IF($A132="",0,SUMIF(GL_Data!$S$8:$S$5007,127004,GL_Data!$P$8:$P$5007))</f>
        <v>0</v>
      </c>
      <c r="J132" s="87" t="n">
        <f aca="false">IF($A132="",0,SUMIF(GL_Data!$S$8:$S$5007,127005,GL_Data!$P$8:$P$5007))</f>
        <v>0</v>
      </c>
      <c r="K132" s="87" t="n">
        <f aca="false">IF($A132="",0,SUMIF(GL_Data!$S$8:$S$5007,127006,GL_Data!$P$8:$P$5007))</f>
        <v>0</v>
      </c>
      <c r="L132" s="87" t="n">
        <f aca="false">IF($A132="",0,SUMIF(GL_Data!$S$8:$S$5007,127007,GL_Data!$P$8:$P$5007))</f>
        <v>0</v>
      </c>
      <c r="M132" s="87" t="n">
        <f aca="false">IF($A132="",0,SUMIF(GL_Data!$S$8:$S$5007,127008,GL_Data!$P$8:$P$5007))</f>
        <v>0</v>
      </c>
      <c r="N132" s="87" t="n">
        <f aca="false">IF($A132="",0,SUMIF(GL_Data!$S$8:$S$5007,127009,GL_Data!$P$8:$P$5007))</f>
        <v>0</v>
      </c>
      <c r="O132" s="87" t="n">
        <f aca="false">IF($A132="",0,SUMIF(GL_Data!$S$8:$S$5007,127010,GL_Data!$P$8:$P$5007))</f>
        <v>0</v>
      </c>
      <c r="P132" s="87" t="n">
        <f aca="false">IF($A132="",0,SUMIF(GL_Data!$S$8:$S$5007,127011,GL_Data!$P$8:$P$5007))</f>
        <v>0</v>
      </c>
      <c r="Q132" s="87" t="n">
        <f aca="false">IF($A132="",0,SUMIF(GL_Data!$S$8:$S$5007,127012,GL_Data!$P$8:$P$5007))</f>
        <v>0</v>
      </c>
      <c r="R132" s="88" t="n">
        <f aca="false">IF($A132="",0,SUMIF(GL_Data!$S$8:$S$5007,127101,GL_Data!$P$8:$P$5007))</f>
        <v>0</v>
      </c>
      <c r="S132" s="88" t="n">
        <f aca="false">IF($A132="",0,SUMIF(GL_Data!$S$8:$S$5007,127102,GL_Data!$P$8:$P$5007))</f>
        <v>0</v>
      </c>
      <c r="T132" s="88" t="n">
        <f aca="false">IF($A132="",0,SUMIF(GL_Data!$S$8:$S$5007,127103,GL_Data!$P$8:$P$5007))</f>
        <v>0</v>
      </c>
      <c r="U132" s="88" t="n">
        <f aca="false">IF($A132="",0,SUMIF(GL_Data!$S$8:$S$5007,127104,GL_Data!$P$8:$P$5007))</f>
        <v>0</v>
      </c>
      <c r="V132" s="88" t="n">
        <f aca="false">IF($A132="",0,SUMIF(GL_Data!$S$8:$S$5007,127105,GL_Data!$P$8:$P$5007))</f>
        <v>0</v>
      </c>
      <c r="W132" s="88" t="n">
        <f aca="false">IF($A132="",0,SUMIF(GL_Data!$S$8:$S$5007,127106,GL_Data!$P$8:$P$5007))</f>
        <v>0</v>
      </c>
      <c r="X132" s="88" t="n">
        <f aca="false">IF($A132="",0,SUMIF(GL_Data!$S$8:$S$5007,127107,GL_Data!$P$8:$P$5007))</f>
        <v>0</v>
      </c>
      <c r="Y132" s="88" t="n">
        <f aca="false">IF($A132="",0,SUMIF(GL_Data!$S$8:$S$5007,127108,GL_Data!$P$8:$P$5007))</f>
        <v>0</v>
      </c>
      <c r="Z132" s="88" t="n">
        <f aca="false">IF($A132="",0,SUMIF(GL_Data!$S$8:$S$5007,127109,GL_Data!$P$8:$P$5007))</f>
        <v>0</v>
      </c>
      <c r="AA132" s="88" t="n">
        <f aca="false">IF($A132="",0,SUMIF(GL_Data!$S$8:$S$5007,127110,GL_Data!$P$8:$P$5007))</f>
        <v>0</v>
      </c>
      <c r="AB132" s="88" t="n">
        <f aca="false">IF($A132="",0,SUMIF(GL_Data!$S$8:$S$5007,127111,GL_Data!$P$8:$P$5007))</f>
        <v>0</v>
      </c>
      <c r="AC132" s="88" t="n">
        <f aca="false">IF($A132="",0,SUMIF(GL_Data!$S$8:$S$5007,127112,GL_Data!$P$8:$P$5007))</f>
        <v>0</v>
      </c>
      <c r="AD132" s="89" t="n">
        <f aca="false">IF($A132="",0,INDEX($F132:$AC132,12+Setup!$B$8))</f>
        <v>0</v>
      </c>
      <c r="AE132" s="90" t="n">
        <f aca="false">IF($A132="",0,INDEX($F132:$AC132,Setup!$B$8))</f>
        <v>0</v>
      </c>
      <c r="AF132" s="90" t="n">
        <f aca="false">IF($A132="",0,INDEX($F132:$AC132,11+Setup!$B$8))</f>
        <v>0</v>
      </c>
      <c r="AG132" s="90" t="n">
        <f aca="false">IF($A132="",0,AVERAGE(INDEX($F132:$AC132,9+Setup!$B$8):INDEX($F132:$AC132,11+Setup!$B$8)))</f>
        <v>0</v>
      </c>
      <c r="AH132" s="89" t="n">
        <f aca="false">IF($A132="",0,SUMPRODUCT(($R$3:$AC$3&lt;=Setup!$B$8)*$R132:$AC132))</f>
        <v>0</v>
      </c>
      <c r="AI132" s="90" t="n">
        <f aca="false">IF($A132="",0,SUMPRODUCT(($F$3:$Q$3&lt;=Setup!$B$8)*$F132:$Q132))</f>
        <v>0</v>
      </c>
      <c r="AJ132" s="90" t="n">
        <f aca="false">IF($A132="",0,SUM($F132:$Q132))</f>
        <v>0</v>
      </c>
      <c r="AK132" s="90" t="n">
        <f aca="false">IF($A132="",0,SUM($R132:$AC132))</f>
        <v>0</v>
      </c>
      <c r="AL132" s="91" t="n">
        <f aca="false">IF($A132="",0,IF(SUMPRODUCT(ABS($F132:$AC132))&gt;0,1,0))</f>
        <v>0</v>
      </c>
    </row>
    <row r="133" customFormat="false" ht="15" hidden="false" customHeight="false" outlineLevel="0" collapsed="false">
      <c r="A133" s="68" t="str">
        <f aca="false">IF(COA_Mapping!$A134="","",COA_Mapping!$A134)</f>
        <v>Dues &amp; Subscriptions</v>
      </c>
      <c r="B133" s="68" t="str">
        <f aca="false">IF($A133="","",COA_Mapping!$C134)</f>
        <v>Expenses</v>
      </c>
      <c r="C133" s="68" t="str">
        <f aca="false">IF($A133="","",COA_Mapping!$E134)</f>
        <v>P&amp;L</v>
      </c>
      <c r="D133" s="68" t="str">
        <f aca="false">IF($A133="","",COA_Mapping!$D134)</f>
        <v>Unallocated</v>
      </c>
      <c r="E133" s="86" t="n">
        <f aca="false">IF($A133="",1,COA_Mapping!$F134)</f>
        <v>1</v>
      </c>
      <c r="F133" s="87" t="n">
        <f aca="false">IF($A133="",0,SUMIF(GL_Data!$S$8:$S$5007,128001,GL_Data!$P$8:$P$5007))</f>
        <v>0</v>
      </c>
      <c r="G133" s="87" t="n">
        <f aca="false">IF($A133="",0,SUMIF(GL_Data!$S$8:$S$5007,128002,GL_Data!$P$8:$P$5007))</f>
        <v>0</v>
      </c>
      <c r="H133" s="87" t="n">
        <f aca="false">IF($A133="",0,SUMIF(GL_Data!$S$8:$S$5007,128003,GL_Data!$P$8:$P$5007))</f>
        <v>0</v>
      </c>
      <c r="I133" s="87" t="n">
        <f aca="false">IF($A133="",0,SUMIF(GL_Data!$S$8:$S$5007,128004,GL_Data!$P$8:$P$5007))</f>
        <v>0</v>
      </c>
      <c r="J133" s="87" t="n">
        <f aca="false">IF($A133="",0,SUMIF(GL_Data!$S$8:$S$5007,128005,GL_Data!$P$8:$P$5007))</f>
        <v>0</v>
      </c>
      <c r="K133" s="87" t="n">
        <f aca="false">IF($A133="",0,SUMIF(GL_Data!$S$8:$S$5007,128006,GL_Data!$P$8:$P$5007))</f>
        <v>0</v>
      </c>
      <c r="L133" s="87" t="n">
        <f aca="false">IF($A133="",0,SUMIF(GL_Data!$S$8:$S$5007,128007,GL_Data!$P$8:$P$5007))</f>
        <v>0</v>
      </c>
      <c r="M133" s="87" t="n">
        <f aca="false">IF($A133="",0,SUMIF(GL_Data!$S$8:$S$5007,128008,GL_Data!$P$8:$P$5007))</f>
        <v>0</v>
      </c>
      <c r="N133" s="87" t="n">
        <f aca="false">IF($A133="",0,SUMIF(GL_Data!$S$8:$S$5007,128009,GL_Data!$P$8:$P$5007))</f>
        <v>0</v>
      </c>
      <c r="O133" s="87" t="n">
        <f aca="false">IF($A133="",0,SUMIF(GL_Data!$S$8:$S$5007,128010,GL_Data!$P$8:$P$5007))</f>
        <v>0</v>
      </c>
      <c r="P133" s="87" t="n">
        <f aca="false">IF($A133="",0,SUMIF(GL_Data!$S$8:$S$5007,128011,GL_Data!$P$8:$P$5007))</f>
        <v>0</v>
      </c>
      <c r="Q133" s="87" t="n">
        <f aca="false">IF($A133="",0,SUMIF(GL_Data!$S$8:$S$5007,128012,GL_Data!$P$8:$P$5007))</f>
        <v>0</v>
      </c>
      <c r="R133" s="88" t="n">
        <f aca="false">IF($A133="",0,SUMIF(GL_Data!$S$8:$S$5007,128101,GL_Data!$P$8:$P$5007))</f>
        <v>0</v>
      </c>
      <c r="S133" s="88" t="n">
        <f aca="false">IF($A133="",0,SUMIF(GL_Data!$S$8:$S$5007,128102,GL_Data!$P$8:$P$5007))</f>
        <v>0</v>
      </c>
      <c r="T133" s="88" t="n">
        <f aca="false">IF($A133="",0,SUMIF(GL_Data!$S$8:$S$5007,128103,GL_Data!$P$8:$P$5007))</f>
        <v>0</v>
      </c>
      <c r="U133" s="88" t="n">
        <f aca="false">IF($A133="",0,SUMIF(GL_Data!$S$8:$S$5007,128104,GL_Data!$P$8:$P$5007))</f>
        <v>0</v>
      </c>
      <c r="V133" s="88" t="n">
        <f aca="false">IF($A133="",0,SUMIF(GL_Data!$S$8:$S$5007,128105,GL_Data!$P$8:$P$5007))</f>
        <v>0</v>
      </c>
      <c r="W133" s="88" t="n">
        <f aca="false">IF($A133="",0,SUMIF(GL_Data!$S$8:$S$5007,128106,GL_Data!$P$8:$P$5007))</f>
        <v>0</v>
      </c>
      <c r="X133" s="88" t="n">
        <f aca="false">IF($A133="",0,SUMIF(GL_Data!$S$8:$S$5007,128107,GL_Data!$P$8:$P$5007))</f>
        <v>0</v>
      </c>
      <c r="Y133" s="88" t="n">
        <f aca="false">IF($A133="",0,SUMIF(GL_Data!$S$8:$S$5007,128108,GL_Data!$P$8:$P$5007))</f>
        <v>0</v>
      </c>
      <c r="Z133" s="88" t="n">
        <f aca="false">IF($A133="",0,SUMIF(GL_Data!$S$8:$S$5007,128109,GL_Data!$P$8:$P$5007))</f>
        <v>0</v>
      </c>
      <c r="AA133" s="88" t="n">
        <f aca="false">IF($A133="",0,SUMIF(GL_Data!$S$8:$S$5007,128110,GL_Data!$P$8:$P$5007))</f>
        <v>0</v>
      </c>
      <c r="AB133" s="88" t="n">
        <f aca="false">IF($A133="",0,SUMIF(GL_Data!$S$8:$S$5007,128111,GL_Data!$P$8:$P$5007))</f>
        <v>0</v>
      </c>
      <c r="AC133" s="88" t="n">
        <f aca="false">IF($A133="",0,SUMIF(GL_Data!$S$8:$S$5007,128112,GL_Data!$P$8:$P$5007))</f>
        <v>0</v>
      </c>
      <c r="AD133" s="89" t="n">
        <f aca="false">IF($A133="",0,INDEX($F133:$AC133,12+Setup!$B$8))</f>
        <v>0</v>
      </c>
      <c r="AE133" s="90" t="n">
        <f aca="false">IF($A133="",0,INDEX($F133:$AC133,Setup!$B$8))</f>
        <v>0</v>
      </c>
      <c r="AF133" s="90" t="n">
        <f aca="false">IF($A133="",0,INDEX($F133:$AC133,11+Setup!$B$8))</f>
        <v>0</v>
      </c>
      <c r="AG133" s="90" t="n">
        <f aca="false">IF($A133="",0,AVERAGE(INDEX($F133:$AC133,9+Setup!$B$8):INDEX($F133:$AC133,11+Setup!$B$8)))</f>
        <v>0</v>
      </c>
      <c r="AH133" s="89" t="n">
        <f aca="false">IF($A133="",0,SUMPRODUCT(($R$3:$AC$3&lt;=Setup!$B$8)*$R133:$AC133))</f>
        <v>0</v>
      </c>
      <c r="AI133" s="90" t="n">
        <f aca="false">IF($A133="",0,SUMPRODUCT(($F$3:$Q$3&lt;=Setup!$B$8)*$F133:$Q133))</f>
        <v>0</v>
      </c>
      <c r="AJ133" s="90" t="n">
        <f aca="false">IF($A133="",0,SUM($F133:$Q133))</f>
        <v>0</v>
      </c>
      <c r="AK133" s="90" t="n">
        <f aca="false">IF($A133="",0,SUM($R133:$AC133))</f>
        <v>0</v>
      </c>
      <c r="AL133" s="91" t="n">
        <f aca="false">IF($A133="",0,IF(SUMPRODUCT(ABS($F133:$AC133))&gt;0,1,0))</f>
        <v>0</v>
      </c>
    </row>
    <row r="134" customFormat="false" ht="15" hidden="false" customHeight="false" outlineLevel="0" collapsed="false">
      <c r="A134" s="68" t="str">
        <f aca="false">IF(COA_Mapping!$A135="","",COA_Mapping!$A135)</f>
        <v>Electricity</v>
      </c>
      <c r="B134" s="68" t="str">
        <f aca="false">IF($A134="","",COA_Mapping!$C135)</f>
        <v>Expenses</v>
      </c>
      <c r="C134" s="68" t="str">
        <f aca="false">IF($A134="","",COA_Mapping!$E135)</f>
        <v>P&amp;L</v>
      </c>
      <c r="D134" s="68" t="str">
        <f aca="false">IF($A134="","",COA_Mapping!$D135)</f>
        <v>Unallocated</v>
      </c>
      <c r="E134" s="86" t="n">
        <f aca="false">IF($A134="",1,COA_Mapping!$F135)</f>
        <v>1</v>
      </c>
      <c r="F134" s="87" t="n">
        <f aca="false">IF($A134="",0,SUMIF(GL_Data!$S$8:$S$5007,129001,GL_Data!$P$8:$P$5007))</f>
        <v>0</v>
      </c>
      <c r="G134" s="87" t="n">
        <f aca="false">IF($A134="",0,SUMIF(GL_Data!$S$8:$S$5007,129002,GL_Data!$P$8:$P$5007))</f>
        <v>0</v>
      </c>
      <c r="H134" s="87" t="n">
        <f aca="false">IF($A134="",0,SUMIF(GL_Data!$S$8:$S$5007,129003,GL_Data!$P$8:$P$5007))</f>
        <v>0</v>
      </c>
      <c r="I134" s="87" t="n">
        <f aca="false">IF($A134="",0,SUMIF(GL_Data!$S$8:$S$5007,129004,GL_Data!$P$8:$P$5007))</f>
        <v>0</v>
      </c>
      <c r="J134" s="87" t="n">
        <f aca="false">IF($A134="",0,SUMIF(GL_Data!$S$8:$S$5007,129005,GL_Data!$P$8:$P$5007))</f>
        <v>0</v>
      </c>
      <c r="K134" s="87" t="n">
        <f aca="false">IF($A134="",0,SUMIF(GL_Data!$S$8:$S$5007,129006,GL_Data!$P$8:$P$5007))</f>
        <v>0</v>
      </c>
      <c r="L134" s="87" t="n">
        <f aca="false">IF($A134="",0,SUMIF(GL_Data!$S$8:$S$5007,129007,GL_Data!$P$8:$P$5007))</f>
        <v>0</v>
      </c>
      <c r="M134" s="87" t="n">
        <f aca="false">IF($A134="",0,SUMIF(GL_Data!$S$8:$S$5007,129008,GL_Data!$P$8:$P$5007))</f>
        <v>0</v>
      </c>
      <c r="N134" s="87" t="n">
        <f aca="false">IF($A134="",0,SUMIF(GL_Data!$S$8:$S$5007,129009,GL_Data!$P$8:$P$5007))</f>
        <v>0</v>
      </c>
      <c r="O134" s="87" t="n">
        <f aca="false">IF($A134="",0,SUMIF(GL_Data!$S$8:$S$5007,129010,GL_Data!$P$8:$P$5007))</f>
        <v>0</v>
      </c>
      <c r="P134" s="87" t="n">
        <f aca="false">IF($A134="",0,SUMIF(GL_Data!$S$8:$S$5007,129011,GL_Data!$P$8:$P$5007))</f>
        <v>0</v>
      </c>
      <c r="Q134" s="87" t="n">
        <f aca="false">IF($A134="",0,SUMIF(GL_Data!$S$8:$S$5007,129012,GL_Data!$P$8:$P$5007))</f>
        <v>0</v>
      </c>
      <c r="R134" s="88" t="n">
        <f aca="false">IF($A134="",0,SUMIF(GL_Data!$S$8:$S$5007,129101,GL_Data!$P$8:$P$5007))</f>
        <v>0</v>
      </c>
      <c r="S134" s="88" t="n">
        <f aca="false">IF($A134="",0,SUMIF(GL_Data!$S$8:$S$5007,129102,GL_Data!$P$8:$P$5007))</f>
        <v>0</v>
      </c>
      <c r="T134" s="88" t="n">
        <f aca="false">IF($A134="",0,SUMIF(GL_Data!$S$8:$S$5007,129103,GL_Data!$P$8:$P$5007))</f>
        <v>0</v>
      </c>
      <c r="U134" s="88" t="n">
        <f aca="false">IF($A134="",0,SUMIF(GL_Data!$S$8:$S$5007,129104,GL_Data!$P$8:$P$5007))</f>
        <v>0</v>
      </c>
      <c r="V134" s="88" t="n">
        <f aca="false">IF($A134="",0,SUMIF(GL_Data!$S$8:$S$5007,129105,GL_Data!$P$8:$P$5007))</f>
        <v>0</v>
      </c>
      <c r="W134" s="88" t="n">
        <f aca="false">IF($A134="",0,SUMIF(GL_Data!$S$8:$S$5007,129106,GL_Data!$P$8:$P$5007))</f>
        <v>0</v>
      </c>
      <c r="X134" s="88" t="n">
        <f aca="false">IF($A134="",0,SUMIF(GL_Data!$S$8:$S$5007,129107,GL_Data!$P$8:$P$5007))</f>
        <v>0</v>
      </c>
      <c r="Y134" s="88" t="n">
        <f aca="false">IF($A134="",0,SUMIF(GL_Data!$S$8:$S$5007,129108,GL_Data!$P$8:$P$5007))</f>
        <v>0</v>
      </c>
      <c r="Z134" s="88" t="n">
        <f aca="false">IF($A134="",0,SUMIF(GL_Data!$S$8:$S$5007,129109,GL_Data!$P$8:$P$5007))</f>
        <v>0</v>
      </c>
      <c r="AA134" s="88" t="n">
        <f aca="false">IF($A134="",0,SUMIF(GL_Data!$S$8:$S$5007,129110,GL_Data!$P$8:$P$5007))</f>
        <v>0</v>
      </c>
      <c r="AB134" s="88" t="n">
        <f aca="false">IF($A134="",0,SUMIF(GL_Data!$S$8:$S$5007,129111,GL_Data!$P$8:$P$5007))</f>
        <v>0</v>
      </c>
      <c r="AC134" s="88" t="n">
        <f aca="false">IF($A134="",0,SUMIF(GL_Data!$S$8:$S$5007,129112,GL_Data!$P$8:$P$5007))</f>
        <v>0</v>
      </c>
      <c r="AD134" s="89" t="n">
        <f aca="false">IF($A134="",0,INDEX($F134:$AC134,12+Setup!$B$8))</f>
        <v>0</v>
      </c>
      <c r="AE134" s="90" t="n">
        <f aca="false">IF($A134="",0,INDEX($F134:$AC134,Setup!$B$8))</f>
        <v>0</v>
      </c>
      <c r="AF134" s="90" t="n">
        <f aca="false">IF($A134="",0,INDEX($F134:$AC134,11+Setup!$B$8))</f>
        <v>0</v>
      </c>
      <c r="AG134" s="90" t="n">
        <f aca="false">IF($A134="",0,AVERAGE(INDEX($F134:$AC134,9+Setup!$B$8):INDEX($F134:$AC134,11+Setup!$B$8)))</f>
        <v>0</v>
      </c>
      <c r="AH134" s="89" t="n">
        <f aca="false">IF($A134="",0,SUMPRODUCT(($R$3:$AC$3&lt;=Setup!$B$8)*$R134:$AC134))</f>
        <v>0</v>
      </c>
      <c r="AI134" s="90" t="n">
        <f aca="false">IF($A134="",0,SUMPRODUCT(($F$3:$Q$3&lt;=Setup!$B$8)*$F134:$Q134))</f>
        <v>0</v>
      </c>
      <c r="AJ134" s="90" t="n">
        <f aca="false">IF($A134="",0,SUM($F134:$Q134))</f>
        <v>0</v>
      </c>
      <c r="AK134" s="90" t="n">
        <f aca="false">IF($A134="",0,SUM($R134:$AC134))</f>
        <v>0</v>
      </c>
      <c r="AL134" s="91" t="n">
        <f aca="false">IF($A134="",0,IF(SUMPRODUCT(ABS($F134:$AC134))&gt;0,1,0))</f>
        <v>0</v>
      </c>
    </row>
    <row r="135" customFormat="false" ht="15" hidden="false" customHeight="false" outlineLevel="0" collapsed="false">
      <c r="A135" s="68" t="str">
        <f aca="false">IF(COA_Mapping!$A136="","",COA_Mapping!$A136)</f>
        <v>Fax</v>
      </c>
      <c r="B135" s="68" t="str">
        <f aca="false">IF($A135="","",COA_Mapping!$C136)</f>
        <v>Expenses</v>
      </c>
      <c r="C135" s="68" t="str">
        <f aca="false">IF($A135="","",COA_Mapping!$E136)</f>
        <v>P&amp;L</v>
      </c>
      <c r="D135" s="68" t="str">
        <f aca="false">IF($A135="","",COA_Mapping!$D136)</f>
        <v>Unallocated</v>
      </c>
      <c r="E135" s="86" t="n">
        <f aca="false">IF($A135="",1,COA_Mapping!$F136)</f>
        <v>1</v>
      </c>
      <c r="F135" s="87" t="n">
        <f aca="false">IF($A135="",0,SUMIF(GL_Data!$S$8:$S$5007,130001,GL_Data!$P$8:$P$5007))</f>
        <v>0</v>
      </c>
      <c r="G135" s="87" t="n">
        <f aca="false">IF($A135="",0,SUMIF(GL_Data!$S$8:$S$5007,130002,GL_Data!$P$8:$P$5007))</f>
        <v>0</v>
      </c>
      <c r="H135" s="87" t="n">
        <f aca="false">IF($A135="",0,SUMIF(GL_Data!$S$8:$S$5007,130003,GL_Data!$P$8:$P$5007))</f>
        <v>0</v>
      </c>
      <c r="I135" s="87" t="n">
        <f aca="false">IF($A135="",0,SUMIF(GL_Data!$S$8:$S$5007,130004,GL_Data!$P$8:$P$5007))</f>
        <v>0</v>
      </c>
      <c r="J135" s="87" t="n">
        <f aca="false">IF($A135="",0,SUMIF(GL_Data!$S$8:$S$5007,130005,GL_Data!$P$8:$P$5007))</f>
        <v>0</v>
      </c>
      <c r="K135" s="87" t="n">
        <f aca="false">IF($A135="",0,SUMIF(GL_Data!$S$8:$S$5007,130006,GL_Data!$P$8:$P$5007))</f>
        <v>0</v>
      </c>
      <c r="L135" s="87" t="n">
        <f aca="false">IF($A135="",0,SUMIF(GL_Data!$S$8:$S$5007,130007,GL_Data!$P$8:$P$5007))</f>
        <v>0</v>
      </c>
      <c r="M135" s="87" t="n">
        <f aca="false">IF($A135="",0,SUMIF(GL_Data!$S$8:$S$5007,130008,GL_Data!$P$8:$P$5007))</f>
        <v>0</v>
      </c>
      <c r="N135" s="87" t="n">
        <f aca="false">IF($A135="",0,SUMIF(GL_Data!$S$8:$S$5007,130009,GL_Data!$P$8:$P$5007))</f>
        <v>0</v>
      </c>
      <c r="O135" s="87" t="n">
        <f aca="false">IF($A135="",0,SUMIF(GL_Data!$S$8:$S$5007,130010,GL_Data!$P$8:$P$5007))</f>
        <v>0</v>
      </c>
      <c r="P135" s="87" t="n">
        <f aca="false">IF($A135="",0,SUMIF(GL_Data!$S$8:$S$5007,130011,GL_Data!$P$8:$P$5007))</f>
        <v>0</v>
      </c>
      <c r="Q135" s="87" t="n">
        <f aca="false">IF($A135="",0,SUMIF(GL_Data!$S$8:$S$5007,130012,GL_Data!$P$8:$P$5007))</f>
        <v>0</v>
      </c>
      <c r="R135" s="88" t="n">
        <f aca="false">IF($A135="",0,SUMIF(GL_Data!$S$8:$S$5007,130101,GL_Data!$P$8:$P$5007))</f>
        <v>0</v>
      </c>
      <c r="S135" s="88" t="n">
        <f aca="false">IF($A135="",0,SUMIF(GL_Data!$S$8:$S$5007,130102,GL_Data!$P$8:$P$5007))</f>
        <v>0</v>
      </c>
      <c r="T135" s="88" t="n">
        <f aca="false">IF($A135="",0,SUMIF(GL_Data!$S$8:$S$5007,130103,GL_Data!$P$8:$P$5007))</f>
        <v>0</v>
      </c>
      <c r="U135" s="88" t="n">
        <f aca="false">IF($A135="",0,SUMIF(GL_Data!$S$8:$S$5007,130104,GL_Data!$P$8:$P$5007))</f>
        <v>0</v>
      </c>
      <c r="V135" s="88" t="n">
        <f aca="false">IF($A135="",0,SUMIF(GL_Data!$S$8:$S$5007,130105,GL_Data!$P$8:$P$5007))</f>
        <v>0</v>
      </c>
      <c r="W135" s="88" t="n">
        <f aca="false">IF($A135="",0,SUMIF(GL_Data!$S$8:$S$5007,130106,GL_Data!$P$8:$P$5007))</f>
        <v>0</v>
      </c>
      <c r="X135" s="88" t="n">
        <f aca="false">IF($A135="",0,SUMIF(GL_Data!$S$8:$S$5007,130107,GL_Data!$P$8:$P$5007))</f>
        <v>0</v>
      </c>
      <c r="Y135" s="88" t="n">
        <f aca="false">IF($A135="",0,SUMIF(GL_Data!$S$8:$S$5007,130108,GL_Data!$P$8:$P$5007))</f>
        <v>0</v>
      </c>
      <c r="Z135" s="88" t="n">
        <f aca="false">IF($A135="",0,SUMIF(GL_Data!$S$8:$S$5007,130109,GL_Data!$P$8:$P$5007))</f>
        <v>0</v>
      </c>
      <c r="AA135" s="88" t="n">
        <f aca="false">IF($A135="",0,SUMIF(GL_Data!$S$8:$S$5007,130110,GL_Data!$P$8:$P$5007))</f>
        <v>0</v>
      </c>
      <c r="AB135" s="88" t="n">
        <f aca="false">IF($A135="",0,SUMIF(GL_Data!$S$8:$S$5007,130111,GL_Data!$P$8:$P$5007))</f>
        <v>0</v>
      </c>
      <c r="AC135" s="88" t="n">
        <f aca="false">IF($A135="",0,SUMIF(GL_Data!$S$8:$S$5007,130112,GL_Data!$P$8:$P$5007))</f>
        <v>0</v>
      </c>
      <c r="AD135" s="89" t="n">
        <f aca="false">IF($A135="",0,INDEX($F135:$AC135,12+Setup!$B$8))</f>
        <v>0</v>
      </c>
      <c r="AE135" s="90" t="n">
        <f aca="false">IF($A135="",0,INDEX($F135:$AC135,Setup!$B$8))</f>
        <v>0</v>
      </c>
      <c r="AF135" s="90" t="n">
        <f aca="false">IF($A135="",0,INDEX($F135:$AC135,11+Setup!$B$8))</f>
        <v>0</v>
      </c>
      <c r="AG135" s="90" t="n">
        <f aca="false">IF($A135="",0,AVERAGE(INDEX($F135:$AC135,9+Setup!$B$8):INDEX($F135:$AC135,11+Setup!$B$8)))</f>
        <v>0</v>
      </c>
      <c r="AH135" s="89" t="n">
        <f aca="false">IF($A135="",0,SUMPRODUCT(($R$3:$AC$3&lt;=Setup!$B$8)*$R135:$AC135))</f>
        <v>0</v>
      </c>
      <c r="AI135" s="90" t="n">
        <f aca="false">IF($A135="",0,SUMPRODUCT(($F$3:$Q$3&lt;=Setup!$B$8)*$F135:$Q135))</f>
        <v>0</v>
      </c>
      <c r="AJ135" s="90" t="n">
        <f aca="false">IF($A135="",0,SUM($F135:$Q135))</f>
        <v>0</v>
      </c>
      <c r="AK135" s="90" t="n">
        <f aca="false">IF($A135="",0,SUM($R135:$AC135))</f>
        <v>0</v>
      </c>
      <c r="AL135" s="91" t="n">
        <f aca="false">IF($A135="",0,IF(SUMPRODUCT(ABS($F135:$AC135))&gt;0,1,0))</f>
        <v>0</v>
      </c>
    </row>
    <row r="136" customFormat="false" ht="15" hidden="false" customHeight="false" outlineLevel="0" collapsed="false">
      <c r="A136" s="68" t="str">
        <f aca="false">IF(COA_Mapping!$A137="","",COA_Mapping!$A137)</f>
        <v>Filing Fee</v>
      </c>
      <c r="B136" s="68" t="str">
        <f aca="false">IF($A136="","",COA_Mapping!$C137)</f>
        <v>Expenses</v>
      </c>
      <c r="C136" s="68" t="str">
        <f aca="false">IF($A136="","",COA_Mapping!$E137)</f>
        <v>P&amp;L</v>
      </c>
      <c r="D136" s="68" t="str">
        <f aca="false">IF($A136="","",COA_Mapping!$D137)</f>
        <v>Unallocated</v>
      </c>
      <c r="E136" s="86" t="n">
        <f aca="false">IF($A136="",1,COA_Mapping!$F137)</f>
        <v>1</v>
      </c>
      <c r="F136" s="87" t="n">
        <f aca="false">IF($A136="",0,SUMIF(GL_Data!$S$8:$S$5007,131001,GL_Data!$P$8:$P$5007))</f>
        <v>0</v>
      </c>
      <c r="G136" s="87" t="n">
        <f aca="false">IF($A136="",0,SUMIF(GL_Data!$S$8:$S$5007,131002,GL_Data!$P$8:$P$5007))</f>
        <v>0</v>
      </c>
      <c r="H136" s="87" t="n">
        <f aca="false">IF($A136="",0,SUMIF(GL_Data!$S$8:$S$5007,131003,GL_Data!$P$8:$P$5007))</f>
        <v>0</v>
      </c>
      <c r="I136" s="87" t="n">
        <f aca="false">IF($A136="",0,SUMIF(GL_Data!$S$8:$S$5007,131004,GL_Data!$P$8:$P$5007))</f>
        <v>0</v>
      </c>
      <c r="J136" s="87" t="n">
        <f aca="false">IF($A136="",0,SUMIF(GL_Data!$S$8:$S$5007,131005,GL_Data!$P$8:$P$5007))</f>
        <v>0</v>
      </c>
      <c r="K136" s="87" t="n">
        <f aca="false">IF($A136="",0,SUMIF(GL_Data!$S$8:$S$5007,131006,GL_Data!$P$8:$P$5007))</f>
        <v>0</v>
      </c>
      <c r="L136" s="87" t="n">
        <f aca="false">IF($A136="",0,SUMIF(GL_Data!$S$8:$S$5007,131007,GL_Data!$P$8:$P$5007))</f>
        <v>0</v>
      </c>
      <c r="M136" s="87" t="n">
        <f aca="false">IF($A136="",0,SUMIF(GL_Data!$S$8:$S$5007,131008,GL_Data!$P$8:$P$5007))</f>
        <v>0</v>
      </c>
      <c r="N136" s="87" t="n">
        <f aca="false">IF($A136="",0,SUMIF(GL_Data!$S$8:$S$5007,131009,GL_Data!$P$8:$P$5007))</f>
        <v>0</v>
      </c>
      <c r="O136" s="87" t="n">
        <f aca="false">IF($A136="",0,SUMIF(GL_Data!$S$8:$S$5007,131010,GL_Data!$P$8:$P$5007))</f>
        <v>0</v>
      </c>
      <c r="P136" s="87" t="n">
        <f aca="false">IF($A136="",0,SUMIF(GL_Data!$S$8:$S$5007,131011,GL_Data!$P$8:$P$5007))</f>
        <v>0</v>
      </c>
      <c r="Q136" s="87" t="n">
        <f aca="false">IF($A136="",0,SUMIF(GL_Data!$S$8:$S$5007,131012,GL_Data!$P$8:$P$5007))</f>
        <v>0</v>
      </c>
      <c r="R136" s="88" t="n">
        <f aca="false">IF($A136="",0,SUMIF(GL_Data!$S$8:$S$5007,131101,GL_Data!$P$8:$P$5007))</f>
        <v>0</v>
      </c>
      <c r="S136" s="88" t="n">
        <f aca="false">IF($A136="",0,SUMIF(GL_Data!$S$8:$S$5007,131102,GL_Data!$P$8:$P$5007))</f>
        <v>0</v>
      </c>
      <c r="T136" s="88" t="n">
        <f aca="false">IF($A136="",0,SUMIF(GL_Data!$S$8:$S$5007,131103,GL_Data!$P$8:$P$5007))</f>
        <v>0</v>
      </c>
      <c r="U136" s="88" t="n">
        <f aca="false">IF($A136="",0,SUMIF(GL_Data!$S$8:$S$5007,131104,GL_Data!$P$8:$P$5007))</f>
        <v>0</v>
      </c>
      <c r="V136" s="88" t="n">
        <f aca="false">IF($A136="",0,SUMIF(GL_Data!$S$8:$S$5007,131105,GL_Data!$P$8:$P$5007))</f>
        <v>0</v>
      </c>
      <c r="W136" s="88" t="n">
        <f aca="false">IF($A136="",0,SUMIF(GL_Data!$S$8:$S$5007,131106,GL_Data!$P$8:$P$5007))</f>
        <v>0</v>
      </c>
      <c r="X136" s="88" t="n">
        <f aca="false">IF($A136="",0,SUMIF(GL_Data!$S$8:$S$5007,131107,GL_Data!$P$8:$P$5007))</f>
        <v>0</v>
      </c>
      <c r="Y136" s="88" t="n">
        <f aca="false">IF($A136="",0,SUMIF(GL_Data!$S$8:$S$5007,131108,GL_Data!$P$8:$P$5007))</f>
        <v>0</v>
      </c>
      <c r="Z136" s="88" t="n">
        <f aca="false">IF($A136="",0,SUMIF(GL_Data!$S$8:$S$5007,131109,GL_Data!$P$8:$P$5007))</f>
        <v>0</v>
      </c>
      <c r="AA136" s="88" t="n">
        <f aca="false">IF($A136="",0,SUMIF(GL_Data!$S$8:$S$5007,131110,GL_Data!$P$8:$P$5007))</f>
        <v>0</v>
      </c>
      <c r="AB136" s="88" t="n">
        <f aca="false">IF($A136="",0,SUMIF(GL_Data!$S$8:$S$5007,131111,GL_Data!$P$8:$P$5007))</f>
        <v>0</v>
      </c>
      <c r="AC136" s="88" t="n">
        <f aca="false">IF($A136="",0,SUMIF(GL_Data!$S$8:$S$5007,131112,GL_Data!$P$8:$P$5007))</f>
        <v>0</v>
      </c>
      <c r="AD136" s="89" t="n">
        <f aca="false">IF($A136="",0,INDEX($F136:$AC136,12+Setup!$B$8))</f>
        <v>0</v>
      </c>
      <c r="AE136" s="90" t="n">
        <f aca="false">IF($A136="",0,INDEX($F136:$AC136,Setup!$B$8))</f>
        <v>0</v>
      </c>
      <c r="AF136" s="90" t="n">
        <f aca="false">IF($A136="",0,INDEX($F136:$AC136,11+Setup!$B$8))</f>
        <v>0</v>
      </c>
      <c r="AG136" s="90" t="n">
        <f aca="false">IF($A136="",0,AVERAGE(INDEX($F136:$AC136,9+Setup!$B$8):INDEX($F136:$AC136,11+Setup!$B$8)))</f>
        <v>0</v>
      </c>
      <c r="AH136" s="89" t="n">
        <f aca="false">IF($A136="",0,SUMPRODUCT(($R$3:$AC$3&lt;=Setup!$B$8)*$R136:$AC136))</f>
        <v>0</v>
      </c>
      <c r="AI136" s="90" t="n">
        <f aca="false">IF($A136="",0,SUMPRODUCT(($F$3:$Q$3&lt;=Setup!$B$8)*$F136:$Q136))</f>
        <v>0</v>
      </c>
      <c r="AJ136" s="90" t="n">
        <f aca="false">IF($A136="",0,SUM($F136:$Q136))</f>
        <v>0</v>
      </c>
      <c r="AK136" s="90" t="n">
        <f aca="false">IF($A136="",0,SUM($R136:$AC136))</f>
        <v>0</v>
      </c>
      <c r="AL136" s="91" t="n">
        <f aca="false">IF($A136="",0,IF(SUMPRODUCT(ABS($F136:$AC136))&gt;0,1,0))</f>
        <v>0</v>
      </c>
    </row>
    <row r="137" customFormat="false" ht="15" hidden="false" customHeight="false" outlineLevel="0" collapsed="false">
      <c r="A137" s="68" t="str">
        <f aca="false">IF(COA_Mapping!$A138="","",COA_Mapping!$A138)</f>
        <v>Foreign Currency Translation*</v>
      </c>
      <c r="B137" s="68" t="str">
        <f aca="false">IF($A137="","",COA_Mapping!$C138)</f>
        <v>Expenses</v>
      </c>
      <c r="C137" s="68" t="str">
        <f aca="false">IF($A137="","",COA_Mapping!$E138)</f>
        <v>P&amp;L</v>
      </c>
      <c r="D137" s="68" t="str">
        <f aca="false">IF($A137="","",COA_Mapping!$D138)</f>
        <v>Unallocated</v>
      </c>
      <c r="E137" s="86" t="n">
        <f aca="false">IF($A137="",1,COA_Mapping!$F138)</f>
        <v>1</v>
      </c>
      <c r="F137" s="87" t="n">
        <f aca="false">IF($A137="",0,SUMIF(GL_Data!$S$8:$S$5007,132001,GL_Data!$P$8:$P$5007))</f>
        <v>0</v>
      </c>
      <c r="G137" s="87" t="n">
        <f aca="false">IF($A137="",0,SUMIF(GL_Data!$S$8:$S$5007,132002,GL_Data!$P$8:$P$5007))</f>
        <v>0</v>
      </c>
      <c r="H137" s="87" t="n">
        <f aca="false">IF($A137="",0,SUMIF(GL_Data!$S$8:$S$5007,132003,GL_Data!$P$8:$P$5007))</f>
        <v>0</v>
      </c>
      <c r="I137" s="87" t="n">
        <f aca="false">IF($A137="",0,SUMIF(GL_Data!$S$8:$S$5007,132004,GL_Data!$P$8:$P$5007))</f>
        <v>0</v>
      </c>
      <c r="J137" s="87" t="n">
        <f aca="false">IF($A137="",0,SUMIF(GL_Data!$S$8:$S$5007,132005,GL_Data!$P$8:$P$5007))</f>
        <v>0</v>
      </c>
      <c r="K137" s="87" t="n">
        <f aca="false">IF($A137="",0,SUMIF(GL_Data!$S$8:$S$5007,132006,GL_Data!$P$8:$P$5007))</f>
        <v>0</v>
      </c>
      <c r="L137" s="87" t="n">
        <f aca="false">IF($A137="",0,SUMIF(GL_Data!$S$8:$S$5007,132007,GL_Data!$P$8:$P$5007))</f>
        <v>0</v>
      </c>
      <c r="M137" s="87" t="n">
        <f aca="false">IF($A137="",0,SUMIF(GL_Data!$S$8:$S$5007,132008,GL_Data!$P$8:$P$5007))</f>
        <v>0</v>
      </c>
      <c r="N137" s="87" t="n">
        <f aca="false">IF($A137="",0,SUMIF(GL_Data!$S$8:$S$5007,132009,GL_Data!$P$8:$P$5007))</f>
        <v>0</v>
      </c>
      <c r="O137" s="87" t="n">
        <f aca="false">IF($A137="",0,SUMIF(GL_Data!$S$8:$S$5007,132010,GL_Data!$P$8:$P$5007))</f>
        <v>0</v>
      </c>
      <c r="P137" s="87" t="n">
        <f aca="false">IF($A137="",0,SUMIF(GL_Data!$S$8:$S$5007,132011,GL_Data!$P$8:$P$5007))</f>
        <v>0</v>
      </c>
      <c r="Q137" s="87" t="n">
        <f aca="false">IF($A137="",0,SUMIF(GL_Data!$S$8:$S$5007,132012,GL_Data!$P$8:$P$5007))</f>
        <v>0</v>
      </c>
      <c r="R137" s="88" t="n">
        <f aca="false">IF($A137="",0,SUMIF(GL_Data!$S$8:$S$5007,132101,GL_Data!$P$8:$P$5007))</f>
        <v>0</v>
      </c>
      <c r="S137" s="88" t="n">
        <f aca="false">IF($A137="",0,SUMIF(GL_Data!$S$8:$S$5007,132102,GL_Data!$P$8:$P$5007))</f>
        <v>0</v>
      </c>
      <c r="T137" s="88" t="n">
        <f aca="false">IF($A137="",0,SUMIF(GL_Data!$S$8:$S$5007,132103,GL_Data!$P$8:$P$5007))</f>
        <v>0</v>
      </c>
      <c r="U137" s="88" t="n">
        <f aca="false">IF($A137="",0,SUMIF(GL_Data!$S$8:$S$5007,132104,GL_Data!$P$8:$P$5007))</f>
        <v>0</v>
      </c>
      <c r="V137" s="88" t="n">
        <f aca="false">IF($A137="",0,SUMIF(GL_Data!$S$8:$S$5007,132105,GL_Data!$P$8:$P$5007))</f>
        <v>0</v>
      </c>
      <c r="W137" s="88" t="n">
        <f aca="false">IF($A137="",0,SUMIF(GL_Data!$S$8:$S$5007,132106,GL_Data!$P$8:$P$5007))</f>
        <v>0</v>
      </c>
      <c r="X137" s="88" t="n">
        <f aca="false">IF($A137="",0,SUMIF(GL_Data!$S$8:$S$5007,132107,GL_Data!$P$8:$P$5007))</f>
        <v>0</v>
      </c>
      <c r="Y137" s="88" t="n">
        <f aca="false">IF($A137="",0,SUMIF(GL_Data!$S$8:$S$5007,132108,GL_Data!$P$8:$P$5007))</f>
        <v>0</v>
      </c>
      <c r="Z137" s="88" t="n">
        <f aca="false">IF($A137="",0,SUMIF(GL_Data!$S$8:$S$5007,132109,GL_Data!$P$8:$P$5007))</f>
        <v>0</v>
      </c>
      <c r="AA137" s="88" t="n">
        <f aca="false">IF($A137="",0,SUMIF(GL_Data!$S$8:$S$5007,132110,GL_Data!$P$8:$P$5007))</f>
        <v>0</v>
      </c>
      <c r="AB137" s="88" t="n">
        <f aca="false">IF($A137="",0,SUMIF(GL_Data!$S$8:$S$5007,132111,GL_Data!$P$8:$P$5007))</f>
        <v>0</v>
      </c>
      <c r="AC137" s="88" t="n">
        <f aca="false">IF($A137="",0,SUMIF(GL_Data!$S$8:$S$5007,132112,GL_Data!$P$8:$P$5007))</f>
        <v>0</v>
      </c>
      <c r="AD137" s="89" t="n">
        <f aca="false">IF($A137="",0,INDEX($F137:$AC137,12+Setup!$B$8))</f>
        <v>0</v>
      </c>
      <c r="AE137" s="90" t="n">
        <f aca="false">IF($A137="",0,INDEX($F137:$AC137,Setup!$B$8))</f>
        <v>0</v>
      </c>
      <c r="AF137" s="90" t="n">
        <f aca="false">IF($A137="",0,INDEX($F137:$AC137,11+Setup!$B$8))</f>
        <v>0</v>
      </c>
      <c r="AG137" s="90" t="n">
        <f aca="false">IF($A137="",0,AVERAGE(INDEX($F137:$AC137,9+Setup!$B$8):INDEX($F137:$AC137,11+Setup!$B$8)))</f>
        <v>0</v>
      </c>
      <c r="AH137" s="89" t="n">
        <f aca="false">IF($A137="",0,SUMPRODUCT(($R$3:$AC$3&lt;=Setup!$B$8)*$R137:$AC137))</f>
        <v>0</v>
      </c>
      <c r="AI137" s="90" t="n">
        <f aca="false">IF($A137="",0,SUMPRODUCT(($F$3:$Q$3&lt;=Setup!$B$8)*$F137:$Q137))</f>
        <v>0</v>
      </c>
      <c r="AJ137" s="90" t="n">
        <f aca="false">IF($A137="",0,SUM($F137:$Q137))</f>
        <v>0</v>
      </c>
      <c r="AK137" s="90" t="n">
        <f aca="false">IF($A137="",0,SUM($R137:$AC137))</f>
        <v>0</v>
      </c>
      <c r="AL137" s="91" t="n">
        <f aca="false">IF($A137="",0,IF(SUMPRODUCT(ABS($F137:$AC137))&gt;0,1,0))</f>
        <v>0</v>
      </c>
    </row>
    <row r="138" customFormat="false" ht="15" hidden="false" customHeight="false" outlineLevel="0" collapsed="false">
      <c r="A138" s="68" t="str">
        <f aca="false">IF(COA_Mapping!$A139="","",COA_Mapping!$A139)</f>
        <v>Freight Paid</v>
      </c>
      <c r="B138" s="68" t="str">
        <f aca="false">IF($A138="","",COA_Mapping!$C139)</f>
        <v>Expenses</v>
      </c>
      <c r="C138" s="68" t="str">
        <f aca="false">IF($A138="","",COA_Mapping!$E139)</f>
        <v>P&amp;L</v>
      </c>
      <c r="D138" s="68" t="str">
        <f aca="false">IF($A138="","",COA_Mapping!$D139)</f>
        <v>Unallocated</v>
      </c>
      <c r="E138" s="86" t="n">
        <f aca="false">IF($A138="",1,COA_Mapping!$F139)</f>
        <v>1</v>
      </c>
      <c r="F138" s="87" t="n">
        <f aca="false">IF($A138="",0,SUMIF(GL_Data!$S$8:$S$5007,133001,GL_Data!$P$8:$P$5007))</f>
        <v>0</v>
      </c>
      <c r="G138" s="87" t="n">
        <f aca="false">IF($A138="",0,SUMIF(GL_Data!$S$8:$S$5007,133002,GL_Data!$P$8:$P$5007))</f>
        <v>0</v>
      </c>
      <c r="H138" s="87" t="n">
        <f aca="false">IF($A138="",0,SUMIF(GL_Data!$S$8:$S$5007,133003,GL_Data!$P$8:$P$5007))</f>
        <v>0</v>
      </c>
      <c r="I138" s="87" t="n">
        <f aca="false">IF($A138="",0,SUMIF(GL_Data!$S$8:$S$5007,133004,GL_Data!$P$8:$P$5007))</f>
        <v>0</v>
      </c>
      <c r="J138" s="87" t="n">
        <f aca="false">IF($A138="",0,SUMIF(GL_Data!$S$8:$S$5007,133005,GL_Data!$P$8:$P$5007))</f>
        <v>0</v>
      </c>
      <c r="K138" s="87" t="n">
        <f aca="false">IF($A138="",0,SUMIF(GL_Data!$S$8:$S$5007,133006,GL_Data!$P$8:$P$5007))</f>
        <v>0</v>
      </c>
      <c r="L138" s="87" t="n">
        <f aca="false">IF($A138="",0,SUMIF(GL_Data!$S$8:$S$5007,133007,GL_Data!$P$8:$P$5007))</f>
        <v>0</v>
      </c>
      <c r="M138" s="87" t="n">
        <f aca="false">IF($A138="",0,SUMIF(GL_Data!$S$8:$S$5007,133008,GL_Data!$P$8:$P$5007))</f>
        <v>0</v>
      </c>
      <c r="N138" s="87" t="n">
        <f aca="false">IF($A138="",0,SUMIF(GL_Data!$S$8:$S$5007,133009,GL_Data!$P$8:$P$5007))</f>
        <v>0</v>
      </c>
      <c r="O138" s="87" t="n">
        <f aca="false">IF($A138="",0,SUMIF(GL_Data!$S$8:$S$5007,133010,GL_Data!$P$8:$P$5007))</f>
        <v>0</v>
      </c>
      <c r="P138" s="87" t="n">
        <f aca="false">IF($A138="",0,SUMIF(GL_Data!$S$8:$S$5007,133011,GL_Data!$P$8:$P$5007))</f>
        <v>0</v>
      </c>
      <c r="Q138" s="87" t="n">
        <f aca="false">IF($A138="",0,SUMIF(GL_Data!$S$8:$S$5007,133012,GL_Data!$P$8:$P$5007))</f>
        <v>0</v>
      </c>
      <c r="R138" s="88" t="n">
        <f aca="false">IF($A138="",0,SUMIF(GL_Data!$S$8:$S$5007,133101,GL_Data!$P$8:$P$5007))</f>
        <v>0</v>
      </c>
      <c r="S138" s="88" t="n">
        <f aca="false">IF($A138="",0,SUMIF(GL_Data!$S$8:$S$5007,133102,GL_Data!$P$8:$P$5007))</f>
        <v>0</v>
      </c>
      <c r="T138" s="88" t="n">
        <f aca="false">IF($A138="",0,SUMIF(GL_Data!$S$8:$S$5007,133103,GL_Data!$P$8:$P$5007))</f>
        <v>0</v>
      </c>
      <c r="U138" s="88" t="n">
        <f aca="false">IF($A138="",0,SUMIF(GL_Data!$S$8:$S$5007,133104,GL_Data!$P$8:$P$5007))</f>
        <v>0</v>
      </c>
      <c r="V138" s="88" t="n">
        <f aca="false">IF($A138="",0,SUMIF(GL_Data!$S$8:$S$5007,133105,GL_Data!$P$8:$P$5007))</f>
        <v>0</v>
      </c>
      <c r="W138" s="88" t="n">
        <f aca="false">IF($A138="",0,SUMIF(GL_Data!$S$8:$S$5007,133106,GL_Data!$P$8:$P$5007))</f>
        <v>0</v>
      </c>
      <c r="X138" s="88" t="n">
        <f aca="false">IF($A138="",0,SUMIF(GL_Data!$S$8:$S$5007,133107,GL_Data!$P$8:$P$5007))</f>
        <v>0</v>
      </c>
      <c r="Y138" s="88" t="n">
        <f aca="false">IF($A138="",0,SUMIF(GL_Data!$S$8:$S$5007,133108,GL_Data!$P$8:$P$5007))</f>
        <v>0</v>
      </c>
      <c r="Z138" s="88" t="n">
        <f aca="false">IF($A138="",0,SUMIF(GL_Data!$S$8:$S$5007,133109,GL_Data!$P$8:$P$5007))</f>
        <v>0</v>
      </c>
      <c r="AA138" s="88" t="n">
        <f aca="false">IF($A138="",0,SUMIF(GL_Data!$S$8:$S$5007,133110,GL_Data!$P$8:$P$5007))</f>
        <v>0</v>
      </c>
      <c r="AB138" s="88" t="n">
        <f aca="false">IF($A138="",0,SUMIF(GL_Data!$S$8:$S$5007,133111,GL_Data!$P$8:$P$5007))</f>
        <v>0</v>
      </c>
      <c r="AC138" s="88" t="n">
        <f aca="false">IF($A138="",0,SUMIF(GL_Data!$S$8:$S$5007,133112,GL_Data!$P$8:$P$5007))</f>
        <v>0</v>
      </c>
      <c r="AD138" s="89" t="n">
        <f aca="false">IF($A138="",0,INDEX($F138:$AC138,12+Setup!$B$8))</f>
        <v>0</v>
      </c>
      <c r="AE138" s="90" t="n">
        <f aca="false">IF($A138="",0,INDEX($F138:$AC138,Setup!$B$8))</f>
        <v>0</v>
      </c>
      <c r="AF138" s="90" t="n">
        <f aca="false">IF($A138="",0,INDEX($F138:$AC138,11+Setup!$B$8))</f>
        <v>0</v>
      </c>
      <c r="AG138" s="90" t="n">
        <f aca="false">IF($A138="",0,AVERAGE(INDEX($F138:$AC138,9+Setup!$B$8):INDEX($F138:$AC138,11+Setup!$B$8)))</f>
        <v>0</v>
      </c>
      <c r="AH138" s="89" t="n">
        <f aca="false">IF($A138="",0,SUMPRODUCT(($R$3:$AC$3&lt;=Setup!$B$8)*$R138:$AC138))</f>
        <v>0</v>
      </c>
      <c r="AI138" s="90" t="n">
        <f aca="false">IF($A138="",0,SUMPRODUCT(($F$3:$Q$3&lt;=Setup!$B$8)*$F138:$Q138))</f>
        <v>0</v>
      </c>
      <c r="AJ138" s="90" t="n">
        <f aca="false">IF($A138="",0,SUM($F138:$Q138))</f>
        <v>0</v>
      </c>
      <c r="AK138" s="90" t="n">
        <f aca="false">IF($A138="",0,SUM($R138:$AC138))</f>
        <v>0</v>
      </c>
      <c r="AL138" s="91" t="n">
        <f aca="false">IF($A138="",0,IF(SUMPRODUCT(ABS($F138:$AC138))&gt;0,1,0))</f>
        <v>0</v>
      </c>
    </row>
    <row r="139" customFormat="false" ht="15" hidden="false" customHeight="false" outlineLevel="0" collapsed="false">
      <c r="A139" s="68" t="str">
        <f aca="false">IF(COA_Mapping!$A140="","",COA_Mapping!$A140)</f>
        <v>Fringe Benefits Tax</v>
      </c>
      <c r="B139" s="68" t="str">
        <f aca="false">IF($A139="","",COA_Mapping!$C140)</f>
        <v>Expenses</v>
      </c>
      <c r="C139" s="68" t="str">
        <f aca="false">IF($A139="","",COA_Mapping!$E140)</f>
        <v>P&amp;L</v>
      </c>
      <c r="D139" s="68" t="str">
        <f aca="false">IF($A139="","",COA_Mapping!$D140)</f>
        <v>Unallocated</v>
      </c>
      <c r="E139" s="86" t="n">
        <f aca="false">IF($A139="",1,COA_Mapping!$F140)</f>
        <v>1</v>
      </c>
      <c r="F139" s="87" t="n">
        <f aca="false">IF($A139="",0,SUMIF(GL_Data!$S$8:$S$5007,134001,GL_Data!$P$8:$P$5007))</f>
        <v>0</v>
      </c>
      <c r="G139" s="87" t="n">
        <f aca="false">IF($A139="",0,SUMIF(GL_Data!$S$8:$S$5007,134002,GL_Data!$P$8:$P$5007))</f>
        <v>0</v>
      </c>
      <c r="H139" s="87" t="n">
        <f aca="false">IF($A139="",0,SUMIF(GL_Data!$S$8:$S$5007,134003,GL_Data!$P$8:$P$5007))</f>
        <v>0</v>
      </c>
      <c r="I139" s="87" t="n">
        <f aca="false">IF($A139="",0,SUMIF(GL_Data!$S$8:$S$5007,134004,GL_Data!$P$8:$P$5007))</f>
        <v>0</v>
      </c>
      <c r="J139" s="87" t="n">
        <f aca="false">IF($A139="",0,SUMIF(GL_Data!$S$8:$S$5007,134005,GL_Data!$P$8:$P$5007))</f>
        <v>0</v>
      </c>
      <c r="K139" s="87" t="n">
        <f aca="false">IF($A139="",0,SUMIF(GL_Data!$S$8:$S$5007,134006,GL_Data!$P$8:$P$5007))</f>
        <v>0</v>
      </c>
      <c r="L139" s="87" t="n">
        <f aca="false">IF($A139="",0,SUMIF(GL_Data!$S$8:$S$5007,134007,GL_Data!$P$8:$P$5007))</f>
        <v>0</v>
      </c>
      <c r="M139" s="87" t="n">
        <f aca="false">IF($A139="",0,SUMIF(GL_Data!$S$8:$S$5007,134008,GL_Data!$P$8:$P$5007))</f>
        <v>0</v>
      </c>
      <c r="N139" s="87" t="n">
        <f aca="false">IF($A139="",0,SUMIF(GL_Data!$S$8:$S$5007,134009,GL_Data!$P$8:$P$5007))</f>
        <v>0</v>
      </c>
      <c r="O139" s="87" t="n">
        <f aca="false">IF($A139="",0,SUMIF(GL_Data!$S$8:$S$5007,134010,GL_Data!$P$8:$P$5007))</f>
        <v>0</v>
      </c>
      <c r="P139" s="87" t="n">
        <f aca="false">IF($A139="",0,SUMIF(GL_Data!$S$8:$S$5007,134011,GL_Data!$P$8:$P$5007))</f>
        <v>0</v>
      </c>
      <c r="Q139" s="87" t="n">
        <f aca="false">IF($A139="",0,SUMIF(GL_Data!$S$8:$S$5007,134012,GL_Data!$P$8:$P$5007))</f>
        <v>0</v>
      </c>
      <c r="R139" s="88" t="n">
        <f aca="false">IF($A139="",0,SUMIF(GL_Data!$S$8:$S$5007,134101,GL_Data!$P$8:$P$5007))</f>
        <v>0</v>
      </c>
      <c r="S139" s="88" t="n">
        <f aca="false">IF($A139="",0,SUMIF(GL_Data!$S$8:$S$5007,134102,GL_Data!$P$8:$P$5007))</f>
        <v>0</v>
      </c>
      <c r="T139" s="88" t="n">
        <f aca="false">IF($A139="",0,SUMIF(GL_Data!$S$8:$S$5007,134103,GL_Data!$P$8:$P$5007))</f>
        <v>0</v>
      </c>
      <c r="U139" s="88" t="n">
        <f aca="false">IF($A139="",0,SUMIF(GL_Data!$S$8:$S$5007,134104,GL_Data!$P$8:$P$5007))</f>
        <v>0</v>
      </c>
      <c r="V139" s="88" t="n">
        <f aca="false">IF($A139="",0,SUMIF(GL_Data!$S$8:$S$5007,134105,GL_Data!$P$8:$P$5007))</f>
        <v>0</v>
      </c>
      <c r="W139" s="88" t="n">
        <f aca="false">IF($A139="",0,SUMIF(GL_Data!$S$8:$S$5007,134106,GL_Data!$P$8:$P$5007))</f>
        <v>0</v>
      </c>
      <c r="X139" s="88" t="n">
        <f aca="false">IF($A139="",0,SUMIF(GL_Data!$S$8:$S$5007,134107,GL_Data!$P$8:$P$5007))</f>
        <v>0</v>
      </c>
      <c r="Y139" s="88" t="n">
        <f aca="false">IF($A139="",0,SUMIF(GL_Data!$S$8:$S$5007,134108,GL_Data!$P$8:$P$5007))</f>
        <v>0</v>
      </c>
      <c r="Z139" s="88" t="n">
        <f aca="false">IF($A139="",0,SUMIF(GL_Data!$S$8:$S$5007,134109,GL_Data!$P$8:$P$5007))</f>
        <v>0</v>
      </c>
      <c r="AA139" s="88" t="n">
        <f aca="false">IF($A139="",0,SUMIF(GL_Data!$S$8:$S$5007,134110,GL_Data!$P$8:$P$5007))</f>
        <v>0</v>
      </c>
      <c r="AB139" s="88" t="n">
        <f aca="false">IF($A139="",0,SUMIF(GL_Data!$S$8:$S$5007,134111,GL_Data!$P$8:$P$5007))</f>
        <v>0</v>
      </c>
      <c r="AC139" s="88" t="n">
        <f aca="false">IF($A139="",0,SUMIF(GL_Data!$S$8:$S$5007,134112,GL_Data!$P$8:$P$5007))</f>
        <v>0</v>
      </c>
      <c r="AD139" s="89" t="n">
        <f aca="false">IF($A139="",0,INDEX($F139:$AC139,12+Setup!$B$8))</f>
        <v>0</v>
      </c>
      <c r="AE139" s="90" t="n">
        <f aca="false">IF($A139="",0,INDEX($F139:$AC139,Setup!$B$8))</f>
        <v>0</v>
      </c>
      <c r="AF139" s="90" t="n">
        <f aca="false">IF($A139="",0,INDEX($F139:$AC139,11+Setup!$B$8))</f>
        <v>0</v>
      </c>
      <c r="AG139" s="90" t="n">
        <f aca="false">IF($A139="",0,AVERAGE(INDEX($F139:$AC139,9+Setup!$B$8):INDEX($F139:$AC139,11+Setup!$B$8)))</f>
        <v>0</v>
      </c>
      <c r="AH139" s="89" t="n">
        <f aca="false">IF($A139="",0,SUMPRODUCT(($R$3:$AC$3&lt;=Setup!$B$8)*$R139:$AC139))</f>
        <v>0</v>
      </c>
      <c r="AI139" s="90" t="n">
        <f aca="false">IF($A139="",0,SUMPRODUCT(($F$3:$Q$3&lt;=Setup!$B$8)*$F139:$Q139))</f>
        <v>0</v>
      </c>
      <c r="AJ139" s="90" t="n">
        <f aca="false">IF($A139="",0,SUM($F139:$Q139))</f>
        <v>0</v>
      </c>
      <c r="AK139" s="90" t="n">
        <f aca="false">IF($A139="",0,SUM($R139:$AC139))</f>
        <v>0</v>
      </c>
      <c r="AL139" s="91" t="n">
        <f aca="false">IF($A139="",0,IF(SUMPRODUCT(ABS($F139:$AC139))&gt;0,1,0))</f>
        <v>0</v>
      </c>
    </row>
    <row r="140" customFormat="false" ht="15" hidden="false" customHeight="false" outlineLevel="0" collapsed="false">
      <c r="A140" s="68" t="str">
        <f aca="false">IF(COA_Mapping!$A141="","",COA_Mapping!$A141)</f>
        <v>IT Network Service &amp; Support</v>
      </c>
      <c r="B140" s="68" t="str">
        <f aca="false">IF($A140="","",COA_Mapping!$C141)</f>
        <v>Expenses</v>
      </c>
      <c r="C140" s="68" t="str">
        <f aca="false">IF($A140="","",COA_Mapping!$E141)</f>
        <v>P&amp;L</v>
      </c>
      <c r="D140" s="68" t="str">
        <f aca="false">IF($A140="","",COA_Mapping!$D141)</f>
        <v>Unallocated</v>
      </c>
      <c r="E140" s="86" t="n">
        <f aca="false">IF($A140="",1,COA_Mapping!$F141)</f>
        <v>1</v>
      </c>
      <c r="F140" s="87" t="n">
        <f aca="false">IF($A140="",0,SUMIF(GL_Data!$S$8:$S$5007,135001,GL_Data!$P$8:$P$5007))</f>
        <v>0</v>
      </c>
      <c r="G140" s="87" t="n">
        <f aca="false">IF($A140="",0,SUMIF(GL_Data!$S$8:$S$5007,135002,GL_Data!$P$8:$P$5007))</f>
        <v>0</v>
      </c>
      <c r="H140" s="87" t="n">
        <f aca="false">IF($A140="",0,SUMIF(GL_Data!$S$8:$S$5007,135003,GL_Data!$P$8:$P$5007))</f>
        <v>0</v>
      </c>
      <c r="I140" s="87" t="n">
        <f aca="false">IF($A140="",0,SUMIF(GL_Data!$S$8:$S$5007,135004,GL_Data!$P$8:$P$5007))</f>
        <v>0</v>
      </c>
      <c r="J140" s="87" t="n">
        <f aca="false">IF($A140="",0,SUMIF(GL_Data!$S$8:$S$5007,135005,GL_Data!$P$8:$P$5007))</f>
        <v>0</v>
      </c>
      <c r="K140" s="87" t="n">
        <f aca="false">IF($A140="",0,SUMIF(GL_Data!$S$8:$S$5007,135006,GL_Data!$P$8:$P$5007))</f>
        <v>0</v>
      </c>
      <c r="L140" s="87" t="n">
        <f aca="false">IF($A140="",0,SUMIF(GL_Data!$S$8:$S$5007,135007,GL_Data!$P$8:$P$5007))</f>
        <v>0</v>
      </c>
      <c r="M140" s="87" t="n">
        <f aca="false">IF($A140="",0,SUMIF(GL_Data!$S$8:$S$5007,135008,GL_Data!$P$8:$P$5007))</f>
        <v>0</v>
      </c>
      <c r="N140" s="87" t="n">
        <f aca="false">IF($A140="",0,SUMIF(GL_Data!$S$8:$S$5007,135009,GL_Data!$P$8:$P$5007))</f>
        <v>0</v>
      </c>
      <c r="O140" s="87" t="n">
        <f aca="false">IF($A140="",0,SUMIF(GL_Data!$S$8:$S$5007,135010,GL_Data!$P$8:$P$5007))</f>
        <v>0</v>
      </c>
      <c r="P140" s="87" t="n">
        <f aca="false">IF($A140="",0,SUMIF(GL_Data!$S$8:$S$5007,135011,GL_Data!$P$8:$P$5007))</f>
        <v>0</v>
      </c>
      <c r="Q140" s="87" t="n">
        <f aca="false">IF($A140="",0,SUMIF(GL_Data!$S$8:$S$5007,135012,GL_Data!$P$8:$P$5007))</f>
        <v>0</v>
      </c>
      <c r="R140" s="88" t="n">
        <f aca="false">IF($A140="",0,SUMIF(GL_Data!$S$8:$S$5007,135101,GL_Data!$P$8:$P$5007))</f>
        <v>0</v>
      </c>
      <c r="S140" s="88" t="n">
        <f aca="false">IF($A140="",0,SUMIF(GL_Data!$S$8:$S$5007,135102,GL_Data!$P$8:$P$5007))</f>
        <v>0</v>
      </c>
      <c r="T140" s="88" t="n">
        <f aca="false">IF($A140="",0,SUMIF(GL_Data!$S$8:$S$5007,135103,GL_Data!$P$8:$P$5007))</f>
        <v>0</v>
      </c>
      <c r="U140" s="88" t="n">
        <f aca="false">IF($A140="",0,SUMIF(GL_Data!$S$8:$S$5007,135104,GL_Data!$P$8:$P$5007))</f>
        <v>0</v>
      </c>
      <c r="V140" s="88" t="n">
        <f aca="false">IF($A140="",0,SUMIF(GL_Data!$S$8:$S$5007,135105,GL_Data!$P$8:$P$5007))</f>
        <v>0</v>
      </c>
      <c r="W140" s="88" t="n">
        <f aca="false">IF($A140="",0,SUMIF(GL_Data!$S$8:$S$5007,135106,GL_Data!$P$8:$P$5007))</f>
        <v>0</v>
      </c>
      <c r="X140" s="88" t="n">
        <f aca="false">IF($A140="",0,SUMIF(GL_Data!$S$8:$S$5007,135107,GL_Data!$P$8:$P$5007))</f>
        <v>0</v>
      </c>
      <c r="Y140" s="88" t="n">
        <f aca="false">IF($A140="",0,SUMIF(GL_Data!$S$8:$S$5007,135108,GL_Data!$P$8:$P$5007))</f>
        <v>0</v>
      </c>
      <c r="Z140" s="88" t="n">
        <f aca="false">IF($A140="",0,SUMIF(GL_Data!$S$8:$S$5007,135109,GL_Data!$P$8:$P$5007))</f>
        <v>0</v>
      </c>
      <c r="AA140" s="88" t="n">
        <f aca="false">IF($A140="",0,SUMIF(GL_Data!$S$8:$S$5007,135110,GL_Data!$P$8:$P$5007))</f>
        <v>0</v>
      </c>
      <c r="AB140" s="88" t="n">
        <f aca="false">IF($A140="",0,SUMIF(GL_Data!$S$8:$S$5007,135111,GL_Data!$P$8:$P$5007))</f>
        <v>0</v>
      </c>
      <c r="AC140" s="88" t="n">
        <f aca="false">IF($A140="",0,SUMIF(GL_Data!$S$8:$S$5007,135112,GL_Data!$P$8:$P$5007))</f>
        <v>0</v>
      </c>
      <c r="AD140" s="89" t="n">
        <f aca="false">IF($A140="",0,INDEX($F140:$AC140,12+Setup!$B$8))</f>
        <v>0</v>
      </c>
      <c r="AE140" s="90" t="n">
        <f aca="false">IF($A140="",0,INDEX($F140:$AC140,Setup!$B$8))</f>
        <v>0</v>
      </c>
      <c r="AF140" s="90" t="n">
        <f aca="false">IF($A140="",0,INDEX($F140:$AC140,11+Setup!$B$8))</f>
        <v>0</v>
      </c>
      <c r="AG140" s="90" t="n">
        <f aca="false">IF($A140="",0,AVERAGE(INDEX($F140:$AC140,9+Setup!$B$8):INDEX($F140:$AC140,11+Setup!$B$8)))</f>
        <v>0</v>
      </c>
      <c r="AH140" s="89" t="n">
        <f aca="false">IF($A140="",0,SUMPRODUCT(($R$3:$AC$3&lt;=Setup!$B$8)*$R140:$AC140))</f>
        <v>0</v>
      </c>
      <c r="AI140" s="90" t="n">
        <f aca="false">IF($A140="",0,SUMPRODUCT(($F$3:$Q$3&lt;=Setup!$B$8)*$F140:$Q140))</f>
        <v>0</v>
      </c>
      <c r="AJ140" s="90" t="n">
        <f aca="false">IF($A140="",0,SUM($F140:$Q140))</f>
        <v>0</v>
      </c>
      <c r="AK140" s="90" t="n">
        <f aca="false">IF($A140="",0,SUM($R140:$AC140))</f>
        <v>0</v>
      </c>
      <c r="AL140" s="91" t="n">
        <f aca="false">IF($A140="",0,IF(SUMPRODUCT(ABS($F140:$AC140))&gt;0,1,0))</f>
        <v>0</v>
      </c>
    </row>
    <row r="141" customFormat="false" ht="15" hidden="false" customHeight="false" outlineLevel="0" collapsed="false">
      <c r="A141" s="68" t="str">
        <f aca="false">IF(COA_Mapping!$A142="","",COA_Mapping!$A142)</f>
        <v>Income Tax Expense</v>
      </c>
      <c r="B141" s="68" t="str">
        <f aca="false">IF($A141="","",COA_Mapping!$C142)</f>
        <v>Expenses</v>
      </c>
      <c r="C141" s="68" t="str">
        <f aca="false">IF($A141="","",COA_Mapping!$E142)</f>
        <v>P&amp;L</v>
      </c>
      <c r="D141" s="68" t="str">
        <f aca="false">IF($A141="","",COA_Mapping!$D142)</f>
        <v>Unallocated</v>
      </c>
      <c r="E141" s="86" t="n">
        <f aca="false">IF($A141="",1,COA_Mapping!$F142)</f>
        <v>1</v>
      </c>
      <c r="F141" s="87" t="n">
        <f aca="false">IF($A141="",0,SUMIF(GL_Data!$S$8:$S$5007,136001,GL_Data!$P$8:$P$5007))</f>
        <v>0</v>
      </c>
      <c r="G141" s="87" t="n">
        <f aca="false">IF($A141="",0,SUMIF(GL_Data!$S$8:$S$5007,136002,GL_Data!$P$8:$P$5007))</f>
        <v>0</v>
      </c>
      <c r="H141" s="87" t="n">
        <f aca="false">IF($A141="",0,SUMIF(GL_Data!$S$8:$S$5007,136003,GL_Data!$P$8:$P$5007))</f>
        <v>0</v>
      </c>
      <c r="I141" s="87" t="n">
        <f aca="false">IF($A141="",0,SUMIF(GL_Data!$S$8:$S$5007,136004,GL_Data!$P$8:$P$5007))</f>
        <v>0</v>
      </c>
      <c r="J141" s="87" t="n">
        <f aca="false">IF($A141="",0,SUMIF(GL_Data!$S$8:$S$5007,136005,GL_Data!$P$8:$P$5007))</f>
        <v>0</v>
      </c>
      <c r="K141" s="87" t="n">
        <f aca="false">IF($A141="",0,SUMIF(GL_Data!$S$8:$S$5007,136006,GL_Data!$P$8:$P$5007))</f>
        <v>0</v>
      </c>
      <c r="L141" s="87" t="n">
        <f aca="false">IF($A141="",0,SUMIF(GL_Data!$S$8:$S$5007,136007,GL_Data!$P$8:$P$5007))</f>
        <v>0</v>
      </c>
      <c r="M141" s="87" t="n">
        <f aca="false">IF($A141="",0,SUMIF(GL_Data!$S$8:$S$5007,136008,GL_Data!$P$8:$P$5007))</f>
        <v>0</v>
      </c>
      <c r="N141" s="87" t="n">
        <f aca="false">IF($A141="",0,SUMIF(GL_Data!$S$8:$S$5007,136009,GL_Data!$P$8:$P$5007))</f>
        <v>0</v>
      </c>
      <c r="O141" s="87" t="n">
        <f aca="false">IF($A141="",0,SUMIF(GL_Data!$S$8:$S$5007,136010,GL_Data!$P$8:$P$5007))</f>
        <v>0</v>
      </c>
      <c r="P141" s="87" t="n">
        <f aca="false">IF($A141="",0,SUMIF(GL_Data!$S$8:$S$5007,136011,GL_Data!$P$8:$P$5007))</f>
        <v>0</v>
      </c>
      <c r="Q141" s="87" t="n">
        <f aca="false">IF($A141="",0,SUMIF(GL_Data!$S$8:$S$5007,136012,GL_Data!$P$8:$P$5007))</f>
        <v>0</v>
      </c>
      <c r="R141" s="88" t="n">
        <f aca="false">IF($A141="",0,SUMIF(GL_Data!$S$8:$S$5007,136101,GL_Data!$P$8:$P$5007))</f>
        <v>0</v>
      </c>
      <c r="S141" s="88" t="n">
        <f aca="false">IF($A141="",0,SUMIF(GL_Data!$S$8:$S$5007,136102,GL_Data!$P$8:$P$5007))</f>
        <v>0</v>
      </c>
      <c r="T141" s="88" t="n">
        <f aca="false">IF($A141="",0,SUMIF(GL_Data!$S$8:$S$5007,136103,GL_Data!$P$8:$P$5007))</f>
        <v>0</v>
      </c>
      <c r="U141" s="88" t="n">
        <f aca="false">IF($A141="",0,SUMIF(GL_Data!$S$8:$S$5007,136104,GL_Data!$P$8:$P$5007))</f>
        <v>0</v>
      </c>
      <c r="V141" s="88" t="n">
        <f aca="false">IF($A141="",0,SUMIF(GL_Data!$S$8:$S$5007,136105,GL_Data!$P$8:$P$5007))</f>
        <v>0</v>
      </c>
      <c r="W141" s="88" t="n">
        <f aca="false">IF($A141="",0,SUMIF(GL_Data!$S$8:$S$5007,136106,GL_Data!$P$8:$P$5007))</f>
        <v>0</v>
      </c>
      <c r="X141" s="88" t="n">
        <f aca="false">IF($A141="",0,SUMIF(GL_Data!$S$8:$S$5007,136107,GL_Data!$P$8:$P$5007))</f>
        <v>0</v>
      </c>
      <c r="Y141" s="88" t="n">
        <f aca="false">IF($A141="",0,SUMIF(GL_Data!$S$8:$S$5007,136108,GL_Data!$P$8:$P$5007))</f>
        <v>0</v>
      </c>
      <c r="Z141" s="88" t="n">
        <f aca="false">IF($A141="",0,SUMIF(GL_Data!$S$8:$S$5007,136109,GL_Data!$P$8:$P$5007))</f>
        <v>0</v>
      </c>
      <c r="AA141" s="88" t="n">
        <f aca="false">IF($A141="",0,SUMIF(GL_Data!$S$8:$S$5007,136110,GL_Data!$P$8:$P$5007))</f>
        <v>0</v>
      </c>
      <c r="AB141" s="88" t="n">
        <f aca="false">IF($A141="",0,SUMIF(GL_Data!$S$8:$S$5007,136111,GL_Data!$P$8:$P$5007))</f>
        <v>0</v>
      </c>
      <c r="AC141" s="88" t="n">
        <f aca="false">IF($A141="",0,SUMIF(GL_Data!$S$8:$S$5007,136112,GL_Data!$P$8:$P$5007))</f>
        <v>0</v>
      </c>
      <c r="AD141" s="89" t="n">
        <f aca="false">IF($A141="",0,INDEX($F141:$AC141,12+Setup!$B$8))</f>
        <v>0</v>
      </c>
      <c r="AE141" s="90" t="n">
        <f aca="false">IF($A141="",0,INDEX($F141:$AC141,Setup!$B$8))</f>
        <v>0</v>
      </c>
      <c r="AF141" s="90" t="n">
        <f aca="false">IF($A141="",0,INDEX($F141:$AC141,11+Setup!$B$8))</f>
        <v>0</v>
      </c>
      <c r="AG141" s="90" t="n">
        <f aca="false">IF($A141="",0,AVERAGE(INDEX($F141:$AC141,9+Setup!$B$8):INDEX($F141:$AC141,11+Setup!$B$8)))</f>
        <v>0</v>
      </c>
      <c r="AH141" s="89" t="n">
        <f aca="false">IF($A141="",0,SUMPRODUCT(($R$3:$AC$3&lt;=Setup!$B$8)*$R141:$AC141))</f>
        <v>0</v>
      </c>
      <c r="AI141" s="90" t="n">
        <f aca="false">IF($A141="",0,SUMPRODUCT(($F$3:$Q$3&lt;=Setup!$B$8)*$F141:$Q141))</f>
        <v>0</v>
      </c>
      <c r="AJ141" s="90" t="n">
        <f aca="false">IF($A141="",0,SUM($F141:$Q141))</f>
        <v>0</v>
      </c>
      <c r="AK141" s="90" t="n">
        <f aca="false">IF($A141="",0,SUM($R141:$AC141))</f>
        <v>0</v>
      </c>
      <c r="AL141" s="91" t="n">
        <f aca="false">IF($A141="",0,IF(SUMPRODUCT(ABS($F141:$AC141))&gt;0,1,0))</f>
        <v>0</v>
      </c>
    </row>
    <row r="142" customFormat="false" ht="15" hidden="false" customHeight="false" outlineLevel="0" collapsed="false">
      <c r="A142" s="68" t="str">
        <f aca="false">IF(COA_Mapping!$A143="","",COA_Mapping!$A143)</f>
        <v>Indirect Salaries - ADMIN</v>
      </c>
      <c r="B142" s="68" t="str">
        <f aca="false">IF($A142="","",COA_Mapping!$C143)</f>
        <v>Expenses</v>
      </c>
      <c r="C142" s="68" t="str">
        <f aca="false">IF($A142="","",COA_Mapping!$E143)</f>
        <v>P&amp;L</v>
      </c>
      <c r="D142" s="68" t="str">
        <f aca="false">IF($A142="","",COA_Mapping!$D143)</f>
        <v>Admin</v>
      </c>
      <c r="E142" s="86" t="n">
        <f aca="false">IF($A142="",1,COA_Mapping!$F143)</f>
        <v>1</v>
      </c>
      <c r="F142" s="87" t="n">
        <f aca="false">IF($A142="",0,SUMIF(GL_Data!$S$8:$S$5007,137001,GL_Data!$P$8:$P$5007))</f>
        <v>0</v>
      </c>
      <c r="G142" s="87" t="n">
        <f aca="false">IF($A142="",0,SUMIF(GL_Data!$S$8:$S$5007,137002,GL_Data!$P$8:$P$5007))</f>
        <v>0</v>
      </c>
      <c r="H142" s="87" t="n">
        <f aca="false">IF($A142="",0,SUMIF(GL_Data!$S$8:$S$5007,137003,GL_Data!$P$8:$P$5007))</f>
        <v>0</v>
      </c>
      <c r="I142" s="87" t="n">
        <f aca="false">IF($A142="",0,SUMIF(GL_Data!$S$8:$S$5007,137004,GL_Data!$P$8:$P$5007))</f>
        <v>0</v>
      </c>
      <c r="J142" s="87" t="n">
        <f aca="false">IF($A142="",0,SUMIF(GL_Data!$S$8:$S$5007,137005,GL_Data!$P$8:$P$5007))</f>
        <v>0</v>
      </c>
      <c r="K142" s="87" t="n">
        <f aca="false">IF($A142="",0,SUMIF(GL_Data!$S$8:$S$5007,137006,GL_Data!$P$8:$P$5007))</f>
        <v>0</v>
      </c>
      <c r="L142" s="87" t="n">
        <f aca="false">IF($A142="",0,SUMIF(GL_Data!$S$8:$S$5007,137007,GL_Data!$P$8:$P$5007))</f>
        <v>0</v>
      </c>
      <c r="M142" s="87" t="n">
        <f aca="false">IF($A142="",0,SUMIF(GL_Data!$S$8:$S$5007,137008,GL_Data!$P$8:$P$5007))</f>
        <v>0</v>
      </c>
      <c r="N142" s="87" t="n">
        <f aca="false">IF($A142="",0,SUMIF(GL_Data!$S$8:$S$5007,137009,GL_Data!$P$8:$P$5007))</f>
        <v>0</v>
      </c>
      <c r="O142" s="87" t="n">
        <f aca="false">IF($A142="",0,SUMIF(GL_Data!$S$8:$S$5007,137010,GL_Data!$P$8:$P$5007))</f>
        <v>0</v>
      </c>
      <c r="P142" s="87" t="n">
        <f aca="false">IF($A142="",0,SUMIF(GL_Data!$S$8:$S$5007,137011,GL_Data!$P$8:$P$5007))</f>
        <v>0</v>
      </c>
      <c r="Q142" s="87" t="n">
        <f aca="false">IF($A142="",0,SUMIF(GL_Data!$S$8:$S$5007,137012,GL_Data!$P$8:$P$5007))</f>
        <v>0</v>
      </c>
      <c r="R142" s="88" t="n">
        <f aca="false">IF($A142="",0,SUMIF(GL_Data!$S$8:$S$5007,137101,GL_Data!$P$8:$P$5007))</f>
        <v>0</v>
      </c>
      <c r="S142" s="88" t="n">
        <f aca="false">IF($A142="",0,SUMIF(GL_Data!$S$8:$S$5007,137102,GL_Data!$P$8:$P$5007))</f>
        <v>0</v>
      </c>
      <c r="T142" s="88" t="n">
        <f aca="false">IF($A142="",0,SUMIF(GL_Data!$S$8:$S$5007,137103,GL_Data!$P$8:$P$5007))</f>
        <v>0</v>
      </c>
      <c r="U142" s="88" t="n">
        <f aca="false">IF($A142="",0,SUMIF(GL_Data!$S$8:$S$5007,137104,GL_Data!$P$8:$P$5007))</f>
        <v>0</v>
      </c>
      <c r="V142" s="88" t="n">
        <f aca="false">IF($A142="",0,SUMIF(GL_Data!$S$8:$S$5007,137105,GL_Data!$P$8:$P$5007))</f>
        <v>0</v>
      </c>
      <c r="W142" s="88" t="n">
        <f aca="false">IF($A142="",0,SUMIF(GL_Data!$S$8:$S$5007,137106,GL_Data!$P$8:$P$5007))</f>
        <v>0</v>
      </c>
      <c r="X142" s="88" t="n">
        <f aca="false">IF($A142="",0,SUMIF(GL_Data!$S$8:$S$5007,137107,GL_Data!$P$8:$P$5007))</f>
        <v>0</v>
      </c>
      <c r="Y142" s="88" t="n">
        <f aca="false">IF($A142="",0,SUMIF(GL_Data!$S$8:$S$5007,137108,GL_Data!$P$8:$P$5007))</f>
        <v>0</v>
      </c>
      <c r="Z142" s="88" t="n">
        <f aca="false">IF($A142="",0,SUMIF(GL_Data!$S$8:$S$5007,137109,GL_Data!$P$8:$P$5007))</f>
        <v>0</v>
      </c>
      <c r="AA142" s="88" t="n">
        <f aca="false">IF($A142="",0,SUMIF(GL_Data!$S$8:$S$5007,137110,GL_Data!$P$8:$P$5007))</f>
        <v>0</v>
      </c>
      <c r="AB142" s="88" t="n">
        <f aca="false">IF($A142="",0,SUMIF(GL_Data!$S$8:$S$5007,137111,GL_Data!$P$8:$P$5007))</f>
        <v>0</v>
      </c>
      <c r="AC142" s="88" t="n">
        <f aca="false">IF($A142="",0,SUMIF(GL_Data!$S$8:$S$5007,137112,GL_Data!$P$8:$P$5007))</f>
        <v>0</v>
      </c>
      <c r="AD142" s="89" t="n">
        <f aca="false">IF($A142="",0,INDEX($F142:$AC142,12+Setup!$B$8))</f>
        <v>0</v>
      </c>
      <c r="AE142" s="90" t="n">
        <f aca="false">IF($A142="",0,INDEX($F142:$AC142,Setup!$B$8))</f>
        <v>0</v>
      </c>
      <c r="AF142" s="90" t="n">
        <f aca="false">IF($A142="",0,INDEX($F142:$AC142,11+Setup!$B$8))</f>
        <v>0</v>
      </c>
      <c r="AG142" s="90" t="n">
        <f aca="false">IF($A142="",0,AVERAGE(INDEX($F142:$AC142,9+Setup!$B$8):INDEX($F142:$AC142,11+Setup!$B$8)))</f>
        <v>0</v>
      </c>
      <c r="AH142" s="89" t="n">
        <f aca="false">IF($A142="",0,SUMPRODUCT(($R$3:$AC$3&lt;=Setup!$B$8)*$R142:$AC142))</f>
        <v>0</v>
      </c>
      <c r="AI142" s="90" t="n">
        <f aca="false">IF($A142="",0,SUMPRODUCT(($F$3:$Q$3&lt;=Setup!$B$8)*$F142:$Q142))</f>
        <v>0</v>
      </c>
      <c r="AJ142" s="90" t="n">
        <f aca="false">IF($A142="",0,SUM($F142:$Q142))</f>
        <v>0</v>
      </c>
      <c r="AK142" s="90" t="n">
        <f aca="false">IF($A142="",0,SUM($R142:$AC142))</f>
        <v>0</v>
      </c>
      <c r="AL142" s="91" t="n">
        <f aca="false">IF($A142="",0,IF(SUMPRODUCT(ABS($F142:$AC142))&gt;0,1,0))</f>
        <v>0</v>
      </c>
    </row>
    <row r="143" customFormat="false" ht="15" hidden="false" customHeight="false" outlineLevel="0" collapsed="false">
      <c r="A143" s="68" t="str">
        <f aca="false">IF(COA_Mapping!$A144="","",COA_Mapping!$A144)</f>
        <v>Indirect Salaries - CONS</v>
      </c>
      <c r="B143" s="68" t="str">
        <f aca="false">IF($A143="","",COA_Mapping!$C144)</f>
        <v>Expenses</v>
      </c>
      <c r="C143" s="68" t="str">
        <f aca="false">IF($A143="","",COA_Mapping!$E144)</f>
        <v>P&amp;L</v>
      </c>
      <c r="D143" s="68" t="str">
        <f aca="false">IF($A143="","",COA_Mapping!$D144)</f>
        <v>Consulting</v>
      </c>
      <c r="E143" s="86" t="n">
        <f aca="false">IF($A143="",1,COA_Mapping!$F144)</f>
        <v>1</v>
      </c>
      <c r="F143" s="87" t="n">
        <f aca="false">IF($A143="",0,SUMIF(GL_Data!$S$8:$S$5007,138001,GL_Data!$P$8:$P$5007))</f>
        <v>0</v>
      </c>
      <c r="G143" s="87" t="n">
        <f aca="false">IF($A143="",0,SUMIF(GL_Data!$S$8:$S$5007,138002,GL_Data!$P$8:$P$5007))</f>
        <v>0</v>
      </c>
      <c r="H143" s="87" t="n">
        <f aca="false">IF($A143="",0,SUMIF(GL_Data!$S$8:$S$5007,138003,GL_Data!$P$8:$P$5007))</f>
        <v>0</v>
      </c>
      <c r="I143" s="87" t="n">
        <f aca="false">IF($A143="",0,SUMIF(GL_Data!$S$8:$S$5007,138004,GL_Data!$P$8:$P$5007))</f>
        <v>0</v>
      </c>
      <c r="J143" s="87" t="n">
        <f aca="false">IF($A143="",0,SUMIF(GL_Data!$S$8:$S$5007,138005,GL_Data!$P$8:$P$5007))</f>
        <v>0</v>
      </c>
      <c r="K143" s="87" t="n">
        <f aca="false">IF($A143="",0,SUMIF(GL_Data!$S$8:$S$5007,138006,GL_Data!$P$8:$P$5007))</f>
        <v>0</v>
      </c>
      <c r="L143" s="87" t="n">
        <f aca="false">IF($A143="",0,SUMIF(GL_Data!$S$8:$S$5007,138007,GL_Data!$P$8:$P$5007))</f>
        <v>0</v>
      </c>
      <c r="M143" s="87" t="n">
        <f aca="false">IF($A143="",0,SUMIF(GL_Data!$S$8:$S$5007,138008,GL_Data!$P$8:$P$5007))</f>
        <v>0</v>
      </c>
      <c r="N143" s="87" t="n">
        <f aca="false">IF($A143="",0,SUMIF(GL_Data!$S$8:$S$5007,138009,GL_Data!$P$8:$P$5007))</f>
        <v>0</v>
      </c>
      <c r="O143" s="87" t="n">
        <f aca="false">IF($A143="",0,SUMIF(GL_Data!$S$8:$S$5007,138010,GL_Data!$P$8:$P$5007))</f>
        <v>0</v>
      </c>
      <c r="P143" s="87" t="n">
        <f aca="false">IF($A143="",0,SUMIF(GL_Data!$S$8:$S$5007,138011,GL_Data!$P$8:$P$5007))</f>
        <v>0</v>
      </c>
      <c r="Q143" s="87" t="n">
        <f aca="false">IF($A143="",0,SUMIF(GL_Data!$S$8:$S$5007,138012,GL_Data!$P$8:$P$5007))</f>
        <v>0</v>
      </c>
      <c r="R143" s="88" t="n">
        <f aca="false">IF($A143="",0,SUMIF(GL_Data!$S$8:$S$5007,138101,GL_Data!$P$8:$P$5007))</f>
        <v>0</v>
      </c>
      <c r="S143" s="88" t="n">
        <f aca="false">IF($A143="",0,SUMIF(GL_Data!$S$8:$S$5007,138102,GL_Data!$P$8:$P$5007))</f>
        <v>0</v>
      </c>
      <c r="T143" s="88" t="n">
        <f aca="false">IF($A143="",0,SUMIF(GL_Data!$S$8:$S$5007,138103,GL_Data!$P$8:$P$5007))</f>
        <v>0</v>
      </c>
      <c r="U143" s="88" t="n">
        <f aca="false">IF($A143="",0,SUMIF(GL_Data!$S$8:$S$5007,138104,GL_Data!$P$8:$P$5007))</f>
        <v>0</v>
      </c>
      <c r="V143" s="88" t="n">
        <f aca="false">IF($A143="",0,SUMIF(GL_Data!$S$8:$S$5007,138105,GL_Data!$P$8:$P$5007))</f>
        <v>0</v>
      </c>
      <c r="W143" s="88" t="n">
        <f aca="false">IF($A143="",0,SUMIF(GL_Data!$S$8:$S$5007,138106,GL_Data!$P$8:$P$5007))</f>
        <v>0</v>
      </c>
      <c r="X143" s="88" t="n">
        <f aca="false">IF($A143="",0,SUMIF(GL_Data!$S$8:$S$5007,138107,GL_Data!$P$8:$P$5007))</f>
        <v>0</v>
      </c>
      <c r="Y143" s="88" t="n">
        <f aca="false">IF($A143="",0,SUMIF(GL_Data!$S$8:$S$5007,138108,GL_Data!$P$8:$P$5007))</f>
        <v>0</v>
      </c>
      <c r="Z143" s="88" t="n">
        <f aca="false">IF($A143="",0,SUMIF(GL_Data!$S$8:$S$5007,138109,GL_Data!$P$8:$P$5007))</f>
        <v>0</v>
      </c>
      <c r="AA143" s="88" t="n">
        <f aca="false">IF($A143="",0,SUMIF(GL_Data!$S$8:$S$5007,138110,GL_Data!$P$8:$P$5007))</f>
        <v>0</v>
      </c>
      <c r="AB143" s="88" t="n">
        <f aca="false">IF($A143="",0,SUMIF(GL_Data!$S$8:$S$5007,138111,GL_Data!$P$8:$P$5007))</f>
        <v>0</v>
      </c>
      <c r="AC143" s="88" t="n">
        <f aca="false">IF($A143="",0,SUMIF(GL_Data!$S$8:$S$5007,138112,GL_Data!$P$8:$P$5007))</f>
        <v>0</v>
      </c>
      <c r="AD143" s="89" t="n">
        <f aca="false">IF($A143="",0,INDEX($F143:$AC143,12+Setup!$B$8))</f>
        <v>0</v>
      </c>
      <c r="AE143" s="90" t="n">
        <f aca="false">IF($A143="",0,INDEX($F143:$AC143,Setup!$B$8))</f>
        <v>0</v>
      </c>
      <c r="AF143" s="90" t="n">
        <f aca="false">IF($A143="",0,INDEX($F143:$AC143,11+Setup!$B$8))</f>
        <v>0</v>
      </c>
      <c r="AG143" s="90" t="n">
        <f aca="false">IF($A143="",0,AVERAGE(INDEX($F143:$AC143,9+Setup!$B$8):INDEX($F143:$AC143,11+Setup!$B$8)))</f>
        <v>0</v>
      </c>
      <c r="AH143" s="89" t="n">
        <f aca="false">IF($A143="",0,SUMPRODUCT(($R$3:$AC$3&lt;=Setup!$B$8)*$R143:$AC143))</f>
        <v>0</v>
      </c>
      <c r="AI143" s="90" t="n">
        <f aca="false">IF($A143="",0,SUMPRODUCT(($F$3:$Q$3&lt;=Setup!$B$8)*$F143:$Q143))</f>
        <v>0</v>
      </c>
      <c r="AJ143" s="90" t="n">
        <f aca="false">IF($A143="",0,SUM($F143:$Q143))</f>
        <v>0</v>
      </c>
      <c r="AK143" s="90" t="n">
        <f aca="false">IF($A143="",0,SUM($R143:$AC143))</f>
        <v>0</v>
      </c>
      <c r="AL143" s="91" t="n">
        <f aca="false">IF($A143="",0,IF(SUMPRODUCT(ABS($F143:$AC143))&gt;0,1,0))</f>
        <v>0</v>
      </c>
    </row>
    <row r="144" customFormat="false" ht="15" hidden="false" customHeight="false" outlineLevel="0" collapsed="false">
      <c r="A144" s="68" t="str">
        <f aca="false">IF(COA_Mapping!$A145="","",COA_Mapping!$A145)</f>
        <v>Indirect Salaries - INTEGRATION</v>
      </c>
      <c r="B144" s="68" t="str">
        <f aca="false">IF($A144="","",COA_Mapping!$C145)</f>
        <v>Expenses</v>
      </c>
      <c r="C144" s="68" t="str">
        <f aca="false">IF($A144="","",COA_Mapping!$E145)</f>
        <v>P&amp;L</v>
      </c>
      <c r="D144" s="68" t="str">
        <f aca="false">IF($A144="","",COA_Mapping!$D145)</f>
        <v>Integration</v>
      </c>
      <c r="E144" s="86" t="n">
        <f aca="false">IF($A144="",1,COA_Mapping!$F145)</f>
        <v>1</v>
      </c>
      <c r="F144" s="87" t="n">
        <f aca="false">IF($A144="",0,SUMIF(GL_Data!$S$8:$S$5007,139001,GL_Data!$P$8:$P$5007))</f>
        <v>0</v>
      </c>
      <c r="G144" s="87" t="n">
        <f aca="false">IF($A144="",0,SUMIF(GL_Data!$S$8:$S$5007,139002,GL_Data!$P$8:$P$5007))</f>
        <v>0</v>
      </c>
      <c r="H144" s="87" t="n">
        <f aca="false">IF($A144="",0,SUMIF(GL_Data!$S$8:$S$5007,139003,GL_Data!$P$8:$P$5007))</f>
        <v>0</v>
      </c>
      <c r="I144" s="87" t="n">
        <f aca="false">IF($A144="",0,SUMIF(GL_Data!$S$8:$S$5007,139004,GL_Data!$P$8:$P$5007))</f>
        <v>0</v>
      </c>
      <c r="J144" s="87" t="n">
        <f aca="false">IF($A144="",0,SUMIF(GL_Data!$S$8:$S$5007,139005,GL_Data!$P$8:$P$5007))</f>
        <v>0</v>
      </c>
      <c r="K144" s="87" t="n">
        <f aca="false">IF($A144="",0,SUMIF(GL_Data!$S$8:$S$5007,139006,GL_Data!$P$8:$P$5007))</f>
        <v>0</v>
      </c>
      <c r="L144" s="87" t="n">
        <f aca="false">IF($A144="",0,SUMIF(GL_Data!$S$8:$S$5007,139007,GL_Data!$P$8:$P$5007))</f>
        <v>0</v>
      </c>
      <c r="M144" s="87" t="n">
        <f aca="false">IF($A144="",0,SUMIF(GL_Data!$S$8:$S$5007,139008,GL_Data!$P$8:$P$5007))</f>
        <v>0</v>
      </c>
      <c r="N144" s="87" t="n">
        <f aca="false">IF($A144="",0,SUMIF(GL_Data!$S$8:$S$5007,139009,GL_Data!$P$8:$P$5007))</f>
        <v>0</v>
      </c>
      <c r="O144" s="87" t="n">
        <f aca="false">IF($A144="",0,SUMIF(GL_Data!$S$8:$S$5007,139010,GL_Data!$P$8:$P$5007))</f>
        <v>0</v>
      </c>
      <c r="P144" s="87" t="n">
        <f aca="false">IF($A144="",0,SUMIF(GL_Data!$S$8:$S$5007,139011,GL_Data!$P$8:$P$5007))</f>
        <v>0</v>
      </c>
      <c r="Q144" s="87" t="n">
        <f aca="false">IF($A144="",0,SUMIF(GL_Data!$S$8:$S$5007,139012,GL_Data!$P$8:$P$5007))</f>
        <v>0</v>
      </c>
      <c r="R144" s="88" t="n">
        <f aca="false">IF($A144="",0,SUMIF(GL_Data!$S$8:$S$5007,139101,GL_Data!$P$8:$P$5007))</f>
        <v>0</v>
      </c>
      <c r="S144" s="88" t="n">
        <f aca="false">IF($A144="",0,SUMIF(GL_Data!$S$8:$S$5007,139102,GL_Data!$P$8:$P$5007))</f>
        <v>0</v>
      </c>
      <c r="T144" s="88" t="n">
        <f aca="false">IF($A144="",0,SUMIF(GL_Data!$S$8:$S$5007,139103,GL_Data!$P$8:$P$5007))</f>
        <v>0</v>
      </c>
      <c r="U144" s="88" t="n">
        <f aca="false">IF($A144="",0,SUMIF(GL_Data!$S$8:$S$5007,139104,GL_Data!$P$8:$P$5007))</f>
        <v>0</v>
      </c>
      <c r="V144" s="88" t="n">
        <f aca="false">IF($A144="",0,SUMIF(GL_Data!$S$8:$S$5007,139105,GL_Data!$P$8:$P$5007))</f>
        <v>0</v>
      </c>
      <c r="W144" s="88" t="n">
        <f aca="false">IF($A144="",0,SUMIF(GL_Data!$S$8:$S$5007,139106,GL_Data!$P$8:$P$5007))</f>
        <v>0</v>
      </c>
      <c r="X144" s="88" t="n">
        <f aca="false">IF($A144="",0,SUMIF(GL_Data!$S$8:$S$5007,139107,GL_Data!$P$8:$P$5007))</f>
        <v>0</v>
      </c>
      <c r="Y144" s="88" t="n">
        <f aca="false">IF($A144="",0,SUMIF(GL_Data!$S$8:$S$5007,139108,GL_Data!$P$8:$P$5007))</f>
        <v>0</v>
      </c>
      <c r="Z144" s="88" t="n">
        <f aca="false">IF($A144="",0,SUMIF(GL_Data!$S$8:$S$5007,139109,GL_Data!$P$8:$P$5007))</f>
        <v>0</v>
      </c>
      <c r="AA144" s="88" t="n">
        <f aca="false">IF($A144="",0,SUMIF(GL_Data!$S$8:$S$5007,139110,GL_Data!$P$8:$P$5007))</f>
        <v>0</v>
      </c>
      <c r="AB144" s="88" t="n">
        <f aca="false">IF($A144="",0,SUMIF(GL_Data!$S$8:$S$5007,139111,GL_Data!$P$8:$P$5007))</f>
        <v>0</v>
      </c>
      <c r="AC144" s="88" t="n">
        <f aca="false">IF($A144="",0,SUMIF(GL_Data!$S$8:$S$5007,139112,GL_Data!$P$8:$P$5007))</f>
        <v>0</v>
      </c>
      <c r="AD144" s="89" t="n">
        <f aca="false">IF($A144="",0,INDEX($F144:$AC144,12+Setup!$B$8))</f>
        <v>0</v>
      </c>
      <c r="AE144" s="90" t="n">
        <f aca="false">IF($A144="",0,INDEX($F144:$AC144,Setup!$B$8))</f>
        <v>0</v>
      </c>
      <c r="AF144" s="90" t="n">
        <f aca="false">IF($A144="",0,INDEX($F144:$AC144,11+Setup!$B$8))</f>
        <v>0</v>
      </c>
      <c r="AG144" s="90" t="n">
        <f aca="false">IF($A144="",0,AVERAGE(INDEX($F144:$AC144,9+Setup!$B$8):INDEX($F144:$AC144,11+Setup!$B$8)))</f>
        <v>0</v>
      </c>
      <c r="AH144" s="89" t="n">
        <f aca="false">IF($A144="",0,SUMPRODUCT(($R$3:$AC$3&lt;=Setup!$B$8)*$R144:$AC144))</f>
        <v>0</v>
      </c>
      <c r="AI144" s="90" t="n">
        <f aca="false">IF($A144="",0,SUMPRODUCT(($F$3:$Q$3&lt;=Setup!$B$8)*$F144:$Q144))</f>
        <v>0</v>
      </c>
      <c r="AJ144" s="90" t="n">
        <f aca="false">IF($A144="",0,SUM($F144:$Q144))</f>
        <v>0</v>
      </c>
      <c r="AK144" s="90" t="n">
        <f aca="false">IF($A144="",0,SUM($R144:$AC144))</f>
        <v>0</v>
      </c>
      <c r="AL144" s="91" t="n">
        <f aca="false">IF($A144="",0,IF(SUMPRODUCT(ABS($F144:$AC144))&gt;0,1,0))</f>
        <v>0</v>
      </c>
    </row>
    <row r="145" customFormat="false" ht="15" hidden="false" customHeight="false" outlineLevel="0" collapsed="false">
      <c r="A145" s="68" t="str">
        <f aca="false">IF(COA_Mapping!$A146="","",COA_Mapping!$A146)</f>
        <v>Indirect Salaries - ONS</v>
      </c>
      <c r="B145" s="68" t="str">
        <f aca="false">IF($A145="","",COA_Mapping!$C146)</f>
        <v>Expenses</v>
      </c>
      <c r="C145" s="68" t="str">
        <f aca="false">IF($A145="","",COA_Mapping!$E146)</f>
        <v>P&amp;L</v>
      </c>
      <c r="D145" s="68" t="str">
        <f aca="false">IF($A145="","",COA_Mapping!$D146)</f>
        <v>Onsite</v>
      </c>
      <c r="E145" s="86" t="n">
        <f aca="false">IF($A145="",1,COA_Mapping!$F146)</f>
        <v>1</v>
      </c>
      <c r="F145" s="87" t="n">
        <f aca="false">IF($A145="",0,SUMIF(GL_Data!$S$8:$S$5007,140001,GL_Data!$P$8:$P$5007))</f>
        <v>0</v>
      </c>
      <c r="G145" s="87" t="n">
        <f aca="false">IF($A145="",0,SUMIF(GL_Data!$S$8:$S$5007,140002,GL_Data!$P$8:$P$5007))</f>
        <v>0</v>
      </c>
      <c r="H145" s="87" t="n">
        <f aca="false">IF($A145="",0,SUMIF(GL_Data!$S$8:$S$5007,140003,GL_Data!$P$8:$P$5007))</f>
        <v>0</v>
      </c>
      <c r="I145" s="87" t="n">
        <f aca="false">IF($A145="",0,SUMIF(GL_Data!$S$8:$S$5007,140004,GL_Data!$P$8:$P$5007))</f>
        <v>0</v>
      </c>
      <c r="J145" s="87" t="n">
        <f aca="false">IF($A145="",0,SUMIF(GL_Data!$S$8:$S$5007,140005,GL_Data!$P$8:$P$5007))</f>
        <v>0</v>
      </c>
      <c r="K145" s="87" t="n">
        <f aca="false">IF($A145="",0,SUMIF(GL_Data!$S$8:$S$5007,140006,GL_Data!$P$8:$P$5007))</f>
        <v>0</v>
      </c>
      <c r="L145" s="87" t="n">
        <f aca="false">IF($A145="",0,SUMIF(GL_Data!$S$8:$S$5007,140007,GL_Data!$P$8:$P$5007))</f>
        <v>0</v>
      </c>
      <c r="M145" s="87" t="n">
        <f aca="false">IF($A145="",0,SUMIF(GL_Data!$S$8:$S$5007,140008,GL_Data!$P$8:$P$5007))</f>
        <v>0</v>
      </c>
      <c r="N145" s="87" t="n">
        <f aca="false">IF($A145="",0,SUMIF(GL_Data!$S$8:$S$5007,140009,GL_Data!$P$8:$P$5007))</f>
        <v>0</v>
      </c>
      <c r="O145" s="87" t="n">
        <f aca="false">IF($A145="",0,SUMIF(GL_Data!$S$8:$S$5007,140010,GL_Data!$P$8:$P$5007))</f>
        <v>0</v>
      </c>
      <c r="P145" s="87" t="n">
        <f aca="false">IF($A145="",0,SUMIF(GL_Data!$S$8:$S$5007,140011,GL_Data!$P$8:$P$5007))</f>
        <v>0</v>
      </c>
      <c r="Q145" s="87" t="n">
        <f aca="false">IF($A145="",0,SUMIF(GL_Data!$S$8:$S$5007,140012,GL_Data!$P$8:$P$5007))</f>
        <v>0</v>
      </c>
      <c r="R145" s="88" t="n">
        <f aca="false">IF($A145="",0,SUMIF(GL_Data!$S$8:$S$5007,140101,GL_Data!$P$8:$P$5007))</f>
        <v>0</v>
      </c>
      <c r="S145" s="88" t="n">
        <f aca="false">IF($A145="",0,SUMIF(GL_Data!$S$8:$S$5007,140102,GL_Data!$P$8:$P$5007))</f>
        <v>0</v>
      </c>
      <c r="T145" s="88" t="n">
        <f aca="false">IF($A145="",0,SUMIF(GL_Data!$S$8:$S$5007,140103,GL_Data!$P$8:$P$5007))</f>
        <v>0</v>
      </c>
      <c r="U145" s="88" t="n">
        <f aca="false">IF($A145="",0,SUMIF(GL_Data!$S$8:$S$5007,140104,GL_Data!$P$8:$P$5007))</f>
        <v>0</v>
      </c>
      <c r="V145" s="88" t="n">
        <f aca="false">IF($A145="",0,SUMIF(GL_Data!$S$8:$S$5007,140105,GL_Data!$P$8:$P$5007))</f>
        <v>0</v>
      </c>
      <c r="W145" s="88" t="n">
        <f aca="false">IF($A145="",0,SUMIF(GL_Data!$S$8:$S$5007,140106,GL_Data!$P$8:$P$5007))</f>
        <v>0</v>
      </c>
      <c r="X145" s="88" t="n">
        <f aca="false">IF($A145="",0,SUMIF(GL_Data!$S$8:$S$5007,140107,GL_Data!$P$8:$P$5007))</f>
        <v>0</v>
      </c>
      <c r="Y145" s="88" t="n">
        <f aca="false">IF($A145="",0,SUMIF(GL_Data!$S$8:$S$5007,140108,GL_Data!$P$8:$P$5007))</f>
        <v>0</v>
      </c>
      <c r="Z145" s="88" t="n">
        <f aca="false">IF($A145="",0,SUMIF(GL_Data!$S$8:$S$5007,140109,GL_Data!$P$8:$P$5007))</f>
        <v>0</v>
      </c>
      <c r="AA145" s="88" t="n">
        <f aca="false">IF($A145="",0,SUMIF(GL_Data!$S$8:$S$5007,140110,GL_Data!$P$8:$P$5007))</f>
        <v>0</v>
      </c>
      <c r="AB145" s="88" t="n">
        <f aca="false">IF($A145="",0,SUMIF(GL_Data!$S$8:$S$5007,140111,GL_Data!$P$8:$P$5007))</f>
        <v>0</v>
      </c>
      <c r="AC145" s="88" t="n">
        <f aca="false">IF($A145="",0,SUMIF(GL_Data!$S$8:$S$5007,140112,GL_Data!$P$8:$P$5007))</f>
        <v>0</v>
      </c>
      <c r="AD145" s="89" t="n">
        <f aca="false">IF($A145="",0,INDEX($F145:$AC145,12+Setup!$B$8))</f>
        <v>0</v>
      </c>
      <c r="AE145" s="90" t="n">
        <f aca="false">IF($A145="",0,INDEX($F145:$AC145,Setup!$B$8))</f>
        <v>0</v>
      </c>
      <c r="AF145" s="90" t="n">
        <f aca="false">IF($A145="",0,INDEX($F145:$AC145,11+Setup!$B$8))</f>
        <v>0</v>
      </c>
      <c r="AG145" s="90" t="n">
        <f aca="false">IF($A145="",0,AVERAGE(INDEX($F145:$AC145,9+Setup!$B$8):INDEX($F145:$AC145,11+Setup!$B$8)))</f>
        <v>0</v>
      </c>
      <c r="AH145" s="89" t="n">
        <f aca="false">IF($A145="",0,SUMPRODUCT(($R$3:$AC$3&lt;=Setup!$B$8)*$R145:$AC145))</f>
        <v>0</v>
      </c>
      <c r="AI145" s="90" t="n">
        <f aca="false">IF($A145="",0,SUMPRODUCT(($F$3:$Q$3&lt;=Setup!$B$8)*$F145:$Q145))</f>
        <v>0</v>
      </c>
      <c r="AJ145" s="90" t="n">
        <f aca="false">IF($A145="",0,SUM($F145:$Q145))</f>
        <v>0</v>
      </c>
      <c r="AK145" s="90" t="n">
        <f aca="false">IF($A145="",0,SUM($R145:$AC145))</f>
        <v>0</v>
      </c>
      <c r="AL145" s="91" t="n">
        <f aca="false">IF($A145="",0,IF(SUMPRODUCT(ABS($F145:$AC145))&gt;0,1,0))</f>
        <v>0</v>
      </c>
    </row>
    <row r="146" customFormat="false" ht="15" hidden="false" customHeight="false" outlineLevel="0" collapsed="false">
      <c r="A146" s="68" t="str">
        <f aca="false">IF(COA_Mapping!$A147="","",COA_Mapping!$A147)</f>
        <v>Indirect Salaries - PRD</v>
      </c>
      <c r="B146" s="68" t="str">
        <f aca="false">IF($A146="","",COA_Mapping!$C147)</f>
        <v>Expenses</v>
      </c>
      <c r="C146" s="68" t="str">
        <f aca="false">IF($A146="","",COA_Mapping!$E147)</f>
        <v>P&amp;L</v>
      </c>
      <c r="D146" s="68" t="str">
        <f aca="false">IF($A146="","",COA_Mapping!$D147)</f>
        <v>Production</v>
      </c>
      <c r="E146" s="86" t="n">
        <f aca="false">IF($A146="",1,COA_Mapping!$F147)</f>
        <v>1</v>
      </c>
      <c r="F146" s="87" t="n">
        <f aca="false">IF($A146="",0,SUMIF(GL_Data!$S$8:$S$5007,141001,GL_Data!$P$8:$P$5007))</f>
        <v>0</v>
      </c>
      <c r="G146" s="87" t="n">
        <f aca="false">IF($A146="",0,SUMIF(GL_Data!$S$8:$S$5007,141002,GL_Data!$P$8:$P$5007))</f>
        <v>0</v>
      </c>
      <c r="H146" s="87" t="n">
        <f aca="false">IF($A146="",0,SUMIF(GL_Data!$S$8:$S$5007,141003,GL_Data!$P$8:$P$5007))</f>
        <v>0</v>
      </c>
      <c r="I146" s="87" t="n">
        <f aca="false">IF($A146="",0,SUMIF(GL_Data!$S$8:$S$5007,141004,GL_Data!$P$8:$P$5007))</f>
        <v>0</v>
      </c>
      <c r="J146" s="87" t="n">
        <f aca="false">IF($A146="",0,SUMIF(GL_Data!$S$8:$S$5007,141005,GL_Data!$P$8:$P$5007))</f>
        <v>0</v>
      </c>
      <c r="K146" s="87" t="n">
        <f aca="false">IF($A146="",0,SUMIF(GL_Data!$S$8:$S$5007,141006,GL_Data!$P$8:$P$5007))</f>
        <v>0</v>
      </c>
      <c r="L146" s="87" t="n">
        <f aca="false">IF($A146="",0,SUMIF(GL_Data!$S$8:$S$5007,141007,GL_Data!$P$8:$P$5007))</f>
        <v>0</v>
      </c>
      <c r="M146" s="87" t="n">
        <f aca="false">IF($A146="",0,SUMIF(GL_Data!$S$8:$S$5007,141008,GL_Data!$P$8:$P$5007))</f>
        <v>0</v>
      </c>
      <c r="N146" s="87" t="n">
        <f aca="false">IF($A146="",0,SUMIF(GL_Data!$S$8:$S$5007,141009,GL_Data!$P$8:$P$5007))</f>
        <v>0</v>
      </c>
      <c r="O146" s="87" t="n">
        <f aca="false">IF($A146="",0,SUMIF(GL_Data!$S$8:$S$5007,141010,GL_Data!$P$8:$P$5007))</f>
        <v>0</v>
      </c>
      <c r="P146" s="87" t="n">
        <f aca="false">IF($A146="",0,SUMIF(GL_Data!$S$8:$S$5007,141011,GL_Data!$P$8:$P$5007))</f>
        <v>0</v>
      </c>
      <c r="Q146" s="87" t="n">
        <f aca="false">IF($A146="",0,SUMIF(GL_Data!$S$8:$S$5007,141012,GL_Data!$P$8:$P$5007))</f>
        <v>0</v>
      </c>
      <c r="R146" s="88" t="n">
        <f aca="false">IF($A146="",0,SUMIF(GL_Data!$S$8:$S$5007,141101,GL_Data!$P$8:$P$5007))</f>
        <v>0</v>
      </c>
      <c r="S146" s="88" t="n">
        <f aca="false">IF($A146="",0,SUMIF(GL_Data!$S$8:$S$5007,141102,GL_Data!$P$8:$P$5007))</f>
        <v>0</v>
      </c>
      <c r="T146" s="88" t="n">
        <f aca="false">IF($A146="",0,SUMIF(GL_Data!$S$8:$S$5007,141103,GL_Data!$P$8:$P$5007))</f>
        <v>0</v>
      </c>
      <c r="U146" s="88" t="n">
        <f aca="false">IF($A146="",0,SUMIF(GL_Data!$S$8:$S$5007,141104,GL_Data!$P$8:$P$5007))</f>
        <v>0</v>
      </c>
      <c r="V146" s="88" t="n">
        <f aca="false">IF($A146="",0,SUMIF(GL_Data!$S$8:$S$5007,141105,GL_Data!$P$8:$P$5007))</f>
        <v>0</v>
      </c>
      <c r="W146" s="88" t="n">
        <f aca="false">IF($A146="",0,SUMIF(GL_Data!$S$8:$S$5007,141106,GL_Data!$P$8:$P$5007))</f>
        <v>0</v>
      </c>
      <c r="X146" s="88" t="n">
        <f aca="false">IF($A146="",0,SUMIF(GL_Data!$S$8:$S$5007,141107,GL_Data!$P$8:$P$5007))</f>
        <v>0</v>
      </c>
      <c r="Y146" s="88" t="n">
        <f aca="false">IF($A146="",0,SUMIF(GL_Data!$S$8:$S$5007,141108,GL_Data!$P$8:$P$5007))</f>
        <v>0</v>
      </c>
      <c r="Z146" s="88" t="n">
        <f aca="false">IF($A146="",0,SUMIF(GL_Data!$S$8:$S$5007,141109,GL_Data!$P$8:$P$5007))</f>
        <v>0</v>
      </c>
      <c r="AA146" s="88" t="n">
        <f aca="false">IF($A146="",0,SUMIF(GL_Data!$S$8:$S$5007,141110,GL_Data!$P$8:$P$5007))</f>
        <v>0</v>
      </c>
      <c r="AB146" s="88" t="n">
        <f aca="false">IF($A146="",0,SUMIF(GL_Data!$S$8:$S$5007,141111,GL_Data!$P$8:$P$5007))</f>
        <v>0</v>
      </c>
      <c r="AC146" s="88" t="n">
        <f aca="false">IF($A146="",0,SUMIF(GL_Data!$S$8:$S$5007,141112,GL_Data!$P$8:$P$5007))</f>
        <v>0</v>
      </c>
      <c r="AD146" s="89" t="n">
        <f aca="false">IF($A146="",0,INDEX($F146:$AC146,12+Setup!$B$8))</f>
        <v>0</v>
      </c>
      <c r="AE146" s="90" t="n">
        <f aca="false">IF($A146="",0,INDEX($F146:$AC146,Setup!$B$8))</f>
        <v>0</v>
      </c>
      <c r="AF146" s="90" t="n">
        <f aca="false">IF($A146="",0,INDEX($F146:$AC146,11+Setup!$B$8))</f>
        <v>0</v>
      </c>
      <c r="AG146" s="90" t="n">
        <f aca="false">IF($A146="",0,AVERAGE(INDEX($F146:$AC146,9+Setup!$B$8):INDEX($F146:$AC146,11+Setup!$B$8)))</f>
        <v>0</v>
      </c>
      <c r="AH146" s="89" t="n">
        <f aca="false">IF($A146="",0,SUMPRODUCT(($R$3:$AC$3&lt;=Setup!$B$8)*$R146:$AC146))</f>
        <v>0</v>
      </c>
      <c r="AI146" s="90" t="n">
        <f aca="false">IF($A146="",0,SUMPRODUCT(($F$3:$Q$3&lt;=Setup!$B$8)*$F146:$Q146))</f>
        <v>0</v>
      </c>
      <c r="AJ146" s="90" t="n">
        <f aca="false">IF($A146="",0,SUM($F146:$Q146))</f>
        <v>0</v>
      </c>
      <c r="AK146" s="90" t="n">
        <f aca="false">IF($A146="",0,SUM($R146:$AC146))</f>
        <v>0</v>
      </c>
      <c r="AL146" s="91" t="n">
        <f aca="false">IF($A146="",0,IF(SUMPRODUCT(ABS($F146:$AC146))&gt;0,1,0))</f>
        <v>0</v>
      </c>
    </row>
    <row r="147" customFormat="false" ht="15" hidden="false" customHeight="false" outlineLevel="0" collapsed="false">
      <c r="A147" s="68" t="str">
        <f aca="false">IF(COA_Mapping!$A148="","",COA_Mapping!$A148)</f>
        <v>Indirect Salaries - VID</v>
      </c>
      <c r="B147" s="68" t="str">
        <f aca="false">IF($A147="","",COA_Mapping!$C148)</f>
        <v>Expenses</v>
      </c>
      <c r="C147" s="68" t="str">
        <f aca="false">IF($A147="","",COA_Mapping!$E148)</f>
        <v>P&amp;L</v>
      </c>
      <c r="D147" s="68" t="str">
        <f aca="false">IF($A147="","",COA_Mapping!$D148)</f>
        <v>Video</v>
      </c>
      <c r="E147" s="86" t="n">
        <f aca="false">IF($A147="",1,COA_Mapping!$F148)</f>
        <v>1</v>
      </c>
      <c r="F147" s="87" t="n">
        <f aca="false">IF($A147="",0,SUMIF(GL_Data!$S$8:$S$5007,142001,GL_Data!$P$8:$P$5007))</f>
        <v>0</v>
      </c>
      <c r="G147" s="87" t="n">
        <f aca="false">IF($A147="",0,SUMIF(GL_Data!$S$8:$S$5007,142002,GL_Data!$P$8:$P$5007))</f>
        <v>0</v>
      </c>
      <c r="H147" s="87" t="n">
        <f aca="false">IF($A147="",0,SUMIF(GL_Data!$S$8:$S$5007,142003,GL_Data!$P$8:$P$5007))</f>
        <v>0</v>
      </c>
      <c r="I147" s="87" t="n">
        <f aca="false">IF($A147="",0,SUMIF(GL_Data!$S$8:$S$5007,142004,GL_Data!$P$8:$P$5007))</f>
        <v>0</v>
      </c>
      <c r="J147" s="87" t="n">
        <f aca="false">IF($A147="",0,SUMIF(GL_Data!$S$8:$S$5007,142005,GL_Data!$P$8:$P$5007))</f>
        <v>0</v>
      </c>
      <c r="K147" s="87" t="n">
        <f aca="false">IF($A147="",0,SUMIF(GL_Data!$S$8:$S$5007,142006,GL_Data!$P$8:$P$5007))</f>
        <v>0</v>
      </c>
      <c r="L147" s="87" t="n">
        <f aca="false">IF($A147="",0,SUMIF(GL_Data!$S$8:$S$5007,142007,GL_Data!$P$8:$P$5007))</f>
        <v>0</v>
      </c>
      <c r="M147" s="87" t="n">
        <f aca="false">IF($A147="",0,SUMIF(GL_Data!$S$8:$S$5007,142008,GL_Data!$P$8:$P$5007))</f>
        <v>0</v>
      </c>
      <c r="N147" s="87" t="n">
        <f aca="false">IF($A147="",0,SUMIF(GL_Data!$S$8:$S$5007,142009,GL_Data!$P$8:$P$5007))</f>
        <v>0</v>
      </c>
      <c r="O147" s="87" t="n">
        <f aca="false">IF($A147="",0,SUMIF(GL_Data!$S$8:$S$5007,142010,GL_Data!$P$8:$P$5007))</f>
        <v>0</v>
      </c>
      <c r="P147" s="87" t="n">
        <f aca="false">IF($A147="",0,SUMIF(GL_Data!$S$8:$S$5007,142011,GL_Data!$P$8:$P$5007))</f>
        <v>0</v>
      </c>
      <c r="Q147" s="87" t="n">
        <f aca="false">IF($A147="",0,SUMIF(GL_Data!$S$8:$S$5007,142012,GL_Data!$P$8:$P$5007))</f>
        <v>0</v>
      </c>
      <c r="R147" s="88" t="n">
        <f aca="false">IF($A147="",0,SUMIF(GL_Data!$S$8:$S$5007,142101,GL_Data!$P$8:$P$5007))</f>
        <v>0</v>
      </c>
      <c r="S147" s="88" t="n">
        <f aca="false">IF($A147="",0,SUMIF(GL_Data!$S$8:$S$5007,142102,GL_Data!$P$8:$P$5007))</f>
        <v>0</v>
      </c>
      <c r="T147" s="88" t="n">
        <f aca="false">IF($A147="",0,SUMIF(GL_Data!$S$8:$S$5007,142103,GL_Data!$P$8:$P$5007))</f>
        <v>0</v>
      </c>
      <c r="U147" s="88" t="n">
        <f aca="false">IF($A147="",0,SUMIF(GL_Data!$S$8:$S$5007,142104,GL_Data!$P$8:$P$5007))</f>
        <v>0</v>
      </c>
      <c r="V147" s="88" t="n">
        <f aca="false">IF($A147="",0,SUMIF(GL_Data!$S$8:$S$5007,142105,GL_Data!$P$8:$P$5007))</f>
        <v>0</v>
      </c>
      <c r="W147" s="88" t="n">
        <f aca="false">IF($A147="",0,SUMIF(GL_Data!$S$8:$S$5007,142106,GL_Data!$P$8:$P$5007))</f>
        <v>0</v>
      </c>
      <c r="X147" s="88" t="n">
        <f aca="false">IF($A147="",0,SUMIF(GL_Data!$S$8:$S$5007,142107,GL_Data!$P$8:$P$5007))</f>
        <v>0</v>
      </c>
      <c r="Y147" s="88" t="n">
        <f aca="false">IF($A147="",0,SUMIF(GL_Data!$S$8:$S$5007,142108,GL_Data!$P$8:$P$5007))</f>
        <v>0</v>
      </c>
      <c r="Z147" s="88" t="n">
        <f aca="false">IF($A147="",0,SUMIF(GL_Data!$S$8:$S$5007,142109,GL_Data!$P$8:$P$5007))</f>
        <v>0</v>
      </c>
      <c r="AA147" s="88" t="n">
        <f aca="false">IF($A147="",0,SUMIF(GL_Data!$S$8:$S$5007,142110,GL_Data!$P$8:$P$5007))</f>
        <v>0</v>
      </c>
      <c r="AB147" s="88" t="n">
        <f aca="false">IF($A147="",0,SUMIF(GL_Data!$S$8:$S$5007,142111,GL_Data!$P$8:$P$5007))</f>
        <v>0</v>
      </c>
      <c r="AC147" s="88" t="n">
        <f aca="false">IF($A147="",0,SUMIF(GL_Data!$S$8:$S$5007,142112,GL_Data!$P$8:$P$5007))</f>
        <v>0</v>
      </c>
      <c r="AD147" s="89" t="n">
        <f aca="false">IF($A147="",0,INDEX($F147:$AC147,12+Setup!$B$8))</f>
        <v>0</v>
      </c>
      <c r="AE147" s="90" t="n">
        <f aca="false">IF($A147="",0,INDEX($F147:$AC147,Setup!$B$8))</f>
        <v>0</v>
      </c>
      <c r="AF147" s="90" t="n">
        <f aca="false">IF($A147="",0,INDEX($F147:$AC147,11+Setup!$B$8))</f>
        <v>0</v>
      </c>
      <c r="AG147" s="90" t="n">
        <f aca="false">IF($A147="",0,AVERAGE(INDEX($F147:$AC147,9+Setup!$B$8):INDEX($F147:$AC147,11+Setup!$B$8)))</f>
        <v>0</v>
      </c>
      <c r="AH147" s="89" t="n">
        <f aca="false">IF($A147="",0,SUMPRODUCT(($R$3:$AC$3&lt;=Setup!$B$8)*$R147:$AC147))</f>
        <v>0</v>
      </c>
      <c r="AI147" s="90" t="n">
        <f aca="false">IF($A147="",0,SUMPRODUCT(($F$3:$Q$3&lt;=Setup!$B$8)*$F147:$Q147))</f>
        <v>0</v>
      </c>
      <c r="AJ147" s="90" t="n">
        <f aca="false">IF($A147="",0,SUM($F147:$Q147))</f>
        <v>0</v>
      </c>
      <c r="AK147" s="90" t="n">
        <f aca="false">IF($A147="",0,SUM($R147:$AC147))</f>
        <v>0</v>
      </c>
      <c r="AL147" s="91" t="n">
        <f aca="false">IF($A147="",0,IF(SUMPRODUCT(ABS($F147:$AC147))&gt;0,1,0))</f>
        <v>0</v>
      </c>
    </row>
    <row r="148" customFormat="false" ht="15" hidden="false" customHeight="false" outlineLevel="0" collapsed="false">
      <c r="A148" s="68" t="str">
        <f aca="false">IF(COA_Mapping!$A149="","",COA_Mapping!$A149)</f>
        <v>Indirect Wages - ADMIN</v>
      </c>
      <c r="B148" s="68" t="str">
        <f aca="false">IF($A148="","",COA_Mapping!$C149)</f>
        <v>Expenses</v>
      </c>
      <c r="C148" s="68" t="str">
        <f aca="false">IF($A148="","",COA_Mapping!$E149)</f>
        <v>P&amp;L</v>
      </c>
      <c r="D148" s="68" t="str">
        <f aca="false">IF($A148="","",COA_Mapping!$D149)</f>
        <v>Admin</v>
      </c>
      <c r="E148" s="86" t="n">
        <f aca="false">IF($A148="",1,COA_Mapping!$F149)</f>
        <v>1</v>
      </c>
      <c r="F148" s="87" t="n">
        <f aca="false">IF($A148="",0,SUMIF(GL_Data!$S$8:$S$5007,143001,GL_Data!$P$8:$P$5007))</f>
        <v>0</v>
      </c>
      <c r="G148" s="87" t="n">
        <f aca="false">IF($A148="",0,SUMIF(GL_Data!$S$8:$S$5007,143002,GL_Data!$P$8:$P$5007))</f>
        <v>0</v>
      </c>
      <c r="H148" s="87" t="n">
        <f aca="false">IF($A148="",0,SUMIF(GL_Data!$S$8:$S$5007,143003,GL_Data!$P$8:$P$5007))</f>
        <v>0</v>
      </c>
      <c r="I148" s="87" t="n">
        <f aca="false">IF($A148="",0,SUMIF(GL_Data!$S$8:$S$5007,143004,GL_Data!$P$8:$P$5007))</f>
        <v>0</v>
      </c>
      <c r="J148" s="87" t="n">
        <f aca="false">IF($A148="",0,SUMIF(GL_Data!$S$8:$S$5007,143005,GL_Data!$P$8:$P$5007))</f>
        <v>0</v>
      </c>
      <c r="K148" s="87" t="n">
        <f aca="false">IF($A148="",0,SUMIF(GL_Data!$S$8:$S$5007,143006,GL_Data!$P$8:$P$5007))</f>
        <v>0</v>
      </c>
      <c r="L148" s="87" t="n">
        <f aca="false">IF($A148="",0,SUMIF(GL_Data!$S$8:$S$5007,143007,GL_Data!$P$8:$P$5007))</f>
        <v>0</v>
      </c>
      <c r="M148" s="87" t="n">
        <f aca="false">IF($A148="",0,SUMIF(GL_Data!$S$8:$S$5007,143008,GL_Data!$P$8:$P$5007))</f>
        <v>0</v>
      </c>
      <c r="N148" s="87" t="n">
        <f aca="false">IF($A148="",0,SUMIF(GL_Data!$S$8:$S$5007,143009,GL_Data!$P$8:$P$5007))</f>
        <v>0</v>
      </c>
      <c r="O148" s="87" t="n">
        <f aca="false">IF($A148="",0,SUMIF(GL_Data!$S$8:$S$5007,143010,GL_Data!$P$8:$P$5007))</f>
        <v>0</v>
      </c>
      <c r="P148" s="87" t="n">
        <f aca="false">IF($A148="",0,SUMIF(GL_Data!$S$8:$S$5007,143011,GL_Data!$P$8:$P$5007))</f>
        <v>0</v>
      </c>
      <c r="Q148" s="87" t="n">
        <f aca="false">IF($A148="",0,SUMIF(GL_Data!$S$8:$S$5007,143012,GL_Data!$P$8:$P$5007))</f>
        <v>0</v>
      </c>
      <c r="R148" s="88" t="n">
        <f aca="false">IF($A148="",0,SUMIF(GL_Data!$S$8:$S$5007,143101,GL_Data!$P$8:$P$5007))</f>
        <v>0</v>
      </c>
      <c r="S148" s="88" t="n">
        <f aca="false">IF($A148="",0,SUMIF(GL_Data!$S$8:$S$5007,143102,GL_Data!$P$8:$P$5007))</f>
        <v>0</v>
      </c>
      <c r="T148" s="88" t="n">
        <f aca="false">IF($A148="",0,SUMIF(GL_Data!$S$8:$S$5007,143103,GL_Data!$P$8:$P$5007))</f>
        <v>0</v>
      </c>
      <c r="U148" s="88" t="n">
        <f aca="false">IF($A148="",0,SUMIF(GL_Data!$S$8:$S$5007,143104,GL_Data!$P$8:$P$5007))</f>
        <v>0</v>
      </c>
      <c r="V148" s="88" t="n">
        <f aca="false">IF($A148="",0,SUMIF(GL_Data!$S$8:$S$5007,143105,GL_Data!$P$8:$P$5007))</f>
        <v>0</v>
      </c>
      <c r="W148" s="88" t="n">
        <f aca="false">IF($A148="",0,SUMIF(GL_Data!$S$8:$S$5007,143106,GL_Data!$P$8:$P$5007))</f>
        <v>0</v>
      </c>
      <c r="X148" s="88" t="n">
        <f aca="false">IF($A148="",0,SUMIF(GL_Data!$S$8:$S$5007,143107,GL_Data!$P$8:$P$5007))</f>
        <v>0</v>
      </c>
      <c r="Y148" s="88" t="n">
        <f aca="false">IF($A148="",0,SUMIF(GL_Data!$S$8:$S$5007,143108,GL_Data!$P$8:$P$5007))</f>
        <v>0</v>
      </c>
      <c r="Z148" s="88" t="n">
        <f aca="false">IF($A148="",0,SUMIF(GL_Data!$S$8:$S$5007,143109,GL_Data!$P$8:$P$5007))</f>
        <v>0</v>
      </c>
      <c r="AA148" s="88" t="n">
        <f aca="false">IF($A148="",0,SUMIF(GL_Data!$S$8:$S$5007,143110,GL_Data!$P$8:$P$5007))</f>
        <v>0</v>
      </c>
      <c r="AB148" s="88" t="n">
        <f aca="false">IF($A148="",0,SUMIF(GL_Data!$S$8:$S$5007,143111,GL_Data!$P$8:$P$5007))</f>
        <v>0</v>
      </c>
      <c r="AC148" s="88" t="n">
        <f aca="false">IF($A148="",0,SUMIF(GL_Data!$S$8:$S$5007,143112,GL_Data!$P$8:$P$5007))</f>
        <v>0</v>
      </c>
      <c r="AD148" s="89" t="n">
        <f aca="false">IF($A148="",0,INDEX($F148:$AC148,12+Setup!$B$8))</f>
        <v>0</v>
      </c>
      <c r="AE148" s="90" t="n">
        <f aca="false">IF($A148="",0,INDEX($F148:$AC148,Setup!$B$8))</f>
        <v>0</v>
      </c>
      <c r="AF148" s="90" t="n">
        <f aca="false">IF($A148="",0,INDEX($F148:$AC148,11+Setup!$B$8))</f>
        <v>0</v>
      </c>
      <c r="AG148" s="90" t="n">
        <f aca="false">IF($A148="",0,AVERAGE(INDEX($F148:$AC148,9+Setup!$B$8):INDEX($F148:$AC148,11+Setup!$B$8)))</f>
        <v>0</v>
      </c>
      <c r="AH148" s="89" t="n">
        <f aca="false">IF($A148="",0,SUMPRODUCT(($R$3:$AC$3&lt;=Setup!$B$8)*$R148:$AC148))</f>
        <v>0</v>
      </c>
      <c r="AI148" s="90" t="n">
        <f aca="false">IF($A148="",0,SUMPRODUCT(($F$3:$Q$3&lt;=Setup!$B$8)*$F148:$Q148))</f>
        <v>0</v>
      </c>
      <c r="AJ148" s="90" t="n">
        <f aca="false">IF($A148="",0,SUM($F148:$Q148))</f>
        <v>0</v>
      </c>
      <c r="AK148" s="90" t="n">
        <f aca="false">IF($A148="",0,SUM($R148:$AC148))</f>
        <v>0</v>
      </c>
      <c r="AL148" s="91" t="n">
        <f aca="false">IF($A148="",0,IF(SUMPRODUCT(ABS($F148:$AC148))&gt;0,1,0))</f>
        <v>0</v>
      </c>
    </row>
    <row r="149" customFormat="false" ht="15" hidden="false" customHeight="false" outlineLevel="0" collapsed="false">
      <c r="A149" s="68" t="str">
        <f aca="false">IF(COA_Mapping!$A150="","",COA_Mapping!$A150)</f>
        <v>Indirect Wages - CONS</v>
      </c>
      <c r="B149" s="68" t="str">
        <f aca="false">IF($A149="","",COA_Mapping!$C150)</f>
        <v>Expenses</v>
      </c>
      <c r="C149" s="68" t="str">
        <f aca="false">IF($A149="","",COA_Mapping!$E150)</f>
        <v>P&amp;L</v>
      </c>
      <c r="D149" s="68" t="str">
        <f aca="false">IF($A149="","",COA_Mapping!$D150)</f>
        <v>Consulting</v>
      </c>
      <c r="E149" s="86" t="n">
        <f aca="false">IF($A149="",1,COA_Mapping!$F150)</f>
        <v>1</v>
      </c>
      <c r="F149" s="87" t="n">
        <f aca="false">IF($A149="",0,SUMIF(GL_Data!$S$8:$S$5007,144001,GL_Data!$P$8:$P$5007))</f>
        <v>0</v>
      </c>
      <c r="G149" s="87" t="n">
        <f aca="false">IF($A149="",0,SUMIF(GL_Data!$S$8:$S$5007,144002,GL_Data!$P$8:$P$5007))</f>
        <v>0</v>
      </c>
      <c r="H149" s="87" t="n">
        <f aca="false">IF($A149="",0,SUMIF(GL_Data!$S$8:$S$5007,144003,GL_Data!$P$8:$P$5007))</f>
        <v>0</v>
      </c>
      <c r="I149" s="87" t="n">
        <f aca="false">IF($A149="",0,SUMIF(GL_Data!$S$8:$S$5007,144004,GL_Data!$P$8:$P$5007))</f>
        <v>0</v>
      </c>
      <c r="J149" s="87" t="n">
        <f aca="false">IF($A149="",0,SUMIF(GL_Data!$S$8:$S$5007,144005,GL_Data!$P$8:$P$5007))</f>
        <v>0</v>
      </c>
      <c r="K149" s="87" t="n">
        <f aca="false">IF($A149="",0,SUMIF(GL_Data!$S$8:$S$5007,144006,GL_Data!$P$8:$P$5007))</f>
        <v>0</v>
      </c>
      <c r="L149" s="87" t="n">
        <f aca="false">IF($A149="",0,SUMIF(GL_Data!$S$8:$S$5007,144007,GL_Data!$P$8:$P$5007))</f>
        <v>0</v>
      </c>
      <c r="M149" s="87" t="n">
        <f aca="false">IF($A149="",0,SUMIF(GL_Data!$S$8:$S$5007,144008,GL_Data!$P$8:$P$5007))</f>
        <v>0</v>
      </c>
      <c r="N149" s="87" t="n">
        <f aca="false">IF($A149="",0,SUMIF(GL_Data!$S$8:$S$5007,144009,GL_Data!$P$8:$P$5007))</f>
        <v>0</v>
      </c>
      <c r="O149" s="87" t="n">
        <f aca="false">IF($A149="",0,SUMIF(GL_Data!$S$8:$S$5007,144010,GL_Data!$P$8:$P$5007))</f>
        <v>0</v>
      </c>
      <c r="P149" s="87" t="n">
        <f aca="false">IF($A149="",0,SUMIF(GL_Data!$S$8:$S$5007,144011,GL_Data!$P$8:$P$5007))</f>
        <v>0</v>
      </c>
      <c r="Q149" s="87" t="n">
        <f aca="false">IF($A149="",0,SUMIF(GL_Data!$S$8:$S$5007,144012,GL_Data!$P$8:$P$5007))</f>
        <v>0</v>
      </c>
      <c r="R149" s="88" t="n">
        <f aca="false">IF($A149="",0,SUMIF(GL_Data!$S$8:$S$5007,144101,GL_Data!$P$8:$P$5007))</f>
        <v>0</v>
      </c>
      <c r="S149" s="88" t="n">
        <f aca="false">IF($A149="",0,SUMIF(GL_Data!$S$8:$S$5007,144102,GL_Data!$P$8:$P$5007))</f>
        <v>0</v>
      </c>
      <c r="T149" s="88" t="n">
        <f aca="false">IF($A149="",0,SUMIF(GL_Data!$S$8:$S$5007,144103,GL_Data!$P$8:$P$5007))</f>
        <v>0</v>
      </c>
      <c r="U149" s="88" t="n">
        <f aca="false">IF($A149="",0,SUMIF(GL_Data!$S$8:$S$5007,144104,GL_Data!$P$8:$P$5007))</f>
        <v>0</v>
      </c>
      <c r="V149" s="88" t="n">
        <f aca="false">IF($A149="",0,SUMIF(GL_Data!$S$8:$S$5007,144105,GL_Data!$P$8:$P$5007))</f>
        <v>0</v>
      </c>
      <c r="W149" s="88" t="n">
        <f aca="false">IF($A149="",0,SUMIF(GL_Data!$S$8:$S$5007,144106,GL_Data!$P$8:$P$5007))</f>
        <v>0</v>
      </c>
      <c r="X149" s="88" t="n">
        <f aca="false">IF($A149="",0,SUMIF(GL_Data!$S$8:$S$5007,144107,GL_Data!$P$8:$P$5007))</f>
        <v>0</v>
      </c>
      <c r="Y149" s="88" t="n">
        <f aca="false">IF($A149="",0,SUMIF(GL_Data!$S$8:$S$5007,144108,GL_Data!$P$8:$P$5007))</f>
        <v>0</v>
      </c>
      <c r="Z149" s="88" t="n">
        <f aca="false">IF($A149="",0,SUMIF(GL_Data!$S$8:$S$5007,144109,GL_Data!$P$8:$P$5007))</f>
        <v>0</v>
      </c>
      <c r="AA149" s="88" t="n">
        <f aca="false">IF($A149="",0,SUMIF(GL_Data!$S$8:$S$5007,144110,GL_Data!$P$8:$P$5007))</f>
        <v>0</v>
      </c>
      <c r="AB149" s="88" t="n">
        <f aca="false">IF($A149="",0,SUMIF(GL_Data!$S$8:$S$5007,144111,GL_Data!$P$8:$P$5007))</f>
        <v>0</v>
      </c>
      <c r="AC149" s="88" t="n">
        <f aca="false">IF($A149="",0,SUMIF(GL_Data!$S$8:$S$5007,144112,GL_Data!$P$8:$P$5007))</f>
        <v>0</v>
      </c>
      <c r="AD149" s="89" t="n">
        <f aca="false">IF($A149="",0,INDEX($F149:$AC149,12+Setup!$B$8))</f>
        <v>0</v>
      </c>
      <c r="AE149" s="90" t="n">
        <f aca="false">IF($A149="",0,INDEX($F149:$AC149,Setup!$B$8))</f>
        <v>0</v>
      </c>
      <c r="AF149" s="90" t="n">
        <f aca="false">IF($A149="",0,INDEX($F149:$AC149,11+Setup!$B$8))</f>
        <v>0</v>
      </c>
      <c r="AG149" s="90" t="n">
        <f aca="false">IF($A149="",0,AVERAGE(INDEX($F149:$AC149,9+Setup!$B$8):INDEX($F149:$AC149,11+Setup!$B$8)))</f>
        <v>0</v>
      </c>
      <c r="AH149" s="89" t="n">
        <f aca="false">IF($A149="",0,SUMPRODUCT(($R$3:$AC$3&lt;=Setup!$B$8)*$R149:$AC149))</f>
        <v>0</v>
      </c>
      <c r="AI149" s="90" t="n">
        <f aca="false">IF($A149="",0,SUMPRODUCT(($F$3:$Q$3&lt;=Setup!$B$8)*$F149:$Q149))</f>
        <v>0</v>
      </c>
      <c r="AJ149" s="90" t="n">
        <f aca="false">IF($A149="",0,SUM($F149:$Q149))</f>
        <v>0</v>
      </c>
      <c r="AK149" s="90" t="n">
        <f aca="false">IF($A149="",0,SUM($R149:$AC149))</f>
        <v>0</v>
      </c>
      <c r="AL149" s="91" t="n">
        <f aca="false">IF($A149="",0,IF(SUMPRODUCT(ABS($F149:$AC149))&gt;0,1,0))</f>
        <v>0</v>
      </c>
    </row>
    <row r="150" customFormat="false" ht="15" hidden="false" customHeight="false" outlineLevel="0" collapsed="false">
      <c r="A150" s="68" t="str">
        <f aca="false">IF(COA_Mapping!$A151="","",COA_Mapping!$A151)</f>
        <v>Indirect Wages - INTEGRATION</v>
      </c>
      <c r="B150" s="68" t="str">
        <f aca="false">IF($A150="","",COA_Mapping!$C151)</f>
        <v>Expenses</v>
      </c>
      <c r="C150" s="68" t="str">
        <f aca="false">IF($A150="","",COA_Mapping!$E151)</f>
        <v>P&amp;L</v>
      </c>
      <c r="D150" s="68" t="str">
        <f aca="false">IF($A150="","",COA_Mapping!$D151)</f>
        <v>Integration</v>
      </c>
      <c r="E150" s="86" t="n">
        <f aca="false">IF($A150="",1,COA_Mapping!$F151)</f>
        <v>1</v>
      </c>
      <c r="F150" s="87" t="n">
        <f aca="false">IF($A150="",0,SUMIF(GL_Data!$S$8:$S$5007,145001,GL_Data!$P$8:$P$5007))</f>
        <v>0</v>
      </c>
      <c r="G150" s="87" t="n">
        <f aca="false">IF($A150="",0,SUMIF(GL_Data!$S$8:$S$5007,145002,GL_Data!$P$8:$P$5007))</f>
        <v>0</v>
      </c>
      <c r="H150" s="87" t="n">
        <f aca="false">IF($A150="",0,SUMIF(GL_Data!$S$8:$S$5007,145003,GL_Data!$P$8:$P$5007))</f>
        <v>0</v>
      </c>
      <c r="I150" s="87" t="n">
        <f aca="false">IF($A150="",0,SUMIF(GL_Data!$S$8:$S$5007,145004,GL_Data!$P$8:$P$5007))</f>
        <v>0</v>
      </c>
      <c r="J150" s="87" t="n">
        <f aca="false">IF($A150="",0,SUMIF(GL_Data!$S$8:$S$5007,145005,GL_Data!$P$8:$P$5007))</f>
        <v>0</v>
      </c>
      <c r="K150" s="87" t="n">
        <f aca="false">IF($A150="",0,SUMIF(GL_Data!$S$8:$S$5007,145006,GL_Data!$P$8:$P$5007))</f>
        <v>0</v>
      </c>
      <c r="L150" s="87" t="n">
        <f aca="false">IF($A150="",0,SUMIF(GL_Data!$S$8:$S$5007,145007,GL_Data!$P$8:$P$5007))</f>
        <v>0</v>
      </c>
      <c r="M150" s="87" t="n">
        <f aca="false">IF($A150="",0,SUMIF(GL_Data!$S$8:$S$5007,145008,GL_Data!$P$8:$P$5007))</f>
        <v>0</v>
      </c>
      <c r="N150" s="87" t="n">
        <f aca="false">IF($A150="",0,SUMIF(GL_Data!$S$8:$S$5007,145009,GL_Data!$P$8:$P$5007))</f>
        <v>0</v>
      </c>
      <c r="O150" s="87" t="n">
        <f aca="false">IF($A150="",0,SUMIF(GL_Data!$S$8:$S$5007,145010,GL_Data!$P$8:$P$5007))</f>
        <v>0</v>
      </c>
      <c r="P150" s="87" t="n">
        <f aca="false">IF($A150="",0,SUMIF(GL_Data!$S$8:$S$5007,145011,GL_Data!$P$8:$P$5007))</f>
        <v>0</v>
      </c>
      <c r="Q150" s="87" t="n">
        <f aca="false">IF($A150="",0,SUMIF(GL_Data!$S$8:$S$5007,145012,GL_Data!$P$8:$P$5007))</f>
        <v>0</v>
      </c>
      <c r="R150" s="88" t="n">
        <f aca="false">IF($A150="",0,SUMIF(GL_Data!$S$8:$S$5007,145101,GL_Data!$P$8:$P$5007))</f>
        <v>0</v>
      </c>
      <c r="S150" s="88" t="n">
        <f aca="false">IF($A150="",0,SUMIF(GL_Data!$S$8:$S$5007,145102,GL_Data!$P$8:$P$5007))</f>
        <v>0</v>
      </c>
      <c r="T150" s="88" t="n">
        <f aca="false">IF($A150="",0,SUMIF(GL_Data!$S$8:$S$5007,145103,GL_Data!$P$8:$P$5007))</f>
        <v>0</v>
      </c>
      <c r="U150" s="88" t="n">
        <f aca="false">IF($A150="",0,SUMIF(GL_Data!$S$8:$S$5007,145104,GL_Data!$P$8:$P$5007))</f>
        <v>0</v>
      </c>
      <c r="V150" s="88" t="n">
        <f aca="false">IF($A150="",0,SUMIF(GL_Data!$S$8:$S$5007,145105,GL_Data!$P$8:$P$5007))</f>
        <v>0</v>
      </c>
      <c r="W150" s="88" t="n">
        <f aca="false">IF($A150="",0,SUMIF(GL_Data!$S$8:$S$5007,145106,GL_Data!$P$8:$P$5007))</f>
        <v>0</v>
      </c>
      <c r="X150" s="88" t="n">
        <f aca="false">IF($A150="",0,SUMIF(GL_Data!$S$8:$S$5007,145107,GL_Data!$P$8:$P$5007))</f>
        <v>0</v>
      </c>
      <c r="Y150" s="88" t="n">
        <f aca="false">IF($A150="",0,SUMIF(GL_Data!$S$8:$S$5007,145108,GL_Data!$P$8:$P$5007))</f>
        <v>0</v>
      </c>
      <c r="Z150" s="88" t="n">
        <f aca="false">IF($A150="",0,SUMIF(GL_Data!$S$8:$S$5007,145109,GL_Data!$P$8:$P$5007))</f>
        <v>0</v>
      </c>
      <c r="AA150" s="88" t="n">
        <f aca="false">IF($A150="",0,SUMIF(GL_Data!$S$8:$S$5007,145110,GL_Data!$P$8:$P$5007))</f>
        <v>0</v>
      </c>
      <c r="AB150" s="88" t="n">
        <f aca="false">IF($A150="",0,SUMIF(GL_Data!$S$8:$S$5007,145111,GL_Data!$P$8:$P$5007))</f>
        <v>0</v>
      </c>
      <c r="AC150" s="88" t="n">
        <f aca="false">IF($A150="",0,SUMIF(GL_Data!$S$8:$S$5007,145112,GL_Data!$P$8:$P$5007))</f>
        <v>0</v>
      </c>
      <c r="AD150" s="89" t="n">
        <f aca="false">IF($A150="",0,INDEX($F150:$AC150,12+Setup!$B$8))</f>
        <v>0</v>
      </c>
      <c r="AE150" s="90" t="n">
        <f aca="false">IF($A150="",0,INDEX($F150:$AC150,Setup!$B$8))</f>
        <v>0</v>
      </c>
      <c r="AF150" s="90" t="n">
        <f aca="false">IF($A150="",0,INDEX($F150:$AC150,11+Setup!$B$8))</f>
        <v>0</v>
      </c>
      <c r="AG150" s="90" t="n">
        <f aca="false">IF($A150="",0,AVERAGE(INDEX($F150:$AC150,9+Setup!$B$8):INDEX($F150:$AC150,11+Setup!$B$8)))</f>
        <v>0</v>
      </c>
      <c r="AH150" s="89" t="n">
        <f aca="false">IF($A150="",0,SUMPRODUCT(($R$3:$AC$3&lt;=Setup!$B$8)*$R150:$AC150))</f>
        <v>0</v>
      </c>
      <c r="AI150" s="90" t="n">
        <f aca="false">IF($A150="",0,SUMPRODUCT(($F$3:$Q$3&lt;=Setup!$B$8)*$F150:$Q150))</f>
        <v>0</v>
      </c>
      <c r="AJ150" s="90" t="n">
        <f aca="false">IF($A150="",0,SUM($F150:$Q150))</f>
        <v>0</v>
      </c>
      <c r="AK150" s="90" t="n">
        <f aca="false">IF($A150="",0,SUM($R150:$AC150))</f>
        <v>0</v>
      </c>
      <c r="AL150" s="91" t="n">
        <f aca="false">IF($A150="",0,IF(SUMPRODUCT(ABS($F150:$AC150))&gt;0,1,0))</f>
        <v>0</v>
      </c>
    </row>
    <row r="151" customFormat="false" ht="15" hidden="false" customHeight="false" outlineLevel="0" collapsed="false">
      <c r="A151" s="68" t="str">
        <f aca="false">IF(COA_Mapping!$A152="","",COA_Mapping!$A152)</f>
        <v>Indirect Wages - ONS</v>
      </c>
      <c r="B151" s="68" t="str">
        <f aca="false">IF($A151="","",COA_Mapping!$C152)</f>
        <v>Expenses</v>
      </c>
      <c r="C151" s="68" t="str">
        <f aca="false">IF($A151="","",COA_Mapping!$E152)</f>
        <v>P&amp;L</v>
      </c>
      <c r="D151" s="68" t="str">
        <f aca="false">IF($A151="","",COA_Mapping!$D152)</f>
        <v>Onsite</v>
      </c>
      <c r="E151" s="86" t="n">
        <f aca="false">IF($A151="",1,COA_Mapping!$F152)</f>
        <v>1</v>
      </c>
      <c r="F151" s="87" t="n">
        <f aca="false">IF($A151="",0,SUMIF(GL_Data!$S$8:$S$5007,146001,GL_Data!$P$8:$P$5007))</f>
        <v>0</v>
      </c>
      <c r="G151" s="87" t="n">
        <f aca="false">IF($A151="",0,SUMIF(GL_Data!$S$8:$S$5007,146002,GL_Data!$P$8:$P$5007))</f>
        <v>0</v>
      </c>
      <c r="H151" s="87" t="n">
        <f aca="false">IF($A151="",0,SUMIF(GL_Data!$S$8:$S$5007,146003,GL_Data!$P$8:$P$5007))</f>
        <v>0</v>
      </c>
      <c r="I151" s="87" t="n">
        <f aca="false">IF($A151="",0,SUMIF(GL_Data!$S$8:$S$5007,146004,GL_Data!$P$8:$P$5007))</f>
        <v>0</v>
      </c>
      <c r="J151" s="87" t="n">
        <f aca="false">IF($A151="",0,SUMIF(GL_Data!$S$8:$S$5007,146005,GL_Data!$P$8:$P$5007))</f>
        <v>0</v>
      </c>
      <c r="K151" s="87" t="n">
        <f aca="false">IF($A151="",0,SUMIF(GL_Data!$S$8:$S$5007,146006,GL_Data!$P$8:$P$5007))</f>
        <v>0</v>
      </c>
      <c r="L151" s="87" t="n">
        <f aca="false">IF($A151="",0,SUMIF(GL_Data!$S$8:$S$5007,146007,GL_Data!$P$8:$P$5007))</f>
        <v>0</v>
      </c>
      <c r="M151" s="87" t="n">
        <f aca="false">IF($A151="",0,SUMIF(GL_Data!$S$8:$S$5007,146008,GL_Data!$P$8:$P$5007))</f>
        <v>0</v>
      </c>
      <c r="N151" s="87" t="n">
        <f aca="false">IF($A151="",0,SUMIF(GL_Data!$S$8:$S$5007,146009,GL_Data!$P$8:$P$5007))</f>
        <v>0</v>
      </c>
      <c r="O151" s="87" t="n">
        <f aca="false">IF($A151="",0,SUMIF(GL_Data!$S$8:$S$5007,146010,GL_Data!$P$8:$P$5007))</f>
        <v>0</v>
      </c>
      <c r="P151" s="87" t="n">
        <f aca="false">IF($A151="",0,SUMIF(GL_Data!$S$8:$S$5007,146011,GL_Data!$P$8:$P$5007))</f>
        <v>0</v>
      </c>
      <c r="Q151" s="87" t="n">
        <f aca="false">IF($A151="",0,SUMIF(GL_Data!$S$8:$S$5007,146012,GL_Data!$P$8:$P$5007))</f>
        <v>0</v>
      </c>
      <c r="R151" s="88" t="n">
        <f aca="false">IF($A151="",0,SUMIF(GL_Data!$S$8:$S$5007,146101,GL_Data!$P$8:$P$5007))</f>
        <v>0</v>
      </c>
      <c r="S151" s="88" t="n">
        <f aca="false">IF($A151="",0,SUMIF(GL_Data!$S$8:$S$5007,146102,GL_Data!$P$8:$P$5007))</f>
        <v>0</v>
      </c>
      <c r="T151" s="88" t="n">
        <f aca="false">IF($A151="",0,SUMIF(GL_Data!$S$8:$S$5007,146103,GL_Data!$P$8:$P$5007))</f>
        <v>0</v>
      </c>
      <c r="U151" s="88" t="n">
        <f aca="false">IF($A151="",0,SUMIF(GL_Data!$S$8:$S$5007,146104,GL_Data!$P$8:$P$5007))</f>
        <v>0</v>
      </c>
      <c r="V151" s="88" t="n">
        <f aca="false">IF($A151="",0,SUMIF(GL_Data!$S$8:$S$5007,146105,GL_Data!$P$8:$P$5007))</f>
        <v>0</v>
      </c>
      <c r="W151" s="88" t="n">
        <f aca="false">IF($A151="",0,SUMIF(GL_Data!$S$8:$S$5007,146106,GL_Data!$P$8:$P$5007))</f>
        <v>0</v>
      </c>
      <c r="X151" s="88" t="n">
        <f aca="false">IF($A151="",0,SUMIF(GL_Data!$S$8:$S$5007,146107,GL_Data!$P$8:$P$5007))</f>
        <v>0</v>
      </c>
      <c r="Y151" s="88" t="n">
        <f aca="false">IF($A151="",0,SUMIF(GL_Data!$S$8:$S$5007,146108,GL_Data!$P$8:$P$5007))</f>
        <v>0</v>
      </c>
      <c r="Z151" s="88" t="n">
        <f aca="false">IF($A151="",0,SUMIF(GL_Data!$S$8:$S$5007,146109,GL_Data!$P$8:$P$5007))</f>
        <v>0</v>
      </c>
      <c r="AA151" s="88" t="n">
        <f aca="false">IF($A151="",0,SUMIF(GL_Data!$S$8:$S$5007,146110,GL_Data!$P$8:$P$5007))</f>
        <v>0</v>
      </c>
      <c r="AB151" s="88" t="n">
        <f aca="false">IF($A151="",0,SUMIF(GL_Data!$S$8:$S$5007,146111,GL_Data!$P$8:$P$5007))</f>
        <v>0</v>
      </c>
      <c r="AC151" s="88" t="n">
        <f aca="false">IF($A151="",0,SUMIF(GL_Data!$S$8:$S$5007,146112,GL_Data!$P$8:$P$5007))</f>
        <v>0</v>
      </c>
      <c r="AD151" s="89" t="n">
        <f aca="false">IF($A151="",0,INDEX($F151:$AC151,12+Setup!$B$8))</f>
        <v>0</v>
      </c>
      <c r="AE151" s="90" t="n">
        <f aca="false">IF($A151="",0,INDEX($F151:$AC151,Setup!$B$8))</f>
        <v>0</v>
      </c>
      <c r="AF151" s="90" t="n">
        <f aca="false">IF($A151="",0,INDEX($F151:$AC151,11+Setup!$B$8))</f>
        <v>0</v>
      </c>
      <c r="AG151" s="90" t="n">
        <f aca="false">IF($A151="",0,AVERAGE(INDEX($F151:$AC151,9+Setup!$B$8):INDEX($F151:$AC151,11+Setup!$B$8)))</f>
        <v>0</v>
      </c>
      <c r="AH151" s="89" t="n">
        <f aca="false">IF($A151="",0,SUMPRODUCT(($R$3:$AC$3&lt;=Setup!$B$8)*$R151:$AC151))</f>
        <v>0</v>
      </c>
      <c r="AI151" s="90" t="n">
        <f aca="false">IF($A151="",0,SUMPRODUCT(($F$3:$Q$3&lt;=Setup!$B$8)*$F151:$Q151))</f>
        <v>0</v>
      </c>
      <c r="AJ151" s="90" t="n">
        <f aca="false">IF($A151="",0,SUM($F151:$Q151))</f>
        <v>0</v>
      </c>
      <c r="AK151" s="90" t="n">
        <f aca="false">IF($A151="",0,SUM($R151:$AC151))</f>
        <v>0</v>
      </c>
      <c r="AL151" s="91" t="n">
        <f aca="false">IF($A151="",0,IF(SUMPRODUCT(ABS($F151:$AC151))&gt;0,1,0))</f>
        <v>0</v>
      </c>
    </row>
    <row r="152" customFormat="false" ht="15" hidden="false" customHeight="false" outlineLevel="0" collapsed="false">
      <c r="A152" s="68" t="str">
        <f aca="false">IF(COA_Mapping!$A153="","",COA_Mapping!$A153)</f>
        <v>Indirect Wages - PRD</v>
      </c>
      <c r="B152" s="68" t="str">
        <f aca="false">IF($A152="","",COA_Mapping!$C153)</f>
        <v>Expenses</v>
      </c>
      <c r="C152" s="68" t="str">
        <f aca="false">IF($A152="","",COA_Mapping!$E153)</f>
        <v>P&amp;L</v>
      </c>
      <c r="D152" s="68" t="str">
        <f aca="false">IF($A152="","",COA_Mapping!$D153)</f>
        <v>Production</v>
      </c>
      <c r="E152" s="86" t="n">
        <f aca="false">IF($A152="",1,COA_Mapping!$F153)</f>
        <v>1</v>
      </c>
      <c r="F152" s="87" t="n">
        <f aca="false">IF($A152="",0,SUMIF(GL_Data!$S$8:$S$5007,147001,GL_Data!$P$8:$P$5007))</f>
        <v>0</v>
      </c>
      <c r="G152" s="87" t="n">
        <f aca="false">IF($A152="",0,SUMIF(GL_Data!$S$8:$S$5007,147002,GL_Data!$P$8:$P$5007))</f>
        <v>0</v>
      </c>
      <c r="H152" s="87" t="n">
        <f aca="false">IF($A152="",0,SUMIF(GL_Data!$S$8:$S$5007,147003,GL_Data!$P$8:$P$5007))</f>
        <v>0</v>
      </c>
      <c r="I152" s="87" t="n">
        <f aca="false">IF($A152="",0,SUMIF(GL_Data!$S$8:$S$5007,147004,GL_Data!$P$8:$P$5007))</f>
        <v>0</v>
      </c>
      <c r="J152" s="87" t="n">
        <f aca="false">IF($A152="",0,SUMIF(GL_Data!$S$8:$S$5007,147005,GL_Data!$P$8:$P$5007))</f>
        <v>0</v>
      </c>
      <c r="K152" s="87" t="n">
        <f aca="false">IF($A152="",0,SUMIF(GL_Data!$S$8:$S$5007,147006,GL_Data!$P$8:$P$5007))</f>
        <v>0</v>
      </c>
      <c r="L152" s="87" t="n">
        <f aca="false">IF($A152="",0,SUMIF(GL_Data!$S$8:$S$5007,147007,GL_Data!$P$8:$P$5007))</f>
        <v>0</v>
      </c>
      <c r="M152" s="87" t="n">
        <f aca="false">IF($A152="",0,SUMIF(GL_Data!$S$8:$S$5007,147008,GL_Data!$P$8:$P$5007))</f>
        <v>0</v>
      </c>
      <c r="N152" s="87" t="n">
        <f aca="false">IF($A152="",0,SUMIF(GL_Data!$S$8:$S$5007,147009,GL_Data!$P$8:$P$5007))</f>
        <v>0</v>
      </c>
      <c r="O152" s="87" t="n">
        <f aca="false">IF($A152="",0,SUMIF(GL_Data!$S$8:$S$5007,147010,GL_Data!$P$8:$P$5007))</f>
        <v>0</v>
      </c>
      <c r="P152" s="87" t="n">
        <f aca="false">IF($A152="",0,SUMIF(GL_Data!$S$8:$S$5007,147011,GL_Data!$P$8:$P$5007))</f>
        <v>0</v>
      </c>
      <c r="Q152" s="87" t="n">
        <f aca="false">IF($A152="",0,SUMIF(GL_Data!$S$8:$S$5007,147012,GL_Data!$P$8:$P$5007))</f>
        <v>0</v>
      </c>
      <c r="R152" s="88" t="n">
        <f aca="false">IF($A152="",0,SUMIF(GL_Data!$S$8:$S$5007,147101,GL_Data!$P$8:$P$5007))</f>
        <v>0</v>
      </c>
      <c r="S152" s="88" t="n">
        <f aca="false">IF($A152="",0,SUMIF(GL_Data!$S$8:$S$5007,147102,GL_Data!$P$8:$P$5007))</f>
        <v>0</v>
      </c>
      <c r="T152" s="88" t="n">
        <f aca="false">IF($A152="",0,SUMIF(GL_Data!$S$8:$S$5007,147103,GL_Data!$P$8:$P$5007))</f>
        <v>0</v>
      </c>
      <c r="U152" s="88" t="n">
        <f aca="false">IF($A152="",0,SUMIF(GL_Data!$S$8:$S$5007,147104,GL_Data!$P$8:$P$5007))</f>
        <v>0</v>
      </c>
      <c r="V152" s="88" t="n">
        <f aca="false">IF($A152="",0,SUMIF(GL_Data!$S$8:$S$5007,147105,GL_Data!$P$8:$P$5007))</f>
        <v>0</v>
      </c>
      <c r="W152" s="88" t="n">
        <f aca="false">IF($A152="",0,SUMIF(GL_Data!$S$8:$S$5007,147106,GL_Data!$P$8:$P$5007))</f>
        <v>0</v>
      </c>
      <c r="X152" s="88" t="n">
        <f aca="false">IF($A152="",0,SUMIF(GL_Data!$S$8:$S$5007,147107,GL_Data!$P$8:$P$5007))</f>
        <v>0</v>
      </c>
      <c r="Y152" s="88" t="n">
        <f aca="false">IF($A152="",0,SUMIF(GL_Data!$S$8:$S$5007,147108,GL_Data!$P$8:$P$5007))</f>
        <v>0</v>
      </c>
      <c r="Z152" s="88" t="n">
        <f aca="false">IF($A152="",0,SUMIF(GL_Data!$S$8:$S$5007,147109,GL_Data!$P$8:$P$5007))</f>
        <v>0</v>
      </c>
      <c r="AA152" s="88" t="n">
        <f aca="false">IF($A152="",0,SUMIF(GL_Data!$S$8:$S$5007,147110,GL_Data!$P$8:$P$5007))</f>
        <v>0</v>
      </c>
      <c r="AB152" s="88" t="n">
        <f aca="false">IF($A152="",0,SUMIF(GL_Data!$S$8:$S$5007,147111,GL_Data!$P$8:$P$5007))</f>
        <v>0</v>
      </c>
      <c r="AC152" s="88" t="n">
        <f aca="false">IF($A152="",0,SUMIF(GL_Data!$S$8:$S$5007,147112,GL_Data!$P$8:$P$5007))</f>
        <v>0</v>
      </c>
      <c r="AD152" s="89" t="n">
        <f aca="false">IF($A152="",0,INDEX($F152:$AC152,12+Setup!$B$8))</f>
        <v>0</v>
      </c>
      <c r="AE152" s="90" t="n">
        <f aca="false">IF($A152="",0,INDEX($F152:$AC152,Setup!$B$8))</f>
        <v>0</v>
      </c>
      <c r="AF152" s="90" t="n">
        <f aca="false">IF($A152="",0,INDEX($F152:$AC152,11+Setup!$B$8))</f>
        <v>0</v>
      </c>
      <c r="AG152" s="90" t="n">
        <f aca="false">IF($A152="",0,AVERAGE(INDEX($F152:$AC152,9+Setup!$B$8):INDEX($F152:$AC152,11+Setup!$B$8)))</f>
        <v>0</v>
      </c>
      <c r="AH152" s="89" t="n">
        <f aca="false">IF($A152="",0,SUMPRODUCT(($R$3:$AC$3&lt;=Setup!$B$8)*$R152:$AC152))</f>
        <v>0</v>
      </c>
      <c r="AI152" s="90" t="n">
        <f aca="false">IF($A152="",0,SUMPRODUCT(($F$3:$Q$3&lt;=Setup!$B$8)*$F152:$Q152))</f>
        <v>0</v>
      </c>
      <c r="AJ152" s="90" t="n">
        <f aca="false">IF($A152="",0,SUM($F152:$Q152))</f>
        <v>0</v>
      </c>
      <c r="AK152" s="90" t="n">
        <f aca="false">IF($A152="",0,SUM($R152:$AC152))</f>
        <v>0</v>
      </c>
      <c r="AL152" s="91" t="n">
        <f aca="false">IF($A152="",0,IF(SUMPRODUCT(ABS($F152:$AC152))&gt;0,1,0))</f>
        <v>0</v>
      </c>
    </row>
    <row r="153" customFormat="false" ht="15" hidden="false" customHeight="false" outlineLevel="0" collapsed="false">
      <c r="A153" s="68" t="str">
        <f aca="false">IF(COA_Mapping!$A154="","",COA_Mapping!$A154)</f>
        <v>Indirect Wages - VID</v>
      </c>
      <c r="B153" s="68" t="str">
        <f aca="false">IF($A153="","",COA_Mapping!$C154)</f>
        <v>Expenses</v>
      </c>
      <c r="C153" s="68" t="str">
        <f aca="false">IF($A153="","",COA_Mapping!$E154)</f>
        <v>P&amp;L</v>
      </c>
      <c r="D153" s="68" t="str">
        <f aca="false">IF($A153="","",COA_Mapping!$D154)</f>
        <v>Video</v>
      </c>
      <c r="E153" s="86" t="n">
        <f aca="false">IF($A153="",1,COA_Mapping!$F154)</f>
        <v>1</v>
      </c>
      <c r="F153" s="87" t="n">
        <f aca="false">IF($A153="",0,SUMIF(GL_Data!$S$8:$S$5007,148001,GL_Data!$P$8:$P$5007))</f>
        <v>0</v>
      </c>
      <c r="G153" s="87" t="n">
        <f aca="false">IF($A153="",0,SUMIF(GL_Data!$S$8:$S$5007,148002,GL_Data!$P$8:$P$5007))</f>
        <v>0</v>
      </c>
      <c r="H153" s="87" t="n">
        <f aca="false">IF($A153="",0,SUMIF(GL_Data!$S$8:$S$5007,148003,GL_Data!$P$8:$P$5007))</f>
        <v>0</v>
      </c>
      <c r="I153" s="87" t="n">
        <f aca="false">IF($A153="",0,SUMIF(GL_Data!$S$8:$S$5007,148004,GL_Data!$P$8:$P$5007))</f>
        <v>0</v>
      </c>
      <c r="J153" s="87" t="n">
        <f aca="false">IF($A153="",0,SUMIF(GL_Data!$S$8:$S$5007,148005,GL_Data!$P$8:$P$5007))</f>
        <v>0</v>
      </c>
      <c r="K153" s="87" t="n">
        <f aca="false">IF($A153="",0,SUMIF(GL_Data!$S$8:$S$5007,148006,GL_Data!$P$8:$P$5007))</f>
        <v>0</v>
      </c>
      <c r="L153" s="87" t="n">
        <f aca="false">IF($A153="",0,SUMIF(GL_Data!$S$8:$S$5007,148007,GL_Data!$P$8:$P$5007))</f>
        <v>0</v>
      </c>
      <c r="M153" s="87" t="n">
        <f aca="false">IF($A153="",0,SUMIF(GL_Data!$S$8:$S$5007,148008,GL_Data!$P$8:$P$5007))</f>
        <v>0</v>
      </c>
      <c r="N153" s="87" t="n">
        <f aca="false">IF($A153="",0,SUMIF(GL_Data!$S$8:$S$5007,148009,GL_Data!$P$8:$P$5007))</f>
        <v>0</v>
      </c>
      <c r="O153" s="87" t="n">
        <f aca="false">IF($A153="",0,SUMIF(GL_Data!$S$8:$S$5007,148010,GL_Data!$P$8:$P$5007))</f>
        <v>0</v>
      </c>
      <c r="P153" s="87" t="n">
        <f aca="false">IF($A153="",0,SUMIF(GL_Data!$S$8:$S$5007,148011,GL_Data!$P$8:$P$5007))</f>
        <v>0</v>
      </c>
      <c r="Q153" s="87" t="n">
        <f aca="false">IF($A153="",0,SUMIF(GL_Data!$S$8:$S$5007,148012,GL_Data!$P$8:$P$5007))</f>
        <v>0</v>
      </c>
      <c r="R153" s="88" t="n">
        <f aca="false">IF($A153="",0,SUMIF(GL_Data!$S$8:$S$5007,148101,GL_Data!$P$8:$P$5007))</f>
        <v>0</v>
      </c>
      <c r="S153" s="88" t="n">
        <f aca="false">IF($A153="",0,SUMIF(GL_Data!$S$8:$S$5007,148102,GL_Data!$P$8:$P$5007))</f>
        <v>0</v>
      </c>
      <c r="T153" s="88" t="n">
        <f aca="false">IF($A153="",0,SUMIF(GL_Data!$S$8:$S$5007,148103,GL_Data!$P$8:$P$5007))</f>
        <v>0</v>
      </c>
      <c r="U153" s="88" t="n">
        <f aca="false">IF($A153="",0,SUMIF(GL_Data!$S$8:$S$5007,148104,GL_Data!$P$8:$P$5007))</f>
        <v>0</v>
      </c>
      <c r="V153" s="88" t="n">
        <f aca="false">IF($A153="",0,SUMIF(GL_Data!$S$8:$S$5007,148105,GL_Data!$P$8:$P$5007))</f>
        <v>0</v>
      </c>
      <c r="W153" s="88" t="n">
        <f aca="false">IF($A153="",0,SUMIF(GL_Data!$S$8:$S$5007,148106,GL_Data!$P$8:$P$5007))</f>
        <v>0</v>
      </c>
      <c r="X153" s="88" t="n">
        <f aca="false">IF($A153="",0,SUMIF(GL_Data!$S$8:$S$5007,148107,GL_Data!$P$8:$P$5007))</f>
        <v>0</v>
      </c>
      <c r="Y153" s="88" t="n">
        <f aca="false">IF($A153="",0,SUMIF(GL_Data!$S$8:$S$5007,148108,GL_Data!$P$8:$P$5007))</f>
        <v>0</v>
      </c>
      <c r="Z153" s="88" t="n">
        <f aca="false">IF($A153="",0,SUMIF(GL_Data!$S$8:$S$5007,148109,GL_Data!$P$8:$P$5007))</f>
        <v>0</v>
      </c>
      <c r="AA153" s="88" t="n">
        <f aca="false">IF($A153="",0,SUMIF(GL_Data!$S$8:$S$5007,148110,GL_Data!$P$8:$P$5007))</f>
        <v>0</v>
      </c>
      <c r="AB153" s="88" t="n">
        <f aca="false">IF($A153="",0,SUMIF(GL_Data!$S$8:$S$5007,148111,GL_Data!$P$8:$P$5007))</f>
        <v>0</v>
      </c>
      <c r="AC153" s="88" t="n">
        <f aca="false">IF($A153="",0,SUMIF(GL_Data!$S$8:$S$5007,148112,GL_Data!$P$8:$P$5007))</f>
        <v>0</v>
      </c>
      <c r="AD153" s="89" t="n">
        <f aca="false">IF($A153="",0,INDEX($F153:$AC153,12+Setup!$B$8))</f>
        <v>0</v>
      </c>
      <c r="AE153" s="90" t="n">
        <f aca="false">IF($A153="",0,INDEX($F153:$AC153,Setup!$B$8))</f>
        <v>0</v>
      </c>
      <c r="AF153" s="90" t="n">
        <f aca="false">IF($A153="",0,INDEX($F153:$AC153,11+Setup!$B$8))</f>
        <v>0</v>
      </c>
      <c r="AG153" s="90" t="n">
        <f aca="false">IF($A153="",0,AVERAGE(INDEX($F153:$AC153,9+Setup!$B$8):INDEX($F153:$AC153,11+Setup!$B$8)))</f>
        <v>0</v>
      </c>
      <c r="AH153" s="89" t="n">
        <f aca="false">IF($A153="",0,SUMPRODUCT(($R$3:$AC$3&lt;=Setup!$B$8)*$R153:$AC153))</f>
        <v>0</v>
      </c>
      <c r="AI153" s="90" t="n">
        <f aca="false">IF($A153="",0,SUMPRODUCT(($F$3:$Q$3&lt;=Setup!$B$8)*$F153:$Q153))</f>
        <v>0</v>
      </c>
      <c r="AJ153" s="90" t="n">
        <f aca="false">IF($A153="",0,SUM($F153:$Q153))</f>
        <v>0</v>
      </c>
      <c r="AK153" s="90" t="n">
        <f aca="false">IF($A153="",0,SUM($R153:$AC153))</f>
        <v>0</v>
      </c>
      <c r="AL153" s="91" t="n">
        <f aca="false">IF($A153="",0,IF(SUMPRODUCT(ABS($F153:$AC153))&gt;0,1,0))</f>
        <v>0</v>
      </c>
    </row>
    <row r="154" customFormat="false" ht="15" hidden="false" customHeight="false" outlineLevel="0" collapsed="false">
      <c r="A154" s="68" t="str">
        <f aca="false">IF(COA_Mapping!$A155="","",COA_Mapping!$A155)</f>
        <v>Instant Asset Write Off</v>
      </c>
      <c r="B154" s="68" t="str">
        <f aca="false">IF($A154="","",COA_Mapping!$C155)</f>
        <v>Expenses</v>
      </c>
      <c r="C154" s="68" t="str">
        <f aca="false">IF($A154="","",COA_Mapping!$E155)</f>
        <v>P&amp;L</v>
      </c>
      <c r="D154" s="68" t="str">
        <f aca="false">IF($A154="","",COA_Mapping!$D155)</f>
        <v>Unallocated</v>
      </c>
      <c r="E154" s="86" t="n">
        <f aca="false">IF($A154="",1,COA_Mapping!$F155)</f>
        <v>1</v>
      </c>
      <c r="F154" s="87" t="n">
        <f aca="false">IF($A154="",0,SUMIF(GL_Data!$S$8:$S$5007,149001,GL_Data!$P$8:$P$5007))</f>
        <v>0</v>
      </c>
      <c r="G154" s="87" t="n">
        <f aca="false">IF($A154="",0,SUMIF(GL_Data!$S$8:$S$5007,149002,GL_Data!$P$8:$P$5007))</f>
        <v>0</v>
      </c>
      <c r="H154" s="87" t="n">
        <f aca="false">IF($A154="",0,SUMIF(GL_Data!$S$8:$S$5007,149003,GL_Data!$P$8:$P$5007))</f>
        <v>0</v>
      </c>
      <c r="I154" s="87" t="n">
        <f aca="false">IF($A154="",0,SUMIF(GL_Data!$S$8:$S$5007,149004,GL_Data!$P$8:$P$5007))</f>
        <v>0</v>
      </c>
      <c r="J154" s="87" t="n">
        <f aca="false">IF($A154="",0,SUMIF(GL_Data!$S$8:$S$5007,149005,GL_Data!$P$8:$P$5007))</f>
        <v>0</v>
      </c>
      <c r="K154" s="87" t="n">
        <f aca="false">IF($A154="",0,SUMIF(GL_Data!$S$8:$S$5007,149006,GL_Data!$P$8:$P$5007))</f>
        <v>0</v>
      </c>
      <c r="L154" s="87" t="n">
        <f aca="false">IF($A154="",0,SUMIF(GL_Data!$S$8:$S$5007,149007,GL_Data!$P$8:$P$5007))</f>
        <v>0</v>
      </c>
      <c r="M154" s="87" t="n">
        <f aca="false">IF($A154="",0,SUMIF(GL_Data!$S$8:$S$5007,149008,GL_Data!$P$8:$P$5007))</f>
        <v>0</v>
      </c>
      <c r="N154" s="87" t="n">
        <f aca="false">IF($A154="",0,SUMIF(GL_Data!$S$8:$S$5007,149009,GL_Data!$P$8:$P$5007))</f>
        <v>0</v>
      </c>
      <c r="O154" s="87" t="n">
        <f aca="false">IF($A154="",0,SUMIF(GL_Data!$S$8:$S$5007,149010,GL_Data!$P$8:$P$5007))</f>
        <v>0</v>
      </c>
      <c r="P154" s="87" t="n">
        <f aca="false">IF($A154="",0,SUMIF(GL_Data!$S$8:$S$5007,149011,GL_Data!$P$8:$P$5007))</f>
        <v>0</v>
      </c>
      <c r="Q154" s="87" t="n">
        <f aca="false">IF($A154="",0,SUMIF(GL_Data!$S$8:$S$5007,149012,GL_Data!$P$8:$P$5007))</f>
        <v>0</v>
      </c>
      <c r="R154" s="88" t="n">
        <f aca="false">IF($A154="",0,SUMIF(GL_Data!$S$8:$S$5007,149101,GL_Data!$P$8:$P$5007))</f>
        <v>0</v>
      </c>
      <c r="S154" s="88" t="n">
        <f aca="false">IF($A154="",0,SUMIF(GL_Data!$S$8:$S$5007,149102,GL_Data!$P$8:$P$5007))</f>
        <v>0</v>
      </c>
      <c r="T154" s="88" t="n">
        <f aca="false">IF($A154="",0,SUMIF(GL_Data!$S$8:$S$5007,149103,GL_Data!$P$8:$P$5007))</f>
        <v>0</v>
      </c>
      <c r="U154" s="88" t="n">
        <f aca="false">IF($A154="",0,SUMIF(GL_Data!$S$8:$S$5007,149104,GL_Data!$P$8:$P$5007))</f>
        <v>0</v>
      </c>
      <c r="V154" s="88" t="n">
        <f aca="false">IF($A154="",0,SUMIF(GL_Data!$S$8:$S$5007,149105,GL_Data!$P$8:$P$5007))</f>
        <v>0</v>
      </c>
      <c r="W154" s="88" t="n">
        <f aca="false">IF($A154="",0,SUMIF(GL_Data!$S$8:$S$5007,149106,GL_Data!$P$8:$P$5007))</f>
        <v>0</v>
      </c>
      <c r="X154" s="88" t="n">
        <f aca="false">IF($A154="",0,SUMIF(GL_Data!$S$8:$S$5007,149107,GL_Data!$P$8:$P$5007))</f>
        <v>0</v>
      </c>
      <c r="Y154" s="88" t="n">
        <f aca="false">IF($A154="",0,SUMIF(GL_Data!$S$8:$S$5007,149108,GL_Data!$P$8:$P$5007))</f>
        <v>0</v>
      </c>
      <c r="Z154" s="88" t="n">
        <f aca="false">IF($A154="",0,SUMIF(GL_Data!$S$8:$S$5007,149109,GL_Data!$P$8:$P$5007))</f>
        <v>0</v>
      </c>
      <c r="AA154" s="88" t="n">
        <f aca="false">IF($A154="",0,SUMIF(GL_Data!$S$8:$S$5007,149110,GL_Data!$P$8:$P$5007))</f>
        <v>0</v>
      </c>
      <c r="AB154" s="88" t="n">
        <f aca="false">IF($A154="",0,SUMIF(GL_Data!$S$8:$S$5007,149111,GL_Data!$P$8:$P$5007))</f>
        <v>0</v>
      </c>
      <c r="AC154" s="88" t="n">
        <f aca="false">IF($A154="",0,SUMIF(GL_Data!$S$8:$S$5007,149112,GL_Data!$P$8:$P$5007))</f>
        <v>0</v>
      </c>
      <c r="AD154" s="89" t="n">
        <f aca="false">IF($A154="",0,INDEX($F154:$AC154,12+Setup!$B$8))</f>
        <v>0</v>
      </c>
      <c r="AE154" s="90" t="n">
        <f aca="false">IF($A154="",0,INDEX($F154:$AC154,Setup!$B$8))</f>
        <v>0</v>
      </c>
      <c r="AF154" s="90" t="n">
        <f aca="false">IF($A154="",0,INDEX($F154:$AC154,11+Setup!$B$8))</f>
        <v>0</v>
      </c>
      <c r="AG154" s="90" t="n">
        <f aca="false">IF($A154="",0,AVERAGE(INDEX($F154:$AC154,9+Setup!$B$8):INDEX($F154:$AC154,11+Setup!$B$8)))</f>
        <v>0</v>
      </c>
      <c r="AH154" s="89" t="n">
        <f aca="false">IF($A154="",0,SUMPRODUCT(($R$3:$AC$3&lt;=Setup!$B$8)*$R154:$AC154))</f>
        <v>0</v>
      </c>
      <c r="AI154" s="90" t="n">
        <f aca="false">IF($A154="",0,SUMPRODUCT(($F$3:$Q$3&lt;=Setup!$B$8)*$F154:$Q154))</f>
        <v>0</v>
      </c>
      <c r="AJ154" s="90" t="n">
        <f aca="false">IF($A154="",0,SUM($F154:$Q154))</f>
        <v>0</v>
      </c>
      <c r="AK154" s="90" t="n">
        <f aca="false">IF($A154="",0,SUM($R154:$AC154))</f>
        <v>0</v>
      </c>
      <c r="AL154" s="91" t="n">
        <f aca="false">IF($A154="",0,IF(SUMPRODUCT(ABS($F154:$AC154))&gt;0,1,0))</f>
        <v>0</v>
      </c>
    </row>
    <row r="155" customFormat="false" ht="15" hidden="false" customHeight="false" outlineLevel="0" collapsed="false">
      <c r="A155" s="68" t="str">
        <f aca="false">IF(COA_Mapping!$A156="","",COA_Mapping!$A156)</f>
        <v>Insurance</v>
      </c>
      <c r="B155" s="68" t="str">
        <f aca="false">IF($A155="","",COA_Mapping!$C156)</f>
        <v>Expenses</v>
      </c>
      <c r="C155" s="68" t="str">
        <f aca="false">IF($A155="","",COA_Mapping!$E156)</f>
        <v>P&amp;L</v>
      </c>
      <c r="D155" s="68" t="str">
        <f aca="false">IF($A155="","",COA_Mapping!$D156)</f>
        <v>Unallocated</v>
      </c>
      <c r="E155" s="86" t="n">
        <f aca="false">IF($A155="",1,COA_Mapping!$F156)</f>
        <v>1</v>
      </c>
      <c r="F155" s="87" t="n">
        <f aca="false">IF($A155="",0,SUMIF(GL_Data!$S$8:$S$5007,150001,GL_Data!$P$8:$P$5007))</f>
        <v>0</v>
      </c>
      <c r="G155" s="87" t="n">
        <f aca="false">IF($A155="",0,SUMIF(GL_Data!$S$8:$S$5007,150002,GL_Data!$P$8:$P$5007))</f>
        <v>0</v>
      </c>
      <c r="H155" s="87" t="n">
        <f aca="false">IF($A155="",0,SUMIF(GL_Data!$S$8:$S$5007,150003,GL_Data!$P$8:$P$5007))</f>
        <v>0</v>
      </c>
      <c r="I155" s="87" t="n">
        <f aca="false">IF($A155="",0,SUMIF(GL_Data!$S$8:$S$5007,150004,GL_Data!$P$8:$P$5007))</f>
        <v>0</v>
      </c>
      <c r="J155" s="87" t="n">
        <f aca="false">IF($A155="",0,SUMIF(GL_Data!$S$8:$S$5007,150005,GL_Data!$P$8:$P$5007))</f>
        <v>0</v>
      </c>
      <c r="K155" s="87" t="n">
        <f aca="false">IF($A155="",0,SUMIF(GL_Data!$S$8:$S$5007,150006,GL_Data!$P$8:$P$5007))</f>
        <v>0</v>
      </c>
      <c r="L155" s="87" t="n">
        <f aca="false">IF($A155="",0,SUMIF(GL_Data!$S$8:$S$5007,150007,GL_Data!$P$8:$P$5007))</f>
        <v>0</v>
      </c>
      <c r="M155" s="87" t="n">
        <f aca="false">IF($A155="",0,SUMIF(GL_Data!$S$8:$S$5007,150008,GL_Data!$P$8:$P$5007))</f>
        <v>0</v>
      </c>
      <c r="N155" s="87" t="n">
        <f aca="false">IF($A155="",0,SUMIF(GL_Data!$S$8:$S$5007,150009,GL_Data!$P$8:$P$5007))</f>
        <v>0</v>
      </c>
      <c r="O155" s="87" t="n">
        <f aca="false">IF($A155="",0,SUMIF(GL_Data!$S$8:$S$5007,150010,GL_Data!$P$8:$P$5007))</f>
        <v>0</v>
      </c>
      <c r="P155" s="87" t="n">
        <f aca="false">IF($A155="",0,SUMIF(GL_Data!$S$8:$S$5007,150011,GL_Data!$P$8:$P$5007))</f>
        <v>0</v>
      </c>
      <c r="Q155" s="87" t="n">
        <f aca="false">IF($A155="",0,SUMIF(GL_Data!$S$8:$S$5007,150012,GL_Data!$P$8:$P$5007))</f>
        <v>0</v>
      </c>
      <c r="R155" s="88" t="n">
        <f aca="false">IF($A155="",0,SUMIF(GL_Data!$S$8:$S$5007,150101,GL_Data!$P$8:$P$5007))</f>
        <v>0</v>
      </c>
      <c r="S155" s="88" t="n">
        <f aca="false">IF($A155="",0,SUMIF(GL_Data!$S$8:$S$5007,150102,GL_Data!$P$8:$P$5007))</f>
        <v>0</v>
      </c>
      <c r="T155" s="88" t="n">
        <f aca="false">IF($A155="",0,SUMIF(GL_Data!$S$8:$S$5007,150103,GL_Data!$P$8:$P$5007))</f>
        <v>0</v>
      </c>
      <c r="U155" s="88" t="n">
        <f aca="false">IF($A155="",0,SUMIF(GL_Data!$S$8:$S$5007,150104,GL_Data!$P$8:$P$5007))</f>
        <v>0</v>
      </c>
      <c r="V155" s="88" t="n">
        <f aca="false">IF($A155="",0,SUMIF(GL_Data!$S$8:$S$5007,150105,GL_Data!$P$8:$P$5007))</f>
        <v>0</v>
      </c>
      <c r="W155" s="88" t="n">
        <f aca="false">IF($A155="",0,SUMIF(GL_Data!$S$8:$S$5007,150106,GL_Data!$P$8:$P$5007))</f>
        <v>0</v>
      </c>
      <c r="X155" s="88" t="n">
        <f aca="false">IF($A155="",0,SUMIF(GL_Data!$S$8:$S$5007,150107,GL_Data!$P$8:$P$5007))</f>
        <v>0</v>
      </c>
      <c r="Y155" s="88" t="n">
        <f aca="false">IF($A155="",0,SUMIF(GL_Data!$S$8:$S$5007,150108,GL_Data!$P$8:$P$5007))</f>
        <v>0</v>
      </c>
      <c r="Z155" s="88" t="n">
        <f aca="false">IF($A155="",0,SUMIF(GL_Data!$S$8:$S$5007,150109,GL_Data!$P$8:$P$5007))</f>
        <v>0</v>
      </c>
      <c r="AA155" s="88" t="n">
        <f aca="false">IF($A155="",0,SUMIF(GL_Data!$S$8:$S$5007,150110,GL_Data!$P$8:$P$5007))</f>
        <v>0</v>
      </c>
      <c r="AB155" s="88" t="n">
        <f aca="false">IF($A155="",0,SUMIF(GL_Data!$S$8:$S$5007,150111,GL_Data!$P$8:$P$5007))</f>
        <v>0</v>
      </c>
      <c r="AC155" s="88" t="n">
        <f aca="false">IF($A155="",0,SUMIF(GL_Data!$S$8:$S$5007,150112,GL_Data!$P$8:$P$5007))</f>
        <v>0</v>
      </c>
      <c r="AD155" s="89" t="n">
        <f aca="false">IF($A155="",0,INDEX($F155:$AC155,12+Setup!$B$8))</f>
        <v>0</v>
      </c>
      <c r="AE155" s="90" t="n">
        <f aca="false">IF($A155="",0,INDEX($F155:$AC155,Setup!$B$8))</f>
        <v>0</v>
      </c>
      <c r="AF155" s="90" t="n">
        <f aca="false">IF($A155="",0,INDEX($F155:$AC155,11+Setup!$B$8))</f>
        <v>0</v>
      </c>
      <c r="AG155" s="90" t="n">
        <f aca="false">IF($A155="",0,AVERAGE(INDEX($F155:$AC155,9+Setup!$B$8):INDEX($F155:$AC155,11+Setup!$B$8)))</f>
        <v>0</v>
      </c>
      <c r="AH155" s="89" t="n">
        <f aca="false">IF($A155="",0,SUMPRODUCT(($R$3:$AC$3&lt;=Setup!$B$8)*$R155:$AC155))</f>
        <v>0</v>
      </c>
      <c r="AI155" s="90" t="n">
        <f aca="false">IF($A155="",0,SUMPRODUCT(($F$3:$Q$3&lt;=Setup!$B$8)*$F155:$Q155))</f>
        <v>0</v>
      </c>
      <c r="AJ155" s="90" t="n">
        <f aca="false">IF($A155="",0,SUM($F155:$Q155))</f>
        <v>0</v>
      </c>
      <c r="AK155" s="90" t="n">
        <f aca="false">IF($A155="",0,SUM($R155:$AC155))</f>
        <v>0</v>
      </c>
      <c r="AL155" s="91" t="n">
        <f aca="false">IF($A155="",0,IF(SUMPRODUCT(ABS($F155:$AC155))&gt;0,1,0))</f>
        <v>0</v>
      </c>
    </row>
    <row r="156" customFormat="false" ht="15" hidden="false" customHeight="false" outlineLevel="0" collapsed="false">
      <c r="A156" s="68" t="str">
        <f aca="false">IF(COA_Mapping!$A157="","",COA_Mapping!$A157)</f>
        <v>Interest Expense</v>
      </c>
      <c r="B156" s="68" t="str">
        <f aca="false">IF($A156="","",COA_Mapping!$C157)</f>
        <v>Expenses</v>
      </c>
      <c r="C156" s="68" t="str">
        <f aca="false">IF($A156="","",COA_Mapping!$E157)</f>
        <v>P&amp;L</v>
      </c>
      <c r="D156" s="68" t="str">
        <f aca="false">IF($A156="","",COA_Mapping!$D157)</f>
        <v>Unallocated</v>
      </c>
      <c r="E156" s="86" t="n">
        <f aca="false">IF($A156="",1,COA_Mapping!$F157)</f>
        <v>1</v>
      </c>
      <c r="F156" s="87" t="n">
        <f aca="false">IF($A156="",0,SUMIF(GL_Data!$S$8:$S$5007,151001,GL_Data!$P$8:$P$5007))</f>
        <v>0</v>
      </c>
      <c r="G156" s="87" t="n">
        <f aca="false">IF($A156="",0,SUMIF(GL_Data!$S$8:$S$5007,151002,GL_Data!$P$8:$P$5007))</f>
        <v>0</v>
      </c>
      <c r="H156" s="87" t="n">
        <f aca="false">IF($A156="",0,SUMIF(GL_Data!$S$8:$S$5007,151003,GL_Data!$P$8:$P$5007))</f>
        <v>0</v>
      </c>
      <c r="I156" s="87" t="n">
        <f aca="false">IF($A156="",0,SUMIF(GL_Data!$S$8:$S$5007,151004,GL_Data!$P$8:$P$5007))</f>
        <v>0</v>
      </c>
      <c r="J156" s="87" t="n">
        <f aca="false">IF($A156="",0,SUMIF(GL_Data!$S$8:$S$5007,151005,GL_Data!$P$8:$P$5007))</f>
        <v>0</v>
      </c>
      <c r="K156" s="87" t="n">
        <f aca="false">IF($A156="",0,SUMIF(GL_Data!$S$8:$S$5007,151006,GL_Data!$P$8:$P$5007))</f>
        <v>0</v>
      </c>
      <c r="L156" s="87" t="n">
        <f aca="false">IF($A156="",0,SUMIF(GL_Data!$S$8:$S$5007,151007,GL_Data!$P$8:$P$5007))</f>
        <v>0</v>
      </c>
      <c r="M156" s="87" t="n">
        <f aca="false">IF($A156="",0,SUMIF(GL_Data!$S$8:$S$5007,151008,GL_Data!$P$8:$P$5007))</f>
        <v>0</v>
      </c>
      <c r="N156" s="87" t="n">
        <f aca="false">IF($A156="",0,SUMIF(GL_Data!$S$8:$S$5007,151009,GL_Data!$P$8:$P$5007))</f>
        <v>0</v>
      </c>
      <c r="O156" s="87" t="n">
        <f aca="false">IF($A156="",0,SUMIF(GL_Data!$S$8:$S$5007,151010,GL_Data!$P$8:$P$5007))</f>
        <v>0</v>
      </c>
      <c r="P156" s="87" t="n">
        <f aca="false">IF($A156="",0,SUMIF(GL_Data!$S$8:$S$5007,151011,GL_Data!$P$8:$P$5007))</f>
        <v>0</v>
      </c>
      <c r="Q156" s="87" t="n">
        <f aca="false">IF($A156="",0,SUMIF(GL_Data!$S$8:$S$5007,151012,GL_Data!$P$8:$P$5007))</f>
        <v>0</v>
      </c>
      <c r="R156" s="88" t="n">
        <f aca="false">IF($A156="",0,SUMIF(GL_Data!$S$8:$S$5007,151101,GL_Data!$P$8:$P$5007))</f>
        <v>0</v>
      </c>
      <c r="S156" s="88" t="n">
        <f aca="false">IF($A156="",0,SUMIF(GL_Data!$S$8:$S$5007,151102,GL_Data!$P$8:$P$5007))</f>
        <v>0</v>
      </c>
      <c r="T156" s="88" t="n">
        <f aca="false">IF($A156="",0,SUMIF(GL_Data!$S$8:$S$5007,151103,GL_Data!$P$8:$P$5007))</f>
        <v>0</v>
      </c>
      <c r="U156" s="88" t="n">
        <f aca="false">IF($A156="",0,SUMIF(GL_Data!$S$8:$S$5007,151104,GL_Data!$P$8:$P$5007))</f>
        <v>0</v>
      </c>
      <c r="V156" s="88" t="n">
        <f aca="false">IF($A156="",0,SUMIF(GL_Data!$S$8:$S$5007,151105,GL_Data!$P$8:$P$5007))</f>
        <v>0</v>
      </c>
      <c r="W156" s="88" t="n">
        <f aca="false">IF($A156="",0,SUMIF(GL_Data!$S$8:$S$5007,151106,GL_Data!$P$8:$P$5007))</f>
        <v>0</v>
      </c>
      <c r="X156" s="88" t="n">
        <f aca="false">IF($A156="",0,SUMIF(GL_Data!$S$8:$S$5007,151107,GL_Data!$P$8:$P$5007))</f>
        <v>0</v>
      </c>
      <c r="Y156" s="88" t="n">
        <f aca="false">IF($A156="",0,SUMIF(GL_Data!$S$8:$S$5007,151108,GL_Data!$P$8:$P$5007))</f>
        <v>0</v>
      </c>
      <c r="Z156" s="88" t="n">
        <f aca="false">IF($A156="",0,SUMIF(GL_Data!$S$8:$S$5007,151109,GL_Data!$P$8:$P$5007))</f>
        <v>0</v>
      </c>
      <c r="AA156" s="88" t="n">
        <f aca="false">IF($A156="",0,SUMIF(GL_Data!$S$8:$S$5007,151110,GL_Data!$P$8:$P$5007))</f>
        <v>0</v>
      </c>
      <c r="AB156" s="88" t="n">
        <f aca="false">IF($A156="",0,SUMIF(GL_Data!$S$8:$S$5007,151111,GL_Data!$P$8:$P$5007))</f>
        <v>0</v>
      </c>
      <c r="AC156" s="88" t="n">
        <f aca="false">IF($A156="",0,SUMIF(GL_Data!$S$8:$S$5007,151112,GL_Data!$P$8:$P$5007))</f>
        <v>0</v>
      </c>
      <c r="AD156" s="89" t="n">
        <f aca="false">IF($A156="",0,INDEX($F156:$AC156,12+Setup!$B$8))</f>
        <v>0</v>
      </c>
      <c r="AE156" s="90" t="n">
        <f aca="false">IF($A156="",0,INDEX($F156:$AC156,Setup!$B$8))</f>
        <v>0</v>
      </c>
      <c r="AF156" s="90" t="n">
        <f aca="false">IF($A156="",0,INDEX($F156:$AC156,11+Setup!$B$8))</f>
        <v>0</v>
      </c>
      <c r="AG156" s="90" t="n">
        <f aca="false">IF($A156="",0,AVERAGE(INDEX($F156:$AC156,9+Setup!$B$8):INDEX($F156:$AC156,11+Setup!$B$8)))</f>
        <v>0</v>
      </c>
      <c r="AH156" s="89" t="n">
        <f aca="false">IF($A156="",0,SUMPRODUCT(($R$3:$AC$3&lt;=Setup!$B$8)*$R156:$AC156))</f>
        <v>0</v>
      </c>
      <c r="AI156" s="90" t="n">
        <f aca="false">IF($A156="",0,SUMPRODUCT(($F$3:$Q$3&lt;=Setup!$B$8)*$F156:$Q156))</f>
        <v>0</v>
      </c>
      <c r="AJ156" s="90" t="n">
        <f aca="false">IF($A156="",0,SUM($F156:$Q156))</f>
        <v>0</v>
      </c>
      <c r="AK156" s="90" t="n">
        <f aca="false">IF($A156="",0,SUM($R156:$AC156))</f>
        <v>0</v>
      </c>
      <c r="AL156" s="91" t="n">
        <f aca="false">IF($A156="",0,IF(SUMPRODUCT(ABS($F156:$AC156))&gt;0,1,0))</f>
        <v>0</v>
      </c>
    </row>
    <row r="157" customFormat="false" ht="15" hidden="false" customHeight="false" outlineLevel="0" collapsed="false">
      <c r="A157" s="68" t="str">
        <f aca="false">IF(COA_Mapping!$A158="","",COA_Mapping!$A158)</f>
        <v>Internet</v>
      </c>
      <c r="B157" s="68" t="str">
        <f aca="false">IF($A157="","",COA_Mapping!$C158)</f>
        <v>Expenses</v>
      </c>
      <c r="C157" s="68" t="str">
        <f aca="false">IF($A157="","",COA_Mapping!$E158)</f>
        <v>P&amp;L</v>
      </c>
      <c r="D157" s="68" t="str">
        <f aca="false">IF($A157="","",COA_Mapping!$D158)</f>
        <v>Unallocated</v>
      </c>
      <c r="E157" s="86" t="n">
        <f aca="false">IF($A157="",1,COA_Mapping!$F158)</f>
        <v>1</v>
      </c>
      <c r="F157" s="87" t="n">
        <f aca="false">IF($A157="",0,SUMIF(GL_Data!$S$8:$S$5007,152001,GL_Data!$P$8:$P$5007))</f>
        <v>0</v>
      </c>
      <c r="G157" s="87" t="n">
        <f aca="false">IF($A157="",0,SUMIF(GL_Data!$S$8:$S$5007,152002,GL_Data!$P$8:$P$5007))</f>
        <v>0</v>
      </c>
      <c r="H157" s="87" t="n">
        <f aca="false">IF($A157="",0,SUMIF(GL_Data!$S$8:$S$5007,152003,GL_Data!$P$8:$P$5007))</f>
        <v>0</v>
      </c>
      <c r="I157" s="87" t="n">
        <f aca="false">IF($A157="",0,SUMIF(GL_Data!$S$8:$S$5007,152004,GL_Data!$P$8:$P$5007))</f>
        <v>0</v>
      </c>
      <c r="J157" s="87" t="n">
        <f aca="false">IF($A157="",0,SUMIF(GL_Data!$S$8:$S$5007,152005,GL_Data!$P$8:$P$5007))</f>
        <v>0</v>
      </c>
      <c r="K157" s="87" t="n">
        <f aca="false">IF($A157="",0,SUMIF(GL_Data!$S$8:$S$5007,152006,GL_Data!$P$8:$P$5007))</f>
        <v>0</v>
      </c>
      <c r="L157" s="87" t="n">
        <f aca="false">IF($A157="",0,SUMIF(GL_Data!$S$8:$S$5007,152007,GL_Data!$P$8:$P$5007))</f>
        <v>0</v>
      </c>
      <c r="M157" s="87" t="n">
        <f aca="false">IF($A157="",0,SUMIF(GL_Data!$S$8:$S$5007,152008,GL_Data!$P$8:$P$5007))</f>
        <v>0</v>
      </c>
      <c r="N157" s="87" t="n">
        <f aca="false">IF($A157="",0,SUMIF(GL_Data!$S$8:$S$5007,152009,GL_Data!$P$8:$P$5007))</f>
        <v>0</v>
      </c>
      <c r="O157" s="87" t="n">
        <f aca="false">IF($A157="",0,SUMIF(GL_Data!$S$8:$S$5007,152010,GL_Data!$P$8:$P$5007))</f>
        <v>0</v>
      </c>
      <c r="P157" s="87" t="n">
        <f aca="false">IF($A157="",0,SUMIF(GL_Data!$S$8:$S$5007,152011,GL_Data!$P$8:$P$5007))</f>
        <v>0</v>
      </c>
      <c r="Q157" s="87" t="n">
        <f aca="false">IF($A157="",0,SUMIF(GL_Data!$S$8:$S$5007,152012,GL_Data!$P$8:$P$5007))</f>
        <v>0</v>
      </c>
      <c r="R157" s="88" t="n">
        <f aca="false">IF($A157="",0,SUMIF(GL_Data!$S$8:$S$5007,152101,GL_Data!$P$8:$P$5007))</f>
        <v>0</v>
      </c>
      <c r="S157" s="88" t="n">
        <f aca="false">IF($A157="",0,SUMIF(GL_Data!$S$8:$S$5007,152102,GL_Data!$P$8:$P$5007))</f>
        <v>0</v>
      </c>
      <c r="T157" s="88" t="n">
        <f aca="false">IF($A157="",0,SUMIF(GL_Data!$S$8:$S$5007,152103,GL_Data!$P$8:$P$5007))</f>
        <v>0</v>
      </c>
      <c r="U157" s="88" t="n">
        <f aca="false">IF($A157="",0,SUMIF(GL_Data!$S$8:$S$5007,152104,GL_Data!$P$8:$P$5007))</f>
        <v>0</v>
      </c>
      <c r="V157" s="88" t="n">
        <f aca="false">IF($A157="",0,SUMIF(GL_Data!$S$8:$S$5007,152105,GL_Data!$P$8:$P$5007))</f>
        <v>0</v>
      </c>
      <c r="W157" s="88" t="n">
        <f aca="false">IF($A157="",0,SUMIF(GL_Data!$S$8:$S$5007,152106,GL_Data!$P$8:$P$5007))</f>
        <v>0</v>
      </c>
      <c r="X157" s="88" t="n">
        <f aca="false">IF($A157="",0,SUMIF(GL_Data!$S$8:$S$5007,152107,GL_Data!$P$8:$P$5007))</f>
        <v>0</v>
      </c>
      <c r="Y157" s="88" t="n">
        <f aca="false">IF($A157="",0,SUMIF(GL_Data!$S$8:$S$5007,152108,GL_Data!$P$8:$P$5007))</f>
        <v>0</v>
      </c>
      <c r="Z157" s="88" t="n">
        <f aca="false">IF($A157="",0,SUMIF(GL_Data!$S$8:$S$5007,152109,GL_Data!$P$8:$P$5007))</f>
        <v>0</v>
      </c>
      <c r="AA157" s="88" t="n">
        <f aca="false">IF($A157="",0,SUMIF(GL_Data!$S$8:$S$5007,152110,GL_Data!$P$8:$P$5007))</f>
        <v>0</v>
      </c>
      <c r="AB157" s="88" t="n">
        <f aca="false">IF($A157="",0,SUMIF(GL_Data!$S$8:$S$5007,152111,GL_Data!$P$8:$P$5007))</f>
        <v>0</v>
      </c>
      <c r="AC157" s="88" t="n">
        <f aca="false">IF($A157="",0,SUMIF(GL_Data!$S$8:$S$5007,152112,GL_Data!$P$8:$P$5007))</f>
        <v>0</v>
      </c>
      <c r="AD157" s="89" t="n">
        <f aca="false">IF($A157="",0,INDEX($F157:$AC157,12+Setup!$B$8))</f>
        <v>0</v>
      </c>
      <c r="AE157" s="90" t="n">
        <f aca="false">IF($A157="",0,INDEX($F157:$AC157,Setup!$B$8))</f>
        <v>0</v>
      </c>
      <c r="AF157" s="90" t="n">
        <f aca="false">IF($A157="",0,INDEX($F157:$AC157,11+Setup!$B$8))</f>
        <v>0</v>
      </c>
      <c r="AG157" s="90" t="n">
        <f aca="false">IF($A157="",0,AVERAGE(INDEX($F157:$AC157,9+Setup!$B$8):INDEX($F157:$AC157,11+Setup!$B$8)))</f>
        <v>0</v>
      </c>
      <c r="AH157" s="89" t="n">
        <f aca="false">IF($A157="",0,SUMPRODUCT(($R$3:$AC$3&lt;=Setup!$B$8)*$R157:$AC157))</f>
        <v>0</v>
      </c>
      <c r="AI157" s="90" t="n">
        <f aca="false">IF($A157="",0,SUMPRODUCT(($F$3:$Q$3&lt;=Setup!$B$8)*$F157:$Q157))</f>
        <v>0</v>
      </c>
      <c r="AJ157" s="90" t="n">
        <f aca="false">IF($A157="",0,SUM($F157:$Q157))</f>
        <v>0</v>
      </c>
      <c r="AK157" s="90" t="n">
        <f aca="false">IF($A157="",0,SUM($R157:$AC157))</f>
        <v>0</v>
      </c>
      <c r="AL157" s="91" t="n">
        <f aca="false">IF($A157="",0,IF(SUMPRODUCT(ABS($F157:$AC157))&gt;0,1,0))</f>
        <v>0</v>
      </c>
    </row>
    <row r="158" customFormat="false" ht="15" hidden="false" customHeight="false" outlineLevel="0" collapsed="false">
      <c r="A158" s="68" t="str">
        <f aca="false">IF(COA_Mapping!$A159="","",COA_Mapping!$A159)</f>
        <v>Leave expense (Annual)</v>
      </c>
      <c r="B158" s="68" t="str">
        <f aca="false">IF($A158="","",COA_Mapping!$C159)</f>
        <v>Expenses</v>
      </c>
      <c r="C158" s="68" t="str">
        <f aca="false">IF($A158="","",COA_Mapping!$E159)</f>
        <v>P&amp;L</v>
      </c>
      <c r="D158" s="68" t="str">
        <f aca="false">IF($A158="","",COA_Mapping!$D159)</f>
        <v>Unallocated</v>
      </c>
      <c r="E158" s="86" t="n">
        <f aca="false">IF($A158="",1,COA_Mapping!$F159)</f>
        <v>1</v>
      </c>
      <c r="F158" s="87" t="n">
        <f aca="false">IF($A158="",0,SUMIF(GL_Data!$S$8:$S$5007,153001,GL_Data!$P$8:$P$5007))</f>
        <v>0</v>
      </c>
      <c r="G158" s="87" t="n">
        <f aca="false">IF($A158="",0,SUMIF(GL_Data!$S$8:$S$5007,153002,GL_Data!$P$8:$P$5007))</f>
        <v>0</v>
      </c>
      <c r="H158" s="87" t="n">
        <f aca="false">IF($A158="",0,SUMIF(GL_Data!$S$8:$S$5007,153003,GL_Data!$P$8:$P$5007))</f>
        <v>0</v>
      </c>
      <c r="I158" s="87" t="n">
        <f aca="false">IF($A158="",0,SUMIF(GL_Data!$S$8:$S$5007,153004,GL_Data!$P$8:$P$5007))</f>
        <v>0</v>
      </c>
      <c r="J158" s="87" t="n">
        <f aca="false">IF($A158="",0,SUMIF(GL_Data!$S$8:$S$5007,153005,GL_Data!$P$8:$P$5007))</f>
        <v>0</v>
      </c>
      <c r="K158" s="87" t="n">
        <f aca="false">IF($A158="",0,SUMIF(GL_Data!$S$8:$S$5007,153006,GL_Data!$P$8:$P$5007))</f>
        <v>0</v>
      </c>
      <c r="L158" s="87" t="n">
        <f aca="false">IF($A158="",0,SUMIF(GL_Data!$S$8:$S$5007,153007,GL_Data!$P$8:$P$5007))</f>
        <v>0</v>
      </c>
      <c r="M158" s="87" t="n">
        <f aca="false">IF($A158="",0,SUMIF(GL_Data!$S$8:$S$5007,153008,GL_Data!$P$8:$P$5007))</f>
        <v>0</v>
      </c>
      <c r="N158" s="87" t="n">
        <f aca="false">IF($A158="",0,SUMIF(GL_Data!$S$8:$S$5007,153009,GL_Data!$P$8:$P$5007))</f>
        <v>0</v>
      </c>
      <c r="O158" s="87" t="n">
        <f aca="false">IF($A158="",0,SUMIF(GL_Data!$S$8:$S$5007,153010,GL_Data!$P$8:$P$5007))</f>
        <v>0</v>
      </c>
      <c r="P158" s="87" t="n">
        <f aca="false">IF($A158="",0,SUMIF(GL_Data!$S$8:$S$5007,153011,GL_Data!$P$8:$P$5007))</f>
        <v>0</v>
      </c>
      <c r="Q158" s="87" t="n">
        <f aca="false">IF($A158="",0,SUMIF(GL_Data!$S$8:$S$5007,153012,GL_Data!$P$8:$P$5007))</f>
        <v>0</v>
      </c>
      <c r="R158" s="88" t="n">
        <f aca="false">IF($A158="",0,SUMIF(GL_Data!$S$8:$S$5007,153101,GL_Data!$P$8:$P$5007))</f>
        <v>0</v>
      </c>
      <c r="S158" s="88" t="n">
        <f aca="false">IF($A158="",0,SUMIF(GL_Data!$S$8:$S$5007,153102,GL_Data!$P$8:$P$5007))</f>
        <v>0</v>
      </c>
      <c r="T158" s="88" t="n">
        <f aca="false">IF($A158="",0,SUMIF(GL_Data!$S$8:$S$5007,153103,GL_Data!$P$8:$P$5007))</f>
        <v>0</v>
      </c>
      <c r="U158" s="88" t="n">
        <f aca="false">IF($A158="",0,SUMIF(GL_Data!$S$8:$S$5007,153104,GL_Data!$P$8:$P$5007))</f>
        <v>0</v>
      </c>
      <c r="V158" s="88" t="n">
        <f aca="false">IF($A158="",0,SUMIF(GL_Data!$S$8:$S$5007,153105,GL_Data!$P$8:$P$5007))</f>
        <v>0</v>
      </c>
      <c r="W158" s="88" t="n">
        <f aca="false">IF($A158="",0,SUMIF(GL_Data!$S$8:$S$5007,153106,GL_Data!$P$8:$P$5007))</f>
        <v>0</v>
      </c>
      <c r="X158" s="88" t="n">
        <f aca="false">IF($A158="",0,SUMIF(GL_Data!$S$8:$S$5007,153107,GL_Data!$P$8:$P$5007))</f>
        <v>0</v>
      </c>
      <c r="Y158" s="88" t="n">
        <f aca="false">IF($A158="",0,SUMIF(GL_Data!$S$8:$S$5007,153108,GL_Data!$P$8:$P$5007))</f>
        <v>0</v>
      </c>
      <c r="Z158" s="88" t="n">
        <f aca="false">IF($A158="",0,SUMIF(GL_Data!$S$8:$S$5007,153109,GL_Data!$P$8:$P$5007))</f>
        <v>0</v>
      </c>
      <c r="AA158" s="88" t="n">
        <f aca="false">IF($A158="",0,SUMIF(GL_Data!$S$8:$S$5007,153110,GL_Data!$P$8:$P$5007))</f>
        <v>0</v>
      </c>
      <c r="AB158" s="88" t="n">
        <f aca="false">IF($A158="",0,SUMIF(GL_Data!$S$8:$S$5007,153111,GL_Data!$P$8:$P$5007))</f>
        <v>0</v>
      </c>
      <c r="AC158" s="88" t="n">
        <f aca="false">IF($A158="",0,SUMIF(GL_Data!$S$8:$S$5007,153112,GL_Data!$P$8:$P$5007))</f>
        <v>0</v>
      </c>
      <c r="AD158" s="89" t="n">
        <f aca="false">IF($A158="",0,INDEX($F158:$AC158,12+Setup!$B$8))</f>
        <v>0</v>
      </c>
      <c r="AE158" s="90" t="n">
        <f aca="false">IF($A158="",0,INDEX($F158:$AC158,Setup!$B$8))</f>
        <v>0</v>
      </c>
      <c r="AF158" s="90" t="n">
        <f aca="false">IF($A158="",0,INDEX($F158:$AC158,11+Setup!$B$8))</f>
        <v>0</v>
      </c>
      <c r="AG158" s="90" t="n">
        <f aca="false">IF($A158="",0,AVERAGE(INDEX($F158:$AC158,9+Setup!$B$8):INDEX($F158:$AC158,11+Setup!$B$8)))</f>
        <v>0</v>
      </c>
      <c r="AH158" s="89" t="n">
        <f aca="false">IF($A158="",0,SUMPRODUCT(($R$3:$AC$3&lt;=Setup!$B$8)*$R158:$AC158))</f>
        <v>0</v>
      </c>
      <c r="AI158" s="90" t="n">
        <f aca="false">IF($A158="",0,SUMPRODUCT(($F$3:$Q$3&lt;=Setup!$B$8)*$F158:$Q158))</f>
        <v>0</v>
      </c>
      <c r="AJ158" s="90" t="n">
        <f aca="false">IF($A158="",0,SUM($F158:$Q158))</f>
        <v>0</v>
      </c>
      <c r="AK158" s="90" t="n">
        <f aca="false">IF($A158="",0,SUM($R158:$AC158))</f>
        <v>0</v>
      </c>
      <c r="AL158" s="91" t="n">
        <f aca="false">IF($A158="",0,IF(SUMPRODUCT(ABS($F158:$AC158))&gt;0,1,0))</f>
        <v>0</v>
      </c>
    </row>
    <row r="159" customFormat="false" ht="15" hidden="false" customHeight="false" outlineLevel="0" collapsed="false">
      <c r="A159" s="68" t="str">
        <f aca="false">IF(COA_Mapping!$A160="","",COA_Mapping!$A160)</f>
        <v>Leave expense (Long Service)</v>
      </c>
      <c r="B159" s="68" t="str">
        <f aca="false">IF($A159="","",COA_Mapping!$C160)</f>
        <v>Expenses</v>
      </c>
      <c r="C159" s="68" t="str">
        <f aca="false">IF($A159="","",COA_Mapping!$E160)</f>
        <v>P&amp;L</v>
      </c>
      <c r="D159" s="68" t="str">
        <f aca="false">IF($A159="","",COA_Mapping!$D160)</f>
        <v>Unallocated</v>
      </c>
      <c r="E159" s="86" t="n">
        <f aca="false">IF($A159="",1,COA_Mapping!$F160)</f>
        <v>1</v>
      </c>
      <c r="F159" s="87" t="n">
        <f aca="false">IF($A159="",0,SUMIF(GL_Data!$S$8:$S$5007,154001,GL_Data!$P$8:$P$5007))</f>
        <v>0</v>
      </c>
      <c r="G159" s="87" t="n">
        <f aca="false">IF($A159="",0,SUMIF(GL_Data!$S$8:$S$5007,154002,GL_Data!$P$8:$P$5007))</f>
        <v>0</v>
      </c>
      <c r="H159" s="87" t="n">
        <f aca="false">IF($A159="",0,SUMIF(GL_Data!$S$8:$S$5007,154003,GL_Data!$P$8:$P$5007))</f>
        <v>0</v>
      </c>
      <c r="I159" s="87" t="n">
        <f aca="false">IF($A159="",0,SUMIF(GL_Data!$S$8:$S$5007,154004,GL_Data!$P$8:$P$5007))</f>
        <v>0</v>
      </c>
      <c r="J159" s="87" t="n">
        <f aca="false">IF($A159="",0,SUMIF(GL_Data!$S$8:$S$5007,154005,GL_Data!$P$8:$P$5007))</f>
        <v>0</v>
      </c>
      <c r="K159" s="87" t="n">
        <f aca="false">IF($A159="",0,SUMIF(GL_Data!$S$8:$S$5007,154006,GL_Data!$P$8:$P$5007))</f>
        <v>0</v>
      </c>
      <c r="L159" s="87" t="n">
        <f aca="false">IF($A159="",0,SUMIF(GL_Data!$S$8:$S$5007,154007,GL_Data!$P$8:$P$5007))</f>
        <v>0</v>
      </c>
      <c r="M159" s="87" t="n">
        <f aca="false">IF($A159="",0,SUMIF(GL_Data!$S$8:$S$5007,154008,GL_Data!$P$8:$P$5007))</f>
        <v>0</v>
      </c>
      <c r="N159" s="87" t="n">
        <f aca="false">IF($A159="",0,SUMIF(GL_Data!$S$8:$S$5007,154009,GL_Data!$P$8:$P$5007))</f>
        <v>0</v>
      </c>
      <c r="O159" s="87" t="n">
        <f aca="false">IF($A159="",0,SUMIF(GL_Data!$S$8:$S$5007,154010,GL_Data!$P$8:$P$5007))</f>
        <v>0</v>
      </c>
      <c r="P159" s="87" t="n">
        <f aca="false">IF($A159="",0,SUMIF(GL_Data!$S$8:$S$5007,154011,GL_Data!$P$8:$P$5007))</f>
        <v>0</v>
      </c>
      <c r="Q159" s="87" t="n">
        <f aca="false">IF($A159="",0,SUMIF(GL_Data!$S$8:$S$5007,154012,GL_Data!$P$8:$P$5007))</f>
        <v>0</v>
      </c>
      <c r="R159" s="88" t="n">
        <f aca="false">IF($A159="",0,SUMIF(GL_Data!$S$8:$S$5007,154101,GL_Data!$P$8:$P$5007))</f>
        <v>0</v>
      </c>
      <c r="S159" s="88" t="n">
        <f aca="false">IF($A159="",0,SUMIF(GL_Data!$S$8:$S$5007,154102,GL_Data!$P$8:$P$5007))</f>
        <v>0</v>
      </c>
      <c r="T159" s="88" t="n">
        <f aca="false">IF($A159="",0,SUMIF(GL_Data!$S$8:$S$5007,154103,GL_Data!$P$8:$P$5007))</f>
        <v>0</v>
      </c>
      <c r="U159" s="88" t="n">
        <f aca="false">IF($A159="",0,SUMIF(GL_Data!$S$8:$S$5007,154104,GL_Data!$P$8:$P$5007))</f>
        <v>0</v>
      </c>
      <c r="V159" s="88" t="n">
        <f aca="false">IF($A159="",0,SUMIF(GL_Data!$S$8:$S$5007,154105,GL_Data!$P$8:$P$5007))</f>
        <v>0</v>
      </c>
      <c r="W159" s="88" t="n">
        <f aca="false">IF($A159="",0,SUMIF(GL_Data!$S$8:$S$5007,154106,GL_Data!$P$8:$P$5007))</f>
        <v>0</v>
      </c>
      <c r="X159" s="88" t="n">
        <f aca="false">IF($A159="",0,SUMIF(GL_Data!$S$8:$S$5007,154107,GL_Data!$P$8:$P$5007))</f>
        <v>0</v>
      </c>
      <c r="Y159" s="88" t="n">
        <f aca="false">IF($A159="",0,SUMIF(GL_Data!$S$8:$S$5007,154108,GL_Data!$P$8:$P$5007))</f>
        <v>0</v>
      </c>
      <c r="Z159" s="88" t="n">
        <f aca="false">IF($A159="",0,SUMIF(GL_Data!$S$8:$S$5007,154109,GL_Data!$P$8:$P$5007))</f>
        <v>0</v>
      </c>
      <c r="AA159" s="88" t="n">
        <f aca="false">IF($A159="",0,SUMIF(GL_Data!$S$8:$S$5007,154110,GL_Data!$P$8:$P$5007))</f>
        <v>0</v>
      </c>
      <c r="AB159" s="88" t="n">
        <f aca="false">IF($A159="",0,SUMIF(GL_Data!$S$8:$S$5007,154111,GL_Data!$P$8:$P$5007))</f>
        <v>0</v>
      </c>
      <c r="AC159" s="88" t="n">
        <f aca="false">IF($A159="",0,SUMIF(GL_Data!$S$8:$S$5007,154112,GL_Data!$P$8:$P$5007))</f>
        <v>0</v>
      </c>
      <c r="AD159" s="89" t="n">
        <f aca="false">IF($A159="",0,INDEX($F159:$AC159,12+Setup!$B$8))</f>
        <v>0</v>
      </c>
      <c r="AE159" s="90" t="n">
        <f aca="false">IF($A159="",0,INDEX($F159:$AC159,Setup!$B$8))</f>
        <v>0</v>
      </c>
      <c r="AF159" s="90" t="n">
        <f aca="false">IF($A159="",0,INDEX($F159:$AC159,11+Setup!$B$8))</f>
        <v>0</v>
      </c>
      <c r="AG159" s="90" t="n">
        <f aca="false">IF($A159="",0,AVERAGE(INDEX($F159:$AC159,9+Setup!$B$8):INDEX($F159:$AC159,11+Setup!$B$8)))</f>
        <v>0</v>
      </c>
      <c r="AH159" s="89" t="n">
        <f aca="false">IF($A159="",0,SUMPRODUCT(($R$3:$AC$3&lt;=Setup!$B$8)*$R159:$AC159))</f>
        <v>0</v>
      </c>
      <c r="AI159" s="90" t="n">
        <f aca="false">IF($A159="",0,SUMPRODUCT(($F$3:$Q$3&lt;=Setup!$B$8)*$F159:$Q159))</f>
        <v>0</v>
      </c>
      <c r="AJ159" s="90" t="n">
        <f aca="false">IF($A159="",0,SUM($F159:$Q159))</f>
        <v>0</v>
      </c>
      <c r="AK159" s="90" t="n">
        <f aca="false">IF($A159="",0,SUM($R159:$AC159))</f>
        <v>0</v>
      </c>
      <c r="AL159" s="91" t="n">
        <f aca="false">IF($A159="",0,IF(SUMPRODUCT(ABS($F159:$AC159))&gt;0,1,0))</f>
        <v>0</v>
      </c>
    </row>
    <row r="160" customFormat="false" ht="15" hidden="false" customHeight="false" outlineLevel="0" collapsed="false">
      <c r="A160" s="68" t="str">
        <f aca="false">IF(COA_Mapping!$A161="","",COA_Mapping!$A161)</f>
        <v>Legal Fees</v>
      </c>
      <c r="B160" s="68" t="str">
        <f aca="false">IF($A160="","",COA_Mapping!$C161)</f>
        <v>Expenses</v>
      </c>
      <c r="C160" s="68" t="str">
        <f aca="false">IF($A160="","",COA_Mapping!$E161)</f>
        <v>P&amp;L</v>
      </c>
      <c r="D160" s="68" t="str">
        <f aca="false">IF($A160="","",COA_Mapping!$D161)</f>
        <v>Unallocated</v>
      </c>
      <c r="E160" s="86" t="n">
        <f aca="false">IF($A160="",1,COA_Mapping!$F161)</f>
        <v>1</v>
      </c>
      <c r="F160" s="87" t="n">
        <f aca="false">IF($A160="",0,SUMIF(GL_Data!$S$8:$S$5007,155001,GL_Data!$P$8:$P$5007))</f>
        <v>0</v>
      </c>
      <c r="G160" s="87" t="n">
        <f aca="false">IF($A160="",0,SUMIF(GL_Data!$S$8:$S$5007,155002,GL_Data!$P$8:$P$5007))</f>
        <v>0</v>
      </c>
      <c r="H160" s="87" t="n">
        <f aca="false">IF($A160="",0,SUMIF(GL_Data!$S$8:$S$5007,155003,GL_Data!$P$8:$P$5007))</f>
        <v>0</v>
      </c>
      <c r="I160" s="87" t="n">
        <f aca="false">IF($A160="",0,SUMIF(GL_Data!$S$8:$S$5007,155004,GL_Data!$P$8:$P$5007))</f>
        <v>0</v>
      </c>
      <c r="J160" s="87" t="n">
        <f aca="false">IF($A160="",0,SUMIF(GL_Data!$S$8:$S$5007,155005,GL_Data!$P$8:$P$5007))</f>
        <v>0</v>
      </c>
      <c r="K160" s="87" t="n">
        <f aca="false">IF($A160="",0,SUMIF(GL_Data!$S$8:$S$5007,155006,GL_Data!$P$8:$P$5007))</f>
        <v>0</v>
      </c>
      <c r="L160" s="87" t="n">
        <f aca="false">IF($A160="",0,SUMIF(GL_Data!$S$8:$S$5007,155007,GL_Data!$P$8:$P$5007))</f>
        <v>0</v>
      </c>
      <c r="M160" s="87" t="n">
        <f aca="false">IF($A160="",0,SUMIF(GL_Data!$S$8:$S$5007,155008,GL_Data!$P$8:$P$5007))</f>
        <v>0</v>
      </c>
      <c r="N160" s="87" t="n">
        <f aca="false">IF($A160="",0,SUMIF(GL_Data!$S$8:$S$5007,155009,GL_Data!$P$8:$P$5007))</f>
        <v>0</v>
      </c>
      <c r="O160" s="87" t="n">
        <f aca="false">IF($A160="",0,SUMIF(GL_Data!$S$8:$S$5007,155010,GL_Data!$P$8:$P$5007))</f>
        <v>0</v>
      </c>
      <c r="P160" s="87" t="n">
        <f aca="false">IF($A160="",0,SUMIF(GL_Data!$S$8:$S$5007,155011,GL_Data!$P$8:$P$5007))</f>
        <v>0</v>
      </c>
      <c r="Q160" s="87" t="n">
        <f aca="false">IF($A160="",0,SUMIF(GL_Data!$S$8:$S$5007,155012,GL_Data!$P$8:$P$5007))</f>
        <v>0</v>
      </c>
      <c r="R160" s="88" t="n">
        <f aca="false">IF($A160="",0,SUMIF(GL_Data!$S$8:$S$5007,155101,GL_Data!$P$8:$P$5007))</f>
        <v>0</v>
      </c>
      <c r="S160" s="88" t="n">
        <f aca="false">IF($A160="",0,SUMIF(GL_Data!$S$8:$S$5007,155102,GL_Data!$P$8:$P$5007))</f>
        <v>0</v>
      </c>
      <c r="T160" s="88" t="n">
        <f aca="false">IF($A160="",0,SUMIF(GL_Data!$S$8:$S$5007,155103,GL_Data!$P$8:$P$5007))</f>
        <v>0</v>
      </c>
      <c r="U160" s="88" t="n">
        <f aca="false">IF($A160="",0,SUMIF(GL_Data!$S$8:$S$5007,155104,GL_Data!$P$8:$P$5007))</f>
        <v>0</v>
      </c>
      <c r="V160" s="88" t="n">
        <f aca="false">IF($A160="",0,SUMIF(GL_Data!$S$8:$S$5007,155105,GL_Data!$P$8:$P$5007))</f>
        <v>0</v>
      </c>
      <c r="W160" s="88" t="n">
        <f aca="false">IF($A160="",0,SUMIF(GL_Data!$S$8:$S$5007,155106,GL_Data!$P$8:$P$5007))</f>
        <v>0</v>
      </c>
      <c r="X160" s="88" t="n">
        <f aca="false">IF($A160="",0,SUMIF(GL_Data!$S$8:$S$5007,155107,GL_Data!$P$8:$P$5007))</f>
        <v>0</v>
      </c>
      <c r="Y160" s="88" t="n">
        <f aca="false">IF($A160="",0,SUMIF(GL_Data!$S$8:$S$5007,155108,GL_Data!$P$8:$P$5007))</f>
        <v>0</v>
      </c>
      <c r="Z160" s="88" t="n">
        <f aca="false">IF($A160="",0,SUMIF(GL_Data!$S$8:$S$5007,155109,GL_Data!$P$8:$P$5007))</f>
        <v>0</v>
      </c>
      <c r="AA160" s="88" t="n">
        <f aca="false">IF($A160="",0,SUMIF(GL_Data!$S$8:$S$5007,155110,GL_Data!$P$8:$P$5007))</f>
        <v>0</v>
      </c>
      <c r="AB160" s="88" t="n">
        <f aca="false">IF($A160="",0,SUMIF(GL_Data!$S$8:$S$5007,155111,GL_Data!$P$8:$P$5007))</f>
        <v>0</v>
      </c>
      <c r="AC160" s="88" t="n">
        <f aca="false">IF($A160="",0,SUMIF(GL_Data!$S$8:$S$5007,155112,GL_Data!$P$8:$P$5007))</f>
        <v>0</v>
      </c>
      <c r="AD160" s="89" t="n">
        <f aca="false">IF($A160="",0,INDEX($F160:$AC160,12+Setup!$B$8))</f>
        <v>0</v>
      </c>
      <c r="AE160" s="90" t="n">
        <f aca="false">IF($A160="",0,INDEX($F160:$AC160,Setup!$B$8))</f>
        <v>0</v>
      </c>
      <c r="AF160" s="90" t="n">
        <f aca="false">IF($A160="",0,INDEX($F160:$AC160,11+Setup!$B$8))</f>
        <v>0</v>
      </c>
      <c r="AG160" s="90" t="n">
        <f aca="false">IF($A160="",0,AVERAGE(INDEX($F160:$AC160,9+Setup!$B$8):INDEX($F160:$AC160,11+Setup!$B$8)))</f>
        <v>0</v>
      </c>
      <c r="AH160" s="89" t="n">
        <f aca="false">IF($A160="",0,SUMPRODUCT(($R$3:$AC$3&lt;=Setup!$B$8)*$R160:$AC160))</f>
        <v>0</v>
      </c>
      <c r="AI160" s="90" t="n">
        <f aca="false">IF($A160="",0,SUMPRODUCT(($F$3:$Q$3&lt;=Setup!$B$8)*$F160:$Q160))</f>
        <v>0</v>
      </c>
      <c r="AJ160" s="90" t="n">
        <f aca="false">IF($A160="",0,SUM($F160:$Q160))</f>
        <v>0</v>
      </c>
      <c r="AK160" s="90" t="n">
        <f aca="false">IF($A160="",0,SUM($R160:$AC160))</f>
        <v>0</v>
      </c>
      <c r="AL160" s="91" t="n">
        <f aca="false">IF($A160="",0,IF(SUMPRODUCT(ABS($F160:$AC160))&gt;0,1,0))</f>
        <v>0</v>
      </c>
    </row>
    <row r="161" customFormat="false" ht="15" hidden="false" customHeight="false" outlineLevel="0" collapsed="false">
      <c r="A161" s="68" t="str">
        <f aca="false">IF(COA_Mapping!$A162="","",COA_Mapping!$A162)</f>
        <v>Mobile Phones</v>
      </c>
      <c r="B161" s="68" t="str">
        <f aca="false">IF($A161="","",COA_Mapping!$C162)</f>
        <v>Expenses</v>
      </c>
      <c r="C161" s="68" t="str">
        <f aca="false">IF($A161="","",COA_Mapping!$E162)</f>
        <v>P&amp;L</v>
      </c>
      <c r="D161" s="68" t="str">
        <f aca="false">IF($A161="","",COA_Mapping!$D162)</f>
        <v>Unallocated</v>
      </c>
      <c r="E161" s="86" t="n">
        <f aca="false">IF($A161="",1,COA_Mapping!$F162)</f>
        <v>1</v>
      </c>
      <c r="F161" s="87" t="n">
        <f aca="false">IF($A161="",0,SUMIF(GL_Data!$S$8:$S$5007,156001,GL_Data!$P$8:$P$5007))</f>
        <v>0</v>
      </c>
      <c r="G161" s="87" t="n">
        <f aca="false">IF($A161="",0,SUMIF(GL_Data!$S$8:$S$5007,156002,GL_Data!$P$8:$P$5007))</f>
        <v>0</v>
      </c>
      <c r="H161" s="87" t="n">
        <f aca="false">IF($A161="",0,SUMIF(GL_Data!$S$8:$S$5007,156003,GL_Data!$P$8:$P$5007))</f>
        <v>0</v>
      </c>
      <c r="I161" s="87" t="n">
        <f aca="false">IF($A161="",0,SUMIF(GL_Data!$S$8:$S$5007,156004,GL_Data!$P$8:$P$5007))</f>
        <v>0</v>
      </c>
      <c r="J161" s="87" t="n">
        <f aca="false">IF($A161="",0,SUMIF(GL_Data!$S$8:$S$5007,156005,GL_Data!$P$8:$P$5007))</f>
        <v>0</v>
      </c>
      <c r="K161" s="87" t="n">
        <f aca="false">IF($A161="",0,SUMIF(GL_Data!$S$8:$S$5007,156006,GL_Data!$P$8:$P$5007))</f>
        <v>0</v>
      </c>
      <c r="L161" s="87" t="n">
        <f aca="false">IF($A161="",0,SUMIF(GL_Data!$S$8:$S$5007,156007,GL_Data!$P$8:$P$5007))</f>
        <v>0</v>
      </c>
      <c r="M161" s="87" t="n">
        <f aca="false">IF($A161="",0,SUMIF(GL_Data!$S$8:$S$5007,156008,GL_Data!$P$8:$P$5007))</f>
        <v>0</v>
      </c>
      <c r="N161" s="87" t="n">
        <f aca="false">IF($A161="",0,SUMIF(GL_Data!$S$8:$S$5007,156009,GL_Data!$P$8:$P$5007))</f>
        <v>0</v>
      </c>
      <c r="O161" s="87" t="n">
        <f aca="false">IF($A161="",0,SUMIF(GL_Data!$S$8:$S$5007,156010,GL_Data!$P$8:$P$5007))</f>
        <v>0</v>
      </c>
      <c r="P161" s="87" t="n">
        <f aca="false">IF($A161="",0,SUMIF(GL_Data!$S$8:$S$5007,156011,GL_Data!$P$8:$P$5007))</f>
        <v>0</v>
      </c>
      <c r="Q161" s="87" t="n">
        <f aca="false">IF($A161="",0,SUMIF(GL_Data!$S$8:$S$5007,156012,GL_Data!$P$8:$P$5007))</f>
        <v>0</v>
      </c>
      <c r="R161" s="88" t="n">
        <f aca="false">IF($A161="",0,SUMIF(GL_Data!$S$8:$S$5007,156101,GL_Data!$P$8:$P$5007))</f>
        <v>0</v>
      </c>
      <c r="S161" s="88" t="n">
        <f aca="false">IF($A161="",0,SUMIF(GL_Data!$S$8:$S$5007,156102,GL_Data!$P$8:$P$5007))</f>
        <v>0</v>
      </c>
      <c r="T161" s="88" t="n">
        <f aca="false">IF($A161="",0,SUMIF(GL_Data!$S$8:$S$5007,156103,GL_Data!$P$8:$P$5007))</f>
        <v>0</v>
      </c>
      <c r="U161" s="88" t="n">
        <f aca="false">IF($A161="",0,SUMIF(GL_Data!$S$8:$S$5007,156104,GL_Data!$P$8:$P$5007))</f>
        <v>0</v>
      </c>
      <c r="V161" s="88" t="n">
        <f aca="false">IF($A161="",0,SUMIF(GL_Data!$S$8:$S$5007,156105,GL_Data!$P$8:$P$5007))</f>
        <v>0</v>
      </c>
      <c r="W161" s="88" t="n">
        <f aca="false">IF($A161="",0,SUMIF(GL_Data!$S$8:$S$5007,156106,GL_Data!$P$8:$P$5007))</f>
        <v>0</v>
      </c>
      <c r="X161" s="88" t="n">
        <f aca="false">IF($A161="",0,SUMIF(GL_Data!$S$8:$S$5007,156107,GL_Data!$P$8:$P$5007))</f>
        <v>0</v>
      </c>
      <c r="Y161" s="88" t="n">
        <f aca="false">IF($A161="",0,SUMIF(GL_Data!$S$8:$S$5007,156108,GL_Data!$P$8:$P$5007))</f>
        <v>0</v>
      </c>
      <c r="Z161" s="88" t="n">
        <f aca="false">IF($A161="",0,SUMIF(GL_Data!$S$8:$S$5007,156109,GL_Data!$P$8:$P$5007))</f>
        <v>0</v>
      </c>
      <c r="AA161" s="88" t="n">
        <f aca="false">IF($A161="",0,SUMIF(GL_Data!$S$8:$S$5007,156110,GL_Data!$P$8:$P$5007))</f>
        <v>0</v>
      </c>
      <c r="AB161" s="88" t="n">
        <f aca="false">IF($A161="",0,SUMIF(GL_Data!$S$8:$S$5007,156111,GL_Data!$P$8:$P$5007))</f>
        <v>0</v>
      </c>
      <c r="AC161" s="88" t="n">
        <f aca="false">IF($A161="",0,SUMIF(GL_Data!$S$8:$S$5007,156112,GL_Data!$P$8:$P$5007))</f>
        <v>0</v>
      </c>
      <c r="AD161" s="89" t="n">
        <f aca="false">IF($A161="",0,INDEX($F161:$AC161,12+Setup!$B$8))</f>
        <v>0</v>
      </c>
      <c r="AE161" s="90" t="n">
        <f aca="false">IF($A161="",0,INDEX($F161:$AC161,Setup!$B$8))</f>
        <v>0</v>
      </c>
      <c r="AF161" s="90" t="n">
        <f aca="false">IF($A161="",0,INDEX($F161:$AC161,11+Setup!$B$8))</f>
        <v>0</v>
      </c>
      <c r="AG161" s="90" t="n">
        <f aca="false">IF($A161="",0,AVERAGE(INDEX($F161:$AC161,9+Setup!$B$8):INDEX($F161:$AC161,11+Setup!$B$8)))</f>
        <v>0</v>
      </c>
      <c r="AH161" s="89" t="n">
        <f aca="false">IF($A161="",0,SUMPRODUCT(($R$3:$AC$3&lt;=Setup!$B$8)*$R161:$AC161))</f>
        <v>0</v>
      </c>
      <c r="AI161" s="90" t="n">
        <f aca="false">IF($A161="",0,SUMPRODUCT(($F$3:$Q$3&lt;=Setup!$B$8)*$F161:$Q161))</f>
        <v>0</v>
      </c>
      <c r="AJ161" s="90" t="n">
        <f aca="false">IF($A161="",0,SUM($F161:$Q161))</f>
        <v>0</v>
      </c>
      <c r="AK161" s="90" t="n">
        <f aca="false">IF($A161="",0,SUM($R161:$AC161))</f>
        <v>0</v>
      </c>
      <c r="AL161" s="91" t="n">
        <f aca="false">IF($A161="",0,IF(SUMPRODUCT(ABS($F161:$AC161))&gt;0,1,0))</f>
        <v>0</v>
      </c>
    </row>
    <row r="162" customFormat="false" ht="15" hidden="false" customHeight="false" outlineLevel="0" collapsed="false">
      <c r="A162" s="68" t="str">
        <f aca="false">IF(COA_Mapping!$A163="","",COA_Mapping!$A163)</f>
        <v>Office Cleaning</v>
      </c>
      <c r="B162" s="68" t="str">
        <f aca="false">IF($A162="","",COA_Mapping!$C163)</f>
        <v>Expenses</v>
      </c>
      <c r="C162" s="68" t="str">
        <f aca="false">IF($A162="","",COA_Mapping!$E163)</f>
        <v>P&amp;L</v>
      </c>
      <c r="D162" s="68" t="str">
        <f aca="false">IF($A162="","",COA_Mapping!$D163)</f>
        <v>Unallocated</v>
      </c>
      <c r="E162" s="86" t="n">
        <f aca="false">IF($A162="",1,COA_Mapping!$F163)</f>
        <v>1</v>
      </c>
      <c r="F162" s="87" t="n">
        <f aca="false">IF($A162="",0,SUMIF(GL_Data!$S$8:$S$5007,157001,GL_Data!$P$8:$P$5007))</f>
        <v>0</v>
      </c>
      <c r="G162" s="87" t="n">
        <f aca="false">IF($A162="",0,SUMIF(GL_Data!$S$8:$S$5007,157002,GL_Data!$P$8:$P$5007))</f>
        <v>0</v>
      </c>
      <c r="H162" s="87" t="n">
        <f aca="false">IF($A162="",0,SUMIF(GL_Data!$S$8:$S$5007,157003,GL_Data!$P$8:$P$5007))</f>
        <v>0</v>
      </c>
      <c r="I162" s="87" t="n">
        <f aca="false">IF($A162="",0,SUMIF(GL_Data!$S$8:$S$5007,157004,GL_Data!$P$8:$P$5007))</f>
        <v>0</v>
      </c>
      <c r="J162" s="87" t="n">
        <f aca="false">IF($A162="",0,SUMIF(GL_Data!$S$8:$S$5007,157005,GL_Data!$P$8:$P$5007))</f>
        <v>0</v>
      </c>
      <c r="K162" s="87" t="n">
        <f aca="false">IF($A162="",0,SUMIF(GL_Data!$S$8:$S$5007,157006,GL_Data!$P$8:$P$5007))</f>
        <v>0</v>
      </c>
      <c r="L162" s="87" t="n">
        <f aca="false">IF($A162="",0,SUMIF(GL_Data!$S$8:$S$5007,157007,GL_Data!$P$8:$P$5007))</f>
        <v>0</v>
      </c>
      <c r="M162" s="87" t="n">
        <f aca="false">IF($A162="",0,SUMIF(GL_Data!$S$8:$S$5007,157008,GL_Data!$P$8:$P$5007))</f>
        <v>0</v>
      </c>
      <c r="N162" s="87" t="n">
        <f aca="false">IF($A162="",0,SUMIF(GL_Data!$S$8:$S$5007,157009,GL_Data!$P$8:$P$5007))</f>
        <v>0</v>
      </c>
      <c r="O162" s="87" t="n">
        <f aca="false">IF($A162="",0,SUMIF(GL_Data!$S$8:$S$5007,157010,GL_Data!$P$8:$P$5007))</f>
        <v>0</v>
      </c>
      <c r="P162" s="87" t="n">
        <f aca="false">IF($A162="",0,SUMIF(GL_Data!$S$8:$S$5007,157011,GL_Data!$P$8:$P$5007))</f>
        <v>0</v>
      </c>
      <c r="Q162" s="87" t="n">
        <f aca="false">IF($A162="",0,SUMIF(GL_Data!$S$8:$S$5007,157012,GL_Data!$P$8:$P$5007))</f>
        <v>0</v>
      </c>
      <c r="R162" s="88" t="n">
        <f aca="false">IF($A162="",0,SUMIF(GL_Data!$S$8:$S$5007,157101,GL_Data!$P$8:$P$5007))</f>
        <v>0</v>
      </c>
      <c r="S162" s="88" t="n">
        <f aca="false">IF($A162="",0,SUMIF(GL_Data!$S$8:$S$5007,157102,GL_Data!$P$8:$P$5007))</f>
        <v>0</v>
      </c>
      <c r="T162" s="88" t="n">
        <f aca="false">IF($A162="",0,SUMIF(GL_Data!$S$8:$S$5007,157103,GL_Data!$P$8:$P$5007))</f>
        <v>0</v>
      </c>
      <c r="U162" s="88" t="n">
        <f aca="false">IF($A162="",0,SUMIF(GL_Data!$S$8:$S$5007,157104,GL_Data!$P$8:$P$5007))</f>
        <v>0</v>
      </c>
      <c r="V162" s="88" t="n">
        <f aca="false">IF($A162="",0,SUMIF(GL_Data!$S$8:$S$5007,157105,GL_Data!$P$8:$P$5007))</f>
        <v>0</v>
      </c>
      <c r="W162" s="88" t="n">
        <f aca="false">IF($A162="",0,SUMIF(GL_Data!$S$8:$S$5007,157106,GL_Data!$P$8:$P$5007))</f>
        <v>0</v>
      </c>
      <c r="X162" s="88" t="n">
        <f aca="false">IF($A162="",0,SUMIF(GL_Data!$S$8:$S$5007,157107,GL_Data!$P$8:$P$5007))</f>
        <v>0</v>
      </c>
      <c r="Y162" s="88" t="n">
        <f aca="false">IF($A162="",0,SUMIF(GL_Data!$S$8:$S$5007,157108,GL_Data!$P$8:$P$5007))</f>
        <v>0</v>
      </c>
      <c r="Z162" s="88" t="n">
        <f aca="false">IF($A162="",0,SUMIF(GL_Data!$S$8:$S$5007,157109,GL_Data!$P$8:$P$5007))</f>
        <v>0</v>
      </c>
      <c r="AA162" s="88" t="n">
        <f aca="false">IF($A162="",0,SUMIF(GL_Data!$S$8:$S$5007,157110,GL_Data!$P$8:$P$5007))</f>
        <v>0</v>
      </c>
      <c r="AB162" s="88" t="n">
        <f aca="false">IF($A162="",0,SUMIF(GL_Data!$S$8:$S$5007,157111,GL_Data!$P$8:$P$5007))</f>
        <v>0</v>
      </c>
      <c r="AC162" s="88" t="n">
        <f aca="false">IF($A162="",0,SUMIF(GL_Data!$S$8:$S$5007,157112,GL_Data!$P$8:$P$5007))</f>
        <v>0</v>
      </c>
      <c r="AD162" s="89" t="n">
        <f aca="false">IF($A162="",0,INDEX($F162:$AC162,12+Setup!$B$8))</f>
        <v>0</v>
      </c>
      <c r="AE162" s="90" t="n">
        <f aca="false">IF($A162="",0,INDEX($F162:$AC162,Setup!$B$8))</f>
        <v>0</v>
      </c>
      <c r="AF162" s="90" t="n">
        <f aca="false">IF($A162="",0,INDEX($F162:$AC162,11+Setup!$B$8))</f>
        <v>0</v>
      </c>
      <c r="AG162" s="90" t="n">
        <f aca="false">IF($A162="",0,AVERAGE(INDEX($F162:$AC162,9+Setup!$B$8):INDEX($F162:$AC162,11+Setup!$B$8)))</f>
        <v>0</v>
      </c>
      <c r="AH162" s="89" t="n">
        <f aca="false">IF($A162="",0,SUMPRODUCT(($R$3:$AC$3&lt;=Setup!$B$8)*$R162:$AC162))</f>
        <v>0</v>
      </c>
      <c r="AI162" s="90" t="n">
        <f aca="false">IF($A162="",0,SUMPRODUCT(($F$3:$Q$3&lt;=Setup!$B$8)*$F162:$Q162))</f>
        <v>0</v>
      </c>
      <c r="AJ162" s="90" t="n">
        <f aca="false">IF($A162="",0,SUM($F162:$Q162))</f>
        <v>0</v>
      </c>
      <c r="AK162" s="90" t="n">
        <f aca="false">IF($A162="",0,SUM($R162:$AC162))</f>
        <v>0</v>
      </c>
      <c r="AL162" s="91" t="n">
        <f aca="false">IF($A162="",0,IF(SUMPRODUCT(ABS($F162:$AC162))&gt;0,1,0))</f>
        <v>0</v>
      </c>
    </row>
    <row r="163" customFormat="false" ht="15" hidden="false" customHeight="false" outlineLevel="0" collapsed="false">
      <c r="A163" s="68" t="str">
        <f aca="false">IF(COA_Mapping!$A164="","",COA_Mapping!$A164)</f>
        <v>Office Phones</v>
      </c>
      <c r="B163" s="68" t="str">
        <f aca="false">IF($A163="","",COA_Mapping!$C164)</f>
        <v>Expenses</v>
      </c>
      <c r="C163" s="68" t="str">
        <f aca="false">IF($A163="","",COA_Mapping!$E164)</f>
        <v>P&amp;L</v>
      </c>
      <c r="D163" s="68" t="str">
        <f aca="false">IF($A163="","",COA_Mapping!$D164)</f>
        <v>Unallocated</v>
      </c>
      <c r="E163" s="86" t="n">
        <f aca="false">IF($A163="",1,COA_Mapping!$F164)</f>
        <v>1</v>
      </c>
      <c r="F163" s="87" t="n">
        <f aca="false">IF($A163="",0,SUMIF(GL_Data!$S$8:$S$5007,158001,GL_Data!$P$8:$P$5007))</f>
        <v>0</v>
      </c>
      <c r="G163" s="87" t="n">
        <f aca="false">IF($A163="",0,SUMIF(GL_Data!$S$8:$S$5007,158002,GL_Data!$P$8:$P$5007))</f>
        <v>0</v>
      </c>
      <c r="H163" s="87" t="n">
        <f aca="false">IF($A163="",0,SUMIF(GL_Data!$S$8:$S$5007,158003,GL_Data!$P$8:$P$5007))</f>
        <v>0</v>
      </c>
      <c r="I163" s="87" t="n">
        <f aca="false">IF($A163="",0,SUMIF(GL_Data!$S$8:$S$5007,158004,GL_Data!$P$8:$P$5007))</f>
        <v>0</v>
      </c>
      <c r="J163" s="87" t="n">
        <f aca="false">IF($A163="",0,SUMIF(GL_Data!$S$8:$S$5007,158005,GL_Data!$P$8:$P$5007))</f>
        <v>0</v>
      </c>
      <c r="K163" s="87" t="n">
        <f aca="false">IF($A163="",0,SUMIF(GL_Data!$S$8:$S$5007,158006,GL_Data!$P$8:$P$5007))</f>
        <v>0</v>
      </c>
      <c r="L163" s="87" t="n">
        <f aca="false">IF($A163="",0,SUMIF(GL_Data!$S$8:$S$5007,158007,GL_Data!$P$8:$P$5007))</f>
        <v>0</v>
      </c>
      <c r="M163" s="87" t="n">
        <f aca="false">IF($A163="",0,SUMIF(GL_Data!$S$8:$S$5007,158008,GL_Data!$P$8:$P$5007))</f>
        <v>0</v>
      </c>
      <c r="N163" s="87" t="n">
        <f aca="false">IF($A163="",0,SUMIF(GL_Data!$S$8:$S$5007,158009,GL_Data!$P$8:$P$5007))</f>
        <v>0</v>
      </c>
      <c r="O163" s="87" t="n">
        <f aca="false">IF($A163="",0,SUMIF(GL_Data!$S$8:$S$5007,158010,GL_Data!$P$8:$P$5007))</f>
        <v>0</v>
      </c>
      <c r="P163" s="87" t="n">
        <f aca="false">IF($A163="",0,SUMIF(GL_Data!$S$8:$S$5007,158011,GL_Data!$P$8:$P$5007))</f>
        <v>0</v>
      </c>
      <c r="Q163" s="87" t="n">
        <f aca="false">IF($A163="",0,SUMIF(GL_Data!$S$8:$S$5007,158012,GL_Data!$P$8:$P$5007))</f>
        <v>0</v>
      </c>
      <c r="R163" s="88" t="n">
        <f aca="false">IF($A163="",0,SUMIF(GL_Data!$S$8:$S$5007,158101,GL_Data!$P$8:$P$5007))</f>
        <v>0</v>
      </c>
      <c r="S163" s="88" t="n">
        <f aca="false">IF($A163="",0,SUMIF(GL_Data!$S$8:$S$5007,158102,GL_Data!$P$8:$P$5007))</f>
        <v>0</v>
      </c>
      <c r="T163" s="88" t="n">
        <f aca="false">IF($A163="",0,SUMIF(GL_Data!$S$8:$S$5007,158103,GL_Data!$P$8:$P$5007))</f>
        <v>0</v>
      </c>
      <c r="U163" s="88" t="n">
        <f aca="false">IF($A163="",0,SUMIF(GL_Data!$S$8:$S$5007,158104,GL_Data!$P$8:$P$5007))</f>
        <v>0</v>
      </c>
      <c r="V163" s="88" t="n">
        <f aca="false">IF($A163="",0,SUMIF(GL_Data!$S$8:$S$5007,158105,GL_Data!$P$8:$P$5007))</f>
        <v>0</v>
      </c>
      <c r="W163" s="88" t="n">
        <f aca="false">IF($A163="",0,SUMIF(GL_Data!$S$8:$S$5007,158106,GL_Data!$P$8:$P$5007))</f>
        <v>0</v>
      </c>
      <c r="X163" s="88" t="n">
        <f aca="false">IF($A163="",0,SUMIF(GL_Data!$S$8:$S$5007,158107,GL_Data!$P$8:$P$5007))</f>
        <v>0</v>
      </c>
      <c r="Y163" s="88" t="n">
        <f aca="false">IF($A163="",0,SUMIF(GL_Data!$S$8:$S$5007,158108,GL_Data!$P$8:$P$5007))</f>
        <v>0</v>
      </c>
      <c r="Z163" s="88" t="n">
        <f aca="false">IF($A163="",0,SUMIF(GL_Data!$S$8:$S$5007,158109,GL_Data!$P$8:$P$5007))</f>
        <v>0</v>
      </c>
      <c r="AA163" s="88" t="n">
        <f aca="false">IF($A163="",0,SUMIF(GL_Data!$S$8:$S$5007,158110,GL_Data!$P$8:$P$5007))</f>
        <v>0</v>
      </c>
      <c r="AB163" s="88" t="n">
        <f aca="false">IF($A163="",0,SUMIF(GL_Data!$S$8:$S$5007,158111,GL_Data!$P$8:$P$5007))</f>
        <v>0</v>
      </c>
      <c r="AC163" s="88" t="n">
        <f aca="false">IF($A163="",0,SUMIF(GL_Data!$S$8:$S$5007,158112,GL_Data!$P$8:$P$5007))</f>
        <v>0</v>
      </c>
      <c r="AD163" s="89" t="n">
        <f aca="false">IF($A163="",0,INDEX($F163:$AC163,12+Setup!$B$8))</f>
        <v>0</v>
      </c>
      <c r="AE163" s="90" t="n">
        <f aca="false">IF($A163="",0,INDEX($F163:$AC163,Setup!$B$8))</f>
        <v>0</v>
      </c>
      <c r="AF163" s="90" t="n">
        <f aca="false">IF($A163="",0,INDEX($F163:$AC163,11+Setup!$B$8))</f>
        <v>0</v>
      </c>
      <c r="AG163" s="90" t="n">
        <f aca="false">IF($A163="",0,AVERAGE(INDEX($F163:$AC163,9+Setup!$B$8):INDEX($F163:$AC163,11+Setup!$B$8)))</f>
        <v>0</v>
      </c>
      <c r="AH163" s="89" t="n">
        <f aca="false">IF($A163="",0,SUMPRODUCT(($R$3:$AC$3&lt;=Setup!$B$8)*$R163:$AC163))</f>
        <v>0</v>
      </c>
      <c r="AI163" s="90" t="n">
        <f aca="false">IF($A163="",0,SUMPRODUCT(($F$3:$Q$3&lt;=Setup!$B$8)*$F163:$Q163))</f>
        <v>0</v>
      </c>
      <c r="AJ163" s="90" t="n">
        <f aca="false">IF($A163="",0,SUM($F163:$Q163))</f>
        <v>0</v>
      </c>
      <c r="AK163" s="90" t="n">
        <f aca="false">IF($A163="",0,SUM($R163:$AC163))</f>
        <v>0</v>
      </c>
      <c r="AL163" s="91" t="n">
        <f aca="false">IF($A163="",0,IF(SUMPRODUCT(ABS($F163:$AC163))&gt;0,1,0))</f>
        <v>0</v>
      </c>
    </row>
    <row r="164" customFormat="false" ht="15" hidden="false" customHeight="false" outlineLevel="0" collapsed="false">
      <c r="A164" s="68" t="str">
        <f aca="false">IF(COA_Mapping!$A165="","",COA_Mapping!$A165)</f>
        <v>Office Rentals</v>
      </c>
      <c r="B164" s="68" t="str">
        <f aca="false">IF($A164="","",COA_Mapping!$C165)</f>
        <v>Expenses</v>
      </c>
      <c r="C164" s="68" t="str">
        <f aca="false">IF($A164="","",COA_Mapping!$E165)</f>
        <v>P&amp;L</v>
      </c>
      <c r="D164" s="68" t="str">
        <f aca="false">IF($A164="","",COA_Mapping!$D165)</f>
        <v>Unallocated</v>
      </c>
      <c r="E164" s="86" t="n">
        <f aca="false">IF($A164="",1,COA_Mapping!$F165)</f>
        <v>1</v>
      </c>
      <c r="F164" s="87" t="n">
        <f aca="false">IF($A164="",0,SUMIF(GL_Data!$S$8:$S$5007,159001,GL_Data!$P$8:$P$5007))</f>
        <v>0</v>
      </c>
      <c r="G164" s="87" t="n">
        <f aca="false">IF($A164="",0,SUMIF(GL_Data!$S$8:$S$5007,159002,GL_Data!$P$8:$P$5007))</f>
        <v>0</v>
      </c>
      <c r="H164" s="87" t="n">
        <f aca="false">IF($A164="",0,SUMIF(GL_Data!$S$8:$S$5007,159003,GL_Data!$P$8:$P$5007))</f>
        <v>0</v>
      </c>
      <c r="I164" s="87" t="n">
        <f aca="false">IF($A164="",0,SUMIF(GL_Data!$S$8:$S$5007,159004,GL_Data!$P$8:$P$5007))</f>
        <v>0</v>
      </c>
      <c r="J164" s="87" t="n">
        <f aca="false">IF($A164="",0,SUMIF(GL_Data!$S$8:$S$5007,159005,GL_Data!$P$8:$P$5007))</f>
        <v>0</v>
      </c>
      <c r="K164" s="87" t="n">
        <f aca="false">IF($A164="",0,SUMIF(GL_Data!$S$8:$S$5007,159006,GL_Data!$P$8:$P$5007))</f>
        <v>0</v>
      </c>
      <c r="L164" s="87" t="n">
        <f aca="false">IF($A164="",0,SUMIF(GL_Data!$S$8:$S$5007,159007,GL_Data!$P$8:$P$5007))</f>
        <v>0</v>
      </c>
      <c r="M164" s="87" t="n">
        <f aca="false">IF($A164="",0,SUMIF(GL_Data!$S$8:$S$5007,159008,GL_Data!$P$8:$P$5007))</f>
        <v>0</v>
      </c>
      <c r="N164" s="87" t="n">
        <f aca="false">IF($A164="",0,SUMIF(GL_Data!$S$8:$S$5007,159009,GL_Data!$P$8:$P$5007))</f>
        <v>0</v>
      </c>
      <c r="O164" s="87" t="n">
        <f aca="false">IF($A164="",0,SUMIF(GL_Data!$S$8:$S$5007,159010,GL_Data!$P$8:$P$5007))</f>
        <v>0</v>
      </c>
      <c r="P164" s="87" t="n">
        <f aca="false">IF($A164="",0,SUMIF(GL_Data!$S$8:$S$5007,159011,GL_Data!$P$8:$P$5007))</f>
        <v>0</v>
      </c>
      <c r="Q164" s="87" t="n">
        <f aca="false">IF($A164="",0,SUMIF(GL_Data!$S$8:$S$5007,159012,GL_Data!$P$8:$P$5007))</f>
        <v>0</v>
      </c>
      <c r="R164" s="88" t="n">
        <f aca="false">IF($A164="",0,SUMIF(GL_Data!$S$8:$S$5007,159101,GL_Data!$P$8:$P$5007))</f>
        <v>0</v>
      </c>
      <c r="S164" s="88" t="n">
        <f aca="false">IF($A164="",0,SUMIF(GL_Data!$S$8:$S$5007,159102,GL_Data!$P$8:$P$5007))</f>
        <v>0</v>
      </c>
      <c r="T164" s="88" t="n">
        <f aca="false">IF($A164="",0,SUMIF(GL_Data!$S$8:$S$5007,159103,GL_Data!$P$8:$P$5007))</f>
        <v>0</v>
      </c>
      <c r="U164" s="88" t="n">
        <f aca="false">IF($A164="",0,SUMIF(GL_Data!$S$8:$S$5007,159104,GL_Data!$P$8:$P$5007))</f>
        <v>0</v>
      </c>
      <c r="V164" s="88" t="n">
        <f aca="false">IF($A164="",0,SUMIF(GL_Data!$S$8:$S$5007,159105,GL_Data!$P$8:$P$5007))</f>
        <v>0</v>
      </c>
      <c r="W164" s="88" t="n">
        <f aca="false">IF($A164="",0,SUMIF(GL_Data!$S$8:$S$5007,159106,GL_Data!$P$8:$P$5007))</f>
        <v>0</v>
      </c>
      <c r="X164" s="88" t="n">
        <f aca="false">IF($A164="",0,SUMIF(GL_Data!$S$8:$S$5007,159107,GL_Data!$P$8:$P$5007))</f>
        <v>0</v>
      </c>
      <c r="Y164" s="88" t="n">
        <f aca="false">IF($A164="",0,SUMIF(GL_Data!$S$8:$S$5007,159108,GL_Data!$P$8:$P$5007))</f>
        <v>0</v>
      </c>
      <c r="Z164" s="88" t="n">
        <f aca="false">IF($A164="",0,SUMIF(GL_Data!$S$8:$S$5007,159109,GL_Data!$P$8:$P$5007))</f>
        <v>0</v>
      </c>
      <c r="AA164" s="88" t="n">
        <f aca="false">IF($A164="",0,SUMIF(GL_Data!$S$8:$S$5007,159110,GL_Data!$P$8:$P$5007))</f>
        <v>0</v>
      </c>
      <c r="AB164" s="88" t="n">
        <f aca="false">IF($A164="",0,SUMIF(GL_Data!$S$8:$S$5007,159111,GL_Data!$P$8:$P$5007))</f>
        <v>0</v>
      </c>
      <c r="AC164" s="88" t="n">
        <f aca="false">IF($A164="",0,SUMIF(GL_Data!$S$8:$S$5007,159112,GL_Data!$P$8:$P$5007))</f>
        <v>0</v>
      </c>
      <c r="AD164" s="89" t="n">
        <f aca="false">IF($A164="",0,INDEX($F164:$AC164,12+Setup!$B$8))</f>
        <v>0</v>
      </c>
      <c r="AE164" s="90" t="n">
        <f aca="false">IF($A164="",0,INDEX($F164:$AC164,Setup!$B$8))</f>
        <v>0</v>
      </c>
      <c r="AF164" s="90" t="n">
        <f aca="false">IF($A164="",0,INDEX($F164:$AC164,11+Setup!$B$8))</f>
        <v>0</v>
      </c>
      <c r="AG164" s="90" t="n">
        <f aca="false">IF($A164="",0,AVERAGE(INDEX($F164:$AC164,9+Setup!$B$8):INDEX($F164:$AC164,11+Setup!$B$8)))</f>
        <v>0</v>
      </c>
      <c r="AH164" s="89" t="n">
        <f aca="false">IF($A164="",0,SUMPRODUCT(($R$3:$AC$3&lt;=Setup!$B$8)*$R164:$AC164))</f>
        <v>0</v>
      </c>
      <c r="AI164" s="90" t="n">
        <f aca="false">IF($A164="",0,SUMPRODUCT(($F$3:$Q$3&lt;=Setup!$B$8)*$F164:$Q164))</f>
        <v>0</v>
      </c>
      <c r="AJ164" s="90" t="n">
        <f aca="false">IF($A164="",0,SUM($F164:$Q164))</f>
        <v>0</v>
      </c>
      <c r="AK164" s="90" t="n">
        <f aca="false">IF($A164="",0,SUM($R164:$AC164))</f>
        <v>0</v>
      </c>
      <c r="AL164" s="91" t="n">
        <f aca="false">IF($A164="",0,IF(SUMPRODUCT(ABS($F164:$AC164))&gt;0,1,0))</f>
        <v>0</v>
      </c>
    </row>
    <row r="165" customFormat="false" ht="15" hidden="false" customHeight="false" outlineLevel="0" collapsed="false">
      <c r="A165" s="68" t="str">
        <f aca="false">IF(COA_Mapping!$A166="","",COA_Mapping!$A166)</f>
        <v>Office Supplies</v>
      </c>
      <c r="B165" s="68" t="str">
        <f aca="false">IF($A165="","",COA_Mapping!$C166)</f>
        <v>Expenses</v>
      </c>
      <c r="C165" s="68" t="str">
        <f aca="false">IF($A165="","",COA_Mapping!$E166)</f>
        <v>P&amp;L</v>
      </c>
      <c r="D165" s="68" t="str">
        <f aca="false">IF($A165="","",COA_Mapping!$D166)</f>
        <v>Unallocated</v>
      </c>
      <c r="E165" s="86" t="n">
        <f aca="false">IF($A165="",1,COA_Mapping!$F166)</f>
        <v>1</v>
      </c>
      <c r="F165" s="87" t="n">
        <f aca="false">IF($A165="",0,SUMIF(GL_Data!$S$8:$S$5007,160001,GL_Data!$P$8:$P$5007))</f>
        <v>0</v>
      </c>
      <c r="G165" s="87" t="n">
        <f aca="false">IF($A165="",0,SUMIF(GL_Data!$S$8:$S$5007,160002,GL_Data!$P$8:$P$5007))</f>
        <v>0</v>
      </c>
      <c r="H165" s="87" t="n">
        <f aca="false">IF($A165="",0,SUMIF(GL_Data!$S$8:$S$5007,160003,GL_Data!$P$8:$P$5007))</f>
        <v>0</v>
      </c>
      <c r="I165" s="87" t="n">
        <f aca="false">IF($A165="",0,SUMIF(GL_Data!$S$8:$S$5007,160004,GL_Data!$P$8:$P$5007))</f>
        <v>0</v>
      </c>
      <c r="J165" s="87" t="n">
        <f aca="false">IF($A165="",0,SUMIF(GL_Data!$S$8:$S$5007,160005,GL_Data!$P$8:$P$5007))</f>
        <v>0</v>
      </c>
      <c r="K165" s="87" t="n">
        <f aca="false">IF($A165="",0,SUMIF(GL_Data!$S$8:$S$5007,160006,GL_Data!$P$8:$P$5007))</f>
        <v>0</v>
      </c>
      <c r="L165" s="87" t="n">
        <f aca="false">IF($A165="",0,SUMIF(GL_Data!$S$8:$S$5007,160007,GL_Data!$P$8:$P$5007))</f>
        <v>0</v>
      </c>
      <c r="M165" s="87" t="n">
        <f aca="false">IF($A165="",0,SUMIF(GL_Data!$S$8:$S$5007,160008,GL_Data!$P$8:$P$5007))</f>
        <v>0</v>
      </c>
      <c r="N165" s="87" t="n">
        <f aca="false">IF($A165="",0,SUMIF(GL_Data!$S$8:$S$5007,160009,GL_Data!$P$8:$P$5007))</f>
        <v>0</v>
      </c>
      <c r="O165" s="87" t="n">
        <f aca="false">IF($A165="",0,SUMIF(GL_Data!$S$8:$S$5007,160010,GL_Data!$P$8:$P$5007))</f>
        <v>0</v>
      </c>
      <c r="P165" s="87" t="n">
        <f aca="false">IF($A165="",0,SUMIF(GL_Data!$S$8:$S$5007,160011,GL_Data!$P$8:$P$5007))</f>
        <v>0</v>
      </c>
      <c r="Q165" s="87" t="n">
        <f aca="false">IF($A165="",0,SUMIF(GL_Data!$S$8:$S$5007,160012,GL_Data!$P$8:$P$5007))</f>
        <v>0</v>
      </c>
      <c r="R165" s="88" t="n">
        <f aca="false">IF($A165="",0,SUMIF(GL_Data!$S$8:$S$5007,160101,GL_Data!$P$8:$P$5007))</f>
        <v>0</v>
      </c>
      <c r="S165" s="88" t="n">
        <f aca="false">IF($A165="",0,SUMIF(GL_Data!$S$8:$S$5007,160102,GL_Data!$P$8:$P$5007))</f>
        <v>0</v>
      </c>
      <c r="T165" s="88" t="n">
        <f aca="false">IF($A165="",0,SUMIF(GL_Data!$S$8:$S$5007,160103,GL_Data!$P$8:$P$5007))</f>
        <v>0</v>
      </c>
      <c r="U165" s="88" t="n">
        <f aca="false">IF($A165="",0,SUMIF(GL_Data!$S$8:$S$5007,160104,GL_Data!$P$8:$P$5007))</f>
        <v>0</v>
      </c>
      <c r="V165" s="88" t="n">
        <f aca="false">IF($A165="",0,SUMIF(GL_Data!$S$8:$S$5007,160105,GL_Data!$P$8:$P$5007))</f>
        <v>0</v>
      </c>
      <c r="W165" s="88" t="n">
        <f aca="false">IF($A165="",0,SUMIF(GL_Data!$S$8:$S$5007,160106,GL_Data!$P$8:$P$5007))</f>
        <v>0</v>
      </c>
      <c r="X165" s="88" t="n">
        <f aca="false">IF($A165="",0,SUMIF(GL_Data!$S$8:$S$5007,160107,GL_Data!$P$8:$P$5007))</f>
        <v>0</v>
      </c>
      <c r="Y165" s="88" t="n">
        <f aca="false">IF($A165="",0,SUMIF(GL_Data!$S$8:$S$5007,160108,GL_Data!$P$8:$P$5007))</f>
        <v>0</v>
      </c>
      <c r="Z165" s="88" t="n">
        <f aca="false">IF($A165="",0,SUMIF(GL_Data!$S$8:$S$5007,160109,GL_Data!$P$8:$P$5007))</f>
        <v>0</v>
      </c>
      <c r="AA165" s="88" t="n">
        <f aca="false">IF($A165="",0,SUMIF(GL_Data!$S$8:$S$5007,160110,GL_Data!$P$8:$P$5007))</f>
        <v>0</v>
      </c>
      <c r="AB165" s="88" t="n">
        <f aca="false">IF($A165="",0,SUMIF(GL_Data!$S$8:$S$5007,160111,GL_Data!$P$8:$P$5007))</f>
        <v>0</v>
      </c>
      <c r="AC165" s="88" t="n">
        <f aca="false">IF($A165="",0,SUMIF(GL_Data!$S$8:$S$5007,160112,GL_Data!$P$8:$P$5007))</f>
        <v>0</v>
      </c>
      <c r="AD165" s="89" t="n">
        <f aca="false">IF($A165="",0,INDEX($F165:$AC165,12+Setup!$B$8))</f>
        <v>0</v>
      </c>
      <c r="AE165" s="90" t="n">
        <f aca="false">IF($A165="",0,INDEX($F165:$AC165,Setup!$B$8))</f>
        <v>0</v>
      </c>
      <c r="AF165" s="90" t="n">
        <f aca="false">IF($A165="",0,INDEX($F165:$AC165,11+Setup!$B$8))</f>
        <v>0</v>
      </c>
      <c r="AG165" s="90" t="n">
        <f aca="false">IF($A165="",0,AVERAGE(INDEX($F165:$AC165,9+Setup!$B$8):INDEX($F165:$AC165,11+Setup!$B$8)))</f>
        <v>0</v>
      </c>
      <c r="AH165" s="89" t="n">
        <f aca="false">IF($A165="",0,SUMPRODUCT(($R$3:$AC$3&lt;=Setup!$B$8)*$R165:$AC165))</f>
        <v>0</v>
      </c>
      <c r="AI165" s="90" t="n">
        <f aca="false">IF($A165="",0,SUMPRODUCT(($F$3:$Q$3&lt;=Setup!$B$8)*$F165:$Q165))</f>
        <v>0</v>
      </c>
      <c r="AJ165" s="90" t="n">
        <f aca="false">IF($A165="",0,SUM($F165:$Q165))</f>
        <v>0</v>
      </c>
      <c r="AK165" s="90" t="n">
        <f aca="false">IF($A165="",0,SUM($R165:$AC165))</f>
        <v>0</v>
      </c>
      <c r="AL165" s="91" t="n">
        <f aca="false">IF($A165="",0,IF(SUMPRODUCT(ABS($F165:$AC165))&gt;0,1,0))</f>
        <v>0</v>
      </c>
    </row>
    <row r="166" customFormat="false" ht="15" hidden="false" customHeight="false" outlineLevel="0" collapsed="false">
      <c r="A166" s="68" t="str">
        <f aca="false">IF(COA_Mapping!$A167="","",COA_Mapping!$A167)</f>
        <v>Office Supplies [61500]</v>
      </c>
      <c r="B166" s="68" t="str">
        <f aca="false">IF($A166="","",COA_Mapping!$C167)</f>
        <v>Expenses</v>
      </c>
      <c r="C166" s="68" t="str">
        <f aca="false">IF($A166="","",COA_Mapping!$E167)</f>
        <v>P&amp;L</v>
      </c>
      <c r="D166" s="68" t="str">
        <f aca="false">IF($A166="","",COA_Mapping!$D167)</f>
        <v>Unallocated</v>
      </c>
      <c r="E166" s="86" t="n">
        <f aca="false">IF($A166="",1,COA_Mapping!$F167)</f>
        <v>1</v>
      </c>
      <c r="F166" s="87" t="n">
        <f aca="false">IF($A166="",0,SUMIF(GL_Data!$S$8:$S$5007,161001,GL_Data!$P$8:$P$5007))</f>
        <v>0</v>
      </c>
      <c r="G166" s="87" t="n">
        <f aca="false">IF($A166="",0,SUMIF(GL_Data!$S$8:$S$5007,161002,GL_Data!$P$8:$P$5007))</f>
        <v>0</v>
      </c>
      <c r="H166" s="87" t="n">
        <f aca="false">IF($A166="",0,SUMIF(GL_Data!$S$8:$S$5007,161003,GL_Data!$P$8:$P$5007))</f>
        <v>0</v>
      </c>
      <c r="I166" s="87" t="n">
        <f aca="false">IF($A166="",0,SUMIF(GL_Data!$S$8:$S$5007,161004,GL_Data!$P$8:$P$5007))</f>
        <v>0</v>
      </c>
      <c r="J166" s="87" t="n">
        <f aca="false">IF($A166="",0,SUMIF(GL_Data!$S$8:$S$5007,161005,GL_Data!$P$8:$P$5007))</f>
        <v>0</v>
      </c>
      <c r="K166" s="87" t="n">
        <f aca="false">IF($A166="",0,SUMIF(GL_Data!$S$8:$S$5007,161006,GL_Data!$P$8:$P$5007))</f>
        <v>0</v>
      </c>
      <c r="L166" s="87" t="n">
        <f aca="false">IF($A166="",0,SUMIF(GL_Data!$S$8:$S$5007,161007,GL_Data!$P$8:$P$5007))</f>
        <v>0</v>
      </c>
      <c r="M166" s="87" t="n">
        <f aca="false">IF($A166="",0,SUMIF(GL_Data!$S$8:$S$5007,161008,GL_Data!$P$8:$P$5007))</f>
        <v>0</v>
      </c>
      <c r="N166" s="87" t="n">
        <f aca="false">IF($A166="",0,SUMIF(GL_Data!$S$8:$S$5007,161009,GL_Data!$P$8:$P$5007))</f>
        <v>0</v>
      </c>
      <c r="O166" s="87" t="n">
        <f aca="false">IF($A166="",0,SUMIF(GL_Data!$S$8:$S$5007,161010,GL_Data!$P$8:$P$5007))</f>
        <v>0</v>
      </c>
      <c r="P166" s="87" t="n">
        <f aca="false">IF($A166="",0,SUMIF(GL_Data!$S$8:$S$5007,161011,GL_Data!$P$8:$P$5007))</f>
        <v>0</v>
      </c>
      <c r="Q166" s="87" t="n">
        <f aca="false">IF($A166="",0,SUMIF(GL_Data!$S$8:$S$5007,161012,GL_Data!$P$8:$P$5007))</f>
        <v>0</v>
      </c>
      <c r="R166" s="88" t="n">
        <f aca="false">IF($A166="",0,SUMIF(GL_Data!$S$8:$S$5007,161101,GL_Data!$P$8:$P$5007))</f>
        <v>0</v>
      </c>
      <c r="S166" s="88" t="n">
        <f aca="false">IF($A166="",0,SUMIF(GL_Data!$S$8:$S$5007,161102,GL_Data!$P$8:$P$5007))</f>
        <v>0</v>
      </c>
      <c r="T166" s="88" t="n">
        <f aca="false">IF($A166="",0,SUMIF(GL_Data!$S$8:$S$5007,161103,GL_Data!$P$8:$P$5007))</f>
        <v>0</v>
      </c>
      <c r="U166" s="88" t="n">
        <f aca="false">IF($A166="",0,SUMIF(GL_Data!$S$8:$S$5007,161104,GL_Data!$P$8:$P$5007))</f>
        <v>0</v>
      </c>
      <c r="V166" s="88" t="n">
        <f aca="false">IF($A166="",0,SUMIF(GL_Data!$S$8:$S$5007,161105,GL_Data!$P$8:$P$5007))</f>
        <v>0</v>
      </c>
      <c r="W166" s="88" t="n">
        <f aca="false">IF($A166="",0,SUMIF(GL_Data!$S$8:$S$5007,161106,GL_Data!$P$8:$P$5007))</f>
        <v>0</v>
      </c>
      <c r="X166" s="88" t="n">
        <f aca="false">IF($A166="",0,SUMIF(GL_Data!$S$8:$S$5007,161107,GL_Data!$P$8:$P$5007))</f>
        <v>0</v>
      </c>
      <c r="Y166" s="88" t="n">
        <f aca="false">IF($A166="",0,SUMIF(GL_Data!$S$8:$S$5007,161108,GL_Data!$P$8:$P$5007))</f>
        <v>0</v>
      </c>
      <c r="Z166" s="88" t="n">
        <f aca="false">IF($A166="",0,SUMIF(GL_Data!$S$8:$S$5007,161109,GL_Data!$P$8:$P$5007))</f>
        <v>0</v>
      </c>
      <c r="AA166" s="88" t="n">
        <f aca="false">IF($A166="",0,SUMIF(GL_Data!$S$8:$S$5007,161110,GL_Data!$P$8:$P$5007))</f>
        <v>0</v>
      </c>
      <c r="AB166" s="88" t="n">
        <f aca="false">IF($A166="",0,SUMIF(GL_Data!$S$8:$S$5007,161111,GL_Data!$P$8:$P$5007))</f>
        <v>0</v>
      </c>
      <c r="AC166" s="88" t="n">
        <f aca="false">IF($A166="",0,SUMIF(GL_Data!$S$8:$S$5007,161112,GL_Data!$P$8:$P$5007))</f>
        <v>0</v>
      </c>
      <c r="AD166" s="89" t="n">
        <f aca="false">IF($A166="",0,INDEX($F166:$AC166,12+Setup!$B$8))</f>
        <v>0</v>
      </c>
      <c r="AE166" s="90" t="n">
        <f aca="false">IF($A166="",0,INDEX($F166:$AC166,Setup!$B$8))</f>
        <v>0</v>
      </c>
      <c r="AF166" s="90" t="n">
        <f aca="false">IF($A166="",0,INDEX($F166:$AC166,11+Setup!$B$8))</f>
        <v>0</v>
      </c>
      <c r="AG166" s="90" t="n">
        <f aca="false">IF($A166="",0,AVERAGE(INDEX($F166:$AC166,9+Setup!$B$8):INDEX($F166:$AC166,11+Setup!$B$8)))</f>
        <v>0</v>
      </c>
      <c r="AH166" s="89" t="n">
        <f aca="false">IF($A166="",0,SUMPRODUCT(($R$3:$AC$3&lt;=Setup!$B$8)*$R166:$AC166))</f>
        <v>0</v>
      </c>
      <c r="AI166" s="90" t="n">
        <f aca="false">IF($A166="",0,SUMPRODUCT(($F$3:$Q$3&lt;=Setup!$B$8)*$F166:$Q166))</f>
        <v>0</v>
      </c>
      <c r="AJ166" s="90" t="n">
        <f aca="false">IF($A166="",0,SUM($F166:$Q166))</f>
        <v>0</v>
      </c>
      <c r="AK166" s="90" t="n">
        <f aca="false">IF($A166="",0,SUM($R166:$AC166))</f>
        <v>0</v>
      </c>
      <c r="AL166" s="91" t="n">
        <f aca="false">IF($A166="",0,IF(SUMPRODUCT(ABS($F166:$AC166))&gt;0,1,0))</f>
        <v>0</v>
      </c>
    </row>
    <row r="167" customFormat="false" ht="15" hidden="false" customHeight="false" outlineLevel="0" collapsed="false">
      <c r="A167" s="68" t="str">
        <f aca="false">IF(COA_Mapping!$A168="","",COA_Mapping!$A168)</f>
        <v>Other Expenses [64900]</v>
      </c>
      <c r="B167" s="68" t="str">
        <f aca="false">IF($A167="","",COA_Mapping!$C168)</f>
        <v>Expenses</v>
      </c>
      <c r="C167" s="68" t="str">
        <f aca="false">IF($A167="","",COA_Mapping!$E168)</f>
        <v>P&amp;L</v>
      </c>
      <c r="D167" s="68" t="str">
        <f aca="false">IF($A167="","",COA_Mapping!$D168)</f>
        <v>Unallocated</v>
      </c>
      <c r="E167" s="86" t="n">
        <f aca="false">IF($A167="",1,COA_Mapping!$F168)</f>
        <v>1</v>
      </c>
      <c r="F167" s="87" t="n">
        <f aca="false">IF($A167="",0,SUMIF(GL_Data!$S$8:$S$5007,162001,GL_Data!$P$8:$P$5007))</f>
        <v>0</v>
      </c>
      <c r="G167" s="87" t="n">
        <f aca="false">IF($A167="",0,SUMIF(GL_Data!$S$8:$S$5007,162002,GL_Data!$P$8:$P$5007))</f>
        <v>0</v>
      </c>
      <c r="H167" s="87" t="n">
        <f aca="false">IF($A167="",0,SUMIF(GL_Data!$S$8:$S$5007,162003,GL_Data!$P$8:$P$5007))</f>
        <v>0</v>
      </c>
      <c r="I167" s="87" t="n">
        <f aca="false">IF($A167="",0,SUMIF(GL_Data!$S$8:$S$5007,162004,GL_Data!$P$8:$P$5007))</f>
        <v>0</v>
      </c>
      <c r="J167" s="87" t="n">
        <f aca="false">IF($A167="",0,SUMIF(GL_Data!$S$8:$S$5007,162005,GL_Data!$P$8:$P$5007))</f>
        <v>0</v>
      </c>
      <c r="K167" s="87" t="n">
        <f aca="false">IF($A167="",0,SUMIF(GL_Data!$S$8:$S$5007,162006,GL_Data!$P$8:$P$5007))</f>
        <v>0</v>
      </c>
      <c r="L167" s="87" t="n">
        <f aca="false">IF($A167="",0,SUMIF(GL_Data!$S$8:$S$5007,162007,GL_Data!$P$8:$P$5007))</f>
        <v>0</v>
      </c>
      <c r="M167" s="87" t="n">
        <f aca="false">IF($A167="",0,SUMIF(GL_Data!$S$8:$S$5007,162008,GL_Data!$P$8:$P$5007))</f>
        <v>0</v>
      </c>
      <c r="N167" s="87" t="n">
        <f aca="false">IF($A167="",0,SUMIF(GL_Data!$S$8:$S$5007,162009,GL_Data!$P$8:$P$5007))</f>
        <v>0</v>
      </c>
      <c r="O167" s="87" t="n">
        <f aca="false">IF($A167="",0,SUMIF(GL_Data!$S$8:$S$5007,162010,GL_Data!$P$8:$P$5007))</f>
        <v>0</v>
      </c>
      <c r="P167" s="87" t="n">
        <f aca="false">IF($A167="",0,SUMIF(GL_Data!$S$8:$S$5007,162011,GL_Data!$P$8:$P$5007))</f>
        <v>0</v>
      </c>
      <c r="Q167" s="87" t="n">
        <f aca="false">IF($A167="",0,SUMIF(GL_Data!$S$8:$S$5007,162012,GL_Data!$P$8:$P$5007))</f>
        <v>0</v>
      </c>
      <c r="R167" s="88" t="n">
        <f aca="false">IF($A167="",0,SUMIF(GL_Data!$S$8:$S$5007,162101,GL_Data!$P$8:$P$5007))</f>
        <v>0</v>
      </c>
      <c r="S167" s="88" t="n">
        <f aca="false">IF($A167="",0,SUMIF(GL_Data!$S$8:$S$5007,162102,GL_Data!$P$8:$P$5007))</f>
        <v>0</v>
      </c>
      <c r="T167" s="88" t="n">
        <f aca="false">IF($A167="",0,SUMIF(GL_Data!$S$8:$S$5007,162103,GL_Data!$P$8:$P$5007))</f>
        <v>0</v>
      </c>
      <c r="U167" s="88" t="n">
        <f aca="false">IF($A167="",0,SUMIF(GL_Data!$S$8:$S$5007,162104,GL_Data!$P$8:$P$5007))</f>
        <v>0</v>
      </c>
      <c r="V167" s="88" t="n">
        <f aca="false">IF($A167="",0,SUMIF(GL_Data!$S$8:$S$5007,162105,GL_Data!$P$8:$P$5007))</f>
        <v>0</v>
      </c>
      <c r="W167" s="88" t="n">
        <f aca="false">IF($A167="",0,SUMIF(GL_Data!$S$8:$S$5007,162106,GL_Data!$P$8:$P$5007))</f>
        <v>0</v>
      </c>
      <c r="X167" s="88" t="n">
        <f aca="false">IF($A167="",0,SUMIF(GL_Data!$S$8:$S$5007,162107,GL_Data!$P$8:$P$5007))</f>
        <v>0</v>
      </c>
      <c r="Y167" s="88" t="n">
        <f aca="false">IF($A167="",0,SUMIF(GL_Data!$S$8:$S$5007,162108,GL_Data!$P$8:$P$5007))</f>
        <v>0</v>
      </c>
      <c r="Z167" s="88" t="n">
        <f aca="false">IF($A167="",0,SUMIF(GL_Data!$S$8:$S$5007,162109,GL_Data!$P$8:$P$5007))</f>
        <v>0</v>
      </c>
      <c r="AA167" s="88" t="n">
        <f aca="false">IF($A167="",0,SUMIF(GL_Data!$S$8:$S$5007,162110,GL_Data!$P$8:$P$5007))</f>
        <v>0</v>
      </c>
      <c r="AB167" s="88" t="n">
        <f aca="false">IF($A167="",0,SUMIF(GL_Data!$S$8:$S$5007,162111,GL_Data!$P$8:$P$5007))</f>
        <v>0</v>
      </c>
      <c r="AC167" s="88" t="n">
        <f aca="false">IF($A167="",0,SUMIF(GL_Data!$S$8:$S$5007,162112,GL_Data!$P$8:$P$5007))</f>
        <v>0</v>
      </c>
      <c r="AD167" s="89" t="n">
        <f aca="false">IF($A167="",0,INDEX($F167:$AC167,12+Setup!$B$8))</f>
        <v>0</v>
      </c>
      <c r="AE167" s="90" t="n">
        <f aca="false">IF($A167="",0,INDEX($F167:$AC167,Setup!$B$8))</f>
        <v>0</v>
      </c>
      <c r="AF167" s="90" t="n">
        <f aca="false">IF($A167="",0,INDEX($F167:$AC167,11+Setup!$B$8))</f>
        <v>0</v>
      </c>
      <c r="AG167" s="90" t="n">
        <f aca="false">IF($A167="",0,AVERAGE(INDEX($F167:$AC167,9+Setup!$B$8):INDEX($F167:$AC167,11+Setup!$B$8)))</f>
        <v>0</v>
      </c>
      <c r="AH167" s="89" t="n">
        <f aca="false">IF($A167="",0,SUMPRODUCT(($R$3:$AC$3&lt;=Setup!$B$8)*$R167:$AC167))</f>
        <v>0</v>
      </c>
      <c r="AI167" s="90" t="n">
        <f aca="false">IF($A167="",0,SUMPRODUCT(($F$3:$Q$3&lt;=Setup!$B$8)*$F167:$Q167))</f>
        <v>0</v>
      </c>
      <c r="AJ167" s="90" t="n">
        <f aca="false">IF($A167="",0,SUM($F167:$Q167))</f>
        <v>0</v>
      </c>
      <c r="AK167" s="90" t="n">
        <f aca="false">IF($A167="",0,SUM($R167:$AC167))</f>
        <v>0</v>
      </c>
      <c r="AL167" s="91" t="n">
        <f aca="false">IF($A167="",0,IF(SUMPRODUCT(ABS($F167:$AC167))&gt;0,1,0))</f>
        <v>0</v>
      </c>
    </row>
    <row r="168" customFormat="false" ht="15" hidden="false" customHeight="false" outlineLevel="0" collapsed="false">
      <c r="A168" s="68" t="str">
        <f aca="false">IF(COA_Mapping!$A169="","",COA_Mapping!$A169)</f>
        <v>Other Insurance</v>
      </c>
      <c r="B168" s="68" t="str">
        <f aca="false">IF($A168="","",COA_Mapping!$C169)</f>
        <v>Expenses</v>
      </c>
      <c r="C168" s="68" t="str">
        <f aca="false">IF($A168="","",COA_Mapping!$E169)</f>
        <v>P&amp;L</v>
      </c>
      <c r="D168" s="68" t="str">
        <f aca="false">IF($A168="","",COA_Mapping!$D169)</f>
        <v>Unallocated</v>
      </c>
      <c r="E168" s="86" t="n">
        <f aca="false">IF($A168="",1,COA_Mapping!$F169)</f>
        <v>1</v>
      </c>
      <c r="F168" s="87" t="n">
        <f aca="false">IF($A168="",0,SUMIF(GL_Data!$S$8:$S$5007,163001,GL_Data!$P$8:$P$5007))</f>
        <v>0</v>
      </c>
      <c r="G168" s="87" t="n">
        <f aca="false">IF($A168="",0,SUMIF(GL_Data!$S$8:$S$5007,163002,GL_Data!$P$8:$P$5007))</f>
        <v>0</v>
      </c>
      <c r="H168" s="87" t="n">
        <f aca="false">IF($A168="",0,SUMIF(GL_Data!$S$8:$S$5007,163003,GL_Data!$P$8:$P$5007))</f>
        <v>0</v>
      </c>
      <c r="I168" s="87" t="n">
        <f aca="false">IF($A168="",0,SUMIF(GL_Data!$S$8:$S$5007,163004,GL_Data!$P$8:$P$5007))</f>
        <v>0</v>
      </c>
      <c r="J168" s="87" t="n">
        <f aca="false">IF($A168="",0,SUMIF(GL_Data!$S$8:$S$5007,163005,GL_Data!$P$8:$P$5007))</f>
        <v>0</v>
      </c>
      <c r="K168" s="87" t="n">
        <f aca="false">IF($A168="",0,SUMIF(GL_Data!$S$8:$S$5007,163006,GL_Data!$P$8:$P$5007))</f>
        <v>0</v>
      </c>
      <c r="L168" s="87" t="n">
        <f aca="false">IF($A168="",0,SUMIF(GL_Data!$S$8:$S$5007,163007,GL_Data!$P$8:$P$5007))</f>
        <v>0</v>
      </c>
      <c r="M168" s="87" t="n">
        <f aca="false">IF($A168="",0,SUMIF(GL_Data!$S$8:$S$5007,163008,GL_Data!$P$8:$P$5007))</f>
        <v>0</v>
      </c>
      <c r="N168" s="87" t="n">
        <f aca="false">IF($A168="",0,SUMIF(GL_Data!$S$8:$S$5007,163009,GL_Data!$P$8:$P$5007))</f>
        <v>0</v>
      </c>
      <c r="O168" s="87" t="n">
        <f aca="false">IF($A168="",0,SUMIF(GL_Data!$S$8:$S$5007,163010,GL_Data!$P$8:$P$5007))</f>
        <v>0</v>
      </c>
      <c r="P168" s="87" t="n">
        <f aca="false">IF($A168="",0,SUMIF(GL_Data!$S$8:$S$5007,163011,GL_Data!$P$8:$P$5007))</f>
        <v>0</v>
      </c>
      <c r="Q168" s="87" t="n">
        <f aca="false">IF($A168="",0,SUMIF(GL_Data!$S$8:$S$5007,163012,GL_Data!$P$8:$P$5007))</f>
        <v>0</v>
      </c>
      <c r="R168" s="88" t="n">
        <f aca="false">IF($A168="",0,SUMIF(GL_Data!$S$8:$S$5007,163101,GL_Data!$P$8:$P$5007))</f>
        <v>0</v>
      </c>
      <c r="S168" s="88" t="n">
        <f aca="false">IF($A168="",0,SUMIF(GL_Data!$S$8:$S$5007,163102,GL_Data!$P$8:$P$5007))</f>
        <v>0</v>
      </c>
      <c r="T168" s="88" t="n">
        <f aca="false">IF($A168="",0,SUMIF(GL_Data!$S$8:$S$5007,163103,GL_Data!$P$8:$P$5007))</f>
        <v>0</v>
      </c>
      <c r="U168" s="88" t="n">
        <f aca="false">IF($A168="",0,SUMIF(GL_Data!$S$8:$S$5007,163104,GL_Data!$P$8:$P$5007))</f>
        <v>0</v>
      </c>
      <c r="V168" s="88" t="n">
        <f aca="false">IF($A168="",0,SUMIF(GL_Data!$S$8:$S$5007,163105,GL_Data!$P$8:$P$5007))</f>
        <v>0</v>
      </c>
      <c r="W168" s="88" t="n">
        <f aca="false">IF($A168="",0,SUMIF(GL_Data!$S$8:$S$5007,163106,GL_Data!$P$8:$P$5007))</f>
        <v>0</v>
      </c>
      <c r="X168" s="88" t="n">
        <f aca="false">IF($A168="",0,SUMIF(GL_Data!$S$8:$S$5007,163107,GL_Data!$P$8:$P$5007))</f>
        <v>0</v>
      </c>
      <c r="Y168" s="88" t="n">
        <f aca="false">IF($A168="",0,SUMIF(GL_Data!$S$8:$S$5007,163108,GL_Data!$P$8:$P$5007))</f>
        <v>0</v>
      </c>
      <c r="Z168" s="88" t="n">
        <f aca="false">IF($A168="",0,SUMIF(GL_Data!$S$8:$S$5007,163109,GL_Data!$P$8:$P$5007))</f>
        <v>0</v>
      </c>
      <c r="AA168" s="88" t="n">
        <f aca="false">IF($A168="",0,SUMIF(GL_Data!$S$8:$S$5007,163110,GL_Data!$P$8:$P$5007))</f>
        <v>0</v>
      </c>
      <c r="AB168" s="88" t="n">
        <f aca="false">IF($A168="",0,SUMIF(GL_Data!$S$8:$S$5007,163111,GL_Data!$P$8:$P$5007))</f>
        <v>0</v>
      </c>
      <c r="AC168" s="88" t="n">
        <f aca="false">IF($A168="",0,SUMIF(GL_Data!$S$8:$S$5007,163112,GL_Data!$P$8:$P$5007))</f>
        <v>0</v>
      </c>
      <c r="AD168" s="89" t="n">
        <f aca="false">IF($A168="",0,INDEX($F168:$AC168,12+Setup!$B$8))</f>
        <v>0</v>
      </c>
      <c r="AE168" s="90" t="n">
        <f aca="false">IF($A168="",0,INDEX($F168:$AC168,Setup!$B$8))</f>
        <v>0</v>
      </c>
      <c r="AF168" s="90" t="n">
        <f aca="false">IF($A168="",0,INDEX($F168:$AC168,11+Setup!$B$8))</f>
        <v>0</v>
      </c>
      <c r="AG168" s="90" t="n">
        <f aca="false">IF($A168="",0,AVERAGE(INDEX($F168:$AC168,9+Setup!$B$8):INDEX($F168:$AC168,11+Setup!$B$8)))</f>
        <v>0</v>
      </c>
      <c r="AH168" s="89" t="n">
        <f aca="false">IF($A168="",0,SUMPRODUCT(($R$3:$AC$3&lt;=Setup!$B$8)*$R168:$AC168))</f>
        <v>0</v>
      </c>
      <c r="AI168" s="90" t="n">
        <f aca="false">IF($A168="",0,SUMPRODUCT(($F$3:$Q$3&lt;=Setup!$B$8)*$F168:$Q168))</f>
        <v>0</v>
      </c>
      <c r="AJ168" s="90" t="n">
        <f aca="false">IF($A168="",0,SUM($F168:$Q168))</f>
        <v>0</v>
      </c>
      <c r="AK168" s="90" t="n">
        <f aca="false">IF($A168="",0,SUM($R168:$AC168))</f>
        <v>0</v>
      </c>
      <c r="AL168" s="91" t="n">
        <f aca="false">IF($A168="",0,IF(SUMPRODUCT(ABS($F168:$AC168))&gt;0,1,0))</f>
        <v>0</v>
      </c>
    </row>
    <row r="169" customFormat="false" ht="15" hidden="false" customHeight="false" outlineLevel="0" collapsed="false">
      <c r="A169" s="68" t="str">
        <f aca="false">IF(COA_Mapping!$A170="","",COA_Mapping!$A170)</f>
        <v>Other Telco Expenses</v>
      </c>
      <c r="B169" s="68" t="str">
        <f aca="false">IF($A169="","",COA_Mapping!$C170)</f>
        <v>Expenses</v>
      </c>
      <c r="C169" s="68" t="str">
        <f aca="false">IF($A169="","",COA_Mapping!$E170)</f>
        <v>P&amp;L</v>
      </c>
      <c r="D169" s="68" t="str">
        <f aca="false">IF($A169="","",COA_Mapping!$D170)</f>
        <v>Unallocated</v>
      </c>
      <c r="E169" s="86" t="n">
        <f aca="false">IF($A169="",1,COA_Mapping!$F170)</f>
        <v>1</v>
      </c>
      <c r="F169" s="87" t="n">
        <f aca="false">IF($A169="",0,SUMIF(GL_Data!$S$8:$S$5007,164001,GL_Data!$P$8:$P$5007))</f>
        <v>0</v>
      </c>
      <c r="G169" s="87" t="n">
        <f aca="false">IF($A169="",0,SUMIF(GL_Data!$S$8:$S$5007,164002,GL_Data!$P$8:$P$5007))</f>
        <v>0</v>
      </c>
      <c r="H169" s="87" t="n">
        <f aca="false">IF($A169="",0,SUMIF(GL_Data!$S$8:$S$5007,164003,GL_Data!$P$8:$P$5007))</f>
        <v>0</v>
      </c>
      <c r="I169" s="87" t="n">
        <f aca="false">IF($A169="",0,SUMIF(GL_Data!$S$8:$S$5007,164004,GL_Data!$P$8:$P$5007))</f>
        <v>0</v>
      </c>
      <c r="J169" s="87" t="n">
        <f aca="false">IF($A169="",0,SUMIF(GL_Data!$S$8:$S$5007,164005,GL_Data!$P$8:$P$5007))</f>
        <v>0</v>
      </c>
      <c r="K169" s="87" t="n">
        <f aca="false">IF($A169="",0,SUMIF(GL_Data!$S$8:$S$5007,164006,GL_Data!$P$8:$P$5007))</f>
        <v>0</v>
      </c>
      <c r="L169" s="87" t="n">
        <f aca="false">IF($A169="",0,SUMIF(GL_Data!$S$8:$S$5007,164007,GL_Data!$P$8:$P$5007))</f>
        <v>0</v>
      </c>
      <c r="M169" s="87" t="n">
        <f aca="false">IF($A169="",0,SUMIF(GL_Data!$S$8:$S$5007,164008,GL_Data!$P$8:$P$5007))</f>
        <v>0</v>
      </c>
      <c r="N169" s="87" t="n">
        <f aca="false">IF($A169="",0,SUMIF(GL_Data!$S$8:$S$5007,164009,GL_Data!$P$8:$P$5007))</f>
        <v>0</v>
      </c>
      <c r="O169" s="87" t="n">
        <f aca="false">IF($A169="",0,SUMIF(GL_Data!$S$8:$S$5007,164010,GL_Data!$P$8:$P$5007))</f>
        <v>0</v>
      </c>
      <c r="P169" s="87" t="n">
        <f aca="false">IF($A169="",0,SUMIF(GL_Data!$S$8:$S$5007,164011,GL_Data!$P$8:$P$5007))</f>
        <v>0</v>
      </c>
      <c r="Q169" s="87" t="n">
        <f aca="false">IF($A169="",0,SUMIF(GL_Data!$S$8:$S$5007,164012,GL_Data!$P$8:$P$5007))</f>
        <v>0</v>
      </c>
      <c r="R169" s="88" t="n">
        <f aca="false">IF($A169="",0,SUMIF(GL_Data!$S$8:$S$5007,164101,GL_Data!$P$8:$P$5007))</f>
        <v>0</v>
      </c>
      <c r="S169" s="88" t="n">
        <f aca="false">IF($A169="",0,SUMIF(GL_Data!$S$8:$S$5007,164102,GL_Data!$P$8:$P$5007))</f>
        <v>0</v>
      </c>
      <c r="T169" s="88" t="n">
        <f aca="false">IF($A169="",0,SUMIF(GL_Data!$S$8:$S$5007,164103,GL_Data!$P$8:$P$5007))</f>
        <v>0</v>
      </c>
      <c r="U169" s="88" t="n">
        <f aca="false">IF($A169="",0,SUMIF(GL_Data!$S$8:$S$5007,164104,GL_Data!$P$8:$P$5007))</f>
        <v>0</v>
      </c>
      <c r="V169" s="88" t="n">
        <f aca="false">IF($A169="",0,SUMIF(GL_Data!$S$8:$S$5007,164105,GL_Data!$P$8:$P$5007))</f>
        <v>0</v>
      </c>
      <c r="W169" s="88" t="n">
        <f aca="false">IF($A169="",0,SUMIF(GL_Data!$S$8:$S$5007,164106,GL_Data!$P$8:$P$5007))</f>
        <v>0</v>
      </c>
      <c r="X169" s="88" t="n">
        <f aca="false">IF($A169="",0,SUMIF(GL_Data!$S$8:$S$5007,164107,GL_Data!$P$8:$P$5007))</f>
        <v>0</v>
      </c>
      <c r="Y169" s="88" t="n">
        <f aca="false">IF($A169="",0,SUMIF(GL_Data!$S$8:$S$5007,164108,GL_Data!$P$8:$P$5007))</f>
        <v>0</v>
      </c>
      <c r="Z169" s="88" t="n">
        <f aca="false">IF($A169="",0,SUMIF(GL_Data!$S$8:$S$5007,164109,GL_Data!$P$8:$P$5007))</f>
        <v>0</v>
      </c>
      <c r="AA169" s="88" t="n">
        <f aca="false">IF($A169="",0,SUMIF(GL_Data!$S$8:$S$5007,164110,GL_Data!$P$8:$P$5007))</f>
        <v>0</v>
      </c>
      <c r="AB169" s="88" t="n">
        <f aca="false">IF($A169="",0,SUMIF(GL_Data!$S$8:$S$5007,164111,GL_Data!$P$8:$P$5007))</f>
        <v>0</v>
      </c>
      <c r="AC169" s="88" t="n">
        <f aca="false">IF($A169="",0,SUMIF(GL_Data!$S$8:$S$5007,164112,GL_Data!$P$8:$P$5007))</f>
        <v>0</v>
      </c>
      <c r="AD169" s="89" t="n">
        <f aca="false">IF($A169="",0,INDEX($F169:$AC169,12+Setup!$B$8))</f>
        <v>0</v>
      </c>
      <c r="AE169" s="90" t="n">
        <f aca="false">IF($A169="",0,INDEX($F169:$AC169,Setup!$B$8))</f>
        <v>0</v>
      </c>
      <c r="AF169" s="90" t="n">
        <f aca="false">IF($A169="",0,INDEX($F169:$AC169,11+Setup!$B$8))</f>
        <v>0</v>
      </c>
      <c r="AG169" s="90" t="n">
        <f aca="false">IF($A169="",0,AVERAGE(INDEX($F169:$AC169,9+Setup!$B$8):INDEX($F169:$AC169,11+Setup!$B$8)))</f>
        <v>0</v>
      </c>
      <c r="AH169" s="89" t="n">
        <f aca="false">IF($A169="",0,SUMPRODUCT(($R$3:$AC$3&lt;=Setup!$B$8)*$R169:$AC169))</f>
        <v>0</v>
      </c>
      <c r="AI169" s="90" t="n">
        <f aca="false">IF($A169="",0,SUMPRODUCT(($F$3:$Q$3&lt;=Setup!$B$8)*$F169:$Q169))</f>
        <v>0</v>
      </c>
      <c r="AJ169" s="90" t="n">
        <f aca="false">IF($A169="",0,SUM($F169:$Q169))</f>
        <v>0</v>
      </c>
      <c r="AK169" s="90" t="n">
        <f aca="false">IF($A169="",0,SUM($R169:$AC169))</f>
        <v>0</v>
      </c>
      <c r="AL169" s="91" t="n">
        <f aca="false">IF($A169="",0,IF(SUMPRODUCT(ABS($F169:$AC169))&gt;0,1,0))</f>
        <v>0</v>
      </c>
    </row>
    <row r="170" customFormat="false" ht="15" hidden="false" customHeight="false" outlineLevel="0" collapsed="false">
      <c r="A170" s="68" t="str">
        <f aca="false">IF(COA_Mapping!$A171="","",COA_Mapping!$A171)</f>
        <v>Pager</v>
      </c>
      <c r="B170" s="68" t="str">
        <f aca="false">IF($A170="","",COA_Mapping!$C171)</f>
        <v>Expenses</v>
      </c>
      <c r="C170" s="68" t="str">
        <f aca="false">IF($A170="","",COA_Mapping!$E171)</f>
        <v>P&amp;L</v>
      </c>
      <c r="D170" s="68" t="str">
        <f aca="false">IF($A170="","",COA_Mapping!$D171)</f>
        <v>Unallocated</v>
      </c>
      <c r="E170" s="86" t="n">
        <f aca="false">IF($A170="",1,COA_Mapping!$F171)</f>
        <v>1</v>
      </c>
      <c r="F170" s="87" t="n">
        <f aca="false">IF($A170="",0,SUMIF(GL_Data!$S$8:$S$5007,165001,GL_Data!$P$8:$P$5007))</f>
        <v>0</v>
      </c>
      <c r="G170" s="87" t="n">
        <f aca="false">IF($A170="",0,SUMIF(GL_Data!$S$8:$S$5007,165002,GL_Data!$P$8:$P$5007))</f>
        <v>0</v>
      </c>
      <c r="H170" s="87" t="n">
        <f aca="false">IF($A170="",0,SUMIF(GL_Data!$S$8:$S$5007,165003,GL_Data!$P$8:$P$5007))</f>
        <v>0</v>
      </c>
      <c r="I170" s="87" t="n">
        <f aca="false">IF($A170="",0,SUMIF(GL_Data!$S$8:$S$5007,165004,GL_Data!$P$8:$P$5007))</f>
        <v>0</v>
      </c>
      <c r="J170" s="87" t="n">
        <f aca="false">IF($A170="",0,SUMIF(GL_Data!$S$8:$S$5007,165005,GL_Data!$P$8:$P$5007))</f>
        <v>0</v>
      </c>
      <c r="K170" s="87" t="n">
        <f aca="false">IF($A170="",0,SUMIF(GL_Data!$S$8:$S$5007,165006,GL_Data!$P$8:$P$5007))</f>
        <v>0</v>
      </c>
      <c r="L170" s="87" t="n">
        <f aca="false">IF($A170="",0,SUMIF(GL_Data!$S$8:$S$5007,165007,GL_Data!$P$8:$P$5007))</f>
        <v>0</v>
      </c>
      <c r="M170" s="87" t="n">
        <f aca="false">IF($A170="",0,SUMIF(GL_Data!$S$8:$S$5007,165008,GL_Data!$P$8:$P$5007))</f>
        <v>0</v>
      </c>
      <c r="N170" s="87" t="n">
        <f aca="false">IF($A170="",0,SUMIF(GL_Data!$S$8:$S$5007,165009,GL_Data!$P$8:$P$5007))</f>
        <v>0</v>
      </c>
      <c r="O170" s="87" t="n">
        <f aca="false">IF($A170="",0,SUMIF(GL_Data!$S$8:$S$5007,165010,GL_Data!$P$8:$P$5007))</f>
        <v>0</v>
      </c>
      <c r="P170" s="87" t="n">
        <f aca="false">IF($A170="",0,SUMIF(GL_Data!$S$8:$S$5007,165011,GL_Data!$P$8:$P$5007))</f>
        <v>0</v>
      </c>
      <c r="Q170" s="87" t="n">
        <f aca="false">IF($A170="",0,SUMIF(GL_Data!$S$8:$S$5007,165012,GL_Data!$P$8:$P$5007))</f>
        <v>0</v>
      </c>
      <c r="R170" s="88" t="n">
        <f aca="false">IF($A170="",0,SUMIF(GL_Data!$S$8:$S$5007,165101,GL_Data!$P$8:$P$5007))</f>
        <v>0</v>
      </c>
      <c r="S170" s="88" t="n">
        <f aca="false">IF($A170="",0,SUMIF(GL_Data!$S$8:$S$5007,165102,GL_Data!$P$8:$P$5007))</f>
        <v>0</v>
      </c>
      <c r="T170" s="88" t="n">
        <f aca="false">IF($A170="",0,SUMIF(GL_Data!$S$8:$S$5007,165103,GL_Data!$P$8:$P$5007))</f>
        <v>0</v>
      </c>
      <c r="U170" s="88" t="n">
        <f aca="false">IF($A170="",0,SUMIF(GL_Data!$S$8:$S$5007,165104,GL_Data!$P$8:$P$5007))</f>
        <v>0</v>
      </c>
      <c r="V170" s="88" t="n">
        <f aca="false">IF($A170="",0,SUMIF(GL_Data!$S$8:$S$5007,165105,GL_Data!$P$8:$P$5007))</f>
        <v>0</v>
      </c>
      <c r="W170" s="88" t="n">
        <f aca="false">IF($A170="",0,SUMIF(GL_Data!$S$8:$S$5007,165106,GL_Data!$P$8:$P$5007))</f>
        <v>0</v>
      </c>
      <c r="X170" s="88" t="n">
        <f aca="false">IF($A170="",0,SUMIF(GL_Data!$S$8:$S$5007,165107,GL_Data!$P$8:$P$5007))</f>
        <v>0</v>
      </c>
      <c r="Y170" s="88" t="n">
        <f aca="false">IF($A170="",0,SUMIF(GL_Data!$S$8:$S$5007,165108,GL_Data!$P$8:$P$5007))</f>
        <v>0</v>
      </c>
      <c r="Z170" s="88" t="n">
        <f aca="false">IF($A170="",0,SUMIF(GL_Data!$S$8:$S$5007,165109,GL_Data!$P$8:$P$5007))</f>
        <v>0</v>
      </c>
      <c r="AA170" s="88" t="n">
        <f aca="false">IF($A170="",0,SUMIF(GL_Data!$S$8:$S$5007,165110,GL_Data!$P$8:$P$5007))</f>
        <v>0</v>
      </c>
      <c r="AB170" s="88" t="n">
        <f aca="false">IF($A170="",0,SUMIF(GL_Data!$S$8:$S$5007,165111,GL_Data!$P$8:$P$5007))</f>
        <v>0</v>
      </c>
      <c r="AC170" s="88" t="n">
        <f aca="false">IF($A170="",0,SUMIF(GL_Data!$S$8:$S$5007,165112,GL_Data!$P$8:$P$5007))</f>
        <v>0</v>
      </c>
      <c r="AD170" s="89" t="n">
        <f aca="false">IF($A170="",0,INDEX($F170:$AC170,12+Setup!$B$8))</f>
        <v>0</v>
      </c>
      <c r="AE170" s="90" t="n">
        <f aca="false">IF($A170="",0,INDEX($F170:$AC170,Setup!$B$8))</f>
        <v>0</v>
      </c>
      <c r="AF170" s="90" t="n">
        <f aca="false">IF($A170="",0,INDEX($F170:$AC170,11+Setup!$B$8))</f>
        <v>0</v>
      </c>
      <c r="AG170" s="90" t="n">
        <f aca="false">IF($A170="",0,AVERAGE(INDEX($F170:$AC170,9+Setup!$B$8):INDEX($F170:$AC170,11+Setup!$B$8)))</f>
        <v>0</v>
      </c>
      <c r="AH170" s="89" t="n">
        <f aca="false">IF($A170="",0,SUMPRODUCT(($R$3:$AC$3&lt;=Setup!$B$8)*$R170:$AC170))</f>
        <v>0</v>
      </c>
      <c r="AI170" s="90" t="n">
        <f aca="false">IF($A170="",0,SUMPRODUCT(($F$3:$Q$3&lt;=Setup!$B$8)*$F170:$Q170))</f>
        <v>0</v>
      </c>
      <c r="AJ170" s="90" t="n">
        <f aca="false">IF($A170="",0,SUM($F170:$Q170))</f>
        <v>0</v>
      </c>
      <c r="AK170" s="90" t="n">
        <f aca="false">IF($A170="",0,SUM($R170:$AC170))</f>
        <v>0</v>
      </c>
      <c r="AL170" s="91" t="n">
        <f aca="false">IF($A170="",0,IF(SUMPRODUCT(ABS($F170:$AC170))&gt;0,1,0))</f>
        <v>0</v>
      </c>
    </row>
    <row r="171" customFormat="false" ht="15" hidden="false" customHeight="false" outlineLevel="0" collapsed="false">
      <c r="A171" s="68" t="str">
        <f aca="false">IF(COA_Mapping!$A172="","",COA_Mapping!$A172)</f>
        <v>Payroll Processing Fee</v>
      </c>
      <c r="B171" s="68" t="str">
        <f aca="false">IF($A171="","",COA_Mapping!$C172)</f>
        <v>Expenses</v>
      </c>
      <c r="C171" s="68" t="str">
        <f aca="false">IF($A171="","",COA_Mapping!$E172)</f>
        <v>P&amp;L</v>
      </c>
      <c r="D171" s="68" t="str">
        <f aca="false">IF($A171="","",COA_Mapping!$D172)</f>
        <v>Unallocated</v>
      </c>
      <c r="E171" s="86" t="n">
        <f aca="false">IF($A171="",1,COA_Mapping!$F172)</f>
        <v>1</v>
      </c>
      <c r="F171" s="87" t="n">
        <f aca="false">IF($A171="",0,SUMIF(GL_Data!$S$8:$S$5007,166001,GL_Data!$P$8:$P$5007))</f>
        <v>0</v>
      </c>
      <c r="G171" s="87" t="n">
        <f aca="false">IF($A171="",0,SUMIF(GL_Data!$S$8:$S$5007,166002,GL_Data!$P$8:$P$5007))</f>
        <v>0</v>
      </c>
      <c r="H171" s="87" t="n">
        <f aca="false">IF($A171="",0,SUMIF(GL_Data!$S$8:$S$5007,166003,GL_Data!$P$8:$P$5007))</f>
        <v>0</v>
      </c>
      <c r="I171" s="87" t="n">
        <f aca="false">IF($A171="",0,SUMIF(GL_Data!$S$8:$S$5007,166004,GL_Data!$P$8:$P$5007))</f>
        <v>0</v>
      </c>
      <c r="J171" s="87" t="n">
        <f aca="false">IF($A171="",0,SUMIF(GL_Data!$S$8:$S$5007,166005,GL_Data!$P$8:$P$5007))</f>
        <v>0</v>
      </c>
      <c r="K171" s="87" t="n">
        <f aca="false">IF($A171="",0,SUMIF(GL_Data!$S$8:$S$5007,166006,GL_Data!$P$8:$P$5007))</f>
        <v>0</v>
      </c>
      <c r="L171" s="87" t="n">
        <f aca="false">IF($A171="",0,SUMIF(GL_Data!$S$8:$S$5007,166007,GL_Data!$P$8:$P$5007))</f>
        <v>0</v>
      </c>
      <c r="M171" s="87" t="n">
        <f aca="false">IF($A171="",0,SUMIF(GL_Data!$S$8:$S$5007,166008,GL_Data!$P$8:$P$5007))</f>
        <v>0</v>
      </c>
      <c r="N171" s="87" t="n">
        <f aca="false">IF($A171="",0,SUMIF(GL_Data!$S$8:$S$5007,166009,GL_Data!$P$8:$P$5007))</f>
        <v>0</v>
      </c>
      <c r="O171" s="87" t="n">
        <f aca="false">IF($A171="",0,SUMIF(GL_Data!$S$8:$S$5007,166010,GL_Data!$P$8:$P$5007))</f>
        <v>0</v>
      </c>
      <c r="P171" s="87" t="n">
        <f aca="false">IF($A171="",0,SUMIF(GL_Data!$S$8:$S$5007,166011,GL_Data!$P$8:$P$5007))</f>
        <v>0</v>
      </c>
      <c r="Q171" s="87" t="n">
        <f aca="false">IF($A171="",0,SUMIF(GL_Data!$S$8:$S$5007,166012,GL_Data!$P$8:$P$5007))</f>
        <v>0</v>
      </c>
      <c r="R171" s="88" t="n">
        <f aca="false">IF($A171="",0,SUMIF(GL_Data!$S$8:$S$5007,166101,GL_Data!$P$8:$P$5007))</f>
        <v>0</v>
      </c>
      <c r="S171" s="88" t="n">
        <f aca="false">IF($A171="",0,SUMIF(GL_Data!$S$8:$S$5007,166102,GL_Data!$P$8:$P$5007))</f>
        <v>0</v>
      </c>
      <c r="T171" s="88" t="n">
        <f aca="false">IF($A171="",0,SUMIF(GL_Data!$S$8:$S$5007,166103,GL_Data!$P$8:$P$5007))</f>
        <v>0</v>
      </c>
      <c r="U171" s="88" t="n">
        <f aca="false">IF($A171="",0,SUMIF(GL_Data!$S$8:$S$5007,166104,GL_Data!$P$8:$P$5007))</f>
        <v>0</v>
      </c>
      <c r="V171" s="88" t="n">
        <f aca="false">IF($A171="",0,SUMIF(GL_Data!$S$8:$S$5007,166105,GL_Data!$P$8:$P$5007))</f>
        <v>0</v>
      </c>
      <c r="W171" s="88" t="n">
        <f aca="false">IF($A171="",0,SUMIF(GL_Data!$S$8:$S$5007,166106,GL_Data!$P$8:$P$5007))</f>
        <v>0</v>
      </c>
      <c r="X171" s="88" t="n">
        <f aca="false">IF($A171="",0,SUMIF(GL_Data!$S$8:$S$5007,166107,GL_Data!$P$8:$P$5007))</f>
        <v>0</v>
      </c>
      <c r="Y171" s="88" t="n">
        <f aca="false">IF($A171="",0,SUMIF(GL_Data!$S$8:$S$5007,166108,GL_Data!$P$8:$P$5007))</f>
        <v>0</v>
      </c>
      <c r="Z171" s="88" t="n">
        <f aca="false">IF($A171="",0,SUMIF(GL_Data!$S$8:$S$5007,166109,GL_Data!$P$8:$P$5007))</f>
        <v>0</v>
      </c>
      <c r="AA171" s="88" t="n">
        <f aca="false">IF($A171="",0,SUMIF(GL_Data!$S$8:$S$5007,166110,GL_Data!$P$8:$P$5007))</f>
        <v>0</v>
      </c>
      <c r="AB171" s="88" t="n">
        <f aca="false">IF($A171="",0,SUMIF(GL_Data!$S$8:$S$5007,166111,GL_Data!$P$8:$P$5007))</f>
        <v>0</v>
      </c>
      <c r="AC171" s="88" t="n">
        <f aca="false">IF($A171="",0,SUMIF(GL_Data!$S$8:$S$5007,166112,GL_Data!$P$8:$P$5007))</f>
        <v>0</v>
      </c>
      <c r="AD171" s="89" t="n">
        <f aca="false">IF($A171="",0,INDEX($F171:$AC171,12+Setup!$B$8))</f>
        <v>0</v>
      </c>
      <c r="AE171" s="90" t="n">
        <f aca="false">IF($A171="",0,INDEX($F171:$AC171,Setup!$B$8))</f>
        <v>0</v>
      </c>
      <c r="AF171" s="90" t="n">
        <f aca="false">IF($A171="",0,INDEX($F171:$AC171,11+Setup!$B$8))</f>
        <v>0</v>
      </c>
      <c r="AG171" s="90" t="n">
        <f aca="false">IF($A171="",0,AVERAGE(INDEX($F171:$AC171,9+Setup!$B$8):INDEX($F171:$AC171,11+Setup!$B$8)))</f>
        <v>0</v>
      </c>
      <c r="AH171" s="89" t="n">
        <f aca="false">IF($A171="",0,SUMPRODUCT(($R$3:$AC$3&lt;=Setup!$B$8)*$R171:$AC171))</f>
        <v>0</v>
      </c>
      <c r="AI171" s="90" t="n">
        <f aca="false">IF($A171="",0,SUMPRODUCT(($F$3:$Q$3&lt;=Setup!$B$8)*$F171:$Q171))</f>
        <v>0</v>
      </c>
      <c r="AJ171" s="90" t="n">
        <f aca="false">IF($A171="",0,SUM($F171:$Q171))</f>
        <v>0</v>
      </c>
      <c r="AK171" s="90" t="n">
        <f aca="false">IF($A171="",0,SUM($R171:$AC171))</f>
        <v>0</v>
      </c>
      <c r="AL171" s="91" t="n">
        <f aca="false">IF($A171="",0,IF(SUMPRODUCT(ABS($F171:$AC171))&gt;0,1,0))</f>
        <v>0</v>
      </c>
    </row>
    <row r="172" customFormat="false" ht="15" hidden="false" customHeight="false" outlineLevel="0" collapsed="false">
      <c r="A172" s="68" t="str">
        <f aca="false">IF(COA_Mapping!$A173="","",COA_Mapping!$A173)</f>
        <v>Payroll Tax</v>
      </c>
      <c r="B172" s="68" t="str">
        <f aca="false">IF($A172="","",COA_Mapping!$C173)</f>
        <v>Expenses</v>
      </c>
      <c r="C172" s="68" t="str">
        <f aca="false">IF($A172="","",COA_Mapping!$E173)</f>
        <v>P&amp;L</v>
      </c>
      <c r="D172" s="68" t="str">
        <f aca="false">IF($A172="","",COA_Mapping!$D173)</f>
        <v>Unallocated</v>
      </c>
      <c r="E172" s="86" t="n">
        <f aca="false">IF($A172="",1,COA_Mapping!$F173)</f>
        <v>1</v>
      </c>
      <c r="F172" s="87" t="n">
        <f aca="false">IF($A172="",0,SUMIF(GL_Data!$S$8:$S$5007,167001,GL_Data!$P$8:$P$5007))</f>
        <v>0</v>
      </c>
      <c r="G172" s="87" t="n">
        <f aca="false">IF($A172="",0,SUMIF(GL_Data!$S$8:$S$5007,167002,GL_Data!$P$8:$P$5007))</f>
        <v>0</v>
      </c>
      <c r="H172" s="87" t="n">
        <f aca="false">IF($A172="",0,SUMIF(GL_Data!$S$8:$S$5007,167003,GL_Data!$P$8:$P$5007))</f>
        <v>0</v>
      </c>
      <c r="I172" s="87" t="n">
        <f aca="false">IF($A172="",0,SUMIF(GL_Data!$S$8:$S$5007,167004,GL_Data!$P$8:$P$5007))</f>
        <v>0</v>
      </c>
      <c r="J172" s="87" t="n">
        <f aca="false">IF($A172="",0,SUMIF(GL_Data!$S$8:$S$5007,167005,GL_Data!$P$8:$P$5007))</f>
        <v>0</v>
      </c>
      <c r="K172" s="87" t="n">
        <f aca="false">IF($A172="",0,SUMIF(GL_Data!$S$8:$S$5007,167006,GL_Data!$P$8:$P$5007))</f>
        <v>0</v>
      </c>
      <c r="L172" s="87" t="n">
        <f aca="false">IF($A172="",0,SUMIF(GL_Data!$S$8:$S$5007,167007,GL_Data!$P$8:$P$5007))</f>
        <v>0</v>
      </c>
      <c r="M172" s="87" t="n">
        <f aca="false">IF($A172="",0,SUMIF(GL_Data!$S$8:$S$5007,167008,GL_Data!$P$8:$P$5007))</f>
        <v>0</v>
      </c>
      <c r="N172" s="87" t="n">
        <f aca="false">IF($A172="",0,SUMIF(GL_Data!$S$8:$S$5007,167009,GL_Data!$P$8:$P$5007))</f>
        <v>0</v>
      </c>
      <c r="O172" s="87" t="n">
        <f aca="false">IF($A172="",0,SUMIF(GL_Data!$S$8:$S$5007,167010,GL_Data!$P$8:$P$5007))</f>
        <v>0</v>
      </c>
      <c r="P172" s="87" t="n">
        <f aca="false">IF($A172="",0,SUMIF(GL_Data!$S$8:$S$5007,167011,GL_Data!$P$8:$P$5007))</f>
        <v>0</v>
      </c>
      <c r="Q172" s="87" t="n">
        <f aca="false">IF($A172="",0,SUMIF(GL_Data!$S$8:$S$5007,167012,GL_Data!$P$8:$P$5007))</f>
        <v>0</v>
      </c>
      <c r="R172" s="88" t="n">
        <f aca="false">IF($A172="",0,SUMIF(GL_Data!$S$8:$S$5007,167101,GL_Data!$P$8:$P$5007))</f>
        <v>0</v>
      </c>
      <c r="S172" s="88" t="n">
        <f aca="false">IF($A172="",0,SUMIF(GL_Data!$S$8:$S$5007,167102,GL_Data!$P$8:$P$5007))</f>
        <v>0</v>
      </c>
      <c r="T172" s="88" t="n">
        <f aca="false">IF($A172="",0,SUMIF(GL_Data!$S$8:$S$5007,167103,GL_Data!$P$8:$P$5007))</f>
        <v>0</v>
      </c>
      <c r="U172" s="88" t="n">
        <f aca="false">IF($A172="",0,SUMIF(GL_Data!$S$8:$S$5007,167104,GL_Data!$P$8:$P$5007))</f>
        <v>0</v>
      </c>
      <c r="V172" s="88" t="n">
        <f aca="false">IF($A172="",0,SUMIF(GL_Data!$S$8:$S$5007,167105,GL_Data!$P$8:$P$5007))</f>
        <v>0</v>
      </c>
      <c r="W172" s="88" t="n">
        <f aca="false">IF($A172="",0,SUMIF(GL_Data!$S$8:$S$5007,167106,GL_Data!$P$8:$P$5007))</f>
        <v>0</v>
      </c>
      <c r="X172" s="88" t="n">
        <f aca="false">IF($A172="",0,SUMIF(GL_Data!$S$8:$S$5007,167107,GL_Data!$P$8:$P$5007))</f>
        <v>0</v>
      </c>
      <c r="Y172" s="88" t="n">
        <f aca="false">IF($A172="",0,SUMIF(GL_Data!$S$8:$S$5007,167108,GL_Data!$P$8:$P$5007))</f>
        <v>0</v>
      </c>
      <c r="Z172" s="88" t="n">
        <f aca="false">IF($A172="",0,SUMIF(GL_Data!$S$8:$S$5007,167109,GL_Data!$P$8:$P$5007))</f>
        <v>0</v>
      </c>
      <c r="AA172" s="88" t="n">
        <f aca="false">IF($A172="",0,SUMIF(GL_Data!$S$8:$S$5007,167110,GL_Data!$P$8:$P$5007))</f>
        <v>0</v>
      </c>
      <c r="AB172" s="88" t="n">
        <f aca="false">IF($A172="",0,SUMIF(GL_Data!$S$8:$S$5007,167111,GL_Data!$P$8:$P$5007))</f>
        <v>0</v>
      </c>
      <c r="AC172" s="88" t="n">
        <f aca="false">IF($A172="",0,SUMIF(GL_Data!$S$8:$S$5007,167112,GL_Data!$P$8:$P$5007))</f>
        <v>0</v>
      </c>
      <c r="AD172" s="89" t="n">
        <f aca="false">IF($A172="",0,INDEX($F172:$AC172,12+Setup!$B$8))</f>
        <v>0</v>
      </c>
      <c r="AE172" s="90" t="n">
        <f aca="false">IF($A172="",0,INDEX($F172:$AC172,Setup!$B$8))</f>
        <v>0</v>
      </c>
      <c r="AF172" s="90" t="n">
        <f aca="false">IF($A172="",0,INDEX($F172:$AC172,11+Setup!$B$8))</f>
        <v>0</v>
      </c>
      <c r="AG172" s="90" t="n">
        <f aca="false">IF($A172="",0,AVERAGE(INDEX($F172:$AC172,9+Setup!$B$8):INDEX($F172:$AC172,11+Setup!$B$8)))</f>
        <v>0</v>
      </c>
      <c r="AH172" s="89" t="n">
        <f aca="false">IF($A172="",0,SUMPRODUCT(($R$3:$AC$3&lt;=Setup!$B$8)*$R172:$AC172))</f>
        <v>0</v>
      </c>
      <c r="AI172" s="90" t="n">
        <f aca="false">IF($A172="",0,SUMPRODUCT(($F$3:$Q$3&lt;=Setup!$B$8)*$F172:$Q172))</f>
        <v>0</v>
      </c>
      <c r="AJ172" s="90" t="n">
        <f aca="false">IF($A172="",0,SUM($F172:$Q172))</f>
        <v>0</v>
      </c>
      <c r="AK172" s="90" t="n">
        <f aca="false">IF($A172="",0,SUM($R172:$AC172))</f>
        <v>0</v>
      </c>
      <c r="AL172" s="91" t="n">
        <f aca="false">IF($A172="",0,IF(SUMPRODUCT(ABS($F172:$AC172))&gt;0,1,0))</f>
        <v>0</v>
      </c>
    </row>
    <row r="173" customFormat="false" ht="15" hidden="false" customHeight="false" outlineLevel="0" collapsed="false">
      <c r="A173" s="68" t="str">
        <f aca="false">IF(COA_Mapping!$A174="","",COA_Mapping!$A174)</f>
        <v>Postage</v>
      </c>
      <c r="B173" s="68" t="str">
        <f aca="false">IF($A173="","",COA_Mapping!$C174)</f>
        <v>Expenses</v>
      </c>
      <c r="C173" s="68" t="str">
        <f aca="false">IF($A173="","",COA_Mapping!$E174)</f>
        <v>P&amp;L</v>
      </c>
      <c r="D173" s="68" t="str">
        <f aca="false">IF($A173="","",COA_Mapping!$D174)</f>
        <v>Unallocated</v>
      </c>
      <c r="E173" s="86" t="n">
        <f aca="false">IF($A173="",1,COA_Mapping!$F174)</f>
        <v>1</v>
      </c>
      <c r="F173" s="87" t="n">
        <f aca="false">IF($A173="",0,SUMIF(GL_Data!$S$8:$S$5007,168001,GL_Data!$P$8:$P$5007))</f>
        <v>0</v>
      </c>
      <c r="G173" s="87" t="n">
        <f aca="false">IF($A173="",0,SUMIF(GL_Data!$S$8:$S$5007,168002,GL_Data!$P$8:$P$5007))</f>
        <v>0</v>
      </c>
      <c r="H173" s="87" t="n">
        <f aca="false">IF($A173="",0,SUMIF(GL_Data!$S$8:$S$5007,168003,GL_Data!$P$8:$P$5007))</f>
        <v>0</v>
      </c>
      <c r="I173" s="87" t="n">
        <f aca="false">IF($A173="",0,SUMIF(GL_Data!$S$8:$S$5007,168004,GL_Data!$P$8:$P$5007))</f>
        <v>0</v>
      </c>
      <c r="J173" s="87" t="n">
        <f aca="false">IF($A173="",0,SUMIF(GL_Data!$S$8:$S$5007,168005,GL_Data!$P$8:$P$5007))</f>
        <v>0</v>
      </c>
      <c r="K173" s="87" t="n">
        <f aca="false">IF($A173="",0,SUMIF(GL_Data!$S$8:$S$5007,168006,GL_Data!$P$8:$P$5007))</f>
        <v>0</v>
      </c>
      <c r="L173" s="87" t="n">
        <f aca="false">IF($A173="",0,SUMIF(GL_Data!$S$8:$S$5007,168007,GL_Data!$P$8:$P$5007))</f>
        <v>0</v>
      </c>
      <c r="M173" s="87" t="n">
        <f aca="false">IF($A173="",0,SUMIF(GL_Data!$S$8:$S$5007,168008,GL_Data!$P$8:$P$5007))</f>
        <v>0</v>
      </c>
      <c r="N173" s="87" t="n">
        <f aca="false">IF($A173="",0,SUMIF(GL_Data!$S$8:$S$5007,168009,GL_Data!$P$8:$P$5007))</f>
        <v>0</v>
      </c>
      <c r="O173" s="87" t="n">
        <f aca="false">IF($A173="",0,SUMIF(GL_Data!$S$8:$S$5007,168010,GL_Data!$P$8:$P$5007))</f>
        <v>0</v>
      </c>
      <c r="P173" s="87" t="n">
        <f aca="false">IF($A173="",0,SUMIF(GL_Data!$S$8:$S$5007,168011,GL_Data!$P$8:$P$5007))</f>
        <v>0</v>
      </c>
      <c r="Q173" s="87" t="n">
        <f aca="false">IF($A173="",0,SUMIF(GL_Data!$S$8:$S$5007,168012,GL_Data!$P$8:$P$5007))</f>
        <v>0</v>
      </c>
      <c r="R173" s="88" t="n">
        <f aca="false">IF($A173="",0,SUMIF(GL_Data!$S$8:$S$5007,168101,GL_Data!$P$8:$P$5007))</f>
        <v>0</v>
      </c>
      <c r="S173" s="88" t="n">
        <f aca="false">IF($A173="",0,SUMIF(GL_Data!$S$8:$S$5007,168102,GL_Data!$P$8:$P$5007))</f>
        <v>0</v>
      </c>
      <c r="T173" s="88" t="n">
        <f aca="false">IF($A173="",0,SUMIF(GL_Data!$S$8:$S$5007,168103,GL_Data!$P$8:$P$5007))</f>
        <v>0</v>
      </c>
      <c r="U173" s="88" t="n">
        <f aca="false">IF($A173="",0,SUMIF(GL_Data!$S$8:$S$5007,168104,GL_Data!$P$8:$P$5007))</f>
        <v>0</v>
      </c>
      <c r="V173" s="88" t="n">
        <f aca="false">IF($A173="",0,SUMIF(GL_Data!$S$8:$S$5007,168105,GL_Data!$P$8:$P$5007))</f>
        <v>0</v>
      </c>
      <c r="W173" s="88" t="n">
        <f aca="false">IF($A173="",0,SUMIF(GL_Data!$S$8:$S$5007,168106,GL_Data!$P$8:$P$5007))</f>
        <v>0</v>
      </c>
      <c r="X173" s="88" t="n">
        <f aca="false">IF($A173="",0,SUMIF(GL_Data!$S$8:$S$5007,168107,GL_Data!$P$8:$P$5007))</f>
        <v>0</v>
      </c>
      <c r="Y173" s="88" t="n">
        <f aca="false">IF($A173="",0,SUMIF(GL_Data!$S$8:$S$5007,168108,GL_Data!$P$8:$P$5007))</f>
        <v>0</v>
      </c>
      <c r="Z173" s="88" t="n">
        <f aca="false">IF($A173="",0,SUMIF(GL_Data!$S$8:$S$5007,168109,GL_Data!$P$8:$P$5007))</f>
        <v>0</v>
      </c>
      <c r="AA173" s="88" t="n">
        <f aca="false">IF($A173="",0,SUMIF(GL_Data!$S$8:$S$5007,168110,GL_Data!$P$8:$P$5007))</f>
        <v>0</v>
      </c>
      <c r="AB173" s="88" t="n">
        <f aca="false">IF($A173="",0,SUMIF(GL_Data!$S$8:$S$5007,168111,GL_Data!$P$8:$P$5007))</f>
        <v>0</v>
      </c>
      <c r="AC173" s="88" t="n">
        <f aca="false">IF($A173="",0,SUMIF(GL_Data!$S$8:$S$5007,168112,GL_Data!$P$8:$P$5007))</f>
        <v>0</v>
      </c>
      <c r="AD173" s="89" t="n">
        <f aca="false">IF($A173="",0,INDEX($F173:$AC173,12+Setup!$B$8))</f>
        <v>0</v>
      </c>
      <c r="AE173" s="90" t="n">
        <f aca="false">IF($A173="",0,INDEX($F173:$AC173,Setup!$B$8))</f>
        <v>0</v>
      </c>
      <c r="AF173" s="90" t="n">
        <f aca="false">IF($A173="",0,INDEX($F173:$AC173,11+Setup!$B$8))</f>
        <v>0</v>
      </c>
      <c r="AG173" s="90" t="n">
        <f aca="false">IF($A173="",0,AVERAGE(INDEX($F173:$AC173,9+Setup!$B$8):INDEX($F173:$AC173,11+Setup!$B$8)))</f>
        <v>0</v>
      </c>
      <c r="AH173" s="89" t="n">
        <f aca="false">IF($A173="",0,SUMPRODUCT(($R$3:$AC$3&lt;=Setup!$B$8)*$R173:$AC173))</f>
        <v>0</v>
      </c>
      <c r="AI173" s="90" t="n">
        <f aca="false">IF($A173="",0,SUMPRODUCT(($F$3:$Q$3&lt;=Setup!$B$8)*$F173:$Q173))</f>
        <v>0</v>
      </c>
      <c r="AJ173" s="90" t="n">
        <f aca="false">IF($A173="",0,SUM($F173:$Q173))</f>
        <v>0</v>
      </c>
      <c r="AK173" s="90" t="n">
        <f aca="false">IF($A173="",0,SUM($R173:$AC173))</f>
        <v>0</v>
      </c>
      <c r="AL173" s="91" t="n">
        <f aca="false">IF($A173="",0,IF(SUMPRODUCT(ABS($F173:$AC173))&gt;0,1,0))</f>
        <v>0</v>
      </c>
    </row>
    <row r="174" customFormat="false" ht="15" hidden="false" customHeight="false" outlineLevel="0" collapsed="false">
      <c r="A174" s="68" t="str">
        <f aca="false">IF(COA_Mapping!$A175="","",COA_Mapping!$A175)</f>
        <v>Printing</v>
      </c>
      <c r="B174" s="68" t="str">
        <f aca="false">IF($A174="","",COA_Mapping!$C175)</f>
        <v>Expenses</v>
      </c>
      <c r="C174" s="68" t="str">
        <f aca="false">IF($A174="","",COA_Mapping!$E175)</f>
        <v>P&amp;L</v>
      </c>
      <c r="D174" s="68" t="str">
        <f aca="false">IF($A174="","",COA_Mapping!$D175)</f>
        <v>Unallocated</v>
      </c>
      <c r="E174" s="86" t="n">
        <f aca="false">IF($A174="",1,COA_Mapping!$F175)</f>
        <v>1</v>
      </c>
      <c r="F174" s="87" t="n">
        <f aca="false">IF($A174="",0,SUMIF(GL_Data!$S$8:$S$5007,169001,GL_Data!$P$8:$P$5007))</f>
        <v>0</v>
      </c>
      <c r="G174" s="87" t="n">
        <f aca="false">IF($A174="",0,SUMIF(GL_Data!$S$8:$S$5007,169002,GL_Data!$P$8:$P$5007))</f>
        <v>0</v>
      </c>
      <c r="H174" s="87" t="n">
        <f aca="false">IF($A174="",0,SUMIF(GL_Data!$S$8:$S$5007,169003,GL_Data!$P$8:$P$5007))</f>
        <v>0</v>
      </c>
      <c r="I174" s="87" t="n">
        <f aca="false">IF($A174="",0,SUMIF(GL_Data!$S$8:$S$5007,169004,GL_Data!$P$8:$P$5007))</f>
        <v>0</v>
      </c>
      <c r="J174" s="87" t="n">
        <f aca="false">IF($A174="",0,SUMIF(GL_Data!$S$8:$S$5007,169005,GL_Data!$P$8:$P$5007))</f>
        <v>0</v>
      </c>
      <c r="K174" s="87" t="n">
        <f aca="false">IF($A174="",0,SUMIF(GL_Data!$S$8:$S$5007,169006,GL_Data!$P$8:$P$5007))</f>
        <v>0</v>
      </c>
      <c r="L174" s="87" t="n">
        <f aca="false">IF($A174="",0,SUMIF(GL_Data!$S$8:$S$5007,169007,GL_Data!$P$8:$P$5007))</f>
        <v>0</v>
      </c>
      <c r="M174" s="87" t="n">
        <f aca="false">IF($A174="",0,SUMIF(GL_Data!$S$8:$S$5007,169008,GL_Data!$P$8:$P$5007))</f>
        <v>0</v>
      </c>
      <c r="N174" s="87" t="n">
        <f aca="false">IF($A174="",0,SUMIF(GL_Data!$S$8:$S$5007,169009,GL_Data!$P$8:$P$5007))</f>
        <v>0</v>
      </c>
      <c r="O174" s="87" t="n">
        <f aca="false">IF($A174="",0,SUMIF(GL_Data!$S$8:$S$5007,169010,GL_Data!$P$8:$P$5007))</f>
        <v>0</v>
      </c>
      <c r="P174" s="87" t="n">
        <f aca="false">IF($A174="",0,SUMIF(GL_Data!$S$8:$S$5007,169011,GL_Data!$P$8:$P$5007))</f>
        <v>0</v>
      </c>
      <c r="Q174" s="87" t="n">
        <f aca="false">IF($A174="",0,SUMIF(GL_Data!$S$8:$S$5007,169012,GL_Data!$P$8:$P$5007))</f>
        <v>0</v>
      </c>
      <c r="R174" s="88" t="n">
        <f aca="false">IF($A174="",0,SUMIF(GL_Data!$S$8:$S$5007,169101,GL_Data!$P$8:$P$5007))</f>
        <v>0</v>
      </c>
      <c r="S174" s="88" t="n">
        <f aca="false">IF($A174="",0,SUMIF(GL_Data!$S$8:$S$5007,169102,GL_Data!$P$8:$P$5007))</f>
        <v>0</v>
      </c>
      <c r="T174" s="88" t="n">
        <f aca="false">IF($A174="",0,SUMIF(GL_Data!$S$8:$S$5007,169103,GL_Data!$P$8:$P$5007))</f>
        <v>0</v>
      </c>
      <c r="U174" s="88" t="n">
        <f aca="false">IF($A174="",0,SUMIF(GL_Data!$S$8:$S$5007,169104,GL_Data!$P$8:$P$5007))</f>
        <v>0</v>
      </c>
      <c r="V174" s="88" t="n">
        <f aca="false">IF($A174="",0,SUMIF(GL_Data!$S$8:$S$5007,169105,GL_Data!$P$8:$P$5007))</f>
        <v>0</v>
      </c>
      <c r="W174" s="88" t="n">
        <f aca="false">IF($A174="",0,SUMIF(GL_Data!$S$8:$S$5007,169106,GL_Data!$P$8:$P$5007))</f>
        <v>0</v>
      </c>
      <c r="X174" s="88" t="n">
        <f aca="false">IF($A174="",0,SUMIF(GL_Data!$S$8:$S$5007,169107,GL_Data!$P$8:$P$5007))</f>
        <v>0</v>
      </c>
      <c r="Y174" s="88" t="n">
        <f aca="false">IF($A174="",0,SUMIF(GL_Data!$S$8:$S$5007,169108,GL_Data!$P$8:$P$5007))</f>
        <v>0</v>
      </c>
      <c r="Z174" s="88" t="n">
        <f aca="false">IF($A174="",0,SUMIF(GL_Data!$S$8:$S$5007,169109,GL_Data!$P$8:$P$5007))</f>
        <v>0</v>
      </c>
      <c r="AA174" s="88" t="n">
        <f aca="false">IF($A174="",0,SUMIF(GL_Data!$S$8:$S$5007,169110,GL_Data!$P$8:$P$5007))</f>
        <v>0</v>
      </c>
      <c r="AB174" s="88" t="n">
        <f aca="false">IF($A174="",0,SUMIF(GL_Data!$S$8:$S$5007,169111,GL_Data!$P$8:$P$5007))</f>
        <v>0</v>
      </c>
      <c r="AC174" s="88" t="n">
        <f aca="false">IF($A174="",0,SUMIF(GL_Data!$S$8:$S$5007,169112,GL_Data!$P$8:$P$5007))</f>
        <v>0</v>
      </c>
      <c r="AD174" s="89" t="n">
        <f aca="false">IF($A174="",0,INDEX($F174:$AC174,12+Setup!$B$8))</f>
        <v>0</v>
      </c>
      <c r="AE174" s="90" t="n">
        <f aca="false">IF($A174="",0,INDEX($F174:$AC174,Setup!$B$8))</f>
        <v>0</v>
      </c>
      <c r="AF174" s="90" t="n">
        <f aca="false">IF($A174="",0,INDEX($F174:$AC174,11+Setup!$B$8))</f>
        <v>0</v>
      </c>
      <c r="AG174" s="90" t="n">
        <f aca="false">IF($A174="",0,AVERAGE(INDEX($F174:$AC174,9+Setup!$B$8):INDEX($F174:$AC174,11+Setup!$B$8)))</f>
        <v>0</v>
      </c>
      <c r="AH174" s="89" t="n">
        <f aca="false">IF($A174="",0,SUMPRODUCT(($R$3:$AC$3&lt;=Setup!$B$8)*$R174:$AC174))</f>
        <v>0</v>
      </c>
      <c r="AI174" s="90" t="n">
        <f aca="false">IF($A174="",0,SUMPRODUCT(($F$3:$Q$3&lt;=Setup!$B$8)*$F174:$Q174))</f>
        <v>0</v>
      </c>
      <c r="AJ174" s="90" t="n">
        <f aca="false">IF($A174="",0,SUM($F174:$Q174))</f>
        <v>0</v>
      </c>
      <c r="AK174" s="90" t="n">
        <f aca="false">IF($A174="",0,SUM($R174:$AC174))</f>
        <v>0</v>
      </c>
      <c r="AL174" s="91" t="n">
        <f aca="false">IF($A174="",0,IF(SUMPRODUCT(ABS($F174:$AC174))&gt;0,1,0))</f>
        <v>0</v>
      </c>
    </row>
    <row r="175" customFormat="false" ht="15" hidden="false" customHeight="false" outlineLevel="0" collapsed="false">
      <c r="A175" s="68" t="str">
        <f aca="false">IF(COA_Mapping!$A176="","",COA_Mapping!$A176)</f>
        <v>Professional Indemnity</v>
      </c>
      <c r="B175" s="68" t="str">
        <f aca="false">IF($A175="","",COA_Mapping!$C176)</f>
        <v>Expenses</v>
      </c>
      <c r="C175" s="68" t="str">
        <f aca="false">IF($A175="","",COA_Mapping!$E176)</f>
        <v>P&amp;L</v>
      </c>
      <c r="D175" s="68" t="str">
        <f aca="false">IF($A175="","",COA_Mapping!$D176)</f>
        <v>Unallocated</v>
      </c>
      <c r="E175" s="86" t="n">
        <f aca="false">IF($A175="",1,COA_Mapping!$F176)</f>
        <v>1</v>
      </c>
      <c r="F175" s="87" t="n">
        <f aca="false">IF($A175="",0,SUMIF(GL_Data!$S$8:$S$5007,170001,GL_Data!$P$8:$P$5007))</f>
        <v>0</v>
      </c>
      <c r="G175" s="87" t="n">
        <f aca="false">IF($A175="",0,SUMIF(GL_Data!$S$8:$S$5007,170002,GL_Data!$P$8:$P$5007))</f>
        <v>0</v>
      </c>
      <c r="H175" s="87" t="n">
        <f aca="false">IF($A175="",0,SUMIF(GL_Data!$S$8:$S$5007,170003,GL_Data!$P$8:$P$5007))</f>
        <v>0</v>
      </c>
      <c r="I175" s="87" t="n">
        <f aca="false">IF($A175="",0,SUMIF(GL_Data!$S$8:$S$5007,170004,GL_Data!$P$8:$P$5007))</f>
        <v>0</v>
      </c>
      <c r="J175" s="87" t="n">
        <f aca="false">IF($A175="",0,SUMIF(GL_Data!$S$8:$S$5007,170005,GL_Data!$P$8:$P$5007))</f>
        <v>0</v>
      </c>
      <c r="K175" s="87" t="n">
        <f aca="false">IF($A175="",0,SUMIF(GL_Data!$S$8:$S$5007,170006,GL_Data!$P$8:$P$5007))</f>
        <v>0</v>
      </c>
      <c r="L175" s="87" t="n">
        <f aca="false">IF($A175="",0,SUMIF(GL_Data!$S$8:$S$5007,170007,GL_Data!$P$8:$P$5007))</f>
        <v>0</v>
      </c>
      <c r="M175" s="87" t="n">
        <f aca="false">IF($A175="",0,SUMIF(GL_Data!$S$8:$S$5007,170008,GL_Data!$P$8:$P$5007))</f>
        <v>0</v>
      </c>
      <c r="N175" s="87" t="n">
        <f aca="false">IF($A175="",0,SUMIF(GL_Data!$S$8:$S$5007,170009,GL_Data!$P$8:$P$5007))</f>
        <v>0</v>
      </c>
      <c r="O175" s="87" t="n">
        <f aca="false">IF($A175="",0,SUMIF(GL_Data!$S$8:$S$5007,170010,GL_Data!$P$8:$P$5007))</f>
        <v>0</v>
      </c>
      <c r="P175" s="87" t="n">
        <f aca="false">IF($A175="",0,SUMIF(GL_Data!$S$8:$S$5007,170011,GL_Data!$P$8:$P$5007))</f>
        <v>0</v>
      </c>
      <c r="Q175" s="87" t="n">
        <f aca="false">IF($A175="",0,SUMIF(GL_Data!$S$8:$S$5007,170012,GL_Data!$P$8:$P$5007))</f>
        <v>0</v>
      </c>
      <c r="R175" s="88" t="n">
        <f aca="false">IF($A175="",0,SUMIF(GL_Data!$S$8:$S$5007,170101,GL_Data!$P$8:$P$5007))</f>
        <v>0</v>
      </c>
      <c r="S175" s="88" t="n">
        <f aca="false">IF($A175="",0,SUMIF(GL_Data!$S$8:$S$5007,170102,GL_Data!$P$8:$P$5007))</f>
        <v>0</v>
      </c>
      <c r="T175" s="88" t="n">
        <f aca="false">IF($A175="",0,SUMIF(GL_Data!$S$8:$S$5007,170103,GL_Data!$P$8:$P$5007))</f>
        <v>0</v>
      </c>
      <c r="U175" s="88" t="n">
        <f aca="false">IF($A175="",0,SUMIF(GL_Data!$S$8:$S$5007,170104,GL_Data!$P$8:$P$5007))</f>
        <v>0</v>
      </c>
      <c r="V175" s="88" t="n">
        <f aca="false">IF($A175="",0,SUMIF(GL_Data!$S$8:$S$5007,170105,GL_Data!$P$8:$P$5007))</f>
        <v>0</v>
      </c>
      <c r="W175" s="88" t="n">
        <f aca="false">IF($A175="",0,SUMIF(GL_Data!$S$8:$S$5007,170106,GL_Data!$P$8:$P$5007))</f>
        <v>0</v>
      </c>
      <c r="X175" s="88" t="n">
        <f aca="false">IF($A175="",0,SUMIF(GL_Data!$S$8:$S$5007,170107,GL_Data!$P$8:$P$5007))</f>
        <v>0</v>
      </c>
      <c r="Y175" s="88" t="n">
        <f aca="false">IF($A175="",0,SUMIF(GL_Data!$S$8:$S$5007,170108,GL_Data!$P$8:$P$5007))</f>
        <v>0</v>
      </c>
      <c r="Z175" s="88" t="n">
        <f aca="false">IF($A175="",0,SUMIF(GL_Data!$S$8:$S$5007,170109,GL_Data!$P$8:$P$5007))</f>
        <v>0</v>
      </c>
      <c r="AA175" s="88" t="n">
        <f aca="false">IF($A175="",0,SUMIF(GL_Data!$S$8:$S$5007,170110,GL_Data!$P$8:$P$5007))</f>
        <v>0</v>
      </c>
      <c r="AB175" s="88" t="n">
        <f aca="false">IF($A175="",0,SUMIF(GL_Data!$S$8:$S$5007,170111,GL_Data!$P$8:$P$5007))</f>
        <v>0</v>
      </c>
      <c r="AC175" s="88" t="n">
        <f aca="false">IF($A175="",0,SUMIF(GL_Data!$S$8:$S$5007,170112,GL_Data!$P$8:$P$5007))</f>
        <v>0</v>
      </c>
      <c r="AD175" s="89" t="n">
        <f aca="false">IF($A175="",0,INDEX($F175:$AC175,12+Setup!$B$8))</f>
        <v>0</v>
      </c>
      <c r="AE175" s="90" t="n">
        <f aca="false">IF($A175="",0,INDEX($F175:$AC175,Setup!$B$8))</f>
        <v>0</v>
      </c>
      <c r="AF175" s="90" t="n">
        <f aca="false">IF($A175="",0,INDEX($F175:$AC175,11+Setup!$B$8))</f>
        <v>0</v>
      </c>
      <c r="AG175" s="90" t="n">
        <f aca="false">IF($A175="",0,AVERAGE(INDEX($F175:$AC175,9+Setup!$B$8):INDEX($F175:$AC175,11+Setup!$B$8)))</f>
        <v>0</v>
      </c>
      <c r="AH175" s="89" t="n">
        <f aca="false">IF($A175="",0,SUMPRODUCT(($R$3:$AC$3&lt;=Setup!$B$8)*$R175:$AC175))</f>
        <v>0</v>
      </c>
      <c r="AI175" s="90" t="n">
        <f aca="false">IF($A175="",0,SUMPRODUCT(($F$3:$Q$3&lt;=Setup!$B$8)*$F175:$Q175))</f>
        <v>0</v>
      </c>
      <c r="AJ175" s="90" t="n">
        <f aca="false">IF($A175="",0,SUM($F175:$Q175))</f>
        <v>0</v>
      </c>
      <c r="AK175" s="90" t="n">
        <f aca="false">IF($A175="",0,SUM($R175:$AC175))</f>
        <v>0</v>
      </c>
      <c r="AL175" s="91" t="n">
        <f aca="false">IF($A175="",0,IF(SUMPRODUCT(ABS($F175:$AC175))&gt;0,1,0))</f>
        <v>0</v>
      </c>
    </row>
    <row r="176" customFormat="false" ht="15" hidden="false" customHeight="false" outlineLevel="0" collapsed="false">
      <c r="A176" s="68" t="str">
        <f aca="false">IF(COA_Mapping!$A177="","",COA_Mapping!$A177)</f>
        <v>Realised Currency Gains</v>
      </c>
      <c r="B176" s="68" t="str">
        <f aca="false">IF($A176="","",COA_Mapping!$C177)</f>
        <v>Expenses</v>
      </c>
      <c r="C176" s="68" t="str">
        <f aca="false">IF($A176="","",COA_Mapping!$E177)</f>
        <v>P&amp;L</v>
      </c>
      <c r="D176" s="68" t="str">
        <f aca="false">IF($A176="","",COA_Mapping!$D177)</f>
        <v>Unallocated</v>
      </c>
      <c r="E176" s="86" t="n">
        <f aca="false">IF($A176="",1,COA_Mapping!$F177)</f>
        <v>1</v>
      </c>
      <c r="F176" s="87" t="n">
        <f aca="false">IF($A176="",0,SUMIF(GL_Data!$S$8:$S$5007,171001,GL_Data!$P$8:$P$5007))</f>
        <v>0</v>
      </c>
      <c r="G176" s="87" t="n">
        <f aca="false">IF($A176="",0,SUMIF(GL_Data!$S$8:$S$5007,171002,GL_Data!$P$8:$P$5007))</f>
        <v>0</v>
      </c>
      <c r="H176" s="87" t="n">
        <f aca="false">IF($A176="",0,SUMIF(GL_Data!$S$8:$S$5007,171003,GL_Data!$P$8:$P$5007))</f>
        <v>0</v>
      </c>
      <c r="I176" s="87" t="n">
        <f aca="false">IF($A176="",0,SUMIF(GL_Data!$S$8:$S$5007,171004,GL_Data!$P$8:$P$5007))</f>
        <v>0</v>
      </c>
      <c r="J176" s="87" t="n">
        <f aca="false">IF($A176="",0,SUMIF(GL_Data!$S$8:$S$5007,171005,GL_Data!$P$8:$P$5007))</f>
        <v>0</v>
      </c>
      <c r="K176" s="87" t="n">
        <f aca="false">IF($A176="",0,SUMIF(GL_Data!$S$8:$S$5007,171006,GL_Data!$P$8:$P$5007))</f>
        <v>0</v>
      </c>
      <c r="L176" s="87" t="n">
        <f aca="false">IF($A176="",0,SUMIF(GL_Data!$S$8:$S$5007,171007,GL_Data!$P$8:$P$5007))</f>
        <v>0</v>
      </c>
      <c r="M176" s="87" t="n">
        <f aca="false">IF($A176="",0,SUMIF(GL_Data!$S$8:$S$5007,171008,GL_Data!$P$8:$P$5007))</f>
        <v>0</v>
      </c>
      <c r="N176" s="87" t="n">
        <f aca="false">IF($A176="",0,SUMIF(GL_Data!$S$8:$S$5007,171009,GL_Data!$P$8:$P$5007))</f>
        <v>0</v>
      </c>
      <c r="O176" s="87" t="n">
        <f aca="false">IF($A176="",0,SUMIF(GL_Data!$S$8:$S$5007,171010,GL_Data!$P$8:$P$5007))</f>
        <v>0</v>
      </c>
      <c r="P176" s="87" t="n">
        <f aca="false">IF($A176="",0,SUMIF(GL_Data!$S$8:$S$5007,171011,GL_Data!$P$8:$P$5007))</f>
        <v>0</v>
      </c>
      <c r="Q176" s="87" t="n">
        <f aca="false">IF($A176="",0,SUMIF(GL_Data!$S$8:$S$5007,171012,GL_Data!$P$8:$P$5007))</f>
        <v>0</v>
      </c>
      <c r="R176" s="88" t="n">
        <f aca="false">IF($A176="",0,SUMIF(GL_Data!$S$8:$S$5007,171101,GL_Data!$P$8:$P$5007))</f>
        <v>0</v>
      </c>
      <c r="S176" s="88" t="n">
        <f aca="false">IF($A176="",0,SUMIF(GL_Data!$S$8:$S$5007,171102,GL_Data!$P$8:$P$5007))</f>
        <v>0</v>
      </c>
      <c r="T176" s="88" t="n">
        <f aca="false">IF($A176="",0,SUMIF(GL_Data!$S$8:$S$5007,171103,GL_Data!$P$8:$P$5007))</f>
        <v>0</v>
      </c>
      <c r="U176" s="88" t="n">
        <f aca="false">IF($A176="",0,SUMIF(GL_Data!$S$8:$S$5007,171104,GL_Data!$P$8:$P$5007))</f>
        <v>0</v>
      </c>
      <c r="V176" s="88" t="n">
        <f aca="false">IF($A176="",0,SUMIF(GL_Data!$S$8:$S$5007,171105,GL_Data!$P$8:$P$5007))</f>
        <v>0</v>
      </c>
      <c r="W176" s="88" t="n">
        <f aca="false">IF($A176="",0,SUMIF(GL_Data!$S$8:$S$5007,171106,GL_Data!$P$8:$P$5007))</f>
        <v>0</v>
      </c>
      <c r="X176" s="88" t="n">
        <f aca="false">IF($A176="",0,SUMIF(GL_Data!$S$8:$S$5007,171107,GL_Data!$P$8:$P$5007))</f>
        <v>0</v>
      </c>
      <c r="Y176" s="88" t="n">
        <f aca="false">IF($A176="",0,SUMIF(GL_Data!$S$8:$S$5007,171108,GL_Data!$P$8:$P$5007))</f>
        <v>0</v>
      </c>
      <c r="Z176" s="88" t="n">
        <f aca="false">IF($A176="",0,SUMIF(GL_Data!$S$8:$S$5007,171109,GL_Data!$P$8:$P$5007))</f>
        <v>0</v>
      </c>
      <c r="AA176" s="88" t="n">
        <f aca="false">IF($A176="",0,SUMIF(GL_Data!$S$8:$S$5007,171110,GL_Data!$P$8:$P$5007))</f>
        <v>0</v>
      </c>
      <c r="AB176" s="88" t="n">
        <f aca="false">IF($A176="",0,SUMIF(GL_Data!$S$8:$S$5007,171111,GL_Data!$P$8:$P$5007))</f>
        <v>0</v>
      </c>
      <c r="AC176" s="88" t="n">
        <f aca="false">IF($A176="",0,SUMIF(GL_Data!$S$8:$S$5007,171112,GL_Data!$P$8:$P$5007))</f>
        <v>0</v>
      </c>
      <c r="AD176" s="89" t="n">
        <f aca="false">IF($A176="",0,INDEX($F176:$AC176,12+Setup!$B$8))</f>
        <v>0</v>
      </c>
      <c r="AE176" s="90" t="n">
        <f aca="false">IF($A176="",0,INDEX($F176:$AC176,Setup!$B$8))</f>
        <v>0</v>
      </c>
      <c r="AF176" s="90" t="n">
        <f aca="false">IF($A176="",0,INDEX($F176:$AC176,11+Setup!$B$8))</f>
        <v>0</v>
      </c>
      <c r="AG176" s="90" t="n">
        <f aca="false">IF($A176="",0,AVERAGE(INDEX($F176:$AC176,9+Setup!$B$8):INDEX($F176:$AC176,11+Setup!$B$8)))</f>
        <v>0</v>
      </c>
      <c r="AH176" s="89" t="n">
        <f aca="false">IF($A176="",0,SUMPRODUCT(($R$3:$AC$3&lt;=Setup!$B$8)*$R176:$AC176))</f>
        <v>0</v>
      </c>
      <c r="AI176" s="90" t="n">
        <f aca="false">IF($A176="",0,SUMPRODUCT(($F$3:$Q$3&lt;=Setup!$B$8)*$F176:$Q176))</f>
        <v>0</v>
      </c>
      <c r="AJ176" s="90" t="n">
        <f aca="false">IF($A176="",0,SUM($F176:$Q176))</f>
        <v>0</v>
      </c>
      <c r="AK176" s="90" t="n">
        <f aca="false">IF($A176="",0,SUM($R176:$AC176))</f>
        <v>0</v>
      </c>
      <c r="AL176" s="91" t="n">
        <f aca="false">IF($A176="",0,IF(SUMPRODUCT(ABS($F176:$AC176))&gt;0,1,0))</f>
        <v>0</v>
      </c>
    </row>
    <row r="177" customFormat="false" ht="15" hidden="false" customHeight="false" outlineLevel="0" collapsed="false">
      <c r="A177" s="68" t="str">
        <f aca="false">IF(COA_Mapping!$A178="","",COA_Mapping!$A178)</f>
        <v>Recruitment</v>
      </c>
      <c r="B177" s="68" t="str">
        <f aca="false">IF($A177="","",COA_Mapping!$C178)</f>
        <v>Expenses</v>
      </c>
      <c r="C177" s="68" t="str">
        <f aca="false">IF($A177="","",COA_Mapping!$E178)</f>
        <v>P&amp;L</v>
      </c>
      <c r="D177" s="68" t="str">
        <f aca="false">IF($A177="","",COA_Mapping!$D178)</f>
        <v>Unallocated</v>
      </c>
      <c r="E177" s="86" t="n">
        <f aca="false">IF($A177="",1,COA_Mapping!$F178)</f>
        <v>1</v>
      </c>
      <c r="F177" s="87" t="n">
        <f aca="false">IF($A177="",0,SUMIF(GL_Data!$S$8:$S$5007,172001,GL_Data!$P$8:$P$5007))</f>
        <v>0</v>
      </c>
      <c r="G177" s="87" t="n">
        <f aca="false">IF($A177="",0,SUMIF(GL_Data!$S$8:$S$5007,172002,GL_Data!$P$8:$P$5007))</f>
        <v>0</v>
      </c>
      <c r="H177" s="87" t="n">
        <f aca="false">IF($A177="",0,SUMIF(GL_Data!$S$8:$S$5007,172003,GL_Data!$P$8:$P$5007))</f>
        <v>0</v>
      </c>
      <c r="I177" s="87" t="n">
        <f aca="false">IF($A177="",0,SUMIF(GL_Data!$S$8:$S$5007,172004,GL_Data!$P$8:$P$5007))</f>
        <v>0</v>
      </c>
      <c r="J177" s="87" t="n">
        <f aca="false">IF($A177="",0,SUMIF(GL_Data!$S$8:$S$5007,172005,GL_Data!$P$8:$P$5007))</f>
        <v>0</v>
      </c>
      <c r="K177" s="87" t="n">
        <f aca="false">IF($A177="",0,SUMIF(GL_Data!$S$8:$S$5007,172006,GL_Data!$P$8:$P$5007))</f>
        <v>0</v>
      </c>
      <c r="L177" s="87" t="n">
        <f aca="false">IF($A177="",0,SUMIF(GL_Data!$S$8:$S$5007,172007,GL_Data!$P$8:$P$5007))</f>
        <v>0</v>
      </c>
      <c r="M177" s="87" t="n">
        <f aca="false">IF($A177="",0,SUMIF(GL_Data!$S$8:$S$5007,172008,GL_Data!$P$8:$P$5007))</f>
        <v>0</v>
      </c>
      <c r="N177" s="87" t="n">
        <f aca="false">IF($A177="",0,SUMIF(GL_Data!$S$8:$S$5007,172009,GL_Data!$P$8:$P$5007))</f>
        <v>0</v>
      </c>
      <c r="O177" s="87" t="n">
        <f aca="false">IF($A177="",0,SUMIF(GL_Data!$S$8:$S$5007,172010,GL_Data!$P$8:$P$5007))</f>
        <v>0</v>
      </c>
      <c r="P177" s="87" t="n">
        <f aca="false">IF($A177="",0,SUMIF(GL_Data!$S$8:$S$5007,172011,GL_Data!$P$8:$P$5007))</f>
        <v>0</v>
      </c>
      <c r="Q177" s="87" t="n">
        <f aca="false">IF($A177="",0,SUMIF(GL_Data!$S$8:$S$5007,172012,GL_Data!$P$8:$P$5007))</f>
        <v>0</v>
      </c>
      <c r="R177" s="88" t="n">
        <f aca="false">IF($A177="",0,SUMIF(GL_Data!$S$8:$S$5007,172101,GL_Data!$P$8:$P$5007))</f>
        <v>0</v>
      </c>
      <c r="S177" s="88" t="n">
        <f aca="false">IF($A177="",0,SUMIF(GL_Data!$S$8:$S$5007,172102,GL_Data!$P$8:$P$5007))</f>
        <v>0</v>
      </c>
      <c r="T177" s="88" t="n">
        <f aca="false">IF($A177="",0,SUMIF(GL_Data!$S$8:$S$5007,172103,GL_Data!$P$8:$P$5007))</f>
        <v>0</v>
      </c>
      <c r="U177" s="88" t="n">
        <f aca="false">IF($A177="",0,SUMIF(GL_Data!$S$8:$S$5007,172104,GL_Data!$P$8:$P$5007))</f>
        <v>0</v>
      </c>
      <c r="V177" s="88" t="n">
        <f aca="false">IF($A177="",0,SUMIF(GL_Data!$S$8:$S$5007,172105,GL_Data!$P$8:$P$5007))</f>
        <v>0</v>
      </c>
      <c r="W177" s="88" t="n">
        <f aca="false">IF($A177="",0,SUMIF(GL_Data!$S$8:$S$5007,172106,GL_Data!$P$8:$P$5007))</f>
        <v>0</v>
      </c>
      <c r="X177" s="88" t="n">
        <f aca="false">IF($A177="",0,SUMIF(GL_Data!$S$8:$S$5007,172107,GL_Data!$P$8:$P$5007))</f>
        <v>0</v>
      </c>
      <c r="Y177" s="88" t="n">
        <f aca="false">IF($A177="",0,SUMIF(GL_Data!$S$8:$S$5007,172108,GL_Data!$P$8:$P$5007))</f>
        <v>0</v>
      </c>
      <c r="Z177" s="88" t="n">
        <f aca="false">IF($A177="",0,SUMIF(GL_Data!$S$8:$S$5007,172109,GL_Data!$P$8:$P$5007))</f>
        <v>0</v>
      </c>
      <c r="AA177" s="88" t="n">
        <f aca="false">IF($A177="",0,SUMIF(GL_Data!$S$8:$S$5007,172110,GL_Data!$P$8:$P$5007))</f>
        <v>0</v>
      </c>
      <c r="AB177" s="88" t="n">
        <f aca="false">IF($A177="",0,SUMIF(GL_Data!$S$8:$S$5007,172111,GL_Data!$P$8:$P$5007))</f>
        <v>0</v>
      </c>
      <c r="AC177" s="88" t="n">
        <f aca="false">IF($A177="",0,SUMIF(GL_Data!$S$8:$S$5007,172112,GL_Data!$P$8:$P$5007))</f>
        <v>0</v>
      </c>
      <c r="AD177" s="89" t="n">
        <f aca="false">IF($A177="",0,INDEX($F177:$AC177,12+Setup!$B$8))</f>
        <v>0</v>
      </c>
      <c r="AE177" s="90" t="n">
        <f aca="false">IF($A177="",0,INDEX($F177:$AC177,Setup!$B$8))</f>
        <v>0</v>
      </c>
      <c r="AF177" s="90" t="n">
        <f aca="false">IF($A177="",0,INDEX($F177:$AC177,11+Setup!$B$8))</f>
        <v>0</v>
      </c>
      <c r="AG177" s="90" t="n">
        <f aca="false">IF($A177="",0,AVERAGE(INDEX($F177:$AC177,9+Setup!$B$8):INDEX($F177:$AC177,11+Setup!$B$8)))</f>
        <v>0</v>
      </c>
      <c r="AH177" s="89" t="n">
        <f aca="false">IF($A177="",0,SUMPRODUCT(($R$3:$AC$3&lt;=Setup!$B$8)*$R177:$AC177))</f>
        <v>0</v>
      </c>
      <c r="AI177" s="90" t="n">
        <f aca="false">IF($A177="",0,SUMPRODUCT(($F$3:$Q$3&lt;=Setup!$B$8)*$F177:$Q177))</f>
        <v>0</v>
      </c>
      <c r="AJ177" s="90" t="n">
        <f aca="false">IF($A177="",0,SUM($F177:$Q177))</f>
        <v>0</v>
      </c>
      <c r="AK177" s="90" t="n">
        <f aca="false">IF($A177="",0,SUM($R177:$AC177))</f>
        <v>0</v>
      </c>
      <c r="AL177" s="91" t="n">
        <f aca="false">IF($A177="",0,IF(SUMPRODUCT(ABS($F177:$AC177))&gt;0,1,0))</f>
        <v>0</v>
      </c>
    </row>
    <row r="178" customFormat="false" ht="15" hidden="false" customHeight="false" outlineLevel="0" collapsed="false">
      <c r="A178" s="68" t="str">
        <f aca="false">IF(COA_Mapping!$A179="","",COA_Mapping!$A179)</f>
        <v>Rent</v>
      </c>
      <c r="B178" s="68" t="str">
        <f aca="false">IF($A178="","",COA_Mapping!$C179)</f>
        <v>Expenses</v>
      </c>
      <c r="C178" s="68" t="str">
        <f aca="false">IF($A178="","",COA_Mapping!$E179)</f>
        <v>P&amp;L</v>
      </c>
      <c r="D178" s="68" t="str">
        <f aca="false">IF($A178="","",COA_Mapping!$D179)</f>
        <v>Unallocated</v>
      </c>
      <c r="E178" s="86" t="n">
        <f aca="false">IF($A178="",1,COA_Mapping!$F179)</f>
        <v>1</v>
      </c>
      <c r="F178" s="87" t="n">
        <f aca="false">IF($A178="",0,SUMIF(GL_Data!$S$8:$S$5007,173001,GL_Data!$P$8:$P$5007))</f>
        <v>0</v>
      </c>
      <c r="G178" s="87" t="n">
        <f aca="false">IF($A178="",0,SUMIF(GL_Data!$S$8:$S$5007,173002,GL_Data!$P$8:$P$5007))</f>
        <v>0</v>
      </c>
      <c r="H178" s="87" t="n">
        <f aca="false">IF($A178="",0,SUMIF(GL_Data!$S$8:$S$5007,173003,GL_Data!$P$8:$P$5007))</f>
        <v>0</v>
      </c>
      <c r="I178" s="87" t="n">
        <f aca="false">IF($A178="",0,SUMIF(GL_Data!$S$8:$S$5007,173004,GL_Data!$P$8:$P$5007))</f>
        <v>0</v>
      </c>
      <c r="J178" s="87" t="n">
        <f aca="false">IF($A178="",0,SUMIF(GL_Data!$S$8:$S$5007,173005,GL_Data!$P$8:$P$5007))</f>
        <v>0</v>
      </c>
      <c r="K178" s="87" t="n">
        <f aca="false">IF($A178="",0,SUMIF(GL_Data!$S$8:$S$5007,173006,GL_Data!$P$8:$P$5007))</f>
        <v>0</v>
      </c>
      <c r="L178" s="87" t="n">
        <f aca="false">IF($A178="",0,SUMIF(GL_Data!$S$8:$S$5007,173007,GL_Data!$P$8:$P$5007))</f>
        <v>0</v>
      </c>
      <c r="M178" s="87" t="n">
        <f aca="false">IF($A178="",0,SUMIF(GL_Data!$S$8:$S$5007,173008,GL_Data!$P$8:$P$5007))</f>
        <v>0</v>
      </c>
      <c r="N178" s="87" t="n">
        <f aca="false">IF($A178="",0,SUMIF(GL_Data!$S$8:$S$5007,173009,GL_Data!$P$8:$P$5007))</f>
        <v>0</v>
      </c>
      <c r="O178" s="87" t="n">
        <f aca="false">IF($A178="",0,SUMIF(GL_Data!$S$8:$S$5007,173010,GL_Data!$P$8:$P$5007))</f>
        <v>0</v>
      </c>
      <c r="P178" s="87" t="n">
        <f aca="false">IF($A178="",0,SUMIF(GL_Data!$S$8:$S$5007,173011,GL_Data!$P$8:$P$5007))</f>
        <v>0</v>
      </c>
      <c r="Q178" s="87" t="n">
        <f aca="false">IF($A178="",0,SUMIF(GL_Data!$S$8:$S$5007,173012,GL_Data!$P$8:$P$5007))</f>
        <v>0</v>
      </c>
      <c r="R178" s="88" t="n">
        <f aca="false">IF($A178="",0,SUMIF(GL_Data!$S$8:$S$5007,173101,GL_Data!$P$8:$P$5007))</f>
        <v>0</v>
      </c>
      <c r="S178" s="88" t="n">
        <f aca="false">IF($A178="",0,SUMIF(GL_Data!$S$8:$S$5007,173102,GL_Data!$P$8:$P$5007))</f>
        <v>0</v>
      </c>
      <c r="T178" s="88" t="n">
        <f aca="false">IF($A178="",0,SUMIF(GL_Data!$S$8:$S$5007,173103,GL_Data!$P$8:$P$5007))</f>
        <v>0</v>
      </c>
      <c r="U178" s="88" t="n">
        <f aca="false">IF($A178="",0,SUMIF(GL_Data!$S$8:$S$5007,173104,GL_Data!$P$8:$P$5007))</f>
        <v>0</v>
      </c>
      <c r="V178" s="88" t="n">
        <f aca="false">IF($A178="",0,SUMIF(GL_Data!$S$8:$S$5007,173105,GL_Data!$P$8:$P$5007))</f>
        <v>0</v>
      </c>
      <c r="W178" s="88" t="n">
        <f aca="false">IF($A178="",0,SUMIF(GL_Data!$S$8:$S$5007,173106,GL_Data!$P$8:$P$5007))</f>
        <v>0</v>
      </c>
      <c r="X178" s="88" t="n">
        <f aca="false">IF($A178="",0,SUMIF(GL_Data!$S$8:$S$5007,173107,GL_Data!$P$8:$P$5007))</f>
        <v>0</v>
      </c>
      <c r="Y178" s="88" t="n">
        <f aca="false">IF($A178="",0,SUMIF(GL_Data!$S$8:$S$5007,173108,GL_Data!$P$8:$P$5007))</f>
        <v>0</v>
      </c>
      <c r="Z178" s="88" t="n">
        <f aca="false">IF($A178="",0,SUMIF(GL_Data!$S$8:$S$5007,173109,GL_Data!$P$8:$P$5007))</f>
        <v>0</v>
      </c>
      <c r="AA178" s="88" t="n">
        <f aca="false">IF($A178="",0,SUMIF(GL_Data!$S$8:$S$5007,173110,GL_Data!$P$8:$P$5007))</f>
        <v>0</v>
      </c>
      <c r="AB178" s="88" t="n">
        <f aca="false">IF($A178="",0,SUMIF(GL_Data!$S$8:$S$5007,173111,GL_Data!$P$8:$P$5007))</f>
        <v>0</v>
      </c>
      <c r="AC178" s="88" t="n">
        <f aca="false">IF($A178="",0,SUMIF(GL_Data!$S$8:$S$5007,173112,GL_Data!$P$8:$P$5007))</f>
        <v>0</v>
      </c>
      <c r="AD178" s="89" t="n">
        <f aca="false">IF($A178="",0,INDEX($F178:$AC178,12+Setup!$B$8))</f>
        <v>0</v>
      </c>
      <c r="AE178" s="90" t="n">
        <f aca="false">IF($A178="",0,INDEX($F178:$AC178,Setup!$B$8))</f>
        <v>0</v>
      </c>
      <c r="AF178" s="90" t="n">
        <f aca="false">IF($A178="",0,INDEX($F178:$AC178,11+Setup!$B$8))</f>
        <v>0</v>
      </c>
      <c r="AG178" s="90" t="n">
        <f aca="false">IF($A178="",0,AVERAGE(INDEX($F178:$AC178,9+Setup!$B$8):INDEX($F178:$AC178,11+Setup!$B$8)))</f>
        <v>0</v>
      </c>
      <c r="AH178" s="89" t="n">
        <f aca="false">IF($A178="",0,SUMPRODUCT(($R$3:$AC$3&lt;=Setup!$B$8)*$R178:$AC178))</f>
        <v>0</v>
      </c>
      <c r="AI178" s="90" t="n">
        <f aca="false">IF($A178="",0,SUMPRODUCT(($F$3:$Q$3&lt;=Setup!$B$8)*$F178:$Q178))</f>
        <v>0</v>
      </c>
      <c r="AJ178" s="90" t="n">
        <f aca="false">IF($A178="",0,SUM($F178:$Q178))</f>
        <v>0</v>
      </c>
      <c r="AK178" s="90" t="n">
        <f aca="false">IF($A178="",0,SUM($R178:$AC178))</f>
        <v>0</v>
      </c>
      <c r="AL178" s="91" t="n">
        <f aca="false">IF($A178="",0,IF(SUMPRODUCT(ABS($F178:$AC178))&gt;0,1,0))</f>
        <v>0</v>
      </c>
    </row>
    <row r="179" customFormat="false" ht="15" hidden="false" customHeight="false" outlineLevel="0" collapsed="false">
      <c r="A179" s="68" t="str">
        <f aca="false">IF(COA_Mapping!$A180="","",COA_Mapping!$A180)</f>
        <v>Rental Outgoings</v>
      </c>
      <c r="B179" s="68" t="str">
        <f aca="false">IF($A179="","",COA_Mapping!$C180)</f>
        <v>Expenses</v>
      </c>
      <c r="C179" s="68" t="str">
        <f aca="false">IF($A179="","",COA_Mapping!$E180)</f>
        <v>P&amp;L</v>
      </c>
      <c r="D179" s="68" t="str">
        <f aca="false">IF($A179="","",COA_Mapping!$D180)</f>
        <v>Unallocated</v>
      </c>
      <c r="E179" s="86" t="n">
        <f aca="false">IF($A179="",1,COA_Mapping!$F180)</f>
        <v>1</v>
      </c>
      <c r="F179" s="87" t="n">
        <f aca="false">IF($A179="",0,SUMIF(GL_Data!$S$8:$S$5007,174001,GL_Data!$P$8:$P$5007))</f>
        <v>0</v>
      </c>
      <c r="G179" s="87" t="n">
        <f aca="false">IF($A179="",0,SUMIF(GL_Data!$S$8:$S$5007,174002,GL_Data!$P$8:$P$5007))</f>
        <v>0</v>
      </c>
      <c r="H179" s="87" t="n">
        <f aca="false">IF($A179="",0,SUMIF(GL_Data!$S$8:$S$5007,174003,GL_Data!$P$8:$P$5007))</f>
        <v>0</v>
      </c>
      <c r="I179" s="87" t="n">
        <f aca="false">IF($A179="",0,SUMIF(GL_Data!$S$8:$S$5007,174004,GL_Data!$P$8:$P$5007))</f>
        <v>0</v>
      </c>
      <c r="J179" s="87" t="n">
        <f aca="false">IF($A179="",0,SUMIF(GL_Data!$S$8:$S$5007,174005,GL_Data!$P$8:$P$5007))</f>
        <v>0</v>
      </c>
      <c r="K179" s="87" t="n">
        <f aca="false">IF($A179="",0,SUMIF(GL_Data!$S$8:$S$5007,174006,GL_Data!$P$8:$P$5007))</f>
        <v>0</v>
      </c>
      <c r="L179" s="87" t="n">
        <f aca="false">IF($A179="",0,SUMIF(GL_Data!$S$8:$S$5007,174007,GL_Data!$P$8:$P$5007))</f>
        <v>0</v>
      </c>
      <c r="M179" s="87" t="n">
        <f aca="false">IF($A179="",0,SUMIF(GL_Data!$S$8:$S$5007,174008,GL_Data!$P$8:$P$5007))</f>
        <v>0</v>
      </c>
      <c r="N179" s="87" t="n">
        <f aca="false">IF($A179="",0,SUMIF(GL_Data!$S$8:$S$5007,174009,GL_Data!$P$8:$P$5007))</f>
        <v>0</v>
      </c>
      <c r="O179" s="87" t="n">
        <f aca="false">IF($A179="",0,SUMIF(GL_Data!$S$8:$S$5007,174010,GL_Data!$P$8:$P$5007))</f>
        <v>0</v>
      </c>
      <c r="P179" s="87" t="n">
        <f aca="false">IF($A179="",0,SUMIF(GL_Data!$S$8:$S$5007,174011,GL_Data!$P$8:$P$5007))</f>
        <v>0</v>
      </c>
      <c r="Q179" s="87" t="n">
        <f aca="false">IF($A179="",0,SUMIF(GL_Data!$S$8:$S$5007,174012,GL_Data!$P$8:$P$5007))</f>
        <v>0</v>
      </c>
      <c r="R179" s="88" t="n">
        <f aca="false">IF($A179="",0,SUMIF(GL_Data!$S$8:$S$5007,174101,GL_Data!$P$8:$P$5007))</f>
        <v>0</v>
      </c>
      <c r="S179" s="88" t="n">
        <f aca="false">IF($A179="",0,SUMIF(GL_Data!$S$8:$S$5007,174102,GL_Data!$P$8:$P$5007))</f>
        <v>0</v>
      </c>
      <c r="T179" s="88" t="n">
        <f aca="false">IF($A179="",0,SUMIF(GL_Data!$S$8:$S$5007,174103,GL_Data!$P$8:$P$5007))</f>
        <v>0</v>
      </c>
      <c r="U179" s="88" t="n">
        <f aca="false">IF($A179="",0,SUMIF(GL_Data!$S$8:$S$5007,174104,GL_Data!$P$8:$P$5007))</f>
        <v>0</v>
      </c>
      <c r="V179" s="88" t="n">
        <f aca="false">IF($A179="",0,SUMIF(GL_Data!$S$8:$S$5007,174105,GL_Data!$P$8:$P$5007))</f>
        <v>0</v>
      </c>
      <c r="W179" s="88" t="n">
        <f aca="false">IF($A179="",0,SUMIF(GL_Data!$S$8:$S$5007,174106,GL_Data!$P$8:$P$5007))</f>
        <v>0</v>
      </c>
      <c r="X179" s="88" t="n">
        <f aca="false">IF($A179="",0,SUMIF(GL_Data!$S$8:$S$5007,174107,GL_Data!$P$8:$P$5007))</f>
        <v>0</v>
      </c>
      <c r="Y179" s="88" t="n">
        <f aca="false">IF($A179="",0,SUMIF(GL_Data!$S$8:$S$5007,174108,GL_Data!$P$8:$P$5007))</f>
        <v>0</v>
      </c>
      <c r="Z179" s="88" t="n">
        <f aca="false">IF($A179="",0,SUMIF(GL_Data!$S$8:$S$5007,174109,GL_Data!$P$8:$P$5007))</f>
        <v>0</v>
      </c>
      <c r="AA179" s="88" t="n">
        <f aca="false">IF($A179="",0,SUMIF(GL_Data!$S$8:$S$5007,174110,GL_Data!$P$8:$P$5007))</f>
        <v>0</v>
      </c>
      <c r="AB179" s="88" t="n">
        <f aca="false">IF($A179="",0,SUMIF(GL_Data!$S$8:$S$5007,174111,GL_Data!$P$8:$P$5007))</f>
        <v>0</v>
      </c>
      <c r="AC179" s="88" t="n">
        <f aca="false">IF($A179="",0,SUMIF(GL_Data!$S$8:$S$5007,174112,GL_Data!$P$8:$P$5007))</f>
        <v>0</v>
      </c>
      <c r="AD179" s="89" t="n">
        <f aca="false">IF($A179="",0,INDEX($F179:$AC179,12+Setup!$B$8))</f>
        <v>0</v>
      </c>
      <c r="AE179" s="90" t="n">
        <f aca="false">IF($A179="",0,INDEX($F179:$AC179,Setup!$B$8))</f>
        <v>0</v>
      </c>
      <c r="AF179" s="90" t="n">
        <f aca="false">IF($A179="",0,INDEX($F179:$AC179,11+Setup!$B$8))</f>
        <v>0</v>
      </c>
      <c r="AG179" s="90" t="n">
        <f aca="false">IF($A179="",0,AVERAGE(INDEX($F179:$AC179,9+Setup!$B$8):INDEX($F179:$AC179,11+Setup!$B$8)))</f>
        <v>0</v>
      </c>
      <c r="AH179" s="89" t="n">
        <f aca="false">IF($A179="",0,SUMPRODUCT(($R$3:$AC$3&lt;=Setup!$B$8)*$R179:$AC179))</f>
        <v>0</v>
      </c>
      <c r="AI179" s="90" t="n">
        <f aca="false">IF($A179="",0,SUMPRODUCT(($F$3:$Q$3&lt;=Setup!$B$8)*$F179:$Q179))</f>
        <v>0</v>
      </c>
      <c r="AJ179" s="90" t="n">
        <f aca="false">IF($A179="",0,SUM($F179:$Q179))</f>
        <v>0</v>
      </c>
      <c r="AK179" s="90" t="n">
        <f aca="false">IF($A179="",0,SUM($R179:$AC179))</f>
        <v>0</v>
      </c>
      <c r="AL179" s="91" t="n">
        <f aca="false">IF($A179="",0,IF(SUMPRODUCT(ABS($F179:$AC179))&gt;0,1,0))</f>
        <v>0</v>
      </c>
    </row>
    <row r="180" customFormat="false" ht="15" hidden="false" customHeight="false" outlineLevel="0" collapsed="false">
      <c r="A180" s="68" t="str">
        <f aca="false">IF(COA_Mapping!$A181="","",COA_Mapping!$A181)</f>
        <v>Repairs &amp; Maintenance</v>
      </c>
      <c r="B180" s="68" t="str">
        <f aca="false">IF($A180="","",COA_Mapping!$C181)</f>
        <v>Expenses</v>
      </c>
      <c r="C180" s="68" t="str">
        <f aca="false">IF($A180="","",COA_Mapping!$E181)</f>
        <v>P&amp;L</v>
      </c>
      <c r="D180" s="68" t="str">
        <f aca="false">IF($A180="","",COA_Mapping!$D181)</f>
        <v>Unallocated</v>
      </c>
      <c r="E180" s="86" t="n">
        <f aca="false">IF($A180="",1,COA_Mapping!$F181)</f>
        <v>1</v>
      </c>
      <c r="F180" s="87" t="n">
        <f aca="false">IF($A180="",0,SUMIF(GL_Data!$S$8:$S$5007,175001,GL_Data!$P$8:$P$5007))</f>
        <v>0</v>
      </c>
      <c r="G180" s="87" t="n">
        <f aca="false">IF($A180="",0,SUMIF(GL_Data!$S$8:$S$5007,175002,GL_Data!$P$8:$P$5007))</f>
        <v>0</v>
      </c>
      <c r="H180" s="87" t="n">
        <f aca="false">IF($A180="",0,SUMIF(GL_Data!$S$8:$S$5007,175003,GL_Data!$P$8:$P$5007))</f>
        <v>0</v>
      </c>
      <c r="I180" s="87" t="n">
        <f aca="false">IF($A180="",0,SUMIF(GL_Data!$S$8:$S$5007,175004,GL_Data!$P$8:$P$5007))</f>
        <v>0</v>
      </c>
      <c r="J180" s="87" t="n">
        <f aca="false">IF($A180="",0,SUMIF(GL_Data!$S$8:$S$5007,175005,GL_Data!$P$8:$P$5007))</f>
        <v>0</v>
      </c>
      <c r="K180" s="87" t="n">
        <f aca="false">IF($A180="",0,SUMIF(GL_Data!$S$8:$S$5007,175006,GL_Data!$P$8:$P$5007))</f>
        <v>0</v>
      </c>
      <c r="L180" s="87" t="n">
        <f aca="false">IF($A180="",0,SUMIF(GL_Data!$S$8:$S$5007,175007,GL_Data!$P$8:$P$5007))</f>
        <v>0</v>
      </c>
      <c r="M180" s="87" t="n">
        <f aca="false">IF($A180="",0,SUMIF(GL_Data!$S$8:$S$5007,175008,GL_Data!$P$8:$P$5007))</f>
        <v>0</v>
      </c>
      <c r="N180" s="87" t="n">
        <f aca="false">IF($A180="",0,SUMIF(GL_Data!$S$8:$S$5007,175009,GL_Data!$P$8:$P$5007))</f>
        <v>0</v>
      </c>
      <c r="O180" s="87" t="n">
        <f aca="false">IF($A180="",0,SUMIF(GL_Data!$S$8:$S$5007,175010,GL_Data!$P$8:$P$5007))</f>
        <v>0</v>
      </c>
      <c r="P180" s="87" t="n">
        <f aca="false">IF($A180="",0,SUMIF(GL_Data!$S$8:$S$5007,175011,GL_Data!$P$8:$P$5007))</f>
        <v>0</v>
      </c>
      <c r="Q180" s="87" t="n">
        <f aca="false">IF($A180="",0,SUMIF(GL_Data!$S$8:$S$5007,175012,GL_Data!$P$8:$P$5007))</f>
        <v>0</v>
      </c>
      <c r="R180" s="88" t="n">
        <f aca="false">IF($A180="",0,SUMIF(GL_Data!$S$8:$S$5007,175101,GL_Data!$P$8:$P$5007))</f>
        <v>0</v>
      </c>
      <c r="S180" s="88" t="n">
        <f aca="false">IF($A180="",0,SUMIF(GL_Data!$S$8:$S$5007,175102,GL_Data!$P$8:$P$5007))</f>
        <v>0</v>
      </c>
      <c r="T180" s="88" t="n">
        <f aca="false">IF($A180="",0,SUMIF(GL_Data!$S$8:$S$5007,175103,GL_Data!$P$8:$P$5007))</f>
        <v>0</v>
      </c>
      <c r="U180" s="88" t="n">
        <f aca="false">IF($A180="",0,SUMIF(GL_Data!$S$8:$S$5007,175104,GL_Data!$P$8:$P$5007))</f>
        <v>0</v>
      </c>
      <c r="V180" s="88" t="n">
        <f aca="false">IF($A180="",0,SUMIF(GL_Data!$S$8:$S$5007,175105,GL_Data!$P$8:$P$5007))</f>
        <v>0</v>
      </c>
      <c r="W180" s="88" t="n">
        <f aca="false">IF($A180="",0,SUMIF(GL_Data!$S$8:$S$5007,175106,GL_Data!$P$8:$P$5007))</f>
        <v>0</v>
      </c>
      <c r="X180" s="88" t="n">
        <f aca="false">IF($A180="",0,SUMIF(GL_Data!$S$8:$S$5007,175107,GL_Data!$P$8:$P$5007))</f>
        <v>0</v>
      </c>
      <c r="Y180" s="88" t="n">
        <f aca="false">IF($A180="",0,SUMIF(GL_Data!$S$8:$S$5007,175108,GL_Data!$P$8:$P$5007))</f>
        <v>0</v>
      </c>
      <c r="Z180" s="88" t="n">
        <f aca="false">IF($A180="",0,SUMIF(GL_Data!$S$8:$S$5007,175109,GL_Data!$P$8:$P$5007))</f>
        <v>0</v>
      </c>
      <c r="AA180" s="88" t="n">
        <f aca="false">IF($A180="",0,SUMIF(GL_Data!$S$8:$S$5007,175110,GL_Data!$P$8:$P$5007))</f>
        <v>0</v>
      </c>
      <c r="AB180" s="88" t="n">
        <f aca="false">IF($A180="",0,SUMIF(GL_Data!$S$8:$S$5007,175111,GL_Data!$P$8:$P$5007))</f>
        <v>0</v>
      </c>
      <c r="AC180" s="88" t="n">
        <f aca="false">IF($A180="",0,SUMIF(GL_Data!$S$8:$S$5007,175112,GL_Data!$P$8:$P$5007))</f>
        <v>0</v>
      </c>
      <c r="AD180" s="89" t="n">
        <f aca="false">IF($A180="",0,INDEX($F180:$AC180,12+Setup!$B$8))</f>
        <v>0</v>
      </c>
      <c r="AE180" s="90" t="n">
        <f aca="false">IF($A180="",0,INDEX($F180:$AC180,Setup!$B$8))</f>
        <v>0</v>
      </c>
      <c r="AF180" s="90" t="n">
        <f aca="false">IF($A180="",0,INDEX($F180:$AC180,11+Setup!$B$8))</f>
        <v>0</v>
      </c>
      <c r="AG180" s="90" t="n">
        <f aca="false">IF($A180="",0,AVERAGE(INDEX($F180:$AC180,9+Setup!$B$8):INDEX($F180:$AC180,11+Setup!$B$8)))</f>
        <v>0</v>
      </c>
      <c r="AH180" s="89" t="n">
        <f aca="false">IF($A180="",0,SUMPRODUCT(($R$3:$AC$3&lt;=Setup!$B$8)*$R180:$AC180))</f>
        <v>0</v>
      </c>
      <c r="AI180" s="90" t="n">
        <f aca="false">IF($A180="",0,SUMPRODUCT(($F$3:$Q$3&lt;=Setup!$B$8)*$F180:$Q180))</f>
        <v>0</v>
      </c>
      <c r="AJ180" s="90" t="n">
        <f aca="false">IF($A180="",0,SUM($F180:$Q180))</f>
        <v>0</v>
      </c>
      <c r="AK180" s="90" t="n">
        <f aca="false">IF($A180="",0,SUM($R180:$AC180))</f>
        <v>0</v>
      </c>
      <c r="AL180" s="91" t="n">
        <f aca="false">IF($A180="",0,IF(SUMPRODUCT(ABS($F180:$AC180))&gt;0,1,0))</f>
        <v>0</v>
      </c>
    </row>
    <row r="181" customFormat="false" ht="15" hidden="false" customHeight="false" outlineLevel="0" collapsed="false">
      <c r="A181" s="68" t="str">
        <f aca="false">IF(COA_Mapping!$A182="","",COA_Mapping!$A182)</f>
        <v>Replacements</v>
      </c>
      <c r="B181" s="68" t="str">
        <f aca="false">IF($A181="","",COA_Mapping!$C182)</f>
        <v>Expenses</v>
      </c>
      <c r="C181" s="68" t="str">
        <f aca="false">IF($A181="","",COA_Mapping!$E182)</f>
        <v>P&amp;L</v>
      </c>
      <c r="D181" s="68" t="str">
        <f aca="false">IF($A181="","",COA_Mapping!$D182)</f>
        <v>Unallocated</v>
      </c>
      <c r="E181" s="86" t="n">
        <f aca="false">IF($A181="",1,COA_Mapping!$F182)</f>
        <v>1</v>
      </c>
      <c r="F181" s="87" t="n">
        <f aca="false">IF($A181="",0,SUMIF(GL_Data!$S$8:$S$5007,176001,GL_Data!$P$8:$P$5007))</f>
        <v>0</v>
      </c>
      <c r="G181" s="87" t="n">
        <f aca="false">IF($A181="",0,SUMIF(GL_Data!$S$8:$S$5007,176002,GL_Data!$P$8:$P$5007))</f>
        <v>0</v>
      </c>
      <c r="H181" s="87" t="n">
        <f aca="false">IF($A181="",0,SUMIF(GL_Data!$S$8:$S$5007,176003,GL_Data!$P$8:$P$5007))</f>
        <v>0</v>
      </c>
      <c r="I181" s="87" t="n">
        <f aca="false">IF($A181="",0,SUMIF(GL_Data!$S$8:$S$5007,176004,GL_Data!$P$8:$P$5007))</f>
        <v>0</v>
      </c>
      <c r="J181" s="87" t="n">
        <f aca="false">IF($A181="",0,SUMIF(GL_Data!$S$8:$S$5007,176005,GL_Data!$P$8:$P$5007))</f>
        <v>0</v>
      </c>
      <c r="K181" s="87" t="n">
        <f aca="false">IF($A181="",0,SUMIF(GL_Data!$S$8:$S$5007,176006,GL_Data!$P$8:$P$5007))</f>
        <v>0</v>
      </c>
      <c r="L181" s="87" t="n">
        <f aca="false">IF($A181="",0,SUMIF(GL_Data!$S$8:$S$5007,176007,GL_Data!$P$8:$P$5007))</f>
        <v>0</v>
      </c>
      <c r="M181" s="87" t="n">
        <f aca="false">IF($A181="",0,SUMIF(GL_Data!$S$8:$S$5007,176008,GL_Data!$P$8:$P$5007))</f>
        <v>0</v>
      </c>
      <c r="N181" s="87" t="n">
        <f aca="false">IF($A181="",0,SUMIF(GL_Data!$S$8:$S$5007,176009,GL_Data!$P$8:$P$5007))</f>
        <v>0</v>
      </c>
      <c r="O181" s="87" t="n">
        <f aca="false">IF($A181="",0,SUMIF(GL_Data!$S$8:$S$5007,176010,GL_Data!$P$8:$P$5007))</f>
        <v>0</v>
      </c>
      <c r="P181" s="87" t="n">
        <f aca="false">IF($A181="",0,SUMIF(GL_Data!$S$8:$S$5007,176011,GL_Data!$P$8:$P$5007))</f>
        <v>0</v>
      </c>
      <c r="Q181" s="87" t="n">
        <f aca="false">IF($A181="",0,SUMIF(GL_Data!$S$8:$S$5007,176012,GL_Data!$P$8:$P$5007))</f>
        <v>0</v>
      </c>
      <c r="R181" s="88" t="n">
        <f aca="false">IF($A181="",0,SUMIF(GL_Data!$S$8:$S$5007,176101,GL_Data!$P$8:$P$5007))</f>
        <v>0</v>
      </c>
      <c r="S181" s="88" t="n">
        <f aca="false">IF($A181="",0,SUMIF(GL_Data!$S$8:$S$5007,176102,GL_Data!$P$8:$P$5007))</f>
        <v>0</v>
      </c>
      <c r="T181" s="88" t="n">
        <f aca="false">IF($A181="",0,SUMIF(GL_Data!$S$8:$S$5007,176103,GL_Data!$P$8:$P$5007))</f>
        <v>0</v>
      </c>
      <c r="U181" s="88" t="n">
        <f aca="false">IF($A181="",0,SUMIF(GL_Data!$S$8:$S$5007,176104,GL_Data!$P$8:$P$5007))</f>
        <v>0</v>
      </c>
      <c r="V181" s="88" t="n">
        <f aca="false">IF($A181="",0,SUMIF(GL_Data!$S$8:$S$5007,176105,GL_Data!$P$8:$P$5007))</f>
        <v>0</v>
      </c>
      <c r="W181" s="88" t="n">
        <f aca="false">IF($A181="",0,SUMIF(GL_Data!$S$8:$S$5007,176106,GL_Data!$P$8:$P$5007))</f>
        <v>0</v>
      </c>
      <c r="X181" s="88" t="n">
        <f aca="false">IF($A181="",0,SUMIF(GL_Data!$S$8:$S$5007,176107,GL_Data!$P$8:$P$5007))</f>
        <v>0</v>
      </c>
      <c r="Y181" s="88" t="n">
        <f aca="false">IF($A181="",0,SUMIF(GL_Data!$S$8:$S$5007,176108,GL_Data!$P$8:$P$5007))</f>
        <v>0</v>
      </c>
      <c r="Z181" s="88" t="n">
        <f aca="false">IF($A181="",0,SUMIF(GL_Data!$S$8:$S$5007,176109,GL_Data!$P$8:$P$5007))</f>
        <v>0</v>
      </c>
      <c r="AA181" s="88" t="n">
        <f aca="false">IF($A181="",0,SUMIF(GL_Data!$S$8:$S$5007,176110,GL_Data!$P$8:$P$5007))</f>
        <v>0</v>
      </c>
      <c r="AB181" s="88" t="n">
        <f aca="false">IF($A181="",0,SUMIF(GL_Data!$S$8:$S$5007,176111,GL_Data!$P$8:$P$5007))</f>
        <v>0</v>
      </c>
      <c r="AC181" s="88" t="n">
        <f aca="false">IF($A181="",0,SUMIF(GL_Data!$S$8:$S$5007,176112,GL_Data!$P$8:$P$5007))</f>
        <v>0</v>
      </c>
      <c r="AD181" s="89" t="n">
        <f aca="false">IF($A181="",0,INDEX($F181:$AC181,12+Setup!$B$8))</f>
        <v>0</v>
      </c>
      <c r="AE181" s="90" t="n">
        <f aca="false">IF($A181="",0,INDEX($F181:$AC181,Setup!$B$8))</f>
        <v>0</v>
      </c>
      <c r="AF181" s="90" t="n">
        <f aca="false">IF($A181="",0,INDEX($F181:$AC181,11+Setup!$B$8))</f>
        <v>0</v>
      </c>
      <c r="AG181" s="90" t="n">
        <f aca="false">IF($A181="",0,AVERAGE(INDEX($F181:$AC181,9+Setup!$B$8):INDEX($F181:$AC181,11+Setup!$B$8)))</f>
        <v>0</v>
      </c>
      <c r="AH181" s="89" t="n">
        <f aca="false">IF($A181="",0,SUMPRODUCT(($R$3:$AC$3&lt;=Setup!$B$8)*$R181:$AC181))</f>
        <v>0</v>
      </c>
      <c r="AI181" s="90" t="n">
        <f aca="false">IF($A181="",0,SUMPRODUCT(($F$3:$Q$3&lt;=Setup!$B$8)*$F181:$Q181))</f>
        <v>0</v>
      </c>
      <c r="AJ181" s="90" t="n">
        <f aca="false">IF($A181="",0,SUM($F181:$Q181))</f>
        <v>0</v>
      </c>
      <c r="AK181" s="90" t="n">
        <f aca="false">IF($A181="",0,SUM($R181:$AC181))</f>
        <v>0</v>
      </c>
      <c r="AL181" s="91" t="n">
        <f aca="false">IF($A181="",0,IF(SUMPRODUCT(ABS($F181:$AC181))&gt;0,1,0))</f>
        <v>0</v>
      </c>
    </row>
    <row r="182" customFormat="false" ht="15" hidden="false" customHeight="false" outlineLevel="0" collapsed="false">
      <c r="A182" s="68" t="str">
        <f aca="false">IF(COA_Mapping!$A183="","",COA_Mapping!$A183)</f>
        <v>SGC Penalties</v>
      </c>
      <c r="B182" s="68" t="str">
        <f aca="false">IF($A182="","",COA_Mapping!$C183)</f>
        <v>Expenses</v>
      </c>
      <c r="C182" s="68" t="str">
        <f aca="false">IF($A182="","",COA_Mapping!$E183)</f>
        <v>P&amp;L</v>
      </c>
      <c r="D182" s="68" t="str">
        <f aca="false">IF($A182="","",COA_Mapping!$D183)</f>
        <v>Unallocated</v>
      </c>
      <c r="E182" s="86" t="n">
        <f aca="false">IF($A182="",1,COA_Mapping!$F183)</f>
        <v>1</v>
      </c>
      <c r="F182" s="87" t="n">
        <f aca="false">IF($A182="",0,SUMIF(GL_Data!$S$8:$S$5007,177001,GL_Data!$P$8:$P$5007))</f>
        <v>0</v>
      </c>
      <c r="G182" s="87" t="n">
        <f aca="false">IF($A182="",0,SUMIF(GL_Data!$S$8:$S$5007,177002,GL_Data!$P$8:$P$5007))</f>
        <v>0</v>
      </c>
      <c r="H182" s="87" t="n">
        <f aca="false">IF($A182="",0,SUMIF(GL_Data!$S$8:$S$5007,177003,GL_Data!$P$8:$P$5007))</f>
        <v>0</v>
      </c>
      <c r="I182" s="87" t="n">
        <f aca="false">IF($A182="",0,SUMIF(GL_Data!$S$8:$S$5007,177004,GL_Data!$P$8:$P$5007))</f>
        <v>0</v>
      </c>
      <c r="J182" s="87" t="n">
        <f aca="false">IF($A182="",0,SUMIF(GL_Data!$S$8:$S$5007,177005,GL_Data!$P$8:$P$5007))</f>
        <v>0</v>
      </c>
      <c r="K182" s="87" t="n">
        <f aca="false">IF($A182="",0,SUMIF(GL_Data!$S$8:$S$5007,177006,GL_Data!$P$8:$P$5007))</f>
        <v>0</v>
      </c>
      <c r="L182" s="87" t="n">
        <f aca="false">IF($A182="",0,SUMIF(GL_Data!$S$8:$S$5007,177007,GL_Data!$P$8:$P$5007))</f>
        <v>0</v>
      </c>
      <c r="M182" s="87" t="n">
        <f aca="false">IF($A182="",0,SUMIF(GL_Data!$S$8:$S$5007,177008,GL_Data!$P$8:$P$5007))</f>
        <v>0</v>
      </c>
      <c r="N182" s="87" t="n">
        <f aca="false">IF($A182="",0,SUMIF(GL_Data!$S$8:$S$5007,177009,GL_Data!$P$8:$P$5007))</f>
        <v>0</v>
      </c>
      <c r="O182" s="87" t="n">
        <f aca="false">IF($A182="",0,SUMIF(GL_Data!$S$8:$S$5007,177010,GL_Data!$P$8:$P$5007))</f>
        <v>0</v>
      </c>
      <c r="P182" s="87" t="n">
        <f aca="false">IF($A182="",0,SUMIF(GL_Data!$S$8:$S$5007,177011,GL_Data!$P$8:$P$5007))</f>
        <v>0</v>
      </c>
      <c r="Q182" s="87" t="n">
        <f aca="false">IF($A182="",0,SUMIF(GL_Data!$S$8:$S$5007,177012,GL_Data!$P$8:$P$5007))</f>
        <v>0</v>
      </c>
      <c r="R182" s="88" t="n">
        <f aca="false">IF($A182="",0,SUMIF(GL_Data!$S$8:$S$5007,177101,GL_Data!$P$8:$P$5007))</f>
        <v>0</v>
      </c>
      <c r="S182" s="88" t="n">
        <f aca="false">IF($A182="",0,SUMIF(GL_Data!$S$8:$S$5007,177102,GL_Data!$P$8:$P$5007))</f>
        <v>0</v>
      </c>
      <c r="T182" s="88" t="n">
        <f aca="false">IF($A182="",0,SUMIF(GL_Data!$S$8:$S$5007,177103,GL_Data!$P$8:$P$5007))</f>
        <v>0</v>
      </c>
      <c r="U182" s="88" t="n">
        <f aca="false">IF($A182="",0,SUMIF(GL_Data!$S$8:$S$5007,177104,GL_Data!$P$8:$P$5007))</f>
        <v>0</v>
      </c>
      <c r="V182" s="88" t="n">
        <f aca="false">IF($A182="",0,SUMIF(GL_Data!$S$8:$S$5007,177105,GL_Data!$P$8:$P$5007))</f>
        <v>0</v>
      </c>
      <c r="W182" s="88" t="n">
        <f aca="false">IF($A182="",0,SUMIF(GL_Data!$S$8:$S$5007,177106,GL_Data!$P$8:$P$5007))</f>
        <v>0</v>
      </c>
      <c r="X182" s="88" t="n">
        <f aca="false">IF($A182="",0,SUMIF(GL_Data!$S$8:$S$5007,177107,GL_Data!$P$8:$P$5007))</f>
        <v>0</v>
      </c>
      <c r="Y182" s="88" t="n">
        <f aca="false">IF($A182="",0,SUMIF(GL_Data!$S$8:$S$5007,177108,GL_Data!$P$8:$P$5007))</f>
        <v>0</v>
      </c>
      <c r="Z182" s="88" t="n">
        <f aca="false">IF($A182="",0,SUMIF(GL_Data!$S$8:$S$5007,177109,GL_Data!$P$8:$P$5007))</f>
        <v>0</v>
      </c>
      <c r="AA182" s="88" t="n">
        <f aca="false">IF($A182="",0,SUMIF(GL_Data!$S$8:$S$5007,177110,GL_Data!$P$8:$P$5007))</f>
        <v>0</v>
      </c>
      <c r="AB182" s="88" t="n">
        <f aca="false">IF($A182="",0,SUMIF(GL_Data!$S$8:$S$5007,177111,GL_Data!$P$8:$P$5007))</f>
        <v>0</v>
      </c>
      <c r="AC182" s="88" t="n">
        <f aca="false">IF($A182="",0,SUMIF(GL_Data!$S$8:$S$5007,177112,GL_Data!$P$8:$P$5007))</f>
        <v>0</v>
      </c>
      <c r="AD182" s="89" t="n">
        <f aca="false">IF($A182="",0,INDEX($F182:$AC182,12+Setup!$B$8))</f>
        <v>0</v>
      </c>
      <c r="AE182" s="90" t="n">
        <f aca="false">IF($A182="",0,INDEX($F182:$AC182,Setup!$B$8))</f>
        <v>0</v>
      </c>
      <c r="AF182" s="90" t="n">
        <f aca="false">IF($A182="",0,INDEX($F182:$AC182,11+Setup!$B$8))</f>
        <v>0</v>
      </c>
      <c r="AG182" s="90" t="n">
        <f aca="false">IF($A182="",0,AVERAGE(INDEX($F182:$AC182,9+Setup!$B$8):INDEX($F182:$AC182,11+Setup!$B$8)))</f>
        <v>0</v>
      </c>
      <c r="AH182" s="89" t="n">
        <f aca="false">IF($A182="",0,SUMPRODUCT(($R$3:$AC$3&lt;=Setup!$B$8)*$R182:$AC182))</f>
        <v>0</v>
      </c>
      <c r="AI182" s="90" t="n">
        <f aca="false">IF($A182="",0,SUMPRODUCT(($F$3:$Q$3&lt;=Setup!$B$8)*$F182:$Q182))</f>
        <v>0</v>
      </c>
      <c r="AJ182" s="90" t="n">
        <f aca="false">IF($A182="",0,SUM($F182:$Q182))</f>
        <v>0</v>
      </c>
      <c r="AK182" s="90" t="n">
        <f aca="false">IF($A182="",0,SUM($R182:$AC182))</f>
        <v>0</v>
      </c>
      <c r="AL182" s="91" t="n">
        <f aca="false">IF($A182="",0,IF(SUMPRODUCT(ABS($F182:$AC182))&gt;0,1,0))</f>
        <v>0</v>
      </c>
    </row>
    <row r="183" customFormat="false" ht="15" hidden="false" customHeight="false" outlineLevel="0" collapsed="false">
      <c r="A183" s="68" t="str">
        <f aca="false">IF(COA_Mapping!$A184="","",COA_Mapping!$A184)</f>
        <v>Staff Amenities</v>
      </c>
      <c r="B183" s="68" t="str">
        <f aca="false">IF($A183="","",COA_Mapping!$C184)</f>
        <v>Expenses</v>
      </c>
      <c r="C183" s="68" t="str">
        <f aca="false">IF($A183="","",COA_Mapping!$E184)</f>
        <v>P&amp;L</v>
      </c>
      <c r="D183" s="68" t="str">
        <f aca="false">IF($A183="","",COA_Mapping!$D184)</f>
        <v>Unallocated</v>
      </c>
      <c r="E183" s="86" t="n">
        <f aca="false">IF($A183="",1,COA_Mapping!$F184)</f>
        <v>1</v>
      </c>
      <c r="F183" s="87" t="n">
        <f aca="false">IF($A183="",0,SUMIF(GL_Data!$S$8:$S$5007,178001,GL_Data!$P$8:$P$5007))</f>
        <v>0</v>
      </c>
      <c r="G183" s="87" t="n">
        <f aca="false">IF($A183="",0,SUMIF(GL_Data!$S$8:$S$5007,178002,GL_Data!$P$8:$P$5007))</f>
        <v>0</v>
      </c>
      <c r="H183" s="87" t="n">
        <f aca="false">IF($A183="",0,SUMIF(GL_Data!$S$8:$S$5007,178003,GL_Data!$P$8:$P$5007))</f>
        <v>0</v>
      </c>
      <c r="I183" s="87" t="n">
        <f aca="false">IF($A183="",0,SUMIF(GL_Data!$S$8:$S$5007,178004,GL_Data!$P$8:$P$5007))</f>
        <v>0</v>
      </c>
      <c r="J183" s="87" t="n">
        <f aca="false">IF($A183="",0,SUMIF(GL_Data!$S$8:$S$5007,178005,GL_Data!$P$8:$P$5007))</f>
        <v>0</v>
      </c>
      <c r="K183" s="87" t="n">
        <f aca="false">IF($A183="",0,SUMIF(GL_Data!$S$8:$S$5007,178006,GL_Data!$P$8:$P$5007))</f>
        <v>0</v>
      </c>
      <c r="L183" s="87" t="n">
        <f aca="false">IF($A183="",0,SUMIF(GL_Data!$S$8:$S$5007,178007,GL_Data!$P$8:$P$5007))</f>
        <v>0</v>
      </c>
      <c r="M183" s="87" t="n">
        <f aca="false">IF($A183="",0,SUMIF(GL_Data!$S$8:$S$5007,178008,GL_Data!$P$8:$P$5007))</f>
        <v>0</v>
      </c>
      <c r="N183" s="87" t="n">
        <f aca="false">IF($A183="",0,SUMIF(GL_Data!$S$8:$S$5007,178009,GL_Data!$P$8:$P$5007))</f>
        <v>0</v>
      </c>
      <c r="O183" s="87" t="n">
        <f aca="false">IF($A183="",0,SUMIF(GL_Data!$S$8:$S$5007,178010,GL_Data!$P$8:$P$5007))</f>
        <v>0</v>
      </c>
      <c r="P183" s="87" t="n">
        <f aca="false">IF($A183="",0,SUMIF(GL_Data!$S$8:$S$5007,178011,GL_Data!$P$8:$P$5007))</f>
        <v>0</v>
      </c>
      <c r="Q183" s="87" t="n">
        <f aca="false">IF($A183="",0,SUMIF(GL_Data!$S$8:$S$5007,178012,GL_Data!$P$8:$P$5007))</f>
        <v>0</v>
      </c>
      <c r="R183" s="88" t="n">
        <f aca="false">IF($A183="",0,SUMIF(GL_Data!$S$8:$S$5007,178101,GL_Data!$P$8:$P$5007))</f>
        <v>0</v>
      </c>
      <c r="S183" s="88" t="n">
        <f aca="false">IF($A183="",0,SUMIF(GL_Data!$S$8:$S$5007,178102,GL_Data!$P$8:$P$5007))</f>
        <v>0</v>
      </c>
      <c r="T183" s="88" t="n">
        <f aca="false">IF($A183="",0,SUMIF(GL_Data!$S$8:$S$5007,178103,GL_Data!$P$8:$P$5007))</f>
        <v>0</v>
      </c>
      <c r="U183" s="88" t="n">
        <f aca="false">IF($A183="",0,SUMIF(GL_Data!$S$8:$S$5007,178104,GL_Data!$P$8:$P$5007))</f>
        <v>0</v>
      </c>
      <c r="V183" s="88" t="n">
        <f aca="false">IF($A183="",0,SUMIF(GL_Data!$S$8:$S$5007,178105,GL_Data!$P$8:$P$5007))</f>
        <v>0</v>
      </c>
      <c r="W183" s="88" t="n">
        <f aca="false">IF($A183="",0,SUMIF(GL_Data!$S$8:$S$5007,178106,GL_Data!$P$8:$P$5007))</f>
        <v>0</v>
      </c>
      <c r="X183" s="88" t="n">
        <f aca="false">IF($A183="",0,SUMIF(GL_Data!$S$8:$S$5007,178107,GL_Data!$P$8:$P$5007))</f>
        <v>0</v>
      </c>
      <c r="Y183" s="88" t="n">
        <f aca="false">IF($A183="",0,SUMIF(GL_Data!$S$8:$S$5007,178108,GL_Data!$P$8:$P$5007))</f>
        <v>0</v>
      </c>
      <c r="Z183" s="88" t="n">
        <f aca="false">IF($A183="",0,SUMIF(GL_Data!$S$8:$S$5007,178109,GL_Data!$P$8:$P$5007))</f>
        <v>0</v>
      </c>
      <c r="AA183" s="88" t="n">
        <f aca="false">IF($A183="",0,SUMIF(GL_Data!$S$8:$S$5007,178110,GL_Data!$P$8:$P$5007))</f>
        <v>0</v>
      </c>
      <c r="AB183" s="88" t="n">
        <f aca="false">IF($A183="",0,SUMIF(GL_Data!$S$8:$S$5007,178111,GL_Data!$P$8:$P$5007))</f>
        <v>0</v>
      </c>
      <c r="AC183" s="88" t="n">
        <f aca="false">IF($A183="",0,SUMIF(GL_Data!$S$8:$S$5007,178112,GL_Data!$P$8:$P$5007))</f>
        <v>0</v>
      </c>
      <c r="AD183" s="89" t="n">
        <f aca="false">IF($A183="",0,INDEX($F183:$AC183,12+Setup!$B$8))</f>
        <v>0</v>
      </c>
      <c r="AE183" s="90" t="n">
        <f aca="false">IF($A183="",0,INDEX($F183:$AC183,Setup!$B$8))</f>
        <v>0</v>
      </c>
      <c r="AF183" s="90" t="n">
        <f aca="false">IF($A183="",0,INDEX($F183:$AC183,11+Setup!$B$8))</f>
        <v>0</v>
      </c>
      <c r="AG183" s="90" t="n">
        <f aca="false">IF($A183="",0,AVERAGE(INDEX($F183:$AC183,9+Setup!$B$8):INDEX($F183:$AC183,11+Setup!$B$8)))</f>
        <v>0</v>
      </c>
      <c r="AH183" s="89" t="n">
        <f aca="false">IF($A183="",0,SUMPRODUCT(($R$3:$AC$3&lt;=Setup!$B$8)*$R183:$AC183))</f>
        <v>0</v>
      </c>
      <c r="AI183" s="90" t="n">
        <f aca="false">IF($A183="",0,SUMPRODUCT(($F$3:$Q$3&lt;=Setup!$B$8)*$F183:$Q183))</f>
        <v>0</v>
      </c>
      <c r="AJ183" s="90" t="n">
        <f aca="false">IF($A183="",0,SUM($F183:$Q183))</f>
        <v>0</v>
      </c>
      <c r="AK183" s="90" t="n">
        <f aca="false">IF($A183="",0,SUM($R183:$AC183))</f>
        <v>0</v>
      </c>
      <c r="AL183" s="91" t="n">
        <f aca="false">IF($A183="",0,IF(SUMPRODUCT(ABS($F183:$AC183))&gt;0,1,0))</f>
        <v>0</v>
      </c>
    </row>
    <row r="184" customFormat="false" ht="15" hidden="false" customHeight="false" outlineLevel="0" collapsed="false">
      <c r="A184" s="68" t="str">
        <f aca="false">IF(COA_Mapping!$A185="","",COA_Mapping!$A185)</f>
        <v>Staff Entertainment</v>
      </c>
      <c r="B184" s="68" t="str">
        <f aca="false">IF($A184="","",COA_Mapping!$C185)</f>
        <v>Expenses</v>
      </c>
      <c r="C184" s="68" t="str">
        <f aca="false">IF($A184="","",COA_Mapping!$E185)</f>
        <v>P&amp;L</v>
      </c>
      <c r="D184" s="68" t="str">
        <f aca="false">IF($A184="","",COA_Mapping!$D185)</f>
        <v>Unallocated</v>
      </c>
      <c r="E184" s="86" t="n">
        <f aca="false">IF($A184="",1,COA_Mapping!$F185)</f>
        <v>1</v>
      </c>
      <c r="F184" s="87" t="n">
        <f aca="false">IF($A184="",0,SUMIF(GL_Data!$S$8:$S$5007,179001,GL_Data!$P$8:$P$5007))</f>
        <v>0</v>
      </c>
      <c r="G184" s="87" t="n">
        <f aca="false">IF($A184="",0,SUMIF(GL_Data!$S$8:$S$5007,179002,GL_Data!$P$8:$P$5007))</f>
        <v>0</v>
      </c>
      <c r="H184" s="87" t="n">
        <f aca="false">IF($A184="",0,SUMIF(GL_Data!$S$8:$S$5007,179003,GL_Data!$P$8:$P$5007))</f>
        <v>0</v>
      </c>
      <c r="I184" s="87" t="n">
        <f aca="false">IF($A184="",0,SUMIF(GL_Data!$S$8:$S$5007,179004,GL_Data!$P$8:$P$5007))</f>
        <v>0</v>
      </c>
      <c r="J184" s="87" t="n">
        <f aca="false">IF($A184="",0,SUMIF(GL_Data!$S$8:$S$5007,179005,GL_Data!$P$8:$P$5007))</f>
        <v>0</v>
      </c>
      <c r="K184" s="87" t="n">
        <f aca="false">IF($A184="",0,SUMIF(GL_Data!$S$8:$S$5007,179006,GL_Data!$P$8:$P$5007))</f>
        <v>0</v>
      </c>
      <c r="L184" s="87" t="n">
        <f aca="false">IF($A184="",0,SUMIF(GL_Data!$S$8:$S$5007,179007,GL_Data!$P$8:$P$5007))</f>
        <v>0</v>
      </c>
      <c r="M184" s="87" t="n">
        <f aca="false">IF($A184="",0,SUMIF(GL_Data!$S$8:$S$5007,179008,GL_Data!$P$8:$P$5007))</f>
        <v>0</v>
      </c>
      <c r="N184" s="87" t="n">
        <f aca="false">IF($A184="",0,SUMIF(GL_Data!$S$8:$S$5007,179009,GL_Data!$P$8:$P$5007))</f>
        <v>0</v>
      </c>
      <c r="O184" s="87" t="n">
        <f aca="false">IF($A184="",0,SUMIF(GL_Data!$S$8:$S$5007,179010,GL_Data!$P$8:$P$5007))</f>
        <v>0</v>
      </c>
      <c r="P184" s="87" t="n">
        <f aca="false">IF($A184="",0,SUMIF(GL_Data!$S$8:$S$5007,179011,GL_Data!$P$8:$P$5007))</f>
        <v>0</v>
      </c>
      <c r="Q184" s="87" t="n">
        <f aca="false">IF($A184="",0,SUMIF(GL_Data!$S$8:$S$5007,179012,GL_Data!$P$8:$P$5007))</f>
        <v>0</v>
      </c>
      <c r="R184" s="88" t="n">
        <f aca="false">IF($A184="",0,SUMIF(GL_Data!$S$8:$S$5007,179101,GL_Data!$P$8:$P$5007))</f>
        <v>0</v>
      </c>
      <c r="S184" s="88" t="n">
        <f aca="false">IF($A184="",0,SUMIF(GL_Data!$S$8:$S$5007,179102,GL_Data!$P$8:$P$5007))</f>
        <v>0</v>
      </c>
      <c r="T184" s="88" t="n">
        <f aca="false">IF($A184="",0,SUMIF(GL_Data!$S$8:$S$5007,179103,GL_Data!$P$8:$P$5007))</f>
        <v>0</v>
      </c>
      <c r="U184" s="88" t="n">
        <f aca="false">IF($A184="",0,SUMIF(GL_Data!$S$8:$S$5007,179104,GL_Data!$P$8:$P$5007))</f>
        <v>0</v>
      </c>
      <c r="V184" s="88" t="n">
        <f aca="false">IF($A184="",0,SUMIF(GL_Data!$S$8:$S$5007,179105,GL_Data!$P$8:$P$5007))</f>
        <v>0</v>
      </c>
      <c r="W184" s="88" t="n">
        <f aca="false">IF($A184="",0,SUMIF(GL_Data!$S$8:$S$5007,179106,GL_Data!$P$8:$P$5007))</f>
        <v>0</v>
      </c>
      <c r="X184" s="88" t="n">
        <f aca="false">IF($A184="",0,SUMIF(GL_Data!$S$8:$S$5007,179107,GL_Data!$P$8:$P$5007))</f>
        <v>0</v>
      </c>
      <c r="Y184" s="88" t="n">
        <f aca="false">IF($A184="",0,SUMIF(GL_Data!$S$8:$S$5007,179108,GL_Data!$P$8:$P$5007))</f>
        <v>0</v>
      </c>
      <c r="Z184" s="88" t="n">
        <f aca="false">IF($A184="",0,SUMIF(GL_Data!$S$8:$S$5007,179109,GL_Data!$P$8:$P$5007))</f>
        <v>0</v>
      </c>
      <c r="AA184" s="88" t="n">
        <f aca="false">IF($A184="",0,SUMIF(GL_Data!$S$8:$S$5007,179110,GL_Data!$P$8:$P$5007))</f>
        <v>0</v>
      </c>
      <c r="AB184" s="88" t="n">
        <f aca="false">IF($A184="",0,SUMIF(GL_Data!$S$8:$S$5007,179111,GL_Data!$P$8:$P$5007))</f>
        <v>0</v>
      </c>
      <c r="AC184" s="88" t="n">
        <f aca="false">IF($A184="",0,SUMIF(GL_Data!$S$8:$S$5007,179112,GL_Data!$P$8:$P$5007))</f>
        <v>0</v>
      </c>
      <c r="AD184" s="89" t="n">
        <f aca="false">IF($A184="",0,INDEX($F184:$AC184,12+Setup!$B$8))</f>
        <v>0</v>
      </c>
      <c r="AE184" s="90" t="n">
        <f aca="false">IF($A184="",0,INDEX($F184:$AC184,Setup!$B$8))</f>
        <v>0</v>
      </c>
      <c r="AF184" s="90" t="n">
        <f aca="false">IF($A184="",0,INDEX($F184:$AC184,11+Setup!$B$8))</f>
        <v>0</v>
      </c>
      <c r="AG184" s="90" t="n">
        <f aca="false">IF($A184="",0,AVERAGE(INDEX($F184:$AC184,9+Setup!$B$8):INDEX($F184:$AC184,11+Setup!$B$8)))</f>
        <v>0</v>
      </c>
      <c r="AH184" s="89" t="n">
        <f aca="false">IF($A184="",0,SUMPRODUCT(($R$3:$AC$3&lt;=Setup!$B$8)*$R184:$AC184))</f>
        <v>0</v>
      </c>
      <c r="AI184" s="90" t="n">
        <f aca="false">IF($A184="",0,SUMPRODUCT(($F$3:$Q$3&lt;=Setup!$B$8)*$F184:$Q184))</f>
        <v>0</v>
      </c>
      <c r="AJ184" s="90" t="n">
        <f aca="false">IF($A184="",0,SUM($F184:$Q184))</f>
        <v>0</v>
      </c>
      <c r="AK184" s="90" t="n">
        <f aca="false">IF($A184="",0,SUM($R184:$AC184))</f>
        <v>0</v>
      </c>
      <c r="AL184" s="91" t="n">
        <f aca="false">IF($A184="",0,IF(SUMPRODUCT(ABS($F184:$AC184))&gt;0,1,0))</f>
        <v>0</v>
      </c>
    </row>
    <row r="185" customFormat="false" ht="15" hidden="false" customHeight="false" outlineLevel="0" collapsed="false">
      <c r="A185" s="68" t="str">
        <f aca="false">IF(COA_Mapping!$A186="","",COA_Mapping!$A186)</f>
        <v>Stamp Duty (Indirect)</v>
      </c>
      <c r="B185" s="68" t="str">
        <f aca="false">IF($A185="","",COA_Mapping!$C186)</f>
        <v>Expenses</v>
      </c>
      <c r="C185" s="68" t="str">
        <f aca="false">IF($A185="","",COA_Mapping!$E186)</f>
        <v>P&amp;L</v>
      </c>
      <c r="D185" s="68" t="str">
        <f aca="false">IF($A185="","",COA_Mapping!$D186)</f>
        <v>Unallocated</v>
      </c>
      <c r="E185" s="86" t="n">
        <f aca="false">IF($A185="",1,COA_Mapping!$F186)</f>
        <v>1</v>
      </c>
      <c r="F185" s="87" t="n">
        <f aca="false">IF($A185="",0,SUMIF(GL_Data!$S$8:$S$5007,180001,GL_Data!$P$8:$P$5007))</f>
        <v>0</v>
      </c>
      <c r="G185" s="87" t="n">
        <f aca="false">IF($A185="",0,SUMIF(GL_Data!$S$8:$S$5007,180002,GL_Data!$P$8:$P$5007))</f>
        <v>0</v>
      </c>
      <c r="H185" s="87" t="n">
        <f aca="false">IF($A185="",0,SUMIF(GL_Data!$S$8:$S$5007,180003,GL_Data!$P$8:$P$5007))</f>
        <v>0</v>
      </c>
      <c r="I185" s="87" t="n">
        <f aca="false">IF($A185="",0,SUMIF(GL_Data!$S$8:$S$5007,180004,GL_Data!$P$8:$P$5007))</f>
        <v>0</v>
      </c>
      <c r="J185" s="87" t="n">
        <f aca="false">IF($A185="",0,SUMIF(GL_Data!$S$8:$S$5007,180005,GL_Data!$P$8:$P$5007))</f>
        <v>0</v>
      </c>
      <c r="K185" s="87" t="n">
        <f aca="false">IF($A185="",0,SUMIF(GL_Data!$S$8:$S$5007,180006,GL_Data!$P$8:$P$5007))</f>
        <v>0</v>
      </c>
      <c r="L185" s="87" t="n">
        <f aca="false">IF($A185="",0,SUMIF(GL_Data!$S$8:$S$5007,180007,GL_Data!$P$8:$P$5007))</f>
        <v>0</v>
      </c>
      <c r="M185" s="87" t="n">
        <f aca="false">IF($A185="",0,SUMIF(GL_Data!$S$8:$S$5007,180008,GL_Data!$P$8:$P$5007))</f>
        <v>0</v>
      </c>
      <c r="N185" s="87" t="n">
        <f aca="false">IF($A185="",0,SUMIF(GL_Data!$S$8:$S$5007,180009,GL_Data!$P$8:$P$5007))</f>
        <v>0</v>
      </c>
      <c r="O185" s="87" t="n">
        <f aca="false">IF($A185="",0,SUMIF(GL_Data!$S$8:$S$5007,180010,GL_Data!$P$8:$P$5007))</f>
        <v>0</v>
      </c>
      <c r="P185" s="87" t="n">
        <f aca="false">IF($A185="",0,SUMIF(GL_Data!$S$8:$S$5007,180011,GL_Data!$P$8:$P$5007))</f>
        <v>0</v>
      </c>
      <c r="Q185" s="87" t="n">
        <f aca="false">IF($A185="",0,SUMIF(GL_Data!$S$8:$S$5007,180012,GL_Data!$P$8:$P$5007))</f>
        <v>0</v>
      </c>
      <c r="R185" s="88" t="n">
        <f aca="false">IF($A185="",0,SUMIF(GL_Data!$S$8:$S$5007,180101,GL_Data!$P$8:$P$5007))</f>
        <v>0</v>
      </c>
      <c r="S185" s="88" t="n">
        <f aca="false">IF($A185="",0,SUMIF(GL_Data!$S$8:$S$5007,180102,GL_Data!$P$8:$P$5007))</f>
        <v>0</v>
      </c>
      <c r="T185" s="88" t="n">
        <f aca="false">IF($A185="",0,SUMIF(GL_Data!$S$8:$S$5007,180103,GL_Data!$P$8:$P$5007))</f>
        <v>0</v>
      </c>
      <c r="U185" s="88" t="n">
        <f aca="false">IF($A185="",0,SUMIF(GL_Data!$S$8:$S$5007,180104,GL_Data!$P$8:$P$5007))</f>
        <v>0</v>
      </c>
      <c r="V185" s="88" t="n">
        <f aca="false">IF($A185="",0,SUMIF(GL_Data!$S$8:$S$5007,180105,GL_Data!$P$8:$P$5007))</f>
        <v>0</v>
      </c>
      <c r="W185" s="88" t="n">
        <f aca="false">IF($A185="",0,SUMIF(GL_Data!$S$8:$S$5007,180106,GL_Data!$P$8:$P$5007))</f>
        <v>0</v>
      </c>
      <c r="X185" s="88" t="n">
        <f aca="false">IF($A185="",0,SUMIF(GL_Data!$S$8:$S$5007,180107,GL_Data!$P$8:$P$5007))</f>
        <v>0</v>
      </c>
      <c r="Y185" s="88" t="n">
        <f aca="false">IF($A185="",0,SUMIF(GL_Data!$S$8:$S$5007,180108,GL_Data!$P$8:$P$5007))</f>
        <v>0</v>
      </c>
      <c r="Z185" s="88" t="n">
        <f aca="false">IF($A185="",0,SUMIF(GL_Data!$S$8:$S$5007,180109,GL_Data!$P$8:$P$5007))</f>
        <v>0</v>
      </c>
      <c r="AA185" s="88" t="n">
        <f aca="false">IF($A185="",0,SUMIF(GL_Data!$S$8:$S$5007,180110,GL_Data!$P$8:$P$5007))</f>
        <v>0</v>
      </c>
      <c r="AB185" s="88" t="n">
        <f aca="false">IF($A185="",0,SUMIF(GL_Data!$S$8:$S$5007,180111,GL_Data!$P$8:$P$5007))</f>
        <v>0</v>
      </c>
      <c r="AC185" s="88" t="n">
        <f aca="false">IF($A185="",0,SUMIF(GL_Data!$S$8:$S$5007,180112,GL_Data!$P$8:$P$5007))</f>
        <v>0</v>
      </c>
      <c r="AD185" s="89" t="n">
        <f aca="false">IF($A185="",0,INDEX($F185:$AC185,12+Setup!$B$8))</f>
        <v>0</v>
      </c>
      <c r="AE185" s="90" t="n">
        <f aca="false">IF($A185="",0,INDEX($F185:$AC185,Setup!$B$8))</f>
        <v>0</v>
      </c>
      <c r="AF185" s="90" t="n">
        <f aca="false">IF($A185="",0,INDEX($F185:$AC185,11+Setup!$B$8))</f>
        <v>0</v>
      </c>
      <c r="AG185" s="90" t="n">
        <f aca="false">IF($A185="",0,AVERAGE(INDEX($F185:$AC185,9+Setup!$B$8):INDEX($F185:$AC185,11+Setup!$B$8)))</f>
        <v>0</v>
      </c>
      <c r="AH185" s="89" t="n">
        <f aca="false">IF($A185="",0,SUMPRODUCT(($R$3:$AC$3&lt;=Setup!$B$8)*$R185:$AC185))</f>
        <v>0</v>
      </c>
      <c r="AI185" s="90" t="n">
        <f aca="false">IF($A185="",0,SUMPRODUCT(($F$3:$Q$3&lt;=Setup!$B$8)*$F185:$Q185))</f>
        <v>0</v>
      </c>
      <c r="AJ185" s="90" t="n">
        <f aca="false">IF($A185="",0,SUM($F185:$Q185))</f>
        <v>0</v>
      </c>
      <c r="AK185" s="90" t="n">
        <f aca="false">IF($A185="",0,SUM($R185:$AC185))</f>
        <v>0</v>
      </c>
      <c r="AL185" s="91" t="n">
        <f aca="false">IF($A185="",0,IF(SUMPRODUCT(ABS($F185:$AC185))&gt;0,1,0))</f>
        <v>0</v>
      </c>
    </row>
    <row r="186" customFormat="false" ht="15" hidden="false" customHeight="false" outlineLevel="0" collapsed="false">
      <c r="A186" s="68" t="str">
        <f aca="false">IF(COA_Mapping!$A187="","",COA_Mapping!$A187)</f>
        <v>Storage Fees</v>
      </c>
      <c r="B186" s="68" t="str">
        <f aca="false">IF($A186="","",COA_Mapping!$C187)</f>
        <v>Expenses</v>
      </c>
      <c r="C186" s="68" t="str">
        <f aca="false">IF($A186="","",COA_Mapping!$E187)</f>
        <v>P&amp;L</v>
      </c>
      <c r="D186" s="68" t="str">
        <f aca="false">IF($A186="","",COA_Mapping!$D187)</f>
        <v>Unallocated</v>
      </c>
      <c r="E186" s="86" t="n">
        <f aca="false">IF($A186="",1,COA_Mapping!$F187)</f>
        <v>1</v>
      </c>
      <c r="F186" s="87" t="n">
        <f aca="false">IF($A186="",0,SUMIF(GL_Data!$S$8:$S$5007,181001,GL_Data!$P$8:$P$5007))</f>
        <v>0</v>
      </c>
      <c r="G186" s="87" t="n">
        <f aca="false">IF($A186="",0,SUMIF(GL_Data!$S$8:$S$5007,181002,GL_Data!$P$8:$P$5007))</f>
        <v>0</v>
      </c>
      <c r="H186" s="87" t="n">
        <f aca="false">IF($A186="",0,SUMIF(GL_Data!$S$8:$S$5007,181003,GL_Data!$P$8:$P$5007))</f>
        <v>0</v>
      </c>
      <c r="I186" s="87" t="n">
        <f aca="false">IF($A186="",0,SUMIF(GL_Data!$S$8:$S$5007,181004,GL_Data!$P$8:$P$5007))</f>
        <v>0</v>
      </c>
      <c r="J186" s="87" t="n">
        <f aca="false">IF($A186="",0,SUMIF(GL_Data!$S$8:$S$5007,181005,GL_Data!$P$8:$P$5007))</f>
        <v>0</v>
      </c>
      <c r="K186" s="87" t="n">
        <f aca="false">IF($A186="",0,SUMIF(GL_Data!$S$8:$S$5007,181006,GL_Data!$P$8:$P$5007))</f>
        <v>0</v>
      </c>
      <c r="L186" s="87" t="n">
        <f aca="false">IF($A186="",0,SUMIF(GL_Data!$S$8:$S$5007,181007,GL_Data!$P$8:$P$5007))</f>
        <v>0</v>
      </c>
      <c r="M186" s="87" t="n">
        <f aca="false">IF($A186="",0,SUMIF(GL_Data!$S$8:$S$5007,181008,GL_Data!$P$8:$P$5007))</f>
        <v>0</v>
      </c>
      <c r="N186" s="87" t="n">
        <f aca="false">IF($A186="",0,SUMIF(GL_Data!$S$8:$S$5007,181009,GL_Data!$P$8:$P$5007))</f>
        <v>0</v>
      </c>
      <c r="O186" s="87" t="n">
        <f aca="false">IF($A186="",0,SUMIF(GL_Data!$S$8:$S$5007,181010,GL_Data!$P$8:$P$5007))</f>
        <v>0</v>
      </c>
      <c r="P186" s="87" t="n">
        <f aca="false">IF($A186="",0,SUMIF(GL_Data!$S$8:$S$5007,181011,GL_Data!$P$8:$P$5007))</f>
        <v>0</v>
      </c>
      <c r="Q186" s="87" t="n">
        <f aca="false">IF($A186="",0,SUMIF(GL_Data!$S$8:$S$5007,181012,GL_Data!$P$8:$P$5007))</f>
        <v>0</v>
      </c>
      <c r="R186" s="88" t="n">
        <f aca="false">IF($A186="",0,SUMIF(GL_Data!$S$8:$S$5007,181101,GL_Data!$P$8:$P$5007))</f>
        <v>0</v>
      </c>
      <c r="S186" s="88" t="n">
        <f aca="false">IF($A186="",0,SUMIF(GL_Data!$S$8:$S$5007,181102,GL_Data!$P$8:$P$5007))</f>
        <v>0</v>
      </c>
      <c r="T186" s="88" t="n">
        <f aca="false">IF($A186="",0,SUMIF(GL_Data!$S$8:$S$5007,181103,GL_Data!$P$8:$P$5007))</f>
        <v>0</v>
      </c>
      <c r="U186" s="88" t="n">
        <f aca="false">IF($A186="",0,SUMIF(GL_Data!$S$8:$S$5007,181104,GL_Data!$P$8:$P$5007))</f>
        <v>0</v>
      </c>
      <c r="V186" s="88" t="n">
        <f aca="false">IF($A186="",0,SUMIF(GL_Data!$S$8:$S$5007,181105,GL_Data!$P$8:$P$5007))</f>
        <v>0</v>
      </c>
      <c r="W186" s="88" t="n">
        <f aca="false">IF($A186="",0,SUMIF(GL_Data!$S$8:$S$5007,181106,GL_Data!$P$8:$P$5007))</f>
        <v>0</v>
      </c>
      <c r="X186" s="88" t="n">
        <f aca="false">IF($A186="",0,SUMIF(GL_Data!$S$8:$S$5007,181107,GL_Data!$P$8:$P$5007))</f>
        <v>0</v>
      </c>
      <c r="Y186" s="88" t="n">
        <f aca="false">IF($A186="",0,SUMIF(GL_Data!$S$8:$S$5007,181108,GL_Data!$P$8:$P$5007))</f>
        <v>0</v>
      </c>
      <c r="Z186" s="88" t="n">
        <f aca="false">IF($A186="",0,SUMIF(GL_Data!$S$8:$S$5007,181109,GL_Data!$P$8:$P$5007))</f>
        <v>0</v>
      </c>
      <c r="AA186" s="88" t="n">
        <f aca="false">IF($A186="",0,SUMIF(GL_Data!$S$8:$S$5007,181110,GL_Data!$P$8:$P$5007))</f>
        <v>0</v>
      </c>
      <c r="AB186" s="88" t="n">
        <f aca="false">IF($A186="",0,SUMIF(GL_Data!$S$8:$S$5007,181111,GL_Data!$P$8:$P$5007))</f>
        <v>0</v>
      </c>
      <c r="AC186" s="88" t="n">
        <f aca="false">IF($A186="",0,SUMIF(GL_Data!$S$8:$S$5007,181112,GL_Data!$P$8:$P$5007))</f>
        <v>0</v>
      </c>
      <c r="AD186" s="89" t="n">
        <f aca="false">IF($A186="",0,INDEX($F186:$AC186,12+Setup!$B$8))</f>
        <v>0</v>
      </c>
      <c r="AE186" s="90" t="n">
        <f aca="false">IF($A186="",0,INDEX($F186:$AC186,Setup!$B$8))</f>
        <v>0</v>
      </c>
      <c r="AF186" s="90" t="n">
        <f aca="false">IF($A186="",0,INDEX($F186:$AC186,11+Setup!$B$8))</f>
        <v>0</v>
      </c>
      <c r="AG186" s="90" t="n">
        <f aca="false">IF($A186="",0,AVERAGE(INDEX($F186:$AC186,9+Setup!$B$8):INDEX($F186:$AC186,11+Setup!$B$8)))</f>
        <v>0</v>
      </c>
      <c r="AH186" s="89" t="n">
        <f aca="false">IF($A186="",0,SUMPRODUCT(($R$3:$AC$3&lt;=Setup!$B$8)*$R186:$AC186))</f>
        <v>0</v>
      </c>
      <c r="AI186" s="90" t="n">
        <f aca="false">IF($A186="",0,SUMPRODUCT(($F$3:$Q$3&lt;=Setup!$B$8)*$F186:$Q186))</f>
        <v>0</v>
      </c>
      <c r="AJ186" s="90" t="n">
        <f aca="false">IF($A186="",0,SUM($F186:$Q186))</f>
        <v>0</v>
      </c>
      <c r="AK186" s="90" t="n">
        <f aca="false">IF($A186="",0,SUM($R186:$AC186))</f>
        <v>0</v>
      </c>
      <c r="AL186" s="91" t="n">
        <f aca="false">IF($A186="",0,IF(SUMPRODUCT(ABS($F186:$AC186))&gt;0,1,0))</f>
        <v>0</v>
      </c>
    </row>
    <row r="187" customFormat="false" ht="15" hidden="false" customHeight="false" outlineLevel="0" collapsed="false">
      <c r="A187" s="68" t="str">
        <f aca="false">IF(COA_Mapping!$A188="","",COA_Mapping!$A188)</f>
        <v>Stripe Fees</v>
      </c>
      <c r="B187" s="68" t="str">
        <f aca="false">IF($A187="","",COA_Mapping!$C188)</f>
        <v>Expenses</v>
      </c>
      <c r="C187" s="68" t="str">
        <f aca="false">IF($A187="","",COA_Mapping!$E188)</f>
        <v>P&amp;L</v>
      </c>
      <c r="D187" s="68" t="str">
        <f aca="false">IF($A187="","",COA_Mapping!$D188)</f>
        <v>Unallocated</v>
      </c>
      <c r="E187" s="86" t="n">
        <f aca="false">IF($A187="",1,COA_Mapping!$F188)</f>
        <v>1</v>
      </c>
      <c r="F187" s="87" t="n">
        <f aca="false">IF($A187="",0,SUMIF(GL_Data!$S$8:$S$5007,182001,GL_Data!$P$8:$P$5007))</f>
        <v>0</v>
      </c>
      <c r="G187" s="87" t="n">
        <f aca="false">IF($A187="",0,SUMIF(GL_Data!$S$8:$S$5007,182002,GL_Data!$P$8:$P$5007))</f>
        <v>0</v>
      </c>
      <c r="H187" s="87" t="n">
        <f aca="false">IF($A187="",0,SUMIF(GL_Data!$S$8:$S$5007,182003,GL_Data!$P$8:$P$5007))</f>
        <v>0</v>
      </c>
      <c r="I187" s="87" t="n">
        <f aca="false">IF($A187="",0,SUMIF(GL_Data!$S$8:$S$5007,182004,GL_Data!$P$8:$P$5007))</f>
        <v>0</v>
      </c>
      <c r="J187" s="87" t="n">
        <f aca="false">IF($A187="",0,SUMIF(GL_Data!$S$8:$S$5007,182005,GL_Data!$P$8:$P$5007))</f>
        <v>0</v>
      </c>
      <c r="K187" s="87" t="n">
        <f aca="false">IF($A187="",0,SUMIF(GL_Data!$S$8:$S$5007,182006,GL_Data!$P$8:$P$5007))</f>
        <v>0</v>
      </c>
      <c r="L187" s="87" t="n">
        <f aca="false">IF($A187="",0,SUMIF(GL_Data!$S$8:$S$5007,182007,GL_Data!$P$8:$P$5007))</f>
        <v>0</v>
      </c>
      <c r="M187" s="87" t="n">
        <f aca="false">IF($A187="",0,SUMIF(GL_Data!$S$8:$S$5007,182008,GL_Data!$P$8:$P$5007))</f>
        <v>0</v>
      </c>
      <c r="N187" s="87" t="n">
        <f aca="false">IF($A187="",0,SUMIF(GL_Data!$S$8:$S$5007,182009,GL_Data!$P$8:$P$5007))</f>
        <v>0</v>
      </c>
      <c r="O187" s="87" t="n">
        <f aca="false">IF($A187="",0,SUMIF(GL_Data!$S$8:$S$5007,182010,GL_Data!$P$8:$P$5007))</f>
        <v>0</v>
      </c>
      <c r="P187" s="87" t="n">
        <f aca="false">IF($A187="",0,SUMIF(GL_Data!$S$8:$S$5007,182011,GL_Data!$P$8:$P$5007))</f>
        <v>0</v>
      </c>
      <c r="Q187" s="87" t="n">
        <f aca="false">IF($A187="",0,SUMIF(GL_Data!$S$8:$S$5007,182012,GL_Data!$P$8:$P$5007))</f>
        <v>0</v>
      </c>
      <c r="R187" s="88" t="n">
        <f aca="false">IF($A187="",0,SUMIF(GL_Data!$S$8:$S$5007,182101,GL_Data!$P$8:$P$5007))</f>
        <v>0</v>
      </c>
      <c r="S187" s="88" t="n">
        <f aca="false">IF($A187="",0,SUMIF(GL_Data!$S$8:$S$5007,182102,GL_Data!$P$8:$P$5007))</f>
        <v>0</v>
      </c>
      <c r="T187" s="88" t="n">
        <f aca="false">IF($A187="",0,SUMIF(GL_Data!$S$8:$S$5007,182103,GL_Data!$P$8:$P$5007))</f>
        <v>0</v>
      </c>
      <c r="U187" s="88" t="n">
        <f aca="false">IF($A187="",0,SUMIF(GL_Data!$S$8:$S$5007,182104,GL_Data!$P$8:$P$5007))</f>
        <v>0</v>
      </c>
      <c r="V187" s="88" t="n">
        <f aca="false">IF($A187="",0,SUMIF(GL_Data!$S$8:$S$5007,182105,GL_Data!$P$8:$P$5007))</f>
        <v>0</v>
      </c>
      <c r="W187" s="88" t="n">
        <f aca="false">IF($A187="",0,SUMIF(GL_Data!$S$8:$S$5007,182106,GL_Data!$P$8:$P$5007))</f>
        <v>0</v>
      </c>
      <c r="X187" s="88" t="n">
        <f aca="false">IF($A187="",0,SUMIF(GL_Data!$S$8:$S$5007,182107,GL_Data!$P$8:$P$5007))</f>
        <v>0</v>
      </c>
      <c r="Y187" s="88" t="n">
        <f aca="false">IF($A187="",0,SUMIF(GL_Data!$S$8:$S$5007,182108,GL_Data!$P$8:$P$5007))</f>
        <v>0</v>
      </c>
      <c r="Z187" s="88" t="n">
        <f aca="false">IF($A187="",0,SUMIF(GL_Data!$S$8:$S$5007,182109,GL_Data!$P$8:$P$5007))</f>
        <v>0</v>
      </c>
      <c r="AA187" s="88" t="n">
        <f aca="false">IF($A187="",0,SUMIF(GL_Data!$S$8:$S$5007,182110,GL_Data!$P$8:$P$5007))</f>
        <v>0</v>
      </c>
      <c r="AB187" s="88" t="n">
        <f aca="false">IF($A187="",0,SUMIF(GL_Data!$S$8:$S$5007,182111,GL_Data!$P$8:$P$5007))</f>
        <v>0</v>
      </c>
      <c r="AC187" s="88" t="n">
        <f aca="false">IF($A187="",0,SUMIF(GL_Data!$S$8:$S$5007,182112,GL_Data!$P$8:$P$5007))</f>
        <v>0</v>
      </c>
      <c r="AD187" s="89" t="n">
        <f aca="false">IF($A187="",0,INDEX($F187:$AC187,12+Setup!$B$8))</f>
        <v>0</v>
      </c>
      <c r="AE187" s="90" t="n">
        <f aca="false">IF($A187="",0,INDEX($F187:$AC187,Setup!$B$8))</f>
        <v>0</v>
      </c>
      <c r="AF187" s="90" t="n">
        <f aca="false">IF($A187="",0,INDEX($F187:$AC187,11+Setup!$B$8))</f>
        <v>0</v>
      </c>
      <c r="AG187" s="90" t="n">
        <f aca="false">IF($A187="",0,AVERAGE(INDEX($F187:$AC187,9+Setup!$B$8):INDEX($F187:$AC187,11+Setup!$B$8)))</f>
        <v>0</v>
      </c>
      <c r="AH187" s="89" t="n">
        <f aca="false">IF($A187="",0,SUMPRODUCT(($R$3:$AC$3&lt;=Setup!$B$8)*$R187:$AC187))</f>
        <v>0</v>
      </c>
      <c r="AI187" s="90" t="n">
        <f aca="false">IF($A187="",0,SUMPRODUCT(($F$3:$Q$3&lt;=Setup!$B$8)*$F187:$Q187))</f>
        <v>0</v>
      </c>
      <c r="AJ187" s="90" t="n">
        <f aca="false">IF($A187="",0,SUM($F187:$Q187))</f>
        <v>0</v>
      </c>
      <c r="AK187" s="90" t="n">
        <f aca="false">IF($A187="",0,SUM($R187:$AC187))</f>
        <v>0</v>
      </c>
      <c r="AL187" s="91" t="n">
        <f aca="false">IF($A187="",0,IF(SUMPRODUCT(ABS($F187:$AC187))&gt;0,1,0))</f>
        <v>0</v>
      </c>
    </row>
    <row r="188" customFormat="false" ht="15" hidden="false" customHeight="false" outlineLevel="0" collapsed="false">
      <c r="A188" s="68" t="str">
        <f aca="false">IF(COA_Mapping!$A189="","",COA_Mapping!$A189)</f>
        <v>Superannuation</v>
      </c>
      <c r="B188" s="68" t="str">
        <f aca="false">IF($A188="","",COA_Mapping!$C189)</f>
        <v>Expenses</v>
      </c>
      <c r="C188" s="68" t="str">
        <f aca="false">IF($A188="","",COA_Mapping!$E189)</f>
        <v>P&amp;L</v>
      </c>
      <c r="D188" s="68" t="str">
        <f aca="false">IF($A188="","",COA_Mapping!$D189)</f>
        <v>Unallocated</v>
      </c>
      <c r="E188" s="86" t="n">
        <f aca="false">IF($A188="",1,COA_Mapping!$F189)</f>
        <v>1</v>
      </c>
      <c r="F188" s="87" t="n">
        <f aca="false">IF($A188="",0,SUMIF(GL_Data!$S$8:$S$5007,183001,GL_Data!$P$8:$P$5007))</f>
        <v>0</v>
      </c>
      <c r="G188" s="87" t="n">
        <f aca="false">IF($A188="",0,SUMIF(GL_Data!$S$8:$S$5007,183002,GL_Data!$P$8:$P$5007))</f>
        <v>0</v>
      </c>
      <c r="H188" s="87" t="n">
        <f aca="false">IF($A188="",0,SUMIF(GL_Data!$S$8:$S$5007,183003,GL_Data!$P$8:$P$5007))</f>
        <v>0</v>
      </c>
      <c r="I188" s="87" t="n">
        <f aca="false">IF($A188="",0,SUMIF(GL_Data!$S$8:$S$5007,183004,GL_Data!$P$8:$P$5007))</f>
        <v>0</v>
      </c>
      <c r="J188" s="87" t="n">
        <f aca="false">IF($A188="",0,SUMIF(GL_Data!$S$8:$S$5007,183005,GL_Data!$P$8:$P$5007))</f>
        <v>0</v>
      </c>
      <c r="K188" s="87" t="n">
        <f aca="false">IF($A188="",0,SUMIF(GL_Data!$S$8:$S$5007,183006,GL_Data!$P$8:$P$5007))</f>
        <v>0</v>
      </c>
      <c r="L188" s="87" t="n">
        <f aca="false">IF($A188="",0,SUMIF(GL_Data!$S$8:$S$5007,183007,GL_Data!$P$8:$P$5007))</f>
        <v>0</v>
      </c>
      <c r="M188" s="87" t="n">
        <f aca="false">IF($A188="",0,SUMIF(GL_Data!$S$8:$S$5007,183008,GL_Data!$P$8:$P$5007))</f>
        <v>0</v>
      </c>
      <c r="N188" s="87" t="n">
        <f aca="false">IF($A188="",0,SUMIF(GL_Data!$S$8:$S$5007,183009,GL_Data!$P$8:$P$5007))</f>
        <v>0</v>
      </c>
      <c r="O188" s="87" t="n">
        <f aca="false">IF($A188="",0,SUMIF(GL_Data!$S$8:$S$5007,183010,GL_Data!$P$8:$P$5007))</f>
        <v>0</v>
      </c>
      <c r="P188" s="87" t="n">
        <f aca="false">IF($A188="",0,SUMIF(GL_Data!$S$8:$S$5007,183011,GL_Data!$P$8:$P$5007))</f>
        <v>0</v>
      </c>
      <c r="Q188" s="87" t="n">
        <f aca="false">IF($A188="",0,SUMIF(GL_Data!$S$8:$S$5007,183012,GL_Data!$P$8:$P$5007))</f>
        <v>0</v>
      </c>
      <c r="R188" s="88" t="n">
        <f aca="false">IF($A188="",0,SUMIF(GL_Data!$S$8:$S$5007,183101,GL_Data!$P$8:$P$5007))</f>
        <v>0</v>
      </c>
      <c r="S188" s="88" t="n">
        <f aca="false">IF($A188="",0,SUMIF(GL_Data!$S$8:$S$5007,183102,GL_Data!$P$8:$P$5007))</f>
        <v>0</v>
      </c>
      <c r="T188" s="88" t="n">
        <f aca="false">IF($A188="",0,SUMIF(GL_Data!$S$8:$S$5007,183103,GL_Data!$P$8:$P$5007))</f>
        <v>0</v>
      </c>
      <c r="U188" s="88" t="n">
        <f aca="false">IF($A188="",0,SUMIF(GL_Data!$S$8:$S$5007,183104,GL_Data!$P$8:$P$5007))</f>
        <v>0</v>
      </c>
      <c r="V188" s="88" t="n">
        <f aca="false">IF($A188="",0,SUMIF(GL_Data!$S$8:$S$5007,183105,GL_Data!$P$8:$P$5007))</f>
        <v>0</v>
      </c>
      <c r="W188" s="88" t="n">
        <f aca="false">IF($A188="",0,SUMIF(GL_Data!$S$8:$S$5007,183106,GL_Data!$P$8:$P$5007))</f>
        <v>0</v>
      </c>
      <c r="X188" s="88" t="n">
        <f aca="false">IF($A188="",0,SUMIF(GL_Data!$S$8:$S$5007,183107,GL_Data!$P$8:$P$5007))</f>
        <v>0</v>
      </c>
      <c r="Y188" s="88" t="n">
        <f aca="false">IF($A188="",0,SUMIF(GL_Data!$S$8:$S$5007,183108,GL_Data!$P$8:$P$5007))</f>
        <v>0</v>
      </c>
      <c r="Z188" s="88" t="n">
        <f aca="false">IF($A188="",0,SUMIF(GL_Data!$S$8:$S$5007,183109,GL_Data!$P$8:$P$5007))</f>
        <v>0</v>
      </c>
      <c r="AA188" s="88" t="n">
        <f aca="false">IF($A188="",0,SUMIF(GL_Data!$S$8:$S$5007,183110,GL_Data!$P$8:$P$5007))</f>
        <v>0</v>
      </c>
      <c r="AB188" s="88" t="n">
        <f aca="false">IF($A188="",0,SUMIF(GL_Data!$S$8:$S$5007,183111,GL_Data!$P$8:$P$5007))</f>
        <v>0</v>
      </c>
      <c r="AC188" s="88" t="n">
        <f aca="false">IF($A188="",0,SUMIF(GL_Data!$S$8:$S$5007,183112,GL_Data!$P$8:$P$5007))</f>
        <v>0</v>
      </c>
      <c r="AD188" s="89" t="n">
        <f aca="false">IF($A188="",0,INDEX($F188:$AC188,12+Setup!$B$8))</f>
        <v>0</v>
      </c>
      <c r="AE188" s="90" t="n">
        <f aca="false">IF($A188="",0,INDEX($F188:$AC188,Setup!$B$8))</f>
        <v>0</v>
      </c>
      <c r="AF188" s="90" t="n">
        <f aca="false">IF($A188="",0,INDEX($F188:$AC188,11+Setup!$B$8))</f>
        <v>0</v>
      </c>
      <c r="AG188" s="90" t="n">
        <f aca="false">IF($A188="",0,AVERAGE(INDEX($F188:$AC188,9+Setup!$B$8):INDEX($F188:$AC188,11+Setup!$B$8)))</f>
        <v>0</v>
      </c>
      <c r="AH188" s="89" t="n">
        <f aca="false">IF($A188="",0,SUMPRODUCT(($R$3:$AC$3&lt;=Setup!$B$8)*$R188:$AC188))</f>
        <v>0</v>
      </c>
      <c r="AI188" s="90" t="n">
        <f aca="false">IF($A188="",0,SUMPRODUCT(($F$3:$Q$3&lt;=Setup!$B$8)*$F188:$Q188))</f>
        <v>0</v>
      </c>
      <c r="AJ188" s="90" t="n">
        <f aca="false">IF($A188="",0,SUM($F188:$Q188))</f>
        <v>0</v>
      </c>
      <c r="AK188" s="90" t="n">
        <f aca="false">IF($A188="",0,SUM($R188:$AC188))</f>
        <v>0</v>
      </c>
      <c r="AL188" s="91" t="n">
        <f aca="false">IF($A188="",0,IF(SUMPRODUCT(ABS($F188:$AC188))&gt;0,1,0))</f>
        <v>0</v>
      </c>
    </row>
    <row r="189" customFormat="false" ht="15" hidden="false" customHeight="false" outlineLevel="0" collapsed="false">
      <c r="A189" s="68" t="str">
        <f aca="false">IF(COA_Mapping!$A190="","",COA_Mapping!$A190)</f>
        <v>Taxis/Parking</v>
      </c>
      <c r="B189" s="68" t="str">
        <f aca="false">IF($A189="","",COA_Mapping!$C190)</f>
        <v>Expenses</v>
      </c>
      <c r="C189" s="68" t="str">
        <f aca="false">IF($A189="","",COA_Mapping!$E190)</f>
        <v>P&amp;L</v>
      </c>
      <c r="D189" s="68" t="str">
        <f aca="false">IF($A189="","",COA_Mapping!$D190)</f>
        <v>Unallocated</v>
      </c>
      <c r="E189" s="86" t="n">
        <f aca="false">IF($A189="",1,COA_Mapping!$F190)</f>
        <v>1</v>
      </c>
      <c r="F189" s="87" t="n">
        <f aca="false">IF($A189="",0,SUMIF(GL_Data!$S$8:$S$5007,184001,GL_Data!$P$8:$P$5007))</f>
        <v>0</v>
      </c>
      <c r="G189" s="87" t="n">
        <f aca="false">IF($A189="",0,SUMIF(GL_Data!$S$8:$S$5007,184002,GL_Data!$P$8:$P$5007))</f>
        <v>0</v>
      </c>
      <c r="H189" s="87" t="n">
        <f aca="false">IF($A189="",0,SUMIF(GL_Data!$S$8:$S$5007,184003,GL_Data!$P$8:$P$5007))</f>
        <v>0</v>
      </c>
      <c r="I189" s="87" t="n">
        <f aca="false">IF($A189="",0,SUMIF(GL_Data!$S$8:$S$5007,184004,GL_Data!$P$8:$P$5007))</f>
        <v>0</v>
      </c>
      <c r="J189" s="87" t="n">
        <f aca="false">IF($A189="",0,SUMIF(GL_Data!$S$8:$S$5007,184005,GL_Data!$P$8:$P$5007))</f>
        <v>0</v>
      </c>
      <c r="K189" s="87" t="n">
        <f aca="false">IF($A189="",0,SUMIF(GL_Data!$S$8:$S$5007,184006,GL_Data!$P$8:$P$5007))</f>
        <v>0</v>
      </c>
      <c r="L189" s="87" t="n">
        <f aca="false">IF($A189="",0,SUMIF(GL_Data!$S$8:$S$5007,184007,GL_Data!$P$8:$P$5007))</f>
        <v>0</v>
      </c>
      <c r="M189" s="87" t="n">
        <f aca="false">IF($A189="",0,SUMIF(GL_Data!$S$8:$S$5007,184008,GL_Data!$P$8:$P$5007))</f>
        <v>0</v>
      </c>
      <c r="N189" s="87" t="n">
        <f aca="false">IF($A189="",0,SUMIF(GL_Data!$S$8:$S$5007,184009,GL_Data!$P$8:$P$5007))</f>
        <v>0</v>
      </c>
      <c r="O189" s="87" t="n">
        <f aca="false">IF($A189="",0,SUMIF(GL_Data!$S$8:$S$5007,184010,GL_Data!$P$8:$P$5007))</f>
        <v>0</v>
      </c>
      <c r="P189" s="87" t="n">
        <f aca="false">IF($A189="",0,SUMIF(GL_Data!$S$8:$S$5007,184011,GL_Data!$P$8:$P$5007))</f>
        <v>0</v>
      </c>
      <c r="Q189" s="87" t="n">
        <f aca="false">IF($A189="",0,SUMIF(GL_Data!$S$8:$S$5007,184012,GL_Data!$P$8:$P$5007))</f>
        <v>0</v>
      </c>
      <c r="R189" s="88" t="n">
        <f aca="false">IF($A189="",0,SUMIF(GL_Data!$S$8:$S$5007,184101,GL_Data!$P$8:$P$5007))</f>
        <v>0</v>
      </c>
      <c r="S189" s="88" t="n">
        <f aca="false">IF($A189="",0,SUMIF(GL_Data!$S$8:$S$5007,184102,GL_Data!$P$8:$P$5007))</f>
        <v>0</v>
      </c>
      <c r="T189" s="88" t="n">
        <f aca="false">IF($A189="",0,SUMIF(GL_Data!$S$8:$S$5007,184103,GL_Data!$P$8:$P$5007))</f>
        <v>0</v>
      </c>
      <c r="U189" s="88" t="n">
        <f aca="false">IF($A189="",0,SUMIF(GL_Data!$S$8:$S$5007,184104,GL_Data!$P$8:$P$5007))</f>
        <v>0</v>
      </c>
      <c r="V189" s="88" t="n">
        <f aca="false">IF($A189="",0,SUMIF(GL_Data!$S$8:$S$5007,184105,GL_Data!$P$8:$P$5007))</f>
        <v>0</v>
      </c>
      <c r="W189" s="88" t="n">
        <f aca="false">IF($A189="",0,SUMIF(GL_Data!$S$8:$S$5007,184106,GL_Data!$P$8:$P$5007))</f>
        <v>0</v>
      </c>
      <c r="X189" s="88" t="n">
        <f aca="false">IF($A189="",0,SUMIF(GL_Data!$S$8:$S$5007,184107,GL_Data!$P$8:$P$5007))</f>
        <v>0</v>
      </c>
      <c r="Y189" s="88" t="n">
        <f aca="false">IF($A189="",0,SUMIF(GL_Data!$S$8:$S$5007,184108,GL_Data!$P$8:$P$5007))</f>
        <v>0</v>
      </c>
      <c r="Z189" s="88" t="n">
        <f aca="false">IF($A189="",0,SUMIF(GL_Data!$S$8:$S$5007,184109,GL_Data!$P$8:$P$5007))</f>
        <v>0</v>
      </c>
      <c r="AA189" s="88" t="n">
        <f aca="false">IF($A189="",0,SUMIF(GL_Data!$S$8:$S$5007,184110,GL_Data!$P$8:$P$5007))</f>
        <v>0</v>
      </c>
      <c r="AB189" s="88" t="n">
        <f aca="false">IF($A189="",0,SUMIF(GL_Data!$S$8:$S$5007,184111,GL_Data!$P$8:$P$5007))</f>
        <v>0</v>
      </c>
      <c r="AC189" s="88" t="n">
        <f aca="false">IF($A189="",0,SUMIF(GL_Data!$S$8:$S$5007,184112,GL_Data!$P$8:$P$5007))</f>
        <v>0</v>
      </c>
      <c r="AD189" s="89" t="n">
        <f aca="false">IF($A189="",0,INDEX($F189:$AC189,12+Setup!$B$8))</f>
        <v>0</v>
      </c>
      <c r="AE189" s="90" t="n">
        <f aca="false">IF($A189="",0,INDEX($F189:$AC189,Setup!$B$8))</f>
        <v>0</v>
      </c>
      <c r="AF189" s="90" t="n">
        <f aca="false">IF($A189="",0,INDEX($F189:$AC189,11+Setup!$B$8))</f>
        <v>0</v>
      </c>
      <c r="AG189" s="90" t="n">
        <f aca="false">IF($A189="",0,AVERAGE(INDEX($F189:$AC189,9+Setup!$B$8):INDEX($F189:$AC189,11+Setup!$B$8)))</f>
        <v>0</v>
      </c>
      <c r="AH189" s="89" t="n">
        <f aca="false">IF($A189="",0,SUMPRODUCT(($R$3:$AC$3&lt;=Setup!$B$8)*$R189:$AC189))</f>
        <v>0</v>
      </c>
      <c r="AI189" s="90" t="n">
        <f aca="false">IF($A189="",0,SUMPRODUCT(($F$3:$Q$3&lt;=Setup!$B$8)*$F189:$Q189))</f>
        <v>0</v>
      </c>
      <c r="AJ189" s="90" t="n">
        <f aca="false">IF($A189="",0,SUM($F189:$Q189))</f>
        <v>0</v>
      </c>
      <c r="AK189" s="90" t="n">
        <f aca="false">IF($A189="",0,SUM($R189:$AC189))</f>
        <v>0</v>
      </c>
      <c r="AL189" s="91" t="n">
        <f aca="false">IF($A189="",0,IF(SUMPRODUCT(ABS($F189:$AC189))&gt;0,1,0))</f>
        <v>0</v>
      </c>
    </row>
    <row r="190" customFormat="false" ht="15" hidden="false" customHeight="false" outlineLevel="0" collapsed="false">
      <c r="A190" s="68" t="str">
        <f aca="false">IF(COA_Mapping!$A191="","",COA_Mapping!$A191)</f>
        <v>Training Material &amp; Courses</v>
      </c>
      <c r="B190" s="68" t="str">
        <f aca="false">IF($A190="","",COA_Mapping!$C191)</f>
        <v>Expenses</v>
      </c>
      <c r="C190" s="68" t="str">
        <f aca="false">IF($A190="","",COA_Mapping!$E191)</f>
        <v>P&amp;L</v>
      </c>
      <c r="D190" s="68" t="str">
        <f aca="false">IF($A190="","",COA_Mapping!$D191)</f>
        <v>Unallocated</v>
      </c>
      <c r="E190" s="86" t="n">
        <f aca="false">IF($A190="",1,COA_Mapping!$F191)</f>
        <v>1</v>
      </c>
      <c r="F190" s="87" t="n">
        <f aca="false">IF($A190="",0,SUMIF(GL_Data!$S$8:$S$5007,185001,GL_Data!$P$8:$P$5007))</f>
        <v>0</v>
      </c>
      <c r="G190" s="87" t="n">
        <f aca="false">IF($A190="",0,SUMIF(GL_Data!$S$8:$S$5007,185002,GL_Data!$P$8:$P$5007))</f>
        <v>0</v>
      </c>
      <c r="H190" s="87" t="n">
        <f aca="false">IF($A190="",0,SUMIF(GL_Data!$S$8:$S$5007,185003,GL_Data!$P$8:$P$5007))</f>
        <v>0</v>
      </c>
      <c r="I190" s="87" t="n">
        <f aca="false">IF($A190="",0,SUMIF(GL_Data!$S$8:$S$5007,185004,GL_Data!$P$8:$P$5007))</f>
        <v>0</v>
      </c>
      <c r="J190" s="87" t="n">
        <f aca="false">IF($A190="",0,SUMIF(GL_Data!$S$8:$S$5007,185005,GL_Data!$P$8:$P$5007))</f>
        <v>0</v>
      </c>
      <c r="K190" s="87" t="n">
        <f aca="false">IF($A190="",0,SUMIF(GL_Data!$S$8:$S$5007,185006,GL_Data!$P$8:$P$5007))</f>
        <v>0</v>
      </c>
      <c r="L190" s="87" t="n">
        <f aca="false">IF($A190="",0,SUMIF(GL_Data!$S$8:$S$5007,185007,GL_Data!$P$8:$P$5007))</f>
        <v>0</v>
      </c>
      <c r="M190" s="87" t="n">
        <f aca="false">IF($A190="",0,SUMIF(GL_Data!$S$8:$S$5007,185008,GL_Data!$P$8:$P$5007))</f>
        <v>0</v>
      </c>
      <c r="N190" s="87" t="n">
        <f aca="false">IF($A190="",0,SUMIF(GL_Data!$S$8:$S$5007,185009,GL_Data!$P$8:$P$5007))</f>
        <v>0</v>
      </c>
      <c r="O190" s="87" t="n">
        <f aca="false">IF($A190="",0,SUMIF(GL_Data!$S$8:$S$5007,185010,GL_Data!$P$8:$P$5007))</f>
        <v>0</v>
      </c>
      <c r="P190" s="87" t="n">
        <f aca="false">IF($A190="",0,SUMIF(GL_Data!$S$8:$S$5007,185011,GL_Data!$P$8:$P$5007))</f>
        <v>0</v>
      </c>
      <c r="Q190" s="87" t="n">
        <f aca="false">IF($A190="",0,SUMIF(GL_Data!$S$8:$S$5007,185012,GL_Data!$P$8:$P$5007))</f>
        <v>0</v>
      </c>
      <c r="R190" s="88" t="n">
        <f aca="false">IF($A190="",0,SUMIF(GL_Data!$S$8:$S$5007,185101,GL_Data!$P$8:$P$5007))</f>
        <v>0</v>
      </c>
      <c r="S190" s="88" t="n">
        <f aca="false">IF($A190="",0,SUMIF(GL_Data!$S$8:$S$5007,185102,GL_Data!$P$8:$P$5007))</f>
        <v>0</v>
      </c>
      <c r="T190" s="88" t="n">
        <f aca="false">IF($A190="",0,SUMIF(GL_Data!$S$8:$S$5007,185103,GL_Data!$P$8:$P$5007))</f>
        <v>0</v>
      </c>
      <c r="U190" s="88" t="n">
        <f aca="false">IF($A190="",0,SUMIF(GL_Data!$S$8:$S$5007,185104,GL_Data!$P$8:$P$5007))</f>
        <v>0</v>
      </c>
      <c r="V190" s="88" t="n">
        <f aca="false">IF($A190="",0,SUMIF(GL_Data!$S$8:$S$5007,185105,GL_Data!$P$8:$P$5007))</f>
        <v>0</v>
      </c>
      <c r="W190" s="88" t="n">
        <f aca="false">IF($A190="",0,SUMIF(GL_Data!$S$8:$S$5007,185106,GL_Data!$P$8:$P$5007))</f>
        <v>0</v>
      </c>
      <c r="X190" s="88" t="n">
        <f aca="false">IF($A190="",0,SUMIF(GL_Data!$S$8:$S$5007,185107,GL_Data!$P$8:$P$5007))</f>
        <v>0</v>
      </c>
      <c r="Y190" s="88" t="n">
        <f aca="false">IF($A190="",0,SUMIF(GL_Data!$S$8:$S$5007,185108,GL_Data!$P$8:$P$5007))</f>
        <v>0</v>
      </c>
      <c r="Z190" s="88" t="n">
        <f aca="false">IF($A190="",0,SUMIF(GL_Data!$S$8:$S$5007,185109,GL_Data!$P$8:$P$5007))</f>
        <v>0</v>
      </c>
      <c r="AA190" s="88" t="n">
        <f aca="false">IF($A190="",0,SUMIF(GL_Data!$S$8:$S$5007,185110,GL_Data!$P$8:$P$5007))</f>
        <v>0</v>
      </c>
      <c r="AB190" s="88" t="n">
        <f aca="false">IF($A190="",0,SUMIF(GL_Data!$S$8:$S$5007,185111,GL_Data!$P$8:$P$5007))</f>
        <v>0</v>
      </c>
      <c r="AC190" s="88" t="n">
        <f aca="false">IF($A190="",0,SUMIF(GL_Data!$S$8:$S$5007,185112,GL_Data!$P$8:$P$5007))</f>
        <v>0</v>
      </c>
      <c r="AD190" s="89" t="n">
        <f aca="false">IF($A190="",0,INDEX($F190:$AC190,12+Setup!$B$8))</f>
        <v>0</v>
      </c>
      <c r="AE190" s="90" t="n">
        <f aca="false">IF($A190="",0,INDEX($F190:$AC190,Setup!$B$8))</f>
        <v>0</v>
      </c>
      <c r="AF190" s="90" t="n">
        <f aca="false">IF($A190="",0,INDEX($F190:$AC190,11+Setup!$B$8))</f>
        <v>0</v>
      </c>
      <c r="AG190" s="90" t="n">
        <f aca="false">IF($A190="",0,AVERAGE(INDEX($F190:$AC190,9+Setup!$B$8):INDEX($F190:$AC190,11+Setup!$B$8)))</f>
        <v>0</v>
      </c>
      <c r="AH190" s="89" t="n">
        <f aca="false">IF($A190="",0,SUMPRODUCT(($R$3:$AC$3&lt;=Setup!$B$8)*$R190:$AC190))</f>
        <v>0</v>
      </c>
      <c r="AI190" s="90" t="n">
        <f aca="false">IF($A190="",0,SUMPRODUCT(($F$3:$Q$3&lt;=Setup!$B$8)*$F190:$Q190))</f>
        <v>0</v>
      </c>
      <c r="AJ190" s="90" t="n">
        <f aca="false">IF($A190="",0,SUM($F190:$Q190))</f>
        <v>0</v>
      </c>
      <c r="AK190" s="90" t="n">
        <f aca="false">IF($A190="",0,SUM($R190:$AC190))</f>
        <v>0</v>
      </c>
      <c r="AL190" s="91" t="n">
        <f aca="false">IF($A190="",0,IF(SUMPRODUCT(ABS($F190:$AC190))&gt;0,1,0))</f>
        <v>0</v>
      </c>
    </row>
    <row r="191" customFormat="false" ht="15" hidden="false" customHeight="false" outlineLevel="0" collapsed="false">
      <c r="A191" s="68" t="str">
        <f aca="false">IF(COA_Mapping!$A192="","",COA_Mapping!$A192)</f>
        <v>Travel &amp; Per Diems</v>
      </c>
      <c r="B191" s="68" t="str">
        <f aca="false">IF($A191="","",COA_Mapping!$C192)</f>
        <v>Expenses</v>
      </c>
      <c r="C191" s="68" t="str">
        <f aca="false">IF($A191="","",COA_Mapping!$E192)</f>
        <v>P&amp;L</v>
      </c>
      <c r="D191" s="68" t="str">
        <f aca="false">IF($A191="","",COA_Mapping!$D192)</f>
        <v>Unallocated</v>
      </c>
      <c r="E191" s="86" t="n">
        <f aca="false">IF($A191="",1,COA_Mapping!$F192)</f>
        <v>1</v>
      </c>
      <c r="F191" s="87" t="n">
        <f aca="false">IF($A191="",0,SUMIF(GL_Data!$S$8:$S$5007,186001,GL_Data!$P$8:$P$5007))</f>
        <v>0</v>
      </c>
      <c r="G191" s="87" t="n">
        <f aca="false">IF($A191="",0,SUMIF(GL_Data!$S$8:$S$5007,186002,GL_Data!$P$8:$P$5007))</f>
        <v>0</v>
      </c>
      <c r="H191" s="87" t="n">
        <f aca="false">IF($A191="",0,SUMIF(GL_Data!$S$8:$S$5007,186003,GL_Data!$P$8:$P$5007))</f>
        <v>0</v>
      </c>
      <c r="I191" s="87" t="n">
        <f aca="false">IF($A191="",0,SUMIF(GL_Data!$S$8:$S$5007,186004,GL_Data!$P$8:$P$5007))</f>
        <v>0</v>
      </c>
      <c r="J191" s="87" t="n">
        <f aca="false">IF($A191="",0,SUMIF(GL_Data!$S$8:$S$5007,186005,GL_Data!$P$8:$P$5007))</f>
        <v>0</v>
      </c>
      <c r="K191" s="87" t="n">
        <f aca="false">IF($A191="",0,SUMIF(GL_Data!$S$8:$S$5007,186006,GL_Data!$P$8:$P$5007))</f>
        <v>0</v>
      </c>
      <c r="L191" s="87" t="n">
        <f aca="false">IF($A191="",0,SUMIF(GL_Data!$S$8:$S$5007,186007,GL_Data!$P$8:$P$5007))</f>
        <v>0</v>
      </c>
      <c r="M191" s="87" t="n">
        <f aca="false">IF($A191="",0,SUMIF(GL_Data!$S$8:$S$5007,186008,GL_Data!$P$8:$P$5007))</f>
        <v>0</v>
      </c>
      <c r="N191" s="87" t="n">
        <f aca="false">IF($A191="",0,SUMIF(GL_Data!$S$8:$S$5007,186009,GL_Data!$P$8:$P$5007))</f>
        <v>0</v>
      </c>
      <c r="O191" s="87" t="n">
        <f aca="false">IF($A191="",0,SUMIF(GL_Data!$S$8:$S$5007,186010,GL_Data!$P$8:$P$5007))</f>
        <v>0</v>
      </c>
      <c r="P191" s="87" t="n">
        <f aca="false">IF($A191="",0,SUMIF(GL_Data!$S$8:$S$5007,186011,GL_Data!$P$8:$P$5007))</f>
        <v>0</v>
      </c>
      <c r="Q191" s="87" t="n">
        <f aca="false">IF($A191="",0,SUMIF(GL_Data!$S$8:$S$5007,186012,GL_Data!$P$8:$P$5007))</f>
        <v>0</v>
      </c>
      <c r="R191" s="88" t="n">
        <f aca="false">IF($A191="",0,SUMIF(GL_Data!$S$8:$S$5007,186101,GL_Data!$P$8:$P$5007))</f>
        <v>0</v>
      </c>
      <c r="S191" s="88" t="n">
        <f aca="false">IF($A191="",0,SUMIF(GL_Data!$S$8:$S$5007,186102,GL_Data!$P$8:$P$5007))</f>
        <v>0</v>
      </c>
      <c r="T191" s="88" t="n">
        <f aca="false">IF($A191="",0,SUMIF(GL_Data!$S$8:$S$5007,186103,GL_Data!$P$8:$P$5007))</f>
        <v>0</v>
      </c>
      <c r="U191" s="88" t="n">
        <f aca="false">IF($A191="",0,SUMIF(GL_Data!$S$8:$S$5007,186104,GL_Data!$P$8:$P$5007))</f>
        <v>0</v>
      </c>
      <c r="V191" s="88" t="n">
        <f aca="false">IF($A191="",0,SUMIF(GL_Data!$S$8:$S$5007,186105,GL_Data!$P$8:$P$5007))</f>
        <v>0</v>
      </c>
      <c r="W191" s="88" t="n">
        <f aca="false">IF($A191="",0,SUMIF(GL_Data!$S$8:$S$5007,186106,GL_Data!$P$8:$P$5007))</f>
        <v>0</v>
      </c>
      <c r="X191" s="88" t="n">
        <f aca="false">IF($A191="",0,SUMIF(GL_Data!$S$8:$S$5007,186107,GL_Data!$P$8:$P$5007))</f>
        <v>0</v>
      </c>
      <c r="Y191" s="88" t="n">
        <f aca="false">IF($A191="",0,SUMIF(GL_Data!$S$8:$S$5007,186108,GL_Data!$P$8:$P$5007))</f>
        <v>0</v>
      </c>
      <c r="Z191" s="88" t="n">
        <f aca="false">IF($A191="",0,SUMIF(GL_Data!$S$8:$S$5007,186109,GL_Data!$P$8:$P$5007))</f>
        <v>0</v>
      </c>
      <c r="AA191" s="88" t="n">
        <f aca="false">IF($A191="",0,SUMIF(GL_Data!$S$8:$S$5007,186110,GL_Data!$P$8:$P$5007))</f>
        <v>0</v>
      </c>
      <c r="AB191" s="88" t="n">
        <f aca="false">IF($A191="",0,SUMIF(GL_Data!$S$8:$S$5007,186111,GL_Data!$P$8:$P$5007))</f>
        <v>0</v>
      </c>
      <c r="AC191" s="88" t="n">
        <f aca="false">IF($A191="",0,SUMIF(GL_Data!$S$8:$S$5007,186112,GL_Data!$P$8:$P$5007))</f>
        <v>0</v>
      </c>
      <c r="AD191" s="89" t="n">
        <f aca="false">IF($A191="",0,INDEX($F191:$AC191,12+Setup!$B$8))</f>
        <v>0</v>
      </c>
      <c r="AE191" s="90" t="n">
        <f aca="false">IF($A191="",0,INDEX($F191:$AC191,Setup!$B$8))</f>
        <v>0</v>
      </c>
      <c r="AF191" s="90" t="n">
        <f aca="false">IF($A191="",0,INDEX($F191:$AC191,11+Setup!$B$8))</f>
        <v>0</v>
      </c>
      <c r="AG191" s="90" t="n">
        <f aca="false">IF($A191="",0,AVERAGE(INDEX($F191:$AC191,9+Setup!$B$8):INDEX($F191:$AC191,11+Setup!$B$8)))</f>
        <v>0</v>
      </c>
      <c r="AH191" s="89" t="n">
        <f aca="false">IF($A191="",0,SUMPRODUCT(($R$3:$AC$3&lt;=Setup!$B$8)*$R191:$AC191))</f>
        <v>0</v>
      </c>
      <c r="AI191" s="90" t="n">
        <f aca="false">IF($A191="",0,SUMPRODUCT(($F$3:$Q$3&lt;=Setup!$B$8)*$F191:$Q191))</f>
        <v>0</v>
      </c>
      <c r="AJ191" s="90" t="n">
        <f aca="false">IF($A191="",0,SUM($F191:$Q191))</f>
        <v>0</v>
      </c>
      <c r="AK191" s="90" t="n">
        <f aca="false">IF($A191="",0,SUM($R191:$AC191))</f>
        <v>0</v>
      </c>
      <c r="AL191" s="91" t="n">
        <f aca="false">IF($A191="",0,IF(SUMPRODUCT(ABS($F191:$AC191))&gt;0,1,0))</f>
        <v>0</v>
      </c>
    </row>
    <row r="192" customFormat="false" ht="15" hidden="false" customHeight="false" outlineLevel="0" collapsed="false">
      <c r="A192" s="68" t="str">
        <f aca="false">IF(COA_Mapping!$A193="","",COA_Mapping!$A193)</f>
        <v>Travel Insurance</v>
      </c>
      <c r="B192" s="68" t="str">
        <f aca="false">IF($A192="","",COA_Mapping!$C193)</f>
        <v>Expenses</v>
      </c>
      <c r="C192" s="68" t="str">
        <f aca="false">IF($A192="","",COA_Mapping!$E193)</f>
        <v>P&amp;L</v>
      </c>
      <c r="D192" s="68" t="str">
        <f aca="false">IF($A192="","",COA_Mapping!$D193)</f>
        <v>Unallocated</v>
      </c>
      <c r="E192" s="86" t="n">
        <f aca="false">IF($A192="",1,COA_Mapping!$F193)</f>
        <v>1</v>
      </c>
      <c r="F192" s="87" t="n">
        <f aca="false">IF($A192="",0,SUMIF(GL_Data!$S$8:$S$5007,187001,GL_Data!$P$8:$P$5007))</f>
        <v>0</v>
      </c>
      <c r="G192" s="87" t="n">
        <f aca="false">IF($A192="",0,SUMIF(GL_Data!$S$8:$S$5007,187002,GL_Data!$P$8:$P$5007))</f>
        <v>0</v>
      </c>
      <c r="H192" s="87" t="n">
        <f aca="false">IF($A192="",0,SUMIF(GL_Data!$S$8:$S$5007,187003,GL_Data!$P$8:$P$5007))</f>
        <v>0</v>
      </c>
      <c r="I192" s="87" t="n">
        <f aca="false">IF($A192="",0,SUMIF(GL_Data!$S$8:$S$5007,187004,GL_Data!$P$8:$P$5007))</f>
        <v>0</v>
      </c>
      <c r="J192" s="87" t="n">
        <f aca="false">IF($A192="",0,SUMIF(GL_Data!$S$8:$S$5007,187005,GL_Data!$P$8:$P$5007))</f>
        <v>0</v>
      </c>
      <c r="K192" s="87" t="n">
        <f aca="false">IF($A192="",0,SUMIF(GL_Data!$S$8:$S$5007,187006,GL_Data!$P$8:$P$5007))</f>
        <v>0</v>
      </c>
      <c r="L192" s="87" t="n">
        <f aca="false">IF($A192="",0,SUMIF(GL_Data!$S$8:$S$5007,187007,GL_Data!$P$8:$P$5007))</f>
        <v>0</v>
      </c>
      <c r="M192" s="87" t="n">
        <f aca="false">IF($A192="",0,SUMIF(GL_Data!$S$8:$S$5007,187008,GL_Data!$P$8:$P$5007))</f>
        <v>0</v>
      </c>
      <c r="N192" s="87" t="n">
        <f aca="false">IF($A192="",0,SUMIF(GL_Data!$S$8:$S$5007,187009,GL_Data!$P$8:$P$5007))</f>
        <v>0</v>
      </c>
      <c r="O192" s="87" t="n">
        <f aca="false">IF($A192="",0,SUMIF(GL_Data!$S$8:$S$5007,187010,GL_Data!$P$8:$P$5007))</f>
        <v>0</v>
      </c>
      <c r="P192" s="87" t="n">
        <f aca="false">IF($A192="",0,SUMIF(GL_Data!$S$8:$S$5007,187011,GL_Data!$P$8:$P$5007))</f>
        <v>0</v>
      </c>
      <c r="Q192" s="87" t="n">
        <f aca="false">IF($A192="",0,SUMIF(GL_Data!$S$8:$S$5007,187012,GL_Data!$P$8:$P$5007))</f>
        <v>0</v>
      </c>
      <c r="R192" s="88" t="n">
        <f aca="false">IF($A192="",0,SUMIF(GL_Data!$S$8:$S$5007,187101,GL_Data!$P$8:$P$5007))</f>
        <v>0</v>
      </c>
      <c r="S192" s="88" t="n">
        <f aca="false">IF($A192="",0,SUMIF(GL_Data!$S$8:$S$5007,187102,GL_Data!$P$8:$P$5007))</f>
        <v>0</v>
      </c>
      <c r="T192" s="88" t="n">
        <f aca="false">IF($A192="",0,SUMIF(GL_Data!$S$8:$S$5007,187103,GL_Data!$P$8:$P$5007))</f>
        <v>0</v>
      </c>
      <c r="U192" s="88" t="n">
        <f aca="false">IF($A192="",0,SUMIF(GL_Data!$S$8:$S$5007,187104,GL_Data!$P$8:$P$5007))</f>
        <v>0</v>
      </c>
      <c r="V192" s="88" t="n">
        <f aca="false">IF($A192="",0,SUMIF(GL_Data!$S$8:$S$5007,187105,GL_Data!$P$8:$P$5007))</f>
        <v>0</v>
      </c>
      <c r="W192" s="88" t="n">
        <f aca="false">IF($A192="",0,SUMIF(GL_Data!$S$8:$S$5007,187106,GL_Data!$P$8:$P$5007))</f>
        <v>0</v>
      </c>
      <c r="X192" s="88" t="n">
        <f aca="false">IF($A192="",0,SUMIF(GL_Data!$S$8:$S$5007,187107,GL_Data!$P$8:$P$5007))</f>
        <v>0</v>
      </c>
      <c r="Y192" s="88" t="n">
        <f aca="false">IF($A192="",0,SUMIF(GL_Data!$S$8:$S$5007,187108,GL_Data!$P$8:$P$5007))</f>
        <v>0</v>
      </c>
      <c r="Z192" s="88" t="n">
        <f aca="false">IF($A192="",0,SUMIF(GL_Data!$S$8:$S$5007,187109,GL_Data!$P$8:$P$5007))</f>
        <v>0</v>
      </c>
      <c r="AA192" s="88" t="n">
        <f aca="false">IF($A192="",0,SUMIF(GL_Data!$S$8:$S$5007,187110,GL_Data!$P$8:$P$5007))</f>
        <v>0</v>
      </c>
      <c r="AB192" s="88" t="n">
        <f aca="false">IF($A192="",0,SUMIF(GL_Data!$S$8:$S$5007,187111,GL_Data!$P$8:$P$5007))</f>
        <v>0</v>
      </c>
      <c r="AC192" s="88" t="n">
        <f aca="false">IF($A192="",0,SUMIF(GL_Data!$S$8:$S$5007,187112,GL_Data!$P$8:$P$5007))</f>
        <v>0</v>
      </c>
      <c r="AD192" s="89" t="n">
        <f aca="false">IF($A192="",0,INDEX($F192:$AC192,12+Setup!$B$8))</f>
        <v>0</v>
      </c>
      <c r="AE192" s="90" t="n">
        <f aca="false">IF($A192="",0,INDEX($F192:$AC192,Setup!$B$8))</f>
        <v>0</v>
      </c>
      <c r="AF192" s="90" t="n">
        <f aca="false">IF($A192="",0,INDEX($F192:$AC192,11+Setup!$B$8))</f>
        <v>0</v>
      </c>
      <c r="AG192" s="90" t="n">
        <f aca="false">IF($A192="",0,AVERAGE(INDEX($F192:$AC192,9+Setup!$B$8):INDEX($F192:$AC192,11+Setup!$B$8)))</f>
        <v>0</v>
      </c>
      <c r="AH192" s="89" t="n">
        <f aca="false">IF($A192="",0,SUMPRODUCT(($R$3:$AC$3&lt;=Setup!$B$8)*$R192:$AC192))</f>
        <v>0</v>
      </c>
      <c r="AI192" s="90" t="n">
        <f aca="false">IF($A192="",0,SUMPRODUCT(($F$3:$Q$3&lt;=Setup!$B$8)*$F192:$Q192))</f>
        <v>0</v>
      </c>
      <c r="AJ192" s="90" t="n">
        <f aca="false">IF($A192="",0,SUM($F192:$Q192))</f>
        <v>0</v>
      </c>
      <c r="AK192" s="90" t="n">
        <f aca="false">IF($A192="",0,SUM($R192:$AC192))</f>
        <v>0</v>
      </c>
      <c r="AL192" s="91" t="n">
        <f aca="false">IF($A192="",0,IF(SUMPRODUCT(ABS($F192:$AC192))&gt;0,1,0))</f>
        <v>0</v>
      </c>
    </row>
    <row r="193" customFormat="false" ht="15" hidden="false" customHeight="false" outlineLevel="0" collapsed="false">
      <c r="A193" s="68" t="str">
        <f aca="false">IF(COA_Mapping!$A194="","",COA_Mapping!$A194)</f>
        <v>Under/(Over) provision for tax</v>
      </c>
      <c r="B193" s="68" t="str">
        <f aca="false">IF($A193="","",COA_Mapping!$C194)</f>
        <v>Expenses</v>
      </c>
      <c r="C193" s="68" t="str">
        <f aca="false">IF($A193="","",COA_Mapping!$E194)</f>
        <v>P&amp;L</v>
      </c>
      <c r="D193" s="68" t="str">
        <f aca="false">IF($A193="","",COA_Mapping!$D194)</f>
        <v>Unallocated</v>
      </c>
      <c r="E193" s="86" t="n">
        <f aca="false">IF($A193="",1,COA_Mapping!$F194)</f>
        <v>1</v>
      </c>
      <c r="F193" s="87" t="n">
        <f aca="false">IF($A193="",0,SUMIF(GL_Data!$S$8:$S$5007,188001,GL_Data!$P$8:$P$5007))</f>
        <v>0</v>
      </c>
      <c r="G193" s="87" t="n">
        <f aca="false">IF($A193="",0,SUMIF(GL_Data!$S$8:$S$5007,188002,GL_Data!$P$8:$P$5007))</f>
        <v>0</v>
      </c>
      <c r="H193" s="87" t="n">
        <f aca="false">IF($A193="",0,SUMIF(GL_Data!$S$8:$S$5007,188003,GL_Data!$P$8:$P$5007))</f>
        <v>0</v>
      </c>
      <c r="I193" s="87" t="n">
        <f aca="false">IF($A193="",0,SUMIF(GL_Data!$S$8:$S$5007,188004,GL_Data!$P$8:$P$5007))</f>
        <v>0</v>
      </c>
      <c r="J193" s="87" t="n">
        <f aca="false">IF($A193="",0,SUMIF(GL_Data!$S$8:$S$5007,188005,GL_Data!$P$8:$P$5007))</f>
        <v>0</v>
      </c>
      <c r="K193" s="87" t="n">
        <f aca="false">IF($A193="",0,SUMIF(GL_Data!$S$8:$S$5007,188006,GL_Data!$P$8:$P$5007))</f>
        <v>0</v>
      </c>
      <c r="L193" s="87" t="n">
        <f aca="false">IF($A193="",0,SUMIF(GL_Data!$S$8:$S$5007,188007,GL_Data!$P$8:$P$5007))</f>
        <v>0</v>
      </c>
      <c r="M193" s="87" t="n">
        <f aca="false">IF($A193="",0,SUMIF(GL_Data!$S$8:$S$5007,188008,GL_Data!$P$8:$P$5007))</f>
        <v>0</v>
      </c>
      <c r="N193" s="87" t="n">
        <f aca="false">IF($A193="",0,SUMIF(GL_Data!$S$8:$S$5007,188009,GL_Data!$P$8:$P$5007))</f>
        <v>0</v>
      </c>
      <c r="O193" s="87" t="n">
        <f aca="false">IF($A193="",0,SUMIF(GL_Data!$S$8:$S$5007,188010,GL_Data!$P$8:$P$5007))</f>
        <v>0</v>
      </c>
      <c r="P193" s="87" t="n">
        <f aca="false">IF($A193="",0,SUMIF(GL_Data!$S$8:$S$5007,188011,GL_Data!$P$8:$P$5007))</f>
        <v>0</v>
      </c>
      <c r="Q193" s="87" t="n">
        <f aca="false">IF($A193="",0,SUMIF(GL_Data!$S$8:$S$5007,188012,GL_Data!$P$8:$P$5007))</f>
        <v>0</v>
      </c>
      <c r="R193" s="88" t="n">
        <f aca="false">IF($A193="",0,SUMIF(GL_Data!$S$8:$S$5007,188101,GL_Data!$P$8:$P$5007))</f>
        <v>0</v>
      </c>
      <c r="S193" s="88" t="n">
        <f aca="false">IF($A193="",0,SUMIF(GL_Data!$S$8:$S$5007,188102,GL_Data!$P$8:$P$5007))</f>
        <v>0</v>
      </c>
      <c r="T193" s="88" t="n">
        <f aca="false">IF($A193="",0,SUMIF(GL_Data!$S$8:$S$5007,188103,GL_Data!$P$8:$P$5007))</f>
        <v>0</v>
      </c>
      <c r="U193" s="88" t="n">
        <f aca="false">IF($A193="",0,SUMIF(GL_Data!$S$8:$S$5007,188104,GL_Data!$P$8:$P$5007))</f>
        <v>0</v>
      </c>
      <c r="V193" s="88" t="n">
        <f aca="false">IF($A193="",0,SUMIF(GL_Data!$S$8:$S$5007,188105,GL_Data!$P$8:$P$5007))</f>
        <v>0</v>
      </c>
      <c r="W193" s="88" t="n">
        <f aca="false">IF($A193="",0,SUMIF(GL_Data!$S$8:$S$5007,188106,GL_Data!$P$8:$P$5007))</f>
        <v>0</v>
      </c>
      <c r="X193" s="88" t="n">
        <f aca="false">IF($A193="",0,SUMIF(GL_Data!$S$8:$S$5007,188107,GL_Data!$P$8:$P$5007))</f>
        <v>0</v>
      </c>
      <c r="Y193" s="88" t="n">
        <f aca="false">IF($A193="",0,SUMIF(GL_Data!$S$8:$S$5007,188108,GL_Data!$P$8:$P$5007))</f>
        <v>0</v>
      </c>
      <c r="Z193" s="88" t="n">
        <f aca="false">IF($A193="",0,SUMIF(GL_Data!$S$8:$S$5007,188109,GL_Data!$P$8:$P$5007))</f>
        <v>0</v>
      </c>
      <c r="AA193" s="88" t="n">
        <f aca="false">IF($A193="",0,SUMIF(GL_Data!$S$8:$S$5007,188110,GL_Data!$P$8:$P$5007))</f>
        <v>0</v>
      </c>
      <c r="AB193" s="88" t="n">
        <f aca="false">IF($A193="",0,SUMIF(GL_Data!$S$8:$S$5007,188111,GL_Data!$P$8:$P$5007))</f>
        <v>0</v>
      </c>
      <c r="AC193" s="88" t="n">
        <f aca="false">IF($A193="",0,SUMIF(GL_Data!$S$8:$S$5007,188112,GL_Data!$P$8:$P$5007))</f>
        <v>0</v>
      </c>
      <c r="AD193" s="89" t="n">
        <f aca="false">IF($A193="",0,INDEX($F193:$AC193,12+Setup!$B$8))</f>
        <v>0</v>
      </c>
      <c r="AE193" s="90" t="n">
        <f aca="false">IF($A193="",0,INDEX($F193:$AC193,Setup!$B$8))</f>
        <v>0</v>
      </c>
      <c r="AF193" s="90" t="n">
        <f aca="false">IF($A193="",0,INDEX($F193:$AC193,11+Setup!$B$8))</f>
        <v>0</v>
      </c>
      <c r="AG193" s="90" t="n">
        <f aca="false">IF($A193="",0,AVERAGE(INDEX($F193:$AC193,9+Setup!$B$8):INDEX($F193:$AC193,11+Setup!$B$8)))</f>
        <v>0</v>
      </c>
      <c r="AH193" s="89" t="n">
        <f aca="false">IF($A193="",0,SUMPRODUCT(($R$3:$AC$3&lt;=Setup!$B$8)*$R193:$AC193))</f>
        <v>0</v>
      </c>
      <c r="AI193" s="90" t="n">
        <f aca="false">IF($A193="",0,SUMPRODUCT(($F$3:$Q$3&lt;=Setup!$B$8)*$F193:$Q193))</f>
        <v>0</v>
      </c>
      <c r="AJ193" s="90" t="n">
        <f aca="false">IF($A193="",0,SUM($F193:$Q193))</f>
        <v>0</v>
      </c>
      <c r="AK193" s="90" t="n">
        <f aca="false">IF($A193="",0,SUM($R193:$AC193))</f>
        <v>0</v>
      </c>
      <c r="AL193" s="91" t="n">
        <f aca="false">IF($A193="",0,IF(SUMPRODUCT(ABS($F193:$AC193))&gt;0,1,0))</f>
        <v>0</v>
      </c>
    </row>
    <row r="194" customFormat="false" ht="15" hidden="false" customHeight="false" outlineLevel="0" collapsed="false">
      <c r="A194" s="68" t="str">
        <f aca="false">IF(COA_Mapping!$A195="","",COA_Mapping!$A195)</f>
        <v>Unrealised Currency Gains</v>
      </c>
      <c r="B194" s="68" t="str">
        <f aca="false">IF($A194="","",COA_Mapping!$C195)</f>
        <v>Expenses</v>
      </c>
      <c r="C194" s="68" t="str">
        <f aca="false">IF($A194="","",COA_Mapping!$E195)</f>
        <v>P&amp;L</v>
      </c>
      <c r="D194" s="68" t="str">
        <f aca="false">IF($A194="","",COA_Mapping!$D195)</f>
        <v>Unallocated</v>
      </c>
      <c r="E194" s="86" t="n">
        <f aca="false">IF($A194="",1,COA_Mapping!$F195)</f>
        <v>1</v>
      </c>
      <c r="F194" s="87" t="n">
        <f aca="false">IF($A194="",0,SUMIF(GL_Data!$S$8:$S$5007,189001,GL_Data!$P$8:$P$5007))</f>
        <v>0</v>
      </c>
      <c r="G194" s="87" t="n">
        <f aca="false">IF($A194="",0,SUMIF(GL_Data!$S$8:$S$5007,189002,GL_Data!$P$8:$P$5007))</f>
        <v>0</v>
      </c>
      <c r="H194" s="87" t="n">
        <f aca="false">IF($A194="",0,SUMIF(GL_Data!$S$8:$S$5007,189003,GL_Data!$P$8:$P$5007))</f>
        <v>0</v>
      </c>
      <c r="I194" s="87" t="n">
        <f aca="false">IF($A194="",0,SUMIF(GL_Data!$S$8:$S$5007,189004,GL_Data!$P$8:$P$5007))</f>
        <v>0</v>
      </c>
      <c r="J194" s="87" t="n">
        <f aca="false">IF($A194="",0,SUMIF(GL_Data!$S$8:$S$5007,189005,GL_Data!$P$8:$P$5007))</f>
        <v>0</v>
      </c>
      <c r="K194" s="87" t="n">
        <f aca="false">IF($A194="",0,SUMIF(GL_Data!$S$8:$S$5007,189006,GL_Data!$P$8:$P$5007))</f>
        <v>0</v>
      </c>
      <c r="L194" s="87" t="n">
        <f aca="false">IF($A194="",0,SUMIF(GL_Data!$S$8:$S$5007,189007,GL_Data!$P$8:$P$5007))</f>
        <v>0</v>
      </c>
      <c r="M194" s="87" t="n">
        <f aca="false">IF($A194="",0,SUMIF(GL_Data!$S$8:$S$5007,189008,GL_Data!$P$8:$P$5007))</f>
        <v>0</v>
      </c>
      <c r="N194" s="87" t="n">
        <f aca="false">IF($A194="",0,SUMIF(GL_Data!$S$8:$S$5007,189009,GL_Data!$P$8:$P$5007))</f>
        <v>0</v>
      </c>
      <c r="O194" s="87" t="n">
        <f aca="false">IF($A194="",0,SUMIF(GL_Data!$S$8:$S$5007,189010,GL_Data!$P$8:$P$5007))</f>
        <v>0</v>
      </c>
      <c r="P194" s="87" t="n">
        <f aca="false">IF($A194="",0,SUMIF(GL_Data!$S$8:$S$5007,189011,GL_Data!$P$8:$P$5007))</f>
        <v>0</v>
      </c>
      <c r="Q194" s="87" t="n">
        <f aca="false">IF($A194="",0,SUMIF(GL_Data!$S$8:$S$5007,189012,GL_Data!$P$8:$P$5007))</f>
        <v>0</v>
      </c>
      <c r="R194" s="88" t="n">
        <f aca="false">IF($A194="",0,SUMIF(GL_Data!$S$8:$S$5007,189101,GL_Data!$P$8:$P$5007))</f>
        <v>0</v>
      </c>
      <c r="S194" s="88" t="n">
        <f aca="false">IF($A194="",0,SUMIF(GL_Data!$S$8:$S$5007,189102,GL_Data!$P$8:$P$5007))</f>
        <v>0</v>
      </c>
      <c r="T194" s="88" t="n">
        <f aca="false">IF($A194="",0,SUMIF(GL_Data!$S$8:$S$5007,189103,GL_Data!$P$8:$P$5007))</f>
        <v>0</v>
      </c>
      <c r="U194" s="88" t="n">
        <f aca="false">IF($A194="",0,SUMIF(GL_Data!$S$8:$S$5007,189104,GL_Data!$P$8:$P$5007))</f>
        <v>0</v>
      </c>
      <c r="V194" s="88" t="n">
        <f aca="false">IF($A194="",0,SUMIF(GL_Data!$S$8:$S$5007,189105,GL_Data!$P$8:$P$5007))</f>
        <v>0</v>
      </c>
      <c r="W194" s="88" t="n">
        <f aca="false">IF($A194="",0,SUMIF(GL_Data!$S$8:$S$5007,189106,GL_Data!$P$8:$P$5007))</f>
        <v>0</v>
      </c>
      <c r="X194" s="88" t="n">
        <f aca="false">IF($A194="",0,SUMIF(GL_Data!$S$8:$S$5007,189107,GL_Data!$P$8:$P$5007))</f>
        <v>0</v>
      </c>
      <c r="Y194" s="88" t="n">
        <f aca="false">IF($A194="",0,SUMIF(GL_Data!$S$8:$S$5007,189108,GL_Data!$P$8:$P$5007))</f>
        <v>0</v>
      </c>
      <c r="Z194" s="88" t="n">
        <f aca="false">IF($A194="",0,SUMIF(GL_Data!$S$8:$S$5007,189109,GL_Data!$P$8:$P$5007))</f>
        <v>0</v>
      </c>
      <c r="AA194" s="88" t="n">
        <f aca="false">IF($A194="",0,SUMIF(GL_Data!$S$8:$S$5007,189110,GL_Data!$P$8:$P$5007))</f>
        <v>0</v>
      </c>
      <c r="AB194" s="88" t="n">
        <f aca="false">IF($A194="",0,SUMIF(GL_Data!$S$8:$S$5007,189111,GL_Data!$P$8:$P$5007))</f>
        <v>0</v>
      </c>
      <c r="AC194" s="88" t="n">
        <f aca="false">IF($A194="",0,SUMIF(GL_Data!$S$8:$S$5007,189112,GL_Data!$P$8:$P$5007))</f>
        <v>0</v>
      </c>
      <c r="AD194" s="89" t="n">
        <f aca="false">IF($A194="",0,INDEX($F194:$AC194,12+Setup!$B$8))</f>
        <v>0</v>
      </c>
      <c r="AE194" s="90" t="n">
        <f aca="false">IF($A194="",0,INDEX($F194:$AC194,Setup!$B$8))</f>
        <v>0</v>
      </c>
      <c r="AF194" s="90" t="n">
        <f aca="false">IF($A194="",0,INDEX($F194:$AC194,11+Setup!$B$8))</f>
        <v>0</v>
      </c>
      <c r="AG194" s="90" t="n">
        <f aca="false">IF($A194="",0,AVERAGE(INDEX($F194:$AC194,9+Setup!$B$8):INDEX($F194:$AC194,11+Setup!$B$8)))</f>
        <v>0</v>
      </c>
      <c r="AH194" s="89" t="n">
        <f aca="false">IF($A194="",0,SUMPRODUCT(($R$3:$AC$3&lt;=Setup!$B$8)*$R194:$AC194))</f>
        <v>0</v>
      </c>
      <c r="AI194" s="90" t="n">
        <f aca="false">IF($A194="",0,SUMPRODUCT(($F$3:$Q$3&lt;=Setup!$B$8)*$F194:$Q194))</f>
        <v>0</v>
      </c>
      <c r="AJ194" s="90" t="n">
        <f aca="false">IF($A194="",0,SUM($F194:$Q194))</f>
        <v>0</v>
      </c>
      <c r="AK194" s="90" t="n">
        <f aca="false">IF($A194="",0,SUM($R194:$AC194))</f>
        <v>0</v>
      </c>
      <c r="AL194" s="91" t="n">
        <f aca="false">IF($A194="",0,IF(SUMPRODUCT(ABS($F194:$AC194))&gt;0,1,0))</f>
        <v>0</v>
      </c>
    </row>
    <row r="195" customFormat="false" ht="15" hidden="false" customHeight="false" outlineLevel="0" collapsed="false">
      <c r="A195" s="68" t="str">
        <f aca="false">IF(COA_Mapping!$A196="","",COA_Mapping!$A196)</f>
        <v>Workers' Compensation</v>
      </c>
      <c r="B195" s="68" t="str">
        <f aca="false">IF($A195="","",COA_Mapping!$C196)</f>
        <v>Expenses</v>
      </c>
      <c r="C195" s="68" t="str">
        <f aca="false">IF($A195="","",COA_Mapping!$E196)</f>
        <v>P&amp;L</v>
      </c>
      <c r="D195" s="68" t="str">
        <f aca="false">IF($A195="","",COA_Mapping!$D196)</f>
        <v>Unallocated</v>
      </c>
      <c r="E195" s="86" t="n">
        <f aca="false">IF($A195="",1,COA_Mapping!$F196)</f>
        <v>1</v>
      </c>
      <c r="F195" s="87" t="n">
        <f aca="false">IF($A195="",0,SUMIF(GL_Data!$S$8:$S$5007,190001,GL_Data!$P$8:$P$5007))</f>
        <v>0</v>
      </c>
      <c r="G195" s="87" t="n">
        <f aca="false">IF($A195="",0,SUMIF(GL_Data!$S$8:$S$5007,190002,GL_Data!$P$8:$P$5007))</f>
        <v>0</v>
      </c>
      <c r="H195" s="87" t="n">
        <f aca="false">IF($A195="",0,SUMIF(GL_Data!$S$8:$S$5007,190003,GL_Data!$P$8:$P$5007))</f>
        <v>0</v>
      </c>
      <c r="I195" s="87" t="n">
        <f aca="false">IF($A195="",0,SUMIF(GL_Data!$S$8:$S$5007,190004,GL_Data!$P$8:$P$5007))</f>
        <v>0</v>
      </c>
      <c r="J195" s="87" t="n">
        <f aca="false">IF($A195="",0,SUMIF(GL_Data!$S$8:$S$5007,190005,GL_Data!$P$8:$P$5007))</f>
        <v>0</v>
      </c>
      <c r="K195" s="87" t="n">
        <f aca="false">IF($A195="",0,SUMIF(GL_Data!$S$8:$S$5007,190006,GL_Data!$P$8:$P$5007))</f>
        <v>0</v>
      </c>
      <c r="L195" s="87" t="n">
        <f aca="false">IF($A195="",0,SUMIF(GL_Data!$S$8:$S$5007,190007,GL_Data!$P$8:$P$5007))</f>
        <v>0</v>
      </c>
      <c r="M195" s="87" t="n">
        <f aca="false">IF($A195="",0,SUMIF(GL_Data!$S$8:$S$5007,190008,GL_Data!$P$8:$P$5007))</f>
        <v>0</v>
      </c>
      <c r="N195" s="87" t="n">
        <f aca="false">IF($A195="",0,SUMIF(GL_Data!$S$8:$S$5007,190009,GL_Data!$P$8:$P$5007))</f>
        <v>0</v>
      </c>
      <c r="O195" s="87" t="n">
        <f aca="false">IF($A195="",0,SUMIF(GL_Data!$S$8:$S$5007,190010,GL_Data!$P$8:$P$5007))</f>
        <v>0</v>
      </c>
      <c r="P195" s="87" t="n">
        <f aca="false">IF($A195="",0,SUMIF(GL_Data!$S$8:$S$5007,190011,GL_Data!$P$8:$P$5007))</f>
        <v>0</v>
      </c>
      <c r="Q195" s="87" t="n">
        <f aca="false">IF($A195="",0,SUMIF(GL_Data!$S$8:$S$5007,190012,GL_Data!$P$8:$P$5007))</f>
        <v>0</v>
      </c>
      <c r="R195" s="88" t="n">
        <f aca="false">IF($A195="",0,SUMIF(GL_Data!$S$8:$S$5007,190101,GL_Data!$P$8:$P$5007))</f>
        <v>0</v>
      </c>
      <c r="S195" s="88" t="n">
        <f aca="false">IF($A195="",0,SUMIF(GL_Data!$S$8:$S$5007,190102,GL_Data!$P$8:$P$5007))</f>
        <v>0</v>
      </c>
      <c r="T195" s="88" t="n">
        <f aca="false">IF($A195="",0,SUMIF(GL_Data!$S$8:$S$5007,190103,GL_Data!$P$8:$P$5007))</f>
        <v>0</v>
      </c>
      <c r="U195" s="88" t="n">
        <f aca="false">IF($A195="",0,SUMIF(GL_Data!$S$8:$S$5007,190104,GL_Data!$P$8:$P$5007))</f>
        <v>0</v>
      </c>
      <c r="V195" s="88" t="n">
        <f aca="false">IF($A195="",0,SUMIF(GL_Data!$S$8:$S$5007,190105,GL_Data!$P$8:$P$5007))</f>
        <v>0</v>
      </c>
      <c r="W195" s="88" t="n">
        <f aca="false">IF($A195="",0,SUMIF(GL_Data!$S$8:$S$5007,190106,GL_Data!$P$8:$P$5007))</f>
        <v>0</v>
      </c>
      <c r="X195" s="88" t="n">
        <f aca="false">IF($A195="",0,SUMIF(GL_Data!$S$8:$S$5007,190107,GL_Data!$P$8:$P$5007))</f>
        <v>0</v>
      </c>
      <c r="Y195" s="88" t="n">
        <f aca="false">IF($A195="",0,SUMIF(GL_Data!$S$8:$S$5007,190108,GL_Data!$P$8:$P$5007))</f>
        <v>0</v>
      </c>
      <c r="Z195" s="88" t="n">
        <f aca="false">IF($A195="",0,SUMIF(GL_Data!$S$8:$S$5007,190109,GL_Data!$P$8:$P$5007))</f>
        <v>0</v>
      </c>
      <c r="AA195" s="88" t="n">
        <f aca="false">IF($A195="",0,SUMIF(GL_Data!$S$8:$S$5007,190110,GL_Data!$P$8:$P$5007))</f>
        <v>0</v>
      </c>
      <c r="AB195" s="88" t="n">
        <f aca="false">IF($A195="",0,SUMIF(GL_Data!$S$8:$S$5007,190111,GL_Data!$P$8:$P$5007))</f>
        <v>0</v>
      </c>
      <c r="AC195" s="88" t="n">
        <f aca="false">IF($A195="",0,SUMIF(GL_Data!$S$8:$S$5007,190112,GL_Data!$P$8:$P$5007))</f>
        <v>0</v>
      </c>
      <c r="AD195" s="89" t="n">
        <f aca="false">IF($A195="",0,INDEX($F195:$AC195,12+Setup!$B$8))</f>
        <v>0</v>
      </c>
      <c r="AE195" s="90" t="n">
        <f aca="false">IF($A195="",0,INDEX($F195:$AC195,Setup!$B$8))</f>
        <v>0</v>
      </c>
      <c r="AF195" s="90" t="n">
        <f aca="false">IF($A195="",0,INDEX($F195:$AC195,11+Setup!$B$8))</f>
        <v>0</v>
      </c>
      <c r="AG195" s="90" t="n">
        <f aca="false">IF($A195="",0,AVERAGE(INDEX($F195:$AC195,9+Setup!$B$8):INDEX($F195:$AC195,11+Setup!$B$8)))</f>
        <v>0</v>
      </c>
      <c r="AH195" s="89" t="n">
        <f aca="false">IF($A195="",0,SUMPRODUCT(($R$3:$AC$3&lt;=Setup!$B$8)*$R195:$AC195))</f>
        <v>0</v>
      </c>
      <c r="AI195" s="90" t="n">
        <f aca="false">IF($A195="",0,SUMPRODUCT(($F$3:$Q$3&lt;=Setup!$B$8)*$F195:$Q195))</f>
        <v>0</v>
      </c>
      <c r="AJ195" s="90" t="n">
        <f aca="false">IF($A195="",0,SUM($F195:$Q195))</f>
        <v>0</v>
      </c>
      <c r="AK195" s="90" t="n">
        <f aca="false">IF($A195="",0,SUM($R195:$AC195))</f>
        <v>0</v>
      </c>
      <c r="AL195" s="91" t="n">
        <f aca="false">IF($A195="",0,IF(SUMPRODUCT(ABS($F195:$AC195))&gt;0,1,0))</f>
        <v>0</v>
      </c>
    </row>
    <row r="196" customFormat="false" ht="15" hidden="false" customHeight="false" outlineLevel="0" collapsed="false">
      <c r="A196" s="68" t="str">
        <f aca="false">IF(COA_Mapping!$A197="","",COA_Mapping!$A197)</f>
        <v/>
      </c>
      <c r="B196" s="68" t="str">
        <f aca="false">IF($A196="","",COA_Mapping!$C197)</f>
        <v/>
      </c>
      <c r="C196" s="68" t="str">
        <f aca="false">IF($A196="","",COA_Mapping!$E197)</f>
        <v/>
      </c>
      <c r="D196" s="68" t="str">
        <f aca="false">IF($A196="","",COA_Mapping!$D197)</f>
        <v/>
      </c>
      <c r="E196" s="86" t="n">
        <f aca="false">IF($A196="",1,COA_Mapping!$F197)</f>
        <v>1</v>
      </c>
      <c r="F196" s="87" t="n">
        <f aca="false">IF($A196="",0,SUMIF(GL_Data!$S$8:$S$5007,191001,GL_Data!$P$8:$P$5007))</f>
        <v>0</v>
      </c>
      <c r="G196" s="87" t="n">
        <f aca="false">IF($A196="",0,SUMIF(GL_Data!$S$8:$S$5007,191002,GL_Data!$P$8:$P$5007))</f>
        <v>0</v>
      </c>
      <c r="H196" s="87" t="n">
        <f aca="false">IF($A196="",0,SUMIF(GL_Data!$S$8:$S$5007,191003,GL_Data!$P$8:$P$5007))</f>
        <v>0</v>
      </c>
      <c r="I196" s="87" t="n">
        <f aca="false">IF($A196="",0,SUMIF(GL_Data!$S$8:$S$5007,191004,GL_Data!$P$8:$P$5007))</f>
        <v>0</v>
      </c>
      <c r="J196" s="87" t="n">
        <f aca="false">IF($A196="",0,SUMIF(GL_Data!$S$8:$S$5007,191005,GL_Data!$P$8:$P$5007))</f>
        <v>0</v>
      </c>
      <c r="K196" s="87" t="n">
        <f aca="false">IF($A196="",0,SUMIF(GL_Data!$S$8:$S$5007,191006,GL_Data!$P$8:$P$5007))</f>
        <v>0</v>
      </c>
      <c r="L196" s="87" t="n">
        <f aca="false">IF($A196="",0,SUMIF(GL_Data!$S$8:$S$5007,191007,GL_Data!$P$8:$P$5007))</f>
        <v>0</v>
      </c>
      <c r="M196" s="87" t="n">
        <f aca="false">IF($A196="",0,SUMIF(GL_Data!$S$8:$S$5007,191008,GL_Data!$P$8:$P$5007))</f>
        <v>0</v>
      </c>
      <c r="N196" s="87" t="n">
        <f aca="false">IF($A196="",0,SUMIF(GL_Data!$S$8:$S$5007,191009,GL_Data!$P$8:$P$5007))</f>
        <v>0</v>
      </c>
      <c r="O196" s="87" t="n">
        <f aca="false">IF($A196="",0,SUMIF(GL_Data!$S$8:$S$5007,191010,GL_Data!$P$8:$P$5007))</f>
        <v>0</v>
      </c>
      <c r="P196" s="87" t="n">
        <f aca="false">IF($A196="",0,SUMIF(GL_Data!$S$8:$S$5007,191011,GL_Data!$P$8:$P$5007))</f>
        <v>0</v>
      </c>
      <c r="Q196" s="87" t="n">
        <f aca="false">IF($A196="",0,SUMIF(GL_Data!$S$8:$S$5007,191012,GL_Data!$P$8:$P$5007))</f>
        <v>0</v>
      </c>
      <c r="R196" s="88" t="n">
        <f aca="false">IF($A196="",0,SUMIF(GL_Data!$S$8:$S$5007,191101,GL_Data!$P$8:$P$5007))</f>
        <v>0</v>
      </c>
      <c r="S196" s="88" t="n">
        <f aca="false">IF($A196="",0,SUMIF(GL_Data!$S$8:$S$5007,191102,GL_Data!$P$8:$P$5007))</f>
        <v>0</v>
      </c>
      <c r="T196" s="88" t="n">
        <f aca="false">IF($A196="",0,SUMIF(GL_Data!$S$8:$S$5007,191103,GL_Data!$P$8:$P$5007))</f>
        <v>0</v>
      </c>
      <c r="U196" s="88" t="n">
        <f aca="false">IF($A196="",0,SUMIF(GL_Data!$S$8:$S$5007,191104,GL_Data!$P$8:$P$5007))</f>
        <v>0</v>
      </c>
      <c r="V196" s="88" t="n">
        <f aca="false">IF($A196="",0,SUMIF(GL_Data!$S$8:$S$5007,191105,GL_Data!$P$8:$P$5007))</f>
        <v>0</v>
      </c>
      <c r="W196" s="88" t="n">
        <f aca="false">IF($A196="",0,SUMIF(GL_Data!$S$8:$S$5007,191106,GL_Data!$P$8:$P$5007))</f>
        <v>0</v>
      </c>
      <c r="X196" s="88" t="n">
        <f aca="false">IF($A196="",0,SUMIF(GL_Data!$S$8:$S$5007,191107,GL_Data!$P$8:$P$5007))</f>
        <v>0</v>
      </c>
      <c r="Y196" s="88" t="n">
        <f aca="false">IF($A196="",0,SUMIF(GL_Data!$S$8:$S$5007,191108,GL_Data!$P$8:$P$5007))</f>
        <v>0</v>
      </c>
      <c r="Z196" s="88" t="n">
        <f aca="false">IF($A196="",0,SUMIF(GL_Data!$S$8:$S$5007,191109,GL_Data!$P$8:$P$5007))</f>
        <v>0</v>
      </c>
      <c r="AA196" s="88" t="n">
        <f aca="false">IF($A196="",0,SUMIF(GL_Data!$S$8:$S$5007,191110,GL_Data!$P$8:$P$5007))</f>
        <v>0</v>
      </c>
      <c r="AB196" s="88" t="n">
        <f aca="false">IF($A196="",0,SUMIF(GL_Data!$S$8:$S$5007,191111,GL_Data!$P$8:$P$5007))</f>
        <v>0</v>
      </c>
      <c r="AC196" s="88" t="n">
        <f aca="false">IF($A196="",0,SUMIF(GL_Data!$S$8:$S$5007,191112,GL_Data!$P$8:$P$5007))</f>
        <v>0</v>
      </c>
      <c r="AD196" s="89" t="n">
        <f aca="false">IF($A196="",0,INDEX($F196:$AC196,12+Setup!$B$8))</f>
        <v>0</v>
      </c>
      <c r="AE196" s="90" t="n">
        <f aca="false">IF($A196="",0,INDEX($F196:$AC196,Setup!$B$8))</f>
        <v>0</v>
      </c>
      <c r="AF196" s="90" t="n">
        <f aca="false">IF($A196="",0,INDEX($F196:$AC196,11+Setup!$B$8))</f>
        <v>0</v>
      </c>
      <c r="AG196" s="90" t="n">
        <f aca="false">IF($A196="",0,AVERAGE(INDEX($F196:$AC196,9+Setup!$B$8):INDEX($F196:$AC196,11+Setup!$B$8)))</f>
        <v>0</v>
      </c>
      <c r="AH196" s="89" t="n">
        <f aca="false">IF($A196="",0,SUMPRODUCT(($R$3:$AC$3&lt;=Setup!$B$8)*$R196:$AC196))</f>
        <v>0</v>
      </c>
      <c r="AI196" s="90" t="n">
        <f aca="false">IF($A196="",0,SUMPRODUCT(($F$3:$Q$3&lt;=Setup!$B$8)*$F196:$Q196))</f>
        <v>0</v>
      </c>
      <c r="AJ196" s="90" t="n">
        <f aca="false">IF($A196="",0,SUM($F196:$Q196))</f>
        <v>0</v>
      </c>
      <c r="AK196" s="90" t="n">
        <f aca="false">IF($A196="",0,SUM($R196:$AC196))</f>
        <v>0</v>
      </c>
      <c r="AL196" s="91" t="n">
        <f aca="false">IF($A196="",0,IF(SUMPRODUCT(ABS($F196:$AC196))&gt;0,1,0))</f>
        <v>0</v>
      </c>
    </row>
    <row r="197" customFormat="false" ht="15" hidden="false" customHeight="false" outlineLevel="0" collapsed="false">
      <c r="A197" s="68" t="str">
        <f aca="false">IF(COA_Mapping!$A198="","",COA_Mapping!$A198)</f>
        <v/>
      </c>
      <c r="B197" s="68" t="str">
        <f aca="false">IF($A197="","",COA_Mapping!$C198)</f>
        <v/>
      </c>
      <c r="C197" s="68" t="str">
        <f aca="false">IF($A197="","",COA_Mapping!$E198)</f>
        <v/>
      </c>
      <c r="D197" s="68" t="str">
        <f aca="false">IF($A197="","",COA_Mapping!$D198)</f>
        <v/>
      </c>
      <c r="E197" s="86" t="n">
        <f aca="false">IF($A197="",1,COA_Mapping!$F198)</f>
        <v>1</v>
      </c>
      <c r="F197" s="87" t="n">
        <f aca="false">IF($A197="",0,SUMIF(GL_Data!$S$8:$S$5007,192001,GL_Data!$P$8:$P$5007))</f>
        <v>0</v>
      </c>
      <c r="G197" s="87" t="n">
        <f aca="false">IF($A197="",0,SUMIF(GL_Data!$S$8:$S$5007,192002,GL_Data!$P$8:$P$5007))</f>
        <v>0</v>
      </c>
      <c r="H197" s="87" t="n">
        <f aca="false">IF($A197="",0,SUMIF(GL_Data!$S$8:$S$5007,192003,GL_Data!$P$8:$P$5007))</f>
        <v>0</v>
      </c>
      <c r="I197" s="87" t="n">
        <f aca="false">IF($A197="",0,SUMIF(GL_Data!$S$8:$S$5007,192004,GL_Data!$P$8:$P$5007))</f>
        <v>0</v>
      </c>
      <c r="J197" s="87" t="n">
        <f aca="false">IF($A197="",0,SUMIF(GL_Data!$S$8:$S$5007,192005,GL_Data!$P$8:$P$5007))</f>
        <v>0</v>
      </c>
      <c r="K197" s="87" t="n">
        <f aca="false">IF($A197="",0,SUMIF(GL_Data!$S$8:$S$5007,192006,GL_Data!$P$8:$P$5007))</f>
        <v>0</v>
      </c>
      <c r="L197" s="87" t="n">
        <f aca="false">IF($A197="",0,SUMIF(GL_Data!$S$8:$S$5007,192007,GL_Data!$P$8:$P$5007))</f>
        <v>0</v>
      </c>
      <c r="M197" s="87" t="n">
        <f aca="false">IF($A197="",0,SUMIF(GL_Data!$S$8:$S$5007,192008,GL_Data!$P$8:$P$5007))</f>
        <v>0</v>
      </c>
      <c r="N197" s="87" t="n">
        <f aca="false">IF($A197="",0,SUMIF(GL_Data!$S$8:$S$5007,192009,GL_Data!$P$8:$P$5007))</f>
        <v>0</v>
      </c>
      <c r="O197" s="87" t="n">
        <f aca="false">IF($A197="",0,SUMIF(GL_Data!$S$8:$S$5007,192010,GL_Data!$P$8:$P$5007))</f>
        <v>0</v>
      </c>
      <c r="P197" s="87" t="n">
        <f aca="false">IF($A197="",0,SUMIF(GL_Data!$S$8:$S$5007,192011,GL_Data!$P$8:$P$5007))</f>
        <v>0</v>
      </c>
      <c r="Q197" s="87" t="n">
        <f aca="false">IF($A197="",0,SUMIF(GL_Data!$S$8:$S$5007,192012,GL_Data!$P$8:$P$5007))</f>
        <v>0</v>
      </c>
      <c r="R197" s="88" t="n">
        <f aca="false">IF($A197="",0,SUMIF(GL_Data!$S$8:$S$5007,192101,GL_Data!$P$8:$P$5007))</f>
        <v>0</v>
      </c>
      <c r="S197" s="88" t="n">
        <f aca="false">IF($A197="",0,SUMIF(GL_Data!$S$8:$S$5007,192102,GL_Data!$P$8:$P$5007))</f>
        <v>0</v>
      </c>
      <c r="T197" s="88" t="n">
        <f aca="false">IF($A197="",0,SUMIF(GL_Data!$S$8:$S$5007,192103,GL_Data!$P$8:$P$5007))</f>
        <v>0</v>
      </c>
      <c r="U197" s="88" t="n">
        <f aca="false">IF($A197="",0,SUMIF(GL_Data!$S$8:$S$5007,192104,GL_Data!$P$8:$P$5007))</f>
        <v>0</v>
      </c>
      <c r="V197" s="88" t="n">
        <f aca="false">IF($A197="",0,SUMIF(GL_Data!$S$8:$S$5007,192105,GL_Data!$P$8:$P$5007))</f>
        <v>0</v>
      </c>
      <c r="W197" s="88" t="n">
        <f aca="false">IF($A197="",0,SUMIF(GL_Data!$S$8:$S$5007,192106,GL_Data!$P$8:$P$5007))</f>
        <v>0</v>
      </c>
      <c r="X197" s="88" t="n">
        <f aca="false">IF($A197="",0,SUMIF(GL_Data!$S$8:$S$5007,192107,GL_Data!$P$8:$P$5007))</f>
        <v>0</v>
      </c>
      <c r="Y197" s="88" t="n">
        <f aca="false">IF($A197="",0,SUMIF(GL_Data!$S$8:$S$5007,192108,GL_Data!$P$8:$P$5007))</f>
        <v>0</v>
      </c>
      <c r="Z197" s="88" t="n">
        <f aca="false">IF($A197="",0,SUMIF(GL_Data!$S$8:$S$5007,192109,GL_Data!$P$8:$P$5007))</f>
        <v>0</v>
      </c>
      <c r="AA197" s="88" t="n">
        <f aca="false">IF($A197="",0,SUMIF(GL_Data!$S$8:$S$5007,192110,GL_Data!$P$8:$P$5007))</f>
        <v>0</v>
      </c>
      <c r="AB197" s="88" t="n">
        <f aca="false">IF($A197="",0,SUMIF(GL_Data!$S$8:$S$5007,192111,GL_Data!$P$8:$P$5007))</f>
        <v>0</v>
      </c>
      <c r="AC197" s="88" t="n">
        <f aca="false">IF($A197="",0,SUMIF(GL_Data!$S$8:$S$5007,192112,GL_Data!$P$8:$P$5007))</f>
        <v>0</v>
      </c>
      <c r="AD197" s="89" t="n">
        <f aca="false">IF($A197="",0,INDEX($F197:$AC197,12+Setup!$B$8))</f>
        <v>0</v>
      </c>
      <c r="AE197" s="90" t="n">
        <f aca="false">IF($A197="",0,INDEX($F197:$AC197,Setup!$B$8))</f>
        <v>0</v>
      </c>
      <c r="AF197" s="90" t="n">
        <f aca="false">IF($A197="",0,INDEX($F197:$AC197,11+Setup!$B$8))</f>
        <v>0</v>
      </c>
      <c r="AG197" s="90" t="n">
        <f aca="false">IF($A197="",0,AVERAGE(INDEX($F197:$AC197,9+Setup!$B$8):INDEX($F197:$AC197,11+Setup!$B$8)))</f>
        <v>0</v>
      </c>
      <c r="AH197" s="89" t="n">
        <f aca="false">IF($A197="",0,SUMPRODUCT(($R$3:$AC$3&lt;=Setup!$B$8)*$R197:$AC197))</f>
        <v>0</v>
      </c>
      <c r="AI197" s="90" t="n">
        <f aca="false">IF($A197="",0,SUMPRODUCT(($F$3:$Q$3&lt;=Setup!$B$8)*$F197:$Q197))</f>
        <v>0</v>
      </c>
      <c r="AJ197" s="90" t="n">
        <f aca="false">IF($A197="",0,SUM($F197:$Q197))</f>
        <v>0</v>
      </c>
      <c r="AK197" s="90" t="n">
        <f aca="false">IF($A197="",0,SUM($R197:$AC197))</f>
        <v>0</v>
      </c>
      <c r="AL197" s="91" t="n">
        <f aca="false">IF($A197="",0,IF(SUMPRODUCT(ABS($F197:$AC197))&gt;0,1,0))</f>
        <v>0</v>
      </c>
    </row>
    <row r="198" customFormat="false" ht="15" hidden="false" customHeight="false" outlineLevel="0" collapsed="false">
      <c r="A198" s="68" t="str">
        <f aca="false">IF(COA_Mapping!$A199="","",COA_Mapping!$A199)</f>
        <v/>
      </c>
      <c r="B198" s="68" t="str">
        <f aca="false">IF($A198="","",COA_Mapping!$C199)</f>
        <v/>
      </c>
      <c r="C198" s="68" t="str">
        <f aca="false">IF($A198="","",COA_Mapping!$E199)</f>
        <v/>
      </c>
      <c r="D198" s="68" t="str">
        <f aca="false">IF($A198="","",COA_Mapping!$D199)</f>
        <v/>
      </c>
      <c r="E198" s="86" t="n">
        <f aca="false">IF($A198="",1,COA_Mapping!$F199)</f>
        <v>1</v>
      </c>
      <c r="F198" s="87" t="n">
        <f aca="false">IF($A198="",0,SUMIF(GL_Data!$S$8:$S$5007,193001,GL_Data!$P$8:$P$5007))</f>
        <v>0</v>
      </c>
      <c r="G198" s="87" t="n">
        <f aca="false">IF($A198="",0,SUMIF(GL_Data!$S$8:$S$5007,193002,GL_Data!$P$8:$P$5007))</f>
        <v>0</v>
      </c>
      <c r="H198" s="87" t="n">
        <f aca="false">IF($A198="",0,SUMIF(GL_Data!$S$8:$S$5007,193003,GL_Data!$P$8:$P$5007))</f>
        <v>0</v>
      </c>
      <c r="I198" s="87" t="n">
        <f aca="false">IF($A198="",0,SUMIF(GL_Data!$S$8:$S$5007,193004,GL_Data!$P$8:$P$5007))</f>
        <v>0</v>
      </c>
      <c r="J198" s="87" t="n">
        <f aca="false">IF($A198="",0,SUMIF(GL_Data!$S$8:$S$5007,193005,GL_Data!$P$8:$P$5007))</f>
        <v>0</v>
      </c>
      <c r="K198" s="87" t="n">
        <f aca="false">IF($A198="",0,SUMIF(GL_Data!$S$8:$S$5007,193006,GL_Data!$P$8:$P$5007))</f>
        <v>0</v>
      </c>
      <c r="L198" s="87" t="n">
        <f aca="false">IF($A198="",0,SUMIF(GL_Data!$S$8:$S$5007,193007,GL_Data!$P$8:$P$5007))</f>
        <v>0</v>
      </c>
      <c r="M198" s="87" t="n">
        <f aca="false">IF($A198="",0,SUMIF(GL_Data!$S$8:$S$5007,193008,GL_Data!$P$8:$P$5007))</f>
        <v>0</v>
      </c>
      <c r="N198" s="87" t="n">
        <f aca="false">IF($A198="",0,SUMIF(GL_Data!$S$8:$S$5007,193009,GL_Data!$P$8:$P$5007))</f>
        <v>0</v>
      </c>
      <c r="O198" s="87" t="n">
        <f aca="false">IF($A198="",0,SUMIF(GL_Data!$S$8:$S$5007,193010,GL_Data!$P$8:$P$5007))</f>
        <v>0</v>
      </c>
      <c r="P198" s="87" t="n">
        <f aca="false">IF($A198="",0,SUMIF(GL_Data!$S$8:$S$5007,193011,GL_Data!$P$8:$P$5007))</f>
        <v>0</v>
      </c>
      <c r="Q198" s="87" t="n">
        <f aca="false">IF($A198="",0,SUMIF(GL_Data!$S$8:$S$5007,193012,GL_Data!$P$8:$P$5007))</f>
        <v>0</v>
      </c>
      <c r="R198" s="88" t="n">
        <f aca="false">IF($A198="",0,SUMIF(GL_Data!$S$8:$S$5007,193101,GL_Data!$P$8:$P$5007))</f>
        <v>0</v>
      </c>
      <c r="S198" s="88" t="n">
        <f aca="false">IF($A198="",0,SUMIF(GL_Data!$S$8:$S$5007,193102,GL_Data!$P$8:$P$5007))</f>
        <v>0</v>
      </c>
      <c r="T198" s="88" t="n">
        <f aca="false">IF($A198="",0,SUMIF(GL_Data!$S$8:$S$5007,193103,GL_Data!$P$8:$P$5007))</f>
        <v>0</v>
      </c>
      <c r="U198" s="88" t="n">
        <f aca="false">IF($A198="",0,SUMIF(GL_Data!$S$8:$S$5007,193104,GL_Data!$P$8:$P$5007))</f>
        <v>0</v>
      </c>
      <c r="V198" s="88" t="n">
        <f aca="false">IF($A198="",0,SUMIF(GL_Data!$S$8:$S$5007,193105,GL_Data!$P$8:$P$5007))</f>
        <v>0</v>
      </c>
      <c r="W198" s="88" t="n">
        <f aca="false">IF($A198="",0,SUMIF(GL_Data!$S$8:$S$5007,193106,GL_Data!$P$8:$P$5007))</f>
        <v>0</v>
      </c>
      <c r="X198" s="88" t="n">
        <f aca="false">IF($A198="",0,SUMIF(GL_Data!$S$8:$S$5007,193107,GL_Data!$P$8:$P$5007))</f>
        <v>0</v>
      </c>
      <c r="Y198" s="88" t="n">
        <f aca="false">IF($A198="",0,SUMIF(GL_Data!$S$8:$S$5007,193108,GL_Data!$P$8:$P$5007))</f>
        <v>0</v>
      </c>
      <c r="Z198" s="88" t="n">
        <f aca="false">IF($A198="",0,SUMIF(GL_Data!$S$8:$S$5007,193109,GL_Data!$P$8:$P$5007))</f>
        <v>0</v>
      </c>
      <c r="AA198" s="88" t="n">
        <f aca="false">IF($A198="",0,SUMIF(GL_Data!$S$8:$S$5007,193110,GL_Data!$P$8:$P$5007))</f>
        <v>0</v>
      </c>
      <c r="AB198" s="88" t="n">
        <f aca="false">IF($A198="",0,SUMIF(GL_Data!$S$8:$S$5007,193111,GL_Data!$P$8:$P$5007))</f>
        <v>0</v>
      </c>
      <c r="AC198" s="88" t="n">
        <f aca="false">IF($A198="",0,SUMIF(GL_Data!$S$8:$S$5007,193112,GL_Data!$P$8:$P$5007))</f>
        <v>0</v>
      </c>
      <c r="AD198" s="89" t="n">
        <f aca="false">IF($A198="",0,INDEX($F198:$AC198,12+Setup!$B$8))</f>
        <v>0</v>
      </c>
      <c r="AE198" s="90" t="n">
        <f aca="false">IF($A198="",0,INDEX($F198:$AC198,Setup!$B$8))</f>
        <v>0</v>
      </c>
      <c r="AF198" s="90" t="n">
        <f aca="false">IF($A198="",0,INDEX($F198:$AC198,11+Setup!$B$8))</f>
        <v>0</v>
      </c>
      <c r="AG198" s="90" t="n">
        <f aca="false">IF($A198="",0,AVERAGE(INDEX($F198:$AC198,9+Setup!$B$8):INDEX($F198:$AC198,11+Setup!$B$8)))</f>
        <v>0</v>
      </c>
      <c r="AH198" s="89" t="n">
        <f aca="false">IF($A198="",0,SUMPRODUCT(($R$3:$AC$3&lt;=Setup!$B$8)*$R198:$AC198))</f>
        <v>0</v>
      </c>
      <c r="AI198" s="90" t="n">
        <f aca="false">IF($A198="",0,SUMPRODUCT(($F$3:$Q$3&lt;=Setup!$B$8)*$F198:$Q198))</f>
        <v>0</v>
      </c>
      <c r="AJ198" s="90" t="n">
        <f aca="false">IF($A198="",0,SUM($F198:$Q198))</f>
        <v>0</v>
      </c>
      <c r="AK198" s="90" t="n">
        <f aca="false">IF($A198="",0,SUM($R198:$AC198))</f>
        <v>0</v>
      </c>
      <c r="AL198" s="91" t="n">
        <f aca="false">IF($A198="",0,IF(SUMPRODUCT(ABS($F198:$AC198))&gt;0,1,0))</f>
        <v>0</v>
      </c>
    </row>
    <row r="199" customFormat="false" ht="15" hidden="false" customHeight="false" outlineLevel="0" collapsed="false">
      <c r="A199" s="68" t="str">
        <f aca="false">IF(COA_Mapping!$A200="","",COA_Mapping!$A200)</f>
        <v/>
      </c>
      <c r="B199" s="68" t="str">
        <f aca="false">IF($A199="","",COA_Mapping!$C200)</f>
        <v/>
      </c>
      <c r="C199" s="68" t="str">
        <f aca="false">IF($A199="","",COA_Mapping!$E200)</f>
        <v/>
      </c>
      <c r="D199" s="68" t="str">
        <f aca="false">IF($A199="","",COA_Mapping!$D200)</f>
        <v/>
      </c>
      <c r="E199" s="86" t="n">
        <f aca="false">IF($A199="",1,COA_Mapping!$F200)</f>
        <v>1</v>
      </c>
      <c r="F199" s="87" t="n">
        <f aca="false">IF($A199="",0,SUMIF(GL_Data!$S$8:$S$5007,194001,GL_Data!$P$8:$P$5007))</f>
        <v>0</v>
      </c>
      <c r="G199" s="87" t="n">
        <f aca="false">IF($A199="",0,SUMIF(GL_Data!$S$8:$S$5007,194002,GL_Data!$P$8:$P$5007))</f>
        <v>0</v>
      </c>
      <c r="H199" s="87" t="n">
        <f aca="false">IF($A199="",0,SUMIF(GL_Data!$S$8:$S$5007,194003,GL_Data!$P$8:$P$5007))</f>
        <v>0</v>
      </c>
      <c r="I199" s="87" t="n">
        <f aca="false">IF($A199="",0,SUMIF(GL_Data!$S$8:$S$5007,194004,GL_Data!$P$8:$P$5007))</f>
        <v>0</v>
      </c>
      <c r="J199" s="87" t="n">
        <f aca="false">IF($A199="",0,SUMIF(GL_Data!$S$8:$S$5007,194005,GL_Data!$P$8:$P$5007))</f>
        <v>0</v>
      </c>
      <c r="K199" s="87" t="n">
        <f aca="false">IF($A199="",0,SUMIF(GL_Data!$S$8:$S$5007,194006,GL_Data!$P$8:$P$5007))</f>
        <v>0</v>
      </c>
      <c r="L199" s="87" t="n">
        <f aca="false">IF($A199="",0,SUMIF(GL_Data!$S$8:$S$5007,194007,GL_Data!$P$8:$P$5007))</f>
        <v>0</v>
      </c>
      <c r="M199" s="87" t="n">
        <f aca="false">IF($A199="",0,SUMIF(GL_Data!$S$8:$S$5007,194008,GL_Data!$P$8:$P$5007))</f>
        <v>0</v>
      </c>
      <c r="N199" s="87" t="n">
        <f aca="false">IF($A199="",0,SUMIF(GL_Data!$S$8:$S$5007,194009,GL_Data!$P$8:$P$5007))</f>
        <v>0</v>
      </c>
      <c r="O199" s="87" t="n">
        <f aca="false">IF($A199="",0,SUMIF(GL_Data!$S$8:$S$5007,194010,GL_Data!$P$8:$P$5007))</f>
        <v>0</v>
      </c>
      <c r="P199" s="87" t="n">
        <f aca="false">IF($A199="",0,SUMIF(GL_Data!$S$8:$S$5007,194011,GL_Data!$P$8:$P$5007))</f>
        <v>0</v>
      </c>
      <c r="Q199" s="87" t="n">
        <f aca="false">IF($A199="",0,SUMIF(GL_Data!$S$8:$S$5007,194012,GL_Data!$P$8:$P$5007))</f>
        <v>0</v>
      </c>
      <c r="R199" s="88" t="n">
        <f aca="false">IF($A199="",0,SUMIF(GL_Data!$S$8:$S$5007,194101,GL_Data!$P$8:$P$5007))</f>
        <v>0</v>
      </c>
      <c r="S199" s="88" t="n">
        <f aca="false">IF($A199="",0,SUMIF(GL_Data!$S$8:$S$5007,194102,GL_Data!$P$8:$P$5007))</f>
        <v>0</v>
      </c>
      <c r="T199" s="88" t="n">
        <f aca="false">IF($A199="",0,SUMIF(GL_Data!$S$8:$S$5007,194103,GL_Data!$P$8:$P$5007))</f>
        <v>0</v>
      </c>
      <c r="U199" s="88" t="n">
        <f aca="false">IF($A199="",0,SUMIF(GL_Data!$S$8:$S$5007,194104,GL_Data!$P$8:$P$5007))</f>
        <v>0</v>
      </c>
      <c r="V199" s="88" t="n">
        <f aca="false">IF($A199="",0,SUMIF(GL_Data!$S$8:$S$5007,194105,GL_Data!$P$8:$P$5007))</f>
        <v>0</v>
      </c>
      <c r="W199" s="88" t="n">
        <f aca="false">IF($A199="",0,SUMIF(GL_Data!$S$8:$S$5007,194106,GL_Data!$P$8:$P$5007))</f>
        <v>0</v>
      </c>
      <c r="X199" s="88" t="n">
        <f aca="false">IF($A199="",0,SUMIF(GL_Data!$S$8:$S$5007,194107,GL_Data!$P$8:$P$5007))</f>
        <v>0</v>
      </c>
      <c r="Y199" s="88" t="n">
        <f aca="false">IF($A199="",0,SUMIF(GL_Data!$S$8:$S$5007,194108,GL_Data!$P$8:$P$5007))</f>
        <v>0</v>
      </c>
      <c r="Z199" s="88" t="n">
        <f aca="false">IF($A199="",0,SUMIF(GL_Data!$S$8:$S$5007,194109,GL_Data!$P$8:$P$5007))</f>
        <v>0</v>
      </c>
      <c r="AA199" s="88" t="n">
        <f aca="false">IF($A199="",0,SUMIF(GL_Data!$S$8:$S$5007,194110,GL_Data!$P$8:$P$5007))</f>
        <v>0</v>
      </c>
      <c r="AB199" s="88" t="n">
        <f aca="false">IF($A199="",0,SUMIF(GL_Data!$S$8:$S$5007,194111,GL_Data!$P$8:$P$5007))</f>
        <v>0</v>
      </c>
      <c r="AC199" s="88" t="n">
        <f aca="false">IF($A199="",0,SUMIF(GL_Data!$S$8:$S$5007,194112,GL_Data!$P$8:$P$5007))</f>
        <v>0</v>
      </c>
      <c r="AD199" s="89" t="n">
        <f aca="false">IF($A199="",0,INDEX($F199:$AC199,12+Setup!$B$8))</f>
        <v>0</v>
      </c>
      <c r="AE199" s="90" t="n">
        <f aca="false">IF($A199="",0,INDEX($F199:$AC199,Setup!$B$8))</f>
        <v>0</v>
      </c>
      <c r="AF199" s="90" t="n">
        <f aca="false">IF($A199="",0,INDEX($F199:$AC199,11+Setup!$B$8))</f>
        <v>0</v>
      </c>
      <c r="AG199" s="90" t="n">
        <f aca="false">IF($A199="",0,AVERAGE(INDEX($F199:$AC199,9+Setup!$B$8):INDEX($F199:$AC199,11+Setup!$B$8)))</f>
        <v>0</v>
      </c>
      <c r="AH199" s="89" t="n">
        <f aca="false">IF($A199="",0,SUMPRODUCT(($R$3:$AC$3&lt;=Setup!$B$8)*$R199:$AC199))</f>
        <v>0</v>
      </c>
      <c r="AI199" s="90" t="n">
        <f aca="false">IF($A199="",0,SUMPRODUCT(($F$3:$Q$3&lt;=Setup!$B$8)*$F199:$Q199))</f>
        <v>0</v>
      </c>
      <c r="AJ199" s="90" t="n">
        <f aca="false">IF($A199="",0,SUM($F199:$Q199))</f>
        <v>0</v>
      </c>
      <c r="AK199" s="90" t="n">
        <f aca="false">IF($A199="",0,SUM($R199:$AC199))</f>
        <v>0</v>
      </c>
      <c r="AL199" s="91" t="n">
        <f aca="false">IF($A199="",0,IF(SUMPRODUCT(ABS($F199:$AC199))&gt;0,1,0))</f>
        <v>0</v>
      </c>
    </row>
    <row r="200" customFormat="false" ht="15" hidden="false" customHeight="false" outlineLevel="0" collapsed="false">
      <c r="A200" s="68" t="str">
        <f aca="false">IF(COA_Mapping!$A201="","",COA_Mapping!$A201)</f>
        <v/>
      </c>
      <c r="B200" s="68" t="str">
        <f aca="false">IF($A200="","",COA_Mapping!$C201)</f>
        <v/>
      </c>
      <c r="C200" s="68" t="str">
        <f aca="false">IF($A200="","",COA_Mapping!$E201)</f>
        <v/>
      </c>
      <c r="D200" s="68" t="str">
        <f aca="false">IF($A200="","",COA_Mapping!$D201)</f>
        <v/>
      </c>
      <c r="E200" s="86" t="n">
        <f aca="false">IF($A200="",1,COA_Mapping!$F201)</f>
        <v>1</v>
      </c>
      <c r="F200" s="87" t="n">
        <f aca="false">IF($A200="",0,SUMIF(GL_Data!$S$8:$S$5007,195001,GL_Data!$P$8:$P$5007))</f>
        <v>0</v>
      </c>
      <c r="G200" s="87" t="n">
        <f aca="false">IF($A200="",0,SUMIF(GL_Data!$S$8:$S$5007,195002,GL_Data!$P$8:$P$5007))</f>
        <v>0</v>
      </c>
      <c r="H200" s="87" t="n">
        <f aca="false">IF($A200="",0,SUMIF(GL_Data!$S$8:$S$5007,195003,GL_Data!$P$8:$P$5007))</f>
        <v>0</v>
      </c>
      <c r="I200" s="87" t="n">
        <f aca="false">IF($A200="",0,SUMIF(GL_Data!$S$8:$S$5007,195004,GL_Data!$P$8:$P$5007))</f>
        <v>0</v>
      </c>
      <c r="J200" s="87" t="n">
        <f aca="false">IF($A200="",0,SUMIF(GL_Data!$S$8:$S$5007,195005,GL_Data!$P$8:$P$5007))</f>
        <v>0</v>
      </c>
      <c r="K200" s="87" t="n">
        <f aca="false">IF($A200="",0,SUMIF(GL_Data!$S$8:$S$5007,195006,GL_Data!$P$8:$P$5007))</f>
        <v>0</v>
      </c>
      <c r="L200" s="87" t="n">
        <f aca="false">IF($A200="",0,SUMIF(GL_Data!$S$8:$S$5007,195007,GL_Data!$P$8:$P$5007))</f>
        <v>0</v>
      </c>
      <c r="M200" s="87" t="n">
        <f aca="false">IF($A200="",0,SUMIF(GL_Data!$S$8:$S$5007,195008,GL_Data!$P$8:$P$5007))</f>
        <v>0</v>
      </c>
      <c r="N200" s="87" t="n">
        <f aca="false">IF($A200="",0,SUMIF(GL_Data!$S$8:$S$5007,195009,GL_Data!$P$8:$P$5007))</f>
        <v>0</v>
      </c>
      <c r="O200" s="87" t="n">
        <f aca="false">IF($A200="",0,SUMIF(GL_Data!$S$8:$S$5007,195010,GL_Data!$P$8:$P$5007))</f>
        <v>0</v>
      </c>
      <c r="P200" s="87" t="n">
        <f aca="false">IF($A200="",0,SUMIF(GL_Data!$S$8:$S$5007,195011,GL_Data!$P$8:$P$5007))</f>
        <v>0</v>
      </c>
      <c r="Q200" s="87" t="n">
        <f aca="false">IF($A200="",0,SUMIF(GL_Data!$S$8:$S$5007,195012,GL_Data!$P$8:$P$5007))</f>
        <v>0</v>
      </c>
      <c r="R200" s="88" t="n">
        <f aca="false">IF($A200="",0,SUMIF(GL_Data!$S$8:$S$5007,195101,GL_Data!$P$8:$P$5007))</f>
        <v>0</v>
      </c>
      <c r="S200" s="88" t="n">
        <f aca="false">IF($A200="",0,SUMIF(GL_Data!$S$8:$S$5007,195102,GL_Data!$P$8:$P$5007))</f>
        <v>0</v>
      </c>
      <c r="T200" s="88" t="n">
        <f aca="false">IF($A200="",0,SUMIF(GL_Data!$S$8:$S$5007,195103,GL_Data!$P$8:$P$5007))</f>
        <v>0</v>
      </c>
      <c r="U200" s="88" t="n">
        <f aca="false">IF($A200="",0,SUMIF(GL_Data!$S$8:$S$5007,195104,GL_Data!$P$8:$P$5007))</f>
        <v>0</v>
      </c>
      <c r="V200" s="88" t="n">
        <f aca="false">IF($A200="",0,SUMIF(GL_Data!$S$8:$S$5007,195105,GL_Data!$P$8:$P$5007))</f>
        <v>0</v>
      </c>
      <c r="W200" s="88" t="n">
        <f aca="false">IF($A200="",0,SUMIF(GL_Data!$S$8:$S$5007,195106,GL_Data!$P$8:$P$5007))</f>
        <v>0</v>
      </c>
      <c r="X200" s="88" t="n">
        <f aca="false">IF($A200="",0,SUMIF(GL_Data!$S$8:$S$5007,195107,GL_Data!$P$8:$P$5007))</f>
        <v>0</v>
      </c>
      <c r="Y200" s="88" t="n">
        <f aca="false">IF($A200="",0,SUMIF(GL_Data!$S$8:$S$5007,195108,GL_Data!$P$8:$P$5007))</f>
        <v>0</v>
      </c>
      <c r="Z200" s="88" t="n">
        <f aca="false">IF($A200="",0,SUMIF(GL_Data!$S$8:$S$5007,195109,GL_Data!$P$8:$P$5007))</f>
        <v>0</v>
      </c>
      <c r="AA200" s="88" t="n">
        <f aca="false">IF($A200="",0,SUMIF(GL_Data!$S$8:$S$5007,195110,GL_Data!$P$8:$P$5007))</f>
        <v>0</v>
      </c>
      <c r="AB200" s="88" t="n">
        <f aca="false">IF($A200="",0,SUMIF(GL_Data!$S$8:$S$5007,195111,GL_Data!$P$8:$P$5007))</f>
        <v>0</v>
      </c>
      <c r="AC200" s="88" t="n">
        <f aca="false">IF($A200="",0,SUMIF(GL_Data!$S$8:$S$5007,195112,GL_Data!$P$8:$P$5007))</f>
        <v>0</v>
      </c>
      <c r="AD200" s="89" t="n">
        <f aca="false">IF($A200="",0,INDEX($F200:$AC200,12+Setup!$B$8))</f>
        <v>0</v>
      </c>
      <c r="AE200" s="90" t="n">
        <f aca="false">IF($A200="",0,INDEX($F200:$AC200,Setup!$B$8))</f>
        <v>0</v>
      </c>
      <c r="AF200" s="90" t="n">
        <f aca="false">IF($A200="",0,INDEX($F200:$AC200,11+Setup!$B$8))</f>
        <v>0</v>
      </c>
      <c r="AG200" s="90" t="n">
        <f aca="false">IF($A200="",0,AVERAGE(INDEX($F200:$AC200,9+Setup!$B$8):INDEX($F200:$AC200,11+Setup!$B$8)))</f>
        <v>0</v>
      </c>
      <c r="AH200" s="89" t="n">
        <f aca="false">IF($A200="",0,SUMPRODUCT(($R$3:$AC$3&lt;=Setup!$B$8)*$R200:$AC200))</f>
        <v>0</v>
      </c>
      <c r="AI200" s="90" t="n">
        <f aca="false">IF($A200="",0,SUMPRODUCT(($F$3:$Q$3&lt;=Setup!$B$8)*$F200:$Q200))</f>
        <v>0</v>
      </c>
      <c r="AJ200" s="90" t="n">
        <f aca="false">IF($A200="",0,SUM($F200:$Q200))</f>
        <v>0</v>
      </c>
      <c r="AK200" s="90" t="n">
        <f aca="false">IF($A200="",0,SUM($R200:$AC200))</f>
        <v>0</v>
      </c>
      <c r="AL200" s="91" t="n">
        <f aca="false">IF($A200="",0,IF(SUMPRODUCT(ABS($F200:$AC200))&gt;0,1,0))</f>
        <v>0</v>
      </c>
    </row>
    <row r="201" customFormat="false" ht="15" hidden="false" customHeight="false" outlineLevel="0" collapsed="false">
      <c r="A201" s="68" t="str">
        <f aca="false">IF(COA_Mapping!$A202="","",COA_Mapping!$A202)</f>
        <v/>
      </c>
      <c r="B201" s="68" t="str">
        <f aca="false">IF($A201="","",COA_Mapping!$C202)</f>
        <v/>
      </c>
      <c r="C201" s="68" t="str">
        <f aca="false">IF($A201="","",COA_Mapping!$E202)</f>
        <v/>
      </c>
      <c r="D201" s="68" t="str">
        <f aca="false">IF($A201="","",COA_Mapping!$D202)</f>
        <v/>
      </c>
      <c r="E201" s="86" t="n">
        <f aca="false">IF($A201="",1,COA_Mapping!$F202)</f>
        <v>1</v>
      </c>
      <c r="F201" s="87" t="n">
        <f aca="false">IF($A201="",0,SUMIF(GL_Data!$S$8:$S$5007,196001,GL_Data!$P$8:$P$5007))</f>
        <v>0</v>
      </c>
      <c r="G201" s="87" t="n">
        <f aca="false">IF($A201="",0,SUMIF(GL_Data!$S$8:$S$5007,196002,GL_Data!$P$8:$P$5007))</f>
        <v>0</v>
      </c>
      <c r="H201" s="87" t="n">
        <f aca="false">IF($A201="",0,SUMIF(GL_Data!$S$8:$S$5007,196003,GL_Data!$P$8:$P$5007))</f>
        <v>0</v>
      </c>
      <c r="I201" s="87" t="n">
        <f aca="false">IF($A201="",0,SUMIF(GL_Data!$S$8:$S$5007,196004,GL_Data!$P$8:$P$5007))</f>
        <v>0</v>
      </c>
      <c r="J201" s="87" t="n">
        <f aca="false">IF($A201="",0,SUMIF(GL_Data!$S$8:$S$5007,196005,GL_Data!$P$8:$P$5007))</f>
        <v>0</v>
      </c>
      <c r="K201" s="87" t="n">
        <f aca="false">IF($A201="",0,SUMIF(GL_Data!$S$8:$S$5007,196006,GL_Data!$P$8:$P$5007))</f>
        <v>0</v>
      </c>
      <c r="L201" s="87" t="n">
        <f aca="false">IF($A201="",0,SUMIF(GL_Data!$S$8:$S$5007,196007,GL_Data!$P$8:$P$5007))</f>
        <v>0</v>
      </c>
      <c r="M201" s="87" t="n">
        <f aca="false">IF($A201="",0,SUMIF(GL_Data!$S$8:$S$5007,196008,GL_Data!$P$8:$P$5007))</f>
        <v>0</v>
      </c>
      <c r="N201" s="87" t="n">
        <f aca="false">IF($A201="",0,SUMIF(GL_Data!$S$8:$S$5007,196009,GL_Data!$P$8:$P$5007))</f>
        <v>0</v>
      </c>
      <c r="O201" s="87" t="n">
        <f aca="false">IF($A201="",0,SUMIF(GL_Data!$S$8:$S$5007,196010,GL_Data!$P$8:$P$5007))</f>
        <v>0</v>
      </c>
      <c r="P201" s="87" t="n">
        <f aca="false">IF($A201="",0,SUMIF(GL_Data!$S$8:$S$5007,196011,GL_Data!$P$8:$P$5007))</f>
        <v>0</v>
      </c>
      <c r="Q201" s="87" t="n">
        <f aca="false">IF($A201="",0,SUMIF(GL_Data!$S$8:$S$5007,196012,GL_Data!$P$8:$P$5007))</f>
        <v>0</v>
      </c>
      <c r="R201" s="88" t="n">
        <f aca="false">IF($A201="",0,SUMIF(GL_Data!$S$8:$S$5007,196101,GL_Data!$P$8:$P$5007))</f>
        <v>0</v>
      </c>
      <c r="S201" s="88" t="n">
        <f aca="false">IF($A201="",0,SUMIF(GL_Data!$S$8:$S$5007,196102,GL_Data!$P$8:$P$5007))</f>
        <v>0</v>
      </c>
      <c r="T201" s="88" t="n">
        <f aca="false">IF($A201="",0,SUMIF(GL_Data!$S$8:$S$5007,196103,GL_Data!$P$8:$P$5007))</f>
        <v>0</v>
      </c>
      <c r="U201" s="88" t="n">
        <f aca="false">IF($A201="",0,SUMIF(GL_Data!$S$8:$S$5007,196104,GL_Data!$P$8:$P$5007))</f>
        <v>0</v>
      </c>
      <c r="V201" s="88" t="n">
        <f aca="false">IF($A201="",0,SUMIF(GL_Data!$S$8:$S$5007,196105,GL_Data!$P$8:$P$5007))</f>
        <v>0</v>
      </c>
      <c r="W201" s="88" t="n">
        <f aca="false">IF($A201="",0,SUMIF(GL_Data!$S$8:$S$5007,196106,GL_Data!$P$8:$P$5007))</f>
        <v>0</v>
      </c>
      <c r="X201" s="88" t="n">
        <f aca="false">IF($A201="",0,SUMIF(GL_Data!$S$8:$S$5007,196107,GL_Data!$P$8:$P$5007))</f>
        <v>0</v>
      </c>
      <c r="Y201" s="88" t="n">
        <f aca="false">IF($A201="",0,SUMIF(GL_Data!$S$8:$S$5007,196108,GL_Data!$P$8:$P$5007))</f>
        <v>0</v>
      </c>
      <c r="Z201" s="88" t="n">
        <f aca="false">IF($A201="",0,SUMIF(GL_Data!$S$8:$S$5007,196109,GL_Data!$P$8:$P$5007))</f>
        <v>0</v>
      </c>
      <c r="AA201" s="88" t="n">
        <f aca="false">IF($A201="",0,SUMIF(GL_Data!$S$8:$S$5007,196110,GL_Data!$P$8:$P$5007))</f>
        <v>0</v>
      </c>
      <c r="AB201" s="88" t="n">
        <f aca="false">IF($A201="",0,SUMIF(GL_Data!$S$8:$S$5007,196111,GL_Data!$P$8:$P$5007))</f>
        <v>0</v>
      </c>
      <c r="AC201" s="88" t="n">
        <f aca="false">IF($A201="",0,SUMIF(GL_Data!$S$8:$S$5007,196112,GL_Data!$P$8:$P$5007))</f>
        <v>0</v>
      </c>
      <c r="AD201" s="89" t="n">
        <f aca="false">IF($A201="",0,INDEX($F201:$AC201,12+Setup!$B$8))</f>
        <v>0</v>
      </c>
      <c r="AE201" s="90" t="n">
        <f aca="false">IF($A201="",0,INDEX($F201:$AC201,Setup!$B$8))</f>
        <v>0</v>
      </c>
      <c r="AF201" s="90" t="n">
        <f aca="false">IF($A201="",0,INDEX($F201:$AC201,11+Setup!$B$8))</f>
        <v>0</v>
      </c>
      <c r="AG201" s="90" t="n">
        <f aca="false">IF($A201="",0,AVERAGE(INDEX($F201:$AC201,9+Setup!$B$8):INDEX($F201:$AC201,11+Setup!$B$8)))</f>
        <v>0</v>
      </c>
      <c r="AH201" s="89" t="n">
        <f aca="false">IF($A201="",0,SUMPRODUCT(($R$3:$AC$3&lt;=Setup!$B$8)*$R201:$AC201))</f>
        <v>0</v>
      </c>
      <c r="AI201" s="90" t="n">
        <f aca="false">IF($A201="",0,SUMPRODUCT(($F$3:$Q$3&lt;=Setup!$B$8)*$F201:$Q201))</f>
        <v>0</v>
      </c>
      <c r="AJ201" s="90" t="n">
        <f aca="false">IF($A201="",0,SUM($F201:$Q201))</f>
        <v>0</v>
      </c>
      <c r="AK201" s="90" t="n">
        <f aca="false">IF($A201="",0,SUM($R201:$AC201))</f>
        <v>0</v>
      </c>
      <c r="AL201" s="91" t="n">
        <f aca="false">IF($A201="",0,IF(SUMPRODUCT(ABS($F201:$AC201))&gt;0,1,0))</f>
        <v>0</v>
      </c>
    </row>
    <row r="202" customFormat="false" ht="15" hidden="false" customHeight="false" outlineLevel="0" collapsed="false">
      <c r="A202" s="68" t="str">
        <f aca="false">IF(COA_Mapping!$A203="","",COA_Mapping!$A203)</f>
        <v/>
      </c>
      <c r="B202" s="68" t="str">
        <f aca="false">IF($A202="","",COA_Mapping!$C203)</f>
        <v/>
      </c>
      <c r="C202" s="68" t="str">
        <f aca="false">IF($A202="","",COA_Mapping!$E203)</f>
        <v/>
      </c>
      <c r="D202" s="68" t="str">
        <f aca="false">IF($A202="","",COA_Mapping!$D203)</f>
        <v/>
      </c>
      <c r="E202" s="86" t="n">
        <f aca="false">IF($A202="",1,COA_Mapping!$F203)</f>
        <v>1</v>
      </c>
      <c r="F202" s="87" t="n">
        <f aca="false">IF($A202="",0,SUMIF(GL_Data!$S$8:$S$5007,197001,GL_Data!$P$8:$P$5007))</f>
        <v>0</v>
      </c>
      <c r="G202" s="87" t="n">
        <f aca="false">IF($A202="",0,SUMIF(GL_Data!$S$8:$S$5007,197002,GL_Data!$P$8:$P$5007))</f>
        <v>0</v>
      </c>
      <c r="H202" s="87" t="n">
        <f aca="false">IF($A202="",0,SUMIF(GL_Data!$S$8:$S$5007,197003,GL_Data!$P$8:$P$5007))</f>
        <v>0</v>
      </c>
      <c r="I202" s="87" t="n">
        <f aca="false">IF($A202="",0,SUMIF(GL_Data!$S$8:$S$5007,197004,GL_Data!$P$8:$P$5007))</f>
        <v>0</v>
      </c>
      <c r="J202" s="87" t="n">
        <f aca="false">IF($A202="",0,SUMIF(GL_Data!$S$8:$S$5007,197005,GL_Data!$P$8:$P$5007))</f>
        <v>0</v>
      </c>
      <c r="K202" s="87" t="n">
        <f aca="false">IF($A202="",0,SUMIF(GL_Data!$S$8:$S$5007,197006,GL_Data!$P$8:$P$5007))</f>
        <v>0</v>
      </c>
      <c r="L202" s="87" t="n">
        <f aca="false">IF($A202="",0,SUMIF(GL_Data!$S$8:$S$5007,197007,GL_Data!$P$8:$P$5007))</f>
        <v>0</v>
      </c>
      <c r="M202" s="87" t="n">
        <f aca="false">IF($A202="",0,SUMIF(GL_Data!$S$8:$S$5007,197008,GL_Data!$P$8:$P$5007))</f>
        <v>0</v>
      </c>
      <c r="N202" s="87" t="n">
        <f aca="false">IF($A202="",0,SUMIF(GL_Data!$S$8:$S$5007,197009,GL_Data!$P$8:$P$5007))</f>
        <v>0</v>
      </c>
      <c r="O202" s="87" t="n">
        <f aca="false">IF($A202="",0,SUMIF(GL_Data!$S$8:$S$5007,197010,GL_Data!$P$8:$P$5007))</f>
        <v>0</v>
      </c>
      <c r="P202" s="87" t="n">
        <f aca="false">IF($A202="",0,SUMIF(GL_Data!$S$8:$S$5007,197011,GL_Data!$P$8:$P$5007))</f>
        <v>0</v>
      </c>
      <c r="Q202" s="87" t="n">
        <f aca="false">IF($A202="",0,SUMIF(GL_Data!$S$8:$S$5007,197012,GL_Data!$P$8:$P$5007))</f>
        <v>0</v>
      </c>
      <c r="R202" s="88" t="n">
        <f aca="false">IF($A202="",0,SUMIF(GL_Data!$S$8:$S$5007,197101,GL_Data!$P$8:$P$5007))</f>
        <v>0</v>
      </c>
      <c r="S202" s="88" t="n">
        <f aca="false">IF($A202="",0,SUMIF(GL_Data!$S$8:$S$5007,197102,GL_Data!$P$8:$P$5007))</f>
        <v>0</v>
      </c>
      <c r="T202" s="88" t="n">
        <f aca="false">IF($A202="",0,SUMIF(GL_Data!$S$8:$S$5007,197103,GL_Data!$P$8:$P$5007))</f>
        <v>0</v>
      </c>
      <c r="U202" s="88" t="n">
        <f aca="false">IF($A202="",0,SUMIF(GL_Data!$S$8:$S$5007,197104,GL_Data!$P$8:$P$5007))</f>
        <v>0</v>
      </c>
      <c r="V202" s="88" t="n">
        <f aca="false">IF($A202="",0,SUMIF(GL_Data!$S$8:$S$5007,197105,GL_Data!$P$8:$P$5007))</f>
        <v>0</v>
      </c>
      <c r="W202" s="88" t="n">
        <f aca="false">IF($A202="",0,SUMIF(GL_Data!$S$8:$S$5007,197106,GL_Data!$P$8:$P$5007))</f>
        <v>0</v>
      </c>
      <c r="X202" s="88" t="n">
        <f aca="false">IF($A202="",0,SUMIF(GL_Data!$S$8:$S$5007,197107,GL_Data!$P$8:$P$5007))</f>
        <v>0</v>
      </c>
      <c r="Y202" s="88" t="n">
        <f aca="false">IF($A202="",0,SUMIF(GL_Data!$S$8:$S$5007,197108,GL_Data!$P$8:$P$5007))</f>
        <v>0</v>
      </c>
      <c r="Z202" s="88" t="n">
        <f aca="false">IF($A202="",0,SUMIF(GL_Data!$S$8:$S$5007,197109,GL_Data!$P$8:$P$5007))</f>
        <v>0</v>
      </c>
      <c r="AA202" s="88" t="n">
        <f aca="false">IF($A202="",0,SUMIF(GL_Data!$S$8:$S$5007,197110,GL_Data!$P$8:$P$5007))</f>
        <v>0</v>
      </c>
      <c r="AB202" s="88" t="n">
        <f aca="false">IF($A202="",0,SUMIF(GL_Data!$S$8:$S$5007,197111,GL_Data!$P$8:$P$5007))</f>
        <v>0</v>
      </c>
      <c r="AC202" s="88" t="n">
        <f aca="false">IF($A202="",0,SUMIF(GL_Data!$S$8:$S$5007,197112,GL_Data!$P$8:$P$5007))</f>
        <v>0</v>
      </c>
      <c r="AD202" s="89" t="n">
        <f aca="false">IF($A202="",0,INDEX($F202:$AC202,12+Setup!$B$8))</f>
        <v>0</v>
      </c>
      <c r="AE202" s="90" t="n">
        <f aca="false">IF($A202="",0,INDEX($F202:$AC202,Setup!$B$8))</f>
        <v>0</v>
      </c>
      <c r="AF202" s="90" t="n">
        <f aca="false">IF($A202="",0,INDEX($F202:$AC202,11+Setup!$B$8))</f>
        <v>0</v>
      </c>
      <c r="AG202" s="90" t="n">
        <f aca="false">IF($A202="",0,AVERAGE(INDEX($F202:$AC202,9+Setup!$B$8):INDEX($F202:$AC202,11+Setup!$B$8)))</f>
        <v>0</v>
      </c>
      <c r="AH202" s="89" t="n">
        <f aca="false">IF($A202="",0,SUMPRODUCT(($R$3:$AC$3&lt;=Setup!$B$8)*$R202:$AC202))</f>
        <v>0</v>
      </c>
      <c r="AI202" s="90" t="n">
        <f aca="false">IF($A202="",0,SUMPRODUCT(($F$3:$Q$3&lt;=Setup!$B$8)*$F202:$Q202))</f>
        <v>0</v>
      </c>
      <c r="AJ202" s="90" t="n">
        <f aca="false">IF($A202="",0,SUM($F202:$Q202))</f>
        <v>0</v>
      </c>
      <c r="AK202" s="90" t="n">
        <f aca="false">IF($A202="",0,SUM($R202:$AC202))</f>
        <v>0</v>
      </c>
      <c r="AL202" s="91" t="n">
        <f aca="false">IF($A202="",0,IF(SUMPRODUCT(ABS($F202:$AC202))&gt;0,1,0))</f>
        <v>0</v>
      </c>
    </row>
    <row r="203" customFormat="false" ht="15" hidden="false" customHeight="false" outlineLevel="0" collapsed="false">
      <c r="A203" s="68" t="str">
        <f aca="false">IF(COA_Mapping!$A204="","",COA_Mapping!$A204)</f>
        <v/>
      </c>
      <c r="B203" s="68" t="str">
        <f aca="false">IF($A203="","",COA_Mapping!$C204)</f>
        <v/>
      </c>
      <c r="C203" s="68" t="str">
        <f aca="false">IF($A203="","",COA_Mapping!$E204)</f>
        <v/>
      </c>
      <c r="D203" s="68" t="str">
        <f aca="false">IF($A203="","",COA_Mapping!$D204)</f>
        <v/>
      </c>
      <c r="E203" s="86" t="n">
        <f aca="false">IF($A203="",1,COA_Mapping!$F204)</f>
        <v>1</v>
      </c>
      <c r="F203" s="87" t="n">
        <f aca="false">IF($A203="",0,SUMIF(GL_Data!$S$8:$S$5007,198001,GL_Data!$P$8:$P$5007))</f>
        <v>0</v>
      </c>
      <c r="G203" s="87" t="n">
        <f aca="false">IF($A203="",0,SUMIF(GL_Data!$S$8:$S$5007,198002,GL_Data!$P$8:$P$5007))</f>
        <v>0</v>
      </c>
      <c r="H203" s="87" t="n">
        <f aca="false">IF($A203="",0,SUMIF(GL_Data!$S$8:$S$5007,198003,GL_Data!$P$8:$P$5007))</f>
        <v>0</v>
      </c>
      <c r="I203" s="87" t="n">
        <f aca="false">IF($A203="",0,SUMIF(GL_Data!$S$8:$S$5007,198004,GL_Data!$P$8:$P$5007))</f>
        <v>0</v>
      </c>
      <c r="J203" s="87" t="n">
        <f aca="false">IF($A203="",0,SUMIF(GL_Data!$S$8:$S$5007,198005,GL_Data!$P$8:$P$5007))</f>
        <v>0</v>
      </c>
      <c r="K203" s="87" t="n">
        <f aca="false">IF($A203="",0,SUMIF(GL_Data!$S$8:$S$5007,198006,GL_Data!$P$8:$P$5007))</f>
        <v>0</v>
      </c>
      <c r="L203" s="87" t="n">
        <f aca="false">IF($A203="",0,SUMIF(GL_Data!$S$8:$S$5007,198007,GL_Data!$P$8:$P$5007))</f>
        <v>0</v>
      </c>
      <c r="M203" s="87" t="n">
        <f aca="false">IF($A203="",0,SUMIF(GL_Data!$S$8:$S$5007,198008,GL_Data!$P$8:$P$5007))</f>
        <v>0</v>
      </c>
      <c r="N203" s="87" t="n">
        <f aca="false">IF($A203="",0,SUMIF(GL_Data!$S$8:$S$5007,198009,GL_Data!$P$8:$P$5007))</f>
        <v>0</v>
      </c>
      <c r="O203" s="87" t="n">
        <f aca="false">IF($A203="",0,SUMIF(GL_Data!$S$8:$S$5007,198010,GL_Data!$P$8:$P$5007))</f>
        <v>0</v>
      </c>
      <c r="P203" s="87" t="n">
        <f aca="false">IF($A203="",0,SUMIF(GL_Data!$S$8:$S$5007,198011,GL_Data!$P$8:$P$5007))</f>
        <v>0</v>
      </c>
      <c r="Q203" s="87" t="n">
        <f aca="false">IF($A203="",0,SUMIF(GL_Data!$S$8:$S$5007,198012,GL_Data!$P$8:$P$5007))</f>
        <v>0</v>
      </c>
      <c r="R203" s="88" t="n">
        <f aca="false">IF($A203="",0,SUMIF(GL_Data!$S$8:$S$5007,198101,GL_Data!$P$8:$P$5007))</f>
        <v>0</v>
      </c>
      <c r="S203" s="88" t="n">
        <f aca="false">IF($A203="",0,SUMIF(GL_Data!$S$8:$S$5007,198102,GL_Data!$P$8:$P$5007))</f>
        <v>0</v>
      </c>
      <c r="T203" s="88" t="n">
        <f aca="false">IF($A203="",0,SUMIF(GL_Data!$S$8:$S$5007,198103,GL_Data!$P$8:$P$5007))</f>
        <v>0</v>
      </c>
      <c r="U203" s="88" t="n">
        <f aca="false">IF($A203="",0,SUMIF(GL_Data!$S$8:$S$5007,198104,GL_Data!$P$8:$P$5007))</f>
        <v>0</v>
      </c>
      <c r="V203" s="88" t="n">
        <f aca="false">IF($A203="",0,SUMIF(GL_Data!$S$8:$S$5007,198105,GL_Data!$P$8:$P$5007))</f>
        <v>0</v>
      </c>
      <c r="W203" s="88" t="n">
        <f aca="false">IF($A203="",0,SUMIF(GL_Data!$S$8:$S$5007,198106,GL_Data!$P$8:$P$5007))</f>
        <v>0</v>
      </c>
      <c r="X203" s="88" t="n">
        <f aca="false">IF($A203="",0,SUMIF(GL_Data!$S$8:$S$5007,198107,GL_Data!$P$8:$P$5007))</f>
        <v>0</v>
      </c>
      <c r="Y203" s="88" t="n">
        <f aca="false">IF($A203="",0,SUMIF(GL_Data!$S$8:$S$5007,198108,GL_Data!$P$8:$P$5007))</f>
        <v>0</v>
      </c>
      <c r="Z203" s="88" t="n">
        <f aca="false">IF($A203="",0,SUMIF(GL_Data!$S$8:$S$5007,198109,GL_Data!$P$8:$P$5007))</f>
        <v>0</v>
      </c>
      <c r="AA203" s="88" t="n">
        <f aca="false">IF($A203="",0,SUMIF(GL_Data!$S$8:$S$5007,198110,GL_Data!$P$8:$P$5007))</f>
        <v>0</v>
      </c>
      <c r="AB203" s="88" t="n">
        <f aca="false">IF($A203="",0,SUMIF(GL_Data!$S$8:$S$5007,198111,GL_Data!$P$8:$P$5007))</f>
        <v>0</v>
      </c>
      <c r="AC203" s="88" t="n">
        <f aca="false">IF($A203="",0,SUMIF(GL_Data!$S$8:$S$5007,198112,GL_Data!$P$8:$P$5007))</f>
        <v>0</v>
      </c>
      <c r="AD203" s="89" t="n">
        <f aca="false">IF($A203="",0,INDEX($F203:$AC203,12+Setup!$B$8))</f>
        <v>0</v>
      </c>
      <c r="AE203" s="90" t="n">
        <f aca="false">IF($A203="",0,INDEX($F203:$AC203,Setup!$B$8))</f>
        <v>0</v>
      </c>
      <c r="AF203" s="90" t="n">
        <f aca="false">IF($A203="",0,INDEX($F203:$AC203,11+Setup!$B$8))</f>
        <v>0</v>
      </c>
      <c r="AG203" s="90" t="n">
        <f aca="false">IF($A203="",0,AVERAGE(INDEX($F203:$AC203,9+Setup!$B$8):INDEX($F203:$AC203,11+Setup!$B$8)))</f>
        <v>0</v>
      </c>
      <c r="AH203" s="89" t="n">
        <f aca="false">IF($A203="",0,SUMPRODUCT(($R$3:$AC$3&lt;=Setup!$B$8)*$R203:$AC203))</f>
        <v>0</v>
      </c>
      <c r="AI203" s="90" t="n">
        <f aca="false">IF($A203="",0,SUMPRODUCT(($F$3:$Q$3&lt;=Setup!$B$8)*$F203:$Q203))</f>
        <v>0</v>
      </c>
      <c r="AJ203" s="90" t="n">
        <f aca="false">IF($A203="",0,SUM($F203:$Q203))</f>
        <v>0</v>
      </c>
      <c r="AK203" s="90" t="n">
        <f aca="false">IF($A203="",0,SUM($R203:$AC203))</f>
        <v>0</v>
      </c>
      <c r="AL203" s="91" t="n">
        <f aca="false">IF($A203="",0,IF(SUMPRODUCT(ABS($F203:$AC203))&gt;0,1,0))</f>
        <v>0</v>
      </c>
    </row>
    <row r="204" customFormat="false" ht="15" hidden="false" customHeight="false" outlineLevel="0" collapsed="false">
      <c r="A204" s="68" t="str">
        <f aca="false">IF(COA_Mapping!$A205="","",COA_Mapping!$A205)</f>
        <v/>
      </c>
      <c r="B204" s="68" t="str">
        <f aca="false">IF($A204="","",COA_Mapping!$C205)</f>
        <v/>
      </c>
      <c r="C204" s="68" t="str">
        <f aca="false">IF($A204="","",COA_Mapping!$E205)</f>
        <v/>
      </c>
      <c r="D204" s="68" t="str">
        <f aca="false">IF($A204="","",COA_Mapping!$D205)</f>
        <v/>
      </c>
      <c r="E204" s="86" t="n">
        <f aca="false">IF($A204="",1,COA_Mapping!$F205)</f>
        <v>1</v>
      </c>
      <c r="F204" s="87" t="n">
        <f aca="false">IF($A204="",0,SUMIF(GL_Data!$S$8:$S$5007,199001,GL_Data!$P$8:$P$5007))</f>
        <v>0</v>
      </c>
      <c r="G204" s="87" t="n">
        <f aca="false">IF($A204="",0,SUMIF(GL_Data!$S$8:$S$5007,199002,GL_Data!$P$8:$P$5007))</f>
        <v>0</v>
      </c>
      <c r="H204" s="87" t="n">
        <f aca="false">IF($A204="",0,SUMIF(GL_Data!$S$8:$S$5007,199003,GL_Data!$P$8:$P$5007))</f>
        <v>0</v>
      </c>
      <c r="I204" s="87" t="n">
        <f aca="false">IF($A204="",0,SUMIF(GL_Data!$S$8:$S$5007,199004,GL_Data!$P$8:$P$5007))</f>
        <v>0</v>
      </c>
      <c r="J204" s="87" t="n">
        <f aca="false">IF($A204="",0,SUMIF(GL_Data!$S$8:$S$5007,199005,GL_Data!$P$8:$P$5007))</f>
        <v>0</v>
      </c>
      <c r="K204" s="87" t="n">
        <f aca="false">IF($A204="",0,SUMIF(GL_Data!$S$8:$S$5007,199006,GL_Data!$P$8:$P$5007))</f>
        <v>0</v>
      </c>
      <c r="L204" s="87" t="n">
        <f aca="false">IF($A204="",0,SUMIF(GL_Data!$S$8:$S$5007,199007,GL_Data!$P$8:$P$5007))</f>
        <v>0</v>
      </c>
      <c r="M204" s="87" t="n">
        <f aca="false">IF($A204="",0,SUMIF(GL_Data!$S$8:$S$5007,199008,GL_Data!$P$8:$P$5007))</f>
        <v>0</v>
      </c>
      <c r="N204" s="87" t="n">
        <f aca="false">IF($A204="",0,SUMIF(GL_Data!$S$8:$S$5007,199009,GL_Data!$P$8:$P$5007))</f>
        <v>0</v>
      </c>
      <c r="O204" s="87" t="n">
        <f aca="false">IF($A204="",0,SUMIF(GL_Data!$S$8:$S$5007,199010,GL_Data!$P$8:$P$5007))</f>
        <v>0</v>
      </c>
      <c r="P204" s="87" t="n">
        <f aca="false">IF($A204="",0,SUMIF(GL_Data!$S$8:$S$5007,199011,GL_Data!$P$8:$P$5007))</f>
        <v>0</v>
      </c>
      <c r="Q204" s="87" t="n">
        <f aca="false">IF($A204="",0,SUMIF(GL_Data!$S$8:$S$5007,199012,GL_Data!$P$8:$P$5007))</f>
        <v>0</v>
      </c>
      <c r="R204" s="88" t="n">
        <f aca="false">IF($A204="",0,SUMIF(GL_Data!$S$8:$S$5007,199101,GL_Data!$P$8:$P$5007))</f>
        <v>0</v>
      </c>
      <c r="S204" s="88" t="n">
        <f aca="false">IF($A204="",0,SUMIF(GL_Data!$S$8:$S$5007,199102,GL_Data!$P$8:$P$5007))</f>
        <v>0</v>
      </c>
      <c r="T204" s="88" t="n">
        <f aca="false">IF($A204="",0,SUMIF(GL_Data!$S$8:$S$5007,199103,GL_Data!$P$8:$P$5007))</f>
        <v>0</v>
      </c>
      <c r="U204" s="88" t="n">
        <f aca="false">IF($A204="",0,SUMIF(GL_Data!$S$8:$S$5007,199104,GL_Data!$P$8:$P$5007))</f>
        <v>0</v>
      </c>
      <c r="V204" s="88" t="n">
        <f aca="false">IF($A204="",0,SUMIF(GL_Data!$S$8:$S$5007,199105,GL_Data!$P$8:$P$5007))</f>
        <v>0</v>
      </c>
      <c r="W204" s="88" t="n">
        <f aca="false">IF($A204="",0,SUMIF(GL_Data!$S$8:$S$5007,199106,GL_Data!$P$8:$P$5007))</f>
        <v>0</v>
      </c>
      <c r="X204" s="88" t="n">
        <f aca="false">IF($A204="",0,SUMIF(GL_Data!$S$8:$S$5007,199107,GL_Data!$P$8:$P$5007))</f>
        <v>0</v>
      </c>
      <c r="Y204" s="88" t="n">
        <f aca="false">IF($A204="",0,SUMIF(GL_Data!$S$8:$S$5007,199108,GL_Data!$P$8:$P$5007))</f>
        <v>0</v>
      </c>
      <c r="Z204" s="88" t="n">
        <f aca="false">IF($A204="",0,SUMIF(GL_Data!$S$8:$S$5007,199109,GL_Data!$P$8:$P$5007))</f>
        <v>0</v>
      </c>
      <c r="AA204" s="88" t="n">
        <f aca="false">IF($A204="",0,SUMIF(GL_Data!$S$8:$S$5007,199110,GL_Data!$P$8:$P$5007))</f>
        <v>0</v>
      </c>
      <c r="AB204" s="88" t="n">
        <f aca="false">IF($A204="",0,SUMIF(GL_Data!$S$8:$S$5007,199111,GL_Data!$P$8:$P$5007))</f>
        <v>0</v>
      </c>
      <c r="AC204" s="88" t="n">
        <f aca="false">IF($A204="",0,SUMIF(GL_Data!$S$8:$S$5007,199112,GL_Data!$P$8:$P$5007))</f>
        <v>0</v>
      </c>
      <c r="AD204" s="89" t="n">
        <f aca="false">IF($A204="",0,INDEX($F204:$AC204,12+Setup!$B$8))</f>
        <v>0</v>
      </c>
      <c r="AE204" s="90" t="n">
        <f aca="false">IF($A204="",0,INDEX($F204:$AC204,Setup!$B$8))</f>
        <v>0</v>
      </c>
      <c r="AF204" s="90" t="n">
        <f aca="false">IF($A204="",0,INDEX($F204:$AC204,11+Setup!$B$8))</f>
        <v>0</v>
      </c>
      <c r="AG204" s="90" t="n">
        <f aca="false">IF($A204="",0,AVERAGE(INDEX($F204:$AC204,9+Setup!$B$8):INDEX($F204:$AC204,11+Setup!$B$8)))</f>
        <v>0</v>
      </c>
      <c r="AH204" s="89" t="n">
        <f aca="false">IF($A204="",0,SUMPRODUCT(($R$3:$AC$3&lt;=Setup!$B$8)*$R204:$AC204))</f>
        <v>0</v>
      </c>
      <c r="AI204" s="90" t="n">
        <f aca="false">IF($A204="",0,SUMPRODUCT(($F$3:$Q$3&lt;=Setup!$B$8)*$F204:$Q204))</f>
        <v>0</v>
      </c>
      <c r="AJ204" s="90" t="n">
        <f aca="false">IF($A204="",0,SUM($F204:$Q204))</f>
        <v>0</v>
      </c>
      <c r="AK204" s="90" t="n">
        <f aca="false">IF($A204="",0,SUM($R204:$AC204))</f>
        <v>0</v>
      </c>
      <c r="AL204" s="91" t="n">
        <f aca="false">IF($A204="",0,IF(SUMPRODUCT(ABS($F204:$AC204))&gt;0,1,0))</f>
        <v>0</v>
      </c>
    </row>
    <row r="205" customFormat="false" ht="15" hidden="false" customHeight="false" outlineLevel="0" collapsed="false">
      <c r="A205" s="68" t="str">
        <f aca="false">IF(COA_Mapping!$A206="","",COA_Mapping!$A206)</f>
        <v/>
      </c>
      <c r="B205" s="68" t="str">
        <f aca="false">IF($A205="","",COA_Mapping!$C206)</f>
        <v/>
      </c>
      <c r="C205" s="68" t="str">
        <f aca="false">IF($A205="","",COA_Mapping!$E206)</f>
        <v/>
      </c>
      <c r="D205" s="68" t="str">
        <f aca="false">IF($A205="","",COA_Mapping!$D206)</f>
        <v/>
      </c>
      <c r="E205" s="86" t="n">
        <f aca="false">IF($A205="",1,COA_Mapping!$F206)</f>
        <v>1</v>
      </c>
      <c r="F205" s="87" t="n">
        <f aca="false">IF($A205="",0,SUMIF(GL_Data!$S$8:$S$5007,200001,GL_Data!$P$8:$P$5007))</f>
        <v>0</v>
      </c>
      <c r="G205" s="87" t="n">
        <f aca="false">IF($A205="",0,SUMIF(GL_Data!$S$8:$S$5007,200002,GL_Data!$P$8:$P$5007))</f>
        <v>0</v>
      </c>
      <c r="H205" s="87" t="n">
        <f aca="false">IF($A205="",0,SUMIF(GL_Data!$S$8:$S$5007,200003,GL_Data!$P$8:$P$5007))</f>
        <v>0</v>
      </c>
      <c r="I205" s="87" t="n">
        <f aca="false">IF($A205="",0,SUMIF(GL_Data!$S$8:$S$5007,200004,GL_Data!$P$8:$P$5007))</f>
        <v>0</v>
      </c>
      <c r="J205" s="87" t="n">
        <f aca="false">IF($A205="",0,SUMIF(GL_Data!$S$8:$S$5007,200005,GL_Data!$P$8:$P$5007))</f>
        <v>0</v>
      </c>
      <c r="K205" s="87" t="n">
        <f aca="false">IF($A205="",0,SUMIF(GL_Data!$S$8:$S$5007,200006,GL_Data!$P$8:$P$5007))</f>
        <v>0</v>
      </c>
      <c r="L205" s="87" t="n">
        <f aca="false">IF($A205="",0,SUMIF(GL_Data!$S$8:$S$5007,200007,GL_Data!$P$8:$P$5007))</f>
        <v>0</v>
      </c>
      <c r="M205" s="87" t="n">
        <f aca="false">IF($A205="",0,SUMIF(GL_Data!$S$8:$S$5007,200008,GL_Data!$P$8:$P$5007))</f>
        <v>0</v>
      </c>
      <c r="N205" s="87" t="n">
        <f aca="false">IF($A205="",0,SUMIF(GL_Data!$S$8:$S$5007,200009,GL_Data!$P$8:$P$5007))</f>
        <v>0</v>
      </c>
      <c r="O205" s="87" t="n">
        <f aca="false">IF($A205="",0,SUMIF(GL_Data!$S$8:$S$5007,200010,GL_Data!$P$8:$P$5007))</f>
        <v>0</v>
      </c>
      <c r="P205" s="87" t="n">
        <f aca="false">IF($A205="",0,SUMIF(GL_Data!$S$8:$S$5007,200011,GL_Data!$P$8:$P$5007))</f>
        <v>0</v>
      </c>
      <c r="Q205" s="87" t="n">
        <f aca="false">IF($A205="",0,SUMIF(GL_Data!$S$8:$S$5007,200012,GL_Data!$P$8:$P$5007))</f>
        <v>0</v>
      </c>
      <c r="R205" s="88" t="n">
        <f aca="false">IF($A205="",0,SUMIF(GL_Data!$S$8:$S$5007,200101,GL_Data!$P$8:$P$5007))</f>
        <v>0</v>
      </c>
      <c r="S205" s="88" t="n">
        <f aca="false">IF($A205="",0,SUMIF(GL_Data!$S$8:$S$5007,200102,GL_Data!$P$8:$P$5007))</f>
        <v>0</v>
      </c>
      <c r="T205" s="88" t="n">
        <f aca="false">IF($A205="",0,SUMIF(GL_Data!$S$8:$S$5007,200103,GL_Data!$P$8:$P$5007))</f>
        <v>0</v>
      </c>
      <c r="U205" s="88" t="n">
        <f aca="false">IF($A205="",0,SUMIF(GL_Data!$S$8:$S$5007,200104,GL_Data!$P$8:$P$5007))</f>
        <v>0</v>
      </c>
      <c r="V205" s="88" t="n">
        <f aca="false">IF($A205="",0,SUMIF(GL_Data!$S$8:$S$5007,200105,GL_Data!$P$8:$P$5007))</f>
        <v>0</v>
      </c>
      <c r="W205" s="88" t="n">
        <f aca="false">IF($A205="",0,SUMIF(GL_Data!$S$8:$S$5007,200106,GL_Data!$P$8:$P$5007))</f>
        <v>0</v>
      </c>
      <c r="X205" s="88" t="n">
        <f aca="false">IF($A205="",0,SUMIF(GL_Data!$S$8:$S$5007,200107,GL_Data!$P$8:$P$5007))</f>
        <v>0</v>
      </c>
      <c r="Y205" s="88" t="n">
        <f aca="false">IF($A205="",0,SUMIF(GL_Data!$S$8:$S$5007,200108,GL_Data!$P$8:$P$5007))</f>
        <v>0</v>
      </c>
      <c r="Z205" s="88" t="n">
        <f aca="false">IF($A205="",0,SUMIF(GL_Data!$S$8:$S$5007,200109,GL_Data!$P$8:$P$5007))</f>
        <v>0</v>
      </c>
      <c r="AA205" s="88" t="n">
        <f aca="false">IF($A205="",0,SUMIF(GL_Data!$S$8:$S$5007,200110,GL_Data!$P$8:$P$5007))</f>
        <v>0</v>
      </c>
      <c r="AB205" s="88" t="n">
        <f aca="false">IF($A205="",0,SUMIF(GL_Data!$S$8:$S$5007,200111,GL_Data!$P$8:$P$5007))</f>
        <v>0</v>
      </c>
      <c r="AC205" s="88" t="n">
        <f aca="false">IF($A205="",0,SUMIF(GL_Data!$S$8:$S$5007,200112,GL_Data!$P$8:$P$5007))</f>
        <v>0</v>
      </c>
      <c r="AD205" s="89" t="n">
        <f aca="false">IF($A205="",0,INDEX($F205:$AC205,12+Setup!$B$8))</f>
        <v>0</v>
      </c>
      <c r="AE205" s="90" t="n">
        <f aca="false">IF($A205="",0,INDEX($F205:$AC205,Setup!$B$8))</f>
        <v>0</v>
      </c>
      <c r="AF205" s="90" t="n">
        <f aca="false">IF($A205="",0,INDEX($F205:$AC205,11+Setup!$B$8))</f>
        <v>0</v>
      </c>
      <c r="AG205" s="90" t="n">
        <f aca="false">IF($A205="",0,AVERAGE(INDEX($F205:$AC205,9+Setup!$B$8):INDEX($F205:$AC205,11+Setup!$B$8)))</f>
        <v>0</v>
      </c>
      <c r="AH205" s="89" t="n">
        <f aca="false">IF($A205="",0,SUMPRODUCT(($R$3:$AC$3&lt;=Setup!$B$8)*$R205:$AC205))</f>
        <v>0</v>
      </c>
      <c r="AI205" s="90" t="n">
        <f aca="false">IF($A205="",0,SUMPRODUCT(($F$3:$Q$3&lt;=Setup!$B$8)*$F205:$Q205))</f>
        <v>0</v>
      </c>
      <c r="AJ205" s="90" t="n">
        <f aca="false">IF($A205="",0,SUM($F205:$Q205))</f>
        <v>0</v>
      </c>
      <c r="AK205" s="90" t="n">
        <f aca="false">IF($A205="",0,SUM($R205:$AC205))</f>
        <v>0</v>
      </c>
      <c r="AL205" s="91" t="n">
        <f aca="false">IF($A205="",0,IF(SUMPRODUCT(ABS($F205:$AC205))&gt;0,1,0))</f>
        <v>0</v>
      </c>
    </row>
    <row r="206" customFormat="false" ht="15" hidden="false" customHeight="false" outlineLevel="0" collapsed="false">
      <c r="A206" s="68" t="str">
        <f aca="false">IF(COA_Mapping!$A207="","",COA_Mapping!$A207)</f>
        <v/>
      </c>
      <c r="B206" s="68" t="str">
        <f aca="false">IF($A206="","",COA_Mapping!$C207)</f>
        <v/>
      </c>
      <c r="C206" s="68" t="str">
        <f aca="false">IF($A206="","",COA_Mapping!$E207)</f>
        <v/>
      </c>
      <c r="D206" s="68" t="str">
        <f aca="false">IF($A206="","",COA_Mapping!$D207)</f>
        <v/>
      </c>
      <c r="E206" s="86" t="n">
        <f aca="false">IF($A206="",1,COA_Mapping!$F207)</f>
        <v>1</v>
      </c>
      <c r="F206" s="87" t="n">
        <f aca="false">IF($A206="",0,SUMIF(GL_Data!$S$8:$S$5007,201001,GL_Data!$P$8:$P$5007))</f>
        <v>0</v>
      </c>
      <c r="G206" s="87" t="n">
        <f aca="false">IF($A206="",0,SUMIF(GL_Data!$S$8:$S$5007,201002,GL_Data!$P$8:$P$5007))</f>
        <v>0</v>
      </c>
      <c r="H206" s="87" t="n">
        <f aca="false">IF($A206="",0,SUMIF(GL_Data!$S$8:$S$5007,201003,GL_Data!$P$8:$P$5007))</f>
        <v>0</v>
      </c>
      <c r="I206" s="87" t="n">
        <f aca="false">IF($A206="",0,SUMIF(GL_Data!$S$8:$S$5007,201004,GL_Data!$P$8:$P$5007))</f>
        <v>0</v>
      </c>
      <c r="J206" s="87" t="n">
        <f aca="false">IF($A206="",0,SUMIF(GL_Data!$S$8:$S$5007,201005,GL_Data!$P$8:$P$5007))</f>
        <v>0</v>
      </c>
      <c r="K206" s="87" t="n">
        <f aca="false">IF($A206="",0,SUMIF(GL_Data!$S$8:$S$5007,201006,GL_Data!$P$8:$P$5007))</f>
        <v>0</v>
      </c>
      <c r="L206" s="87" t="n">
        <f aca="false">IF($A206="",0,SUMIF(GL_Data!$S$8:$S$5007,201007,GL_Data!$P$8:$P$5007))</f>
        <v>0</v>
      </c>
      <c r="M206" s="87" t="n">
        <f aca="false">IF($A206="",0,SUMIF(GL_Data!$S$8:$S$5007,201008,GL_Data!$P$8:$P$5007))</f>
        <v>0</v>
      </c>
      <c r="N206" s="87" t="n">
        <f aca="false">IF($A206="",0,SUMIF(GL_Data!$S$8:$S$5007,201009,GL_Data!$P$8:$P$5007))</f>
        <v>0</v>
      </c>
      <c r="O206" s="87" t="n">
        <f aca="false">IF($A206="",0,SUMIF(GL_Data!$S$8:$S$5007,201010,GL_Data!$P$8:$P$5007))</f>
        <v>0</v>
      </c>
      <c r="P206" s="87" t="n">
        <f aca="false">IF($A206="",0,SUMIF(GL_Data!$S$8:$S$5007,201011,GL_Data!$P$8:$P$5007))</f>
        <v>0</v>
      </c>
      <c r="Q206" s="87" t="n">
        <f aca="false">IF($A206="",0,SUMIF(GL_Data!$S$8:$S$5007,201012,GL_Data!$P$8:$P$5007))</f>
        <v>0</v>
      </c>
      <c r="R206" s="88" t="n">
        <f aca="false">IF($A206="",0,SUMIF(GL_Data!$S$8:$S$5007,201101,GL_Data!$P$8:$P$5007))</f>
        <v>0</v>
      </c>
      <c r="S206" s="88" t="n">
        <f aca="false">IF($A206="",0,SUMIF(GL_Data!$S$8:$S$5007,201102,GL_Data!$P$8:$P$5007))</f>
        <v>0</v>
      </c>
      <c r="T206" s="88" t="n">
        <f aca="false">IF($A206="",0,SUMIF(GL_Data!$S$8:$S$5007,201103,GL_Data!$P$8:$P$5007))</f>
        <v>0</v>
      </c>
      <c r="U206" s="88" t="n">
        <f aca="false">IF($A206="",0,SUMIF(GL_Data!$S$8:$S$5007,201104,GL_Data!$P$8:$P$5007))</f>
        <v>0</v>
      </c>
      <c r="V206" s="88" t="n">
        <f aca="false">IF($A206="",0,SUMIF(GL_Data!$S$8:$S$5007,201105,GL_Data!$P$8:$P$5007))</f>
        <v>0</v>
      </c>
      <c r="W206" s="88" t="n">
        <f aca="false">IF($A206="",0,SUMIF(GL_Data!$S$8:$S$5007,201106,GL_Data!$P$8:$P$5007))</f>
        <v>0</v>
      </c>
      <c r="X206" s="88" t="n">
        <f aca="false">IF($A206="",0,SUMIF(GL_Data!$S$8:$S$5007,201107,GL_Data!$P$8:$P$5007))</f>
        <v>0</v>
      </c>
      <c r="Y206" s="88" t="n">
        <f aca="false">IF($A206="",0,SUMIF(GL_Data!$S$8:$S$5007,201108,GL_Data!$P$8:$P$5007))</f>
        <v>0</v>
      </c>
      <c r="Z206" s="88" t="n">
        <f aca="false">IF($A206="",0,SUMIF(GL_Data!$S$8:$S$5007,201109,GL_Data!$P$8:$P$5007))</f>
        <v>0</v>
      </c>
      <c r="AA206" s="88" t="n">
        <f aca="false">IF($A206="",0,SUMIF(GL_Data!$S$8:$S$5007,201110,GL_Data!$P$8:$P$5007))</f>
        <v>0</v>
      </c>
      <c r="AB206" s="88" t="n">
        <f aca="false">IF($A206="",0,SUMIF(GL_Data!$S$8:$S$5007,201111,GL_Data!$P$8:$P$5007))</f>
        <v>0</v>
      </c>
      <c r="AC206" s="88" t="n">
        <f aca="false">IF($A206="",0,SUMIF(GL_Data!$S$8:$S$5007,201112,GL_Data!$P$8:$P$5007))</f>
        <v>0</v>
      </c>
      <c r="AD206" s="89" t="n">
        <f aca="false">IF($A206="",0,INDEX($F206:$AC206,12+Setup!$B$8))</f>
        <v>0</v>
      </c>
      <c r="AE206" s="90" t="n">
        <f aca="false">IF($A206="",0,INDEX($F206:$AC206,Setup!$B$8))</f>
        <v>0</v>
      </c>
      <c r="AF206" s="90" t="n">
        <f aca="false">IF($A206="",0,INDEX($F206:$AC206,11+Setup!$B$8))</f>
        <v>0</v>
      </c>
      <c r="AG206" s="90" t="n">
        <f aca="false">IF($A206="",0,AVERAGE(INDEX($F206:$AC206,9+Setup!$B$8):INDEX($F206:$AC206,11+Setup!$B$8)))</f>
        <v>0</v>
      </c>
      <c r="AH206" s="89" t="n">
        <f aca="false">IF($A206="",0,SUMPRODUCT(($R$3:$AC$3&lt;=Setup!$B$8)*$R206:$AC206))</f>
        <v>0</v>
      </c>
      <c r="AI206" s="90" t="n">
        <f aca="false">IF($A206="",0,SUMPRODUCT(($F$3:$Q$3&lt;=Setup!$B$8)*$F206:$Q206))</f>
        <v>0</v>
      </c>
      <c r="AJ206" s="90" t="n">
        <f aca="false">IF($A206="",0,SUM($F206:$Q206))</f>
        <v>0</v>
      </c>
      <c r="AK206" s="90" t="n">
        <f aca="false">IF($A206="",0,SUM($R206:$AC206))</f>
        <v>0</v>
      </c>
      <c r="AL206" s="91" t="n">
        <f aca="false">IF($A206="",0,IF(SUMPRODUCT(ABS($F206:$AC206))&gt;0,1,0))</f>
        <v>0</v>
      </c>
    </row>
    <row r="207" customFormat="false" ht="15" hidden="false" customHeight="false" outlineLevel="0" collapsed="false">
      <c r="A207" s="68" t="str">
        <f aca="false">IF(COA_Mapping!$A208="","",COA_Mapping!$A208)</f>
        <v/>
      </c>
      <c r="B207" s="68" t="str">
        <f aca="false">IF($A207="","",COA_Mapping!$C208)</f>
        <v/>
      </c>
      <c r="C207" s="68" t="str">
        <f aca="false">IF($A207="","",COA_Mapping!$E208)</f>
        <v/>
      </c>
      <c r="D207" s="68" t="str">
        <f aca="false">IF($A207="","",COA_Mapping!$D208)</f>
        <v/>
      </c>
      <c r="E207" s="86" t="n">
        <f aca="false">IF($A207="",1,COA_Mapping!$F208)</f>
        <v>1</v>
      </c>
      <c r="F207" s="87" t="n">
        <f aca="false">IF($A207="",0,SUMIF(GL_Data!$S$8:$S$5007,202001,GL_Data!$P$8:$P$5007))</f>
        <v>0</v>
      </c>
      <c r="G207" s="87" t="n">
        <f aca="false">IF($A207="",0,SUMIF(GL_Data!$S$8:$S$5007,202002,GL_Data!$P$8:$P$5007))</f>
        <v>0</v>
      </c>
      <c r="H207" s="87" t="n">
        <f aca="false">IF($A207="",0,SUMIF(GL_Data!$S$8:$S$5007,202003,GL_Data!$P$8:$P$5007))</f>
        <v>0</v>
      </c>
      <c r="I207" s="87" t="n">
        <f aca="false">IF($A207="",0,SUMIF(GL_Data!$S$8:$S$5007,202004,GL_Data!$P$8:$P$5007))</f>
        <v>0</v>
      </c>
      <c r="J207" s="87" t="n">
        <f aca="false">IF($A207="",0,SUMIF(GL_Data!$S$8:$S$5007,202005,GL_Data!$P$8:$P$5007))</f>
        <v>0</v>
      </c>
      <c r="K207" s="87" t="n">
        <f aca="false">IF($A207="",0,SUMIF(GL_Data!$S$8:$S$5007,202006,GL_Data!$P$8:$P$5007))</f>
        <v>0</v>
      </c>
      <c r="L207" s="87" t="n">
        <f aca="false">IF($A207="",0,SUMIF(GL_Data!$S$8:$S$5007,202007,GL_Data!$P$8:$P$5007))</f>
        <v>0</v>
      </c>
      <c r="M207" s="87" t="n">
        <f aca="false">IF($A207="",0,SUMIF(GL_Data!$S$8:$S$5007,202008,GL_Data!$P$8:$P$5007))</f>
        <v>0</v>
      </c>
      <c r="N207" s="87" t="n">
        <f aca="false">IF($A207="",0,SUMIF(GL_Data!$S$8:$S$5007,202009,GL_Data!$P$8:$P$5007))</f>
        <v>0</v>
      </c>
      <c r="O207" s="87" t="n">
        <f aca="false">IF($A207="",0,SUMIF(GL_Data!$S$8:$S$5007,202010,GL_Data!$P$8:$P$5007))</f>
        <v>0</v>
      </c>
      <c r="P207" s="87" t="n">
        <f aca="false">IF($A207="",0,SUMIF(GL_Data!$S$8:$S$5007,202011,GL_Data!$P$8:$P$5007))</f>
        <v>0</v>
      </c>
      <c r="Q207" s="87" t="n">
        <f aca="false">IF($A207="",0,SUMIF(GL_Data!$S$8:$S$5007,202012,GL_Data!$P$8:$P$5007))</f>
        <v>0</v>
      </c>
      <c r="R207" s="88" t="n">
        <f aca="false">IF($A207="",0,SUMIF(GL_Data!$S$8:$S$5007,202101,GL_Data!$P$8:$P$5007))</f>
        <v>0</v>
      </c>
      <c r="S207" s="88" t="n">
        <f aca="false">IF($A207="",0,SUMIF(GL_Data!$S$8:$S$5007,202102,GL_Data!$P$8:$P$5007))</f>
        <v>0</v>
      </c>
      <c r="T207" s="88" t="n">
        <f aca="false">IF($A207="",0,SUMIF(GL_Data!$S$8:$S$5007,202103,GL_Data!$P$8:$P$5007))</f>
        <v>0</v>
      </c>
      <c r="U207" s="88" t="n">
        <f aca="false">IF($A207="",0,SUMIF(GL_Data!$S$8:$S$5007,202104,GL_Data!$P$8:$P$5007))</f>
        <v>0</v>
      </c>
      <c r="V207" s="88" t="n">
        <f aca="false">IF($A207="",0,SUMIF(GL_Data!$S$8:$S$5007,202105,GL_Data!$P$8:$P$5007))</f>
        <v>0</v>
      </c>
      <c r="W207" s="88" t="n">
        <f aca="false">IF($A207="",0,SUMIF(GL_Data!$S$8:$S$5007,202106,GL_Data!$P$8:$P$5007))</f>
        <v>0</v>
      </c>
      <c r="X207" s="88" t="n">
        <f aca="false">IF($A207="",0,SUMIF(GL_Data!$S$8:$S$5007,202107,GL_Data!$P$8:$P$5007))</f>
        <v>0</v>
      </c>
      <c r="Y207" s="88" t="n">
        <f aca="false">IF($A207="",0,SUMIF(GL_Data!$S$8:$S$5007,202108,GL_Data!$P$8:$P$5007))</f>
        <v>0</v>
      </c>
      <c r="Z207" s="88" t="n">
        <f aca="false">IF($A207="",0,SUMIF(GL_Data!$S$8:$S$5007,202109,GL_Data!$P$8:$P$5007))</f>
        <v>0</v>
      </c>
      <c r="AA207" s="88" t="n">
        <f aca="false">IF($A207="",0,SUMIF(GL_Data!$S$8:$S$5007,202110,GL_Data!$P$8:$P$5007))</f>
        <v>0</v>
      </c>
      <c r="AB207" s="88" t="n">
        <f aca="false">IF($A207="",0,SUMIF(GL_Data!$S$8:$S$5007,202111,GL_Data!$P$8:$P$5007))</f>
        <v>0</v>
      </c>
      <c r="AC207" s="88" t="n">
        <f aca="false">IF($A207="",0,SUMIF(GL_Data!$S$8:$S$5007,202112,GL_Data!$P$8:$P$5007))</f>
        <v>0</v>
      </c>
      <c r="AD207" s="89" t="n">
        <f aca="false">IF($A207="",0,INDEX($F207:$AC207,12+Setup!$B$8))</f>
        <v>0</v>
      </c>
      <c r="AE207" s="90" t="n">
        <f aca="false">IF($A207="",0,INDEX($F207:$AC207,Setup!$B$8))</f>
        <v>0</v>
      </c>
      <c r="AF207" s="90" t="n">
        <f aca="false">IF($A207="",0,INDEX($F207:$AC207,11+Setup!$B$8))</f>
        <v>0</v>
      </c>
      <c r="AG207" s="90" t="n">
        <f aca="false">IF($A207="",0,AVERAGE(INDEX($F207:$AC207,9+Setup!$B$8):INDEX($F207:$AC207,11+Setup!$B$8)))</f>
        <v>0</v>
      </c>
      <c r="AH207" s="89" t="n">
        <f aca="false">IF($A207="",0,SUMPRODUCT(($R$3:$AC$3&lt;=Setup!$B$8)*$R207:$AC207))</f>
        <v>0</v>
      </c>
      <c r="AI207" s="90" t="n">
        <f aca="false">IF($A207="",0,SUMPRODUCT(($F$3:$Q$3&lt;=Setup!$B$8)*$F207:$Q207))</f>
        <v>0</v>
      </c>
      <c r="AJ207" s="90" t="n">
        <f aca="false">IF($A207="",0,SUM($F207:$Q207))</f>
        <v>0</v>
      </c>
      <c r="AK207" s="90" t="n">
        <f aca="false">IF($A207="",0,SUM($R207:$AC207))</f>
        <v>0</v>
      </c>
      <c r="AL207" s="91" t="n">
        <f aca="false">IF($A207="",0,IF(SUMPRODUCT(ABS($F207:$AC207))&gt;0,1,0))</f>
        <v>0</v>
      </c>
    </row>
    <row r="208" customFormat="false" ht="15" hidden="false" customHeight="false" outlineLevel="0" collapsed="false">
      <c r="A208" s="68" t="str">
        <f aca="false">IF(COA_Mapping!$A209="","",COA_Mapping!$A209)</f>
        <v/>
      </c>
      <c r="B208" s="68" t="str">
        <f aca="false">IF($A208="","",COA_Mapping!$C209)</f>
        <v/>
      </c>
      <c r="C208" s="68" t="str">
        <f aca="false">IF($A208="","",COA_Mapping!$E209)</f>
        <v/>
      </c>
      <c r="D208" s="68" t="str">
        <f aca="false">IF($A208="","",COA_Mapping!$D209)</f>
        <v/>
      </c>
      <c r="E208" s="86" t="n">
        <f aca="false">IF($A208="",1,COA_Mapping!$F209)</f>
        <v>1</v>
      </c>
      <c r="F208" s="87" t="n">
        <f aca="false">IF($A208="",0,SUMIF(GL_Data!$S$8:$S$5007,203001,GL_Data!$P$8:$P$5007))</f>
        <v>0</v>
      </c>
      <c r="G208" s="87" t="n">
        <f aca="false">IF($A208="",0,SUMIF(GL_Data!$S$8:$S$5007,203002,GL_Data!$P$8:$P$5007))</f>
        <v>0</v>
      </c>
      <c r="H208" s="87" t="n">
        <f aca="false">IF($A208="",0,SUMIF(GL_Data!$S$8:$S$5007,203003,GL_Data!$P$8:$P$5007))</f>
        <v>0</v>
      </c>
      <c r="I208" s="87" t="n">
        <f aca="false">IF($A208="",0,SUMIF(GL_Data!$S$8:$S$5007,203004,GL_Data!$P$8:$P$5007))</f>
        <v>0</v>
      </c>
      <c r="J208" s="87" t="n">
        <f aca="false">IF($A208="",0,SUMIF(GL_Data!$S$8:$S$5007,203005,GL_Data!$P$8:$P$5007))</f>
        <v>0</v>
      </c>
      <c r="K208" s="87" t="n">
        <f aca="false">IF($A208="",0,SUMIF(GL_Data!$S$8:$S$5007,203006,GL_Data!$P$8:$P$5007))</f>
        <v>0</v>
      </c>
      <c r="L208" s="87" t="n">
        <f aca="false">IF($A208="",0,SUMIF(GL_Data!$S$8:$S$5007,203007,GL_Data!$P$8:$P$5007))</f>
        <v>0</v>
      </c>
      <c r="M208" s="87" t="n">
        <f aca="false">IF($A208="",0,SUMIF(GL_Data!$S$8:$S$5007,203008,GL_Data!$P$8:$P$5007))</f>
        <v>0</v>
      </c>
      <c r="N208" s="87" t="n">
        <f aca="false">IF($A208="",0,SUMIF(GL_Data!$S$8:$S$5007,203009,GL_Data!$P$8:$P$5007))</f>
        <v>0</v>
      </c>
      <c r="O208" s="87" t="n">
        <f aca="false">IF($A208="",0,SUMIF(GL_Data!$S$8:$S$5007,203010,GL_Data!$P$8:$P$5007))</f>
        <v>0</v>
      </c>
      <c r="P208" s="87" t="n">
        <f aca="false">IF($A208="",0,SUMIF(GL_Data!$S$8:$S$5007,203011,GL_Data!$P$8:$P$5007))</f>
        <v>0</v>
      </c>
      <c r="Q208" s="87" t="n">
        <f aca="false">IF($A208="",0,SUMIF(GL_Data!$S$8:$S$5007,203012,GL_Data!$P$8:$P$5007))</f>
        <v>0</v>
      </c>
      <c r="R208" s="88" t="n">
        <f aca="false">IF($A208="",0,SUMIF(GL_Data!$S$8:$S$5007,203101,GL_Data!$P$8:$P$5007))</f>
        <v>0</v>
      </c>
      <c r="S208" s="88" t="n">
        <f aca="false">IF($A208="",0,SUMIF(GL_Data!$S$8:$S$5007,203102,GL_Data!$P$8:$P$5007))</f>
        <v>0</v>
      </c>
      <c r="T208" s="88" t="n">
        <f aca="false">IF($A208="",0,SUMIF(GL_Data!$S$8:$S$5007,203103,GL_Data!$P$8:$P$5007))</f>
        <v>0</v>
      </c>
      <c r="U208" s="88" t="n">
        <f aca="false">IF($A208="",0,SUMIF(GL_Data!$S$8:$S$5007,203104,GL_Data!$P$8:$P$5007))</f>
        <v>0</v>
      </c>
      <c r="V208" s="88" t="n">
        <f aca="false">IF($A208="",0,SUMIF(GL_Data!$S$8:$S$5007,203105,GL_Data!$P$8:$P$5007))</f>
        <v>0</v>
      </c>
      <c r="W208" s="88" t="n">
        <f aca="false">IF($A208="",0,SUMIF(GL_Data!$S$8:$S$5007,203106,GL_Data!$P$8:$P$5007))</f>
        <v>0</v>
      </c>
      <c r="X208" s="88" t="n">
        <f aca="false">IF($A208="",0,SUMIF(GL_Data!$S$8:$S$5007,203107,GL_Data!$P$8:$P$5007))</f>
        <v>0</v>
      </c>
      <c r="Y208" s="88" t="n">
        <f aca="false">IF($A208="",0,SUMIF(GL_Data!$S$8:$S$5007,203108,GL_Data!$P$8:$P$5007))</f>
        <v>0</v>
      </c>
      <c r="Z208" s="88" t="n">
        <f aca="false">IF($A208="",0,SUMIF(GL_Data!$S$8:$S$5007,203109,GL_Data!$P$8:$P$5007))</f>
        <v>0</v>
      </c>
      <c r="AA208" s="88" t="n">
        <f aca="false">IF($A208="",0,SUMIF(GL_Data!$S$8:$S$5007,203110,GL_Data!$P$8:$P$5007))</f>
        <v>0</v>
      </c>
      <c r="AB208" s="88" t="n">
        <f aca="false">IF($A208="",0,SUMIF(GL_Data!$S$8:$S$5007,203111,GL_Data!$P$8:$P$5007))</f>
        <v>0</v>
      </c>
      <c r="AC208" s="88" t="n">
        <f aca="false">IF($A208="",0,SUMIF(GL_Data!$S$8:$S$5007,203112,GL_Data!$P$8:$P$5007))</f>
        <v>0</v>
      </c>
      <c r="AD208" s="89" t="n">
        <f aca="false">IF($A208="",0,INDEX($F208:$AC208,12+Setup!$B$8))</f>
        <v>0</v>
      </c>
      <c r="AE208" s="90" t="n">
        <f aca="false">IF($A208="",0,INDEX($F208:$AC208,Setup!$B$8))</f>
        <v>0</v>
      </c>
      <c r="AF208" s="90" t="n">
        <f aca="false">IF($A208="",0,INDEX($F208:$AC208,11+Setup!$B$8))</f>
        <v>0</v>
      </c>
      <c r="AG208" s="90" t="n">
        <f aca="false">IF($A208="",0,AVERAGE(INDEX($F208:$AC208,9+Setup!$B$8):INDEX($F208:$AC208,11+Setup!$B$8)))</f>
        <v>0</v>
      </c>
      <c r="AH208" s="89" t="n">
        <f aca="false">IF($A208="",0,SUMPRODUCT(($R$3:$AC$3&lt;=Setup!$B$8)*$R208:$AC208))</f>
        <v>0</v>
      </c>
      <c r="AI208" s="90" t="n">
        <f aca="false">IF($A208="",0,SUMPRODUCT(($F$3:$Q$3&lt;=Setup!$B$8)*$F208:$Q208))</f>
        <v>0</v>
      </c>
      <c r="AJ208" s="90" t="n">
        <f aca="false">IF($A208="",0,SUM($F208:$Q208))</f>
        <v>0</v>
      </c>
      <c r="AK208" s="90" t="n">
        <f aca="false">IF($A208="",0,SUM($R208:$AC208))</f>
        <v>0</v>
      </c>
      <c r="AL208" s="91" t="n">
        <f aca="false">IF($A208="",0,IF(SUMPRODUCT(ABS($F208:$AC208))&gt;0,1,0))</f>
        <v>0</v>
      </c>
    </row>
    <row r="209" customFormat="false" ht="15" hidden="false" customHeight="false" outlineLevel="0" collapsed="false">
      <c r="A209" s="68" t="str">
        <f aca="false">IF(COA_Mapping!$A210="","",COA_Mapping!$A210)</f>
        <v/>
      </c>
      <c r="B209" s="68" t="str">
        <f aca="false">IF($A209="","",COA_Mapping!$C210)</f>
        <v/>
      </c>
      <c r="C209" s="68" t="str">
        <f aca="false">IF($A209="","",COA_Mapping!$E210)</f>
        <v/>
      </c>
      <c r="D209" s="68" t="str">
        <f aca="false">IF($A209="","",COA_Mapping!$D210)</f>
        <v/>
      </c>
      <c r="E209" s="86" t="n">
        <f aca="false">IF($A209="",1,COA_Mapping!$F210)</f>
        <v>1</v>
      </c>
      <c r="F209" s="87" t="n">
        <f aca="false">IF($A209="",0,SUMIF(GL_Data!$S$8:$S$5007,204001,GL_Data!$P$8:$P$5007))</f>
        <v>0</v>
      </c>
      <c r="G209" s="87" t="n">
        <f aca="false">IF($A209="",0,SUMIF(GL_Data!$S$8:$S$5007,204002,GL_Data!$P$8:$P$5007))</f>
        <v>0</v>
      </c>
      <c r="H209" s="87" t="n">
        <f aca="false">IF($A209="",0,SUMIF(GL_Data!$S$8:$S$5007,204003,GL_Data!$P$8:$P$5007))</f>
        <v>0</v>
      </c>
      <c r="I209" s="87" t="n">
        <f aca="false">IF($A209="",0,SUMIF(GL_Data!$S$8:$S$5007,204004,GL_Data!$P$8:$P$5007))</f>
        <v>0</v>
      </c>
      <c r="J209" s="87" t="n">
        <f aca="false">IF($A209="",0,SUMIF(GL_Data!$S$8:$S$5007,204005,GL_Data!$P$8:$P$5007))</f>
        <v>0</v>
      </c>
      <c r="K209" s="87" t="n">
        <f aca="false">IF($A209="",0,SUMIF(GL_Data!$S$8:$S$5007,204006,GL_Data!$P$8:$P$5007))</f>
        <v>0</v>
      </c>
      <c r="L209" s="87" t="n">
        <f aca="false">IF($A209="",0,SUMIF(GL_Data!$S$8:$S$5007,204007,GL_Data!$P$8:$P$5007))</f>
        <v>0</v>
      </c>
      <c r="M209" s="87" t="n">
        <f aca="false">IF($A209="",0,SUMIF(GL_Data!$S$8:$S$5007,204008,GL_Data!$P$8:$P$5007))</f>
        <v>0</v>
      </c>
      <c r="N209" s="87" t="n">
        <f aca="false">IF($A209="",0,SUMIF(GL_Data!$S$8:$S$5007,204009,GL_Data!$P$8:$P$5007))</f>
        <v>0</v>
      </c>
      <c r="O209" s="87" t="n">
        <f aca="false">IF($A209="",0,SUMIF(GL_Data!$S$8:$S$5007,204010,GL_Data!$P$8:$P$5007))</f>
        <v>0</v>
      </c>
      <c r="P209" s="87" t="n">
        <f aca="false">IF($A209="",0,SUMIF(GL_Data!$S$8:$S$5007,204011,GL_Data!$P$8:$P$5007))</f>
        <v>0</v>
      </c>
      <c r="Q209" s="87" t="n">
        <f aca="false">IF($A209="",0,SUMIF(GL_Data!$S$8:$S$5007,204012,GL_Data!$P$8:$P$5007))</f>
        <v>0</v>
      </c>
      <c r="R209" s="88" t="n">
        <f aca="false">IF($A209="",0,SUMIF(GL_Data!$S$8:$S$5007,204101,GL_Data!$P$8:$P$5007))</f>
        <v>0</v>
      </c>
      <c r="S209" s="88" t="n">
        <f aca="false">IF($A209="",0,SUMIF(GL_Data!$S$8:$S$5007,204102,GL_Data!$P$8:$P$5007))</f>
        <v>0</v>
      </c>
      <c r="T209" s="88" t="n">
        <f aca="false">IF($A209="",0,SUMIF(GL_Data!$S$8:$S$5007,204103,GL_Data!$P$8:$P$5007))</f>
        <v>0</v>
      </c>
      <c r="U209" s="88" t="n">
        <f aca="false">IF($A209="",0,SUMIF(GL_Data!$S$8:$S$5007,204104,GL_Data!$P$8:$P$5007))</f>
        <v>0</v>
      </c>
      <c r="V209" s="88" t="n">
        <f aca="false">IF($A209="",0,SUMIF(GL_Data!$S$8:$S$5007,204105,GL_Data!$P$8:$P$5007))</f>
        <v>0</v>
      </c>
      <c r="W209" s="88" t="n">
        <f aca="false">IF($A209="",0,SUMIF(GL_Data!$S$8:$S$5007,204106,GL_Data!$P$8:$P$5007))</f>
        <v>0</v>
      </c>
      <c r="X209" s="88" t="n">
        <f aca="false">IF($A209="",0,SUMIF(GL_Data!$S$8:$S$5007,204107,GL_Data!$P$8:$P$5007))</f>
        <v>0</v>
      </c>
      <c r="Y209" s="88" t="n">
        <f aca="false">IF($A209="",0,SUMIF(GL_Data!$S$8:$S$5007,204108,GL_Data!$P$8:$P$5007))</f>
        <v>0</v>
      </c>
      <c r="Z209" s="88" t="n">
        <f aca="false">IF($A209="",0,SUMIF(GL_Data!$S$8:$S$5007,204109,GL_Data!$P$8:$P$5007))</f>
        <v>0</v>
      </c>
      <c r="AA209" s="88" t="n">
        <f aca="false">IF($A209="",0,SUMIF(GL_Data!$S$8:$S$5007,204110,GL_Data!$P$8:$P$5007))</f>
        <v>0</v>
      </c>
      <c r="AB209" s="88" t="n">
        <f aca="false">IF($A209="",0,SUMIF(GL_Data!$S$8:$S$5007,204111,GL_Data!$P$8:$P$5007))</f>
        <v>0</v>
      </c>
      <c r="AC209" s="88" t="n">
        <f aca="false">IF($A209="",0,SUMIF(GL_Data!$S$8:$S$5007,204112,GL_Data!$P$8:$P$5007))</f>
        <v>0</v>
      </c>
      <c r="AD209" s="89" t="n">
        <f aca="false">IF($A209="",0,INDEX($F209:$AC209,12+Setup!$B$8))</f>
        <v>0</v>
      </c>
      <c r="AE209" s="90" t="n">
        <f aca="false">IF($A209="",0,INDEX($F209:$AC209,Setup!$B$8))</f>
        <v>0</v>
      </c>
      <c r="AF209" s="90" t="n">
        <f aca="false">IF($A209="",0,INDEX($F209:$AC209,11+Setup!$B$8))</f>
        <v>0</v>
      </c>
      <c r="AG209" s="90" t="n">
        <f aca="false">IF($A209="",0,AVERAGE(INDEX($F209:$AC209,9+Setup!$B$8):INDEX($F209:$AC209,11+Setup!$B$8)))</f>
        <v>0</v>
      </c>
      <c r="AH209" s="89" t="n">
        <f aca="false">IF($A209="",0,SUMPRODUCT(($R$3:$AC$3&lt;=Setup!$B$8)*$R209:$AC209))</f>
        <v>0</v>
      </c>
      <c r="AI209" s="90" t="n">
        <f aca="false">IF($A209="",0,SUMPRODUCT(($F$3:$Q$3&lt;=Setup!$B$8)*$F209:$Q209))</f>
        <v>0</v>
      </c>
      <c r="AJ209" s="90" t="n">
        <f aca="false">IF($A209="",0,SUM($F209:$Q209))</f>
        <v>0</v>
      </c>
      <c r="AK209" s="90" t="n">
        <f aca="false">IF($A209="",0,SUM($R209:$AC209))</f>
        <v>0</v>
      </c>
      <c r="AL209" s="91" t="n">
        <f aca="false">IF($A209="",0,IF(SUMPRODUCT(ABS($F209:$AC209))&gt;0,1,0))</f>
        <v>0</v>
      </c>
    </row>
    <row r="210" customFormat="false" ht="15" hidden="false" customHeight="false" outlineLevel="0" collapsed="false">
      <c r="A210" s="68" t="str">
        <f aca="false">IF(COA_Mapping!$A211="","",COA_Mapping!$A211)</f>
        <v/>
      </c>
      <c r="B210" s="68" t="str">
        <f aca="false">IF($A210="","",COA_Mapping!$C211)</f>
        <v/>
      </c>
      <c r="C210" s="68" t="str">
        <f aca="false">IF($A210="","",COA_Mapping!$E211)</f>
        <v/>
      </c>
      <c r="D210" s="68" t="str">
        <f aca="false">IF($A210="","",COA_Mapping!$D211)</f>
        <v/>
      </c>
      <c r="E210" s="86" t="n">
        <f aca="false">IF($A210="",1,COA_Mapping!$F211)</f>
        <v>1</v>
      </c>
      <c r="F210" s="87" t="n">
        <f aca="false">IF($A210="",0,SUMIF(GL_Data!$S$8:$S$5007,205001,GL_Data!$P$8:$P$5007))</f>
        <v>0</v>
      </c>
      <c r="G210" s="87" t="n">
        <f aca="false">IF($A210="",0,SUMIF(GL_Data!$S$8:$S$5007,205002,GL_Data!$P$8:$P$5007))</f>
        <v>0</v>
      </c>
      <c r="H210" s="87" t="n">
        <f aca="false">IF($A210="",0,SUMIF(GL_Data!$S$8:$S$5007,205003,GL_Data!$P$8:$P$5007))</f>
        <v>0</v>
      </c>
      <c r="I210" s="87" t="n">
        <f aca="false">IF($A210="",0,SUMIF(GL_Data!$S$8:$S$5007,205004,GL_Data!$P$8:$P$5007))</f>
        <v>0</v>
      </c>
      <c r="J210" s="87" t="n">
        <f aca="false">IF($A210="",0,SUMIF(GL_Data!$S$8:$S$5007,205005,GL_Data!$P$8:$P$5007))</f>
        <v>0</v>
      </c>
      <c r="K210" s="87" t="n">
        <f aca="false">IF($A210="",0,SUMIF(GL_Data!$S$8:$S$5007,205006,GL_Data!$P$8:$P$5007))</f>
        <v>0</v>
      </c>
      <c r="L210" s="87" t="n">
        <f aca="false">IF($A210="",0,SUMIF(GL_Data!$S$8:$S$5007,205007,GL_Data!$P$8:$P$5007))</f>
        <v>0</v>
      </c>
      <c r="M210" s="87" t="n">
        <f aca="false">IF($A210="",0,SUMIF(GL_Data!$S$8:$S$5007,205008,GL_Data!$P$8:$P$5007))</f>
        <v>0</v>
      </c>
      <c r="N210" s="87" t="n">
        <f aca="false">IF($A210="",0,SUMIF(GL_Data!$S$8:$S$5007,205009,GL_Data!$P$8:$P$5007))</f>
        <v>0</v>
      </c>
      <c r="O210" s="87" t="n">
        <f aca="false">IF($A210="",0,SUMIF(GL_Data!$S$8:$S$5007,205010,GL_Data!$P$8:$P$5007))</f>
        <v>0</v>
      </c>
      <c r="P210" s="87" t="n">
        <f aca="false">IF($A210="",0,SUMIF(GL_Data!$S$8:$S$5007,205011,GL_Data!$P$8:$P$5007))</f>
        <v>0</v>
      </c>
      <c r="Q210" s="87" t="n">
        <f aca="false">IF($A210="",0,SUMIF(GL_Data!$S$8:$S$5007,205012,GL_Data!$P$8:$P$5007))</f>
        <v>0</v>
      </c>
      <c r="R210" s="88" t="n">
        <f aca="false">IF($A210="",0,SUMIF(GL_Data!$S$8:$S$5007,205101,GL_Data!$P$8:$P$5007))</f>
        <v>0</v>
      </c>
      <c r="S210" s="88" t="n">
        <f aca="false">IF($A210="",0,SUMIF(GL_Data!$S$8:$S$5007,205102,GL_Data!$P$8:$P$5007))</f>
        <v>0</v>
      </c>
      <c r="T210" s="88" t="n">
        <f aca="false">IF($A210="",0,SUMIF(GL_Data!$S$8:$S$5007,205103,GL_Data!$P$8:$P$5007))</f>
        <v>0</v>
      </c>
      <c r="U210" s="88" t="n">
        <f aca="false">IF($A210="",0,SUMIF(GL_Data!$S$8:$S$5007,205104,GL_Data!$P$8:$P$5007))</f>
        <v>0</v>
      </c>
      <c r="V210" s="88" t="n">
        <f aca="false">IF($A210="",0,SUMIF(GL_Data!$S$8:$S$5007,205105,GL_Data!$P$8:$P$5007))</f>
        <v>0</v>
      </c>
      <c r="W210" s="88" t="n">
        <f aca="false">IF($A210="",0,SUMIF(GL_Data!$S$8:$S$5007,205106,GL_Data!$P$8:$P$5007))</f>
        <v>0</v>
      </c>
      <c r="X210" s="88" t="n">
        <f aca="false">IF($A210="",0,SUMIF(GL_Data!$S$8:$S$5007,205107,GL_Data!$P$8:$P$5007))</f>
        <v>0</v>
      </c>
      <c r="Y210" s="88" t="n">
        <f aca="false">IF($A210="",0,SUMIF(GL_Data!$S$8:$S$5007,205108,GL_Data!$P$8:$P$5007))</f>
        <v>0</v>
      </c>
      <c r="Z210" s="88" t="n">
        <f aca="false">IF($A210="",0,SUMIF(GL_Data!$S$8:$S$5007,205109,GL_Data!$P$8:$P$5007))</f>
        <v>0</v>
      </c>
      <c r="AA210" s="88" t="n">
        <f aca="false">IF($A210="",0,SUMIF(GL_Data!$S$8:$S$5007,205110,GL_Data!$P$8:$P$5007))</f>
        <v>0</v>
      </c>
      <c r="AB210" s="88" t="n">
        <f aca="false">IF($A210="",0,SUMIF(GL_Data!$S$8:$S$5007,205111,GL_Data!$P$8:$P$5007))</f>
        <v>0</v>
      </c>
      <c r="AC210" s="88" t="n">
        <f aca="false">IF($A210="",0,SUMIF(GL_Data!$S$8:$S$5007,205112,GL_Data!$P$8:$P$5007))</f>
        <v>0</v>
      </c>
      <c r="AD210" s="89" t="n">
        <f aca="false">IF($A210="",0,INDEX($F210:$AC210,12+Setup!$B$8))</f>
        <v>0</v>
      </c>
      <c r="AE210" s="90" t="n">
        <f aca="false">IF($A210="",0,INDEX($F210:$AC210,Setup!$B$8))</f>
        <v>0</v>
      </c>
      <c r="AF210" s="90" t="n">
        <f aca="false">IF($A210="",0,INDEX($F210:$AC210,11+Setup!$B$8))</f>
        <v>0</v>
      </c>
      <c r="AG210" s="90" t="n">
        <f aca="false">IF($A210="",0,AVERAGE(INDEX($F210:$AC210,9+Setup!$B$8):INDEX($F210:$AC210,11+Setup!$B$8)))</f>
        <v>0</v>
      </c>
      <c r="AH210" s="89" t="n">
        <f aca="false">IF($A210="",0,SUMPRODUCT(($R$3:$AC$3&lt;=Setup!$B$8)*$R210:$AC210))</f>
        <v>0</v>
      </c>
      <c r="AI210" s="90" t="n">
        <f aca="false">IF($A210="",0,SUMPRODUCT(($F$3:$Q$3&lt;=Setup!$B$8)*$F210:$Q210))</f>
        <v>0</v>
      </c>
      <c r="AJ210" s="90" t="n">
        <f aca="false">IF($A210="",0,SUM($F210:$Q210))</f>
        <v>0</v>
      </c>
      <c r="AK210" s="90" t="n">
        <f aca="false">IF($A210="",0,SUM($R210:$AC210))</f>
        <v>0</v>
      </c>
      <c r="AL210" s="91" t="n">
        <f aca="false">IF($A210="",0,IF(SUMPRODUCT(ABS($F210:$AC210))&gt;0,1,0))</f>
        <v>0</v>
      </c>
    </row>
    <row r="211" customFormat="false" ht="15" hidden="false" customHeight="false" outlineLevel="0" collapsed="false">
      <c r="A211" s="68" t="str">
        <f aca="false">IF(COA_Mapping!$A212="","",COA_Mapping!$A212)</f>
        <v/>
      </c>
      <c r="B211" s="68" t="str">
        <f aca="false">IF($A211="","",COA_Mapping!$C212)</f>
        <v/>
      </c>
      <c r="C211" s="68" t="str">
        <f aca="false">IF($A211="","",COA_Mapping!$E212)</f>
        <v/>
      </c>
      <c r="D211" s="68" t="str">
        <f aca="false">IF($A211="","",COA_Mapping!$D212)</f>
        <v/>
      </c>
      <c r="E211" s="86" t="n">
        <f aca="false">IF($A211="",1,COA_Mapping!$F212)</f>
        <v>1</v>
      </c>
      <c r="F211" s="87" t="n">
        <f aca="false">IF($A211="",0,SUMIF(GL_Data!$S$8:$S$5007,206001,GL_Data!$P$8:$P$5007))</f>
        <v>0</v>
      </c>
      <c r="G211" s="87" t="n">
        <f aca="false">IF($A211="",0,SUMIF(GL_Data!$S$8:$S$5007,206002,GL_Data!$P$8:$P$5007))</f>
        <v>0</v>
      </c>
      <c r="H211" s="87" t="n">
        <f aca="false">IF($A211="",0,SUMIF(GL_Data!$S$8:$S$5007,206003,GL_Data!$P$8:$P$5007))</f>
        <v>0</v>
      </c>
      <c r="I211" s="87" t="n">
        <f aca="false">IF($A211="",0,SUMIF(GL_Data!$S$8:$S$5007,206004,GL_Data!$P$8:$P$5007))</f>
        <v>0</v>
      </c>
      <c r="J211" s="87" t="n">
        <f aca="false">IF($A211="",0,SUMIF(GL_Data!$S$8:$S$5007,206005,GL_Data!$P$8:$P$5007))</f>
        <v>0</v>
      </c>
      <c r="K211" s="87" t="n">
        <f aca="false">IF($A211="",0,SUMIF(GL_Data!$S$8:$S$5007,206006,GL_Data!$P$8:$P$5007))</f>
        <v>0</v>
      </c>
      <c r="L211" s="87" t="n">
        <f aca="false">IF($A211="",0,SUMIF(GL_Data!$S$8:$S$5007,206007,GL_Data!$P$8:$P$5007))</f>
        <v>0</v>
      </c>
      <c r="M211" s="87" t="n">
        <f aca="false">IF($A211="",0,SUMIF(GL_Data!$S$8:$S$5007,206008,GL_Data!$P$8:$P$5007))</f>
        <v>0</v>
      </c>
      <c r="N211" s="87" t="n">
        <f aca="false">IF($A211="",0,SUMIF(GL_Data!$S$8:$S$5007,206009,GL_Data!$P$8:$P$5007))</f>
        <v>0</v>
      </c>
      <c r="O211" s="87" t="n">
        <f aca="false">IF($A211="",0,SUMIF(GL_Data!$S$8:$S$5007,206010,GL_Data!$P$8:$P$5007))</f>
        <v>0</v>
      </c>
      <c r="P211" s="87" t="n">
        <f aca="false">IF($A211="",0,SUMIF(GL_Data!$S$8:$S$5007,206011,GL_Data!$P$8:$P$5007))</f>
        <v>0</v>
      </c>
      <c r="Q211" s="87" t="n">
        <f aca="false">IF($A211="",0,SUMIF(GL_Data!$S$8:$S$5007,206012,GL_Data!$P$8:$P$5007))</f>
        <v>0</v>
      </c>
      <c r="R211" s="88" t="n">
        <f aca="false">IF($A211="",0,SUMIF(GL_Data!$S$8:$S$5007,206101,GL_Data!$P$8:$P$5007))</f>
        <v>0</v>
      </c>
      <c r="S211" s="88" t="n">
        <f aca="false">IF($A211="",0,SUMIF(GL_Data!$S$8:$S$5007,206102,GL_Data!$P$8:$P$5007))</f>
        <v>0</v>
      </c>
      <c r="T211" s="88" t="n">
        <f aca="false">IF($A211="",0,SUMIF(GL_Data!$S$8:$S$5007,206103,GL_Data!$P$8:$P$5007))</f>
        <v>0</v>
      </c>
      <c r="U211" s="88" t="n">
        <f aca="false">IF($A211="",0,SUMIF(GL_Data!$S$8:$S$5007,206104,GL_Data!$P$8:$P$5007))</f>
        <v>0</v>
      </c>
      <c r="V211" s="88" t="n">
        <f aca="false">IF($A211="",0,SUMIF(GL_Data!$S$8:$S$5007,206105,GL_Data!$P$8:$P$5007))</f>
        <v>0</v>
      </c>
      <c r="W211" s="88" t="n">
        <f aca="false">IF($A211="",0,SUMIF(GL_Data!$S$8:$S$5007,206106,GL_Data!$P$8:$P$5007))</f>
        <v>0</v>
      </c>
      <c r="X211" s="88" t="n">
        <f aca="false">IF($A211="",0,SUMIF(GL_Data!$S$8:$S$5007,206107,GL_Data!$P$8:$P$5007))</f>
        <v>0</v>
      </c>
      <c r="Y211" s="88" t="n">
        <f aca="false">IF($A211="",0,SUMIF(GL_Data!$S$8:$S$5007,206108,GL_Data!$P$8:$P$5007))</f>
        <v>0</v>
      </c>
      <c r="Z211" s="88" t="n">
        <f aca="false">IF($A211="",0,SUMIF(GL_Data!$S$8:$S$5007,206109,GL_Data!$P$8:$P$5007))</f>
        <v>0</v>
      </c>
      <c r="AA211" s="88" t="n">
        <f aca="false">IF($A211="",0,SUMIF(GL_Data!$S$8:$S$5007,206110,GL_Data!$P$8:$P$5007))</f>
        <v>0</v>
      </c>
      <c r="AB211" s="88" t="n">
        <f aca="false">IF($A211="",0,SUMIF(GL_Data!$S$8:$S$5007,206111,GL_Data!$P$8:$P$5007))</f>
        <v>0</v>
      </c>
      <c r="AC211" s="88" t="n">
        <f aca="false">IF($A211="",0,SUMIF(GL_Data!$S$8:$S$5007,206112,GL_Data!$P$8:$P$5007))</f>
        <v>0</v>
      </c>
      <c r="AD211" s="89" t="n">
        <f aca="false">IF($A211="",0,INDEX($F211:$AC211,12+Setup!$B$8))</f>
        <v>0</v>
      </c>
      <c r="AE211" s="90" t="n">
        <f aca="false">IF($A211="",0,INDEX($F211:$AC211,Setup!$B$8))</f>
        <v>0</v>
      </c>
      <c r="AF211" s="90" t="n">
        <f aca="false">IF($A211="",0,INDEX($F211:$AC211,11+Setup!$B$8))</f>
        <v>0</v>
      </c>
      <c r="AG211" s="90" t="n">
        <f aca="false">IF($A211="",0,AVERAGE(INDEX($F211:$AC211,9+Setup!$B$8):INDEX($F211:$AC211,11+Setup!$B$8)))</f>
        <v>0</v>
      </c>
      <c r="AH211" s="89" t="n">
        <f aca="false">IF($A211="",0,SUMPRODUCT(($R$3:$AC$3&lt;=Setup!$B$8)*$R211:$AC211))</f>
        <v>0</v>
      </c>
      <c r="AI211" s="90" t="n">
        <f aca="false">IF($A211="",0,SUMPRODUCT(($F$3:$Q$3&lt;=Setup!$B$8)*$F211:$Q211))</f>
        <v>0</v>
      </c>
      <c r="AJ211" s="90" t="n">
        <f aca="false">IF($A211="",0,SUM($F211:$Q211))</f>
        <v>0</v>
      </c>
      <c r="AK211" s="90" t="n">
        <f aca="false">IF($A211="",0,SUM($R211:$AC211))</f>
        <v>0</v>
      </c>
      <c r="AL211" s="91" t="n">
        <f aca="false">IF($A211="",0,IF(SUMPRODUCT(ABS($F211:$AC211))&gt;0,1,0))</f>
        <v>0</v>
      </c>
    </row>
    <row r="212" customFormat="false" ht="15" hidden="false" customHeight="false" outlineLevel="0" collapsed="false">
      <c r="A212" s="68" t="str">
        <f aca="false">IF(COA_Mapping!$A213="","",COA_Mapping!$A213)</f>
        <v/>
      </c>
      <c r="B212" s="68" t="str">
        <f aca="false">IF($A212="","",COA_Mapping!$C213)</f>
        <v/>
      </c>
      <c r="C212" s="68" t="str">
        <f aca="false">IF($A212="","",COA_Mapping!$E213)</f>
        <v/>
      </c>
      <c r="D212" s="68" t="str">
        <f aca="false">IF($A212="","",COA_Mapping!$D213)</f>
        <v/>
      </c>
      <c r="E212" s="86" t="n">
        <f aca="false">IF($A212="",1,COA_Mapping!$F213)</f>
        <v>1</v>
      </c>
      <c r="F212" s="87" t="n">
        <f aca="false">IF($A212="",0,SUMIF(GL_Data!$S$8:$S$5007,207001,GL_Data!$P$8:$P$5007))</f>
        <v>0</v>
      </c>
      <c r="G212" s="87" t="n">
        <f aca="false">IF($A212="",0,SUMIF(GL_Data!$S$8:$S$5007,207002,GL_Data!$P$8:$P$5007))</f>
        <v>0</v>
      </c>
      <c r="H212" s="87" t="n">
        <f aca="false">IF($A212="",0,SUMIF(GL_Data!$S$8:$S$5007,207003,GL_Data!$P$8:$P$5007))</f>
        <v>0</v>
      </c>
      <c r="I212" s="87" t="n">
        <f aca="false">IF($A212="",0,SUMIF(GL_Data!$S$8:$S$5007,207004,GL_Data!$P$8:$P$5007))</f>
        <v>0</v>
      </c>
      <c r="J212" s="87" t="n">
        <f aca="false">IF($A212="",0,SUMIF(GL_Data!$S$8:$S$5007,207005,GL_Data!$P$8:$P$5007))</f>
        <v>0</v>
      </c>
      <c r="K212" s="87" t="n">
        <f aca="false">IF($A212="",0,SUMIF(GL_Data!$S$8:$S$5007,207006,GL_Data!$P$8:$P$5007))</f>
        <v>0</v>
      </c>
      <c r="L212" s="87" t="n">
        <f aca="false">IF($A212="",0,SUMIF(GL_Data!$S$8:$S$5007,207007,GL_Data!$P$8:$P$5007))</f>
        <v>0</v>
      </c>
      <c r="M212" s="87" t="n">
        <f aca="false">IF($A212="",0,SUMIF(GL_Data!$S$8:$S$5007,207008,GL_Data!$P$8:$P$5007))</f>
        <v>0</v>
      </c>
      <c r="N212" s="87" t="n">
        <f aca="false">IF($A212="",0,SUMIF(GL_Data!$S$8:$S$5007,207009,GL_Data!$P$8:$P$5007))</f>
        <v>0</v>
      </c>
      <c r="O212" s="87" t="n">
        <f aca="false">IF($A212="",0,SUMIF(GL_Data!$S$8:$S$5007,207010,GL_Data!$P$8:$P$5007))</f>
        <v>0</v>
      </c>
      <c r="P212" s="87" t="n">
        <f aca="false">IF($A212="",0,SUMIF(GL_Data!$S$8:$S$5007,207011,GL_Data!$P$8:$P$5007))</f>
        <v>0</v>
      </c>
      <c r="Q212" s="87" t="n">
        <f aca="false">IF($A212="",0,SUMIF(GL_Data!$S$8:$S$5007,207012,GL_Data!$P$8:$P$5007))</f>
        <v>0</v>
      </c>
      <c r="R212" s="88" t="n">
        <f aca="false">IF($A212="",0,SUMIF(GL_Data!$S$8:$S$5007,207101,GL_Data!$P$8:$P$5007))</f>
        <v>0</v>
      </c>
      <c r="S212" s="88" t="n">
        <f aca="false">IF($A212="",0,SUMIF(GL_Data!$S$8:$S$5007,207102,GL_Data!$P$8:$P$5007))</f>
        <v>0</v>
      </c>
      <c r="T212" s="88" t="n">
        <f aca="false">IF($A212="",0,SUMIF(GL_Data!$S$8:$S$5007,207103,GL_Data!$P$8:$P$5007))</f>
        <v>0</v>
      </c>
      <c r="U212" s="88" t="n">
        <f aca="false">IF($A212="",0,SUMIF(GL_Data!$S$8:$S$5007,207104,GL_Data!$P$8:$P$5007))</f>
        <v>0</v>
      </c>
      <c r="V212" s="88" t="n">
        <f aca="false">IF($A212="",0,SUMIF(GL_Data!$S$8:$S$5007,207105,GL_Data!$P$8:$P$5007))</f>
        <v>0</v>
      </c>
      <c r="W212" s="88" t="n">
        <f aca="false">IF($A212="",0,SUMIF(GL_Data!$S$8:$S$5007,207106,GL_Data!$P$8:$P$5007))</f>
        <v>0</v>
      </c>
      <c r="X212" s="88" t="n">
        <f aca="false">IF($A212="",0,SUMIF(GL_Data!$S$8:$S$5007,207107,GL_Data!$P$8:$P$5007))</f>
        <v>0</v>
      </c>
      <c r="Y212" s="88" t="n">
        <f aca="false">IF($A212="",0,SUMIF(GL_Data!$S$8:$S$5007,207108,GL_Data!$P$8:$P$5007))</f>
        <v>0</v>
      </c>
      <c r="Z212" s="88" t="n">
        <f aca="false">IF($A212="",0,SUMIF(GL_Data!$S$8:$S$5007,207109,GL_Data!$P$8:$P$5007))</f>
        <v>0</v>
      </c>
      <c r="AA212" s="88" t="n">
        <f aca="false">IF($A212="",0,SUMIF(GL_Data!$S$8:$S$5007,207110,GL_Data!$P$8:$P$5007))</f>
        <v>0</v>
      </c>
      <c r="AB212" s="88" t="n">
        <f aca="false">IF($A212="",0,SUMIF(GL_Data!$S$8:$S$5007,207111,GL_Data!$P$8:$P$5007))</f>
        <v>0</v>
      </c>
      <c r="AC212" s="88" t="n">
        <f aca="false">IF($A212="",0,SUMIF(GL_Data!$S$8:$S$5007,207112,GL_Data!$P$8:$P$5007))</f>
        <v>0</v>
      </c>
      <c r="AD212" s="89" t="n">
        <f aca="false">IF($A212="",0,INDEX($F212:$AC212,12+Setup!$B$8))</f>
        <v>0</v>
      </c>
      <c r="AE212" s="90" t="n">
        <f aca="false">IF($A212="",0,INDEX($F212:$AC212,Setup!$B$8))</f>
        <v>0</v>
      </c>
      <c r="AF212" s="90" t="n">
        <f aca="false">IF($A212="",0,INDEX($F212:$AC212,11+Setup!$B$8))</f>
        <v>0</v>
      </c>
      <c r="AG212" s="90" t="n">
        <f aca="false">IF($A212="",0,AVERAGE(INDEX($F212:$AC212,9+Setup!$B$8):INDEX($F212:$AC212,11+Setup!$B$8)))</f>
        <v>0</v>
      </c>
      <c r="AH212" s="89" t="n">
        <f aca="false">IF($A212="",0,SUMPRODUCT(($R$3:$AC$3&lt;=Setup!$B$8)*$R212:$AC212))</f>
        <v>0</v>
      </c>
      <c r="AI212" s="90" t="n">
        <f aca="false">IF($A212="",0,SUMPRODUCT(($F$3:$Q$3&lt;=Setup!$B$8)*$F212:$Q212))</f>
        <v>0</v>
      </c>
      <c r="AJ212" s="90" t="n">
        <f aca="false">IF($A212="",0,SUM($F212:$Q212))</f>
        <v>0</v>
      </c>
      <c r="AK212" s="90" t="n">
        <f aca="false">IF($A212="",0,SUM($R212:$AC212))</f>
        <v>0</v>
      </c>
      <c r="AL212" s="91" t="n">
        <f aca="false">IF($A212="",0,IF(SUMPRODUCT(ABS($F212:$AC212))&gt;0,1,0))</f>
        <v>0</v>
      </c>
    </row>
    <row r="213" customFormat="false" ht="15" hidden="false" customHeight="false" outlineLevel="0" collapsed="false">
      <c r="A213" s="68" t="str">
        <f aca="false">IF(COA_Mapping!$A214="","",COA_Mapping!$A214)</f>
        <v/>
      </c>
      <c r="B213" s="68" t="str">
        <f aca="false">IF($A213="","",COA_Mapping!$C214)</f>
        <v/>
      </c>
      <c r="C213" s="68" t="str">
        <f aca="false">IF($A213="","",COA_Mapping!$E214)</f>
        <v/>
      </c>
      <c r="D213" s="68" t="str">
        <f aca="false">IF($A213="","",COA_Mapping!$D214)</f>
        <v/>
      </c>
      <c r="E213" s="86" t="n">
        <f aca="false">IF($A213="",1,COA_Mapping!$F214)</f>
        <v>1</v>
      </c>
      <c r="F213" s="87" t="n">
        <f aca="false">IF($A213="",0,SUMIF(GL_Data!$S$8:$S$5007,208001,GL_Data!$P$8:$P$5007))</f>
        <v>0</v>
      </c>
      <c r="G213" s="87" t="n">
        <f aca="false">IF($A213="",0,SUMIF(GL_Data!$S$8:$S$5007,208002,GL_Data!$P$8:$P$5007))</f>
        <v>0</v>
      </c>
      <c r="H213" s="87" t="n">
        <f aca="false">IF($A213="",0,SUMIF(GL_Data!$S$8:$S$5007,208003,GL_Data!$P$8:$P$5007))</f>
        <v>0</v>
      </c>
      <c r="I213" s="87" t="n">
        <f aca="false">IF($A213="",0,SUMIF(GL_Data!$S$8:$S$5007,208004,GL_Data!$P$8:$P$5007))</f>
        <v>0</v>
      </c>
      <c r="J213" s="87" t="n">
        <f aca="false">IF($A213="",0,SUMIF(GL_Data!$S$8:$S$5007,208005,GL_Data!$P$8:$P$5007))</f>
        <v>0</v>
      </c>
      <c r="K213" s="87" t="n">
        <f aca="false">IF($A213="",0,SUMIF(GL_Data!$S$8:$S$5007,208006,GL_Data!$P$8:$P$5007))</f>
        <v>0</v>
      </c>
      <c r="L213" s="87" t="n">
        <f aca="false">IF($A213="",0,SUMIF(GL_Data!$S$8:$S$5007,208007,GL_Data!$P$8:$P$5007))</f>
        <v>0</v>
      </c>
      <c r="M213" s="87" t="n">
        <f aca="false">IF($A213="",0,SUMIF(GL_Data!$S$8:$S$5007,208008,GL_Data!$P$8:$P$5007))</f>
        <v>0</v>
      </c>
      <c r="N213" s="87" t="n">
        <f aca="false">IF($A213="",0,SUMIF(GL_Data!$S$8:$S$5007,208009,GL_Data!$P$8:$P$5007))</f>
        <v>0</v>
      </c>
      <c r="O213" s="87" t="n">
        <f aca="false">IF($A213="",0,SUMIF(GL_Data!$S$8:$S$5007,208010,GL_Data!$P$8:$P$5007))</f>
        <v>0</v>
      </c>
      <c r="P213" s="87" t="n">
        <f aca="false">IF($A213="",0,SUMIF(GL_Data!$S$8:$S$5007,208011,GL_Data!$P$8:$P$5007))</f>
        <v>0</v>
      </c>
      <c r="Q213" s="87" t="n">
        <f aca="false">IF($A213="",0,SUMIF(GL_Data!$S$8:$S$5007,208012,GL_Data!$P$8:$P$5007))</f>
        <v>0</v>
      </c>
      <c r="R213" s="88" t="n">
        <f aca="false">IF($A213="",0,SUMIF(GL_Data!$S$8:$S$5007,208101,GL_Data!$P$8:$P$5007))</f>
        <v>0</v>
      </c>
      <c r="S213" s="88" t="n">
        <f aca="false">IF($A213="",0,SUMIF(GL_Data!$S$8:$S$5007,208102,GL_Data!$P$8:$P$5007))</f>
        <v>0</v>
      </c>
      <c r="T213" s="88" t="n">
        <f aca="false">IF($A213="",0,SUMIF(GL_Data!$S$8:$S$5007,208103,GL_Data!$P$8:$P$5007))</f>
        <v>0</v>
      </c>
      <c r="U213" s="88" t="n">
        <f aca="false">IF($A213="",0,SUMIF(GL_Data!$S$8:$S$5007,208104,GL_Data!$P$8:$P$5007))</f>
        <v>0</v>
      </c>
      <c r="V213" s="88" t="n">
        <f aca="false">IF($A213="",0,SUMIF(GL_Data!$S$8:$S$5007,208105,GL_Data!$P$8:$P$5007))</f>
        <v>0</v>
      </c>
      <c r="W213" s="88" t="n">
        <f aca="false">IF($A213="",0,SUMIF(GL_Data!$S$8:$S$5007,208106,GL_Data!$P$8:$P$5007))</f>
        <v>0</v>
      </c>
      <c r="X213" s="88" t="n">
        <f aca="false">IF($A213="",0,SUMIF(GL_Data!$S$8:$S$5007,208107,GL_Data!$P$8:$P$5007))</f>
        <v>0</v>
      </c>
      <c r="Y213" s="88" t="n">
        <f aca="false">IF($A213="",0,SUMIF(GL_Data!$S$8:$S$5007,208108,GL_Data!$P$8:$P$5007))</f>
        <v>0</v>
      </c>
      <c r="Z213" s="88" t="n">
        <f aca="false">IF($A213="",0,SUMIF(GL_Data!$S$8:$S$5007,208109,GL_Data!$P$8:$P$5007))</f>
        <v>0</v>
      </c>
      <c r="AA213" s="88" t="n">
        <f aca="false">IF($A213="",0,SUMIF(GL_Data!$S$8:$S$5007,208110,GL_Data!$P$8:$P$5007))</f>
        <v>0</v>
      </c>
      <c r="AB213" s="88" t="n">
        <f aca="false">IF($A213="",0,SUMIF(GL_Data!$S$8:$S$5007,208111,GL_Data!$P$8:$P$5007))</f>
        <v>0</v>
      </c>
      <c r="AC213" s="88" t="n">
        <f aca="false">IF($A213="",0,SUMIF(GL_Data!$S$8:$S$5007,208112,GL_Data!$P$8:$P$5007))</f>
        <v>0</v>
      </c>
      <c r="AD213" s="89" t="n">
        <f aca="false">IF($A213="",0,INDEX($F213:$AC213,12+Setup!$B$8))</f>
        <v>0</v>
      </c>
      <c r="AE213" s="90" t="n">
        <f aca="false">IF($A213="",0,INDEX($F213:$AC213,Setup!$B$8))</f>
        <v>0</v>
      </c>
      <c r="AF213" s="90" t="n">
        <f aca="false">IF($A213="",0,INDEX($F213:$AC213,11+Setup!$B$8))</f>
        <v>0</v>
      </c>
      <c r="AG213" s="90" t="n">
        <f aca="false">IF($A213="",0,AVERAGE(INDEX($F213:$AC213,9+Setup!$B$8):INDEX($F213:$AC213,11+Setup!$B$8)))</f>
        <v>0</v>
      </c>
      <c r="AH213" s="89" t="n">
        <f aca="false">IF($A213="",0,SUMPRODUCT(($R$3:$AC$3&lt;=Setup!$B$8)*$R213:$AC213))</f>
        <v>0</v>
      </c>
      <c r="AI213" s="90" t="n">
        <f aca="false">IF($A213="",0,SUMPRODUCT(($F$3:$Q$3&lt;=Setup!$B$8)*$F213:$Q213))</f>
        <v>0</v>
      </c>
      <c r="AJ213" s="90" t="n">
        <f aca="false">IF($A213="",0,SUM($F213:$Q213))</f>
        <v>0</v>
      </c>
      <c r="AK213" s="90" t="n">
        <f aca="false">IF($A213="",0,SUM($R213:$AC213))</f>
        <v>0</v>
      </c>
      <c r="AL213" s="91" t="n">
        <f aca="false">IF($A213="",0,IF(SUMPRODUCT(ABS($F213:$AC213))&gt;0,1,0))</f>
        <v>0</v>
      </c>
    </row>
    <row r="214" customFormat="false" ht="15" hidden="false" customHeight="false" outlineLevel="0" collapsed="false">
      <c r="A214" s="68" t="str">
        <f aca="false">IF(COA_Mapping!$A215="","",COA_Mapping!$A215)</f>
        <v/>
      </c>
      <c r="B214" s="68" t="str">
        <f aca="false">IF($A214="","",COA_Mapping!$C215)</f>
        <v/>
      </c>
      <c r="C214" s="68" t="str">
        <f aca="false">IF($A214="","",COA_Mapping!$E215)</f>
        <v/>
      </c>
      <c r="D214" s="68" t="str">
        <f aca="false">IF($A214="","",COA_Mapping!$D215)</f>
        <v/>
      </c>
      <c r="E214" s="86" t="n">
        <f aca="false">IF($A214="",1,COA_Mapping!$F215)</f>
        <v>1</v>
      </c>
      <c r="F214" s="87" t="n">
        <f aca="false">IF($A214="",0,SUMIF(GL_Data!$S$8:$S$5007,209001,GL_Data!$P$8:$P$5007))</f>
        <v>0</v>
      </c>
      <c r="G214" s="87" t="n">
        <f aca="false">IF($A214="",0,SUMIF(GL_Data!$S$8:$S$5007,209002,GL_Data!$P$8:$P$5007))</f>
        <v>0</v>
      </c>
      <c r="H214" s="87" t="n">
        <f aca="false">IF($A214="",0,SUMIF(GL_Data!$S$8:$S$5007,209003,GL_Data!$P$8:$P$5007))</f>
        <v>0</v>
      </c>
      <c r="I214" s="87" t="n">
        <f aca="false">IF($A214="",0,SUMIF(GL_Data!$S$8:$S$5007,209004,GL_Data!$P$8:$P$5007))</f>
        <v>0</v>
      </c>
      <c r="J214" s="87" t="n">
        <f aca="false">IF($A214="",0,SUMIF(GL_Data!$S$8:$S$5007,209005,GL_Data!$P$8:$P$5007))</f>
        <v>0</v>
      </c>
      <c r="K214" s="87" t="n">
        <f aca="false">IF($A214="",0,SUMIF(GL_Data!$S$8:$S$5007,209006,GL_Data!$P$8:$P$5007))</f>
        <v>0</v>
      </c>
      <c r="L214" s="87" t="n">
        <f aca="false">IF($A214="",0,SUMIF(GL_Data!$S$8:$S$5007,209007,GL_Data!$P$8:$P$5007))</f>
        <v>0</v>
      </c>
      <c r="M214" s="87" t="n">
        <f aca="false">IF($A214="",0,SUMIF(GL_Data!$S$8:$S$5007,209008,GL_Data!$P$8:$P$5007))</f>
        <v>0</v>
      </c>
      <c r="N214" s="87" t="n">
        <f aca="false">IF($A214="",0,SUMIF(GL_Data!$S$8:$S$5007,209009,GL_Data!$P$8:$P$5007))</f>
        <v>0</v>
      </c>
      <c r="O214" s="87" t="n">
        <f aca="false">IF($A214="",0,SUMIF(GL_Data!$S$8:$S$5007,209010,GL_Data!$P$8:$P$5007))</f>
        <v>0</v>
      </c>
      <c r="P214" s="87" t="n">
        <f aca="false">IF($A214="",0,SUMIF(GL_Data!$S$8:$S$5007,209011,GL_Data!$P$8:$P$5007))</f>
        <v>0</v>
      </c>
      <c r="Q214" s="87" t="n">
        <f aca="false">IF($A214="",0,SUMIF(GL_Data!$S$8:$S$5007,209012,GL_Data!$P$8:$P$5007))</f>
        <v>0</v>
      </c>
      <c r="R214" s="88" t="n">
        <f aca="false">IF($A214="",0,SUMIF(GL_Data!$S$8:$S$5007,209101,GL_Data!$P$8:$P$5007))</f>
        <v>0</v>
      </c>
      <c r="S214" s="88" t="n">
        <f aca="false">IF($A214="",0,SUMIF(GL_Data!$S$8:$S$5007,209102,GL_Data!$P$8:$P$5007))</f>
        <v>0</v>
      </c>
      <c r="T214" s="88" t="n">
        <f aca="false">IF($A214="",0,SUMIF(GL_Data!$S$8:$S$5007,209103,GL_Data!$P$8:$P$5007))</f>
        <v>0</v>
      </c>
      <c r="U214" s="88" t="n">
        <f aca="false">IF($A214="",0,SUMIF(GL_Data!$S$8:$S$5007,209104,GL_Data!$P$8:$P$5007))</f>
        <v>0</v>
      </c>
      <c r="V214" s="88" t="n">
        <f aca="false">IF($A214="",0,SUMIF(GL_Data!$S$8:$S$5007,209105,GL_Data!$P$8:$P$5007))</f>
        <v>0</v>
      </c>
      <c r="W214" s="88" t="n">
        <f aca="false">IF($A214="",0,SUMIF(GL_Data!$S$8:$S$5007,209106,GL_Data!$P$8:$P$5007))</f>
        <v>0</v>
      </c>
      <c r="X214" s="88" t="n">
        <f aca="false">IF($A214="",0,SUMIF(GL_Data!$S$8:$S$5007,209107,GL_Data!$P$8:$P$5007))</f>
        <v>0</v>
      </c>
      <c r="Y214" s="88" t="n">
        <f aca="false">IF($A214="",0,SUMIF(GL_Data!$S$8:$S$5007,209108,GL_Data!$P$8:$P$5007))</f>
        <v>0</v>
      </c>
      <c r="Z214" s="88" t="n">
        <f aca="false">IF($A214="",0,SUMIF(GL_Data!$S$8:$S$5007,209109,GL_Data!$P$8:$P$5007))</f>
        <v>0</v>
      </c>
      <c r="AA214" s="88" t="n">
        <f aca="false">IF($A214="",0,SUMIF(GL_Data!$S$8:$S$5007,209110,GL_Data!$P$8:$P$5007))</f>
        <v>0</v>
      </c>
      <c r="AB214" s="88" t="n">
        <f aca="false">IF($A214="",0,SUMIF(GL_Data!$S$8:$S$5007,209111,GL_Data!$P$8:$P$5007))</f>
        <v>0</v>
      </c>
      <c r="AC214" s="88" t="n">
        <f aca="false">IF($A214="",0,SUMIF(GL_Data!$S$8:$S$5007,209112,GL_Data!$P$8:$P$5007))</f>
        <v>0</v>
      </c>
      <c r="AD214" s="89" t="n">
        <f aca="false">IF($A214="",0,INDEX($F214:$AC214,12+Setup!$B$8))</f>
        <v>0</v>
      </c>
      <c r="AE214" s="90" t="n">
        <f aca="false">IF($A214="",0,INDEX($F214:$AC214,Setup!$B$8))</f>
        <v>0</v>
      </c>
      <c r="AF214" s="90" t="n">
        <f aca="false">IF($A214="",0,INDEX($F214:$AC214,11+Setup!$B$8))</f>
        <v>0</v>
      </c>
      <c r="AG214" s="90" t="n">
        <f aca="false">IF($A214="",0,AVERAGE(INDEX($F214:$AC214,9+Setup!$B$8):INDEX($F214:$AC214,11+Setup!$B$8)))</f>
        <v>0</v>
      </c>
      <c r="AH214" s="89" t="n">
        <f aca="false">IF($A214="",0,SUMPRODUCT(($R$3:$AC$3&lt;=Setup!$B$8)*$R214:$AC214))</f>
        <v>0</v>
      </c>
      <c r="AI214" s="90" t="n">
        <f aca="false">IF($A214="",0,SUMPRODUCT(($F$3:$Q$3&lt;=Setup!$B$8)*$F214:$Q214))</f>
        <v>0</v>
      </c>
      <c r="AJ214" s="90" t="n">
        <f aca="false">IF($A214="",0,SUM($F214:$Q214))</f>
        <v>0</v>
      </c>
      <c r="AK214" s="90" t="n">
        <f aca="false">IF($A214="",0,SUM($R214:$AC214))</f>
        <v>0</v>
      </c>
      <c r="AL214" s="91" t="n">
        <f aca="false">IF($A214="",0,IF(SUMPRODUCT(ABS($F214:$AC214))&gt;0,1,0))</f>
        <v>0</v>
      </c>
    </row>
    <row r="215" customFormat="false" ht="15" hidden="false" customHeight="false" outlineLevel="0" collapsed="false">
      <c r="A215" s="68" t="str">
        <f aca="false">IF(COA_Mapping!$A216="","",COA_Mapping!$A216)</f>
        <v/>
      </c>
      <c r="B215" s="68" t="str">
        <f aca="false">IF($A215="","",COA_Mapping!$C216)</f>
        <v/>
      </c>
      <c r="C215" s="68" t="str">
        <f aca="false">IF($A215="","",COA_Mapping!$E216)</f>
        <v/>
      </c>
      <c r="D215" s="68" t="str">
        <f aca="false">IF($A215="","",COA_Mapping!$D216)</f>
        <v/>
      </c>
      <c r="E215" s="86" t="n">
        <f aca="false">IF($A215="",1,COA_Mapping!$F216)</f>
        <v>1</v>
      </c>
      <c r="F215" s="87" t="n">
        <f aca="false">IF($A215="",0,SUMIF(GL_Data!$S$8:$S$5007,210001,GL_Data!$P$8:$P$5007))</f>
        <v>0</v>
      </c>
      <c r="G215" s="87" t="n">
        <f aca="false">IF($A215="",0,SUMIF(GL_Data!$S$8:$S$5007,210002,GL_Data!$P$8:$P$5007))</f>
        <v>0</v>
      </c>
      <c r="H215" s="87" t="n">
        <f aca="false">IF($A215="",0,SUMIF(GL_Data!$S$8:$S$5007,210003,GL_Data!$P$8:$P$5007))</f>
        <v>0</v>
      </c>
      <c r="I215" s="87" t="n">
        <f aca="false">IF($A215="",0,SUMIF(GL_Data!$S$8:$S$5007,210004,GL_Data!$P$8:$P$5007))</f>
        <v>0</v>
      </c>
      <c r="J215" s="87" t="n">
        <f aca="false">IF($A215="",0,SUMIF(GL_Data!$S$8:$S$5007,210005,GL_Data!$P$8:$P$5007))</f>
        <v>0</v>
      </c>
      <c r="K215" s="87" t="n">
        <f aca="false">IF($A215="",0,SUMIF(GL_Data!$S$8:$S$5007,210006,GL_Data!$P$8:$P$5007))</f>
        <v>0</v>
      </c>
      <c r="L215" s="87" t="n">
        <f aca="false">IF($A215="",0,SUMIF(GL_Data!$S$8:$S$5007,210007,GL_Data!$P$8:$P$5007))</f>
        <v>0</v>
      </c>
      <c r="M215" s="87" t="n">
        <f aca="false">IF($A215="",0,SUMIF(GL_Data!$S$8:$S$5007,210008,GL_Data!$P$8:$P$5007))</f>
        <v>0</v>
      </c>
      <c r="N215" s="87" t="n">
        <f aca="false">IF($A215="",0,SUMIF(GL_Data!$S$8:$S$5007,210009,GL_Data!$P$8:$P$5007))</f>
        <v>0</v>
      </c>
      <c r="O215" s="87" t="n">
        <f aca="false">IF($A215="",0,SUMIF(GL_Data!$S$8:$S$5007,210010,GL_Data!$P$8:$P$5007))</f>
        <v>0</v>
      </c>
      <c r="P215" s="87" t="n">
        <f aca="false">IF($A215="",0,SUMIF(GL_Data!$S$8:$S$5007,210011,GL_Data!$P$8:$P$5007))</f>
        <v>0</v>
      </c>
      <c r="Q215" s="87" t="n">
        <f aca="false">IF($A215="",0,SUMIF(GL_Data!$S$8:$S$5007,210012,GL_Data!$P$8:$P$5007))</f>
        <v>0</v>
      </c>
      <c r="R215" s="88" t="n">
        <f aca="false">IF($A215="",0,SUMIF(GL_Data!$S$8:$S$5007,210101,GL_Data!$P$8:$P$5007))</f>
        <v>0</v>
      </c>
      <c r="S215" s="88" t="n">
        <f aca="false">IF($A215="",0,SUMIF(GL_Data!$S$8:$S$5007,210102,GL_Data!$P$8:$P$5007))</f>
        <v>0</v>
      </c>
      <c r="T215" s="88" t="n">
        <f aca="false">IF($A215="",0,SUMIF(GL_Data!$S$8:$S$5007,210103,GL_Data!$P$8:$P$5007))</f>
        <v>0</v>
      </c>
      <c r="U215" s="88" t="n">
        <f aca="false">IF($A215="",0,SUMIF(GL_Data!$S$8:$S$5007,210104,GL_Data!$P$8:$P$5007))</f>
        <v>0</v>
      </c>
      <c r="V215" s="88" t="n">
        <f aca="false">IF($A215="",0,SUMIF(GL_Data!$S$8:$S$5007,210105,GL_Data!$P$8:$P$5007))</f>
        <v>0</v>
      </c>
      <c r="W215" s="88" t="n">
        <f aca="false">IF($A215="",0,SUMIF(GL_Data!$S$8:$S$5007,210106,GL_Data!$P$8:$P$5007))</f>
        <v>0</v>
      </c>
      <c r="X215" s="88" t="n">
        <f aca="false">IF($A215="",0,SUMIF(GL_Data!$S$8:$S$5007,210107,GL_Data!$P$8:$P$5007))</f>
        <v>0</v>
      </c>
      <c r="Y215" s="88" t="n">
        <f aca="false">IF($A215="",0,SUMIF(GL_Data!$S$8:$S$5007,210108,GL_Data!$P$8:$P$5007))</f>
        <v>0</v>
      </c>
      <c r="Z215" s="88" t="n">
        <f aca="false">IF($A215="",0,SUMIF(GL_Data!$S$8:$S$5007,210109,GL_Data!$P$8:$P$5007))</f>
        <v>0</v>
      </c>
      <c r="AA215" s="88" t="n">
        <f aca="false">IF($A215="",0,SUMIF(GL_Data!$S$8:$S$5007,210110,GL_Data!$P$8:$P$5007))</f>
        <v>0</v>
      </c>
      <c r="AB215" s="88" t="n">
        <f aca="false">IF($A215="",0,SUMIF(GL_Data!$S$8:$S$5007,210111,GL_Data!$P$8:$P$5007))</f>
        <v>0</v>
      </c>
      <c r="AC215" s="88" t="n">
        <f aca="false">IF($A215="",0,SUMIF(GL_Data!$S$8:$S$5007,210112,GL_Data!$P$8:$P$5007))</f>
        <v>0</v>
      </c>
      <c r="AD215" s="89" t="n">
        <f aca="false">IF($A215="",0,INDEX($F215:$AC215,12+Setup!$B$8))</f>
        <v>0</v>
      </c>
      <c r="AE215" s="90" t="n">
        <f aca="false">IF($A215="",0,INDEX($F215:$AC215,Setup!$B$8))</f>
        <v>0</v>
      </c>
      <c r="AF215" s="90" t="n">
        <f aca="false">IF($A215="",0,INDEX($F215:$AC215,11+Setup!$B$8))</f>
        <v>0</v>
      </c>
      <c r="AG215" s="90" t="n">
        <f aca="false">IF($A215="",0,AVERAGE(INDEX($F215:$AC215,9+Setup!$B$8):INDEX($F215:$AC215,11+Setup!$B$8)))</f>
        <v>0</v>
      </c>
      <c r="AH215" s="89" t="n">
        <f aca="false">IF($A215="",0,SUMPRODUCT(($R$3:$AC$3&lt;=Setup!$B$8)*$R215:$AC215))</f>
        <v>0</v>
      </c>
      <c r="AI215" s="90" t="n">
        <f aca="false">IF($A215="",0,SUMPRODUCT(($F$3:$Q$3&lt;=Setup!$B$8)*$F215:$Q215))</f>
        <v>0</v>
      </c>
      <c r="AJ215" s="90" t="n">
        <f aca="false">IF($A215="",0,SUM($F215:$Q215))</f>
        <v>0</v>
      </c>
      <c r="AK215" s="90" t="n">
        <f aca="false">IF($A215="",0,SUM($R215:$AC215))</f>
        <v>0</v>
      </c>
      <c r="AL215" s="91" t="n">
        <f aca="false">IF($A215="",0,IF(SUMPRODUCT(ABS($F215:$AC215))&gt;0,1,0))</f>
        <v>0</v>
      </c>
    </row>
    <row r="216" customFormat="false" ht="15" hidden="false" customHeight="false" outlineLevel="0" collapsed="false">
      <c r="A216" s="68" t="str">
        <f aca="false">IF(COA_Mapping!$A217="","",COA_Mapping!$A217)</f>
        <v/>
      </c>
      <c r="B216" s="68" t="str">
        <f aca="false">IF($A216="","",COA_Mapping!$C217)</f>
        <v/>
      </c>
      <c r="C216" s="68" t="str">
        <f aca="false">IF($A216="","",COA_Mapping!$E217)</f>
        <v/>
      </c>
      <c r="D216" s="68" t="str">
        <f aca="false">IF($A216="","",COA_Mapping!$D217)</f>
        <v/>
      </c>
      <c r="E216" s="86" t="n">
        <f aca="false">IF($A216="",1,COA_Mapping!$F217)</f>
        <v>1</v>
      </c>
      <c r="F216" s="87" t="n">
        <f aca="false">IF($A216="",0,SUMIF(GL_Data!$S$8:$S$5007,211001,GL_Data!$P$8:$P$5007))</f>
        <v>0</v>
      </c>
      <c r="G216" s="87" t="n">
        <f aca="false">IF($A216="",0,SUMIF(GL_Data!$S$8:$S$5007,211002,GL_Data!$P$8:$P$5007))</f>
        <v>0</v>
      </c>
      <c r="H216" s="87" t="n">
        <f aca="false">IF($A216="",0,SUMIF(GL_Data!$S$8:$S$5007,211003,GL_Data!$P$8:$P$5007))</f>
        <v>0</v>
      </c>
      <c r="I216" s="87" t="n">
        <f aca="false">IF($A216="",0,SUMIF(GL_Data!$S$8:$S$5007,211004,GL_Data!$P$8:$P$5007))</f>
        <v>0</v>
      </c>
      <c r="J216" s="87" t="n">
        <f aca="false">IF($A216="",0,SUMIF(GL_Data!$S$8:$S$5007,211005,GL_Data!$P$8:$P$5007))</f>
        <v>0</v>
      </c>
      <c r="K216" s="87" t="n">
        <f aca="false">IF($A216="",0,SUMIF(GL_Data!$S$8:$S$5007,211006,GL_Data!$P$8:$P$5007))</f>
        <v>0</v>
      </c>
      <c r="L216" s="87" t="n">
        <f aca="false">IF($A216="",0,SUMIF(GL_Data!$S$8:$S$5007,211007,GL_Data!$P$8:$P$5007))</f>
        <v>0</v>
      </c>
      <c r="M216" s="87" t="n">
        <f aca="false">IF($A216="",0,SUMIF(GL_Data!$S$8:$S$5007,211008,GL_Data!$P$8:$P$5007))</f>
        <v>0</v>
      </c>
      <c r="N216" s="87" t="n">
        <f aca="false">IF($A216="",0,SUMIF(GL_Data!$S$8:$S$5007,211009,GL_Data!$P$8:$P$5007))</f>
        <v>0</v>
      </c>
      <c r="O216" s="87" t="n">
        <f aca="false">IF($A216="",0,SUMIF(GL_Data!$S$8:$S$5007,211010,GL_Data!$P$8:$P$5007))</f>
        <v>0</v>
      </c>
      <c r="P216" s="87" t="n">
        <f aca="false">IF($A216="",0,SUMIF(GL_Data!$S$8:$S$5007,211011,GL_Data!$P$8:$P$5007))</f>
        <v>0</v>
      </c>
      <c r="Q216" s="87" t="n">
        <f aca="false">IF($A216="",0,SUMIF(GL_Data!$S$8:$S$5007,211012,GL_Data!$P$8:$P$5007))</f>
        <v>0</v>
      </c>
      <c r="R216" s="88" t="n">
        <f aca="false">IF($A216="",0,SUMIF(GL_Data!$S$8:$S$5007,211101,GL_Data!$P$8:$P$5007))</f>
        <v>0</v>
      </c>
      <c r="S216" s="88" t="n">
        <f aca="false">IF($A216="",0,SUMIF(GL_Data!$S$8:$S$5007,211102,GL_Data!$P$8:$P$5007))</f>
        <v>0</v>
      </c>
      <c r="T216" s="88" t="n">
        <f aca="false">IF($A216="",0,SUMIF(GL_Data!$S$8:$S$5007,211103,GL_Data!$P$8:$P$5007))</f>
        <v>0</v>
      </c>
      <c r="U216" s="88" t="n">
        <f aca="false">IF($A216="",0,SUMIF(GL_Data!$S$8:$S$5007,211104,GL_Data!$P$8:$P$5007))</f>
        <v>0</v>
      </c>
      <c r="V216" s="88" t="n">
        <f aca="false">IF($A216="",0,SUMIF(GL_Data!$S$8:$S$5007,211105,GL_Data!$P$8:$P$5007))</f>
        <v>0</v>
      </c>
      <c r="W216" s="88" t="n">
        <f aca="false">IF($A216="",0,SUMIF(GL_Data!$S$8:$S$5007,211106,GL_Data!$P$8:$P$5007))</f>
        <v>0</v>
      </c>
      <c r="X216" s="88" t="n">
        <f aca="false">IF($A216="",0,SUMIF(GL_Data!$S$8:$S$5007,211107,GL_Data!$P$8:$P$5007))</f>
        <v>0</v>
      </c>
      <c r="Y216" s="88" t="n">
        <f aca="false">IF($A216="",0,SUMIF(GL_Data!$S$8:$S$5007,211108,GL_Data!$P$8:$P$5007))</f>
        <v>0</v>
      </c>
      <c r="Z216" s="88" t="n">
        <f aca="false">IF($A216="",0,SUMIF(GL_Data!$S$8:$S$5007,211109,GL_Data!$P$8:$P$5007))</f>
        <v>0</v>
      </c>
      <c r="AA216" s="88" t="n">
        <f aca="false">IF($A216="",0,SUMIF(GL_Data!$S$8:$S$5007,211110,GL_Data!$P$8:$P$5007))</f>
        <v>0</v>
      </c>
      <c r="AB216" s="88" t="n">
        <f aca="false">IF($A216="",0,SUMIF(GL_Data!$S$8:$S$5007,211111,GL_Data!$P$8:$P$5007))</f>
        <v>0</v>
      </c>
      <c r="AC216" s="88" t="n">
        <f aca="false">IF($A216="",0,SUMIF(GL_Data!$S$8:$S$5007,211112,GL_Data!$P$8:$P$5007))</f>
        <v>0</v>
      </c>
      <c r="AD216" s="89" t="n">
        <f aca="false">IF($A216="",0,INDEX($F216:$AC216,12+Setup!$B$8))</f>
        <v>0</v>
      </c>
      <c r="AE216" s="90" t="n">
        <f aca="false">IF($A216="",0,INDEX($F216:$AC216,Setup!$B$8))</f>
        <v>0</v>
      </c>
      <c r="AF216" s="90" t="n">
        <f aca="false">IF($A216="",0,INDEX($F216:$AC216,11+Setup!$B$8))</f>
        <v>0</v>
      </c>
      <c r="AG216" s="90" t="n">
        <f aca="false">IF($A216="",0,AVERAGE(INDEX($F216:$AC216,9+Setup!$B$8):INDEX($F216:$AC216,11+Setup!$B$8)))</f>
        <v>0</v>
      </c>
      <c r="AH216" s="89" t="n">
        <f aca="false">IF($A216="",0,SUMPRODUCT(($R$3:$AC$3&lt;=Setup!$B$8)*$R216:$AC216))</f>
        <v>0</v>
      </c>
      <c r="AI216" s="90" t="n">
        <f aca="false">IF($A216="",0,SUMPRODUCT(($F$3:$Q$3&lt;=Setup!$B$8)*$F216:$Q216))</f>
        <v>0</v>
      </c>
      <c r="AJ216" s="90" t="n">
        <f aca="false">IF($A216="",0,SUM($F216:$Q216))</f>
        <v>0</v>
      </c>
      <c r="AK216" s="90" t="n">
        <f aca="false">IF($A216="",0,SUM($R216:$AC216))</f>
        <v>0</v>
      </c>
      <c r="AL216" s="91" t="n">
        <f aca="false">IF($A216="",0,IF(SUMPRODUCT(ABS($F216:$AC216))&gt;0,1,0))</f>
        <v>0</v>
      </c>
    </row>
    <row r="217" customFormat="false" ht="15" hidden="false" customHeight="false" outlineLevel="0" collapsed="false">
      <c r="A217" s="68" t="str">
        <f aca="false">IF(COA_Mapping!$A218="","",COA_Mapping!$A218)</f>
        <v/>
      </c>
      <c r="B217" s="68" t="str">
        <f aca="false">IF($A217="","",COA_Mapping!$C218)</f>
        <v/>
      </c>
      <c r="C217" s="68" t="str">
        <f aca="false">IF($A217="","",COA_Mapping!$E218)</f>
        <v/>
      </c>
      <c r="D217" s="68" t="str">
        <f aca="false">IF($A217="","",COA_Mapping!$D218)</f>
        <v/>
      </c>
      <c r="E217" s="86" t="n">
        <f aca="false">IF($A217="",1,COA_Mapping!$F218)</f>
        <v>1</v>
      </c>
      <c r="F217" s="87" t="n">
        <f aca="false">IF($A217="",0,SUMIF(GL_Data!$S$8:$S$5007,212001,GL_Data!$P$8:$P$5007))</f>
        <v>0</v>
      </c>
      <c r="G217" s="87" t="n">
        <f aca="false">IF($A217="",0,SUMIF(GL_Data!$S$8:$S$5007,212002,GL_Data!$P$8:$P$5007))</f>
        <v>0</v>
      </c>
      <c r="H217" s="87" t="n">
        <f aca="false">IF($A217="",0,SUMIF(GL_Data!$S$8:$S$5007,212003,GL_Data!$P$8:$P$5007))</f>
        <v>0</v>
      </c>
      <c r="I217" s="87" t="n">
        <f aca="false">IF($A217="",0,SUMIF(GL_Data!$S$8:$S$5007,212004,GL_Data!$P$8:$P$5007))</f>
        <v>0</v>
      </c>
      <c r="J217" s="87" t="n">
        <f aca="false">IF($A217="",0,SUMIF(GL_Data!$S$8:$S$5007,212005,GL_Data!$P$8:$P$5007))</f>
        <v>0</v>
      </c>
      <c r="K217" s="87" t="n">
        <f aca="false">IF($A217="",0,SUMIF(GL_Data!$S$8:$S$5007,212006,GL_Data!$P$8:$P$5007))</f>
        <v>0</v>
      </c>
      <c r="L217" s="87" t="n">
        <f aca="false">IF($A217="",0,SUMIF(GL_Data!$S$8:$S$5007,212007,GL_Data!$P$8:$P$5007))</f>
        <v>0</v>
      </c>
      <c r="M217" s="87" t="n">
        <f aca="false">IF($A217="",0,SUMIF(GL_Data!$S$8:$S$5007,212008,GL_Data!$P$8:$P$5007))</f>
        <v>0</v>
      </c>
      <c r="N217" s="87" t="n">
        <f aca="false">IF($A217="",0,SUMIF(GL_Data!$S$8:$S$5007,212009,GL_Data!$P$8:$P$5007))</f>
        <v>0</v>
      </c>
      <c r="O217" s="87" t="n">
        <f aca="false">IF($A217="",0,SUMIF(GL_Data!$S$8:$S$5007,212010,GL_Data!$P$8:$P$5007))</f>
        <v>0</v>
      </c>
      <c r="P217" s="87" t="n">
        <f aca="false">IF($A217="",0,SUMIF(GL_Data!$S$8:$S$5007,212011,GL_Data!$P$8:$P$5007))</f>
        <v>0</v>
      </c>
      <c r="Q217" s="87" t="n">
        <f aca="false">IF($A217="",0,SUMIF(GL_Data!$S$8:$S$5007,212012,GL_Data!$P$8:$P$5007))</f>
        <v>0</v>
      </c>
      <c r="R217" s="88" t="n">
        <f aca="false">IF($A217="",0,SUMIF(GL_Data!$S$8:$S$5007,212101,GL_Data!$P$8:$P$5007))</f>
        <v>0</v>
      </c>
      <c r="S217" s="88" t="n">
        <f aca="false">IF($A217="",0,SUMIF(GL_Data!$S$8:$S$5007,212102,GL_Data!$P$8:$P$5007))</f>
        <v>0</v>
      </c>
      <c r="T217" s="88" t="n">
        <f aca="false">IF($A217="",0,SUMIF(GL_Data!$S$8:$S$5007,212103,GL_Data!$P$8:$P$5007))</f>
        <v>0</v>
      </c>
      <c r="U217" s="88" t="n">
        <f aca="false">IF($A217="",0,SUMIF(GL_Data!$S$8:$S$5007,212104,GL_Data!$P$8:$P$5007))</f>
        <v>0</v>
      </c>
      <c r="V217" s="88" t="n">
        <f aca="false">IF($A217="",0,SUMIF(GL_Data!$S$8:$S$5007,212105,GL_Data!$P$8:$P$5007))</f>
        <v>0</v>
      </c>
      <c r="W217" s="88" t="n">
        <f aca="false">IF($A217="",0,SUMIF(GL_Data!$S$8:$S$5007,212106,GL_Data!$P$8:$P$5007))</f>
        <v>0</v>
      </c>
      <c r="X217" s="88" t="n">
        <f aca="false">IF($A217="",0,SUMIF(GL_Data!$S$8:$S$5007,212107,GL_Data!$P$8:$P$5007))</f>
        <v>0</v>
      </c>
      <c r="Y217" s="88" t="n">
        <f aca="false">IF($A217="",0,SUMIF(GL_Data!$S$8:$S$5007,212108,GL_Data!$P$8:$P$5007))</f>
        <v>0</v>
      </c>
      <c r="Z217" s="88" t="n">
        <f aca="false">IF($A217="",0,SUMIF(GL_Data!$S$8:$S$5007,212109,GL_Data!$P$8:$P$5007))</f>
        <v>0</v>
      </c>
      <c r="AA217" s="88" t="n">
        <f aca="false">IF($A217="",0,SUMIF(GL_Data!$S$8:$S$5007,212110,GL_Data!$P$8:$P$5007))</f>
        <v>0</v>
      </c>
      <c r="AB217" s="88" t="n">
        <f aca="false">IF($A217="",0,SUMIF(GL_Data!$S$8:$S$5007,212111,GL_Data!$P$8:$P$5007))</f>
        <v>0</v>
      </c>
      <c r="AC217" s="88" t="n">
        <f aca="false">IF($A217="",0,SUMIF(GL_Data!$S$8:$S$5007,212112,GL_Data!$P$8:$P$5007))</f>
        <v>0</v>
      </c>
      <c r="AD217" s="89" t="n">
        <f aca="false">IF($A217="",0,INDEX($F217:$AC217,12+Setup!$B$8))</f>
        <v>0</v>
      </c>
      <c r="AE217" s="90" t="n">
        <f aca="false">IF($A217="",0,INDEX($F217:$AC217,Setup!$B$8))</f>
        <v>0</v>
      </c>
      <c r="AF217" s="90" t="n">
        <f aca="false">IF($A217="",0,INDEX($F217:$AC217,11+Setup!$B$8))</f>
        <v>0</v>
      </c>
      <c r="AG217" s="90" t="n">
        <f aca="false">IF($A217="",0,AVERAGE(INDEX($F217:$AC217,9+Setup!$B$8):INDEX($F217:$AC217,11+Setup!$B$8)))</f>
        <v>0</v>
      </c>
      <c r="AH217" s="89" t="n">
        <f aca="false">IF($A217="",0,SUMPRODUCT(($R$3:$AC$3&lt;=Setup!$B$8)*$R217:$AC217))</f>
        <v>0</v>
      </c>
      <c r="AI217" s="90" t="n">
        <f aca="false">IF($A217="",0,SUMPRODUCT(($F$3:$Q$3&lt;=Setup!$B$8)*$F217:$Q217))</f>
        <v>0</v>
      </c>
      <c r="AJ217" s="90" t="n">
        <f aca="false">IF($A217="",0,SUM($F217:$Q217))</f>
        <v>0</v>
      </c>
      <c r="AK217" s="90" t="n">
        <f aca="false">IF($A217="",0,SUM($R217:$AC217))</f>
        <v>0</v>
      </c>
      <c r="AL217" s="91" t="n">
        <f aca="false">IF($A217="",0,IF(SUMPRODUCT(ABS($F217:$AC217))&gt;0,1,0))</f>
        <v>0</v>
      </c>
    </row>
    <row r="218" customFormat="false" ht="15" hidden="false" customHeight="false" outlineLevel="0" collapsed="false">
      <c r="A218" s="68" t="str">
        <f aca="false">IF(COA_Mapping!$A219="","",COA_Mapping!$A219)</f>
        <v/>
      </c>
      <c r="B218" s="68" t="str">
        <f aca="false">IF($A218="","",COA_Mapping!$C219)</f>
        <v/>
      </c>
      <c r="C218" s="68" t="str">
        <f aca="false">IF($A218="","",COA_Mapping!$E219)</f>
        <v/>
      </c>
      <c r="D218" s="68" t="str">
        <f aca="false">IF($A218="","",COA_Mapping!$D219)</f>
        <v/>
      </c>
      <c r="E218" s="86" t="n">
        <f aca="false">IF($A218="",1,COA_Mapping!$F219)</f>
        <v>1</v>
      </c>
      <c r="F218" s="87" t="n">
        <f aca="false">IF($A218="",0,SUMIF(GL_Data!$S$8:$S$5007,213001,GL_Data!$P$8:$P$5007))</f>
        <v>0</v>
      </c>
      <c r="G218" s="87" t="n">
        <f aca="false">IF($A218="",0,SUMIF(GL_Data!$S$8:$S$5007,213002,GL_Data!$P$8:$P$5007))</f>
        <v>0</v>
      </c>
      <c r="H218" s="87" t="n">
        <f aca="false">IF($A218="",0,SUMIF(GL_Data!$S$8:$S$5007,213003,GL_Data!$P$8:$P$5007))</f>
        <v>0</v>
      </c>
      <c r="I218" s="87" t="n">
        <f aca="false">IF($A218="",0,SUMIF(GL_Data!$S$8:$S$5007,213004,GL_Data!$P$8:$P$5007))</f>
        <v>0</v>
      </c>
      <c r="J218" s="87" t="n">
        <f aca="false">IF($A218="",0,SUMIF(GL_Data!$S$8:$S$5007,213005,GL_Data!$P$8:$P$5007))</f>
        <v>0</v>
      </c>
      <c r="K218" s="87" t="n">
        <f aca="false">IF($A218="",0,SUMIF(GL_Data!$S$8:$S$5007,213006,GL_Data!$P$8:$P$5007))</f>
        <v>0</v>
      </c>
      <c r="L218" s="87" t="n">
        <f aca="false">IF($A218="",0,SUMIF(GL_Data!$S$8:$S$5007,213007,GL_Data!$P$8:$P$5007))</f>
        <v>0</v>
      </c>
      <c r="M218" s="87" t="n">
        <f aca="false">IF($A218="",0,SUMIF(GL_Data!$S$8:$S$5007,213008,GL_Data!$P$8:$P$5007))</f>
        <v>0</v>
      </c>
      <c r="N218" s="87" t="n">
        <f aca="false">IF($A218="",0,SUMIF(GL_Data!$S$8:$S$5007,213009,GL_Data!$P$8:$P$5007))</f>
        <v>0</v>
      </c>
      <c r="O218" s="87" t="n">
        <f aca="false">IF($A218="",0,SUMIF(GL_Data!$S$8:$S$5007,213010,GL_Data!$P$8:$P$5007))</f>
        <v>0</v>
      </c>
      <c r="P218" s="87" t="n">
        <f aca="false">IF($A218="",0,SUMIF(GL_Data!$S$8:$S$5007,213011,GL_Data!$P$8:$P$5007))</f>
        <v>0</v>
      </c>
      <c r="Q218" s="87" t="n">
        <f aca="false">IF($A218="",0,SUMIF(GL_Data!$S$8:$S$5007,213012,GL_Data!$P$8:$P$5007))</f>
        <v>0</v>
      </c>
      <c r="R218" s="88" t="n">
        <f aca="false">IF($A218="",0,SUMIF(GL_Data!$S$8:$S$5007,213101,GL_Data!$P$8:$P$5007))</f>
        <v>0</v>
      </c>
      <c r="S218" s="88" t="n">
        <f aca="false">IF($A218="",0,SUMIF(GL_Data!$S$8:$S$5007,213102,GL_Data!$P$8:$P$5007))</f>
        <v>0</v>
      </c>
      <c r="T218" s="88" t="n">
        <f aca="false">IF($A218="",0,SUMIF(GL_Data!$S$8:$S$5007,213103,GL_Data!$P$8:$P$5007))</f>
        <v>0</v>
      </c>
      <c r="U218" s="88" t="n">
        <f aca="false">IF($A218="",0,SUMIF(GL_Data!$S$8:$S$5007,213104,GL_Data!$P$8:$P$5007))</f>
        <v>0</v>
      </c>
      <c r="V218" s="88" t="n">
        <f aca="false">IF($A218="",0,SUMIF(GL_Data!$S$8:$S$5007,213105,GL_Data!$P$8:$P$5007))</f>
        <v>0</v>
      </c>
      <c r="W218" s="88" t="n">
        <f aca="false">IF($A218="",0,SUMIF(GL_Data!$S$8:$S$5007,213106,GL_Data!$P$8:$P$5007))</f>
        <v>0</v>
      </c>
      <c r="X218" s="88" t="n">
        <f aca="false">IF($A218="",0,SUMIF(GL_Data!$S$8:$S$5007,213107,GL_Data!$P$8:$P$5007))</f>
        <v>0</v>
      </c>
      <c r="Y218" s="88" t="n">
        <f aca="false">IF($A218="",0,SUMIF(GL_Data!$S$8:$S$5007,213108,GL_Data!$P$8:$P$5007))</f>
        <v>0</v>
      </c>
      <c r="Z218" s="88" t="n">
        <f aca="false">IF($A218="",0,SUMIF(GL_Data!$S$8:$S$5007,213109,GL_Data!$P$8:$P$5007))</f>
        <v>0</v>
      </c>
      <c r="AA218" s="88" t="n">
        <f aca="false">IF($A218="",0,SUMIF(GL_Data!$S$8:$S$5007,213110,GL_Data!$P$8:$P$5007))</f>
        <v>0</v>
      </c>
      <c r="AB218" s="88" t="n">
        <f aca="false">IF($A218="",0,SUMIF(GL_Data!$S$8:$S$5007,213111,GL_Data!$P$8:$P$5007))</f>
        <v>0</v>
      </c>
      <c r="AC218" s="88" t="n">
        <f aca="false">IF($A218="",0,SUMIF(GL_Data!$S$8:$S$5007,213112,GL_Data!$P$8:$P$5007))</f>
        <v>0</v>
      </c>
      <c r="AD218" s="89" t="n">
        <f aca="false">IF($A218="",0,INDEX($F218:$AC218,12+Setup!$B$8))</f>
        <v>0</v>
      </c>
      <c r="AE218" s="90" t="n">
        <f aca="false">IF($A218="",0,INDEX($F218:$AC218,Setup!$B$8))</f>
        <v>0</v>
      </c>
      <c r="AF218" s="90" t="n">
        <f aca="false">IF($A218="",0,INDEX($F218:$AC218,11+Setup!$B$8))</f>
        <v>0</v>
      </c>
      <c r="AG218" s="90" t="n">
        <f aca="false">IF($A218="",0,AVERAGE(INDEX($F218:$AC218,9+Setup!$B$8):INDEX($F218:$AC218,11+Setup!$B$8)))</f>
        <v>0</v>
      </c>
      <c r="AH218" s="89" t="n">
        <f aca="false">IF($A218="",0,SUMPRODUCT(($R$3:$AC$3&lt;=Setup!$B$8)*$R218:$AC218))</f>
        <v>0</v>
      </c>
      <c r="AI218" s="90" t="n">
        <f aca="false">IF($A218="",0,SUMPRODUCT(($F$3:$Q$3&lt;=Setup!$B$8)*$F218:$Q218))</f>
        <v>0</v>
      </c>
      <c r="AJ218" s="90" t="n">
        <f aca="false">IF($A218="",0,SUM($F218:$Q218))</f>
        <v>0</v>
      </c>
      <c r="AK218" s="90" t="n">
        <f aca="false">IF($A218="",0,SUM($R218:$AC218))</f>
        <v>0</v>
      </c>
      <c r="AL218" s="91" t="n">
        <f aca="false">IF($A218="",0,IF(SUMPRODUCT(ABS($F218:$AC218))&gt;0,1,0))</f>
        <v>0</v>
      </c>
    </row>
    <row r="219" customFormat="false" ht="15" hidden="false" customHeight="false" outlineLevel="0" collapsed="false">
      <c r="A219" s="68" t="str">
        <f aca="false">IF(COA_Mapping!$A220="","",COA_Mapping!$A220)</f>
        <v/>
      </c>
      <c r="B219" s="68" t="str">
        <f aca="false">IF($A219="","",COA_Mapping!$C220)</f>
        <v/>
      </c>
      <c r="C219" s="68" t="str">
        <f aca="false">IF($A219="","",COA_Mapping!$E220)</f>
        <v/>
      </c>
      <c r="D219" s="68" t="str">
        <f aca="false">IF($A219="","",COA_Mapping!$D220)</f>
        <v/>
      </c>
      <c r="E219" s="86" t="n">
        <f aca="false">IF($A219="",1,COA_Mapping!$F220)</f>
        <v>1</v>
      </c>
      <c r="F219" s="87" t="n">
        <f aca="false">IF($A219="",0,SUMIF(GL_Data!$S$8:$S$5007,214001,GL_Data!$P$8:$P$5007))</f>
        <v>0</v>
      </c>
      <c r="G219" s="87" t="n">
        <f aca="false">IF($A219="",0,SUMIF(GL_Data!$S$8:$S$5007,214002,GL_Data!$P$8:$P$5007))</f>
        <v>0</v>
      </c>
      <c r="H219" s="87" t="n">
        <f aca="false">IF($A219="",0,SUMIF(GL_Data!$S$8:$S$5007,214003,GL_Data!$P$8:$P$5007))</f>
        <v>0</v>
      </c>
      <c r="I219" s="87" t="n">
        <f aca="false">IF($A219="",0,SUMIF(GL_Data!$S$8:$S$5007,214004,GL_Data!$P$8:$P$5007))</f>
        <v>0</v>
      </c>
      <c r="J219" s="87" t="n">
        <f aca="false">IF($A219="",0,SUMIF(GL_Data!$S$8:$S$5007,214005,GL_Data!$P$8:$P$5007))</f>
        <v>0</v>
      </c>
      <c r="K219" s="87" t="n">
        <f aca="false">IF($A219="",0,SUMIF(GL_Data!$S$8:$S$5007,214006,GL_Data!$P$8:$P$5007))</f>
        <v>0</v>
      </c>
      <c r="L219" s="87" t="n">
        <f aca="false">IF($A219="",0,SUMIF(GL_Data!$S$8:$S$5007,214007,GL_Data!$P$8:$P$5007))</f>
        <v>0</v>
      </c>
      <c r="M219" s="87" t="n">
        <f aca="false">IF($A219="",0,SUMIF(GL_Data!$S$8:$S$5007,214008,GL_Data!$P$8:$P$5007))</f>
        <v>0</v>
      </c>
      <c r="N219" s="87" t="n">
        <f aca="false">IF($A219="",0,SUMIF(GL_Data!$S$8:$S$5007,214009,GL_Data!$P$8:$P$5007))</f>
        <v>0</v>
      </c>
      <c r="O219" s="87" t="n">
        <f aca="false">IF($A219="",0,SUMIF(GL_Data!$S$8:$S$5007,214010,GL_Data!$P$8:$P$5007))</f>
        <v>0</v>
      </c>
      <c r="P219" s="87" t="n">
        <f aca="false">IF($A219="",0,SUMIF(GL_Data!$S$8:$S$5007,214011,GL_Data!$P$8:$P$5007))</f>
        <v>0</v>
      </c>
      <c r="Q219" s="87" t="n">
        <f aca="false">IF($A219="",0,SUMIF(GL_Data!$S$8:$S$5007,214012,GL_Data!$P$8:$P$5007))</f>
        <v>0</v>
      </c>
      <c r="R219" s="88" t="n">
        <f aca="false">IF($A219="",0,SUMIF(GL_Data!$S$8:$S$5007,214101,GL_Data!$P$8:$P$5007))</f>
        <v>0</v>
      </c>
      <c r="S219" s="88" t="n">
        <f aca="false">IF($A219="",0,SUMIF(GL_Data!$S$8:$S$5007,214102,GL_Data!$P$8:$P$5007))</f>
        <v>0</v>
      </c>
      <c r="T219" s="88" t="n">
        <f aca="false">IF($A219="",0,SUMIF(GL_Data!$S$8:$S$5007,214103,GL_Data!$P$8:$P$5007))</f>
        <v>0</v>
      </c>
      <c r="U219" s="88" t="n">
        <f aca="false">IF($A219="",0,SUMIF(GL_Data!$S$8:$S$5007,214104,GL_Data!$P$8:$P$5007))</f>
        <v>0</v>
      </c>
      <c r="V219" s="88" t="n">
        <f aca="false">IF($A219="",0,SUMIF(GL_Data!$S$8:$S$5007,214105,GL_Data!$P$8:$P$5007))</f>
        <v>0</v>
      </c>
      <c r="W219" s="88" t="n">
        <f aca="false">IF($A219="",0,SUMIF(GL_Data!$S$8:$S$5007,214106,GL_Data!$P$8:$P$5007))</f>
        <v>0</v>
      </c>
      <c r="X219" s="88" t="n">
        <f aca="false">IF($A219="",0,SUMIF(GL_Data!$S$8:$S$5007,214107,GL_Data!$P$8:$P$5007))</f>
        <v>0</v>
      </c>
      <c r="Y219" s="88" t="n">
        <f aca="false">IF($A219="",0,SUMIF(GL_Data!$S$8:$S$5007,214108,GL_Data!$P$8:$P$5007))</f>
        <v>0</v>
      </c>
      <c r="Z219" s="88" t="n">
        <f aca="false">IF($A219="",0,SUMIF(GL_Data!$S$8:$S$5007,214109,GL_Data!$P$8:$P$5007))</f>
        <v>0</v>
      </c>
      <c r="AA219" s="88" t="n">
        <f aca="false">IF($A219="",0,SUMIF(GL_Data!$S$8:$S$5007,214110,GL_Data!$P$8:$P$5007))</f>
        <v>0</v>
      </c>
      <c r="AB219" s="88" t="n">
        <f aca="false">IF($A219="",0,SUMIF(GL_Data!$S$8:$S$5007,214111,GL_Data!$P$8:$P$5007))</f>
        <v>0</v>
      </c>
      <c r="AC219" s="88" t="n">
        <f aca="false">IF($A219="",0,SUMIF(GL_Data!$S$8:$S$5007,214112,GL_Data!$P$8:$P$5007))</f>
        <v>0</v>
      </c>
      <c r="AD219" s="89" t="n">
        <f aca="false">IF($A219="",0,INDEX($F219:$AC219,12+Setup!$B$8))</f>
        <v>0</v>
      </c>
      <c r="AE219" s="90" t="n">
        <f aca="false">IF($A219="",0,INDEX($F219:$AC219,Setup!$B$8))</f>
        <v>0</v>
      </c>
      <c r="AF219" s="90" t="n">
        <f aca="false">IF($A219="",0,INDEX($F219:$AC219,11+Setup!$B$8))</f>
        <v>0</v>
      </c>
      <c r="AG219" s="90" t="n">
        <f aca="false">IF($A219="",0,AVERAGE(INDEX($F219:$AC219,9+Setup!$B$8):INDEX($F219:$AC219,11+Setup!$B$8)))</f>
        <v>0</v>
      </c>
      <c r="AH219" s="89" t="n">
        <f aca="false">IF($A219="",0,SUMPRODUCT(($R$3:$AC$3&lt;=Setup!$B$8)*$R219:$AC219))</f>
        <v>0</v>
      </c>
      <c r="AI219" s="90" t="n">
        <f aca="false">IF($A219="",0,SUMPRODUCT(($F$3:$Q$3&lt;=Setup!$B$8)*$F219:$Q219))</f>
        <v>0</v>
      </c>
      <c r="AJ219" s="90" t="n">
        <f aca="false">IF($A219="",0,SUM($F219:$Q219))</f>
        <v>0</v>
      </c>
      <c r="AK219" s="90" t="n">
        <f aca="false">IF($A219="",0,SUM($R219:$AC219))</f>
        <v>0</v>
      </c>
      <c r="AL219" s="91" t="n">
        <f aca="false">IF($A219="",0,IF(SUMPRODUCT(ABS($F219:$AC219))&gt;0,1,0))</f>
        <v>0</v>
      </c>
    </row>
    <row r="220" customFormat="false" ht="15" hidden="false" customHeight="false" outlineLevel="0" collapsed="false">
      <c r="A220" s="68" t="str">
        <f aca="false">IF(COA_Mapping!$A221="","",COA_Mapping!$A221)</f>
        <v/>
      </c>
      <c r="B220" s="68" t="str">
        <f aca="false">IF($A220="","",COA_Mapping!$C221)</f>
        <v/>
      </c>
      <c r="C220" s="68" t="str">
        <f aca="false">IF($A220="","",COA_Mapping!$E221)</f>
        <v/>
      </c>
      <c r="D220" s="68" t="str">
        <f aca="false">IF($A220="","",COA_Mapping!$D221)</f>
        <v/>
      </c>
      <c r="E220" s="86" t="n">
        <f aca="false">IF($A220="",1,COA_Mapping!$F221)</f>
        <v>1</v>
      </c>
      <c r="F220" s="87" t="n">
        <f aca="false">IF($A220="",0,SUMIF(GL_Data!$S$8:$S$5007,215001,GL_Data!$P$8:$P$5007))</f>
        <v>0</v>
      </c>
      <c r="G220" s="87" t="n">
        <f aca="false">IF($A220="",0,SUMIF(GL_Data!$S$8:$S$5007,215002,GL_Data!$P$8:$P$5007))</f>
        <v>0</v>
      </c>
      <c r="H220" s="87" t="n">
        <f aca="false">IF($A220="",0,SUMIF(GL_Data!$S$8:$S$5007,215003,GL_Data!$P$8:$P$5007))</f>
        <v>0</v>
      </c>
      <c r="I220" s="87" t="n">
        <f aca="false">IF($A220="",0,SUMIF(GL_Data!$S$8:$S$5007,215004,GL_Data!$P$8:$P$5007))</f>
        <v>0</v>
      </c>
      <c r="J220" s="87" t="n">
        <f aca="false">IF($A220="",0,SUMIF(GL_Data!$S$8:$S$5007,215005,GL_Data!$P$8:$P$5007))</f>
        <v>0</v>
      </c>
      <c r="K220" s="87" t="n">
        <f aca="false">IF($A220="",0,SUMIF(GL_Data!$S$8:$S$5007,215006,GL_Data!$P$8:$P$5007))</f>
        <v>0</v>
      </c>
      <c r="L220" s="87" t="n">
        <f aca="false">IF($A220="",0,SUMIF(GL_Data!$S$8:$S$5007,215007,GL_Data!$P$8:$P$5007))</f>
        <v>0</v>
      </c>
      <c r="M220" s="87" t="n">
        <f aca="false">IF($A220="",0,SUMIF(GL_Data!$S$8:$S$5007,215008,GL_Data!$P$8:$P$5007))</f>
        <v>0</v>
      </c>
      <c r="N220" s="87" t="n">
        <f aca="false">IF($A220="",0,SUMIF(GL_Data!$S$8:$S$5007,215009,GL_Data!$P$8:$P$5007))</f>
        <v>0</v>
      </c>
      <c r="O220" s="87" t="n">
        <f aca="false">IF($A220="",0,SUMIF(GL_Data!$S$8:$S$5007,215010,GL_Data!$P$8:$P$5007))</f>
        <v>0</v>
      </c>
      <c r="P220" s="87" t="n">
        <f aca="false">IF($A220="",0,SUMIF(GL_Data!$S$8:$S$5007,215011,GL_Data!$P$8:$P$5007))</f>
        <v>0</v>
      </c>
      <c r="Q220" s="87" t="n">
        <f aca="false">IF($A220="",0,SUMIF(GL_Data!$S$8:$S$5007,215012,GL_Data!$P$8:$P$5007))</f>
        <v>0</v>
      </c>
      <c r="R220" s="88" t="n">
        <f aca="false">IF($A220="",0,SUMIF(GL_Data!$S$8:$S$5007,215101,GL_Data!$P$8:$P$5007))</f>
        <v>0</v>
      </c>
      <c r="S220" s="88" t="n">
        <f aca="false">IF($A220="",0,SUMIF(GL_Data!$S$8:$S$5007,215102,GL_Data!$P$8:$P$5007))</f>
        <v>0</v>
      </c>
      <c r="T220" s="88" t="n">
        <f aca="false">IF($A220="",0,SUMIF(GL_Data!$S$8:$S$5007,215103,GL_Data!$P$8:$P$5007))</f>
        <v>0</v>
      </c>
      <c r="U220" s="88" t="n">
        <f aca="false">IF($A220="",0,SUMIF(GL_Data!$S$8:$S$5007,215104,GL_Data!$P$8:$P$5007))</f>
        <v>0</v>
      </c>
      <c r="V220" s="88" t="n">
        <f aca="false">IF($A220="",0,SUMIF(GL_Data!$S$8:$S$5007,215105,GL_Data!$P$8:$P$5007))</f>
        <v>0</v>
      </c>
      <c r="W220" s="88" t="n">
        <f aca="false">IF($A220="",0,SUMIF(GL_Data!$S$8:$S$5007,215106,GL_Data!$P$8:$P$5007))</f>
        <v>0</v>
      </c>
      <c r="X220" s="88" t="n">
        <f aca="false">IF($A220="",0,SUMIF(GL_Data!$S$8:$S$5007,215107,GL_Data!$P$8:$P$5007))</f>
        <v>0</v>
      </c>
      <c r="Y220" s="88" t="n">
        <f aca="false">IF($A220="",0,SUMIF(GL_Data!$S$8:$S$5007,215108,GL_Data!$P$8:$P$5007))</f>
        <v>0</v>
      </c>
      <c r="Z220" s="88" t="n">
        <f aca="false">IF($A220="",0,SUMIF(GL_Data!$S$8:$S$5007,215109,GL_Data!$P$8:$P$5007))</f>
        <v>0</v>
      </c>
      <c r="AA220" s="88" t="n">
        <f aca="false">IF($A220="",0,SUMIF(GL_Data!$S$8:$S$5007,215110,GL_Data!$P$8:$P$5007))</f>
        <v>0</v>
      </c>
      <c r="AB220" s="88" t="n">
        <f aca="false">IF($A220="",0,SUMIF(GL_Data!$S$8:$S$5007,215111,GL_Data!$P$8:$P$5007))</f>
        <v>0</v>
      </c>
      <c r="AC220" s="88" t="n">
        <f aca="false">IF($A220="",0,SUMIF(GL_Data!$S$8:$S$5007,215112,GL_Data!$P$8:$P$5007))</f>
        <v>0</v>
      </c>
      <c r="AD220" s="89" t="n">
        <f aca="false">IF($A220="",0,INDEX($F220:$AC220,12+Setup!$B$8))</f>
        <v>0</v>
      </c>
      <c r="AE220" s="90" t="n">
        <f aca="false">IF($A220="",0,INDEX($F220:$AC220,Setup!$B$8))</f>
        <v>0</v>
      </c>
      <c r="AF220" s="90" t="n">
        <f aca="false">IF($A220="",0,INDEX($F220:$AC220,11+Setup!$B$8))</f>
        <v>0</v>
      </c>
      <c r="AG220" s="90" t="n">
        <f aca="false">IF($A220="",0,AVERAGE(INDEX($F220:$AC220,9+Setup!$B$8):INDEX($F220:$AC220,11+Setup!$B$8)))</f>
        <v>0</v>
      </c>
      <c r="AH220" s="89" t="n">
        <f aca="false">IF($A220="",0,SUMPRODUCT(($R$3:$AC$3&lt;=Setup!$B$8)*$R220:$AC220))</f>
        <v>0</v>
      </c>
      <c r="AI220" s="90" t="n">
        <f aca="false">IF($A220="",0,SUMPRODUCT(($F$3:$Q$3&lt;=Setup!$B$8)*$F220:$Q220))</f>
        <v>0</v>
      </c>
      <c r="AJ220" s="90" t="n">
        <f aca="false">IF($A220="",0,SUM($F220:$Q220))</f>
        <v>0</v>
      </c>
      <c r="AK220" s="90" t="n">
        <f aca="false">IF($A220="",0,SUM($R220:$AC220))</f>
        <v>0</v>
      </c>
      <c r="AL220" s="91" t="n">
        <f aca="false">IF($A220="",0,IF(SUMPRODUCT(ABS($F220:$AC220))&gt;0,1,0))</f>
        <v>0</v>
      </c>
    </row>
    <row r="221" customFormat="false" ht="15" hidden="false" customHeight="false" outlineLevel="0" collapsed="false">
      <c r="A221" s="68" t="str">
        <f aca="false">IF(COA_Mapping!$A222="","",COA_Mapping!$A222)</f>
        <v/>
      </c>
      <c r="B221" s="68" t="str">
        <f aca="false">IF($A221="","",COA_Mapping!$C222)</f>
        <v/>
      </c>
      <c r="C221" s="68" t="str">
        <f aca="false">IF($A221="","",COA_Mapping!$E222)</f>
        <v/>
      </c>
      <c r="D221" s="68" t="str">
        <f aca="false">IF($A221="","",COA_Mapping!$D222)</f>
        <v/>
      </c>
      <c r="E221" s="86" t="n">
        <f aca="false">IF($A221="",1,COA_Mapping!$F222)</f>
        <v>1</v>
      </c>
      <c r="F221" s="87" t="n">
        <f aca="false">IF($A221="",0,SUMIF(GL_Data!$S$8:$S$5007,216001,GL_Data!$P$8:$P$5007))</f>
        <v>0</v>
      </c>
      <c r="G221" s="87" t="n">
        <f aca="false">IF($A221="",0,SUMIF(GL_Data!$S$8:$S$5007,216002,GL_Data!$P$8:$P$5007))</f>
        <v>0</v>
      </c>
      <c r="H221" s="87" t="n">
        <f aca="false">IF($A221="",0,SUMIF(GL_Data!$S$8:$S$5007,216003,GL_Data!$P$8:$P$5007))</f>
        <v>0</v>
      </c>
      <c r="I221" s="87" t="n">
        <f aca="false">IF($A221="",0,SUMIF(GL_Data!$S$8:$S$5007,216004,GL_Data!$P$8:$P$5007))</f>
        <v>0</v>
      </c>
      <c r="J221" s="87" t="n">
        <f aca="false">IF($A221="",0,SUMIF(GL_Data!$S$8:$S$5007,216005,GL_Data!$P$8:$P$5007))</f>
        <v>0</v>
      </c>
      <c r="K221" s="87" t="n">
        <f aca="false">IF($A221="",0,SUMIF(GL_Data!$S$8:$S$5007,216006,GL_Data!$P$8:$P$5007))</f>
        <v>0</v>
      </c>
      <c r="L221" s="87" t="n">
        <f aca="false">IF($A221="",0,SUMIF(GL_Data!$S$8:$S$5007,216007,GL_Data!$P$8:$P$5007))</f>
        <v>0</v>
      </c>
      <c r="M221" s="87" t="n">
        <f aca="false">IF($A221="",0,SUMIF(GL_Data!$S$8:$S$5007,216008,GL_Data!$P$8:$P$5007))</f>
        <v>0</v>
      </c>
      <c r="N221" s="87" t="n">
        <f aca="false">IF($A221="",0,SUMIF(GL_Data!$S$8:$S$5007,216009,GL_Data!$P$8:$P$5007))</f>
        <v>0</v>
      </c>
      <c r="O221" s="87" t="n">
        <f aca="false">IF($A221="",0,SUMIF(GL_Data!$S$8:$S$5007,216010,GL_Data!$P$8:$P$5007))</f>
        <v>0</v>
      </c>
      <c r="P221" s="87" t="n">
        <f aca="false">IF($A221="",0,SUMIF(GL_Data!$S$8:$S$5007,216011,GL_Data!$P$8:$P$5007))</f>
        <v>0</v>
      </c>
      <c r="Q221" s="87" t="n">
        <f aca="false">IF($A221="",0,SUMIF(GL_Data!$S$8:$S$5007,216012,GL_Data!$P$8:$P$5007))</f>
        <v>0</v>
      </c>
      <c r="R221" s="88" t="n">
        <f aca="false">IF($A221="",0,SUMIF(GL_Data!$S$8:$S$5007,216101,GL_Data!$P$8:$P$5007))</f>
        <v>0</v>
      </c>
      <c r="S221" s="88" t="n">
        <f aca="false">IF($A221="",0,SUMIF(GL_Data!$S$8:$S$5007,216102,GL_Data!$P$8:$P$5007))</f>
        <v>0</v>
      </c>
      <c r="T221" s="88" t="n">
        <f aca="false">IF($A221="",0,SUMIF(GL_Data!$S$8:$S$5007,216103,GL_Data!$P$8:$P$5007))</f>
        <v>0</v>
      </c>
      <c r="U221" s="88" t="n">
        <f aca="false">IF($A221="",0,SUMIF(GL_Data!$S$8:$S$5007,216104,GL_Data!$P$8:$P$5007))</f>
        <v>0</v>
      </c>
      <c r="V221" s="88" t="n">
        <f aca="false">IF($A221="",0,SUMIF(GL_Data!$S$8:$S$5007,216105,GL_Data!$P$8:$P$5007))</f>
        <v>0</v>
      </c>
      <c r="W221" s="88" t="n">
        <f aca="false">IF($A221="",0,SUMIF(GL_Data!$S$8:$S$5007,216106,GL_Data!$P$8:$P$5007))</f>
        <v>0</v>
      </c>
      <c r="X221" s="88" t="n">
        <f aca="false">IF($A221="",0,SUMIF(GL_Data!$S$8:$S$5007,216107,GL_Data!$P$8:$P$5007))</f>
        <v>0</v>
      </c>
      <c r="Y221" s="88" t="n">
        <f aca="false">IF($A221="",0,SUMIF(GL_Data!$S$8:$S$5007,216108,GL_Data!$P$8:$P$5007))</f>
        <v>0</v>
      </c>
      <c r="Z221" s="88" t="n">
        <f aca="false">IF($A221="",0,SUMIF(GL_Data!$S$8:$S$5007,216109,GL_Data!$P$8:$P$5007))</f>
        <v>0</v>
      </c>
      <c r="AA221" s="88" t="n">
        <f aca="false">IF($A221="",0,SUMIF(GL_Data!$S$8:$S$5007,216110,GL_Data!$P$8:$P$5007))</f>
        <v>0</v>
      </c>
      <c r="AB221" s="88" t="n">
        <f aca="false">IF($A221="",0,SUMIF(GL_Data!$S$8:$S$5007,216111,GL_Data!$P$8:$P$5007))</f>
        <v>0</v>
      </c>
      <c r="AC221" s="88" t="n">
        <f aca="false">IF($A221="",0,SUMIF(GL_Data!$S$8:$S$5007,216112,GL_Data!$P$8:$P$5007))</f>
        <v>0</v>
      </c>
      <c r="AD221" s="89" t="n">
        <f aca="false">IF($A221="",0,INDEX($F221:$AC221,12+Setup!$B$8))</f>
        <v>0</v>
      </c>
      <c r="AE221" s="90" t="n">
        <f aca="false">IF($A221="",0,INDEX($F221:$AC221,Setup!$B$8))</f>
        <v>0</v>
      </c>
      <c r="AF221" s="90" t="n">
        <f aca="false">IF($A221="",0,INDEX($F221:$AC221,11+Setup!$B$8))</f>
        <v>0</v>
      </c>
      <c r="AG221" s="90" t="n">
        <f aca="false">IF($A221="",0,AVERAGE(INDEX($F221:$AC221,9+Setup!$B$8):INDEX($F221:$AC221,11+Setup!$B$8)))</f>
        <v>0</v>
      </c>
      <c r="AH221" s="89" t="n">
        <f aca="false">IF($A221="",0,SUMPRODUCT(($R$3:$AC$3&lt;=Setup!$B$8)*$R221:$AC221))</f>
        <v>0</v>
      </c>
      <c r="AI221" s="90" t="n">
        <f aca="false">IF($A221="",0,SUMPRODUCT(($F$3:$Q$3&lt;=Setup!$B$8)*$F221:$Q221))</f>
        <v>0</v>
      </c>
      <c r="AJ221" s="90" t="n">
        <f aca="false">IF($A221="",0,SUM($F221:$Q221))</f>
        <v>0</v>
      </c>
      <c r="AK221" s="90" t="n">
        <f aca="false">IF($A221="",0,SUM($R221:$AC221))</f>
        <v>0</v>
      </c>
      <c r="AL221" s="91" t="n">
        <f aca="false">IF($A221="",0,IF(SUMPRODUCT(ABS($F221:$AC221))&gt;0,1,0))</f>
        <v>0</v>
      </c>
    </row>
    <row r="222" customFormat="false" ht="15" hidden="false" customHeight="false" outlineLevel="0" collapsed="false">
      <c r="A222" s="68" t="str">
        <f aca="false">IF(COA_Mapping!$A223="","",COA_Mapping!$A223)</f>
        <v/>
      </c>
      <c r="B222" s="68" t="str">
        <f aca="false">IF($A222="","",COA_Mapping!$C223)</f>
        <v/>
      </c>
      <c r="C222" s="68" t="str">
        <f aca="false">IF($A222="","",COA_Mapping!$E223)</f>
        <v/>
      </c>
      <c r="D222" s="68" t="str">
        <f aca="false">IF($A222="","",COA_Mapping!$D223)</f>
        <v/>
      </c>
      <c r="E222" s="86" t="n">
        <f aca="false">IF($A222="",1,COA_Mapping!$F223)</f>
        <v>1</v>
      </c>
      <c r="F222" s="87" t="n">
        <f aca="false">IF($A222="",0,SUMIF(GL_Data!$S$8:$S$5007,217001,GL_Data!$P$8:$P$5007))</f>
        <v>0</v>
      </c>
      <c r="G222" s="87" t="n">
        <f aca="false">IF($A222="",0,SUMIF(GL_Data!$S$8:$S$5007,217002,GL_Data!$P$8:$P$5007))</f>
        <v>0</v>
      </c>
      <c r="H222" s="87" t="n">
        <f aca="false">IF($A222="",0,SUMIF(GL_Data!$S$8:$S$5007,217003,GL_Data!$P$8:$P$5007))</f>
        <v>0</v>
      </c>
      <c r="I222" s="87" t="n">
        <f aca="false">IF($A222="",0,SUMIF(GL_Data!$S$8:$S$5007,217004,GL_Data!$P$8:$P$5007))</f>
        <v>0</v>
      </c>
      <c r="J222" s="87" t="n">
        <f aca="false">IF($A222="",0,SUMIF(GL_Data!$S$8:$S$5007,217005,GL_Data!$P$8:$P$5007))</f>
        <v>0</v>
      </c>
      <c r="K222" s="87" t="n">
        <f aca="false">IF($A222="",0,SUMIF(GL_Data!$S$8:$S$5007,217006,GL_Data!$P$8:$P$5007))</f>
        <v>0</v>
      </c>
      <c r="L222" s="87" t="n">
        <f aca="false">IF($A222="",0,SUMIF(GL_Data!$S$8:$S$5007,217007,GL_Data!$P$8:$P$5007))</f>
        <v>0</v>
      </c>
      <c r="M222" s="87" t="n">
        <f aca="false">IF($A222="",0,SUMIF(GL_Data!$S$8:$S$5007,217008,GL_Data!$P$8:$P$5007))</f>
        <v>0</v>
      </c>
      <c r="N222" s="87" t="n">
        <f aca="false">IF($A222="",0,SUMIF(GL_Data!$S$8:$S$5007,217009,GL_Data!$P$8:$P$5007))</f>
        <v>0</v>
      </c>
      <c r="O222" s="87" t="n">
        <f aca="false">IF($A222="",0,SUMIF(GL_Data!$S$8:$S$5007,217010,GL_Data!$P$8:$P$5007))</f>
        <v>0</v>
      </c>
      <c r="P222" s="87" t="n">
        <f aca="false">IF($A222="",0,SUMIF(GL_Data!$S$8:$S$5007,217011,GL_Data!$P$8:$P$5007))</f>
        <v>0</v>
      </c>
      <c r="Q222" s="87" t="n">
        <f aca="false">IF($A222="",0,SUMIF(GL_Data!$S$8:$S$5007,217012,GL_Data!$P$8:$P$5007))</f>
        <v>0</v>
      </c>
      <c r="R222" s="88" t="n">
        <f aca="false">IF($A222="",0,SUMIF(GL_Data!$S$8:$S$5007,217101,GL_Data!$P$8:$P$5007))</f>
        <v>0</v>
      </c>
      <c r="S222" s="88" t="n">
        <f aca="false">IF($A222="",0,SUMIF(GL_Data!$S$8:$S$5007,217102,GL_Data!$P$8:$P$5007))</f>
        <v>0</v>
      </c>
      <c r="T222" s="88" t="n">
        <f aca="false">IF($A222="",0,SUMIF(GL_Data!$S$8:$S$5007,217103,GL_Data!$P$8:$P$5007))</f>
        <v>0</v>
      </c>
      <c r="U222" s="88" t="n">
        <f aca="false">IF($A222="",0,SUMIF(GL_Data!$S$8:$S$5007,217104,GL_Data!$P$8:$P$5007))</f>
        <v>0</v>
      </c>
      <c r="V222" s="88" t="n">
        <f aca="false">IF($A222="",0,SUMIF(GL_Data!$S$8:$S$5007,217105,GL_Data!$P$8:$P$5007))</f>
        <v>0</v>
      </c>
      <c r="W222" s="88" t="n">
        <f aca="false">IF($A222="",0,SUMIF(GL_Data!$S$8:$S$5007,217106,GL_Data!$P$8:$P$5007))</f>
        <v>0</v>
      </c>
      <c r="X222" s="88" t="n">
        <f aca="false">IF($A222="",0,SUMIF(GL_Data!$S$8:$S$5007,217107,GL_Data!$P$8:$P$5007))</f>
        <v>0</v>
      </c>
      <c r="Y222" s="88" t="n">
        <f aca="false">IF($A222="",0,SUMIF(GL_Data!$S$8:$S$5007,217108,GL_Data!$P$8:$P$5007))</f>
        <v>0</v>
      </c>
      <c r="Z222" s="88" t="n">
        <f aca="false">IF($A222="",0,SUMIF(GL_Data!$S$8:$S$5007,217109,GL_Data!$P$8:$P$5007))</f>
        <v>0</v>
      </c>
      <c r="AA222" s="88" t="n">
        <f aca="false">IF($A222="",0,SUMIF(GL_Data!$S$8:$S$5007,217110,GL_Data!$P$8:$P$5007))</f>
        <v>0</v>
      </c>
      <c r="AB222" s="88" t="n">
        <f aca="false">IF($A222="",0,SUMIF(GL_Data!$S$8:$S$5007,217111,GL_Data!$P$8:$P$5007))</f>
        <v>0</v>
      </c>
      <c r="AC222" s="88" t="n">
        <f aca="false">IF($A222="",0,SUMIF(GL_Data!$S$8:$S$5007,217112,GL_Data!$P$8:$P$5007))</f>
        <v>0</v>
      </c>
      <c r="AD222" s="89" t="n">
        <f aca="false">IF($A222="",0,INDEX($F222:$AC222,12+Setup!$B$8))</f>
        <v>0</v>
      </c>
      <c r="AE222" s="90" t="n">
        <f aca="false">IF($A222="",0,INDEX($F222:$AC222,Setup!$B$8))</f>
        <v>0</v>
      </c>
      <c r="AF222" s="90" t="n">
        <f aca="false">IF($A222="",0,INDEX($F222:$AC222,11+Setup!$B$8))</f>
        <v>0</v>
      </c>
      <c r="AG222" s="90" t="n">
        <f aca="false">IF($A222="",0,AVERAGE(INDEX($F222:$AC222,9+Setup!$B$8):INDEX($F222:$AC222,11+Setup!$B$8)))</f>
        <v>0</v>
      </c>
      <c r="AH222" s="89" t="n">
        <f aca="false">IF($A222="",0,SUMPRODUCT(($R$3:$AC$3&lt;=Setup!$B$8)*$R222:$AC222))</f>
        <v>0</v>
      </c>
      <c r="AI222" s="90" t="n">
        <f aca="false">IF($A222="",0,SUMPRODUCT(($F$3:$Q$3&lt;=Setup!$B$8)*$F222:$Q222))</f>
        <v>0</v>
      </c>
      <c r="AJ222" s="90" t="n">
        <f aca="false">IF($A222="",0,SUM($F222:$Q222))</f>
        <v>0</v>
      </c>
      <c r="AK222" s="90" t="n">
        <f aca="false">IF($A222="",0,SUM($R222:$AC222))</f>
        <v>0</v>
      </c>
      <c r="AL222" s="91" t="n">
        <f aca="false">IF($A222="",0,IF(SUMPRODUCT(ABS($F222:$AC222))&gt;0,1,0))</f>
        <v>0</v>
      </c>
    </row>
    <row r="223" customFormat="false" ht="15" hidden="false" customHeight="false" outlineLevel="0" collapsed="false">
      <c r="A223" s="68" t="str">
        <f aca="false">IF(COA_Mapping!$A224="","",COA_Mapping!$A224)</f>
        <v/>
      </c>
      <c r="B223" s="68" t="str">
        <f aca="false">IF($A223="","",COA_Mapping!$C224)</f>
        <v/>
      </c>
      <c r="C223" s="68" t="str">
        <f aca="false">IF($A223="","",COA_Mapping!$E224)</f>
        <v/>
      </c>
      <c r="D223" s="68" t="str">
        <f aca="false">IF($A223="","",COA_Mapping!$D224)</f>
        <v/>
      </c>
      <c r="E223" s="86" t="n">
        <f aca="false">IF($A223="",1,COA_Mapping!$F224)</f>
        <v>1</v>
      </c>
      <c r="F223" s="87" t="n">
        <f aca="false">IF($A223="",0,SUMIF(GL_Data!$S$8:$S$5007,218001,GL_Data!$P$8:$P$5007))</f>
        <v>0</v>
      </c>
      <c r="G223" s="87" t="n">
        <f aca="false">IF($A223="",0,SUMIF(GL_Data!$S$8:$S$5007,218002,GL_Data!$P$8:$P$5007))</f>
        <v>0</v>
      </c>
      <c r="H223" s="87" t="n">
        <f aca="false">IF($A223="",0,SUMIF(GL_Data!$S$8:$S$5007,218003,GL_Data!$P$8:$P$5007))</f>
        <v>0</v>
      </c>
      <c r="I223" s="87" t="n">
        <f aca="false">IF($A223="",0,SUMIF(GL_Data!$S$8:$S$5007,218004,GL_Data!$P$8:$P$5007))</f>
        <v>0</v>
      </c>
      <c r="J223" s="87" t="n">
        <f aca="false">IF($A223="",0,SUMIF(GL_Data!$S$8:$S$5007,218005,GL_Data!$P$8:$P$5007))</f>
        <v>0</v>
      </c>
      <c r="K223" s="87" t="n">
        <f aca="false">IF($A223="",0,SUMIF(GL_Data!$S$8:$S$5007,218006,GL_Data!$P$8:$P$5007))</f>
        <v>0</v>
      </c>
      <c r="L223" s="87" t="n">
        <f aca="false">IF($A223="",0,SUMIF(GL_Data!$S$8:$S$5007,218007,GL_Data!$P$8:$P$5007))</f>
        <v>0</v>
      </c>
      <c r="M223" s="87" t="n">
        <f aca="false">IF($A223="",0,SUMIF(GL_Data!$S$8:$S$5007,218008,GL_Data!$P$8:$P$5007))</f>
        <v>0</v>
      </c>
      <c r="N223" s="87" t="n">
        <f aca="false">IF($A223="",0,SUMIF(GL_Data!$S$8:$S$5007,218009,GL_Data!$P$8:$P$5007))</f>
        <v>0</v>
      </c>
      <c r="O223" s="87" t="n">
        <f aca="false">IF($A223="",0,SUMIF(GL_Data!$S$8:$S$5007,218010,GL_Data!$P$8:$P$5007))</f>
        <v>0</v>
      </c>
      <c r="P223" s="87" t="n">
        <f aca="false">IF($A223="",0,SUMIF(GL_Data!$S$8:$S$5007,218011,GL_Data!$P$8:$P$5007))</f>
        <v>0</v>
      </c>
      <c r="Q223" s="87" t="n">
        <f aca="false">IF($A223="",0,SUMIF(GL_Data!$S$8:$S$5007,218012,GL_Data!$P$8:$P$5007))</f>
        <v>0</v>
      </c>
      <c r="R223" s="88" t="n">
        <f aca="false">IF($A223="",0,SUMIF(GL_Data!$S$8:$S$5007,218101,GL_Data!$P$8:$P$5007))</f>
        <v>0</v>
      </c>
      <c r="S223" s="88" t="n">
        <f aca="false">IF($A223="",0,SUMIF(GL_Data!$S$8:$S$5007,218102,GL_Data!$P$8:$P$5007))</f>
        <v>0</v>
      </c>
      <c r="T223" s="88" t="n">
        <f aca="false">IF($A223="",0,SUMIF(GL_Data!$S$8:$S$5007,218103,GL_Data!$P$8:$P$5007))</f>
        <v>0</v>
      </c>
      <c r="U223" s="88" t="n">
        <f aca="false">IF($A223="",0,SUMIF(GL_Data!$S$8:$S$5007,218104,GL_Data!$P$8:$P$5007))</f>
        <v>0</v>
      </c>
      <c r="V223" s="88" t="n">
        <f aca="false">IF($A223="",0,SUMIF(GL_Data!$S$8:$S$5007,218105,GL_Data!$P$8:$P$5007))</f>
        <v>0</v>
      </c>
      <c r="W223" s="88" t="n">
        <f aca="false">IF($A223="",0,SUMIF(GL_Data!$S$8:$S$5007,218106,GL_Data!$P$8:$P$5007))</f>
        <v>0</v>
      </c>
      <c r="X223" s="88" t="n">
        <f aca="false">IF($A223="",0,SUMIF(GL_Data!$S$8:$S$5007,218107,GL_Data!$P$8:$P$5007))</f>
        <v>0</v>
      </c>
      <c r="Y223" s="88" t="n">
        <f aca="false">IF($A223="",0,SUMIF(GL_Data!$S$8:$S$5007,218108,GL_Data!$P$8:$P$5007))</f>
        <v>0</v>
      </c>
      <c r="Z223" s="88" t="n">
        <f aca="false">IF($A223="",0,SUMIF(GL_Data!$S$8:$S$5007,218109,GL_Data!$P$8:$P$5007))</f>
        <v>0</v>
      </c>
      <c r="AA223" s="88" t="n">
        <f aca="false">IF($A223="",0,SUMIF(GL_Data!$S$8:$S$5007,218110,GL_Data!$P$8:$P$5007))</f>
        <v>0</v>
      </c>
      <c r="AB223" s="88" t="n">
        <f aca="false">IF($A223="",0,SUMIF(GL_Data!$S$8:$S$5007,218111,GL_Data!$P$8:$P$5007))</f>
        <v>0</v>
      </c>
      <c r="AC223" s="88" t="n">
        <f aca="false">IF($A223="",0,SUMIF(GL_Data!$S$8:$S$5007,218112,GL_Data!$P$8:$P$5007))</f>
        <v>0</v>
      </c>
      <c r="AD223" s="89" t="n">
        <f aca="false">IF($A223="",0,INDEX($F223:$AC223,12+Setup!$B$8))</f>
        <v>0</v>
      </c>
      <c r="AE223" s="90" t="n">
        <f aca="false">IF($A223="",0,INDEX($F223:$AC223,Setup!$B$8))</f>
        <v>0</v>
      </c>
      <c r="AF223" s="90" t="n">
        <f aca="false">IF($A223="",0,INDEX($F223:$AC223,11+Setup!$B$8))</f>
        <v>0</v>
      </c>
      <c r="AG223" s="90" t="n">
        <f aca="false">IF($A223="",0,AVERAGE(INDEX($F223:$AC223,9+Setup!$B$8):INDEX($F223:$AC223,11+Setup!$B$8)))</f>
        <v>0</v>
      </c>
      <c r="AH223" s="89" t="n">
        <f aca="false">IF($A223="",0,SUMPRODUCT(($R$3:$AC$3&lt;=Setup!$B$8)*$R223:$AC223))</f>
        <v>0</v>
      </c>
      <c r="AI223" s="90" t="n">
        <f aca="false">IF($A223="",0,SUMPRODUCT(($F$3:$Q$3&lt;=Setup!$B$8)*$F223:$Q223))</f>
        <v>0</v>
      </c>
      <c r="AJ223" s="90" t="n">
        <f aca="false">IF($A223="",0,SUM($F223:$Q223))</f>
        <v>0</v>
      </c>
      <c r="AK223" s="90" t="n">
        <f aca="false">IF($A223="",0,SUM($R223:$AC223))</f>
        <v>0</v>
      </c>
      <c r="AL223" s="91" t="n">
        <f aca="false">IF($A223="",0,IF(SUMPRODUCT(ABS($F223:$AC223))&gt;0,1,0))</f>
        <v>0</v>
      </c>
    </row>
    <row r="224" customFormat="false" ht="15" hidden="false" customHeight="false" outlineLevel="0" collapsed="false">
      <c r="A224" s="68" t="str">
        <f aca="false">IF(COA_Mapping!$A225="","",COA_Mapping!$A225)</f>
        <v/>
      </c>
      <c r="B224" s="68" t="str">
        <f aca="false">IF($A224="","",COA_Mapping!$C225)</f>
        <v/>
      </c>
      <c r="C224" s="68" t="str">
        <f aca="false">IF($A224="","",COA_Mapping!$E225)</f>
        <v/>
      </c>
      <c r="D224" s="68" t="str">
        <f aca="false">IF($A224="","",COA_Mapping!$D225)</f>
        <v/>
      </c>
      <c r="E224" s="86" t="n">
        <f aca="false">IF($A224="",1,COA_Mapping!$F225)</f>
        <v>1</v>
      </c>
      <c r="F224" s="87" t="n">
        <f aca="false">IF($A224="",0,SUMIF(GL_Data!$S$8:$S$5007,219001,GL_Data!$P$8:$P$5007))</f>
        <v>0</v>
      </c>
      <c r="G224" s="87" t="n">
        <f aca="false">IF($A224="",0,SUMIF(GL_Data!$S$8:$S$5007,219002,GL_Data!$P$8:$P$5007))</f>
        <v>0</v>
      </c>
      <c r="H224" s="87" t="n">
        <f aca="false">IF($A224="",0,SUMIF(GL_Data!$S$8:$S$5007,219003,GL_Data!$P$8:$P$5007))</f>
        <v>0</v>
      </c>
      <c r="I224" s="87" t="n">
        <f aca="false">IF($A224="",0,SUMIF(GL_Data!$S$8:$S$5007,219004,GL_Data!$P$8:$P$5007))</f>
        <v>0</v>
      </c>
      <c r="J224" s="87" t="n">
        <f aca="false">IF($A224="",0,SUMIF(GL_Data!$S$8:$S$5007,219005,GL_Data!$P$8:$P$5007))</f>
        <v>0</v>
      </c>
      <c r="K224" s="87" t="n">
        <f aca="false">IF($A224="",0,SUMIF(GL_Data!$S$8:$S$5007,219006,GL_Data!$P$8:$P$5007))</f>
        <v>0</v>
      </c>
      <c r="L224" s="87" t="n">
        <f aca="false">IF($A224="",0,SUMIF(GL_Data!$S$8:$S$5007,219007,GL_Data!$P$8:$P$5007))</f>
        <v>0</v>
      </c>
      <c r="M224" s="87" t="n">
        <f aca="false">IF($A224="",0,SUMIF(GL_Data!$S$8:$S$5007,219008,GL_Data!$P$8:$P$5007))</f>
        <v>0</v>
      </c>
      <c r="N224" s="87" t="n">
        <f aca="false">IF($A224="",0,SUMIF(GL_Data!$S$8:$S$5007,219009,GL_Data!$P$8:$P$5007))</f>
        <v>0</v>
      </c>
      <c r="O224" s="87" t="n">
        <f aca="false">IF($A224="",0,SUMIF(GL_Data!$S$8:$S$5007,219010,GL_Data!$P$8:$P$5007))</f>
        <v>0</v>
      </c>
      <c r="P224" s="87" t="n">
        <f aca="false">IF($A224="",0,SUMIF(GL_Data!$S$8:$S$5007,219011,GL_Data!$P$8:$P$5007))</f>
        <v>0</v>
      </c>
      <c r="Q224" s="87" t="n">
        <f aca="false">IF($A224="",0,SUMIF(GL_Data!$S$8:$S$5007,219012,GL_Data!$P$8:$P$5007))</f>
        <v>0</v>
      </c>
      <c r="R224" s="88" t="n">
        <f aca="false">IF($A224="",0,SUMIF(GL_Data!$S$8:$S$5007,219101,GL_Data!$P$8:$P$5007))</f>
        <v>0</v>
      </c>
      <c r="S224" s="88" t="n">
        <f aca="false">IF($A224="",0,SUMIF(GL_Data!$S$8:$S$5007,219102,GL_Data!$P$8:$P$5007))</f>
        <v>0</v>
      </c>
      <c r="T224" s="88" t="n">
        <f aca="false">IF($A224="",0,SUMIF(GL_Data!$S$8:$S$5007,219103,GL_Data!$P$8:$P$5007))</f>
        <v>0</v>
      </c>
      <c r="U224" s="88" t="n">
        <f aca="false">IF($A224="",0,SUMIF(GL_Data!$S$8:$S$5007,219104,GL_Data!$P$8:$P$5007))</f>
        <v>0</v>
      </c>
      <c r="V224" s="88" t="n">
        <f aca="false">IF($A224="",0,SUMIF(GL_Data!$S$8:$S$5007,219105,GL_Data!$P$8:$P$5007))</f>
        <v>0</v>
      </c>
      <c r="W224" s="88" t="n">
        <f aca="false">IF($A224="",0,SUMIF(GL_Data!$S$8:$S$5007,219106,GL_Data!$P$8:$P$5007))</f>
        <v>0</v>
      </c>
      <c r="X224" s="88" t="n">
        <f aca="false">IF($A224="",0,SUMIF(GL_Data!$S$8:$S$5007,219107,GL_Data!$P$8:$P$5007))</f>
        <v>0</v>
      </c>
      <c r="Y224" s="88" t="n">
        <f aca="false">IF($A224="",0,SUMIF(GL_Data!$S$8:$S$5007,219108,GL_Data!$P$8:$P$5007))</f>
        <v>0</v>
      </c>
      <c r="Z224" s="88" t="n">
        <f aca="false">IF($A224="",0,SUMIF(GL_Data!$S$8:$S$5007,219109,GL_Data!$P$8:$P$5007))</f>
        <v>0</v>
      </c>
      <c r="AA224" s="88" t="n">
        <f aca="false">IF($A224="",0,SUMIF(GL_Data!$S$8:$S$5007,219110,GL_Data!$P$8:$P$5007))</f>
        <v>0</v>
      </c>
      <c r="AB224" s="88" t="n">
        <f aca="false">IF($A224="",0,SUMIF(GL_Data!$S$8:$S$5007,219111,GL_Data!$P$8:$P$5007))</f>
        <v>0</v>
      </c>
      <c r="AC224" s="88" t="n">
        <f aca="false">IF($A224="",0,SUMIF(GL_Data!$S$8:$S$5007,219112,GL_Data!$P$8:$P$5007))</f>
        <v>0</v>
      </c>
      <c r="AD224" s="89" t="n">
        <f aca="false">IF($A224="",0,INDEX($F224:$AC224,12+Setup!$B$8))</f>
        <v>0</v>
      </c>
      <c r="AE224" s="90" t="n">
        <f aca="false">IF($A224="",0,INDEX($F224:$AC224,Setup!$B$8))</f>
        <v>0</v>
      </c>
      <c r="AF224" s="90" t="n">
        <f aca="false">IF($A224="",0,INDEX($F224:$AC224,11+Setup!$B$8))</f>
        <v>0</v>
      </c>
      <c r="AG224" s="90" t="n">
        <f aca="false">IF($A224="",0,AVERAGE(INDEX($F224:$AC224,9+Setup!$B$8):INDEX($F224:$AC224,11+Setup!$B$8)))</f>
        <v>0</v>
      </c>
      <c r="AH224" s="89" t="n">
        <f aca="false">IF($A224="",0,SUMPRODUCT(($R$3:$AC$3&lt;=Setup!$B$8)*$R224:$AC224))</f>
        <v>0</v>
      </c>
      <c r="AI224" s="90" t="n">
        <f aca="false">IF($A224="",0,SUMPRODUCT(($F$3:$Q$3&lt;=Setup!$B$8)*$F224:$Q224))</f>
        <v>0</v>
      </c>
      <c r="AJ224" s="90" t="n">
        <f aca="false">IF($A224="",0,SUM($F224:$Q224))</f>
        <v>0</v>
      </c>
      <c r="AK224" s="90" t="n">
        <f aca="false">IF($A224="",0,SUM($R224:$AC224))</f>
        <v>0</v>
      </c>
      <c r="AL224" s="91" t="n">
        <f aca="false">IF($A224="",0,IF(SUMPRODUCT(ABS($F224:$AC224))&gt;0,1,0))</f>
        <v>0</v>
      </c>
    </row>
    <row r="225" customFormat="false" ht="15" hidden="false" customHeight="false" outlineLevel="0" collapsed="false">
      <c r="A225" s="68" t="str">
        <f aca="false">IF(COA_Mapping!$A226="","",COA_Mapping!$A226)</f>
        <v/>
      </c>
      <c r="B225" s="68" t="str">
        <f aca="false">IF($A225="","",COA_Mapping!$C226)</f>
        <v/>
      </c>
      <c r="C225" s="68" t="str">
        <f aca="false">IF($A225="","",COA_Mapping!$E226)</f>
        <v/>
      </c>
      <c r="D225" s="68" t="str">
        <f aca="false">IF($A225="","",COA_Mapping!$D226)</f>
        <v/>
      </c>
      <c r="E225" s="86" t="n">
        <f aca="false">IF($A225="",1,COA_Mapping!$F226)</f>
        <v>1</v>
      </c>
      <c r="F225" s="87" t="n">
        <f aca="false">IF($A225="",0,SUMIF(GL_Data!$S$8:$S$5007,220001,GL_Data!$P$8:$P$5007))</f>
        <v>0</v>
      </c>
      <c r="G225" s="87" t="n">
        <f aca="false">IF($A225="",0,SUMIF(GL_Data!$S$8:$S$5007,220002,GL_Data!$P$8:$P$5007))</f>
        <v>0</v>
      </c>
      <c r="H225" s="87" t="n">
        <f aca="false">IF($A225="",0,SUMIF(GL_Data!$S$8:$S$5007,220003,GL_Data!$P$8:$P$5007))</f>
        <v>0</v>
      </c>
      <c r="I225" s="87" t="n">
        <f aca="false">IF($A225="",0,SUMIF(GL_Data!$S$8:$S$5007,220004,GL_Data!$P$8:$P$5007))</f>
        <v>0</v>
      </c>
      <c r="J225" s="87" t="n">
        <f aca="false">IF($A225="",0,SUMIF(GL_Data!$S$8:$S$5007,220005,GL_Data!$P$8:$P$5007))</f>
        <v>0</v>
      </c>
      <c r="K225" s="87" t="n">
        <f aca="false">IF($A225="",0,SUMIF(GL_Data!$S$8:$S$5007,220006,GL_Data!$P$8:$P$5007))</f>
        <v>0</v>
      </c>
      <c r="L225" s="87" t="n">
        <f aca="false">IF($A225="",0,SUMIF(GL_Data!$S$8:$S$5007,220007,GL_Data!$P$8:$P$5007))</f>
        <v>0</v>
      </c>
      <c r="M225" s="87" t="n">
        <f aca="false">IF($A225="",0,SUMIF(GL_Data!$S$8:$S$5007,220008,GL_Data!$P$8:$P$5007))</f>
        <v>0</v>
      </c>
      <c r="N225" s="87" t="n">
        <f aca="false">IF($A225="",0,SUMIF(GL_Data!$S$8:$S$5007,220009,GL_Data!$P$8:$P$5007))</f>
        <v>0</v>
      </c>
      <c r="O225" s="87" t="n">
        <f aca="false">IF($A225="",0,SUMIF(GL_Data!$S$8:$S$5007,220010,GL_Data!$P$8:$P$5007))</f>
        <v>0</v>
      </c>
      <c r="P225" s="87" t="n">
        <f aca="false">IF($A225="",0,SUMIF(GL_Data!$S$8:$S$5007,220011,GL_Data!$P$8:$P$5007))</f>
        <v>0</v>
      </c>
      <c r="Q225" s="87" t="n">
        <f aca="false">IF($A225="",0,SUMIF(GL_Data!$S$8:$S$5007,220012,GL_Data!$P$8:$P$5007))</f>
        <v>0</v>
      </c>
      <c r="R225" s="88" t="n">
        <f aca="false">IF($A225="",0,SUMIF(GL_Data!$S$8:$S$5007,220101,GL_Data!$P$8:$P$5007))</f>
        <v>0</v>
      </c>
      <c r="S225" s="88" t="n">
        <f aca="false">IF($A225="",0,SUMIF(GL_Data!$S$8:$S$5007,220102,GL_Data!$P$8:$P$5007))</f>
        <v>0</v>
      </c>
      <c r="T225" s="88" t="n">
        <f aca="false">IF($A225="",0,SUMIF(GL_Data!$S$8:$S$5007,220103,GL_Data!$P$8:$P$5007))</f>
        <v>0</v>
      </c>
      <c r="U225" s="88" t="n">
        <f aca="false">IF($A225="",0,SUMIF(GL_Data!$S$8:$S$5007,220104,GL_Data!$P$8:$P$5007))</f>
        <v>0</v>
      </c>
      <c r="V225" s="88" t="n">
        <f aca="false">IF($A225="",0,SUMIF(GL_Data!$S$8:$S$5007,220105,GL_Data!$P$8:$P$5007))</f>
        <v>0</v>
      </c>
      <c r="W225" s="88" t="n">
        <f aca="false">IF($A225="",0,SUMIF(GL_Data!$S$8:$S$5007,220106,GL_Data!$P$8:$P$5007))</f>
        <v>0</v>
      </c>
      <c r="X225" s="88" t="n">
        <f aca="false">IF($A225="",0,SUMIF(GL_Data!$S$8:$S$5007,220107,GL_Data!$P$8:$P$5007))</f>
        <v>0</v>
      </c>
      <c r="Y225" s="88" t="n">
        <f aca="false">IF($A225="",0,SUMIF(GL_Data!$S$8:$S$5007,220108,GL_Data!$P$8:$P$5007))</f>
        <v>0</v>
      </c>
      <c r="Z225" s="88" t="n">
        <f aca="false">IF($A225="",0,SUMIF(GL_Data!$S$8:$S$5007,220109,GL_Data!$P$8:$P$5007))</f>
        <v>0</v>
      </c>
      <c r="AA225" s="88" t="n">
        <f aca="false">IF($A225="",0,SUMIF(GL_Data!$S$8:$S$5007,220110,GL_Data!$P$8:$P$5007))</f>
        <v>0</v>
      </c>
      <c r="AB225" s="88" t="n">
        <f aca="false">IF($A225="",0,SUMIF(GL_Data!$S$8:$S$5007,220111,GL_Data!$P$8:$P$5007))</f>
        <v>0</v>
      </c>
      <c r="AC225" s="88" t="n">
        <f aca="false">IF($A225="",0,SUMIF(GL_Data!$S$8:$S$5007,220112,GL_Data!$P$8:$P$5007))</f>
        <v>0</v>
      </c>
      <c r="AD225" s="89" t="n">
        <f aca="false">IF($A225="",0,INDEX($F225:$AC225,12+Setup!$B$8))</f>
        <v>0</v>
      </c>
      <c r="AE225" s="90" t="n">
        <f aca="false">IF($A225="",0,INDEX($F225:$AC225,Setup!$B$8))</f>
        <v>0</v>
      </c>
      <c r="AF225" s="90" t="n">
        <f aca="false">IF($A225="",0,INDEX($F225:$AC225,11+Setup!$B$8))</f>
        <v>0</v>
      </c>
      <c r="AG225" s="90" t="n">
        <f aca="false">IF($A225="",0,AVERAGE(INDEX($F225:$AC225,9+Setup!$B$8):INDEX($F225:$AC225,11+Setup!$B$8)))</f>
        <v>0</v>
      </c>
      <c r="AH225" s="89" t="n">
        <f aca="false">IF($A225="",0,SUMPRODUCT(($R$3:$AC$3&lt;=Setup!$B$8)*$R225:$AC225))</f>
        <v>0</v>
      </c>
      <c r="AI225" s="90" t="n">
        <f aca="false">IF($A225="",0,SUMPRODUCT(($F$3:$Q$3&lt;=Setup!$B$8)*$F225:$Q225))</f>
        <v>0</v>
      </c>
      <c r="AJ225" s="90" t="n">
        <f aca="false">IF($A225="",0,SUM($F225:$Q225))</f>
        <v>0</v>
      </c>
      <c r="AK225" s="90" t="n">
        <f aca="false">IF($A225="",0,SUM($R225:$AC225))</f>
        <v>0</v>
      </c>
      <c r="AL225" s="91" t="n">
        <f aca="false">IF($A225="",0,IF(SUMPRODUCT(ABS($F225:$AC225))&gt;0,1,0))</f>
        <v>0</v>
      </c>
    </row>
    <row r="226" customFormat="false" ht="15" hidden="false" customHeight="false" outlineLevel="0" collapsed="false">
      <c r="A226" s="68" t="str">
        <f aca="false">IF(COA_Mapping!$A227="","",COA_Mapping!$A227)</f>
        <v/>
      </c>
      <c r="B226" s="68" t="str">
        <f aca="false">IF($A226="","",COA_Mapping!$C227)</f>
        <v/>
      </c>
      <c r="C226" s="68" t="str">
        <f aca="false">IF($A226="","",COA_Mapping!$E227)</f>
        <v/>
      </c>
      <c r="D226" s="68" t="str">
        <f aca="false">IF($A226="","",COA_Mapping!$D227)</f>
        <v/>
      </c>
      <c r="E226" s="86" t="n">
        <f aca="false">IF($A226="",1,COA_Mapping!$F227)</f>
        <v>1</v>
      </c>
      <c r="F226" s="87" t="n">
        <f aca="false">IF($A226="",0,SUMIF(GL_Data!$S$8:$S$5007,221001,GL_Data!$P$8:$P$5007))</f>
        <v>0</v>
      </c>
      <c r="G226" s="87" t="n">
        <f aca="false">IF($A226="",0,SUMIF(GL_Data!$S$8:$S$5007,221002,GL_Data!$P$8:$P$5007))</f>
        <v>0</v>
      </c>
      <c r="H226" s="87" t="n">
        <f aca="false">IF($A226="",0,SUMIF(GL_Data!$S$8:$S$5007,221003,GL_Data!$P$8:$P$5007))</f>
        <v>0</v>
      </c>
      <c r="I226" s="87" t="n">
        <f aca="false">IF($A226="",0,SUMIF(GL_Data!$S$8:$S$5007,221004,GL_Data!$P$8:$P$5007))</f>
        <v>0</v>
      </c>
      <c r="J226" s="87" t="n">
        <f aca="false">IF($A226="",0,SUMIF(GL_Data!$S$8:$S$5007,221005,GL_Data!$P$8:$P$5007))</f>
        <v>0</v>
      </c>
      <c r="K226" s="87" t="n">
        <f aca="false">IF($A226="",0,SUMIF(GL_Data!$S$8:$S$5007,221006,GL_Data!$P$8:$P$5007))</f>
        <v>0</v>
      </c>
      <c r="L226" s="87" t="n">
        <f aca="false">IF($A226="",0,SUMIF(GL_Data!$S$8:$S$5007,221007,GL_Data!$P$8:$P$5007))</f>
        <v>0</v>
      </c>
      <c r="M226" s="87" t="n">
        <f aca="false">IF($A226="",0,SUMIF(GL_Data!$S$8:$S$5007,221008,GL_Data!$P$8:$P$5007))</f>
        <v>0</v>
      </c>
      <c r="N226" s="87" t="n">
        <f aca="false">IF($A226="",0,SUMIF(GL_Data!$S$8:$S$5007,221009,GL_Data!$P$8:$P$5007))</f>
        <v>0</v>
      </c>
      <c r="O226" s="87" t="n">
        <f aca="false">IF($A226="",0,SUMIF(GL_Data!$S$8:$S$5007,221010,GL_Data!$P$8:$P$5007))</f>
        <v>0</v>
      </c>
      <c r="P226" s="87" t="n">
        <f aca="false">IF($A226="",0,SUMIF(GL_Data!$S$8:$S$5007,221011,GL_Data!$P$8:$P$5007))</f>
        <v>0</v>
      </c>
      <c r="Q226" s="87" t="n">
        <f aca="false">IF($A226="",0,SUMIF(GL_Data!$S$8:$S$5007,221012,GL_Data!$P$8:$P$5007))</f>
        <v>0</v>
      </c>
      <c r="R226" s="88" t="n">
        <f aca="false">IF($A226="",0,SUMIF(GL_Data!$S$8:$S$5007,221101,GL_Data!$P$8:$P$5007))</f>
        <v>0</v>
      </c>
      <c r="S226" s="88" t="n">
        <f aca="false">IF($A226="",0,SUMIF(GL_Data!$S$8:$S$5007,221102,GL_Data!$P$8:$P$5007))</f>
        <v>0</v>
      </c>
      <c r="T226" s="88" t="n">
        <f aca="false">IF($A226="",0,SUMIF(GL_Data!$S$8:$S$5007,221103,GL_Data!$P$8:$P$5007))</f>
        <v>0</v>
      </c>
      <c r="U226" s="88" t="n">
        <f aca="false">IF($A226="",0,SUMIF(GL_Data!$S$8:$S$5007,221104,GL_Data!$P$8:$P$5007))</f>
        <v>0</v>
      </c>
      <c r="V226" s="88" t="n">
        <f aca="false">IF($A226="",0,SUMIF(GL_Data!$S$8:$S$5007,221105,GL_Data!$P$8:$P$5007))</f>
        <v>0</v>
      </c>
      <c r="W226" s="88" t="n">
        <f aca="false">IF($A226="",0,SUMIF(GL_Data!$S$8:$S$5007,221106,GL_Data!$P$8:$P$5007))</f>
        <v>0</v>
      </c>
      <c r="X226" s="88" t="n">
        <f aca="false">IF($A226="",0,SUMIF(GL_Data!$S$8:$S$5007,221107,GL_Data!$P$8:$P$5007))</f>
        <v>0</v>
      </c>
      <c r="Y226" s="88" t="n">
        <f aca="false">IF($A226="",0,SUMIF(GL_Data!$S$8:$S$5007,221108,GL_Data!$P$8:$P$5007))</f>
        <v>0</v>
      </c>
      <c r="Z226" s="88" t="n">
        <f aca="false">IF($A226="",0,SUMIF(GL_Data!$S$8:$S$5007,221109,GL_Data!$P$8:$P$5007))</f>
        <v>0</v>
      </c>
      <c r="AA226" s="88" t="n">
        <f aca="false">IF($A226="",0,SUMIF(GL_Data!$S$8:$S$5007,221110,GL_Data!$P$8:$P$5007))</f>
        <v>0</v>
      </c>
      <c r="AB226" s="88" t="n">
        <f aca="false">IF($A226="",0,SUMIF(GL_Data!$S$8:$S$5007,221111,GL_Data!$P$8:$P$5007))</f>
        <v>0</v>
      </c>
      <c r="AC226" s="88" t="n">
        <f aca="false">IF($A226="",0,SUMIF(GL_Data!$S$8:$S$5007,221112,GL_Data!$P$8:$P$5007))</f>
        <v>0</v>
      </c>
      <c r="AD226" s="89" t="n">
        <f aca="false">IF($A226="",0,INDEX($F226:$AC226,12+Setup!$B$8))</f>
        <v>0</v>
      </c>
      <c r="AE226" s="90" t="n">
        <f aca="false">IF($A226="",0,INDEX($F226:$AC226,Setup!$B$8))</f>
        <v>0</v>
      </c>
      <c r="AF226" s="90" t="n">
        <f aca="false">IF($A226="",0,INDEX($F226:$AC226,11+Setup!$B$8))</f>
        <v>0</v>
      </c>
      <c r="AG226" s="90" t="n">
        <f aca="false">IF($A226="",0,AVERAGE(INDEX($F226:$AC226,9+Setup!$B$8):INDEX($F226:$AC226,11+Setup!$B$8)))</f>
        <v>0</v>
      </c>
      <c r="AH226" s="89" t="n">
        <f aca="false">IF($A226="",0,SUMPRODUCT(($R$3:$AC$3&lt;=Setup!$B$8)*$R226:$AC226))</f>
        <v>0</v>
      </c>
      <c r="AI226" s="90" t="n">
        <f aca="false">IF($A226="",0,SUMPRODUCT(($F$3:$Q$3&lt;=Setup!$B$8)*$F226:$Q226))</f>
        <v>0</v>
      </c>
      <c r="AJ226" s="90" t="n">
        <f aca="false">IF($A226="",0,SUM($F226:$Q226))</f>
        <v>0</v>
      </c>
      <c r="AK226" s="90" t="n">
        <f aca="false">IF($A226="",0,SUM($R226:$AC226))</f>
        <v>0</v>
      </c>
      <c r="AL226" s="91" t="n">
        <f aca="false">IF($A226="",0,IF(SUMPRODUCT(ABS($F226:$AC226))&gt;0,1,0))</f>
        <v>0</v>
      </c>
    </row>
    <row r="227" customFormat="false" ht="15" hidden="false" customHeight="false" outlineLevel="0" collapsed="false">
      <c r="A227" s="68" t="str">
        <f aca="false">IF(COA_Mapping!$A228="","",COA_Mapping!$A228)</f>
        <v/>
      </c>
      <c r="B227" s="68" t="str">
        <f aca="false">IF($A227="","",COA_Mapping!$C228)</f>
        <v/>
      </c>
      <c r="C227" s="68" t="str">
        <f aca="false">IF($A227="","",COA_Mapping!$E228)</f>
        <v/>
      </c>
      <c r="D227" s="68" t="str">
        <f aca="false">IF($A227="","",COA_Mapping!$D228)</f>
        <v/>
      </c>
      <c r="E227" s="86" t="n">
        <f aca="false">IF($A227="",1,COA_Mapping!$F228)</f>
        <v>1</v>
      </c>
      <c r="F227" s="87" t="n">
        <f aca="false">IF($A227="",0,SUMIF(GL_Data!$S$8:$S$5007,222001,GL_Data!$P$8:$P$5007))</f>
        <v>0</v>
      </c>
      <c r="G227" s="87" t="n">
        <f aca="false">IF($A227="",0,SUMIF(GL_Data!$S$8:$S$5007,222002,GL_Data!$P$8:$P$5007))</f>
        <v>0</v>
      </c>
      <c r="H227" s="87" t="n">
        <f aca="false">IF($A227="",0,SUMIF(GL_Data!$S$8:$S$5007,222003,GL_Data!$P$8:$P$5007))</f>
        <v>0</v>
      </c>
      <c r="I227" s="87" t="n">
        <f aca="false">IF($A227="",0,SUMIF(GL_Data!$S$8:$S$5007,222004,GL_Data!$P$8:$P$5007))</f>
        <v>0</v>
      </c>
      <c r="J227" s="87" t="n">
        <f aca="false">IF($A227="",0,SUMIF(GL_Data!$S$8:$S$5007,222005,GL_Data!$P$8:$P$5007))</f>
        <v>0</v>
      </c>
      <c r="K227" s="87" t="n">
        <f aca="false">IF($A227="",0,SUMIF(GL_Data!$S$8:$S$5007,222006,GL_Data!$P$8:$P$5007))</f>
        <v>0</v>
      </c>
      <c r="L227" s="87" t="n">
        <f aca="false">IF($A227="",0,SUMIF(GL_Data!$S$8:$S$5007,222007,GL_Data!$P$8:$P$5007))</f>
        <v>0</v>
      </c>
      <c r="M227" s="87" t="n">
        <f aca="false">IF($A227="",0,SUMIF(GL_Data!$S$8:$S$5007,222008,GL_Data!$P$8:$P$5007))</f>
        <v>0</v>
      </c>
      <c r="N227" s="87" t="n">
        <f aca="false">IF($A227="",0,SUMIF(GL_Data!$S$8:$S$5007,222009,GL_Data!$P$8:$P$5007))</f>
        <v>0</v>
      </c>
      <c r="O227" s="87" t="n">
        <f aca="false">IF($A227="",0,SUMIF(GL_Data!$S$8:$S$5007,222010,GL_Data!$P$8:$P$5007))</f>
        <v>0</v>
      </c>
      <c r="P227" s="87" t="n">
        <f aca="false">IF($A227="",0,SUMIF(GL_Data!$S$8:$S$5007,222011,GL_Data!$P$8:$P$5007))</f>
        <v>0</v>
      </c>
      <c r="Q227" s="87" t="n">
        <f aca="false">IF($A227="",0,SUMIF(GL_Data!$S$8:$S$5007,222012,GL_Data!$P$8:$P$5007))</f>
        <v>0</v>
      </c>
      <c r="R227" s="88" t="n">
        <f aca="false">IF($A227="",0,SUMIF(GL_Data!$S$8:$S$5007,222101,GL_Data!$P$8:$P$5007))</f>
        <v>0</v>
      </c>
      <c r="S227" s="88" t="n">
        <f aca="false">IF($A227="",0,SUMIF(GL_Data!$S$8:$S$5007,222102,GL_Data!$P$8:$P$5007))</f>
        <v>0</v>
      </c>
      <c r="T227" s="88" t="n">
        <f aca="false">IF($A227="",0,SUMIF(GL_Data!$S$8:$S$5007,222103,GL_Data!$P$8:$P$5007))</f>
        <v>0</v>
      </c>
      <c r="U227" s="88" t="n">
        <f aca="false">IF($A227="",0,SUMIF(GL_Data!$S$8:$S$5007,222104,GL_Data!$P$8:$P$5007))</f>
        <v>0</v>
      </c>
      <c r="V227" s="88" t="n">
        <f aca="false">IF($A227="",0,SUMIF(GL_Data!$S$8:$S$5007,222105,GL_Data!$P$8:$P$5007))</f>
        <v>0</v>
      </c>
      <c r="W227" s="88" t="n">
        <f aca="false">IF($A227="",0,SUMIF(GL_Data!$S$8:$S$5007,222106,GL_Data!$P$8:$P$5007))</f>
        <v>0</v>
      </c>
      <c r="X227" s="88" t="n">
        <f aca="false">IF($A227="",0,SUMIF(GL_Data!$S$8:$S$5007,222107,GL_Data!$P$8:$P$5007))</f>
        <v>0</v>
      </c>
      <c r="Y227" s="88" t="n">
        <f aca="false">IF($A227="",0,SUMIF(GL_Data!$S$8:$S$5007,222108,GL_Data!$P$8:$P$5007))</f>
        <v>0</v>
      </c>
      <c r="Z227" s="88" t="n">
        <f aca="false">IF($A227="",0,SUMIF(GL_Data!$S$8:$S$5007,222109,GL_Data!$P$8:$P$5007))</f>
        <v>0</v>
      </c>
      <c r="AA227" s="88" t="n">
        <f aca="false">IF($A227="",0,SUMIF(GL_Data!$S$8:$S$5007,222110,GL_Data!$P$8:$P$5007))</f>
        <v>0</v>
      </c>
      <c r="AB227" s="88" t="n">
        <f aca="false">IF($A227="",0,SUMIF(GL_Data!$S$8:$S$5007,222111,GL_Data!$P$8:$P$5007))</f>
        <v>0</v>
      </c>
      <c r="AC227" s="88" t="n">
        <f aca="false">IF($A227="",0,SUMIF(GL_Data!$S$8:$S$5007,222112,GL_Data!$P$8:$P$5007))</f>
        <v>0</v>
      </c>
      <c r="AD227" s="89" t="n">
        <f aca="false">IF($A227="",0,INDEX($F227:$AC227,12+Setup!$B$8))</f>
        <v>0</v>
      </c>
      <c r="AE227" s="90" t="n">
        <f aca="false">IF($A227="",0,INDEX($F227:$AC227,Setup!$B$8))</f>
        <v>0</v>
      </c>
      <c r="AF227" s="90" t="n">
        <f aca="false">IF($A227="",0,INDEX($F227:$AC227,11+Setup!$B$8))</f>
        <v>0</v>
      </c>
      <c r="AG227" s="90" t="n">
        <f aca="false">IF($A227="",0,AVERAGE(INDEX($F227:$AC227,9+Setup!$B$8):INDEX($F227:$AC227,11+Setup!$B$8)))</f>
        <v>0</v>
      </c>
      <c r="AH227" s="89" t="n">
        <f aca="false">IF($A227="",0,SUMPRODUCT(($R$3:$AC$3&lt;=Setup!$B$8)*$R227:$AC227))</f>
        <v>0</v>
      </c>
      <c r="AI227" s="90" t="n">
        <f aca="false">IF($A227="",0,SUMPRODUCT(($F$3:$Q$3&lt;=Setup!$B$8)*$F227:$Q227))</f>
        <v>0</v>
      </c>
      <c r="AJ227" s="90" t="n">
        <f aca="false">IF($A227="",0,SUM($F227:$Q227))</f>
        <v>0</v>
      </c>
      <c r="AK227" s="90" t="n">
        <f aca="false">IF($A227="",0,SUM($R227:$AC227))</f>
        <v>0</v>
      </c>
      <c r="AL227" s="91" t="n">
        <f aca="false">IF($A227="",0,IF(SUMPRODUCT(ABS($F227:$AC227))&gt;0,1,0))</f>
        <v>0</v>
      </c>
    </row>
    <row r="228" customFormat="false" ht="15" hidden="false" customHeight="false" outlineLevel="0" collapsed="false">
      <c r="A228" s="68" t="str">
        <f aca="false">IF(COA_Mapping!$A229="","",COA_Mapping!$A229)</f>
        <v/>
      </c>
      <c r="B228" s="68" t="str">
        <f aca="false">IF($A228="","",COA_Mapping!$C229)</f>
        <v/>
      </c>
      <c r="C228" s="68" t="str">
        <f aca="false">IF($A228="","",COA_Mapping!$E229)</f>
        <v/>
      </c>
      <c r="D228" s="68" t="str">
        <f aca="false">IF($A228="","",COA_Mapping!$D229)</f>
        <v/>
      </c>
      <c r="E228" s="86" t="n">
        <f aca="false">IF($A228="",1,COA_Mapping!$F229)</f>
        <v>1</v>
      </c>
      <c r="F228" s="87" t="n">
        <f aca="false">IF($A228="",0,SUMIF(GL_Data!$S$8:$S$5007,223001,GL_Data!$P$8:$P$5007))</f>
        <v>0</v>
      </c>
      <c r="G228" s="87" t="n">
        <f aca="false">IF($A228="",0,SUMIF(GL_Data!$S$8:$S$5007,223002,GL_Data!$P$8:$P$5007))</f>
        <v>0</v>
      </c>
      <c r="H228" s="87" t="n">
        <f aca="false">IF($A228="",0,SUMIF(GL_Data!$S$8:$S$5007,223003,GL_Data!$P$8:$P$5007))</f>
        <v>0</v>
      </c>
      <c r="I228" s="87" t="n">
        <f aca="false">IF($A228="",0,SUMIF(GL_Data!$S$8:$S$5007,223004,GL_Data!$P$8:$P$5007))</f>
        <v>0</v>
      </c>
      <c r="J228" s="87" t="n">
        <f aca="false">IF($A228="",0,SUMIF(GL_Data!$S$8:$S$5007,223005,GL_Data!$P$8:$P$5007))</f>
        <v>0</v>
      </c>
      <c r="K228" s="87" t="n">
        <f aca="false">IF($A228="",0,SUMIF(GL_Data!$S$8:$S$5007,223006,GL_Data!$P$8:$P$5007))</f>
        <v>0</v>
      </c>
      <c r="L228" s="87" t="n">
        <f aca="false">IF($A228="",0,SUMIF(GL_Data!$S$8:$S$5007,223007,GL_Data!$P$8:$P$5007))</f>
        <v>0</v>
      </c>
      <c r="M228" s="87" t="n">
        <f aca="false">IF($A228="",0,SUMIF(GL_Data!$S$8:$S$5007,223008,GL_Data!$P$8:$P$5007))</f>
        <v>0</v>
      </c>
      <c r="N228" s="87" t="n">
        <f aca="false">IF($A228="",0,SUMIF(GL_Data!$S$8:$S$5007,223009,GL_Data!$P$8:$P$5007))</f>
        <v>0</v>
      </c>
      <c r="O228" s="87" t="n">
        <f aca="false">IF($A228="",0,SUMIF(GL_Data!$S$8:$S$5007,223010,GL_Data!$P$8:$P$5007))</f>
        <v>0</v>
      </c>
      <c r="P228" s="87" t="n">
        <f aca="false">IF($A228="",0,SUMIF(GL_Data!$S$8:$S$5007,223011,GL_Data!$P$8:$P$5007))</f>
        <v>0</v>
      </c>
      <c r="Q228" s="87" t="n">
        <f aca="false">IF($A228="",0,SUMIF(GL_Data!$S$8:$S$5007,223012,GL_Data!$P$8:$P$5007))</f>
        <v>0</v>
      </c>
      <c r="R228" s="88" t="n">
        <f aca="false">IF($A228="",0,SUMIF(GL_Data!$S$8:$S$5007,223101,GL_Data!$P$8:$P$5007))</f>
        <v>0</v>
      </c>
      <c r="S228" s="88" t="n">
        <f aca="false">IF($A228="",0,SUMIF(GL_Data!$S$8:$S$5007,223102,GL_Data!$P$8:$P$5007))</f>
        <v>0</v>
      </c>
      <c r="T228" s="88" t="n">
        <f aca="false">IF($A228="",0,SUMIF(GL_Data!$S$8:$S$5007,223103,GL_Data!$P$8:$P$5007))</f>
        <v>0</v>
      </c>
      <c r="U228" s="88" t="n">
        <f aca="false">IF($A228="",0,SUMIF(GL_Data!$S$8:$S$5007,223104,GL_Data!$P$8:$P$5007))</f>
        <v>0</v>
      </c>
      <c r="V228" s="88" t="n">
        <f aca="false">IF($A228="",0,SUMIF(GL_Data!$S$8:$S$5007,223105,GL_Data!$P$8:$P$5007))</f>
        <v>0</v>
      </c>
      <c r="W228" s="88" t="n">
        <f aca="false">IF($A228="",0,SUMIF(GL_Data!$S$8:$S$5007,223106,GL_Data!$P$8:$P$5007))</f>
        <v>0</v>
      </c>
      <c r="X228" s="88" t="n">
        <f aca="false">IF($A228="",0,SUMIF(GL_Data!$S$8:$S$5007,223107,GL_Data!$P$8:$P$5007))</f>
        <v>0</v>
      </c>
      <c r="Y228" s="88" t="n">
        <f aca="false">IF($A228="",0,SUMIF(GL_Data!$S$8:$S$5007,223108,GL_Data!$P$8:$P$5007))</f>
        <v>0</v>
      </c>
      <c r="Z228" s="88" t="n">
        <f aca="false">IF($A228="",0,SUMIF(GL_Data!$S$8:$S$5007,223109,GL_Data!$P$8:$P$5007))</f>
        <v>0</v>
      </c>
      <c r="AA228" s="88" t="n">
        <f aca="false">IF($A228="",0,SUMIF(GL_Data!$S$8:$S$5007,223110,GL_Data!$P$8:$P$5007))</f>
        <v>0</v>
      </c>
      <c r="AB228" s="88" t="n">
        <f aca="false">IF($A228="",0,SUMIF(GL_Data!$S$8:$S$5007,223111,GL_Data!$P$8:$P$5007))</f>
        <v>0</v>
      </c>
      <c r="AC228" s="88" t="n">
        <f aca="false">IF($A228="",0,SUMIF(GL_Data!$S$8:$S$5007,223112,GL_Data!$P$8:$P$5007))</f>
        <v>0</v>
      </c>
      <c r="AD228" s="89" t="n">
        <f aca="false">IF($A228="",0,INDEX($F228:$AC228,12+Setup!$B$8))</f>
        <v>0</v>
      </c>
      <c r="AE228" s="90" t="n">
        <f aca="false">IF($A228="",0,INDEX($F228:$AC228,Setup!$B$8))</f>
        <v>0</v>
      </c>
      <c r="AF228" s="90" t="n">
        <f aca="false">IF($A228="",0,INDEX($F228:$AC228,11+Setup!$B$8))</f>
        <v>0</v>
      </c>
      <c r="AG228" s="90" t="n">
        <f aca="false">IF($A228="",0,AVERAGE(INDEX($F228:$AC228,9+Setup!$B$8):INDEX($F228:$AC228,11+Setup!$B$8)))</f>
        <v>0</v>
      </c>
      <c r="AH228" s="89" t="n">
        <f aca="false">IF($A228="",0,SUMPRODUCT(($R$3:$AC$3&lt;=Setup!$B$8)*$R228:$AC228))</f>
        <v>0</v>
      </c>
      <c r="AI228" s="90" t="n">
        <f aca="false">IF($A228="",0,SUMPRODUCT(($F$3:$Q$3&lt;=Setup!$B$8)*$F228:$Q228))</f>
        <v>0</v>
      </c>
      <c r="AJ228" s="90" t="n">
        <f aca="false">IF($A228="",0,SUM($F228:$Q228))</f>
        <v>0</v>
      </c>
      <c r="AK228" s="90" t="n">
        <f aca="false">IF($A228="",0,SUM($R228:$AC228))</f>
        <v>0</v>
      </c>
      <c r="AL228" s="91" t="n">
        <f aca="false">IF($A228="",0,IF(SUMPRODUCT(ABS($F228:$AC228))&gt;0,1,0))</f>
        <v>0</v>
      </c>
    </row>
    <row r="229" customFormat="false" ht="15" hidden="false" customHeight="false" outlineLevel="0" collapsed="false">
      <c r="A229" s="68" t="str">
        <f aca="false">IF(COA_Mapping!$A230="","",COA_Mapping!$A230)</f>
        <v/>
      </c>
      <c r="B229" s="68" t="str">
        <f aca="false">IF($A229="","",COA_Mapping!$C230)</f>
        <v/>
      </c>
      <c r="C229" s="68" t="str">
        <f aca="false">IF($A229="","",COA_Mapping!$E230)</f>
        <v/>
      </c>
      <c r="D229" s="68" t="str">
        <f aca="false">IF($A229="","",COA_Mapping!$D230)</f>
        <v/>
      </c>
      <c r="E229" s="86" t="n">
        <f aca="false">IF($A229="",1,COA_Mapping!$F230)</f>
        <v>1</v>
      </c>
      <c r="F229" s="87" t="n">
        <f aca="false">IF($A229="",0,SUMIF(GL_Data!$S$8:$S$5007,224001,GL_Data!$P$8:$P$5007))</f>
        <v>0</v>
      </c>
      <c r="G229" s="87" t="n">
        <f aca="false">IF($A229="",0,SUMIF(GL_Data!$S$8:$S$5007,224002,GL_Data!$P$8:$P$5007))</f>
        <v>0</v>
      </c>
      <c r="H229" s="87" t="n">
        <f aca="false">IF($A229="",0,SUMIF(GL_Data!$S$8:$S$5007,224003,GL_Data!$P$8:$P$5007))</f>
        <v>0</v>
      </c>
      <c r="I229" s="87" t="n">
        <f aca="false">IF($A229="",0,SUMIF(GL_Data!$S$8:$S$5007,224004,GL_Data!$P$8:$P$5007))</f>
        <v>0</v>
      </c>
      <c r="J229" s="87" t="n">
        <f aca="false">IF($A229="",0,SUMIF(GL_Data!$S$8:$S$5007,224005,GL_Data!$P$8:$P$5007))</f>
        <v>0</v>
      </c>
      <c r="K229" s="87" t="n">
        <f aca="false">IF($A229="",0,SUMIF(GL_Data!$S$8:$S$5007,224006,GL_Data!$P$8:$P$5007))</f>
        <v>0</v>
      </c>
      <c r="L229" s="87" t="n">
        <f aca="false">IF($A229="",0,SUMIF(GL_Data!$S$8:$S$5007,224007,GL_Data!$P$8:$P$5007))</f>
        <v>0</v>
      </c>
      <c r="M229" s="87" t="n">
        <f aca="false">IF($A229="",0,SUMIF(GL_Data!$S$8:$S$5007,224008,GL_Data!$P$8:$P$5007))</f>
        <v>0</v>
      </c>
      <c r="N229" s="87" t="n">
        <f aca="false">IF($A229="",0,SUMIF(GL_Data!$S$8:$S$5007,224009,GL_Data!$P$8:$P$5007))</f>
        <v>0</v>
      </c>
      <c r="O229" s="87" t="n">
        <f aca="false">IF($A229="",0,SUMIF(GL_Data!$S$8:$S$5007,224010,GL_Data!$P$8:$P$5007))</f>
        <v>0</v>
      </c>
      <c r="P229" s="87" t="n">
        <f aca="false">IF($A229="",0,SUMIF(GL_Data!$S$8:$S$5007,224011,GL_Data!$P$8:$P$5007))</f>
        <v>0</v>
      </c>
      <c r="Q229" s="87" t="n">
        <f aca="false">IF($A229="",0,SUMIF(GL_Data!$S$8:$S$5007,224012,GL_Data!$P$8:$P$5007))</f>
        <v>0</v>
      </c>
      <c r="R229" s="88" t="n">
        <f aca="false">IF($A229="",0,SUMIF(GL_Data!$S$8:$S$5007,224101,GL_Data!$P$8:$P$5007))</f>
        <v>0</v>
      </c>
      <c r="S229" s="88" t="n">
        <f aca="false">IF($A229="",0,SUMIF(GL_Data!$S$8:$S$5007,224102,GL_Data!$P$8:$P$5007))</f>
        <v>0</v>
      </c>
      <c r="T229" s="88" t="n">
        <f aca="false">IF($A229="",0,SUMIF(GL_Data!$S$8:$S$5007,224103,GL_Data!$P$8:$P$5007))</f>
        <v>0</v>
      </c>
      <c r="U229" s="88" t="n">
        <f aca="false">IF($A229="",0,SUMIF(GL_Data!$S$8:$S$5007,224104,GL_Data!$P$8:$P$5007))</f>
        <v>0</v>
      </c>
      <c r="V229" s="88" t="n">
        <f aca="false">IF($A229="",0,SUMIF(GL_Data!$S$8:$S$5007,224105,GL_Data!$P$8:$P$5007))</f>
        <v>0</v>
      </c>
      <c r="W229" s="88" t="n">
        <f aca="false">IF($A229="",0,SUMIF(GL_Data!$S$8:$S$5007,224106,GL_Data!$P$8:$P$5007))</f>
        <v>0</v>
      </c>
      <c r="X229" s="88" t="n">
        <f aca="false">IF($A229="",0,SUMIF(GL_Data!$S$8:$S$5007,224107,GL_Data!$P$8:$P$5007))</f>
        <v>0</v>
      </c>
      <c r="Y229" s="88" t="n">
        <f aca="false">IF($A229="",0,SUMIF(GL_Data!$S$8:$S$5007,224108,GL_Data!$P$8:$P$5007))</f>
        <v>0</v>
      </c>
      <c r="Z229" s="88" t="n">
        <f aca="false">IF($A229="",0,SUMIF(GL_Data!$S$8:$S$5007,224109,GL_Data!$P$8:$P$5007))</f>
        <v>0</v>
      </c>
      <c r="AA229" s="88" t="n">
        <f aca="false">IF($A229="",0,SUMIF(GL_Data!$S$8:$S$5007,224110,GL_Data!$P$8:$P$5007))</f>
        <v>0</v>
      </c>
      <c r="AB229" s="88" t="n">
        <f aca="false">IF($A229="",0,SUMIF(GL_Data!$S$8:$S$5007,224111,GL_Data!$P$8:$P$5007))</f>
        <v>0</v>
      </c>
      <c r="AC229" s="88" t="n">
        <f aca="false">IF($A229="",0,SUMIF(GL_Data!$S$8:$S$5007,224112,GL_Data!$P$8:$P$5007))</f>
        <v>0</v>
      </c>
      <c r="AD229" s="89" t="n">
        <f aca="false">IF($A229="",0,INDEX($F229:$AC229,12+Setup!$B$8))</f>
        <v>0</v>
      </c>
      <c r="AE229" s="90" t="n">
        <f aca="false">IF($A229="",0,INDEX($F229:$AC229,Setup!$B$8))</f>
        <v>0</v>
      </c>
      <c r="AF229" s="90" t="n">
        <f aca="false">IF($A229="",0,INDEX($F229:$AC229,11+Setup!$B$8))</f>
        <v>0</v>
      </c>
      <c r="AG229" s="90" t="n">
        <f aca="false">IF($A229="",0,AVERAGE(INDEX($F229:$AC229,9+Setup!$B$8):INDEX($F229:$AC229,11+Setup!$B$8)))</f>
        <v>0</v>
      </c>
      <c r="AH229" s="89" t="n">
        <f aca="false">IF($A229="",0,SUMPRODUCT(($R$3:$AC$3&lt;=Setup!$B$8)*$R229:$AC229))</f>
        <v>0</v>
      </c>
      <c r="AI229" s="90" t="n">
        <f aca="false">IF($A229="",0,SUMPRODUCT(($F$3:$Q$3&lt;=Setup!$B$8)*$F229:$Q229))</f>
        <v>0</v>
      </c>
      <c r="AJ229" s="90" t="n">
        <f aca="false">IF($A229="",0,SUM($F229:$Q229))</f>
        <v>0</v>
      </c>
      <c r="AK229" s="90" t="n">
        <f aca="false">IF($A229="",0,SUM($R229:$AC229))</f>
        <v>0</v>
      </c>
      <c r="AL229" s="91" t="n">
        <f aca="false">IF($A229="",0,IF(SUMPRODUCT(ABS($F229:$AC229))&gt;0,1,0))</f>
        <v>0</v>
      </c>
    </row>
    <row r="230" customFormat="false" ht="15" hidden="false" customHeight="false" outlineLevel="0" collapsed="false">
      <c r="A230" s="68" t="str">
        <f aca="false">IF(COA_Mapping!$A231="","",COA_Mapping!$A231)</f>
        <v/>
      </c>
      <c r="B230" s="68" t="str">
        <f aca="false">IF($A230="","",COA_Mapping!$C231)</f>
        <v/>
      </c>
      <c r="C230" s="68" t="str">
        <f aca="false">IF($A230="","",COA_Mapping!$E231)</f>
        <v/>
      </c>
      <c r="D230" s="68" t="str">
        <f aca="false">IF($A230="","",COA_Mapping!$D231)</f>
        <v/>
      </c>
      <c r="E230" s="86" t="n">
        <f aca="false">IF($A230="",1,COA_Mapping!$F231)</f>
        <v>1</v>
      </c>
      <c r="F230" s="87" t="n">
        <f aca="false">IF($A230="",0,SUMIF(GL_Data!$S$8:$S$5007,225001,GL_Data!$P$8:$P$5007))</f>
        <v>0</v>
      </c>
      <c r="G230" s="87" t="n">
        <f aca="false">IF($A230="",0,SUMIF(GL_Data!$S$8:$S$5007,225002,GL_Data!$P$8:$P$5007))</f>
        <v>0</v>
      </c>
      <c r="H230" s="87" t="n">
        <f aca="false">IF($A230="",0,SUMIF(GL_Data!$S$8:$S$5007,225003,GL_Data!$P$8:$P$5007))</f>
        <v>0</v>
      </c>
      <c r="I230" s="87" t="n">
        <f aca="false">IF($A230="",0,SUMIF(GL_Data!$S$8:$S$5007,225004,GL_Data!$P$8:$P$5007))</f>
        <v>0</v>
      </c>
      <c r="J230" s="87" t="n">
        <f aca="false">IF($A230="",0,SUMIF(GL_Data!$S$8:$S$5007,225005,GL_Data!$P$8:$P$5007))</f>
        <v>0</v>
      </c>
      <c r="K230" s="87" t="n">
        <f aca="false">IF($A230="",0,SUMIF(GL_Data!$S$8:$S$5007,225006,GL_Data!$P$8:$P$5007))</f>
        <v>0</v>
      </c>
      <c r="L230" s="87" t="n">
        <f aca="false">IF($A230="",0,SUMIF(GL_Data!$S$8:$S$5007,225007,GL_Data!$P$8:$P$5007))</f>
        <v>0</v>
      </c>
      <c r="M230" s="87" t="n">
        <f aca="false">IF($A230="",0,SUMIF(GL_Data!$S$8:$S$5007,225008,GL_Data!$P$8:$P$5007))</f>
        <v>0</v>
      </c>
      <c r="N230" s="87" t="n">
        <f aca="false">IF($A230="",0,SUMIF(GL_Data!$S$8:$S$5007,225009,GL_Data!$P$8:$P$5007))</f>
        <v>0</v>
      </c>
      <c r="O230" s="87" t="n">
        <f aca="false">IF($A230="",0,SUMIF(GL_Data!$S$8:$S$5007,225010,GL_Data!$P$8:$P$5007))</f>
        <v>0</v>
      </c>
      <c r="P230" s="87" t="n">
        <f aca="false">IF($A230="",0,SUMIF(GL_Data!$S$8:$S$5007,225011,GL_Data!$P$8:$P$5007))</f>
        <v>0</v>
      </c>
      <c r="Q230" s="87" t="n">
        <f aca="false">IF($A230="",0,SUMIF(GL_Data!$S$8:$S$5007,225012,GL_Data!$P$8:$P$5007))</f>
        <v>0</v>
      </c>
      <c r="R230" s="88" t="n">
        <f aca="false">IF($A230="",0,SUMIF(GL_Data!$S$8:$S$5007,225101,GL_Data!$P$8:$P$5007))</f>
        <v>0</v>
      </c>
      <c r="S230" s="88" t="n">
        <f aca="false">IF($A230="",0,SUMIF(GL_Data!$S$8:$S$5007,225102,GL_Data!$P$8:$P$5007))</f>
        <v>0</v>
      </c>
      <c r="T230" s="88" t="n">
        <f aca="false">IF($A230="",0,SUMIF(GL_Data!$S$8:$S$5007,225103,GL_Data!$P$8:$P$5007))</f>
        <v>0</v>
      </c>
      <c r="U230" s="88" t="n">
        <f aca="false">IF($A230="",0,SUMIF(GL_Data!$S$8:$S$5007,225104,GL_Data!$P$8:$P$5007))</f>
        <v>0</v>
      </c>
      <c r="V230" s="88" t="n">
        <f aca="false">IF($A230="",0,SUMIF(GL_Data!$S$8:$S$5007,225105,GL_Data!$P$8:$P$5007))</f>
        <v>0</v>
      </c>
      <c r="W230" s="88" t="n">
        <f aca="false">IF($A230="",0,SUMIF(GL_Data!$S$8:$S$5007,225106,GL_Data!$P$8:$P$5007))</f>
        <v>0</v>
      </c>
      <c r="X230" s="88" t="n">
        <f aca="false">IF($A230="",0,SUMIF(GL_Data!$S$8:$S$5007,225107,GL_Data!$P$8:$P$5007))</f>
        <v>0</v>
      </c>
      <c r="Y230" s="88" t="n">
        <f aca="false">IF($A230="",0,SUMIF(GL_Data!$S$8:$S$5007,225108,GL_Data!$P$8:$P$5007))</f>
        <v>0</v>
      </c>
      <c r="Z230" s="88" t="n">
        <f aca="false">IF($A230="",0,SUMIF(GL_Data!$S$8:$S$5007,225109,GL_Data!$P$8:$P$5007))</f>
        <v>0</v>
      </c>
      <c r="AA230" s="88" t="n">
        <f aca="false">IF($A230="",0,SUMIF(GL_Data!$S$8:$S$5007,225110,GL_Data!$P$8:$P$5007))</f>
        <v>0</v>
      </c>
      <c r="AB230" s="88" t="n">
        <f aca="false">IF($A230="",0,SUMIF(GL_Data!$S$8:$S$5007,225111,GL_Data!$P$8:$P$5007))</f>
        <v>0</v>
      </c>
      <c r="AC230" s="88" t="n">
        <f aca="false">IF($A230="",0,SUMIF(GL_Data!$S$8:$S$5007,225112,GL_Data!$P$8:$P$5007))</f>
        <v>0</v>
      </c>
      <c r="AD230" s="89" t="n">
        <f aca="false">IF($A230="",0,INDEX($F230:$AC230,12+Setup!$B$8))</f>
        <v>0</v>
      </c>
      <c r="AE230" s="90" t="n">
        <f aca="false">IF($A230="",0,INDEX($F230:$AC230,Setup!$B$8))</f>
        <v>0</v>
      </c>
      <c r="AF230" s="90" t="n">
        <f aca="false">IF($A230="",0,INDEX($F230:$AC230,11+Setup!$B$8))</f>
        <v>0</v>
      </c>
      <c r="AG230" s="90" t="n">
        <f aca="false">IF($A230="",0,AVERAGE(INDEX($F230:$AC230,9+Setup!$B$8):INDEX($F230:$AC230,11+Setup!$B$8)))</f>
        <v>0</v>
      </c>
      <c r="AH230" s="89" t="n">
        <f aca="false">IF($A230="",0,SUMPRODUCT(($R$3:$AC$3&lt;=Setup!$B$8)*$R230:$AC230))</f>
        <v>0</v>
      </c>
      <c r="AI230" s="90" t="n">
        <f aca="false">IF($A230="",0,SUMPRODUCT(($F$3:$Q$3&lt;=Setup!$B$8)*$F230:$Q230))</f>
        <v>0</v>
      </c>
      <c r="AJ230" s="90" t="n">
        <f aca="false">IF($A230="",0,SUM($F230:$Q230))</f>
        <v>0</v>
      </c>
      <c r="AK230" s="90" t="n">
        <f aca="false">IF($A230="",0,SUM($R230:$AC230))</f>
        <v>0</v>
      </c>
      <c r="AL230" s="91" t="n">
        <f aca="false">IF($A230="",0,IF(SUMPRODUCT(ABS($F230:$AC230))&gt;0,1,0))</f>
        <v>0</v>
      </c>
    </row>
    <row r="231" customFormat="false" ht="15" hidden="false" customHeight="false" outlineLevel="0" collapsed="false">
      <c r="A231" s="68" t="str">
        <f aca="false">IF(COA_Mapping!$A232="","",COA_Mapping!$A232)</f>
        <v/>
      </c>
      <c r="B231" s="68" t="str">
        <f aca="false">IF($A231="","",COA_Mapping!$C232)</f>
        <v/>
      </c>
      <c r="C231" s="68" t="str">
        <f aca="false">IF($A231="","",COA_Mapping!$E232)</f>
        <v/>
      </c>
      <c r="D231" s="68" t="str">
        <f aca="false">IF($A231="","",COA_Mapping!$D232)</f>
        <v/>
      </c>
      <c r="E231" s="86" t="n">
        <f aca="false">IF($A231="",1,COA_Mapping!$F232)</f>
        <v>1</v>
      </c>
      <c r="F231" s="87" t="n">
        <f aca="false">IF($A231="",0,SUMIF(GL_Data!$S$8:$S$5007,226001,GL_Data!$P$8:$P$5007))</f>
        <v>0</v>
      </c>
      <c r="G231" s="87" t="n">
        <f aca="false">IF($A231="",0,SUMIF(GL_Data!$S$8:$S$5007,226002,GL_Data!$P$8:$P$5007))</f>
        <v>0</v>
      </c>
      <c r="H231" s="87" t="n">
        <f aca="false">IF($A231="",0,SUMIF(GL_Data!$S$8:$S$5007,226003,GL_Data!$P$8:$P$5007))</f>
        <v>0</v>
      </c>
      <c r="I231" s="87" t="n">
        <f aca="false">IF($A231="",0,SUMIF(GL_Data!$S$8:$S$5007,226004,GL_Data!$P$8:$P$5007))</f>
        <v>0</v>
      </c>
      <c r="J231" s="87" t="n">
        <f aca="false">IF($A231="",0,SUMIF(GL_Data!$S$8:$S$5007,226005,GL_Data!$P$8:$P$5007))</f>
        <v>0</v>
      </c>
      <c r="K231" s="87" t="n">
        <f aca="false">IF($A231="",0,SUMIF(GL_Data!$S$8:$S$5007,226006,GL_Data!$P$8:$P$5007))</f>
        <v>0</v>
      </c>
      <c r="L231" s="87" t="n">
        <f aca="false">IF($A231="",0,SUMIF(GL_Data!$S$8:$S$5007,226007,GL_Data!$P$8:$P$5007))</f>
        <v>0</v>
      </c>
      <c r="M231" s="87" t="n">
        <f aca="false">IF($A231="",0,SUMIF(GL_Data!$S$8:$S$5007,226008,GL_Data!$P$8:$P$5007))</f>
        <v>0</v>
      </c>
      <c r="N231" s="87" t="n">
        <f aca="false">IF($A231="",0,SUMIF(GL_Data!$S$8:$S$5007,226009,GL_Data!$P$8:$P$5007))</f>
        <v>0</v>
      </c>
      <c r="O231" s="87" t="n">
        <f aca="false">IF($A231="",0,SUMIF(GL_Data!$S$8:$S$5007,226010,GL_Data!$P$8:$P$5007))</f>
        <v>0</v>
      </c>
      <c r="P231" s="87" t="n">
        <f aca="false">IF($A231="",0,SUMIF(GL_Data!$S$8:$S$5007,226011,GL_Data!$P$8:$P$5007))</f>
        <v>0</v>
      </c>
      <c r="Q231" s="87" t="n">
        <f aca="false">IF($A231="",0,SUMIF(GL_Data!$S$8:$S$5007,226012,GL_Data!$P$8:$P$5007))</f>
        <v>0</v>
      </c>
      <c r="R231" s="88" t="n">
        <f aca="false">IF($A231="",0,SUMIF(GL_Data!$S$8:$S$5007,226101,GL_Data!$P$8:$P$5007))</f>
        <v>0</v>
      </c>
      <c r="S231" s="88" t="n">
        <f aca="false">IF($A231="",0,SUMIF(GL_Data!$S$8:$S$5007,226102,GL_Data!$P$8:$P$5007))</f>
        <v>0</v>
      </c>
      <c r="T231" s="88" t="n">
        <f aca="false">IF($A231="",0,SUMIF(GL_Data!$S$8:$S$5007,226103,GL_Data!$P$8:$P$5007))</f>
        <v>0</v>
      </c>
      <c r="U231" s="88" t="n">
        <f aca="false">IF($A231="",0,SUMIF(GL_Data!$S$8:$S$5007,226104,GL_Data!$P$8:$P$5007))</f>
        <v>0</v>
      </c>
      <c r="V231" s="88" t="n">
        <f aca="false">IF($A231="",0,SUMIF(GL_Data!$S$8:$S$5007,226105,GL_Data!$P$8:$P$5007))</f>
        <v>0</v>
      </c>
      <c r="W231" s="88" t="n">
        <f aca="false">IF($A231="",0,SUMIF(GL_Data!$S$8:$S$5007,226106,GL_Data!$P$8:$P$5007))</f>
        <v>0</v>
      </c>
      <c r="X231" s="88" t="n">
        <f aca="false">IF($A231="",0,SUMIF(GL_Data!$S$8:$S$5007,226107,GL_Data!$P$8:$P$5007))</f>
        <v>0</v>
      </c>
      <c r="Y231" s="88" t="n">
        <f aca="false">IF($A231="",0,SUMIF(GL_Data!$S$8:$S$5007,226108,GL_Data!$P$8:$P$5007))</f>
        <v>0</v>
      </c>
      <c r="Z231" s="88" t="n">
        <f aca="false">IF($A231="",0,SUMIF(GL_Data!$S$8:$S$5007,226109,GL_Data!$P$8:$P$5007))</f>
        <v>0</v>
      </c>
      <c r="AA231" s="88" t="n">
        <f aca="false">IF($A231="",0,SUMIF(GL_Data!$S$8:$S$5007,226110,GL_Data!$P$8:$P$5007))</f>
        <v>0</v>
      </c>
      <c r="AB231" s="88" t="n">
        <f aca="false">IF($A231="",0,SUMIF(GL_Data!$S$8:$S$5007,226111,GL_Data!$P$8:$P$5007))</f>
        <v>0</v>
      </c>
      <c r="AC231" s="88" t="n">
        <f aca="false">IF($A231="",0,SUMIF(GL_Data!$S$8:$S$5007,226112,GL_Data!$P$8:$P$5007))</f>
        <v>0</v>
      </c>
      <c r="AD231" s="89" t="n">
        <f aca="false">IF($A231="",0,INDEX($F231:$AC231,12+Setup!$B$8))</f>
        <v>0</v>
      </c>
      <c r="AE231" s="90" t="n">
        <f aca="false">IF($A231="",0,INDEX($F231:$AC231,Setup!$B$8))</f>
        <v>0</v>
      </c>
      <c r="AF231" s="90" t="n">
        <f aca="false">IF($A231="",0,INDEX($F231:$AC231,11+Setup!$B$8))</f>
        <v>0</v>
      </c>
      <c r="AG231" s="90" t="n">
        <f aca="false">IF($A231="",0,AVERAGE(INDEX($F231:$AC231,9+Setup!$B$8):INDEX($F231:$AC231,11+Setup!$B$8)))</f>
        <v>0</v>
      </c>
      <c r="AH231" s="89" t="n">
        <f aca="false">IF($A231="",0,SUMPRODUCT(($R$3:$AC$3&lt;=Setup!$B$8)*$R231:$AC231))</f>
        <v>0</v>
      </c>
      <c r="AI231" s="90" t="n">
        <f aca="false">IF($A231="",0,SUMPRODUCT(($F$3:$Q$3&lt;=Setup!$B$8)*$F231:$Q231))</f>
        <v>0</v>
      </c>
      <c r="AJ231" s="90" t="n">
        <f aca="false">IF($A231="",0,SUM($F231:$Q231))</f>
        <v>0</v>
      </c>
      <c r="AK231" s="90" t="n">
        <f aca="false">IF($A231="",0,SUM($R231:$AC231))</f>
        <v>0</v>
      </c>
      <c r="AL231" s="91" t="n">
        <f aca="false">IF($A231="",0,IF(SUMPRODUCT(ABS($F231:$AC231))&gt;0,1,0))</f>
        <v>0</v>
      </c>
    </row>
    <row r="232" customFormat="false" ht="15" hidden="false" customHeight="false" outlineLevel="0" collapsed="false">
      <c r="A232" s="68" t="str">
        <f aca="false">IF(COA_Mapping!$A233="","",COA_Mapping!$A233)</f>
        <v/>
      </c>
      <c r="B232" s="68" t="str">
        <f aca="false">IF($A232="","",COA_Mapping!$C233)</f>
        <v/>
      </c>
      <c r="C232" s="68" t="str">
        <f aca="false">IF($A232="","",COA_Mapping!$E233)</f>
        <v/>
      </c>
      <c r="D232" s="68" t="str">
        <f aca="false">IF($A232="","",COA_Mapping!$D233)</f>
        <v/>
      </c>
      <c r="E232" s="86" t="n">
        <f aca="false">IF($A232="",1,COA_Mapping!$F233)</f>
        <v>1</v>
      </c>
      <c r="F232" s="87" t="n">
        <f aca="false">IF($A232="",0,SUMIF(GL_Data!$S$8:$S$5007,227001,GL_Data!$P$8:$P$5007))</f>
        <v>0</v>
      </c>
      <c r="G232" s="87" t="n">
        <f aca="false">IF($A232="",0,SUMIF(GL_Data!$S$8:$S$5007,227002,GL_Data!$P$8:$P$5007))</f>
        <v>0</v>
      </c>
      <c r="H232" s="87" t="n">
        <f aca="false">IF($A232="",0,SUMIF(GL_Data!$S$8:$S$5007,227003,GL_Data!$P$8:$P$5007))</f>
        <v>0</v>
      </c>
      <c r="I232" s="87" t="n">
        <f aca="false">IF($A232="",0,SUMIF(GL_Data!$S$8:$S$5007,227004,GL_Data!$P$8:$P$5007))</f>
        <v>0</v>
      </c>
      <c r="J232" s="87" t="n">
        <f aca="false">IF($A232="",0,SUMIF(GL_Data!$S$8:$S$5007,227005,GL_Data!$P$8:$P$5007))</f>
        <v>0</v>
      </c>
      <c r="K232" s="87" t="n">
        <f aca="false">IF($A232="",0,SUMIF(GL_Data!$S$8:$S$5007,227006,GL_Data!$P$8:$P$5007))</f>
        <v>0</v>
      </c>
      <c r="L232" s="87" t="n">
        <f aca="false">IF($A232="",0,SUMIF(GL_Data!$S$8:$S$5007,227007,GL_Data!$P$8:$P$5007))</f>
        <v>0</v>
      </c>
      <c r="M232" s="87" t="n">
        <f aca="false">IF($A232="",0,SUMIF(GL_Data!$S$8:$S$5007,227008,GL_Data!$P$8:$P$5007))</f>
        <v>0</v>
      </c>
      <c r="N232" s="87" t="n">
        <f aca="false">IF($A232="",0,SUMIF(GL_Data!$S$8:$S$5007,227009,GL_Data!$P$8:$P$5007))</f>
        <v>0</v>
      </c>
      <c r="O232" s="87" t="n">
        <f aca="false">IF($A232="",0,SUMIF(GL_Data!$S$8:$S$5007,227010,GL_Data!$P$8:$P$5007))</f>
        <v>0</v>
      </c>
      <c r="P232" s="87" t="n">
        <f aca="false">IF($A232="",0,SUMIF(GL_Data!$S$8:$S$5007,227011,GL_Data!$P$8:$P$5007))</f>
        <v>0</v>
      </c>
      <c r="Q232" s="87" t="n">
        <f aca="false">IF($A232="",0,SUMIF(GL_Data!$S$8:$S$5007,227012,GL_Data!$P$8:$P$5007))</f>
        <v>0</v>
      </c>
      <c r="R232" s="88" t="n">
        <f aca="false">IF($A232="",0,SUMIF(GL_Data!$S$8:$S$5007,227101,GL_Data!$P$8:$P$5007))</f>
        <v>0</v>
      </c>
      <c r="S232" s="88" t="n">
        <f aca="false">IF($A232="",0,SUMIF(GL_Data!$S$8:$S$5007,227102,GL_Data!$P$8:$P$5007))</f>
        <v>0</v>
      </c>
      <c r="T232" s="88" t="n">
        <f aca="false">IF($A232="",0,SUMIF(GL_Data!$S$8:$S$5007,227103,GL_Data!$P$8:$P$5007))</f>
        <v>0</v>
      </c>
      <c r="U232" s="88" t="n">
        <f aca="false">IF($A232="",0,SUMIF(GL_Data!$S$8:$S$5007,227104,GL_Data!$P$8:$P$5007))</f>
        <v>0</v>
      </c>
      <c r="V232" s="88" t="n">
        <f aca="false">IF($A232="",0,SUMIF(GL_Data!$S$8:$S$5007,227105,GL_Data!$P$8:$P$5007))</f>
        <v>0</v>
      </c>
      <c r="W232" s="88" t="n">
        <f aca="false">IF($A232="",0,SUMIF(GL_Data!$S$8:$S$5007,227106,GL_Data!$P$8:$P$5007))</f>
        <v>0</v>
      </c>
      <c r="X232" s="88" t="n">
        <f aca="false">IF($A232="",0,SUMIF(GL_Data!$S$8:$S$5007,227107,GL_Data!$P$8:$P$5007))</f>
        <v>0</v>
      </c>
      <c r="Y232" s="88" t="n">
        <f aca="false">IF($A232="",0,SUMIF(GL_Data!$S$8:$S$5007,227108,GL_Data!$P$8:$P$5007))</f>
        <v>0</v>
      </c>
      <c r="Z232" s="88" t="n">
        <f aca="false">IF($A232="",0,SUMIF(GL_Data!$S$8:$S$5007,227109,GL_Data!$P$8:$P$5007))</f>
        <v>0</v>
      </c>
      <c r="AA232" s="88" t="n">
        <f aca="false">IF($A232="",0,SUMIF(GL_Data!$S$8:$S$5007,227110,GL_Data!$P$8:$P$5007))</f>
        <v>0</v>
      </c>
      <c r="AB232" s="88" t="n">
        <f aca="false">IF($A232="",0,SUMIF(GL_Data!$S$8:$S$5007,227111,GL_Data!$P$8:$P$5007))</f>
        <v>0</v>
      </c>
      <c r="AC232" s="88" t="n">
        <f aca="false">IF($A232="",0,SUMIF(GL_Data!$S$8:$S$5007,227112,GL_Data!$P$8:$P$5007))</f>
        <v>0</v>
      </c>
      <c r="AD232" s="89" t="n">
        <f aca="false">IF($A232="",0,INDEX($F232:$AC232,12+Setup!$B$8))</f>
        <v>0</v>
      </c>
      <c r="AE232" s="90" t="n">
        <f aca="false">IF($A232="",0,INDEX($F232:$AC232,Setup!$B$8))</f>
        <v>0</v>
      </c>
      <c r="AF232" s="90" t="n">
        <f aca="false">IF($A232="",0,INDEX($F232:$AC232,11+Setup!$B$8))</f>
        <v>0</v>
      </c>
      <c r="AG232" s="90" t="n">
        <f aca="false">IF($A232="",0,AVERAGE(INDEX($F232:$AC232,9+Setup!$B$8):INDEX($F232:$AC232,11+Setup!$B$8)))</f>
        <v>0</v>
      </c>
      <c r="AH232" s="89" t="n">
        <f aca="false">IF($A232="",0,SUMPRODUCT(($R$3:$AC$3&lt;=Setup!$B$8)*$R232:$AC232))</f>
        <v>0</v>
      </c>
      <c r="AI232" s="90" t="n">
        <f aca="false">IF($A232="",0,SUMPRODUCT(($F$3:$Q$3&lt;=Setup!$B$8)*$F232:$Q232))</f>
        <v>0</v>
      </c>
      <c r="AJ232" s="90" t="n">
        <f aca="false">IF($A232="",0,SUM($F232:$Q232))</f>
        <v>0</v>
      </c>
      <c r="AK232" s="90" t="n">
        <f aca="false">IF($A232="",0,SUM($R232:$AC232))</f>
        <v>0</v>
      </c>
      <c r="AL232" s="91" t="n">
        <f aca="false">IF($A232="",0,IF(SUMPRODUCT(ABS($F232:$AC232))&gt;0,1,0))</f>
        <v>0</v>
      </c>
    </row>
    <row r="233" customFormat="false" ht="15" hidden="false" customHeight="false" outlineLevel="0" collapsed="false">
      <c r="A233" s="68" t="str">
        <f aca="false">IF(COA_Mapping!$A234="","",COA_Mapping!$A234)</f>
        <v/>
      </c>
      <c r="B233" s="68" t="str">
        <f aca="false">IF($A233="","",COA_Mapping!$C234)</f>
        <v/>
      </c>
      <c r="C233" s="68" t="str">
        <f aca="false">IF($A233="","",COA_Mapping!$E234)</f>
        <v/>
      </c>
      <c r="D233" s="68" t="str">
        <f aca="false">IF($A233="","",COA_Mapping!$D234)</f>
        <v/>
      </c>
      <c r="E233" s="86" t="n">
        <f aca="false">IF($A233="",1,COA_Mapping!$F234)</f>
        <v>1</v>
      </c>
      <c r="F233" s="87" t="n">
        <f aca="false">IF($A233="",0,SUMIF(GL_Data!$S$8:$S$5007,228001,GL_Data!$P$8:$P$5007))</f>
        <v>0</v>
      </c>
      <c r="G233" s="87" t="n">
        <f aca="false">IF($A233="",0,SUMIF(GL_Data!$S$8:$S$5007,228002,GL_Data!$P$8:$P$5007))</f>
        <v>0</v>
      </c>
      <c r="H233" s="87" t="n">
        <f aca="false">IF($A233="",0,SUMIF(GL_Data!$S$8:$S$5007,228003,GL_Data!$P$8:$P$5007))</f>
        <v>0</v>
      </c>
      <c r="I233" s="87" t="n">
        <f aca="false">IF($A233="",0,SUMIF(GL_Data!$S$8:$S$5007,228004,GL_Data!$P$8:$P$5007))</f>
        <v>0</v>
      </c>
      <c r="J233" s="87" t="n">
        <f aca="false">IF($A233="",0,SUMIF(GL_Data!$S$8:$S$5007,228005,GL_Data!$P$8:$P$5007))</f>
        <v>0</v>
      </c>
      <c r="K233" s="87" t="n">
        <f aca="false">IF($A233="",0,SUMIF(GL_Data!$S$8:$S$5007,228006,GL_Data!$P$8:$P$5007))</f>
        <v>0</v>
      </c>
      <c r="L233" s="87" t="n">
        <f aca="false">IF($A233="",0,SUMIF(GL_Data!$S$8:$S$5007,228007,GL_Data!$P$8:$P$5007))</f>
        <v>0</v>
      </c>
      <c r="M233" s="87" t="n">
        <f aca="false">IF($A233="",0,SUMIF(GL_Data!$S$8:$S$5007,228008,GL_Data!$P$8:$P$5007))</f>
        <v>0</v>
      </c>
      <c r="N233" s="87" t="n">
        <f aca="false">IF($A233="",0,SUMIF(GL_Data!$S$8:$S$5007,228009,GL_Data!$P$8:$P$5007))</f>
        <v>0</v>
      </c>
      <c r="O233" s="87" t="n">
        <f aca="false">IF($A233="",0,SUMIF(GL_Data!$S$8:$S$5007,228010,GL_Data!$P$8:$P$5007))</f>
        <v>0</v>
      </c>
      <c r="P233" s="87" t="n">
        <f aca="false">IF($A233="",0,SUMIF(GL_Data!$S$8:$S$5007,228011,GL_Data!$P$8:$P$5007))</f>
        <v>0</v>
      </c>
      <c r="Q233" s="87" t="n">
        <f aca="false">IF($A233="",0,SUMIF(GL_Data!$S$8:$S$5007,228012,GL_Data!$P$8:$P$5007))</f>
        <v>0</v>
      </c>
      <c r="R233" s="88" t="n">
        <f aca="false">IF($A233="",0,SUMIF(GL_Data!$S$8:$S$5007,228101,GL_Data!$P$8:$P$5007))</f>
        <v>0</v>
      </c>
      <c r="S233" s="88" t="n">
        <f aca="false">IF($A233="",0,SUMIF(GL_Data!$S$8:$S$5007,228102,GL_Data!$P$8:$P$5007))</f>
        <v>0</v>
      </c>
      <c r="T233" s="88" t="n">
        <f aca="false">IF($A233="",0,SUMIF(GL_Data!$S$8:$S$5007,228103,GL_Data!$P$8:$P$5007))</f>
        <v>0</v>
      </c>
      <c r="U233" s="88" t="n">
        <f aca="false">IF($A233="",0,SUMIF(GL_Data!$S$8:$S$5007,228104,GL_Data!$P$8:$P$5007))</f>
        <v>0</v>
      </c>
      <c r="V233" s="88" t="n">
        <f aca="false">IF($A233="",0,SUMIF(GL_Data!$S$8:$S$5007,228105,GL_Data!$P$8:$P$5007))</f>
        <v>0</v>
      </c>
      <c r="W233" s="88" t="n">
        <f aca="false">IF($A233="",0,SUMIF(GL_Data!$S$8:$S$5007,228106,GL_Data!$P$8:$P$5007))</f>
        <v>0</v>
      </c>
      <c r="X233" s="88" t="n">
        <f aca="false">IF($A233="",0,SUMIF(GL_Data!$S$8:$S$5007,228107,GL_Data!$P$8:$P$5007))</f>
        <v>0</v>
      </c>
      <c r="Y233" s="88" t="n">
        <f aca="false">IF($A233="",0,SUMIF(GL_Data!$S$8:$S$5007,228108,GL_Data!$P$8:$P$5007))</f>
        <v>0</v>
      </c>
      <c r="Z233" s="88" t="n">
        <f aca="false">IF($A233="",0,SUMIF(GL_Data!$S$8:$S$5007,228109,GL_Data!$P$8:$P$5007))</f>
        <v>0</v>
      </c>
      <c r="AA233" s="88" t="n">
        <f aca="false">IF($A233="",0,SUMIF(GL_Data!$S$8:$S$5007,228110,GL_Data!$P$8:$P$5007))</f>
        <v>0</v>
      </c>
      <c r="AB233" s="88" t="n">
        <f aca="false">IF($A233="",0,SUMIF(GL_Data!$S$8:$S$5007,228111,GL_Data!$P$8:$P$5007))</f>
        <v>0</v>
      </c>
      <c r="AC233" s="88" t="n">
        <f aca="false">IF($A233="",0,SUMIF(GL_Data!$S$8:$S$5007,228112,GL_Data!$P$8:$P$5007))</f>
        <v>0</v>
      </c>
      <c r="AD233" s="89" t="n">
        <f aca="false">IF($A233="",0,INDEX($F233:$AC233,12+Setup!$B$8))</f>
        <v>0</v>
      </c>
      <c r="AE233" s="90" t="n">
        <f aca="false">IF($A233="",0,INDEX($F233:$AC233,Setup!$B$8))</f>
        <v>0</v>
      </c>
      <c r="AF233" s="90" t="n">
        <f aca="false">IF($A233="",0,INDEX($F233:$AC233,11+Setup!$B$8))</f>
        <v>0</v>
      </c>
      <c r="AG233" s="90" t="n">
        <f aca="false">IF($A233="",0,AVERAGE(INDEX($F233:$AC233,9+Setup!$B$8):INDEX($F233:$AC233,11+Setup!$B$8)))</f>
        <v>0</v>
      </c>
      <c r="AH233" s="89" t="n">
        <f aca="false">IF($A233="",0,SUMPRODUCT(($R$3:$AC$3&lt;=Setup!$B$8)*$R233:$AC233))</f>
        <v>0</v>
      </c>
      <c r="AI233" s="90" t="n">
        <f aca="false">IF($A233="",0,SUMPRODUCT(($F$3:$Q$3&lt;=Setup!$B$8)*$F233:$Q233))</f>
        <v>0</v>
      </c>
      <c r="AJ233" s="90" t="n">
        <f aca="false">IF($A233="",0,SUM($F233:$Q233))</f>
        <v>0</v>
      </c>
      <c r="AK233" s="90" t="n">
        <f aca="false">IF($A233="",0,SUM($R233:$AC233))</f>
        <v>0</v>
      </c>
      <c r="AL233" s="91" t="n">
        <f aca="false">IF($A233="",0,IF(SUMPRODUCT(ABS($F233:$AC233))&gt;0,1,0))</f>
        <v>0</v>
      </c>
    </row>
    <row r="234" customFormat="false" ht="15" hidden="false" customHeight="false" outlineLevel="0" collapsed="false">
      <c r="A234" s="68" t="str">
        <f aca="false">IF(COA_Mapping!$A235="","",COA_Mapping!$A235)</f>
        <v/>
      </c>
      <c r="B234" s="68" t="str">
        <f aca="false">IF($A234="","",COA_Mapping!$C235)</f>
        <v/>
      </c>
      <c r="C234" s="68" t="str">
        <f aca="false">IF($A234="","",COA_Mapping!$E235)</f>
        <v/>
      </c>
      <c r="D234" s="68" t="str">
        <f aca="false">IF($A234="","",COA_Mapping!$D235)</f>
        <v/>
      </c>
      <c r="E234" s="86" t="n">
        <f aca="false">IF($A234="",1,COA_Mapping!$F235)</f>
        <v>1</v>
      </c>
      <c r="F234" s="87" t="n">
        <f aca="false">IF($A234="",0,SUMIF(GL_Data!$S$8:$S$5007,229001,GL_Data!$P$8:$P$5007))</f>
        <v>0</v>
      </c>
      <c r="G234" s="87" t="n">
        <f aca="false">IF($A234="",0,SUMIF(GL_Data!$S$8:$S$5007,229002,GL_Data!$P$8:$P$5007))</f>
        <v>0</v>
      </c>
      <c r="H234" s="87" t="n">
        <f aca="false">IF($A234="",0,SUMIF(GL_Data!$S$8:$S$5007,229003,GL_Data!$P$8:$P$5007))</f>
        <v>0</v>
      </c>
      <c r="I234" s="87" t="n">
        <f aca="false">IF($A234="",0,SUMIF(GL_Data!$S$8:$S$5007,229004,GL_Data!$P$8:$P$5007))</f>
        <v>0</v>
      </c>
      <c r="J234" s="87" t="n">
        <f aca="false">IF($A234="",0,SUMIF(GL_Data!$S$8:$S$5007,229005,GL_Data!$P$8:$P$5007))</f>
        <v>0</v>
      </c>
      <c r="K234" s="87" t="n">
        <f aca="false">IF($A234="",0,SUMIF(GL_Data!$S$8:$S$5007,229006,GL_Data!$P$8:$P$5007))</f>
        <v>0</v>
      </c>
      <c r="L234" s="87" t="n">
        <f aca="false">IF($A234="",0,SUMIF(GL_Data!$S$8:$S$5007,229007,GL_Data!$P$8:$P$5007))</f>
        <v>0</v>
      </c>
      <c r="M234" s="87" t="n">
        <f aca="false">IF($A234="",0,SUMIF(GL_Data!$S$8:$S$5007,229008,GL_Data!$P$8:$P$5007))</f>
        <v>0</v>
      </c>
      <c r="N234" s="87" t="n">
        <f aca="false">IF($A234="",0,SUMIF(GL_Data!$S$8:$S$5007,229009,GL_Data!$P$8:$P$5007))</f>
        <v>0</v>
      </c>
      <c r="O234" s="87" t="n">
        <f aca="false">IF($A234="",0,SUMIF(GL_Data!$S$8:$S$5007,229010,GL_Data!$P$8:$P$5007))</f>
        <v>0</v>
      </c>
      <c r="P234" s="87" t="n">
        <f aca="false">IF($A234="",0,SUMIF(GL_Data!$S$8:$S$5007,229011,GL_Data!$P$8:$P$5007))</f>
        <v>0</v>
      </c>
      <c r="Q234" s="87" t="n">
        <f aca="false">IF($A234="",0,SUMIF(GL_Data!$S$8:$S$5007,229012,GL_Data!$P$8:$P$5007))</f>
        <v>0</v>
      </c>
      <c r="R234" s="88" t="n">
        <f aca="false">IF($A234="",0,SUMIF(GL_Data!$S$8:$S$5007,229101,GL_Data!$P$8:$P$5007))</f>
        <v>0</v>
      </c>
      <c r="S234" s="88" t="n">
        <f aca="false">IF($A234="",0,SUMIF(GL_Data!$S$8:$S$5007,229102,GL_Data!$P$8:$P$5007))</f>
        <v>0</v>
      </c>
      <c r="T234" s="88" t="n">
        <f aca="false">IF($A234="",0,SUMIF(GL_Data!$S$8:$S$5007,229103,GL_Data!$P$8:$P$5007))</f>
        <v>0</v>
      </c>
      <c r="U234" s="88" t="n">
        <f aca="false">IF($A234="",0,SUMIF(GL_Data!$S$8:$S$5007,229104,GL_Data!$P$8:$P$5007))</f>
        <v>0</v>
      </c>
      <c r="V234" s="88" t="n">
        <f aca="false">IF($A234="",0,SUMIF(GL_Data!$S$8:$S$5007,229105,GL_Data!$P$8:$P$5007))</f>
        <v>0</v>
      </c>
      <c r="W234" s="88" t="n">
        <f aca="false">IF($A234="",0,SUMIF(GL_Data!$S$8:$S$5007,229106,GL_Data!$P$8:$P$5007))</f>
        <v>0</v>
      </c>
      <c r="X234" s="88" t="n">
        <f aca="false">IF($A234="",0,SUMIF(GL_Data!$S$8:$S$5007,229107,GL_Data!$P$8:$P$5007))</f>
        <v>0</v>
      </c>
      <c r="Y234" s="88" t="n">
        <f aca="false">IF($A234="",0,SUMIF(GL_Data!$S$8:$S$5007,229108,GL_Data!$P$8:$P$5007))</f>
        <v>0</v>
      </c>
      <c r="Z234" s="88" t="n">
        <f aca="false">IF($A234="",0,SUMIF(GL_Data!$S$8:$S$5007,229109,GL_Data!$P$8:$P$5007))</f>
        <v>0</v>
      </c>
      <c r="AA234" s="88" t="n">
        <f aca="false">IF($A234="",0,SUMIF(GL_Data!$S$8:$S$5007,229110,GL_Data!$P$8:$P$5007))</f>
        <v>0</v>
      </c>
      <c r="AB234" s="88" t="n">
        <f aca="false">IF($A234="",0,SUMIF(GL_Data!$S$8:$S$5007,229111,GL_Data!$P$8:$P$5007))</f>
        <v>0</v>
      </c>
      <c r="AC234" s="88" t="n">
        <f aca="false">IF($A234="",0,SUMIF(GL_Data!$S$8:$S$5007,229112,GL_Data!$P$8:$P$5007))</f>
        <v>0</v>
      </c>
      <c r="AD234" s="89" t="n">
        <f aca="false">IF($A234="",0,INDEX($F234:$AC234,12+Setup!$B$8))</f>
        <v>0</v>
      </c>
      <c r="AE234" s="90" t="n">
        <f aca="false">IF($A234="",0,INDEX($F234:$AC234,Setup!$B$8))</f>
        <v>0</v>
      </c>
      <c r="AF234" s="90" t="n">
        <f aca="false">IF($A234="",0,INDEX($F234:$AC234,11+Setup!$B$8))</f>
        <v>0</v>
      </c>
      <c r="AG234" s="90" t="n">
        <f aca="false">IF($A234="",0,AVERAGE(INDEX($F234:$AC234,9+Setup!$B$8):INDEX($F234:$AC234,11+Setup!$B$8)))</f>
        <v>0</v>
      </c>
      <c r="AH234" s="89" t="n">
        <f aca="false">IF($A234="",0,SUMPRODUCT(($R$3:$AC$3&lt;=Setup!$B$8)*$R234:$AC234))</f>
        <v>0</v>
      </c>
      <c r="AI234" s="90" t="n">
        <f aca="false">IF($A234="",0,SUMPRODUCT(($F$3:$Q$3&lt;=Setup!$B$8)*$F234:$Q234))</f>
        <v>0</v>
      </c>
      <c r="AJ234" s="90" t="n">
        <f aca="false">IF($A234="",0,SUM($F234:$Q234))</f>
        <v>0</v>
      </c>
      <c r="AK234" s="90" t="n">
        <f aca="false">IF($A234="",0,SUM($R234:$AC234))</f>
        <v>0</v>
      </c>
      <c r="AL234" s="91" t="n">
        <f aca="false">IF($A234="",0,IF(SUMPRODUCT(ABS($F234:$AC234))&gt;0,1,0))</f>
        <v>0</v>
      </c>
    </row>
    <row r="235" customFormat="false" ht="15" hidden="false" customHeight="false" outlineLevel="0" collapsed="false">
      <c r="A235" s="68" t="str">
        <f aca="false">IF(COA_Mapping!$A236="","",COA_Mapping!$A236)</f>
        <v/>
      </c>
      <c r="B235" s="68" t="str">
        <f aca="false">IF($A235="","",COA_Mapping!$C236)</f>
        <v/>
      </c>
      <c r="C235" s="68" t="str">
        <f aca="false">IF($A235="","",COA_Mapping!$E236)</f>
        <v/>
      </c>
      <c r="D235" s="68" t="str">
        <f aca="false">IF($A235="","",COA_Mapping!$D236)</f>
        <v/>
      </c>
      <c r="E235" s="86" t="n">
        <f aca="false">IF($A235="",1,COA_Mapping!$F236)</f>
        <v>1</v>
      </c>
      <c r="F235" s="87" t="n">
        <f aca="false">IF($A235="",0,SUMIF(GL_Data!$S$8:$S$5007,230001,GL_Data!$P$8:$P$5007))</f>
        <v>0</v>
      </c>
      <c r="G235" s="87" t="n">
        <f aca="false">IF($A235="",0,SUMIF(GL_Data!$S$8:$S$5007,230002,GL_Data!$P$8:$P$5007))</f>
        <v>0</v>
      </c>
      <c r="H235" s="87" t="n">
        <f aca="false">IF($A235="",0,SUMIF(GL_Data!$S$8:$S$5007,230003,GL_Data!$P$8:$P$5007))</f>
        <v>0</v>
      </c>
      <c r="I235" s="87" t="n">
        <f aca="false">IF($A235="",0,SUMIF(GL_Data!$S$8:$S$5007,230004,GL_Data!$P$8:$P$5007))</f>
        <v>0</v>
      </c>
      <c r="J235" s="87" t="n">
        <f aca="false">IF($A235="",0,SUMIF(GL_Data!$S$8:$S$5007,230005,GL_Data!$P$8:$P$5007))</f>
        <v>0</v>
      </c>
      <c r="K235" s="87" t="n">
        <f aca="false">IF($A235="",0,SUMIF(GL_Data!$S$8:$S$5007,230006,GL_Data!$P$8:$P$5007))</f>
        <v>0</v>
      </c>
      <c r="L235" s="87" t="n">
        <f aca="false">IF($A235="",0,SUMIF(GL_Data!$S$8:$S$5007,230007,GL_Data!$P$8:$P$5007))</f>
        <v>0</v>
      </c>
      <c r="M235" s="87" t="n">
        <f aca="false">IF($A235="",0,SUMIF(GL_Data!$S$8:$S$5007,230008,GL_Data!$P$8:$P$5007))</f>
        <v>0</v>
      </c>
      <c r="N235" s="87" t="n">
        <f aca="false">IF($A235="",0,SUMIF(GL_Data!$S$8:$S$5007,230009,GL_Data!$P$8:$P$5007))</f>
        <v>0</v>
      </c>
      <c r="O235" s="87" t="n">
        <f aca="false">IF($A235="",0,SUMIF(GL_Data!$S$8:$S$5007,230010,GL_Data!$P$8:$P$5007))</f>
        <v>0</v>
      </c>
      <c r="P235" s="87" t="n">
        <f aca="false">IF($A235="",0,SUMIF(GL_Data!$S$8:$S$5007,230011,GL_Data!$P$8:$P$5007))</f>
        <v>0</v>
      </c>
      <c r="Q235" s="87" t="n">
        <f aca="false">IF($A235="",0,SUMIF(GL_Data!$S$8:$S$5007,230012,GL_Data!$P$8:$P$5007))</f>
        <v>0</v>
      </c>
      <c r="R235" s="88" t="n">
        <f aca="false">IF($A235="",0,SUMIF(GL_Data!$S$8:$S$5007,230101,GL_Data!$P$8:$P$5007))</f>
        <v>0</v>
      </c>
      <c r="S235" s="88" t="n">
        <f aca="false">IF($A235="",0,SUMIF(GL_Data!$S$8:$S$5007,230102,GL_Data!$P$8:$P$5007))</f>
        <v>0</v>
      </c>
      <c r="T235" s="88" t="n">
        <f aca="false">IF($A235="",0,SUMIF(GL_Data!$S$8:$S$5007,230103,GL_Data!$P$8:$P$5007))</f>
        <v>0</v>
      </c>
      <c r="U235" s="88" t="n">
        <f aca="false">IF($A235="",0,SUMIF(GL_Data!$S$8:$S$5007,230104,GL_Data!$P$8:$P$5007))</f>
        <v>0</v>
      </c>
      <c r="V235" s="88" t="n">
        <f aca="false">IF($A235="",0,SUMIF(GL_Data!$S$8:$S$5007,230105,GL_Data!$P$8:$P$5007))</f>
        <v>0</v>
      </c>
      <c r="W235" s="88" t="n">
        <f aca="false">IF($A235="",0,SUMIF(GL_Data!$S$8:$S$5007,230106,GL_Data!$P$8:$P$5007))</f>
        <v>0</v>
      </c>
      <c r="X235" s="88" t="n">
        <f aca="false">IF($A235="",0,SUMIF(GL_Data!$S$8:$S$5007,230107,GL_Data!$P$8:$P$5007))</f>
        <v>0</v>
      </c>
      <c r="Y235" s="88" t="n">
        <f aca="false">IF($A235="",0,SUMIF(GL_Data!$S$8:$S$5007,230108,GL_Data!$P$8:$P$5007))</f>
        <v>0</v>
      </c>
      <c r="Z235" s="88" t="n">
        <f aca="false">IF($A235="",0,SUMIF(GL_Data!$S$8:$S$5007,230109,GL_Data!$P$8:$P$5007))</f>
        <v>0</v>
      </c>
      <c r="AA235" s="88" t="n">
        <f aca="false">IF($A235="",0,SUMIF(GL_Data!$S$8:$S$5007,230110,GL_Data!$P$8:$P$5007))</f>
        <v>0</v>
      </c>
      <c r="AB235" s="88" t="n">
        <f aca="false">IF($A235="",0,SUMIF(GL_Data!$S$8:$S$5007,230111,GL_Data!$P$8:$P$5007))</f>
        <v>0</v>
      </c>
      <c r="AC235" s="88" t="n">
        <f aca="false">IF($A235="",0,SUMIF(GL_Data!$S$8:$S$5007,230112,GL_Data!$P$8:$P$5007))</f>
        <v>0</v>
      </c>
      <c r="AD235" s="89" t="n">
        <f aca="false">IF($A235="",0,INDEX($F235:$AC235,12+Setup!$B$8))</f>
        <v>0</v>
      </c>
      <c r="AE235" s="90" t="n">
        <f aca="false">IF($A235="",0,INDEX($F235:$AC235,Setup!$B$8))</f>
        <v>0</v>
      </c>
      <c r="AF235" s="90" t="n">
        <f aca="false">IF($A235="",0,INDEX($F235:$AC235,11+Setup!$B$8))</f>
        <v>0</v>
      </c>
      <c r="AG235" s="90" t="n">
        <f aca="false">IF($A235="",0,AVERAGE(INDEX($F235:$AC235,9+Setup!$B$8):INDEX($F235:$AC235,11+Setup!$B$8)))</f>
        <v>0</v>
      </c>
      <c r="AH235" s="89" t="n">
        <f aca="false">IF($A235="",0,SUMPRODUCT(($R$3:$AC$3&lt;=Setup!$B$8)*$R235:$AC235))</f>
        <v>0</v>
      </c>
      <c r="AI235" s="90" t="n">
        <f aca="false">IF($A235="",0,SUMPRODUCT(($F$3:$Q$3&lt;=Setup!$B$8)*$F235:$Q235))</f>
        <v>0</v>
      </c>
      <c r="AJ235" s="90" t="n">
        <f aca="false">IF($A235="",0,SUM($F235:$Q235))</f>
        <v>0</v>
      </c>
      <c r="AK235" s="90" t="n">
        <f aca="false">IF($A235="",0,SUM($R235:$AC235))</f>
        <v>0</v>
      </c>
      <c r="AL235" s="91" t="n">
        <f aca="false">IF($A235="",0,IF(SUMPRODUCT(ABS($F235:$AC235))&gt;0,1,0))</f>
        <v>0</v>
      </c>
    </row>
    <row r="236" customFormat="false" ht="15" hidden="false" customHeight="false" outlineLevel="0" collapsed="false">
      <c r="A236" s="68" t="str">
        <f aca="false">IF(COA_Mapping!$A237="","",COA_Mapping!$A237)</f>
        <v/>
      </c>
      <c r="B236" s="68" t="str">
        <f aca="false">IF($A236="","",COA_Mapping!$C237)</f>
        <v/>
      </c>
      <c r="C236" s="68" t="str">
        <f aca="false">IF($A236="","",COA_Mapping!$E237)</f>
        <v/>
      </c>
      <c r="D236" s="68" t="str">
        <f aca="false">IF($A236="","",COA_Mapping!$D237)</f>
        <v/>
      </c>
      <c r="E236" s="86" t="n">
        <f aca="false">IF($A236="",1,COA_Mapping!$F237)</f>
        <v>1</v>
      </c>
      <c r="F236" s="87" t="n">
        <f aca="false">IF($A236="",0,SUMIF(GL_Data!$S$8:$S$5007,231001,GL_Data!$P$8:$P$5007))</f>
        <v>0</v>
      </c>
      <c r="G236" s="87" t="n">
        <f aca="false">IF($A236="",0,SUMIF(GL_Data!$S$8:$S$5007,231002,GL_Data!$P$8:$P$5007))</f>
        <v>0</v>
      </c>
      <c r="H236" s="87" t="n">
        <f aca="false">IF($A236="",0,SUMIF(GL_Data!$S$8:$S$5007,231003,GL_Data!$P$8:$P$5007))</f>
        <v>0</v>
      </c>
      <c r="I236" s="87" t="n">
        <f aca="false">IF($A236="",0,SUMIF(GL_Data!$S$8:$S$5007,231004,GL_Data!$P$8:$P$5007))</f>
        <v>0</v>
      </c>
      <c r="J236" s="87" t="n">
        <f aca="false">IF($A236="",0,SUMIF(GL_Data!$S$8:$S$5007,231005,GL_Data!$P$8:$P$5007))</f>
        <v>0</v>
      </c>
      <c r="K236" s="87" t="n">
        <f aca="false">IF($A236="",0,SUMIF(GL_Data!$S$8:$S$5007,231006,GL_Data!$P$8:$P$5007))</f>
        <v>0</v>
      </c>
      <c r="L236" s="87" t="n">
        <f aca="false">IF($A236="",0,SUMIF(GL_Data!$S$8:$S$5007,231007,GL_Data!$P$8:$P$5007))</f>
        <v>0</v>
      </c>
      <c r="M236" s="87" t="n">
        <f aca="false">IF($A236="",0,SUMIF(GL_Data!$S$8:$S$5007,231008,GL_Data!$P$8:$P$5007))</f>
        <v>0</v>
      </c>
      <c r="N236" s="87" t="n">
        <f aca="false">IF($A236="",0,SUMIF(GL_Data!$S$8:$S$5007,231009,GL_Data!$P$8:$P$5007))</f>
        <v>0</v>
      </c>
      <c r="O236" s="87" t="n">
        <f aca="false">IF($A236="",0,SUMIF(GL_Data!$S$8:$S$5007,231010,GL_Data!$P$8:$P$5007))</f>
        <v>0</v>
      </c>
      <c r="P236" s="87" t="n">
        <f aca="false">IF($A236="",0,SUMIF(GL_Data!$S$8:$S$5007,231011,GL_Data!$P$8:$P$5007))</f>
        <v>0</v>
      </c>
      <c r="Q236" s="87" t="n">
        <f aca="false">IF($A236="",0,SUMIF(GL_Data!$S$8:$S$5007,231012,GL_Data!$P$8:$P$5007))</f>
        <v>0</v>
      </c>
      <c r="R236" s="88" t="n">
        <f aca="false">IF($A236="",0,SUMIF(GL_Data!$S$8:$S$5007,231101,GL_Data!$P$8:$P$5007))</f>
        <v>0</v>
      </c>
      <c r="S236" s="88" t="n">
        <f aca="false">IF($A236="",0,SUMIF(GL_Data!$S$8:$S$5007,231102,GL_Data!$P$8:$P$5007))</f>
        <v>0</v>
      </c>
      <c r="T236" s="88" t="n">
        <f aca="false">IF($A236="",0,SUMIF(GL_Data!$S$8:$S$5007,231103,GL_Data!$P$8:$P$5007))</f>
        <v>0</v>
      </c>
      <c r="U236" s="88" t="n">
        <f aca="false">IF($A236="",0,SUMIF(GL_Data!$S$8:$S$5007,231104,GL_Data!$P$8:$P$5007))</f>
        <v>0</v>
      </c>
      <c r="V236" s="88" t="n">
        <f aca="false">IF($A236="",0,SUMIF(GL_Data!$S$8:$S$5007,231105,GL_Data!$P$8:$P$5007))</f>
        <v>0</v>
      </c>
      <c r="W236" s="88" t="n">
        <f aca="false">IF($A236="",0,SUMIF(GL_Data!$S$8:$S$5007,231106,GL_Data!$P$8:$P$5007))</f>
        <v>0</v>
      </c>
      <c r="X236" s="88" t="n">
        <f aca="false">IF($A236="",0,SUMIF(GL_Data!$S$8:$S$5007,231107,GL_Data!$P$8:$P$5007))</f>
        <v>0</v>
      </c>
      <c r="Y236" s="88" t="n">
        <f aca="false">IF($A236="",0,SUMIF(GL_Data!$S$8:$S$5007,231108,GL_Data!$P$8:$P$5007))</f>
        <v>0</v>
      </c>
      <c r="Z236" s="88" t="n">
        <f aca="false">IF($A236="",0,SUMIF(GL_Data!$S$8:$S$5007,231109,GL_Data!$P$8:$P$5007))</f>
        <v>0</v>
      </c>
      <c r="AA236" s="88" t="n">
        <f aca="false">IF($A236="",0,SUMIF(GL_Data!$S$8:$S$5007,231110,GL_Data!$P$8:$P$5007))</f>
        <v>0</v>
      </c>
      <c r="AB236" s="88" t="n">
        <f aca="false">IF($A236="",0,SUMIF(GL_Data!$S$8:$S$5007,231111,GL_Data!$P$8:$P$5007))</f>
        <v>0</v>
      </c>
      <c r="AC236" s="88" t="n">
        <f aca="false">IF($A236="",0,SUMIF(GL_Data!$S$8:$S$5007,231112,GL_Data!$P$8:$P$5007))</f>
        <v>0</v>
      </c>
      <c r="AD236" s="89" t="n">
        <f aca="false">IF($A236="",0,INDEX($F236:$AC236,12+Setup!$B$8))</f>
        <v>0</v>
      </c>
      <c r="AE236" s="90" t="n">
        <f aca="false">IF($A236="",0,INDEX($F236:$AC236,Setup!$B$8))</f>
        <v>0</v>
      </c>
      <c r="AF236" s="90" t="n">
        <f aca="false">IF($A236="",0,INDEX($F236:$AC236,11+Setup!$B$8))</f>
        <v>0</v>
      </c>
      <c r="AG236" s="90" t="n">
        <f aca="false">IF($A236="",0,AVERAGE(INDEX($F236:$AC236,9+Setup!$B$8):INDEX($F236:$AC236,11+Setup!$B$8)))</f>
        <v>0</v>
      </c>
      <c r="AH236" s="89" t="n">
        <f aca="false">IF($A236="",0,SUMPRODUCT(($R$3:$AC$3&lt;=Setup!$B$8)*$R236:$AC236))</f>
        <v>0</v>
      </c>
      <c r="AI236" s="90" t="n">
        <f aca="false">IF($A236="",0,SUMPRODUCT(($F$3:$Q$3&lt;=Setup!$B$8)*$F236:$Q236))</f>
        <v>0</v>
      </c>
      <c r="AJ236" s="90" t="n">
        <f aca="false">IF($A236="",0,SUM($F236:$Q236))</f>
        <v>0</v>
      </c>
      <c r="AK236" s="90" t="n">
        <f aca="false">IF($A236="",0,SUM($R236:$AC236))</f>
        <v>0</v>
      </c>
      <c r="AL236" s="91" t="n">
        <f aca="false">IF($A236="",0,IF(SUMPRODUCT(ABS($F236:$AC236))&gt;0,1,0))</f>
        <v>0</v>
      </c>
    </row>
    <row r="237" customFormat="false" ht="15" hidden="false" customHeight="false" outlineLevel="0" collapsed="false">
      <c r="A237" s="68" t="str">
        <f aca="false">IF(COA_Mapping!$A238="","",COA_Mapping!$A238)</f>
        <v/>
      </c>
      <c r="B237" s="68" t="str">
        <f aca="false">IF($A237="","",COA_Mapping!$C238)</f>
        <v/>
      </c>
      <c r="C237" s="68" t="str">
        <f aca="false">IF($A237="","",COA_Mapping!$E238)</f>
        <v/>
      </c>
      <c r="D237" s="68" t="str">
        <f aca="false">IF($A237="","",COA_Mapping!$D238)</f>
        <v/>
      </c>
      <c r="E237" s="86" t="n">
        <f aca="false">IF($A237="",1,COA_Mapping!$F238)</f>
        <v>1</v>
      </c>
      <c r="F237" s="87" t="n">
        <f aca="false">IF($A237="",0,SUMIF(GL_Data!$S$8:$S$5007,232001,GL_Data!$P$8:$P$5007))</f>
        <v>0</v>
      </c>
      <c r="G237" s="87" t="n">
        <f aca="false">IF($A237="",0,SUMIF(GL_Data!$S$8:$S$5007,232002,GL_Data!$P$8:$P$5007))</f>
        <v>0</v>
      </c>
      <c r="H237" s="87" t="n">
        <f aca="false">IF($A237="",0,SUMIF(GL_Data!$S$8:$S$5007,232003,GL_Data!$P$8:$P$5007))</f>
        <v>0</v>
      </c>
      <c r="I237" s="87" t="n">
        <f aca="false">IF($A237="",0,SUMIF(GL_Data!$S$8:$S$5007,232004,GL_Data!$P$8:$P$5007))</f>
        <v>0</v>
      </c>
      <c r="J237" s="87" t="n">
        <f aca="false">IF($A237="",0,SUMIF(GL_Data!$S$8:$S$5007,232005,GL_Data!$P$8:$P$5007))</f>
        <v>0</v>
      </c>
      <c r="K237" s="87" t="n">
        <f aca="false">IF($A237="",0,SUMIF(GL_Data!$S$8:$S$5007,232006,GL_Data!$P$8:$P$5007))</f>
        <v>0</v>
      </c>
      <c r="L237" s="87" t="n">
        <f aca="false">IF($A237="",0,SUMIF(GL_Data!$S$8:$S$5007,232007,GL_Data!$P$8:$P$5007))</f>
        <v>0</v>
      </c>
      <c r="M237" s="87" t="n">
        <f aca="false">IF($A237="",0,SUMIF(GL_Data!$S$8:$S$5007,232008,GL_Data!$P$8:$P$5007))</f>
        <v>0</v>
      </c>
      <c r="N237" s="87" t="n">
        <f aca="false">IF($A237="",0,SUMIF(GL_Data!$S$8:$S$5007,232009,GL_Data!$P$8:$P$5007))</f>
        <v>0</v>
      </c>
      <c r="O237" s="87" t="n">
        <f aca="false">IF($A237="",0,SUMIF(GL_Data!$S$8:$S$5007,232010,GL_Data!$P$8:$P$5007))</f>
        <v>0</v>
      </c>
      <c r="P237" s="87" t="n">
        <f aca="false">IF($A237="",0,SUMIF(GL_Data!$S$8:$S$5007,232011,GL_Data!$P$8:$P$5007))</f>
        <v>0</v>
      </c>
      <c r="Q237" s="87" t="n">
        <f aca="false">IF($A237="",0,SUMIF(GL_Data!$S$8:$S$5007,232012,GL_Data!$P$8:$P$5007))</f>
        <v>0</v>
      </c>
      <c r="R237" s="88" t="n">
        <f aca="false">IF($A237="",0,SUMIF(GL_Data!$S$8:$S$5007,232101,GL_Data!$P$8:$P$5007))</f>
        <v>0</v>
      </c>
      <c r="S237" s="88" t="n">
        <f aca="false">IF($A237="",0,SUMIF(GL_Data!$S$8:$S$5007,232102,GL_Data!$P$8:$P$5007))</f>
        <v>0</v>
      </c>
      <c r="T237" s="88" t="n">
        <f aca="false">IF($A237="",0,SUMIF(GL_Data!$S$8:$S$5007,232103,GL_Data!$P$8:$P$5007))</f>
        <v>0</v>
      </c>
      <c r="U237" s="88" t="n">
        <f aca="false">IF($A237="",0,SUMIF(GL_Data!$S$8:$S$5007,232104,GL_Data!$P$8:$P$5007))</f>
        <v>0</v>
      </c>
      <c r="V237" s="88" t="n">
        <f aca="false">IF($A237="",0,SUMIF(GL_Data!$S$8:$S$5007,232105,GL_Data!$P$8:$P$5007))</f>
        <v>0</v>
      </c>
      <c r="W237" s="88" t="n">
        <f aca="false">IF($A237="",0,SUMIF(GL_Data!$S$8:$S$5007,232106,GL_Data!$P$8:$P$5007))</f>
        <v>0</v>
      </c>
      <c r="X237" s="88" t="n">
        <f aca="false">IF($A237="",0,SUMIF(GL_Data!$S$8:$S$5007,232107,GL_Data!$P$8:$P$5007))</f>
        <v>0</v>
      </c>
      <c r="Y237" s="88" t="n">
        <f aca="false">IF($A237="",0,SUMIF(GL_Data!$S$8:$S$5007,232108,GL_Data!$P$8:$P$5007))</f>
        <v>0</v>
      </c>
      <c r="Z237" s="88" t="n">
        <f aca="false">IF($A237="",0,SUMIF(GL_Data!$S$8:$S$5007,232109,GL_Data!$P$8:$P$5007))</f>
        <v>0</v>
      </c>
      <c r="AA237" s="88" t="n">
        <f aca="false">IF($A237="",0,SUMIF(GL_Data!$S$8:$S$5007,232110,GL_Data!$P$8:$P$5007))</f>
        <v>0</v>
      </c>
      <c r="AB237" s="88" t="n">
        <f aca="false">IF($A237="",0,SUMIF(GL_Data!$S$8:$S$5007,232111,GL_Data!$P$8:$P$5007))</f>
        <v>0</v>
      </c>
      <c r="AC237" s="88" t="n">
        <f aca="false">IF($A237="",0,SUMIF(GL_Data!$S$8:$S$5007,232112,GL_Data!$P$8:$P$5007))</f>
        <v>0</v>
      </c>
      <c r="AD237" s="89" t="n">
        <f aca="false">IF($A237="",0,INDEX($F237:$AC237,12+Setup!$B$8))</f>
        <v>0</v>
      </c>
      <c r="AE237" s="90" t="n">
        <f aca="false">IF($A237="",0,INDEX($F237:$AC237,Setup!$B$8))</f>
        <v>0</v>
      </c>
      <c r="AF237" s="90" t="n">
        <f aca="false">IF($A237="",0,INDEX($F237:$AC237,11+Setup!$B$8))</f>
        <v>0</v>
      </c>
      <c r="AG237" s="90" t="n">
        <f aca="false">IF($A237="",0,AVERAGE(INDEX($F237:$AC237,9+Setup!$B$8):INDEX($F237:$AC237,11+Setup!$B$8)))</f>
        <v>0</v>
      </c>
      <c r="AH237" s="89" t="n">
        <f aca="false">IF($A237="",0,SUMPRODUCT(($R$3:$AC$3&lt;=Setup!$B$8)*$R237:$AC237))</f>
        <v>0</v>
      </c>
      <c r="AI237" s="90" t="n">
        <f aca="false">IF($A237="",0,SUMPRODUCT(($F$3:$Q$3&lt;=Setup!$B$8)*$F237:$Q237))</f>
        <v>0</v>
      </c>
      <c r="AJ237" s="90" t="n">
        <f aca="false">IF($A237="",0,SUM($F237:$Q237))</f>
        <v>0</v>
      </c>
      <c r="AK237" s="90" t="n">
        <f aca="false">IF($A237="",0,SUM($R237:$AC237))</f>
        <v>0</v>
      </c>
      <c r="AL237" s="91" t="n">
        <f aca="false">IF($A237="",0,IF(SUMPRODUCT(ABS($F237:$AC237))&gt;0,1,0))</f>
        <v>0</v>
      </c>
    </row>
    <row r="238" customFormat="false" ht="15" hidden="false" customHeight="false" outlineLevel="0" collapsed="false">
      <c r="A238" s="68" t="str">
        <f aca="false">IF(COA_Mapping!$A239="","",COA_Mapping!$A239)</f>
        <v/>
      </c>
      <c r="B238" s="68" t="str">
        <f aca="false">IF($A238="","",COA_Mapping!$C239)</f>
        <v/>
      </c>
      <c r="C238" s="68" t="str">
        <f aca="false">IF($A238="","",COA_Mapping!$E239)</f>
        <v/>
      </c>
      <c r="D238" s="68" t="str">
        <f aca="false">IF($A238="","",COA_Mapping!$D239)</f>
        <v/>
      </c>
      <c r="E238" s="86" t="n">
        <f aca="false">IF($A238="",1,COA_Mapping!$F239)</f>
        <v>1</v>
      </c>
      <c r="F238" s="87" t="n">
        <f aca="false">IF($A238="",0,SUMIF(GL_Data!$S$8:$S$5007,233001,GL_Data!$P$8:$P$5007))</f>
        <v>0</v>
      </c>
      <c r="G238" s="87" t="n">
        <f aca="false">IF($A238="",0,SUMIF(GL_Data!$S$8:$S$5007,233002,GL_Data!$P$8:$P$5007))</f>
        <v>0</v>
      </c>
      <c r="H238" s="87" t="n">
        <f aca="false">IF($A238="",0,SUMIF(GL_Data!$S$8:$S$5007,233003,GL_Data!$P$8:$P$5007))</f>
        <v>0</v>
      </c>
      <c r="I238" s="87" t="n">
        <f aca="false">IF($A238="",0,SUMIF(GL_Data!$S$8:$S$5007,233004,GL_Data!$P$8:$P$5007))</f>
        <v>0</v>
      </c>
      <c r="J238" s="87" t="n">
        <f aca="false">IF($A238="",0,SUMIF(GL_Data!$S$8:$S$5007,233005,GL_Data!$P$8:$P$5007))</f>
        <v>0</v>
      </c>
      <c r="K238" s="87" t="n">
        <f aca="false">IF($A238="",0,SUMIF(GL_Data!$S$8:$S$5007,233006,GL_Data!$P$8:$P$5007))</f>
        <v>0</v>
      </c>
      <c r="L238" s="87" t="n">
        <f aca="false">IF($A238="",0,SUMIF(GL_Data!$S$8:$S$5007,233007,GL_Data!$P$8:$P$5007))</f>
        <v>0</v>
      </c>
      <c r="M238" s="87" t="n">
        <f aca="false">IF($A238="",0,SUMIF(GL_Data!$S$8:$S$5007,233008,GL_Data!$P$8:$P$5007))</f>
        <v>0</v>
      </c>
      <c r="N238" s="87" t="n">
        <f aca="false">IF($A238="",0,SUMIF(GL_Data!$S$8:$S$5007,233009,GL_Data!$P$8:$P$5007))</f>
        <v>0</v>
      </c>
      <c r="O238" s="87" t="n">
        <f aca="false">IF($A238="",0,SUMIF(GL_Data!$S$8:$S$5007,233010,GL_Data!$P$8:$P$5007))</f>
        <v>0</v>
      </c>
      <c r="P238" s="87" t="n">
        <f aca="false">IF($A238="",0,SUMIF(GL_Data!$S$8:$S$5007,233011,GL_Data!$P$8:$P$5007))</f>
        <v>0</v>
      </c>
      <c r="Q238" s="87" t="n">
        <f aca="false">IF($A238="",0,SUMIF(GL_Data!$S$8:$S$5007,233012,GL_Data!$P$8:$P$5007))</f>
        <v>0</v>
      </c>
      <c r="R238" s="88" t="n">
        <f aca="false">IF($A238="",0,SUMIF(GL_Data!$S$8:$S$5007,233101,GL_Data!$P$8:$P$5007))</f>
        <v>0</v>
      </c>
      <c r="S238" s="88" t="n">
        <f aca="false">IF($A238="",0,SUMIF(GL_Data!$S$8:$S$5007,233102,GL_Data!$P$8:$P$5007))</f>
        <v>0</v>
      </c>
      <c r="T238" s="88" t="n">
        <f aca="false">IF($A238="",0,SUMIF(GL_Data!$S$8:$S$5007,233103,GL_Data!$P$8:$P$5007))</f>
        <v>0</v>
      </c>
      <c r="U238" s="88" t="n">
        <f aca="false">IF($A238="",0,SUMIF(GL_Data!$S$8:$S$5007,233104,GL_Data!$P$8:$P$5007))</f>
        <v>0</v>
      </c>
      <c r="V238" s="88" t="n">
        <f aca="false">IF($A238="",0,SUMIF(GL_Data!$S$8:$S$5007,233105,GL_Data!$P$8:$P$5007))</f>
        <v>0</v>
      </c>
      <c r="W238" s="88" t="n">
        <f aca="false">IF($A238="",0,SUMIF(GL_Data!$S$8:$S$5007,233106,GL_Data!$P$8:$P$5007))</f>
        <v>0</v>
      </c>
      <c r="X238" s="88" t="n">
        <f aca="false">IF($A238="",0,SUMIF(GL_Data!$S$8:$S$5007,233107,GL_Data!$P$8:$P$5007))</f>
        <v>0</v>
      </c>
      <c r="Y238" s="88" t="n">
        <f aca="false">IF($A238="",0,SUMIF(GL_Data!$S$8:$S$5007,233108,GL_Data!$P$8:$P$5007))</f>
        <v>0</v>
      </c>
      <c r="Z238" s="88" t="n">
        <f aca="false">IF($A238="",0,SUMIF(GL_Data!$S$8:$S$5007,233109,GL_Data!$P$8:$P$5007))</f>
        <v>0</v>
      </c>
      <c r="AA238" s="88" t="n">
        <f aca="false">IF($A238="",0,SUMIF(GL_Data!$S$8:$S$5007,233110,GL_Data!$P$8:$P$5007))</f>
        <v>0</v>
      </c>
      <c r="AB238" s="88" t="n">
        <f aca="false">IF($A238="",0,SUMIF(GL_Data!$S$8:$S$5007,233111,GL_Data!$P$8:$P$5007))</f>
        <v>0</v>
      </c>
      <c r="AC238" s="88" t="n">
        <f aca="false">IF($A238="",0,SUMIF(GL_Data!$S$8:$S$5007,233112,GL_Data!$P$8:$P$5007))</f>
        <v>0</v>
      </c>
      <c r="AD238" s="89" t="n">
        <f aca="false">IF($A238="",0,INDEX($F238:$AC238,12+Setup!$B$8))</f>
        <v>0</v>
      </c>
      <c r="AE238" s="90" t="n">
        <f aca="false">IF($A238="",0,INDEX($F238:$AC238,Setup!$B$8))</f>
        <v>0</v>
      </c>
      <c r="AF238" s="90" t="n">
        <f aca="false">IF($A238="",0,INDEX($F238:$AC238,11+Setup!$B$8))</f>
        <v>0</v>
      </c>
      <c r="AG238" s="90" t="n">
        <f aca="false">IF($A238="",0,AVERAGE(INDEX($F238:$AC238,9+Setup!$B$8):INDEX($F238:$AC238,11+Setup!$B$8)))</f>
        <v>0</v>
      </c>
      <c r="AH238" s="89" t="n">
        <f aca="false">IF($A238="",0,SUMPRODUCT(($R$3:$AC$3&lt;=Setup!$B$8)*$R238:$AC238))</f>
        <v>0</v>
      </c>
      <c r="AI238" s="90" t="n">
        <f aca="false">IF($A238="",0,SUMPRODUCT(($F$3:$Q$3&lt;=Setup!$B$8)*$F238:$Q238))</f>
        <v>0</v>
      </c>
      <c r="AJ238" s="90" t="n">
        <f aca="false">IF($A238="",0,SUM($F238:$Q238))</f>
        <v>0</v>
      </c>
      <c r="AK238" s="90" t="n">
        <f aca="false">IF($A238="",0,SUM($R238:$AC238))</f>
        <v>0</v>
      </c>
      <c r="AL238" s="91" t="n">
        <f aca="false">IF($A238="",0,IF(SUMPRODUCT(ABS($F238:$AC238))&gt;0,1,0))</f>
        <v>0</v>
      </c>
    </row>
    <row r="239" customFormat="false" ht="15" hidden="false" customHeight="false" outlineLevel="0" collapsed="false">
      <c r="A239" s="68" t="str">
        <f aca="false">IF(COA_Mapping!$A240="","",COA_Mapping!$A240)</f>
        <v/>
      </c>
      <c r="B239" s="68" t="str">
        <f aca="false">IF($A239="","",COA_Mapping!$C240)</f>
        <v/>
      </c>
      <c r="C239" s="68" t="str">
        <f aca="false">IF($A239="","",COA_Mapping!$E240)</f>
        <v/>
      </c>
      <c r="D239" s="68" t="str">
        <f aca="false">IF($A239="","",COA_Mapping!$D240)</f>
        <v/>
      </c>
      <c r="E239" s="86" t="n">
        <f aca="false">IF($A239="",1,COA_Mapping!$F240)</f>
        <v>1</v>
      </c>
      <c r="F239" s="87" t="n">
        <f aca="false">IF($A239="",0,SUMIF(GL_Data!$S$8:$S$5007,234001,GL_Data!$P$8:$P$5007))</f>
        <v>0</v>
      </c>
      <c r="G239" s="87" t="n">
        <f aca="false">IF($A239="",0,SUMIF(GL_Data!$S$8:$S$5007,234002,GL_Data!$P$8:$P$5007))</f>
        <v>0</v>
      </c>
      <c r="H239" s="87" t="n">
        <f aca="false">IF($A239="",0,SUMIF(GL_Data!$S$8:$S$5007,234003,GL_Data!$P$8:$P$5007))</f>
        <v>0</v>
      </c>
      <c r="I239" s="87" t="n">
        <f aca="false">IF($A239="",0,SUMIF(GL_Data!$S$8:$S$5007,234004,GL_Data!$P$8:$P$5007))</f>
        <v>0</v>
      </c>
      <c r="J239" s="87" t="n">
        <f aca="false">IF($A239="",0,SUMIF(GL_Data!$S$8:$S$5007,234005,GL_Data!$P$8:$P$5007))</f>
        <v>0</v>
      </c>
      <c r="K239" s="87" t="n">
        <f aca="false">IF($A239="",0,SUMIF(GL_Data!$S$8:$S$5007,234006,GL_Data!$P$8:$P$5007))</f>
        <v>0</v>
      </c>
      <c r="L239" s="87" t="n">
        <f aca="false">IF($A239="",0,SUMIF(GL_Data!$S$8:$S$5007,234007,GL_Data!$P$8:$P$5007))</f>
        <v>0</v>
      </c>
      <c r="M239" s="87" t="n">
        <f aca="false">IF($A239="",0,SUMIF(GL_Data!$S$8:$S$5007,234008,GL_Data!$P$8:$P$5007))</f>
        <v>0</v>
      </c>
      <c r="N239" s="87" t="n">
        <f aca="false">IF($A239="",0,SUMIF(GL_Data!$S$8:$S$5007,234009,GL_Data!$P$8:$P$5007))</f>
        <v>0</v>
      </c>
      <c r="O239" s="87" t="n">
        <f aca="false">IF($A239="",0,SUMIF(GL_Data!$S$8:$S$5007,234010,GL_Data!$P$8:$P$5007))</f>
        <v>0</v>
      </c>
      <c r="P239" s="87" t="n">
        <f aca="false">IF($A239="",0,SUMIF(GL_Data!$S$8:$S$5007,234011,GL_Data!$P$8:$P$5007))</f>
        <v>0</v>
      </c>
      <c r="Q239" s="87" t="n">
        <f aca="false">IF($A239="",0,SUMIF(GL_Data!$S$8:$S$5007,234012,GL_Data!$P$8:$P$5007))</f>
        <v>0</v>
      </c>
      <c r="R239" s="88" t="n">
        <f aca="false">IF($A239="",0,SUMIF(GL_Data!$S$8:$S$5007,234101,GL_Data!$P$8:$P$5007))</f>
        <v>0</v>
      </c>
      <c r="S239" s="88" t="n">
        <f aca="false">IF($A239="",0,SUMIF(GL_Data!$S$8:$S$5007,234102,GL_Data!$P$8:$P$5007))</f>
        <v>0</v>
      </c>
      <c r="T239" s="88" t="n">
        <f aca="false">IF($A239="",0,SUMIF(GL_Data!$S$8:$S$5007,234103,GL_Data!$P$8:$P$5007))</f>
        <v>0</v>
      </c>
      <c r="U239" s="88" t="n">
        <f aca="false">IF($A239="",0,SUMIF(GL_Data!$S$8:$S$5007,234104,GL_Data!$P$8:$P$5007))</f>
        <v>0</v>
      </c>
      <c r="V239" s="88" t="n">
        <f aca="false">IF($A239="",0,SUMIF(GL_Data!$S$8:$S$5007,234105,GL_Data!$P$8:$P$5007))</f>
        <v>0</v>
      </c>
      <c r="W239" s="88" t="n">
        <f aca="false">IF($A239="",0,SUMIF(GL_Data!$S$8:$S$5007,234106,GL_Data!$P$8:$P$5007))</f>
        <v>0</v>
      </c>
      <c r="X239" s="88" t="n">
        <f aca="false">IF($A239="",0,SUMIF(GL_Data!$S$8:$S$5007,234107,GL_Data!$P$8:$P$5007))</f>
        <v>0</v>
      </c>
      <c r="Y239" s="88" t="n">
        <f aca="false">IF($A239="",0,SUMIF(GL_Data!$S$8:$S$5007,234108,GL_Data!$P$8:$P$5007))</f>
        <v>0</v>
      </c>
      <c r="Z239" s="88" t="n">
        <f aca="false">IF($A239="",0,SUMIF(GL_Data!$S$8:$S$5007,234109,GL_Data!$P$8:$P$5007))</f>
        <v>0</v>
      </c>
      <c r="AA239" s="88" t="n">
        <f aca="false">IF($A239="",0,SUMIF(GL_Data!$S$8:$S$5007,234110,GL_Data!$P$8:$P$5007))</f>
        <v>0</v>
      </c>
      <c r="AB239" s="88" t="n">
        <f aca="false">IF($A239="",0,SUMIF(GL_Data!$S$8:$S$5007,234111,GL_Data!$P$8:$P$5007))</f>
        <v>0</v>
      </c>
      <c r="AC239" s="88" t="n">
        <f aca="false">IF($A239="",0,SUMIF(GL_Data!$S$8:$S$5007,234112,GL_Data!$P$8:$P$5007))</f>
        <v>0</v>
      </c>
      <c r="AD239" s="89" t="n">
        <f aca="false">IF($A239="",0,INDEX($F239:$AC239,12+Setup!$B$8))</f>
        <v>0</v>
      </c>
      <c r="AE239" s="90" t="n">
        <f aca="false">IF($A239="",0,INDEX($F239:$AC239,Setup!$B$8))</f>
        <v>0</v>
      </c>
      <c r="AF239" s="90" t="n">
        <f aca="false">IF($A239="",0,INDEX($F239:$AC239,11+Setup!$B$8))</f>
        <v>0</v>
      </c>
      <c r="AG239" s="90" t="n">
        <f aca="false">IF($A239="",0,AVERAGE(INDEX($F239:$AC239,9+Setup!$B$8):INDEX($F239:$AC239,11+Setup!$B$8)))</f>
        <v>0</v>
      </c>
      <c r="AH239" s="89" t="n">
        <f aca="false">IF($A239="",0,SUMPRODUCT(($R$3:$AC$3&lt;=Setup!$B$8)*$R239:$AC239))</f>
        <v>0</v>
      </c>
      <c r="AI239" s="90" t="n">
        <f aca="false">IF($A239="",0,SUMPRODUCT(($F$3:$Q$3&lt;=Setup!$B$8)*$F239:$Q239))</f>
        <v>0</v>
      </c>
      <c r="AJ239" s="90" t="n">
        <f aca="false">IF($A239="",0,SUM($F239:$Q239))</f>
        <v>0</v>
      </c>
      <c r="AK239" s="90" t="n">
        <f aca="false">IF($A239="",0,SUM($R239:$AC239))</f>
        <v>0</v>
      </c>
      <c r="AL239" s="91" t="n">
        <f aca="false">IF($A239="",0,IF(SUMPRODUCT(ABS($F239:$AC239))&gt;0,1,0))</f>
        <v>0</v>
      </c>
    </row>
    <row r="240" customFormat="false" ht="15" hidden="false" customHeight="false" outlineLevel="0" collapsed="false">
      <c r="A240" s="68" t="str">
        <f aca="false">IF(COA_Mapping!$A241="","",COA_Mapping!$A241)</f>
        <v/>
      </c>
      <c r="B240" s="68" t="str">
        <f aca="false">IF($A240="","",COA_Mapping!$C241)</f>
        <v/>
      </c>
      <c r="C240" s="68" t="str">
        <f aca="false">IF($A240="","",COA_Mapping!$E241)</f>
        <v/>
      </c>
      <c r="D240" s="68" t="str">
        <f aca="false">IF($A240="","",COA_Mapping!$D241)</f>
        <v/>
      </c>
      <c r="E240" s="86" t="n">
        <f aca="false">IF($A240="",1,COA_Mapping!$F241)</f>
        <v>1</v>
      </c>
      <c r="F240" s="87" t="n">
        <f aca="false">IF($A240="",0,SUMIF(GL_Data!$S$8:$S$5007,235001,GL_Data!$P$8:$P$5007))</f>
        <v>0</v>
      </c>
      <c r="G240" s="87" t="n">
        <f aca="false">IF($A240="",0,SUMIF(GL_Data!$S$8:$S$5007,235002,GL_Data!$P$8:$P$5007))</f>
        <v>0</v>
      </c>
      <c r="H240" s="87" t="n">
        <f aca="false">IF($A240="",0,SUMIF(GL_Data!$S$8:$S$5007,235003,GL_Data!$P$8:$P$5007))</f>
        <v>0</v>
      </c>
      <c r="I240" s="87" t="n">
        <f aca="false">IF($A240="",0,SUMIF(GL_Data!$S$8:$S$5007,235004,GL_Data!$P$8:$P$5007))</f>
        <v>0</v>
      </c>
      <c r="J240" s="87" t="n">
        <f aca="false">IF($A240="",0,SUMIF(GL_Data!$S$8:$S$5007,235005,GL_Data!$P$8:$P$5007))</f>
        <v>0</v>
      </c>
      <c r="K240" s="87" t="n">
        <f aca="false">IF($A240="",0,SUMIF(GL_Data!$S$8:$S$5007,235006,GL_Data!$P$8:$P$5007))</f>
        <v>0</v>
      </c>
      <c r="L240" s="87" t="n">
        <f aca="false">IF($A240="",0,SUMIF(GL_Data!$S$8:$S$5007,235007,GL_Data!$P$8:$P$5007))</f>
        <v>0</v>
      </c>
      <c r="M240" s="87" t="n">
        <f aca="false">IF($A240="",0,SUMIF(GL_Data!$S$8:$S$5007,235008,GL_Data!$P$8:$P$5007))</f>
        <v>0</v>
      </c>
      <c r="N240" s="87" t="n">
        <f aca="false">IF($A240="",0,SUMIF(GL_Data!$S$8:$S$5007,235009,GL_Data!$P$8:$P$5007))</f>
        <v>0</v>
      </c>
      <c r="O240" s="87" t="n">
        <f aca="false">IF($A240="",0,SUMIF(GL_Data!$S$8:$S$5007,235010,GL_Data!$P$8:$P$5007))</f>
        <v>0</v>
      </c>
      <c r="P240" s="87" t="n">
        <f aca="false">IF($A240="",0,SUMIF(GL_Data!$S$8:$S$5007,235011,GL_Data!$P$8:$P$5007))</f>
        <v>0</v>
      </c>
      <c r="Q240" s="87" t="n">
        <f aca="false">IF($A240="",0,SUMIF(GL_Data!$S$8:$S$5007,235012,GL_Data!$P$8:$P$5007))</f>
        <v>0</v>
      </c>
      <c r="R240" s="88" t="n">
        <f aca="false">IF($A240="",0,SUMIF(GL_Data!$S$8:$S$5007,235101,GL_Data!$P$8:$P$5007))</f>
        <v>0</v>
      </c>
      <c r="S240" s="88" t="n">
        <f aca="false">IF($A240="",0,SUMIF(GL_Data!$S$8:$S$5007,235102,GL_Data!$P$8:$P$5007))</f>
        <v>0</v>
      </c>
      <c r="T240" s="88" t="n">
        <f aca="false">IF($A240="",0,SUMIF(GL_Data!$S$8:$S$5007,235103,GL_Data!$P$8:$P$5007))</f>
        <v>0</v>
      </c>
      <c r="U240" s="88" t="n">
        <f aca="false">IF($A240="",0,SUMIF(GL_Data!$S$8:$S$5007,235104,GL_Data!$P$8:$P$5007))</f>
        <v>0</v>
      </c>
      <c r="V240" s="88" t="n">
        <f aca="false">IF($A240="",0,SUMIF(GL_Data!$S$8:$S$5007,235105,GL_Data!$P$8:$P$5007))</f>
        <v>0</v>
      </c>
      <c r="W240" s="88" t="n">
        <f aca="false">IF($A240="",0,SUMIF(GL_Data!$S$8:$S$5007,235106,GL_Data!$P$8:$P$5007))</f>
        <v>0</v>
      </c>
      <c r="X240" s="88" t="n">
        <f aca="false">IF($A240="",0,SUMIF(GL_Data!$S$8:$S$5007,235107,GL_Data!$P$8:$P$5007))</f>
        <v>0</v>
      </c>
      <c r="Y240" s="88" t="n">
        <f aca="false">IF($A240="",0,SUMIF(GL_Data!$S$8:$S$5007,235108,GL_Data!$P$8:$P$5007))</f>
        <v>0</v>
      </c>
      <c r="Z240" s="88" t="n">
        <f aca="false">IF($A240="",0,SUMIF(GL_Data!$S$8:$S$5007,235109,GL_Data!$P$8:$P$5007))</f>
        <v>0</v>
      </c>
      <c r="AA240" s="88" t="n">
        <f aca="false">IF($A240="",0,SUMIF(GL_Data!$S$8:$S$5007,235110,GL_Data!$P$8:$P$5007))</f>
        <v>0</v>
      </c>
      <c r="AB240" s="88" t="n">
        <f aca="false">IF($A240="",0,SUMIF(GL_Data!$S$8:$S$5007,235111,GL_Data!$P$8:$P$5007))</f>
        <v>0</v>
      </c>
      <c r="AC240" s="88" t="n">
        <f aca="false">IF($A240="",0,SUMIF(GL_Data!$S$8:$S$5007,235112,GL_Data!$P$8:$P$5007))</f>
        <v>0</v>
      </c>
      <c r="AD240" s="89" t="n">
        <f aca="false">IF($A240="",0,INDEX($F240:$AC240,12+Setup!$B$8))</f>
        <v>0</v>
      </c>
      <c r="AE240" s="90" t="n">
        <f aca="false">IF($A240="",0,INDEX($F240:$AC240,Setup!$B$8))</f>
        <v>0</v>
      </c>
      <c r="AF240" s="90" t="n">
        <f aca="false">IF($A240="",0,INDEX($F240:$AC240,11+Setup!$B$8))</f>
        <v>0</v>
      </c>
      <c r="AG240" s="90" t="n">
        <f aca="false">IF($A240="",0,AVERAGE(INDEX($F240:$AC240,9+Setup!$B$8):INDEX($F240:$AC240,11+Setup!$B$8)))</f>
        <v>0</v>
      </c>
      <c r="AH240" s="89" t="n">
        <f aca="false">IF($A240="",0,SUMPRODUCT(($R$3:$AC$3&lt;=Setup!$B$8)*$R240:$AC240))</f>
        <v>0</v>
      </c>
      <c r="AI240" s="90" t="n">
        <f aca="false">IF($A240="",0,SUMPRODUCT(($F$3:$Q$3&lt;=Setup!$B$8)*$F240:$Q240))</f>
        <v>0</v>
      </c>
      <c r="AJ240" s="90" t="n">
        <f aca="false">IF($A240="",0,SUM($F240:$Q240))</f>
        <v>0</v>
      </c>
      <c r="AK240" s="90" t="n">
        <f aca="false">IF($A240="",0,SUM($R240:$AC240))</f>
        <v>0</v>
      </c>
      <c r="AL240" s="91" t="n">
        <f aca="false">IF($A240="",0,IF(SUMPRODUCT(ABS($F240:$AC240))&gt;0,1,0))</f>
        <v>0</v>
      </c>
    </row>
    <row r="241" customFormat="false" ht="15" hidden="false" customHeight="false" outlineLevel="0" collapsed="false">
      <c r="A241" s="68" t="str">
        <f aca="false">IF(COA_Mapping!$A242="","",COA_Mapping!$A242)</f>
        <v/>
      </c>
      <c r="B241" s="68" t="str">
        <f aca="false">IF($A241="","",COA_Mapping!$C242)</f>
        <v/>
      </c>
      <c r="C241" s="68" t="str">
        <f aca="false">IF($A241="","",COA_Mapping!$E242)</f>
        <v/>
      </c>
      <c r="D241" s="68" t="str">
        <f aca="false">IF($A241="","",COA_Mapping!$D242)</f>
        <v/>
      </c>
      <c r="E241" s="86" t="n">
        <f aca="false">IF($A241="",1,COA_Mapping!$F242)</f>
        <v>1</v>
      </c>
      <c r="F241" s="87" t="n">
        <f aca="false">IF($A241="",0,SUMIF(GL_Data!$S$8:$S$5007,236001,GL_Data!$P$8:$P$5007))</f>
        <v>0</v>
      </c>
      <c r="G241" s="87" t="n">
        <f aca="false">IF($A241="",0,SUMIF(GL_Data!$S$8:$S$5007,236002,GL_Data!$P$8:$P$5007))</f>
        <v>0</v>
      </c>
      <c r="H241" s="87" t="n">
        <f aca="false">IF($A241="",0,SUMIF(GL_Data!$S$8:$S$5007,236003,GL_Data!$P$8:$P$5007))</f>
        <v>0</v>
      </c>
      <c r="I241" s="87" t="n">
        <f aca="false">IF($A241="",0,SUMIF(GL_Data!$S$8:$S$5007,236004,GL_Data!$P$8:$P$5007))</f>
        <v>0</v>
      </c>
      <c r="J241" s="87" t="n">
        <f aca="false">IF($A241="",0,SUMIF(GL_Data!$S$8:$S$5007,236005,GL_Data!$P$8:$P$5007))</f>
        <v>0</v>
      </c>
      <c r="K241" s="87" t="n">
        <f aca="false">IF($A241="",0,SUMIF(GL_Data!$S$8:$S$5007,236006,GL_Data!$P$8:$P$5007))</f>
        <v>0</v>
      </c>
      <c r="L241" s="87" t="n">
        <f aca="false">IF($A241="",0,SUMIF(GL_Data!$S$8:$S$5007,236007,GL_Data!$P$8:$P$5007))</f>
        <v>0</v>
      </c>
      <c r="M241" s="87" t="n">
        <f aca="false">IF($A241="",0,SUMIF(GL_Data!$S$8:$S$5007,236008,GL_Data!$P$8:$P$5007))</f>
        <v>0</v>
      </c>
      <c r="N241" s="87" t="n">
        <f aca="false">IF($A241="",0,SUMIF(GL_Data!$S$8:$S$5007,236009,GL_Data!$P$8:$P$5007))</f>
        <v>0</v>
      </c>
      <c r="O241" s="87" t="n">
        <f aca="false">IF($A241="",0,SUMIF(GL_Data!$S$8:$S$5007,236010,GL_Data!$P$8:$P$5007))</f>
        <v>0</v>
      </c>
      <c r="P241" s="87" t="n">
        <f aca="false">IF($A241="",0,SUMIF(GL_Data!$S$8:$S$5007,236011,GL_Data!$P$8:$P$5007))</f>
        <v>0</v>
      </c>
      <c r="Q241" s="87" t="n">
        <f aca="false">IF($A241="",0,SUMIF(GL_Data!$S$8:$S$5007,236012,GL_Data!$P$8:$P$5007))</f>
        <v>0</v>
      </c>
      <c r="R241" s="88" t="n">
        <f aca="false">IF($A241="",0,SUMIF(GL_Data!$S$8:$S$5007,236101,GL_Data!$P$8:$P$5007))</f>
        <v>0</v>
      </c>
      <c r="S241" s="88" t="n">
        <f aca="false">IF($A241="",0,SUMIF(GL_Data!$S$8:$S$5007,236102,GL_Data!$P$8:$P$5007))</f>
        <v>0</v>
      </c>
      <c r="T241" s="88" t="n">
        <f aca="false">IF($A241="",0,SUMIF(GL_Data!$S$8:$S$5007,236103,GL_Data!$P$8:$P$5007))</f>
        <v>0</v>
      </c>
      <c r="U241" s="88" t="n">
        <f aca="false">IF($A241="",0,SUMIF(GL_Data!$S$8:$S$5007,236104,GL_Data!$P$8:$P$5007))</f>
        <v>0</v>
      </c>
      <c r="V241" s="88" t="n">
        <f aca="false">IF($A241="",0,SUMIF(GL_Data!$S$8:$S$5007,236105,GL_Data!$P$8:$P$5007))</f>
        <v>0</v>
      </c>
      <c r="W241" s="88" t="n">
        <f aca="false">IF($A241="",0,SUMIF(GL_Data!$S$8:$S$5007,236106,GL_Data!$P$8:$P$5007))</f>
        <v>0</v>
      </c>
      <c r="X241" s="88" t="n">
        <f aca="false">IF($A241="",0,SUMIF(GL_Data!$S$8:$S$5007,236107,GL_Data!$P$8:$P$5007))</f>
        <v>0</v>
      </c>
      <c r="Y241" s="88" t="n">
        <f aca="false">IF($A241="",0,SUMIF(GL_Data!$S$8:$S$5007,236108,GL_Data!$P$8:$P$5007))</f>
        <v>0</v>
      </c>
      <c r="Z241" s="88" t="n">
        <f aca="false">IF($A241="",0,SUMIF(GL_Data!$S$8:$S$5007,236109,GL_Data!$P$8:$P$5007))</f>
        <v>0</v>
      </c>
      <c r="AA241" s="88" t="n">
        <f aca="false">IF($A241="",0,SUMIF(GL_Data!$S$8:$S$5007,236110,GL_Data!$P$8:$P$5007))</f>
        <v>0</v>
      </c>
      <c r="AB241" s="88" t="n">
        <f aca="false">IF($A241="",0,SUMIF(GL_Data!$S$8:$S$5007,236111,GL_Data!$P$8:$P$5007))</f>
        <v>0</v>
      </c>
      <c r="AC241" s="88" t="n">
        <f aca="false">IF($A241="",0,SUMIF(GL_Data!$S$8:$S$5007,236112,GL_Data!$P$8:$P$5007))</f>
        <v>0</v>
      </c>
      <c r="AD241" s="89" t="n">
        <f aca="false">IF($A241="",0,INDEX($F241:$AC241,12+Setup!$B$8))</f>
        <v>0</v>
      </c>
      <c r="AE241" s="90" t="n">
        <f aca="false">IF($A241="",0,INDEX($F241:$AC241,Setup!$B$8))</f>
        <v>0</v>
      </c>
      <c r="AF241" s="90" t="n">
        <f aca="false">IF($A241="",0,INDEX($F241:$AC241,11+Setup!$B$8))</f>
        <v>0</v>
      </c>
      <c r="AG241" s="90" t="n">
        <f aca="false">IF($A241="",0,AVERAGE(INDEX($F241:$AC241,9+Setup!$B$8):INDEX($F241:$AC241,11+Setup!$B$8)))</f>
        <v>0</v>
      </c>
      <c r="AH241" s="89" t="n">
        <f aca="false">IF($A241="",0,SUMPRODUCT(($R$3:$AC$3&lt;=Setup!$B$8)*$R241:$AC241))</f>
        <v>0</v>
      </c>
      <c r="AI241" s="90" t="n">
        <f aca="false">IF($A241="",0,SUMPRODUCT(($F$3:$Q$3&lt;=Setup!$B$8)*$F241:$Q241))</f>
        <v>0</v>
      </c>
      <c r="AJ241" s="90" t="n">
        <f aca="false">IF($A241="",0,SUM($F241:$Q241))</f>
        <v>0</v>
      </c>
      <c r="AK241" s="90" t="n">
        <f aca="false">IF($A241="",0,SUM($R241:$AC241))</f>
        <v>0</v>
      </c>
      <c r="AL241" s="91" t="n">
        <f aca="false">IF($A241="",0,IF(SUMPRODUCT(ABS($F241:$AC241))&gt;0,1,0))</f>
        <v>0</v>
      </c>
    </row>
    <row r="242" customFormat="false" ht="15" hidden="false" customHeight="false" outlineLevel="0" collapsed="false">
      <c r="A242" s="68" t="str">
        <f aca="false">IF(COA_Mapping!$A243="","",COA_Mapping!$A243)</f>
        <v/>
      </c>
      <c r="B242" s="68" t="str">
        <f aca="false">IF($A242="","",COA_Mapping!$C243)</f>
        <v/>
      </c>
      <c r="C242" s="68" t="str">
        <f aca="false">IF($A242="","",COA_Mapping!$E243)</f>
        <v/>
      </c>
      <c r="D242" s="68" t="str">
        <f aca="false">IF($A242="","",COA_Mapping!$D243)</f>
        <v/>
      </c>
      <c r="E242" s="86" t="n">
        <f aca="false">IF($A242="",1,COA_Mapping!$F243)</f>
        <v>1</v>
      </c>
      <c r="F242" s="87" t="n">
        <f aca="false">IF($A242="",0,SUMIF(GL_Data!$S$8:$S$5007,237001,GL_Data!$P$8:$P$5007))</f>
        <v>0</v>
      </c>
      <c r="G242" s="87" t="n">
        <f aca="false">IF($A242="",0,SUMIF(GL_Data!$S$8:$S$5007,237002,GL_Data!$P$8:$P$5007))</f>
        <v>0</v>
      </c>
      <c r="H242" s="87" t="n">
        <f aca="false">IF($A242="",0,SUMIF(GL_Data!$S$8:$S$5007,237003,GL_Data!$P$8:$P$5007))</f>
        <v>0</v>
      </c>
      <c r="I242" s="87" t="n">
        <f aca="false">IF($A242="",0,SUMIF(GL_Data!$S$8:$S$5007,237004,GL_Data!$P$8:$P$5007))</f>
        <v>0</v>
      </c>
      <c r="J242" s="87" t="n">
        <f aca="false">IF($A242="",0,SUMIF(GL_Data!$S$8:$S$5007,237005,GL_Data!$P$8:$P$5007))</f>
        <v>0</v>
      </c>
      <c r="K242" s="87" t="n">
        <f aca="false">IF($A242="",0,SUMIF(GL_Data!$S$8:$S$5007,237006,GL_Data!$P$8:$P$5007))</f>
        <v>0</v>
      </c>
      <c r="L242" s="87" t="n">
        <f aca="false">IF($A242="",0,SUMIF(GL_Data!$S$8:$S$5007,237007,GL_Data!$P$8:$P$5007))</f>
        <v>0</v>
      </c>
      <c r="M242" s="87" t="n">
        <f aca="false">IF($A242="",0,SUMIF(GL_Data!$S$8:$S$5007,237008,GL_Data!$P$8:$P$5007))</f>
        <v>0</v>
      </c>
      <c r="N242" s="87" t="n">
        <f aca="false">IF($A242="",0,SUMIF(GL_Data!$S$8:$S$5007,237009,GL_Data!$P$8:$P$5007))</f>
        <v>0</v>
      </c>
      <c r="O242" s="87" t="n">
        <f aca="false">IF($A242="",0,SUMIF(GL_Data!$S$8:$S$5007,237010,GL_Data!$P$8:$P$5007))</f>
        <v>0</v>
      </c>
      <c r="P242" s="87" t="n">
        <f aca="false">IF($A242="",0,SUMIF(GL_Data!$S$8:$S$5007,237011,GL_Data!$P$8:$P$5007))</f>
        <v>0</v>
      </c>
      <c r="Q242" s="87" t="n">
        <f aca="false">IF($A242="",0,SUMIF(GL_Data!$S$8:$S$5007,237012,GL_Data!$P$8:$P$5007))</f>
        <v>0</v>
      </c>
      <c r="R242" s="88" t="n">
        <f aca="false">IF($A242="",0,SUMIF(GL_Data!$S$8:$S$5007,237101,GL_Data!$P$8:$P$5007))</f>
        <v>0</v>
      </c>
      <c r="S242" s="88" t="n">
        <f aca="false">IF($A242="",0,SUMIF(GL_Data!$S$8:$S$5007,237102,GL_Data!$P$8:$P$5007))</f>
        <v>0</v>
      </c>
      <c r="T242" s="88" t="n">
        <f aca="false">IF($A242="",0,SUMIF(GL_Data!$S$8:$S$5007,237103,GL_Data!$P$8:$P$5007))</f>
        <v>0</v>
      </c>
      <c r="U242" s="88" t="n">
        <f aca="false">IF($A242="",0,SUMIF(GL_Data!$S$8:$S$5007,237104,GL_Data!$P$8:$P$5007))</f>
        <v>0</v>
      </c>
      <c r="V242" s="88" t="n">
        <f aca="false">IF($A242="",0,SUMIF(GL_Data!$S$8:$S$5007,237105,GL_Data!$P$8:$P$5007))</f>
        <v>0</v>
      </c>
      <c r="W242" s="88" t="n">
        <f aca="false">IF($A242="",0,SUMIF(GL_Data!$S$8:$S$5007,237106,GL_Data!$P$8:$P$5007))</f>
        <v>0</v>
      </c>
      <c r="X242" s="88" t="n">
        <f aca="false">IF($A242="",0,SUMIF(GL_Data!$S$8:$S$5007,237107,GL_Data!$P$8:$P$5007))</f>
        <v>0</v>
      </c>
      <c r="Y242" s="88" t="n">
        <f aca="false">IF($A242="",0,SUMIF(GL_Data!$S$8:$S$5007,237108,GL_Data!$P$8:$P$5007))</f>
        <v>0</v>
      </c>
      <c r="Z242" s="88" t="n">
        <f aca="false">IF($A242="",0,SUMIF(GL_Data!$S$8:$S$5007,237109,GL_Data!$P$8:$P$5007))</f>
        <v>0</v>
      </c>
      <c r="AA242" s="88" t="n">
        <f aca="false">IF($A242="",0,SUMIF(GL_Data!$S$8:$S$5007,237110,GL_Data!$P$8:$P$5007))</f>
        <v>0</v>
      </c>
      <c r="AB242" s="88" t="n">
        <f aca="false">IF($A242="",0,SUMIF(GL_Data!$S$8:$S$5007,237111,GL_Data!$P$8:$P$5007))</f>
        <v>0</v>
      </c>
      <c r="AC242" s="88" t="n">
        <f aca="false">IF($A242="",0,SUMIF(GL_Data!$S$8:$S$5007,237112,GL_Data!$P$8:$P$5007))</f>
        <v>0</v>
      </c>
      <c r="AD242" s="89" t="n">
        <f aca="false">IF($A242="",0,INDEX($F242:$AC242,12+Setup!$B$8))</f>
        <v>0</v>
      </c>
      <c r="AE242" s="90" t="n">
        <f aca="false">IF($A242="",0,INDEX($F242:$AC242,Setup!$B$8))</f>
        <v>0</v>
      </c>
      <c r="AF242" s="90" t="n">
        <f aca="false">IF($A242="",0,INDEX($F242:$AC242,11+Setup!$B$8))</f>
        <v>0</v>
      </c>
      <c r="AG242" s="90" t="n">
        <f aca="false">IF($A242="",0,AVERAGE(INDEX($F242:$AC242,9+Setup!$B$8):INDEX($F242:$AC242,11+Setup!$B$8)))</f>
        <v>0</v>
      </c>
      <c r="AH242" s="89" t="n">
        <f aca="false">IF($A242="",0,SUMPRODUCT(($R$3:$AC$3&lt;=Setup!$B$8)*$R242:$AC242))</f>
        <v>0</v>
      </c>
      <c r="AI242" s="90" t="n">
        <f aca="false">IF($A242="",0,SUMPRODUCT(($F$3:$Q$3&lt;=Setup!$B$8)*$F242:$Q242))</f>
        <v>0</v>
      </c>
      <c r="AJ242" s="90" t="n">
        <f aca="false">IF($A242="",0,SUM($F242:$Q242))</f>
        <v>0</v>
      </c>
      <c r="AK242" s="90" t="n">
        <f aca="false">IF($A242="",0,SUM($R242:$AC242))</f>
        <v>0</v>
      </c>
      <c r="AL242" s="91" t="n">
        <f aca="false">IF($A242="",0,IF(SUMPRODUCT(ABS($F242:$AC242))&gt;0,1,0))</f>
        <v>0</v>
      </c>
    </row>
    <row r="243" customFormat="false" ht="15" hidden="false" customHeight="false" outlineLevel="0" collapsed="false">
      <c r="A243" s="68" t="str">
        <f aca="false">IF(COA_Mapping!$A244="","",COA_Mapping!$A244)</f>
        <v/>
      </c>
      <c r="B243" s="68" t="str">
        <f aca="false">IF($A243="","",COA_Mapping!$C244)</f>
        <v/>
      </c>
      <c r="C243" s="68" t="str">
        <f aca="false">IF($A243="","",COA_Mapping!$E244)</f>
        <v/>
      </c>
      <c r="D243" s="68" t="str">
        <f aca="false">IF($A243="","",COA_Mapping!$D244)</f>
        <v/>
      </c>
      <c r="E243" s="86" t="n">
        <f aca="false">IF($A243="",1,COA_Mapping!$F244)</f>
        <v>1</v>
      </c>
      <c r="F243" s="87" t="n">
        <f aca="false">IF($A243="",0,SUMIF(GL_Data!$S$8:$S$5007,238001,GL_Data!$P$8:$P$5007))</f>
        <v>0</v>
      </c>
      <c r="G243" s="87" t="n">
        <f aca="false">IF($A243="",0,SUMIF(GL_Data!$S$8:$S$5007,238002,GL_Data!$P$8:$P$5007))</f>
        <v>0</v>
      </c>
      <c r="H243" s="87" t="n">
        <f aca="false">IF($A243="",0,SUMIF(GL_Data!$S$8:$S$5007,238003,GL_Data!$P$8:$P$5007))</f>
        <v>0</v>
      </c>
      <c r="I243" s="87" t="n">
        <f aca="false">IF($A243="",0,SUMIF(GL_Data!$S$8:$S$5007,238004,GL_Data!$P$8:$P$5007))</f>
        <v>0</v>
      </c>
      <c r="J243" s="87" t="n">
        <f aca="false">IF($A243="",0,SUMIF(GL_Data!$S$8:$S$5007,238005,GL_Data!$P$8:$P$5007))</f>
        <v>0</v>
      </c>
      <c r="K243" s="87" t="n">
        <f aca="false">IF($A243="",0,SUMIF(GL_Data!$S$8:$S$5007,238006,GL_Data!$P$8:$P$5007))</f>
        <v>0</v>
      </c>
      <c r="L243" s="87" t="n">
        <f aca="false">IF($A243="",0,SUMIF(GL_Data!$S$8:$S$5007,238007,GL_Data!$P$8:$P$5007))</f>
        <v>0</v>
      </c>
      <c r="M243" s="87" t="n">
        <f aca="false">IF($A243="",0,SUMIF(GL_Data!$S$8:$S$5007,238008,GL_Data!$P$8:$P$5007))</f>
        <v>0</v>
      </c>
      <c r="N243" s="87" t="n">
        <f aca="false">IF($A243="",0,SUMIF(GL_Data!$S$8:$S$5007,238009,GL_Data!$P$8:$P$5007))</f>
        <v>0</v>
      </c>
      <c r="O243" s="87" t="n">
        <f aca="false">IF($A243="",0,SUMIF(GL_Data!$S$8:$S$5007,238010,GL_Data!$P$8:$P$5007))</f>
        <v>0</v>
      </c>
      <c r="P243" s="87" t="n">
        <f aca="false">IF($A243="",0,SUMIF(GL_Data!$S$8:$S$5007,238011,GL_Data!$P$8:$P$5007))</f>
        <v>0</v>
      </c>
      <c r="Q243" s="87" t="n">
        <f aca="false">IF($A243="",0,SUMIF(GL_Data!$S$8:$S$5007,238012,GL_Data!$P$8:$P$5007))</f>
        <v>0</v>
      </c>
      <c r="R243" s="88" t="n">
        <f aca="false">IF($A243="",0,SUMIF(GL_Data!$S$8:$S$5007,238101,GL_Data!$P$8:$P$5007))</f>
        <v>0</v>
      </c>
      <c r="S243" s="88" t="n">
        <f aca="false">IF($A243="",0,SUMIF(GL_Data!$S$8:$S$5007,238102,GL_Data!$P$8:$P$5007))</f>
        <v>0</v>
      </c>
      <c r="T243" s="88" t="n">
        <f aca="false">IF($A243="",0,SUMIF(GL_Data!$S$8:$S$5007,238103,GL_Data!$P$8:$P$5007))</f>
        <v>0</v>
      </c>
      <c r="U243" s="88" t="n">
        <f aca="false">IF($A243="",0,SUMIF(GL_Data!$S$8:$S$5007,238104,GL_Data!$P$8:$P$5007))</f>
        <v>0</v>
      </c>
      <c r="V243" s="88" t="n">
        <f aca="false">IF($A243="",0,SUMIF(GL_Data!$S$8:$S$5007,238105,GL_Data!$P$8:$P$5007))</f>
        <v>0</v>
      </c>
      <c r="W243" s="88" t="n">
        <f aca="false">IF($A243="",0,SUMIF(GL_Data!$S$8:$S$5007,238106,GL_Data!$P$8:$P$5007))</f>
        <v>0</v>
      </c>
      <c r="X243" s="88" t="n">
        <f aca="false">IF($A243="",0,SUMIF(GL_Data!$S$8:$S$5007,238107,GL_Data!$P$8:$P$5007))</f>
        <v>0</v>
      </c>
      <c r="Y243" s="88" t="n">
        <f aca="false">IF($A243="",0,SUMIF(GL_Data!$S$8:$S$5007,238108,GL_Data!$P$8:$P$5007))</f>
        <v>0</v>
      </c>
      <c r="Z243" s="88" t="n">
        <f aca="false">IF($A243="",0,SUMIF(GL_Data!$S$8:$S$5007,238109,GL_Data!$P$8:$P$5007))</f>
        <v>0</v>
      </c>
      <c r="AA243" s="88" t="n">
        <f aca="false">IF($A243="",0,SUMIF(GL_Data!$S$8:$S$5007,238110,GL_Data!$P$8:$P$5007))</f>
        <v>0</v>
      </c>
      <c r="AB243" s="88" t="n">
        <f aca="false">IF($A243="",0,SUMIF(GL_Data!$S$8:$S$5007,238111,GL_Data!$P$8:$P$5007))</f>
        <v>0</v>
      </c>
      <c r="AC243" s="88" t="n">
        <f aca="false">IF($A243="",0,SUMIF(GL_Data!$S$8:$S$5007,238112,GL_Data!$P$8:$P$5007))</f>
        <v>0</v>
      </c>
      <c r="AD243" s="89" t="n">
        <f aca="false">IF($A243="",0,INDEX($F243:$AC243,12+Setup!$B$8))</f>
        <v>0</v>
      </c>
      <c r="AE243" s="90" t="n">
        <f aca="false">IF($A243="",0,INDEX($F243:$AC243,Setup!$B$8))</f>
        <v>0</v>
      </c>
      <c r="AF243" s="90" t="n">
        <f aca="false">IF($A243="",0,INDEX($F243:$AC243,11+Setup!$B$8))</f>
        <v>0</v>
      </c>
      <c r="AG243" s="90" t="n">
        <f aca="false">IF($A243="",0,AVERAGE(INDEX($F243:$AC243,9+Setup!$B$8):INDEX($F243:$AC243,11+Setup!$B$8)))</f>
        <v>0</v>
      </c>
      <c r="AH243" s="89" t="n">
        <f aca="false">IF($A243="",0,SUMPRODUCT(($R$3:$AC$3&lt;=Setup!$B$8)*$R243:$AC243))</f>
        <v>0</v>
      </c>
      <c r="AI243" s="90" t="n">
        <f aca="false">IF($A243="",0,SUMPRODUCT(($F$3:$Q$3&lt;=Setup!$B$8)*$F243:$Q243))</f>
        <v>0</v>
      </c>
      <c r="AJ243" s="90" t="n">
        <f aca="false">IF($A243="",0,SUM($F243:$Q243))</f>
        <v>0</v>
      </c>
      <c r="AK243" s="90" t="n">
        <f aca="false">IF($A243="",0,SUM($R243:$AC243))</f>
        <v>0</v>
      </c>
      <c r="AL243" s="91" t="n">
        <f aca="false">IF($A243="",0,IF(SUMPRODUCT(ABS($F243:$AC243))&gt;0,1,0))</f>
        <v>0</v>
      </c>
    </row>
    <row r="244" customFormat="false" ht="15" hidden="false" customHeight="false" outlineLevel="0" collapsed="false">
      <c r="A244" s="68" t="str">
        <f aca="false">IF(COA_Mapping!$A245="","",COA_Mapping!$A245)</f>
        <v/>
      </c>
      <c r="B244" s="68" t="str">
        <f aca="false">IF($A244="","",COA_Mapping!$C245)</f>
        <v/>
      </c>
      <c r="C244" s="68" t="str">
        <f aca="false">IF($A244="","",COA_Mapping!$E245)</f>
        <v/>
      </c>
      <c r="D244" s="68" t="str">
        <f aca="false">IF($A244="","",COA_Mapping!$D245)</f>
        <v/>
      </c>
      <c r="E244" s="86" t="n">
        <f aca="false">IF($A244="",1,COA_Mapping!$F245)</f>
        <v>1</v>
      </c>
      <c r="F244" s="87" t="n">
        <f aca="false">IF($A244="",0,SUMIF(GL_Data!$S$8:$S$5007,239001,GL_Data!$P$8:$P$5007))</f>
        <v>0</v>
      </c>
      <c r="G244" s="87" t="n">
        <f aca="false">IF($A244="",0,SUMIF(GL_Data!$S$8:$S$5007,239002,GL_Data!$P$8:$P$5007))</f>
        <v>0</v>
      </c>
      <c r="H244" s="87" t="n">
        <f aca="false">IF($A244="",0,SUMIF(GL_Data!$S$8:$S$5007,239003,GL_Data!$P$8:$P$5007))</f>
        <v>0</v>
      </c>
      <c r="I244" s="87" t="n">
        <f aca="false">IF($A244="",0,SUMIF(GL_Data!$S$8:$S$5007,239004,GL_Data!$P$8:$P$5007))</f>
        <v>0</v>
      </c>
      <c r="J244" s="87" t="n">
        <f aca="false">IF($A244="",0,SUMIF(GL_Data!$S$8:$S$5007,239005,GL_Data!$P$8:$P$5007))</f>
        <v>0</v>
      </c>
      <c r="K244" s="87" t="n">
        <f aca="false">IF($A244="",0,SUMIF(GL_Data!$S$8:$S$5007,239006,GL_Data!$P$8:$P$5007))</f>
        <v>0</v>
      </c>
      <c r="L244" s="87" t="n">
        <f aca="false">IF($A244="",0,SUMIF(GL_Data!$S$8:$S$5007,239007,GL_Data!$P$8:$P$5007))</f>
        <v>0</v>
      </c>
      <c r="M244" s="87" t="n">
        <f aca="false">IF($A244="",0,SUMIF(GL_Data!$S$8:$S$5007,239008,GL_Data!$P$8:$P$5007))</f>
        <v>0</v>
      </c>
      <c r="N244" s="87" t="n">
        <f aca="false">IF($A244="",0,SUMIF(GL_Data!$S$8:$S$5007,239009,GL_Data!$P$8:$P$5007))</f>
        <v>0</v>
      </c>
      <c r="O244" s="87" t="n">
        <f aca="false">IF($A244="",0,SUMIF(GL_Data!$S$8:$S$5007,239010,GL_Data!$P$8:$P$5007))</f>
        <v>0</v>
      </c>
      <c r="P244" s="87" t="n">
        <f aca="false">IF($A244="",0,SUMIF(GL_Data!$S$8:$S$5007,239011,GL_Data!$P$8:$P$5007))</f>
        <v>0</v>
      </c>
      <c r="Q244" s="87" t="n">
        <f aca="false">IF($A244="",0,SUMIF(GL_Data!$S$8:$S$5007,239012,GL_Data!$P$8:$P$5007))</f>
        <v>0</v>
      </c>
      <c r="R244" s="88" t="n">
        <f aca="false">IF($A244="",0,SUMIF(GL_Data!$S$8:$S$5007,239101,GL_Data!$P$8:$P$5007))</f>
        <v>0</v>
      </c>
      <c r="S244" s="88" t="n">
        <f aca="false">IF($A244="",0,SUMIF(GL_Data!$S$8:$S$5007,239102,GL_Data!$P$8:$P$5007))</f>
        <v>0</v>
      </c>
      <c r="T244" s="88" t="n">
        <f aca="false">IF($A244="",0,SUMIF(GL_Data!$S$8:$S$5007,239103,GL_Data!$P$8:$P$5007))</f>
        <v>0</v>
      </c>
      <c r="U244" s="88" t="n">
        <f aca="false">IF($A244="",0,SUMIF(GL_Data!$S$8:$S$5007,239104,GL_Data!$P$8:$P$5007))</f>
        <v>0</v>
      </c>
      <c r="V244" s="88" t="n">
        <f aca="false">IF($A244="",0,SUMIF(GL_Data!$S$8:$S$5007,239105,GL_Data!$P$8:$P$5007))</f>
        <v>0</v>
      </c>
      <c r="W244" s="88" t="n">
        <f aca="false">IF($A244="",0,SUMIF(GL_Data!$S$8:$S$5007,239106,GL_Data!$P$8:$P$5007))</f>
        <v>0</v>
      </c>
      <c r="X244" s="88" t="n">
        <f aca="false">IF($A244="",0,SUMIF(GL_Data!$S$8:$S$5007,239107,GL_Data!$P$8:$P$5007))</f>
        <v>0</v>
      </c>
      <c r="Y244" s="88" t="n">
        <f aca="false">IF($A244="",0,SUMIF(GL_Data!$S$8:$S$5007,239108,GL_Data!$P$8:$P$5007))</f>
        <v>0</v>
      </c>
      <c r="Z244" s="88" t="n">
        <f aca="false">IF($A244="",0,SUMIF(GL_Data!$S$8:$S$5007,239109,GL_Data!$P$8:$P$5007))</f>
        <v>0</v>
      </c>
      <c r="AA244" s="88" t="n">
        <f aca="false">IF($A244="",0,SUMIF(GL_Data!$S$8:$S$5007,239110,GL_Data!$P$8:$P$5007))</f>
        <v>0</v>
      </c>
      <c r="AB244" s="88" t="n">
        <f aca="false">IF($A244="",0,SUMIF(GL_Data!$S$8:$S$5007,239111,GL_Data!$P$8:$P$5007))</f>
        <v>0</v>
      </c>
      <c r="AC244" s="88" t="n">
        <f aca="false">IF($A244="",0,SUMIF(GL_Data!$S$8:$S$5007,239112,GL_Data!$P$8:$P$5007))</f>
        <v>0</v>
      </c>
      <c r="AD244" s="89" t="n">
        <f aca="false">IF($A244="",0,INDEX($F244:$AC244,12+Setup!$B$8))</f>
        <v>0</v>
      </c>
      <c r="AE244" s="90" t="n">
        <f aca="false">IF($A244="",0,INDEX($F244:$AC244,Setup!$B$8))</f>
        <v>0</v>
      </c>
      <c r="AF244" s="90" t="n">
        <f aca="false">IF($A244="",0,INDEX($F244:$AC244,11+Setup!$B$8))</f>
        <v>0</v>
      </c>
      <c r="AG244" s="90" t="n">
        <f aca="false">IF($A244="",0,AVERAGE(INDEX($F244:$AC244,9+Setup!$B$8):INDEX($F244:$AC244,11+Setup!$B$8)))</f>
        <v>0</v>
      </c>
      <c r="AH244" s="89" t="n">
        <f aca="false">IF($A244="",0,SUMPRODUCT(($R$3:$AC$3&lt;=Setup!$B$8)*$R244:$AC244))</f>
        <v>0</v>
      </c>
      <c r="AI244" s="90" t="n">
        <f aca="false">IF($A244="",0,SUMPRODUCT(($F$3:$Q$3&lt;=Setup!$B$8)*$F244:$Q244))</f>
        <v>0</v>
      </c>
      <c r="AJ244" s="90" t="n">
        <f aca="false">IF($A244="",0,SUM($F244:$Q244))</f>
        <v>0</v>
      </c>
      <c r="AK244" s="90" t="n">
        <f aca="false">IF($A244="",0,SUM($R244:$AC244))</f>
        <v>0</v>
      </c>
      <c r="AL244" s="91" t="n">
        <f aca="false">IF($A244="",0,IF(SUMPRODUCT(ABS($F244:$AC244))&gt;0,1,0))</f>
        <v>0</v>
      </c>
    </row>
    <row r="245" customFormat="false" ht="15" hidden="false" customHeight="false" outlineLevel="0" collapsed="false">
      <c r="A245" s="68" t="str">
        <f aca="false">IF(COA_Mapping!$A246="","",COA_Mapping!$A246)</f>
        <v/>
      </c>
      <c r="B245" s="68" t="str">
        <f aca="false">IF($A245="","",COA_Mapping!$C246)</f>
        <v/>
      </c>
      <c r="C245" s="68" t="str">
        <f aca="false">IF($A245="","",COA_Mapping!$E246)</f>
        <v/>
      </c>
      <c r="D245" s="68" t="str">
        <f aca="false">IF($A245="","",COA_Mapping!$D246)</f>
        <v/>
      </c>
      <c r="E245" s="86" t="n">
        <f aca="false">IF($A245="",1,COA_Mapping!$F246)</f>
        <v>1</v>
      </c>
      <c r="F245" s="87" t="n">
        <f aca="false">IF($A245="",0,SUMIF(GL_Data!$S$8:$S$5007,240001,GL_Data!$P$8:$P$5007))</f>
        <v>0</v>
      </c>
      <c r="G245" s="87" t="n">
        <f aca="false">IF($A245="",0,SUMIF(GL_Data!$S$8:$S$5007,240002,GL_Data!$P$8:$P$5007))</f>
        <v>0</v>
      </c>
      <c r="H245" s="87" t="n">
        <f aca="false">IF($A245="",0,SUMIF(GL_Data!$S$8:$S$5007,240003,GL_Data!$P$8:$P$5007))</f>
        <v>0</v>
      </c>
      <c r="I245" s="87" t="n">
        <f aca="false">IF($A245="",0,SUMIF(GL_Data!$S$8:$S$5007,240004,GL_Data!$P$8:$P$5007))</f>
        <v>0</v>
      </c>
      <c r="J245" s="87" t="n">
        <f aca="false">IF($A245="",0,SUMIF(GL_Data!$S$8:$S$5007,240005,GL_Data!$P$8:$P$5007))</f>
        <v>0</v>
      </c>
      <c r="K245" s="87" t="n">
        <f aca="false">IF($A245="",0,SUMIF(GL_Data!$S$8:$S$5007,240006,GL_Data!$P$8:$P$5007))</f>
        <v>0</v>
      </c>
      <c r="L245" s="87" t="n">
        <f aca="false">IF($A245="",0,SUMIF(GL_Data!$S$8:$S$5007,240007,GL_Data!$P$8:$P$5007))</f>
        <v>0</v>
      </c>
      <c r="M245" s="87" t="n">
        <f aca="false">IF($A245="",0,SUMIF(GL_Data!$S$8:$S$5007,240008,GL_Data!$P$8:$P$5007))</f>
        <v>0</v>
      </c>
      <c r="N245" s="87" t="n">
        <f aca="false">IF($A245="",0,SUMIF(GL_Data!$S$8:$S$5007,240009,GL_Data!$P$8:$P$5007))</f>
        <v>0</v>
      </c>
      <c r="O245" s="87" t="n">
        <f aca="false">IF($A245="",0,SUMIF(GL_Data!$S$8:$S$5007,240010,GL_Data!$P$8:$P$5007))</f>
        <v>0</v>
      </c>
      <c r="P245" s="87" t="n">
        <f aca="false">IF($A245="",0,SUMIF(GL_Data!$S$8:$S$5007,240011,GL_Data!$P$8:$P$5007))</f>
        <v>0</v>
      </c>
      <c r="Q245" s="87" t="n">
        <f aca="false">IF($A245="",0,SUMIF(GL_Data!$S$8:$S$5007,240012,GL_Data!$P$8:$P$5007))</f>
        <v>0</v>
      </c>
      <c r="R245" s="88" t="n">
        <f aca="false">IF($A245="",0,SUMIF(GL_Data!$S$8:$S$5007,240101,GL_Data!$P$8:$P$5007))</f>
        <v>0</v>
      </c>
      <c r="S245" s="88" t="n">
        <f aca="false">IF($A245="",0,SUMIF(GL_Data!$S$8:$S$5007,240102,GL_Data!$P$8:$P$5007))</f>
        <v>0</v>
      </c>
      <c r="T245" s="88" t="n">
        <f aca="false">IF($A245="",0,SUMIF(GL_Data!$S$8:$S$5007,240103,GL_Data!$P$8:$P$5007))</f>
        <v>0</v>
      </c>
      <c r="U245" s="88" t="n">
        <f aca="false">IF($A245="",0,SUMIF(GL_Data!$S$8:$S$5007,240104,GL_Data!$P$8:$P$5007))</f>
        <v>0</v>
      </c>
      <c r="V245" s="88" t="n">
        <f aca="false">IF($A245="",0,SUMIF(GL_Data!$S$8:$S$5007,240105,GL_Data!$P$8:$P$5007))</f>
        <v>0</v>
      </c>
      <c r="W245" s="88" t="n">
        <f aca="false">IF($A245="",0,SUMIF(GL_Data!$S$8:$S$5007,240106,GL_Data!$P$8:$P$5007))</f>
        <v>0</v>
      </c>
      <c r="X245" s="88" t="n">
        <f aca="false">IF($A245="",0,SUMIF(GL_Data!$S$8:$S$5007,240107,GL_Data!$P$8:$P$5007))</f>
        <v>0</v>
      </c>
      <c r="Y245" s="88" t="n">
        <f aca="false">IF($A245="",0,SUMIF(GL_Data!$S$8:$S$5007,240108,GL_Data!$P$8:$P$5007))</f>
        <v>0</v>
      </c>
      <c r="Z245" s="88" t="n">
        <f aca="false">IF($A245="",0,SUMIF(GL_Data!$S$8:$S$5007,240109,GL_Data!$P$8:$P$5007))</f>
        <v>0</v>
      </c>
      <c r="AA245" s="88" t="n">
        <f aca="false">IF($A245="",0,SUMIF(GL_Data!$S$8:$S$5007,240110,GL_Data!$P$8:$P$5007))</f>
        <v>0</v>
      </c>
      <c r="AB245" s="88" t="n">
        <f aca="false">IF($A245="",0,SUMIF(GL_Data!$S$8:$S$5007,240111,GL_Data!$P$8:$P$5007))</f>
        <v>0</v>
      </c>
      <c r="AC245" s="88" t="n">
        <f aca="false">IF($A245="",0,SUMIF(GL_Data!$S$8:$S$5007,240112,GL_Data!$P$8:$P$5007))</f>
        <v>0</v>
      </c>
      <c r="AD245" s="89" t="n">
        <f aca="false">IF($A245="",0,INDEX($F245:$AC245,12+Setup!$B$8))</f>
        <v>0</v>
      </c>
      <c r="AE245" s="90" t="n">
        <f aca="false">IF($A245="",0,INDEX($F245:$AC245,Setup!$B$8))</f>
        <v>0</v>
      </c>
      <c r="AF245" s="90" t="n">
        <f aca="false">IF($A245="",0,INDEX($F245:$AC245,11+Setup!$B$8))</f>
        <v>0</v>
      </c>
      <c r="AG245" s="90" t="n">
        <f aca="false">IF($A245="",0,AVERAGE(INDEX($F245:$AC245,9+Setup!$B$8):INDEX($F245:$AC245,11+Setup!$B$8)))</f>
        <v>0</v>
      </c>
      <c r="AH245" s="89" t="n">
        <f aca="false">IF($A245="",0,SUMPRODUCT(($R$3:$AC$3&lt;=Setup!$B$8)*$R245:$AC245))</f>
        <v>0</v>
      </c>
      <c r="AI245" s="90" t="n">
        <f aca="false">IF($A245="",0,SUMPRODUCT(($F$3:$Q$3&lt;=Setup!$B$8)*$F245:$Q245))</f>
        <v>0</v>
      </c>
      <c r="AJ245" s="90" t="n">
        <f aca="false">IF($A245="",0,SUM($F245:$Q245))</f>
        <v>0</v>
      </c>
      <c r="AK245" s="90" t="n">
        <f aca="false">IF($A245="",0,SUM($R245:$AC245))</f>
        <v>0</v>
      </c>
      <c r="AL245" s="91" t="n">
        <f aca="false">IF($A245="",0,IF(SUMPRODUCT(ABS($F245:$AC245))&gt;0,1,0))</f>
        <v>0</v>
      </c>
    </row>
    <row r="246" customFormat="false" ht="15" hidden="false" customHeight="false" outlineLevel="0" collapsed="false">
      <c r="A246" s="68" t="str">
        <f aca="false">IF(COA_Mapping!$A247="","",COA_Mapping!$A247)</f>
        <v/>
      </c>
      <c r="B246" s="68" t="str">
        <f aca="false">IF($A246="","",COA_Mapping!$C247)</f>
        <v/>
      </c>
      <c r="C246" s="68" t="str">
        <f aca="false">IF($A246="","",COA_Mapping!$E247)</f>
        <v/>
      </c>
      <c r="D246" s="68" t="str">
        <f aca="false">IF($A246="","",COA_Mapping!$D247)</f>
        <v/>
      </c>
      <c r="E246" s="86" t="n">
        <f aca="false">IF($A246="",1,COA_Mapping!$F247)</f>
        <v>1</v>
      </c>
      <c r="F246" s="87" t="n">
        <f aca="false">IF($A246="",0,SUMIF(GL_Data!$S$8:$S$5007,241001,GL_Data!$P$8:$P$5007))</f>
        <v>0</v>
      </c>
      <c r="G246" s="87" t="n">
        <f aca="false">IF($A246="",0,SUMIF(GL_Data!$S$8:$S$5007,241002,GL_Data!$P$8:$P$5007))</f>
        <v>0</v>
      </c>
      <c r="H246" s="87" t="n">
        <f aca="false">IF($A246="",0,SUMIF(GL_Data!$S$8:$S$5007,241003,GL_Data!$P$8:$P$5007))</f>
        <v>0</v>
      </c>
      <c r="I246" s="87" t="n">
        <f aca="false">IF($A246="",0,SUMIF(GL_Data!$S$8:$S$5007,241004,GL_Data!$P$8:$P$5007))</f>
        <v>0</v>
      </c>
      <c r="J246" s="87" t="n">
        <f aca="false">IF($A246="",0,SUMIF(GL_Data!$S$8:$S$5007,241005,GL_Data!$P$8:$P$5007))</f>
        <v>0</v>
      </c>
      <c r="K246" s="87" t="n">
        <f aca="false">IF($A246="",0,SUMIF(GL_Data!$S$8:$S$5007,241006,GL_Data!$P$8:$P$5007))</f>
        <v>0</v>
      </c>
      <c r="L246" s="87" t="n">
        <f aca="false">IF($A246="",0,SUMIF(GL_Data!$S$8:$S$5007,241007,GL_Data!$P$8:$P$5007))</f>
        <v>0</v>
      </c>
      <c r="M246" s="87" t="n">
        <f aca="false">IF($A246="",0,SUMIF(GL_Data!$S$8:$S$5007,241008,GL_Data!$P$8:$P$5007))</f>
        <v>0</v>
      </c>
      <c r="N246" s="87" t="n">
        <f aca="false">IF($A246="",0,SUMIF(GL_Data!$S$8:$S$5007,241009,GL_Data!$P$8:$P$5007))</f>
        <v>0</v>
      </c>
      <c r="O246" s="87" t="n">
        <f aca="false">IF($A246="",0,SUMIF(GL_Data!$S$8:$S$5007,241010,GL_Data!$P$8:$P$5007))</f>
        <v>0</v>
      </c>
      <c r="P246" s="87" t="n">
        <f aca="false">IF($A246="",0,SUMIF(GL_Data!$S$8:$S$5007,241011,GL_Data!$P$8:$P$5007))</f>
        <v>0</v>
      </c>
      <c r="Q246" s="87" t="n">
        <f aca="false">IF($A246="",0,SUMIF(GL_Data!$S$8:$S$5007,241012,GL_Data!$P$8:$P$5007))</f>
        <v>0</v>
      </c>
      <c r="R246" s="88" t="n">
        <f aca="false">IF($A246="",0,SUMIF(GL_Data!$S$8:$S$5007,241101,GL_Data!$P$8:$P$5007))</f>
        <v>0</v>
      </c>
      <c r="S246" s="88" t="n">
        <f aca="false">IF($A246="",0,SUMIF(GL_Data!$S$8:$S$5007,241102,GL_Data!$P$8:$P$5007))</f>
        <v>0</v>
      </c>
      <c r="T246" s="88" t="n">
        <f aca="false">IF($A246="",0,SUMIF(GL_Data!$S$8:$S$5007,241103,GL_Data!$P$8:$P$5007))</f>
        <v>0</v>
      </c>
      <c r="U246" s="88" t="n">
        <f aca="false">IF($A246="",0,SUMIF(GL_Data!$S$8:$S$5007,241104,GL_Data!$P$8:$P$5007))</f>
        <v>0</v>
      </c>
      <c r="V246" s="88" t="n">
        <f aca="false">IF($A246="",0,SUMIF(GL_Data!$S$8:$S$5007,241105,GL_Data!$P$8:$P$5007))</f>
        <v>0</v>
      </c>
      <c r="W246" s="88" t="n">
        <f aca="false">IF($A246="",0,SUMIF(GL_Data!$S$8:$S$5007,241106,GL_Data!$P$8:$P$5007))</f>
        <v>0</v>
      </c>
      <c r="X246" s="88" t="n">
        <f aca="false">IF($A246="",0,SUMIF(GL_Data!$S$8:$S$5007,241107,GL_Data!$P$8:$P$5007))</f>
        <v>0</v>
      </c>
      <c r="Y246" s="88" t="n">
        <f aca="false">IF($A246="",0,SUMIF(GL_Data!$S$8:$S$5007,241108,GL_Data!$P$8:$P$5007))</f>
        <v>0</v>
      </c>
      <c r="Z246" s="88" t="n">
        <f aca="false">IF($A246="",0,SUMIF(GL_Data!$S$8:$S$5007,241109,GL_Data!$P$8:$P$5007))</f>
        <v>0</v>
      </c>
      <c r="AA246" s="88" t="n">
        <f aca="false">IF($A246="",0,SUMIF(GL_Data!$S$8:$S$5007,241110,GL_Data!$P$8:$P$5007))</f>
        <v>0</v>
      </c>
      <c r="AB246" s="88" t="n">
        <f aca="false">IF($A246="",0,SUMIF(GL_Data!$S$8:$S$5007,241111,GL_Data!$P$8:$P$5007))</f>
        <v>0</v>
      </c>
      <c r="AC246" s="88" t="n">
        <f aca="false">IF($A246="",0,SUMIF(GL_Data!$S$8:$S$5007,241112,GL_Data!$P$8:$P$5007))</f>
        <v>0</v>
      </c>
      <c r="AD246" s="89" t="n">
        <f aca="false">IF($A246="",0,INDEX($F246:$AC246,12+Setup!$B$8))</f>
        <v>0</v>
      </c>
      <c r="AE246" s="90" t="n">
        <f aca="false">IF($A246="",0,INDEX($F246:$AC246,Setup!$B$8))</f>
        <v>0</v>
      </c>
      <c r="AF246" s="90" t="n">
        <f aca="false">IF($A246="",0,INDEX($F246:$AC246,11+Setup!$B$8))</f>
        <v>0</v>
      </c>
      <c r="AG246" s="90" t="n">
        <f aca="false">IF($A246="",0,AVERAGE(INDEX($F246:$AC246,9+Setup!$B$8):INDEX($F246:$AC246,11+Setup!$B$8)))</f>
        <v>0</v>
      </c>
      <c r="AH246" s="89" t="n">
        <f aca="false">IF($A246="",0,SUMPRODUCT(($R$3:$AC$3&lt;=Setup!$B$8)*$R246:$AC246))</f>
        <v>0</v>
      </c>
      <c r="AI246" s="90" t="n">
        <f aca="false">IF($A246="",0,SUMPRODUCT(($F$3:$Q$3&lt;=Setup!$B$8)*$F246:$Q246))</f>
        <v>0</v>
      </c>
      <c r="AJ246" s="90" t="n">
        <f aca="false">IF($A246="",0,SUM($F246:$Q246))</f>
        <v>0</v>
      </c>
      <c r="AK246" s="90" t="n">
        <f aca="false">IF($A246="",0,SUM($R246:$AC246))</f>
        <v>0</v>
      </c>
      <c r="AL246" s="91" t="n">
        <f aca="false">IF($A246="",0,IF(SUMPRODUCT(ABS($F246:$AC246))&gt;0,1,0))</f>
        <v>0</v>
      </c>
    </row>
    <row r="247" customFormat="false" ht="15" hidden="false" customHeight="false" outlineLevel="0" collapsed="false">
      <c r="A247" s="68" t="str">
        <f aca="false">IF(COA_Mapping!$A248="","",COA_Mapping!$A248)</f>
        <v/>
      </c>
      <c r="B247" s="68" t="str">
        <f aca="false">IF($A247="","",COA_Mapping!$C248)</f>
        <v/>
      </c>
      <c r="C247" s="68" t="str">
        <f aca="false">IF($A247="","",COA_Mapping!$E248)</f>
        <v/>
      </c>
      <c r="D247" s="68" t="str">
        <f aca="false">IF($A247="","",COA_Mapping!$D248)</f>
        <v/>
      </c>
      <c r="E247" s="86" t="n">
        <f aca="false">IF($A247="",1,COA_Mapping!$F248)</f>
        <v>1</v>
      </c>
      <c r="F247" s="87" t="n">
        <f aca="false">IF($A247="",0,SUMIF(GL_Data!$S$8:$S$5007,242001,GL_Data!$P$8:$P$5007))</f>
        <v>0</v>
      </c>
      <c r="G247" s="87" t="n">
        <f aca="false">IF($A247="",0,SUMIF(GL_Data!$S$8:$S$5007,242002,GL_Data!$P$8:$P$5007))</f>
        <v>0</v>
      </c>
      <c r="H247" s="87" t="n">
        <f aca="false">IF($A247="",0,SUMIF(GL_Data!$S$8:$S$5007,242003,GL_Data!$P$8:$P$5007))</f>
        <v>0</v>
      </c>
      <c r="I247" s="87" t="n">
        <f aca="false">IF($A247="",0,SUMIF(GL_Data!$S$8:$S$5007,242004,GL_Data!$P$8:$P$5007))</f>
        <v>0</v>
      </c>
      <c r="J247" s="87" t="n">
        <f aca="false">IF($A247="",0,SUMIF(GL_Data!$S$8:$S$5007,242005,GL_Data!$P$8:$P$5007))</f>
        <v>0</v>
      </c>
      <c r="K247" s="87" t="n">
        <f aca="false">IF($A247="",0,SUMIF(GL_Data!$S$8:$S$5007,242006,GL_Data!$P$8:$P$5007))</f>
        <v>0</v>
      </c>
      <c r="L247" s="87" t="n">
        <f aca="false">IF($A247="",0,SUMIF(GL_Data!$S$8:$S$5007,242007,GL_Data!$P$8:$P$5007))</f>
        <v>0</v>
      </c>
      <c r="M247" s="87" t="n">
        <f aca="false">IF($A247="",0,SUMIF(GL_Data!$S$8:$S$5007,242008,GL_Data!$P$8:$P$5007))</f>
        <v>0</v>
      </c>
      <c r="N247" s="87" t="n">
        <f aca="false">IF($A247="",0,SUMIF(GL_Data!$S$8:$S$5007,242009,GL_Data!$P$8:$P$5007))</f>
        <v>0</v>
      </c>
      <c r="O247" s="87" t="n">
        <f aca="false">IF($A247="",0,SUMIF(GL_Data!$S$8:$S$5007,242010,GL_Data!$P$8:$P$5007))</f>
        <v>0</v>
      </c>
      <c r="P247" s="87" t="n">
        <f aca="false">IF($A247="",0,SUMIF(GL_Data!$S$8:$S$5007,242011,GL_Data!$P$8:$P$5007))</f>
        <v>0</v>
      </c>
      <c r="Q247" s="87" t="n">
        <f aca="false">IF($A247="",0,SUMIF(GL_Data!$S$8:$S$5007,242012,GL_Data!$P$8:$P$5007))</f>
        <v>0</v>
      </c>
      <c r="R247" s="88" t="n">
        <f aca="false">IF($A247="",0,SUMIF(GL_Data!$S$8:$S$5007,242101,GL_Data!$P$8:$P$5007))</f>
        <v>0</v>
      </c>
      <c r="S247" s="88" t="n">
        <f aca="false">IF($A247="",0,SUMIF(GL_Data!$S$8:$S$5007,242102,GL_Data!$P$8:$P$5007))</f>
        <v>0</v>
      </c>
      <c r="T247" s="88" t="n">
        <f aca="false">IF($A247="",0,SUMIF(GL_Data!$S$8:$S$5007,242103,GL_Data!$P$8:$P$5007))</f>
        <v>0</v>
      </c>
      <c r="U247" s="88" t="n">
        <f aca="false">IF($A247="",0,SUMIF(GL_Data!$S$8:$S$5007,242104,GL_Data!$P$8:$P$5007))</f>
        <v>0</v>
      </c>
      <c r="V247" s="88" t="n">
        <f aca="false">IF($A247="",0,SUMIF(GL_Data!$S$8:$S$5007,242105,GL_Data!$P$8:$P$5007))</f>
        <v>0</v>
      </c>
      <c r="W247" s="88" t="n">
        <f aca="false">IF($A247="",0,SUMIF(GL_Data!$S$8:$S$5007,242106,GL_Data!$P$8:$P$5007))</f>
        <v>0</v>
      </c>
      <c r="X247" s="88" t="n">
        <f aca="false">IF($A247="",0,SUMIF(GL_Data!$S$8:$S$5007,242107,GL_Data!$P$8:$P$5007))</f>
        <v>0</v>
      </c>
      <c r="Y247" s="88" t="n">
        <f aca="false">IF($A247="",0,SUMIF(GL_Data!$S$8:$S$5007,242108,GL_Data!$P$8:$P$5007))</f>
        <v>0</v>
      </c>
      <c r="Z247" s="88" t="n">
        <f aca="false">IF($A247="",0,SUMIF(GL_Data!$S$8:$S$5007,242109,GL_Data!$P$8:$P$5007))</f>
        <v>0</v>
      </c>
      <c r="AA247" s="88" t="n">
        <f aca="false">IF($A247="",0,SUMIF(GL_Data!$S$8:$S$5007,242110,GL_Data!$P$8:$P$5007))</f>
        <v>0</v>
      </c>
      <c r="AB247" s="88" t="n">
        <f aca="false">IF($A247="",0,SUMIF(GL_Data!$S$8:$S$5007,242111,GL_Data!$P$8:$P$5007))</f>
        <v>0</v>
      </c>
      <c r="AC247" s="88" t="n">
        <f aca="false">IF($A247="",0,SUMIF(GL_Data!$S$8:$S$5007,242112,GL_Data!$P$8:$P$5007))</f>
        <v>0</v>
      </c>
      <c r="AD247" s="89" t="n">
        <f aca="false">IF($A247="",0,INDEX($F247:$AC247,12+Setup!$B$8))</f>
        <v>0</v>
      </c>
      <c r="AE247" s="90" t="n">
        <f aca="false">IF($A247="",0,INDEX($F247:$AC247,Setup!$B$8))</f>
        <v>0</v>
      </c>
      <c r="AF247" s="90" t="n">
        <f aca="false">IF($A247="",0,INDEX($F247:$AC247,11+Setup!$B$8))</f>
        <v>0</v>
      </c>
      <c r="AG247" s="90" t="n">
        <f aca="false">IF($A247="",0,AVERAGE(INDEX($F247:$AC247,9+Setup!$B$8):INDEX($F247:$AC247,11+Setup!$B$8)))</f>
        <v>0</v>
      </c>
      <c r="AH247" s="89" t="n">
        <f aca="false">IF($A247="",0,SUMPRODUCT(($R$3:$AC$3&lt;=Setup!$B$8)*$R247:$AC247))</f>
        <v>0</v>
      </c>
      <c r="AI247" s="90" t="n">
        <f aca="false">IF($A247="",0,SUMPRODUCT(($F$3:$Q$3&lt;=Setup!$B$8)*$F247:$Q247))</f>
        <v>0</v>
      </c>
      <c r="AJ247" s="90" t="n">
        <f aca="false">IF($A247="",0,SUM($F247:$Q247))</f>
        <v>0</v>
      </c>
      <c r="AK247" s="90" t="n">
        <f aca="false">IF($A247="",0,SUM($R247:$AC247))</f>
        <v>0</v>
      </c>
      <c r="AL247" s="91" t="n">
        <f aca="false">IF($A247="",0,IF(SUMPRODUCT(ABS($F247:$AC247))&gt;0,1,0))</f>
        <v>0</v>
      </c>
    </row>
    <row r="248" customFormat="false" ht="15" hidden="false" customHeight="false" outlineLevel="0" collapsed="false">
      <c r="A248" s="68" t="str">
        <f aca="false">IF(COA_Mapping!$A249="","",COA_Mapping!$A249)</f>
        <v/>
      </c>
      <c r="B248" s="68" t="str">
        <f aca="false">IF($A248="","",COA_Mapping!$C249)</f>
        <v/>
      </c>
      <c r="C248" s="68" t="str">
        <f aca="false">IF($A248="","",COA_Mapping!$E249)</f>
        <v/>
      </c>
      <c r="D248" s="68" t="str">
        <f aca="false">IF($A248="","",COA_Mapping!$D249)</f>
        <v/>
      </c>
      <c r="E248" s="86" t="n">
        <f aca="false">IF($A248="",1,COA_Mapping!$F249)</f>
        <v>1</v>
      </c>
      <c r="F248" s="87" t="n">
        <f aca="false">IF($A248="",0,SUMIF(GL_Data!$S$8:$S$5007,243001,GL_Data!$P$8:$P$5007))</f>
        <v>0</v>
      </c>
      <c r="G248" s="87" t="n">
        <f aca="false">IF($A248="",0,SUMIF(GL_Data!$S$8:$S$5007,243002,GL_Data!$P$8:$P$5007))</f>
        <v>0</v>
      </c>
      <c r="H248" s="87" t="n">
        <f aca="false">IF($A248="",0,SUMIF(GL_Data!$S$8:$S$5007,243003,GL_Data!$P$8:$P$5007))</f>
        <v>0</v>
      </c>
      <c r="I248" s="87" t="n">
        <f aca="false">IF($A248="",0,SUMIF(GL_Data!$S$8:$S$5007,243004,GL_Data!$P$8:$P$5007))</f>
        <v>0</v>
      </c>
      <c r="J248" s="87" t="n">
        <f aca="false">IF($A248="",0,SUMIF(GL_Data!$S$8:$S$5007,243005,GL_Data!$P$8:$P$5007))</f>
        <v>0</v>
      </c>
      <c r="K248" s="87" t="n">
        <f aca="false">IF($A248="",0,SUMIF(GL_Data!$S$8:$S$5007,243006,GL_Data!$P$8:$P$5007))</f>
        <v>0</v>
      </c>
      <c r="L248" s="87" t="n">
        <f aca="false">IF($A248="",0,SUMIF(GL_Data!$S$8:$S$5007,243007,GL_Data!$P$8:$P$5007))</f>
        <v>0</v>
      </c>
      <c r="M248" s="87" t="n">
        <f aca="false">IF($A248="",0,SUMIF(GL_Data!$S$8:$S$5007,243008,GL_Data!$P$8:$P$5007))</f>
        <v>0</v>
      </c>
      <c r="N248" s="87" t="n">
        <f aca="false">IF($A248="",0,SUMIF(GL_Data!$S$8:$S$5007,243009,GL_Data!$P$8:$P$5007))</f>
        <v>0</v>
      </c>
      <c r="O248" s="87" t="n">
        <f aca="false">IF($A248="",0,SUMIF(GL_Data!$S$8:$S$5007,243010,GL_Data!$P$8:$P$5007))</f>
        <v>0</v>
      </c>
      <c r="P248" s="87" t="n">
        <f aca="false">IF($A248="",0,SUMIF(GL_Data!$S$8:$S$5007,243011,GL_Data!$P$8:$P$5007))</f>
        <v>0</v>
      </c>
      <c r="Q248" s="87" t="n">
        <f aca="false">IF($A248="",0,SUMIF(GL_Data!$S$8:$S$5007,243012,GL_Data!$P$8:$P$5007))</f>
        <v>0</v>
      </c>
      <c r="R248" s="88" t="n">
        <f aca="false">IF($A248="",0,SUMIF(GL_Data!$S$8:$S$5007,243101,GL_Data!$P$8:$P$5007))</f>
        <v>0</v>
      </c>
      <c r="S248" s="88" t="n">
        <f aca="false">IF($A248="",0,SUMIF(GL_Data!$S$8:$S$5007,243102,GL_Data!$P$8:$P$5007))</f>
        <v>0</v>
      </c>
      <c r="T248" s="88" t="n">
        <f aca="false">IF($A248="",0,SUMIF(GL_Data!$S$8:$S$5007,243103,GL_Data!$P$8:$P$5007))</f>
        <v>0</v>
      </c>
      <c r="U248" s="88" t="n">
        <f aca="false">IF($A248="",0,SUMIF(GL_Data!$S$8:$S$5007,243104,GL_Data!$P$8:$P$5007))</f>
        <v>0</v>
      </c>
      <c r="V248" s="88" t="n">
        <f aca="false">IF($A248="",0,SUMIF(GL_Data!$S$8:$S$5007,243105,GL_Data!$P$8:$P$5007))</f>
        <v>0</v>
      </c>
      <c r="W248" s="88" t="n">
        <f aca="false">IF($A248="",0,SUMIF(GL_Data!$S$8:$S$5007,243106,GL_Data!$P$8:$P$5007))</f>
        <v>0</v>
      </c>
      <c r="X248" s="88" t="n">
        <f aca="false">IF($A248="",0,SUMIF(GL_Data!$S$8:$S$5007,243107,GL_Data!$P$8:$P$5007))</f>
        <v>0</v>
      </c>
      <c r="Y248" s="88" t="n">
        <f aca="false">IF($A248="",0,SUMIF(GL_Data!$S$8:$S$5007,243108,GL_Data!$P$8:$P$5007))</f>
        <v>0</v>
      </c>
      <c r="Z248" s="88" t="n">
        <f aca="false">IF($A248="",0,SUMIF(GL_Data!$S$8:$S$5007,243109,GL_Data!$P$8:$P$5007))</f>
        <v>0</v>
      </c>
      <c r="AA248" s="88" t="n">
        <f aca="false">IF($A248="",0,SUMIF(GL_Data!$S$8:$S$5007,243110,GL_Data!$P$8:$P$5007))</f>
        <v>0</v>
      </c>
      <c r="AB248" s="88" t="n">
        <f aca="false">IF($A248="",0,SUMIF(GL_Data!$S$8:$S$5007,243111,GL_Data!$P$8:$P$5007))</f>
        <v>0</v>
      </c>
      <c r="AC248" s="88" t="n">
        <f aca="false">IF($A248="",0,SUMIF(GL_Data!$S$8:$S$5007,243112,GL_Data!$P$8:$P$5007))</f>
        <v>0</v>
      </c>
      <c r="AD248" s="89" t="n">
        <f aca="false">IF($A248="",0,INDEX($F248:$AC248,12+Setup!$B$8))</f>
        <v>0</v>
      </c>
      <c r="AE248" s="90" t="n">
        <f aca="false">IF($A248="",0,INDEX($F248:$AC248,Setup!$B$8))</f>
        <v>0</v>
      </c>
      <c r="AF248" s="90" t="n">
        <f aca="false">IF($A248="",0,INDEX($F248:$AC248,11+Setup!$B$8))</f>
        <v>0</v>
      </c>
      <c r="AG248" s="90" t="n">
        <f aca="false">IF($A248="",0,AVERAGE(INDEX($F248:$AC248,9+Setup!$B$8):INDEX($F248:$AC248,11+Setup!$B$8)))</f>
        <v>0</v>
      </c>
      <c r="AH248" s="89" t="n">
        <f aca="false">IF($A248="",0,SUMPRODUCT(($R$3:$AC$3&lt;=Setup!$B$8)*$R248:$AC248))</f>
        <v>0</v>
      </c>
      <c r="AI248" s="90" t="n">
        <f aca="false">IF($A248="",0,SUMPRODUCT(($F$3:$Q$3&lt;=Setup!$B$8)*$F248:$Q248))</f>
        <v>0</v>
      </c>
      <c r="AJ248" s="90" t="n">
        <f aca="false">IF($A248="",0,SUM($F248:$Q248))</f>
        <v>0</v>
      </c>
      <c r="AK248" s="90" t="n">
        <f aca="false">IF($A248="",0,SUM($R248:$AC248))</f>
        <v>0</v>
      </c>
      <c r="AL248" s="91" t="n">
        <f aca="false">IF($A248="",0,IF(SUMPRODUCT(ABS($F248:$AC248))&gt;0,1,0))</f>
        <v>0</v>
      </c>
    </row>
    <row r="249" customFormat="false" ht="15" hidden="false" customHeight="false" outlineLevel="0" collapsed="false">
      <c r="A249" s="68" t="str">
        <f aca="false">IF(COA_Mapping!$A250="","",COA_Mapping!$A250)</f>
        <v/>
      </c>
      <c r="B249" s="68" t="str">
        <f aca="false">IF($A249="","",COA_Mapping!$C250)</f>
        <v/>
      </c>
      <c r="C249" s="68" t="str">
        <f aca="false">IF($A249="","",COA_Mapping!$E250)</f>
        <v/>
      </c>
      <c r="D249" s="68" t="str">
        <f aca="false">IF($A249="","",COA_Mapping!$D250)</f>
        <v/>
      </c>
      <c r="E249" s="86" t="n">
        <f aca="false">IF($A249="",1,COA_Mapping!$F250)</f>
        <v>1</v>
      </c>
      <c r="F249" s="87" t="n">
        <f aca="false">IF($A249="",0,SUMIF(GL_Data!$S$8:$S$5007,244001,GL_Data!$P$8:$P$5007))</f>
        <v>0</v>
      </c>
      <c r="G249" s="87" t="n">
        <f aca="false">IF($A249="",0,SUMIF(GL_Data!$S$8:$S$5007,244002,GL_Data!$P$8:$P$5007))</f>
        <v>0</v>
      </c>
      <c r="H249" s="87" t="n">
        <f aca="false">IF($A249="",0,SUMIF(GL_Data!$S$8:$S$5007,244003,GL_Data!$P$8:$P$5007))</f>
        <v>0</v>
      </c>
      <c r="I249" s="87" t="n">
        <f aca="false">IF($A249="",0,SUMIF(GL_Data!$S$8:$S$5007,244004,GL_Data!$P$8:$P$5007))</f>
        <v>0</v>
      </c>
      <c r="J249" s="87" t="n">
        <f aca="false">IF($A249="",0,SUMIF(GL_Data!$S$8:$S$5007,244005,GL_Data!$P$8:$P$5007))</f>
        <v>0</v>
      </c>
      <c r="K249" s="87" t="n">
        <f aca="false">IF($A249="",0,SUMIF(GL_Data!$S$8:$S$5007,244006,GL_Data!$P$8:$P$5007))</f>
        <v>0</v>
      </c>
      <c r="L249" s="87" t="n">
        <f aca="false">IF($A249="",0,SUMIF(GL_Data!$S$8:$S$5007,244007,GL_Data!$P$8:$P$5007))</f>
        <v>0</v>
      </c>
      <c r="M249" s="87" t="n">
        <f aca="false">IF($A249="",0,SUMIF(GL_Data!$S$8:$S$5007,244008,GL_Data!$P$8:$P$5007))</f>
        <v>0</v>
      </c>
      <c r="N249" s="87" t="n">
        <f aca="false">IF($A249="",0,SUMIF(GL_Data!$S$8:$S$5007,244009,GL_Data!$P$8:$P$5007))</f>
        <v>0</v>
      </c>
      <c r="O249" s="87" t="n">
        <f aca="false">IF($A249="",0,SUMIF(GL_Data!$S$8:$S$5007,244010,GL_Data!$P$8:$P$5007))</f>
        <v>0</v>
      </c>
      <c r="P249" s="87" t="n">
        <f aca="false">IF($A249="",0,SUMIF(GL_Data!$S$8:$S$5007,244011,GL_Data!$P$8:$P$5007))</f>
        <v>0</v>
      </c>
      <c r="Q249" s="87" t="n">
        <f aca="false">IF($A249="",0,SUMIF(GL_Data!$S$8:$S$5007,244012,GL_Data!$P$8:$P$5007))</f>
        <v>0</v>
      </c>
      <c r="R249" s="88" t="n">
        <f aca="false">IF($A249="",0,SUMIF(GL_Data!$S$8:$S$5007,244101,GL_Data!$P$8:$P$5007))</f>
        <v>0</v>
      </c>
      <c r="S249" s="88" t="n">
        <f aca="false">IF($A249="",0,SUMIF(GL_Data!$S$8:$S$5007,244102,GL_Data!$P$8:$P$5007))</f>
        <v>0</v>
      </c>
      <c r="T249" s="88" t="n">
        <f aca="false">IF($A249="",0,SUMIF(GL_Data!$S$8:$S$5007,244103,GL_Data!$P$8:$P$5007))</f>
        <v>0</v>
      </c>
      <c r="U249" s="88" t="n">
        <f aca="false">IF($A249="",0,SUMIF(GL_Data!$S$8:$S$5007,244104,GL_Data!$P$8:$P$5007))</f>
        <v>0</v>
      </c>
      <c r="V249" s="88" t="n">
        <f aca="false">IF($A249="",0,SUMIF(GL_Data!$S$8:$S$5007,244105,GL_Data!$P$8:$P$5007))</f>
        <v>0</v>
      </c>
      <c r="W249" s="88" t="n">
        <f aca="false">IF($A249="",0,SUMIF(GL_Data!$S$8:$S$5007,244106,GL_Data!$P$8:$P$5007))</f>
        <v>0</v>
      </c>
      <c r="X249" s="88" t="n">
        <f aca="false">IF($A249="",0,SUMIF(GL_Data!$S$8:$S$5007,244107,GL_Data!$P$8:$P$5007))</f>
        <v>0</v>
      </c>
      <c r="Y249" s="88" t="n">
        <f aca="false">IF($A249="",0,SUMIF(GL_Data!$S$8:$S$5007,244108,GL_Data!$P$8:$P$5007))</f>
        <v>0</v>
      </c>
      <c r="Z249" s="88" t="n">
        <f aca="false">IF($A249="",0,SUMIF(GL_Data!$S$8:$S$5007,244109,GL_Data!$P$8:$P$5007))</f>
        <v>0</v>
      </c>
      <c r="AA249" s="88" t="n">
        <f aca="false">IF($A249="",0,SUMIF(GL_Data!$S$8:$S$5007,244110,GL_Data!$P$8:$P$5007))</f>
        <v>0</v>
      </c>
      <c r="AB249" s="88" t="n">
        <f aca="false">IF($A249="",0,SUMIF(GL_Data!$S$8:$S$5007,244111,GL_Data!$P$8:$P$5007))</f>
        <v>0</v>
      </c>
      <c r="AC249" s="88" t="n">
        <f aca="false">IF($A249="",0,SUMIF(GL_Data!$S$8:$S$5007,244112,GL_Data!$P$8:$P$5007))</f>
        <v>0</v>
      </c>
      <c r="AD249" s="89" t="n">
        <f aca="false">IF($A249="",0,INDEX($F249:$AC249,12+Setup!$B$8))</f>
        <v>0</v>
      </c>
      <c r="AE249" s="90" t="n">
        <f aca="false">IF($A249="",0,INDEX($F249:$AC249,Setup!$B$8))</f>
        <v>0</v>
      </c>
      <c r="AF249" s="90" t="n">
        <f aca="false">IF($A249="",0,INDEX($F249:$AC249,11+Setup!$B$8))</f>
        <v>0</v>
      </c>
      <c r="AG249" s="90" t="n">
        <f aca="false">IF($A249="",0,AVERAGE(INDEX($F249:$AC249,9+Setup!$B$8):INDEX($F249:$AC249,11+Setup!$B$8)))</f>
        <v>0</v>
      </c>
      <c r="AH249" s="89" t="n">
        <f aca="false">IF($A249="",0,SUMPRODUCT(($R$3:$AC$3&lt;=Setup!$B$8)*$R249:$AC249))</f>
        <v>0</v>
      </c>
      <c r="AI249" s="90" t="n">
        <f aca="false">IF($A249="",0,SUMPRODUCT(($F$3:$Q$3&lt;=Setup!$B$8)*$F249:$Q249))</f>
        <v>0</v>
      </c>
      <c r="AJ249" s="90" t="n">
        <f aca="false">IF($A249="",0,SUM($F249:$Q249))</f>
        <v>0</v>
      </c>
      <c r="AK249" s="90" t="n">
        <f aca="false">IF($A249="",0,SUM($R249:$AC249))</f>
        <v>0</v>
      </c>
      <c r="AL249" s="91" t="n">
        <f aca="false">IF($A249="",0,IF(SUMPRODUCT(ABS($F249:$AC249))&gt;0,1,0))</f>
        <v>0</v>
      </c>
    </row>
    <row r="250" customFormat="false" ht="15" hidden="false" customHeight="false" outlineLevel="0" collapsed="false">
      <c r="A250" s="68" t="str">
        <f aca="false">IF(COA_Mapping!$A251="","",COA_Mapping!$A251)</f>
        <v/>
      </c>
      <c r="B250" s="68" t="str">
        <f aca="false">IF($A250="","",COA_Mapping!$C251)</f>
        <v/>
      </c>
      <c r="C250" s="68" t="str">
        <f aca="false">IF($A250="","",COA_Mapping!$E251)</f>
        <v/>
      </c>
      <c r="D250" s="68" t="str">
        <f aca="false">IF($A250="","",COA_Mapping!$D251)</f>
        <v/>
      </c>
      <c r="E250" s="86" t="n">
        <f aca="false">IF($A250="",1,COA_Mapping!$F251)</f>
        <v>1</v>
      </c>
      <c r="F250" s="87" t="n">
        <f aca="false">IF($A250="",0,SUMIF(GL_Data!$S$8:$S$5007,245001,GL_Data!$P$8:$P$5007))</f>
        <v>0</v>
      </c>
      <c r="G250" s="87" t="n">
        <f aca="false">IF($A250="",0,SUMIF(GL_Data!$S$8:$S$5007,245002,GL_Data!$P$8:$P$5007))</f>
        <v>0</v>
      </c>
      <c r="H250" s="87" t="n">
        <f aca="false">IF($A250="",0,SUMIF(GL_Data!$S$8:$S$5007,245003,GL_Data!$P$8:$P$5007))</f>
        <v>0</v>
      </c>
      <c r="I250" s="87" t="n">
        <f aca="false">IF($A250="",0,SUMIF(GL_Data!$S$8:$S$5007,245004,GL_Data!$P$8:$P$5007))</f>
        <v>0</v>
      </c>
      <c r="J250" s="87" t="n">
        <f aca="false">IF($A250="",0,SUMIF(GL_Data!$S$8:$S$5007,245005,GL_Data!$P$8:$P$5007))</f>
        <v>0</v>
      </c>
      <c r="K250" s="87" t="n">
        <f aca="false">IF($A250="",0,SUMIF(GL_Data!$S$8:$S$5007,245006,GL_Data!$P$8:$P$5007))</f>
        <v>0</v>
      </c>
      <c r="L250" s="87" t="n">
        <f aca="false">IF($A250="",0,SUMIF(GL_Data!$S$8:$S$5007,245007,GL_Data!$P$8:$P$5007))</f>
        <v>0</v>
      </c>
      <c r="M250" s="87" t="n">
        <f aca="false">IF($A250="",0,SUMIF(GL_Data!$S$8:$S$5007,245008,GL_Data!$P$8:$P$5007))</f>
        <v>0</v>
      </c>
      <c r="N250" s="87" t="n">
        <f aca="false">IF($A250="",0,SUMIF(GL_Data!$S$8:$S$5007,245009,GL_Data!$P$8:$P$5007))</f>
        <v>0</v>
      </c>
      <c r="O250" s="87" t="n">
        <f aca="false">IF($A250="",0,SUMIF(GL_Data!$S$8:$S$5007,245010,GL_Data!$P$8:$P$5007))</f>
        <v>0</v>
      </c>
      <c r="P250" s="87" t="n">
        <f aca="false">IF($A250="",0,SUMIF(GL_Data!$S$8:$S$5007,245011,GL_Data!$P$8:$P$5007))</f>
        <v>0</v>
      </c>
      <c r="Q250" s="87" t="n">
        <f aca="false">IF($A250="",0,SUMIF(GL_Data!$S$8:$S$5007,245012,GL_Data!$P$8:$P$5007))</f>
        <v>0</v>
      </c>
      <c r="R250" s="88" t="n">
        <f aca="false">IF($A250="",0,SUMIF(GL_Data!$S$8:$S$5007,245101,GL_Data!$P$8:$P$5007))</f>
        <v>0</v>
      </c>
      <c r="S250" s="88" t="n">
        <f aca="false">IF($A250="",0,SUMIF(GL_Data!$S$8:$S$5007,245102,GL_Data!$P$8:$P$5007))</f>
        <v>0</v>
      </c>
      <c r="T250" s="88" t="n">
        <f aca="false">IF($A250="",0,SUMIF(GL_Data!$S$8:$S$5007,245103,GL_Data!$P$8:$P$5007))</f>
        <v>0</v>
      </c>
      <c r="U250" s="88" t="n">
        <f aca="false">IF($A250="",0,SUMIF(GL_Data!$S$8:$S$5007,245104,GL_Data!$P$8:$P$5007))</f>
        <v>0</v>
      </c>
      <c r="V250" s="88" t="n">
        <f aca="false">IF($A250="",0,SUMIF(GL_Data!$S$8:$S$5007,245105,GL_Data!$P$8:$P$5007))</f>
        <v>0</v>
      </c>
      <c r="W250" s="88" t="n">
        <f aca="false">IF($A250="",0,SUMIF(GL_Data!$S$8:$S$5007,245106,GL_Data!$P$8:$P$5007))</f>
        <v>0</v>
      </c>
      <c r="X250" s="88" t="n">
        <f aca="false">IF($A250="",0,SUMIF(GL_Data!$S$8:$S$5007,245107,GL_Data!$P$8:$P$5007))</f>
        <v>0</v>
      </c>
      <c r="Y250" s="88" t="n">
        <f aca="false">IF($A250="",0,SUMIF(GL_Data!$S$8:$S$5007,245108,GL_Data!$P$8:$P$5007))</f>
        <v>0</v>
      </c>
      <c r="Z250" s="88" t="n">
        <f aca="false">IF($A250="",0,SUMIF(GL_Data!$S$8:$S$5007,245109,GL_Data!$P$8:$P$5007))</f>
        <v>0</v>
      </c>
      <c r="AA250" s="88" t="n">
        <f aca="false">IF($A250="",0,SUMIF(GL_Data!$S$8:$S$5007,245110,GL_Data!$P$8:$P$5007))</f>
        <v>0</v>
      </c>
      <c r="AB250" s="88" t="n">
        <f aca="false">IF($A250="",0,SUMIF(GL_Data!$S$8:$S$5007,245111,GL_Data!$P$8:$P$5007))</f>
        <v>0</v>
      </c>
      <c r="AC250" s="88" t="n">
        <f aca="false">IF($A250="",0,SUMIF(GL_Data!$S$8:$S$5007,245112,GL_Data!$P$8:$P$5007))</f>
        <v>0</v>
      </c>
      <c r="AD250" s="89" t="n">
        <f aca="false">IF($A250="",0,INDEX($F250:$AC250,12+Setup!$B$8))</f>
        <v>0</v>
      </c>
      <c r="AE250" s="90" t="n">
        <f aca="false">IF($A250="",0,INDEX($F250:$AC250,Setup!$B$8))</f>
        <v>0</v>
      </c>
      <c r="AF250" s="90" t="n">
        <f aca="false">IF($A250="",0,INDEX($F250:$AC250,11+Setup!$B$8))</f>
        <v>0</v>
      </c>
      <c r="AG250" s="90" t="n">
        <f aca="false">IF($A250="",0,AVERAGE(INDEX($F250:$AC250,9+Setup!$B$8):INDEX($F250:$AC250,11+Setup!$B$8)))</f>
        <v>0</v>
      </c>
      <c r="AH250" s="89" t="n">
        <f aca="false">IF($A250="",0,SUMPRODUCT(($R$3:$AC$3&lt;=Setup!$B$8)*$R250:$AC250))</f>
        <v>0</v>
      </c>
      <c r="AI250" s="90" t="n">
        <f aca="false">IF($A250="",0,SUMPRODUCT(($F$3:$Q$3&lt;=Setup!$B$8)*$F250:$Q250))</f>
        <v>0</v>
      </c>
      <c r="AJ250" s="90" t="n">
        <f aca="false">IF($A250="",0,SUM($F250:$Q250))</f>
        <v>0</v>
      </c>
      <c r="AK250" s="90" t="n">
        <f aca="false">IF($A250="",0,SUM($R250:$AC250))</f>
        <v>0</v>
      </c>
      <c r="AL250" s="91" t="n">
        <f aca="false">IF($A250="",0,IF(SUMPRODUCT(ABS($F250:$AC250))&gt;0,1,0))</f>
        <v>0</v>
      </c>
    </row>
    <row r="251" customFormat="false" ht="15" hidden="false" customHeight="false" outlineLevel="0" collapsed="false">
      <c r="A251" s="68" t="str">
        <f aca="false">IF(COA_Mapping!$A252="","",COA_Mapping!$A252)</f>
        <v/>
      </c>
      <c r="B251" s="68" t="str">
        <f aca="false">IF($A251="","",COA_Mapping!$C252)</f>
        <v/>
      </c>
      <c r="C251" s="68" t="str">
        <f aca="false">IF($A251="","",COA_Mapping!$E252)</f>
        <v/>
      </c>
      <c r="D251" s="68" t="str">
        <f aca="false">IF($A251="","",COA_Mapping!$D252)</f>
        <v/>
      </c>
      <c r="E251" s="86" t="n">
        <f aca="false">IF($A251="",1,COA_Mapping!$F252)</f>
        <v>1</v>
      </c>
      <c r="F251" s="87" t="n">
        <f aca="false">IF($A251="",0,SUMIF(GL_Data!$S$8:$S$5007,246001,GL_Data!$P$8:$P$5007))</f>
        <v>0</v>
      </c>
      <c r="G251" s="87" t="n">
        <f aca="false">IF($A251="",0,SUMIF(GL_Data!$S$8:$S$5007,246002,GL_Data!$P$8:$P$5007))</f>
        <v>0</v>
      </c>
      <c r="H251" s="87" t="n">
        <f aca="false">IF($A251="",0,SUMIF(GL_Data!$S$8:$S$5007,246003,GL_Data!$P$8:$P$5007))</f>
        <v>0</v>
      </c>
      <c r="I251" s="87" t="n">
        <f aca="false">IF($A251="",0,SUMIF(GL_Data!$S$8:$S$5007,246004,GL_Data!$P$8:$P$5007))</f>
        <v>0</v>
      </c>
      <c r="J251" s="87" t="n">
        <f aca="false">IF($A251="",0,SUMIF(GL_Data!$S$8:$S$5007,246005,GL_Data!$P$8:$P$5007))</f>
        <v>0</v>
      </c>
      <c r="K251" s="87" t="n">
        <f aca="false">IF($A251="",0,SUMIF(GL_Data!$S$8:$S$5007,246006,GL_Data!$P$8:$P$5007))</f>
        <v>0</v>
      </c>
      <c r="L251" s="87" t="n">
        <f aca="false">IF($A251="",0,SUMIF(GL_Data!$S$8:$S$5007,246007,GL_Data!$P$8:$P$5007))</f>
        <v>0</v>
      </c>
      <c r="M251" s="87" t="n">
        <f aca="false">IF($A251="",0,SUMIF(GL_Data!$S$8:$S$5007,246008,GL_Data!$P$8:$P$5007))</f>
        <v>0</v>
      </c>
      <c r="N251" s="87" t="n">
        <f aca="false">IF($A251="",0,SUMIF(GL_Data!$S$8:$S$5007,246009,GL_Data!$P$8:$P$5007))</f>
        <v>0</v>
      </c>
      <c r="O251" s="87" t="n">
        <f aca="false">IF($A251="",0,SUMIF(GL_Data!$S$8:$S$5007,246010,GL_Data!$P$8:$P$5007))</f>
        <v>0</v>
      </c>
      <c r="P251" s="87" t="n">
        <f aca="false">IF($A251="",0,SUMIF(GL_Data!$S$8:$S$5007,246011,GL_Data!$P$8:$P$5007))</f>
        <v>0</v>
      </c>
      <c r="Q251" s="87" t="n">
        <f aca="false">IF($A251="",0,SUMIF(GL_Data!$S$8:$S$5007,246012,GL_Data!$P$8:$P$5007))</f>
        <v>0</v>
      </c>
      <c r="R251" s="88" t="n">
        <f aca="false">IF($A251="",0,SUMIF(GL_Data!$S$8:$S$5007,246101,GL_Data!$P$8:$P$5007))</f>
        <v>0</v>
      </c>
      <c r="S251" s="88" t="n">
        <f aca="false">IF($A251="",0,SUMIF(GL_Data!$S$8:$S$5007,246102,GL_Data!$P$8:$P$5007))</f>
        <v>0</v>
      </c>
      <c r="T251" s="88" t="n">
        <f aca="false">IF($A251="",0,SUMIF(GL_Data!$S$8:$S$5007,246103,GL_Data!$P$8:$P$5007))</f>
        <v>0</v>
      </c>
      <c r="U251" s="88" t="n">
        <f aca="false">IF($A251="",0,SUMIF(GL_Data!$S$8:$S$5007,246104,GL_Data!$P$8:$P$5007))</f>
        <v>0</v>
      </c>
      <c r="V251" s="88" t="n">
        <f aca="false">IF($A251="",0,SUMIF(GL_Data!$S$8:$S$5007,246105,GL_Data!$P$8:$P$5007))</f>
        <v>0</v>
      </c>
      <c r="W251" s="88" t="n">
        <f aca="false">IF($A251="",0,SUMIF(GL_Data!$S$8:$S$5007,246106,GL_Data!$P$8:$P$5007))</f>
        <v>0</v>
      </c>
      <c r="X251" s="88" t="n">
        <f aca="false">IF($A251="",0,SUMIF(GL_Data!$S$8:$S$5007,246107,GL_Data!$P$8:$P$5007))</f>
        <v>0</v>
      </c>
      <c r="Y251" s="88" t="n">
        <f aca="false">IF($A251="",0,SUMIF(GL_Data!$S$8:$S$5007,246108,GL_Data!$P$8:$P$5007))</f>
        <v>0</v>
      </c>
      <c r="Z251" s="88" t="n">
        <f aca="false">IF($A251="",0,SUMIF(GL_Data!$S$8:$S$5007,246109,GL_Data!$P$8:$P$5007))</f>
        <v>0</v>
      </c>
      <c r="AA251" s="88" t="n">
        <f aca="false">IF($A251="",0,SUMIF(GL_Data!$S$8:$S$5007,246110,GL_Data!$P$8:$P$5007))</f>
        <v>0</v>
      </c>
      <c r="AB251" s="88" t="n">
        <f aca="false">IF($A251="",0,SUMIF(GL_Data!$S$8:$S$5007,246111,GL_Data!$P$8:$P$5007))</f>
        <v>0</v>
      </c>
      <c r="AC251" s="88" t="n">
        <f aca="false">IF($A251="",0,SUMIF(GL_Data!$S$8:$S$5007,246112,GL_Data!$P$8:$P$5007))</f>
        <v>0</v>
      </c>
      <c r="AD251" s="89" t="n">
        <f aca="false">IF($A251="",0,INDEX($F251:$AC251,12+Setup!$B$8))</f>
        <v>0</v>
      </c>
      <c r="AE251" s="90" t="n">
        <f aca="false">IF($A251="",0,INDEX($F251:$AC251,Setup!$B$8))</f>
        <v>0</v>
      </c>
      <c r="AF251" s="90" t="n">
        <f aca="false">IF($A251="",0,INDEX($F251:$AC251,11+Setup!$B$8))</f>
        <v>0</v>
      </c>
      <c r="AG251" s="90" t="n">
        <f aca="false">IF($A251="",0,AVERAGE(INDEX($F251:$AC251,9+Setup!$B$8):INDEX($F251:$AC251,11+Setup!$B$8)))</f>
        <v>0</v>
      </c>
      <c r="AH251" s="89" t="n">
        <f aca="false">IF($A251="",0,SUMPRODUCT(($R$3:$AC$3&lt;=Setup!$B$8)*$R251:$AC251))</f>
        <v>0</v>
      </c>
      <c r="AI251" s="90" t="n">
        <f aca="false">IF($A251="",0,SUMPRODUCT(($F$3:$Q$3&lt;=Setup!$B$8)*$F251:$Q251))</f>
        <v>0</v>
      </c>
      <c r="AJ251" s="90" t="n">
        <f aca="false">IF($A251="",0,SUM($F251:$Q251))</f>
        <v>0</v>
      </c>
      <c r="AK251" s="90" t="n">
        <f aca="false">IF($A251="",0,SUM($R251:$AC251))</f>
        <v>0</v>
      </c>
      <c r="AL251" s="91" t="n">
        <f aca="false">IF($A251="",0,IF(SUMPRODUCT(ABS($F251:$AC251))&gt;0,1,0))</f>
        <v>0</v>
      </c>
    </row>
    <row r="252" customFormat="false" ht="15" hidden="false" customHeight="false" outlineLevel="0" collapsed="false">
      <c r="A252" s="68" t="str">
        <f aca="false">IF(COA_Mapping!$A253="","",COA_Mapping!$A253)</f>
        <v/>
      </c>
      <c r="B252" s="68" t="str">
        <f aca="false">IF($A252="","",COA_Mapping!$C253)</f>
        <v/>
      </c>
      <c r="C252" s="68" t="str">
        <f aca="false">IF($A252="","",COA_Mapping!$E253)</f>
        <v/>
      </c>
      <c r="D252" s="68" t="str">
        <f aca="false">IF($A252="","",COA_Mapping!$D253)</f>
        <v/>
      </c>
      <c r="E252" s="86" t="n">
        <f aca="false">IF($A252="",1,COA_Mapping!$F253)</f>
        <v>1</v>
      </c>
      <c r="F252" s="87" t="n">
        <f aca="false">IF($A252="",0,SUMIF(GL_Data!$S$8:$S$5007,247001,GL_Data!$P$8:$P$5007))</f>
        <v>0</v>
      </c>
      <c r="G252" s="87" t="n">
        <f aca="false">IF($A252="",0,SUMIF(GL_Data!$S$8:$S$5007,247002,GL_Data!$P$8:$P$5007))</f>
        <v>0</v>
      </c>
      <c r="H252" s="87" t="n">
        <f aca="false">IF($A252="",0,SUMIF(GL_Data!$S$8:$S$5007,247003,GL_Data!$P$8:$P$5007))</f>
        <v>0</v>
      </c>
      <c r="I252" s="87" t="n">
        <f aca="false">IF($A252="",0,SUMIF(GL_Data!$S$8:$S$5007,247004,GL_Data!$P$8:$P$5007))</f>
        <v>0</v>
      </c>
      <c r="J252" s="87" t="n">
        <f aca="false">IF($A252="",0,SUMIF(GL_Data!$S$8:$S$5007,247005,GL_Data!$P$8:$P$5007))</f>
        <v>0</v>
      </c>
      <c r="K252" s="87" t="n">
        <f aca="false">IF($A252="",0,SUMIF(GL_Data!$S$8:$S$5007,247006,GL_Data!$P$8:$P$5007))</f>
        <v>0</v>
      </c>
      <c r="L252" s="87" t="n">
        <f aca="false">IF($A252="",0,SUMIF(GL_Data!$S$8:$S$5007,247007,GL_Data!$P$8:$P$5007))</f>
        <v>0</v>
      </c>
      <c r="M252" s="87" t="n">
        <f aca="false">IF($A252="",0,SUMIF(GL_Data!$S$8:$S$5007,247008,GL_Data!$P$8:$P$5007))</f>
        <v>0</v>
      </c>
      <c r="N252" s="87" t="n">
        <f aca="false">IF($A252="",0,SUMIF(GL_Data!$S$8:$S$5007,247009,GL_Data!$P$8:$P$5007))</f>
        <v>0</v>
      </c>
      <c r="O252" s="87" t="n">
        <f aca="false">IF($A252="",0,SUMIF(GL_Data!$S$8:$S$5007,247010,GL_Data!$P$8:$P$5007))</f>
        <v>0</v>
      </c>
      <c r="P252" s="87" t="n">
        <f aca="false">IF($A252="",0,SUMIF(GL_Data!$S$8:$S$5007,247011,GL_Data!$P$8:$P$5007))</f>
        <v>0</v>
      </c>
      <c r="Q252" s="87" t="n">
        <f aca="false">IF($A252="",0,SUMIF(GL_Data!$S$8:$S$5007,247012,GL_Data!$P$8:$P$5007))</f>
        <v>0</v>
      </c>
      <c r="R252" s="88" t="n">
        <f aca="false">IF($A252="",0,SUMIF(GL_Data!$S$8:$S$5007,247101,GL_Data!$P$8:$P$5007))</f>
        <v>0</v>
      </c>
      <c r="S252" s="88" t="n">
        <f aca="false">IF($A252="",0,SUMIF(GL_Data!$S$8:$S$5007,247102,GL_Data!$P$8:$P$5007))</f>
        <v>0</v>
      </c>
      <c r="T252" s="88" t="n">
        <f aca="false">IF($A252="",0,SUMIF(GL_Data!$S$8:$S$5007,247103,GL_Data!$P$8:$P$5007))</f>
        <v>0</v>
      </c>
      <c r="U252" s="88" t="n">
        <f aca="false">IF($A252="",0,SUMIF(GL_Data!$S$8:$S$5007,247104,GL_Data!$P$8:$P$5007))</f>
        <v>0</v>
      </c>
      <c r="V252" s="88" t="n">
        <f aca="false">IF($A252="",0,SUMIF(GL_Data!$S$8:$S$5007,247105,GL_Data!$P$8:$P$5007))</f>
        <v>0</v>
      </c>
      <c r="W252" s="88" t="n">
        <f aca="false">IF($A252="",0,SUMIF(GL_Data!$S$8:$S$5007,247106,GL_Data!$P$8:$P$5007))</f>
        <v>0</v>
      </c>
      <c r="X252" s="88" t="n">
        <f aca="false">IF($A252="",0,SUMIF(GL_Data!$S$8:$S$5007,247107,GL_Data!$P$8:$P$5007))</f>
        <v>0</v>
      </c>
      <c r="Y252" s="88" t="n">
        <f aca="false">IF($A252="",0,SUMIF(GL_Data!$S$8:$S$5007,247108,GL_Data!$P$8:$P$5007))</f>
        <v>0</v>
      </c>
      <c r="Z252" s="88" t="n">
        <f aca="false">IF($A252="",0,SUMIF(GL_Data!$S$8:$S$5007,247109,GL_Data!$P$8:$P$5007))</f>
        <v>0</v>
      </c>
      <c r="AA252" s="88" t="n">
        <f aca="false">IF($A252="",0,SUMIF(GL_Data!$S$8:$S$5007,247110,GL_Data!$P$8:$P$5007))</f>
        <v>0</v>
      </c>
      <c r="AB252" s="88" t="n">
        <f aca="false">IF($A252="",0,SUMIF(GL_Data!$S$8:$S$5007,247111,GL_Data!$P$8:$P$5007))</f>
        <v>0</v>
      </c>
      <c r="AC252" s="88" t="n">
        <f aca="false">IF($A252="",0,SUMIF(GL_Data!$S$8:$S$5007,247112,GL_Data!$P$8:$P$5007))</f>
        <v>0</v>
      </c>
      <c r="AD252" s="89" t="n">
        <f aca="false">IF($A252="",0,INDEX($F252:$AC252,12+Setup!$B$8))</f>
        <v>0</v>
      </c>
      <c r="AE252" s="90" t="n">
        <f aca="false">IF($A252="",0,INDEX($F252:$AC252,Setup!$B$8))</f>
        <v>0</v>
      </c>
      <c r="AF252" s="90" t="n">
        <f aca="false">IF($A252="",0,INDEX($F252:$AC252,11+Setup!$B$8))</f>
        <v>0</v>
      </c>
      <c r="AG252" s="90" t="n">
        <f aca="false">IF($A252="",0,AVERAGE(INDEX($F252:$AC252,9+Setup!$B$8):INDEX($F252:$AC252,11+Setup!$B$8)))</f>
        <v>0</v>
      </c>
      <c r="AH252" s="89" t="n">
        <f aca="false">IF($A252="",0,SUMPRODUCT(($R$3:$AC$3&lt;=Setup!$B$8)*$R252:$AC252))</f>
        <v>0</v>
      </c>
      <c r="AI252" s="90" t="n">
        <f aca="false">IF($A252="",0,SUMPRODUCT(($F$3:$Q$3&lt;=Setup!$B$8)*$F252:$Q252))</f>
        <v>0</v>
      </c>
      <c r="AJ252" s="90" t="n">
        <f aca="false">IF($A252="",0,SUM($F252:$Q252))</f>
        <v>0</v>
      </c>
      <c r="AK252" s="90" t="n">
        <f aca="false">IF($A252="",0,SUM($R252:$AC252))</f>
        <v>0</v>
      </c>
      <c r="AL252" s="91" t="n">
        <f aca="false">IF($A252="",0,IF(SUMPRODUCT(ABS($F252:$AC252))&gt;0,1,0))</f>
        <v>0</v>
      </c>
    </row>
    <row r="253" customFormat="false" ht="15" hidden="false" customHeight="false" outlineLevel="0" collapsed="false">
      <c r="A253" s="68" t="str">
        <f aca="false">IF(COA_Mapping!$A254="","",COA_Mapping!$A254)</f>
        <v/>
      </c>
      <c r="B253" s="68" t="str">
        <f aca="false">IF($A253="","",COA_Mapping!$C254)</f>
        <v/>
      </c>
      <c r="C253" s="68" t="str">
        <f aca="false">IF($A253="","",COA_Mapping!$E254)</f>
        <v/>
      </c>
      <c r="D253" s="68" t="str">
        <f aca="false">IF($A253="","",COA_Mapping!$D254)</f>
        <v/>
      </c>
      <c r="E253" s="86" t="n">
        <f aca="false">IF($A253="",1,COA_Mapping!$F254)</f>
        <v>1</v>
      </c>
      <c r="F253" s="87" t="n">
        <f aca="false">IF($A253="",0,SUMIF(GL_Data!$S$8:$S$5007,248001,GL_Data!$P$8:$P$5007))</f>
        <v>0</v>
      </c>
      <c r="G253" s="87" t="n">
        <f aca="false">IF($A253="",0,SUMIF(GL_Data!$S$8:$S$5007,248002,GL_Data!$P$8:$P$5007))</f>
        <v>0</v>
      </c>
      <c r="H253" s="87" t="n">
        <f aca="false">IF($A253="",0,SUMIF(GL_Data!$S$8:$S$5007,248003,GL_Data!$P$8:$P$5007))</f>
        <v>0</v>
      </c>
      <c r="I253" s="87" t="n">
        <f aca="false">IF($A253="",0,SUMIF(GL_Data!$S$8:$S$5007,248004,GL_Data!$P$8:$P$5007))</f>
        <v>0</v>
      </c>
      <c r="J253" s="87" t="n">
        <f aca="false">IF($A253="",0,SUMIF(GL_Data!$S$8:$S$5007,248005,GL_Data!$P$8:$P$5007))</f>
        <v>0</v>
      </c>
      <c r="K253" s="87" t="n">
        <f aca="false">IF($A253="",0,SUMIF(GL_Data!$S$8:$S$5007,248006,GL_Data!$P$8:$P$5007))</f>
        <v>0</v>
      </c>
      <c r="L253" s="87" t="n">
        <f aca="false">IF($A253="",0,SUMIF(GL_Data!$S$8:$S$5007,248007,GL_Data!$P$8:$P$5007))</f>
        <v>0</v>
      </c>
      <c r="M253" s="87" t="n">
        <f aca="false">IF($A253="",0,SUMIF(GL_Data!$S$8:$S$5007,248008,GL_Data!$P$8:$P$5007))</f>
        <v>0</v>
      </c>
      <c r="N253" s="87" t="n">
        <f aca="false">IF($A253="",0,SUMIF(GL_Data!$S$8:$S$5007,248009,GL_Data!$P$8:$P$5007))</f>
        <v>0</v>
      </c>
      <c r="O253" s="87" t="n">
        <f aca="false">IF($A253="",0,SUMIF(GL_Data!$S$8:$S$5007,248010,GL_Data!$P$8:$P$5007))</f>
        <v>0</v>
      </c>
      <c r="P253" s="87" t="n">
        <f aca="false">IF($A253="",0,SUMIF(GL_Data!$S$8:$S$5007,248011,GL_Data!$P$8:$P$5007))</f>
        <v>0</v>
      </c>
      <c r="Q253" s="87" t="n">
        <f aca="false">IF($A253="",0,SUMIF(GL_Data!$S$8:$S$5007,248012,GL_Data!$P$8:$P$5007))</f>
        <v>0</v>
      </c>
      <c r="R253" s="88" t="n">
        <f aca="false">IF($A253="",0,SUMIF(GL_Data!$S$8:$S$5007,248101,GL_Data!$P$8:$P$5007))</f>
        <v>0</v>
      </c>
      <c r="S253" s="88" t="n">
        <f aca="false">IF($A253="",0,SUMIF(GL_Data!$S$8:$S$5007,248102,GL_Data!$P$8:$P$5007))</f>
        <v>0</v>
      </c>
      <c r="T253" s="88" t="n">
        <f aca="false">IF($A253="",0,SUMIF(GL_Data!$S$8:$S$5007,248103,GL_Data!$P$8:$P$5007))</f>
        <v>0</v>
      </c>
      <c r="U253" s="88" t="n">
        <f aca="false">IF($A253="",0,SUMIF(GL_Data!$S$8:$S$5007,248104,GL_Data!$P$8:$P$5007))</f>
        <v>0</v>
      </c>
      <c r="V253" s="88" t="n">
        <f aca="false">IF($A253="",0,SUMIF(GL_Data!$S$8:$S$5007,248105,GL_Data!$P$8:$P$5007))</f>
        <v>0</v>
      </c>
      <c r="W253" s="88" t="n">
        <f aca="false">IF($A253="",0,SUMIF(GL_Data!$S$8:$S$5007,248106,GL_Data!$P$8:$P$5007))</f>
        <v>0</v>
      </c>
      <c r="X253" s="88" t="n">
        <f aca="false">IF($A253="",0,SUMIF(GL_Data!$S$8:$S$5007,248107,GL_Data!$P$8:$P$5007))</f>
        <v>0</v>
      </c>
      <c r="Y253" s="88" t="n">
        <f aca="false">IF($A253="",0,SUMIF(GL_Data!$S$8:$S$5007,248108,GL_Data!$P$8:$P$5007))</f>
        <v>0</v>
      </c>
      <c r="Z253" s="88" t="n">
        <f aca="false">IF($A253="",0,SUMIF(GL_Data!$S$8:$S$5007,248109,GL_Data!$P$8:$P$5007))</f>
        <v>0</v>
      </c>
      <c r="AA253" s="88" t="n">
        <f aca="false">IF($A253="",0,SUMIF(GL_Data!$S$8:$S$5007,248110,GL_Data!$P$8:$P$5007))</f>
        <v>0</v>
      </c>
      <c r="AB253" s="88" t="n">
        <f aca="false">IF($A253="",0,SUMIF(GL_Data!$S$8:$S$5007,248111,GL_Data!$P$8:$P$5007))</f>
        <v>0</v>
      </c>
      <c r="AC253" s="88" t="n">
        <f aca="false">IF($A253="",0,SUMIF(GL_Data!$S$8:$S$5007,248112,GL_Data!$P$8:$P$5007))</f>
        <v>0</v>
      </c>
      <c r="AD253" s="89" t="n">
        <f aca="false">IF($A253="",0,INDEX($F253:$AC253,12+Setup!$B$8))</f>
        <v>0</v>
      </c>
      <c r="AE253" s="90" t="n">
        <f aca="false">IF($A253="",0,INDEX($F253:$AC253,Setup!$B$8))</f>
        <v>0</v>
      </c>
      <c r="AF253" s="90" t="n">
        <f aca="false">IF($A253="",0,INDEX($F253:$AC253,11+Setup!$B$8))</f>
        <v>0</v>
      </c>
      <c r="AG253" s="90" t="n">
        <f aca="false">IF($A253="",0,AVERAGE(INDEX($F253:$AC253,9+Setup!$B$8):INDEX($F253:$AC253,11+Setup!$B$8)))</f>
        <v>0</v>
      </c>
      <c r="AH253" s="89" t="n">
        <f aca="false">IF($A253="",0,SUMPRODUCT(($R$3:$AC$3&lt;=Setup!$B$8)*$R253:$AC253))</f>
        <v>0</v>
      </c>
      <c r="AI253" s="90" t="n">
        <f aca="false">IF($A253="",0,SUMPRODUCT(($F$3:$Q$3&lt;=Setup!$B$8)*$F253:$Q253))</f>
        <v>0</v>
      </c>
      <c r="AJ253" s="90" t="n">
        <f aca="false">IF($A253="",0,SUM($F253:$Q253))</f>
        <v>0</v>
      </c>
      <c r="AK253" s="90" t="n">
        <f aca="false">IF($A253="",0,SUM($R253:$AC253))</f>
        <v>0</v>
      </c>
      <c r="AL253" s="91" t="n">
        <f aca="false">IF($A253="",0,IF(SUMPRODUCT(ABS($F253:$AC253))&gt;0,1,0))</f>
        <v>0</v>
      </c>
    </row>
    <row r="254" customFormat="false" ht="15" hidden="false" customHeight="false" outlineLevel="0" collapsed="false">
      <c r="A254" s="68" t="str">
        <f aca="false">IF(COA_Mapping!$A255="","",COA_Mapping!$A255)</f>
        <v/>
      </c>
      <c r="B254" s="68" t="str">
        <f aca="false">IF($A254="","",COA_Mapping!$C255)</f>
        <v/>
      </c>
      <c r="C254" s="68" t="str">
        <f aca="false">IF($A254="","",COA_Mapping!$E255)</f>
        <v/>
      </c>
      <c r="D254" s="68" t="str">
        <f aca="false">IF($A254="","",COA_Mapping!$D255)</f>
        <v/>
      </c>
      <c r="E254" s="86" t="n">
        <f aca="false">IF($A254="",1,COA_Mapping!$F255)</f>
        <v>1</v>
      </c>
      <c r="F254" s="87" t="n">
        <f aca="false">IF($A254="",0,SUMIF(GL_Data!$S$8:$S$5007,249001,GL_Data!$P$8:$P$5007))</f>
        <v>0</v>
      </c>
      <c r="G254" s="87" t="n">
        <f aca="false">IF($A254="",0,SUMIF(GL_Data!$S$8:$S$5007,249002,GL_Data!$P$8:$P$5007))</f>
        <v>0</v>
      </c>
      <c r="H254" s="87" t="n">
        <f aca="false">IF($A254="",0,SUMIF(GL_Data!$S$8:$S$5007,249003,GL_Data!$P$8:$P$5007))</f>
        <v>0</v>
      </c>
      <c r="I254" s="87" t="n">
        <f aca="false">IF($A254="",0,SUMIF(GL_Data!$S$8:$S$5007,249004,GL_Data!$P$8:$P$5007))</f>
        <v>0</v>
      </c>
      <c r="J254" s="87" t="n">
        <f aca="false">IF($A254="",0,SUMIF(GL_Data!$S$8:$S$5007,249005,GL_Data!$P$8:$P$5007))</f>
        <v>0</v>
      </c>
      <c r="K254" s="87" t="n">
        <f aca="false">IF($A254="",0,SUMIF(GL_Data!$S$8:$S$5007,249006,GL_Data!$P$8:$P$5007))</f>
        <v>0</v>
      </c>
      <c r="L254" s="87" t="n">
        <f aca="false">IF($A254="",0,SUMIF(GL_Data!$S$8:$S$5007,249007,GL_Data!$P$8:$P$5007))</f>
        <v>0</v>
      </c>
      <c r="M254" s="87" t="n">
        <f aca="false">IF($A254="",0,SUMIF(GL_Data!$S$8:$S$5007,249008,GL_Data!$P$8:$P$5007))</f>
        <v>0</v>
      </c>
      <c r="N254" s="87" t="n">
        <f aca="false">IF($A254="",0,SUMIF(GL_Data!$S$8:$S$5007,249009,GL_Data!$P$8:$P$5007))</f>
        <v>0</v>
      </c>
      <c r="O254" s="87" t="n">
        <f aca="false">IF($A254="",0,SUMIF(GL_Data!$S$8:$S$5007,249010,GL_Data!$P$8:$P$5007))</f>
        <v>0</v>
      </c>
      <c r="P254" s="87" t="n">
        <f aca="false">IF($A254="",0,SUMIF(GL_Data!$S$8:$S$5007,249011,GL_Data!$P$8:$P$5007))</f>
        <v>0</v>
      </c>
      <c r="Q254" s="87" t="n">
        <f aca="false">IF($A254="",0,SUMIF(GL_Data!$S$8:$S$5007,249012,GL_Data!$P$8:$P$5007))</f>
        <v>0</v>
      </c>
      <c r="R254" s="88" t="n">
        <f aca="false">IF($A254="",0,SUMIF(GL_Data!$S$8:$S$5007,249101,GL_Data!$P$8:$P$5007))</f>
        <v>0</v>
      </c>
      <c r="S254" s="88" t="n">
        <f aca="false">IF($A254="",0,SUMIF(GL_Data!$S$8:$S$5007,249102,GL_Data!$P$8:$P$5007))</f>
        <v>0</v>
      </c>
      <c r="T254" s="88" t="n">
        <f aca="false">IF($A254="",0,SUMIF(GL_Data!$S$8:$S$5007,249103,GL_Data!$P$8:$P$5007))</f>
        <v>0</v>
      </c>
      <c r="U254" s="88" t="n">
        <f aca="false">IF($A254="",0,SUMIF(GL_Data!$S$8:$S$5007,249104,GL_Data!$P$8:$P$5007))</f>
        <v>0</v>
      </c>
      <c r="V254" s="88" t="n">
        <f aca="false">IF($A254="",0,SUMIF(GL_Data!$S$8:$S$5007,249105,GL_Data!$P$8:$P$5007))</f>
        <v>0</v>
      </c>
      <c r="W254" s="88" t="n">
        <f aca="false">IF($A254="",0,SUMIF(GL_Data!$S$8:$S$5007,249106,GL_Data!$P$8:$P$5007))</f>
        <v>0</v>
      </c>
      <c r="X254" s="88" t="n">
        <f aca="false">IF($A254="",0,SUMIF(GL_Data!$S$8:$S$5007,249107,GL_Data!$P$8:$P$5007))</f>
        <v>0</v>
      </c>
      <c r="Y254" s="88" t="n">
        <f aca="false">IF($A254="",0,SUMIF(GL_Data!$S$8:$S$5007,249108,GL_Data!$P$8:$P$5007))</f>
        <v>0</v>
      </c>
      <c r="Z254" s="88" t="n">
        <f aca="false">IF($A254="",0,SUMIF(GL_Data!$S$8:$S$5007,249109,GL_Data!$P$8:$P$5007))</f>
        <v>0</v>
      </c>
      <c r="AA254" s="88" t="n">
        <f aca="false">IF($A254="",0,SUMIF(GL_Data!$S$8:$S$5007,249110,GL_Data!$P$8:$P$5007))</f>
        <v>0</v>
      </c>
      <c r="AB254" s="88" t="n">
        <f aca="false">IF($A254="",0,SUMIF(GL_Data!$S$8:$S$5007,249111,GL_Data!$P$8:$P$5007))</f>
        <v>0</v>
      </c>
      <c r="AC254" s="88" t="n">
        <f aca="false">IF($A254="",0,SUMIF(GL_Data!$S$8:$S$5007,249112,GL_Data!$P$8:$P$5007))</f>
        <v>0</v>
      </c>
      <c r="AD254" s="89" t="n">
        <f aca="false">IF($A254="",0,INDEX($F254:$AC254,12+Setup!$B$8))</f>
        <v>0</v>
      </c>
      <c r="AE254" s="90" t="n">
        <f aca="false">IF($A254="",0,INDEX($F254:$AC254,Setup!$B$8))</f>
        <v>0</v>
      </c>
      <c r="AF254" s="90" t="n">
        <f aca="false">IF($A254="",0,INDEX($F254:$AC254,11+Setup!$B$8))</f>
        <v>0</v>
      </c>
      <c r="AG254" s="90" t="n">
        <f aca="false">IF($A254="",0,AVERAGE(INDEX($F254:$AC254,9+Setup!$B$8):INDEX($F254:$AC254,11+Setup!$B$8)))</f>
        <v>0</v>
      </c>
      <c r="AH254" s="89" t="n">
        <f aca="false">IF($A254="",0,SUMPRODUCT(($R$3:$AC$3&lt;=Setup!$B$8)*$R254:$AC254))</f>
        <v>0</v>
      </c>
      <c r="AI254" s="90" t="n">
        <f aca="false">IF($A254="",0,SUMPRODUCT(($F$3:$Q$3&lt;=Setup!$B$8)*$F254:$Q254))</f>
        <v>0</v>
      </c>
      <c r="AJ254" s="90" t="n">
        <f aca="false">IF($A254="",0,SUM($F254:$Q254))</f>
        <v>0</v>
      </c>
      <c r="AK254" s="90" t="n">
        <f aca="false">IF($A254="",0,SUM($R254:$AC254))</f>
        <v>0</v>
      </c>
      <c r="AL254" s="91" t="n">
        <f aca="false">IF($A254="",0,IF(SUMPRODUCT(ABS($F254:$AC254))&gt;0,1,0))</f>
        <v>0</v>
      </c>
    </row>
    <row r="255" customFormat="false" ht="15" hidden="false" customHeight="false" outlineLevel="0" collapsed="false">
      <c r="A255" s="68" t="str">
        <f aca="false">IF(COA_Mapping!$A256="","",COA_Mapping!$A256)</f>
        <v/>
      </c>
      <c r="B255" s="68" t="str">
        <f aca="false">IF($A255="","",COA_Mapping!$C256)</f>
        <v/>
      </c>
      <c r="C255" s="68" t="str">
        <f aca="false">IF($A255="","",COA_Mapping!$E256)</f>
        <v/>
      </c>
      <c r="D255" s="68" t="str">
        <f aca="false">IF($A255="","",COA_Mapping!$D256)</f>
        <v/>
      </c>
      <c r="E255" s="86" t="n">
        <f aca="false">IF($A255="",1,COA_Mapping!$F256)</f>
        <v>1</v>
      </c>
      <c r="F255" s="87" t="n">
        <f aca="false">IF($A255="",0,SUMIF(GL_Data!$S$8:$S$5007,250001,GL_Data!$P$8:$P$5007))</f>
        <v>0</v>
      </c>
      <c r="G255" s="87" t="n">
        <f aca="false">IF($A255="",0,SUMIF(GL_Data!$S$8:$S$5007,250002,GL_Data!$P$8:$P$5007))</f>
        <v>0</v>
      </c>
      <c r="H255" s="87" t="n">
        <f aca="false">IF($A255="",0,SUMIF(GL_Data!$S$8:$S$5007,250003,GL_Data!$P$8:$P$5007))</f>
        <v>0</v>
      </c>
      <c r="I255" s="87" t="n">
        <f aca="false">IF($A255="",0,SUMIF(GL_Data!$S$8:$S$5007,250004,GL_Data!$P$8:$P$5007))</f>
        <v>0</v>
      </c>
      <c r="J255" s="87" t="n">
        <f aca="false">IF($A255="",0,SUMIF(GL_Data!$S$8:$S$5007,250005,GL_Data!$P$8:$P$5007))</f>
        <v>0</v>
      </c>
      <c r="K255" s="87" t="n">
        <f aca="false">IF($A255="",0,SUMIF(GL_Data!$S$8:$S$5007,250006,GL_Data!$P$8:$P$5007))</f>
        <v>0</v>
      </c>
      <c r="L255" s="87" t="n">
        <f aca="false">IF($A255="",0,SUMIF(GL_Data!$S$8:$S$5007,250007,GL_Data!$P$8:$P$5007))</f>
        <v>0</v>
      </c>
      <c r="M255" s="87" t="n">
        <f aca="false">IF($A255="",0,SUMIF(GL_Data!$S$8:$S$5007,250008,GL_Data!$P$8:$P$5007))</f>
        <v>0</v>
      </c>
      <c r="N255" s="87" t="n">
        <f aca="false">IF($A255="",0,SUMIF(GL_Data!$S$8:$S$5007,250009,GL_Data!$P$8:$P$5007))</f>
        <v>0</v>
      </c>
      <c r="O255" s="87" t="n">
        <f aca="false">IF($A255="",0,SUMIF(GL_Data!$S$8:$S$5007,250010,GL_Data!$P$8:$P$5007))</f>
        <v>0</v>
      </c>
      <c r="P255" s="87" t="n">
        <f aca="false">IF($A255="",0,SUMIF(GL_Data!$S$8:$S$5007,250011,GL_Data!$P$8:$P$5007))</f>
        <v>0</v>
      </c>
      <c r="Q255" s="87" t="n">
        <f aca="false">IF($A255="",0,SUMIF(GL_Data!$S$8:$S$5007,250012,GL_Data!$P$8:$P$5007))</f>
        <v>0</v>
      </c>
      <c r="R255" s="88" t="n">
        <f aca="false">IF($A255="",0,SUMIF(GL_Data!$S$8:$S$5007,250101,GL_Data!$P$8:$P$5007))</f>
        <v>0</v>
      </c>
      <c r="S255" s="88" t="n">
        <f aca="false">IF($A255="",0,SUMIF(GL_Data!$S$8:$S$5007,250102,GL_Data!$P$8:$P$5007))</f>
        <v>0</v>
      </c>
      <c r="T255" s="88" t="n">
        <f aca="false">IF($A255="",0,SUMIF(GL_Data!$S$8:$S$5007,250103,GL_Data!$P$8:$P$5007))</f>
        <v>0</v>
      </c>
      <c r="U255" s="88" t="n">
        <f aca="false">IF($A255="",0,SUMIF(GL_Data!$S$8:$S$5007,250104,GL_Data!$P$8:$P$5007))</f>
        <v>0</v>
      </c>
      <c r="V255" s="88" t="n">
        <f aca="false">IF($A255="",0,SUMIF(GL_Data!$S$8:$S$5007,250105,GL_Data!$P$8:$P$5007))</f>
        <v>0</v>
      </c>
      <c r="W255" s="88" t="n">
        <f aca="false">IF($A255="",0,SUMIF(GL_Data!$S$8:$S$5007,250106,GL_Data!$P$8:$P$5007))</f>
        <v>0</v>
      </c>
      <c r="X255" s="88" t="n">
        <f aca="false">IF($A255="",0,SUMIF(GL_Data!$S$8:$S$5007,250107,GL_Data!$P$8:$P$5007))</f>
        <v>0</v>
      </c>
      <c r="Y255" s="88" t="n">
        <f aca="false">IF($A255="",0,SUMIF(GL_Data!$S$8:$S$5007,250108,GL_Data!$P$8:$P$5007))</f>
        <v>0</v>
      </c>
      <c r="Z255" s="88" t="n">
        <f aca="false">IF($A255="",0,SUMIF(GL_Data!$S$8:$S$5007,250109,GL_Data!$P$8:$P$5007))</f>
        <v>0</v>
      </c>
      <c r="AA255" s="88" t="n">
        <f aca="false">IF($A255="",0,SUMIF(GL_Data!$S$8:$S$5007,250110,GL_Data!$P$8:$P$5007))</f>
        <v>0</v>
      </c>
      <c r="AB255" s="88" t="n">
        <f aca="false">IF($A255="",0,SUMIF(GL_Data!$S$8:$S$5007,250111,GL_Data!$P$8:$P$5007))</f>
        <v>0</v>
      </c>
      <c r="AC255" s="88" t="n">
        <f aca="false">IF($A255="",0,SUMIF(GL_Data!$S$8:$S$5007,250112,GL_Data!$P$8:$P$5007))</f>
        <v>0</v>
      </c>
      <c r="AD255" s="89" t="n">
        <f aca="false">IF($A255="",0,INDEX($F255:$AC255,12+Setup!$B$8))</f>
        <v>0</v>
      </c>
      <c r="AE255" s="90" t="n">
        <f aca="false">IF($A255="",0,INDEX($F255:$AC255,Setup!$B$8))</f>
        <v>0</v>
      </c>
      <c r="AF255" s="90" t="n">
        <f aca="false">IF($A255="",0,INDEX($F255:$AC255,11+Setup!$B$8))</f>
        <v>0</v>
      </c>
      <c r="AG255" s="90" t="n">
        <f aca="false">IF($A255="",0,AVERAGE(INDEX($F255:$AC255,9+Setup!$B$8):INDEX($F255:$AC255,11+Setup!$B$8)))</f>
        <v>0</v>
      </c>
      <c r="AH255" s="89" t="n">
        <f aca="false">IF($A255="",0,SUMPRODUCT(($R$3:$AC$3&lt;=Setup!$B$8)*$R255:$AC255))</f>
        <v>0</v>
      </c>
      <c r="AI255" s="90" t="n">
        <f aca="false">IF($A255="",0,SUMPRODUCT(($F$3:$Q$3&lt;=Setup!$B$8)*$F255:$Q255))</f>
        <v>0</v>
      </c>
      <c r="AJ255" s="90" t="n">
        <f aca="false">IF($A255="",0,SUM($F255:$Q255))</f>
        <v>0</v>
      </c>
      <c r="AK255" s="90" t="n">
        <f aca="false">IF($A255="",0,SUM($R255:$AC255))</f>
        <v>0</v>
      </c>
      <c r="AL255" s="91" t="n">
        <f aca="false">IF($A255="",0,IF(SUMPRODUCT(ABS($F255:$AC255))&gt;0,1,0))</f>
        <v>0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6"/>
  </cols>
  <sheetData>
    <row r="1" customFormat="false" ht="18.55" hidden="false" customHeight="false" outlineLevel="0" collapsed="false">
      <c r="A1" s="1" t="s">
        <v>515</v>
      </c>
    </row>
    <row r="2" customFormat="false" ht="15" hidden="false" customHeight="false" outlineLevel="0" collapsed="false">
      <c r="A2" s="2" t="s">
        <v>516</v>
      </c>
    </row>
    <row r="4" customFormat="false" ht="31.5" hidden="false" customHeight="true" outlineLevel="0" collapsed="false">
      <c r="A4" s="30" t="s">
        <v>143</v>
      </c>
      <c r="B4" s="30" t="s">
        <v>127</v>
      </c>
      <c r="C4" s="30" t="s">
        <v>142</v>
      </c>
      <c r="D4" s="30" t="s">
        <v>129</v>
      </c>
      <c r="E4" s="30" t="s">
        <v>517</v>
      </c>
    </row>
    <row r="5" customFormat="false" ht="15" hidden="false" customHeight="false" outlineLevel="0" collapsed="false">
      <c r="A5" s="55" t="n">
        <v>10</v>
      </c>
      <c r="B5" s="92" t="s">
        <v>147</v>
      </c>
      <c r="C5" s="92" t="s">
        <v>518</v>
      </c>
      <c r="D5" s="55" t="n">
        <v>-1</v>
      </c>
      <c r="E5" s="92" t="s">
        <v>519</v>
      </c>
    </row>
    <row r="6" customFormat="false" ht="15" hidden="false" customHeight="false" outlineLevel="0" collapsed="false">
      <c r="A6" s="55" t="n">
        <v>20</v>
      </c>
      <c r="B6" s="92" t="s">
        <v>190</v>
      </c>
      <c r="C6" s="92" t="s">
        <v>518</v>
      </c>
      <c r="D6" s="55" t="n">
        <v>1</v>
      </c>
      <c r="E6" s="92" t="s">
        <v>519</v>
      </c>
    </row>
    <row r="7" customFormat="false" ht="15" hidden="false" customHeight="false" outlineLevel="0" collapsed="false">
      <c r="A7" s="55" t="n">
        <v>30</v>
      </c>
      <c r="B7" s="92" t="s">
        <v>257</v>
      </c>
      <c r="C7" s="92" t="s">
        <v>518</v>
      </c>
      <c r="D7" s="55" t="n">
        <v>-1</v>
      </c>
      <c r="E7" s="92" t="s">
        <v>519</v>
      </c>
    </row>
    <row r="8" customFormat="false" ht="15" hidden="false" customHeight="false" outlineLevel="0" collapsed="false">
      <c r="A8" s="55" t="n">
        <v>40</v>
      </c>
      <c r="B8" s="92" t="s">
        <v>267</v>
      </c>
      <c r="C8" s="92" t="s">
        <v>518</v>
      </c>
      <c r="D8" s="55" t="n">
        <v>1</v>
      </c>
      <c r="E8" s="92" t="s">
        <v>519</v>
      </c>
    </row>
    <row r="9" customFormat="false" ht="15" hidden="false" customHeight="false" outlineLevel="0" collapsed="false">
      <c r="A9" s="55" t="n">
        <v>50</v>
      </c>
      <c r="B9" s="92" t="s">
        <v>375</v>
      </c>
      <c r="C9" s="92" t="s">
        <v>518</v>
      </c>
      <c r="D9" s="55" t="n">
        <v>1</v>
      </c>
      <c r="E9" s="92" t="s">
        <v>520</v>
      </c>
    </row>
    <row r="10" customFormat="false" ht="15" hidden="false" customHeight="false" outlineLevel="0" collapsed="false">
      <c r="A10" s="55" t="n">
        <v>60</v>
      </c>
      <c r="B10" s="92" t="s">
        <v>376</v>
      </c>
      <c r="C10" s="92" t="s">
        <v>518</v>
      </c>
      <c r="D10" s="55" t="n">
        <v>1</v>
      </c>
      <c r="E10" s="92" t="s">
        <v>520</v>
      </c>
    </row>
    <row r="11" customFormat="false" ht="15" hidden="false" customHeight="false" outlineLevel="0" collapsed="false">
      <c r="A11" s="55" t="n">
        <v>70</v>
      </c>
      <c r="B11" s="92" t="s">
        <v>292</v>
      </c>
      <c r="C11" s="92" t="s">
        <v>518</v>
      </c>
      <c r="D11" s="55" t="n">
        <v>1</v>
      </c>
      <c r="E11" s="92" t="s">
        <v>521</v>
      </c>
    </row>
    <row r="12" customFormat="false" ht="15" hidden="false" customHeight="false" outlineLevel="0" collapsed="false">
      <c r="A12" s="55" t="n">
        <v>80</v>
      </c>
      <c r="B12" s="92" t="s">
        <v>385</v>
      </c>
      <c r="C12" s="92" t="s">
        <v>522</v>
      </c>
      <c r="D12" s="55" t="n">
        <v>1</v>
      </c>
      <c r="E12" s="92" t="s">
        <v>523</v>
      </c>
    </row>
    <row r="13" customFormat="false" ht="15" hidden="false" customHeight="false" outlineLevel="0" collapsed="false">
      <c r="A13" s="55" t="n">
        <v>90</v>
      </c>
      <c r="B13" s="92" t="s">
        <v>386</v>
      </c>
      <c r="C13" s="92" t="s">
        <v>522</v>
      </c>
      <c r="D13" s="55" t="n">
        <v>1</v>
      </c>
      <c r="E13" s="92" t="s">
        <v>523</v>
      </c>
    </row>
    <row r="14" customFormat="false" ht="15" hidden="false" customHeight="false" outlineLevel="0" collapsed="false">
      <c r="A14" s="55" t="n">
        <v>100</v>
      </c>
      <c r="B14" s="92" t="s">
        <v>388</v>
      </c>
      <c r="C14" s="92" t="s">
        <v>522</v>
      </c>
      <c r="D14" s="55" t="n">
        <v>-1</v>
      </c>
      <c r="E14" s="92" t="s">
        <v>524</v>
      </c>
    </row>
    <row r="15" customFormat="false" ht="15" hidden="false" customHeight="false" outlineLevel="0" collapsed="false">
      <c r="A15" s="55" t="n">
        <v>110</v>
      </c>
      <c r="B15" s="92" t="s">
        <v>389</v>
      </c>
      <c r="C15" s="92" t="s">
        <v>522</v>
      </c>
      <c r="D15" s="55" t="n">
        <v>-1</v>
      </c>
      <c r="E15" s="92" t="s">
        <v>524</v>
      </c>
    </row>
    <row r="16" customFormat="false" ht="15" hidden="false" customHeight="false" outlineLevel="0" collapsed="false">
      <c r="A16" s="55" t="n">
        <v>120</v>
      </c>
      <c r="B16" s="92" t="s">
        <v>392</v>
      </c>
      <c r="C16" s="92" t="s">
        <v>522</v>
      </c>
      <c r="D16" s="55" t="n">
        <v>-1</v>
      </c>
      <c r="E16" s="92" t="s">
        <v>392</v>
      </c>
    </row>
    <row r="20" customFormat="false" ht="31.5" hidden="false" customHeight="true" outlineLevel="0" collapsed="false">
      <c r="A20" s="30" t="s">
        <v>525</v>
      </c>
    </row>
    <row r="21" customFormat="false" ht="15" hidden="false" customHeight="false" outlineLevel="0" collapsed="false">
      <c r="A21" s="92" t="s">
        <v>157</v>
      </c>
    </row>
    <row r="22" customFormat="false" ht="15" hidden="false" customHeight="false" outlineLevel="0" collapsed="false">
      <c r="A22" s="92" t="s">
        <v>159</v>
      </c>
    </row>
    <row r="23" customFormat="false" ht="15" hidden="false" customHeight="false" outlineLevel="0" collapsed="false">
      <c r="A23" s="92" t="s">
        <v>161</v>
      </c>
    </row>
    <row r="24" customFormat="false" ht="15" hidden="false" customHeight="false" outlineLevel="0" collapsed="false">
      <c r="A24" s="92" t="s">
        <v>155</v>
      </c>
    </row>
    <row r="25" customFormat="false" ht="15" hidden="false" customHeight="false" outlineLevel="0" collapsed="false">
      <c r="A25" s="92" t="s">
        <v>163</v>
      </c>
    </row>
    <row r="26" customFormat="false" ht="15" hidden="false" customHeight="false" outlineLevel="0" collapsed="false">
      <c r="A26" s="92" t="s">
        <v>165</v>
      </c>
    </row>
    <row r="27" customFormat="false" ht="15" hidden="false" customHeight="false" outlineLevel="0" collapsed="false">
      <c r="A27" s="92" t="s">
        <v>148</v>
      </c>
    </row>
    <row r="32" customFormat="false" ht="31.5" hidden="false" customHeight="true" outlineLevel="0" collapsed="false">
      <c r="A32" s="30" t="s">
        <v>436</v>
      </c>
    </row>
    <row r="33" customFormat="false" ht="15" hidden="false" customHeight="false" outlineLevel="0" collapsed="false">
      <c r="A33" s="92" t="s">
        <v>106</v>
      </c>
    </row>
    <row r="34" customFormat="false" ht="15" hidden="false" customHeight="false" outlineLevel="0" collapsed="false">
      <c r="A34" s="92" t="s">
        <v>104</v>
      </c>
    </row>
    <row r="35" customFormat="false" ht="15" hidden="false" customHeight="false" outlineLevel="0" collapsed="false">
      <c r="A35" s="92" t="s">
        <v>102</v>
      </c>
    </row>
    <row r="36" customFormat="false" ht="15" hidden="false" customHeight="false" outlineLevel="0" collapsed="false">
      <c r="A36" s="92" t="s">
        <v>39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2026-09-15T00:26:20Z</dcterms:created>
  <dc:creator>openpyxl</dc:creator>
  <dc:description/>
  <dc:language>en-US</dc:language>
  <cp:lastModifiedBy/>
  <dcterms:modified xsi:type="dcterms:W3CDTF">2026-09-15T00:26:31Z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